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omments9.xml" ContentType="application/vnd.openxmlformats-officedocument.spreadsheetml.comments+xml"/>
  <Override PartName="/xl/threadedComments/threadedComment8.xml" ContentType="application/vnd.ms-excel.threaded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1"/>
  <workbookPr hidePivotFieldList="1" defaultThemeVersion="166925"/>
  <mc:AlternateContent xmlns:mc="http://schemas.openxmlformats.org/markup-compatibility/2006">
    <mc:Choice Requires="x15">
      <x15ac:absPath xmlns:x15ac="http://schemas.microsoft.com/office/spreadsheetml/2010/11/ac" url="https://ftueduvn.sharepoint.com/sites/FTU2CFARC2023-2024/Shared Documents/General/5. Model/"/>
    </mc:Choice>
  </mc:AlternateContent>
  <xr:revisionPtr revIDLastSave="297" documentId="13_ncr:1_{13E66415-B0D6-4EE4-8F31-0743974A5D5A}" xr6:coauthVersionLast="47" xr6:coauthVersionMax="47" xr10:uidLastSave="{29D9FEBC-49B3-41B7-B039-C923348F6EC6}"/>
  <bookViews>
    <workbookView xWindow="-120" yWindow="-120" windowWidth="29040" windowHeight="15720" tabRatio="818" firstSheet="1" activeTab="1" xr2:uid="{6BC05D45-CD37-46E0-8EB6-C4BA6B0DF742}"/>
  </bookViews>
  <sheets>
    <sheet name="1. VALUATION &gt;" sheetId="4" r:id="rId1"/>
    <sheet name="A. FCFF" sheetId="17" r:id="rId2"/>
    <sheet name="B. PE" sheetId="24" r:id="rId3"/>
    <sheet name="C. Peers" sheetId="25" r:id="rId4"/>
    <sheet name="CB_DATA_" sheetId="26" state="veryHidden" r:id="rId5"/>
    <sheet name="D. Sensivity &amp; Scenario" sheetId="3" r:id="rId6"/>
    <sheet name="2. FORECAST &gt;" sheetId="1" r:id="rId7"/>
    <sheet name="A. FS" sheetId="5" r:id="rId8"/>
    <sheet name="B. Sales &amp; COGS" sheetId="6" r:id="rId9"/>
    <sheet name="C. S&amp;L" sheetId="10" r:id="rId10"/>
    <sheet name="D. OE&amp;IE" sheetId="20" r:id="rId11"/>
    <sheet name="E. Non-ICT" sheetId="27" r:id="rId12"/>
    <sheet name="F. WACC" sheetId="8" r:id="rId13"/>
    <sheet name="G. FA" sheetId="7" r:id="rId14"/>
    <sheet name="3.INPUT &gt;" sheetId="9" r:id="rId15"/>
    <sheet name="A. Raw FS" sheetId="12" r:id="rId16"/>
    <sheet name="C. ICT Market" sheetId="14" r:id="rId17"/>
    <sheet name="D. PPE Market" sheetId="18" r:id="rId18"/>
    <sheet name="Draft" sheetId="11" r:id="rId19"/>
    <sheet name="ERP" sheetId="21" r:id="rId20"/>
    <sheet name="RF &amp; Beta" sheetId="23"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0">'[1]PNT-QUOT-#3'!#REF!</definedName>
    <definedName name="\z">'[1]COAT&amp;WRAP-QIOT-#3'!#REF!</definedName>
    <definedName name="_?">#REF!</definedName>
    <definedName name="_??????">#REF!</definedName>
    <definedName name="_________h1" hidden="1">{"'TDTGT (theo Dphuong)'!$A$4:$F$75"}</definedName>
    <definedName name="________h1" hidden="1">{"'TDTGT (theo Dphuong)'!$A$4:$F$75"}</definedName>
    <definedName name="_______h1" hidden="1">{"'TDTGT (theo Dphuong)'!$A$4:$F$75"}</definedName>
    <definedName name="______B5" hidden="1">{#N/A,#N/A,FALSE,"Chung"}</definedName>
    <definedName name="______h1" hidden="1">{"'TDTGT (theo Dphuong)'!$A$4:$F$75"}</definedName>
    <definedName name="______h2" hidden="1">{"'TDTGT (theo Dphuong)'!$A$4:$F$75"}</definedName>
    <definedName name="_____B5" hidden="1">{#N/A,#N/A,FALSE,"Chung"}</definedName>
    <definedName name="_____h1" hidden="1">{"'TDTGT (theo Dphuong)'!$A$4:$F$75"}</definedName>
    <definedName name="_____h2" hidden="1">{"'TDTGT (theo Dphuong)'!$A$4:$F$75"}</definedName>
    <definedName name="____a1" hidden="1">{"'Sheet1'!$L$16"}</definedName>
    <definedName name="____B5" hidden="1">{#N/A,#N/A,FALSE,"Chung"}</definedName>
    <definedName name="____h1" hidden="1">{"'TDTGT (theo Dphuong)'!$A$4:$F$75"}</definedName>
    <definedName name="____h2" hidden="1">{"'TDTGT (theo Dphuong)'!$A$4:$F$75"}</definedName>
    <definedName name="____NSO2" hidden="1">{"'Sheet1'!$L$16"}</definedName>
    <definedName name="___a1" hidden="1">{"'Sheet1'!$L$16"}</definedName>
    <definedName name="___B5" hidden="1">{#N/A,#N/A,FALSE,"Chung"}</definedName>
    <definedName name="___h1" hidden="1">{"'TDTGT (theo Dphuong)'!$A$4:$F$75"}</definedName>
    <definedName name="___h2" hidden="1">{"'TDTGT (theo Dphuong)'!$A$4:$F$75"}</definedName>
    <definedName name="___NSO2" hidden="1">{"'Sheet1'!$L$16"}</definedName>
    <definedName name="__a1" hidden="1">{"'Sheet1'!$L$16"}</definedName>
    <definedName name="__B5" hidden="1">{#N/A,#N/A,FALSE,"Chung"}</definedName>
    <definedName name="__CT250">'[2]dongia (2)'!#REF!</definedName>
    <definedName name="__F1" hidden="1">{"'Sheet1'!$L$16"}</definedName>
    <definedName name="__h1" hidden="1">{"'TDTGT (theo Dphuong)'!$A$4:$F$75"}</definedName>
    <definedName name="__h2" hidden="1">{"'TDTGT (theo Dphuong)'!$A$4:$F$75"}</definedName>
    <definedName name="__huy1" hidden="1">{"'Sheet1'!$L$16"}</definedName>
    <definedName name="__IntlFixup" hidden="1">TRUE</definedName>
    <definedName name="__M1">[3]XL4Poppy!$C$4</definedName>
    <definedName name="__NSO2" hidden="1">{"'Sheet1'!$L$16"}</definedName>
    <definedName name="__NSO3" hidden="1">{"'Sheet1'!$L$16"}</definedName>
    <definedName name="__T01" hidden="1">#REF!</definedName>
    <definedName name="__TS2">#REF!</definedName>
    <definedName name="_1_?">#REF!</definedName>
    <definedName name="_10TEÂN_KHAÙCH_HAØ">#REF!</definedName>
    <definedName name="_11THAØNH_TIEÀN">#REF!</definedName>
    <definedName name="_12TRÒ_GIAÙ">#REF!</definedName>
    <definedName name="_13TRÒ_GIAÙ__VAT">#REF!</definedName>
    <definedName name="_2_??????">#REF!</definedName>
    <definedName name="_3_0DATA_DATA2_L">'[4]#REF'!#REF!</definedName>
    <definedName name="_4MAÕ_HAØNG">#REF!</definedName>
    <definedName name="_5MAÕ_SOÁ_THUEÁ">#REF!</definedName>
    <definedName name="_6ÑÔN_GIAÙ">#REF!</definedName>
    <definedName name="_7SOÁ_CTÖØ">#REF!</definedName>
    <definedName name="_8SOÁ_LÖÔÏNG">#REF!</definedName>
    <definedName name="_9TEÂN_HAØNG">#REF!</definedName>
    <definedName name="_a1" hidden="1">{"'Sheet1'!$L$16"}</definedName>
    <definedName name="_a123" hidden="1">{"'Sheet1'!$L$16"}</definedName>
    <definedName name="_B5" hidden="1">{#N/A,#N/A,FALSE,"Chung"}</definedName>
    <definedName name="_Builtin155" hidden="1">#N/A</definedName>
    <definedName name="_CT250">'[2]dongia (2)'!#REF!</definedName>
    <definedName name="_F1" hidden="1">{"'Sheet1'!$L$16"}</definedName>
    <definedName name="_Fill" localSheetId="17" hidden="1">#REF!</definedName>
    <definedName name="_Fill" hidden="1">#REF!</definedName>
    <definedName name="_xlnm._FilterDatabase" localSheetId="17" hidden="1">'D. PPE Market'!$B$18:$F$18</definedName>
    <definedName name="_xlnm._FilterDatabase" hidden="1">[5]Sheet1!#REF!</definedName>
    <definedName name="_h1" hidden="1">{"'TDTGT (theo Dphuong)'!$A$4:$F$75"}</definedName>
    <definedName name="_h2" hidden="1">{"'TDTGT (theo Dphuong)'!$A$4:$F$75"}</definedName>
    <definedName name="_huy1" hidden="1">{"'Sheet1'!$L$16"}</definedName>
    <definedName name="_Key1" hidden="1">#REF!</definedName>
    <definedName name="_Key2" hidden="1">#REF!</definedName>
    <definedName name="_M1">[3]XL4Poppy!$C$4</definedName>
    <definedName name="_NSO2" hidden="1">{"'Sheet1'!$L$16"}</definedName>
    <definedName name="_NSO3" hidden="1">{"'Sheet1'!$L$16"}</definedName>
    <definedName name="_Order1" hidden="1">255</definedName>
    <definedName name="_Order2" hidden="1">255</definedName>
    <definedName name="_Sort" hidden="1">[6]Sheet1!#REF!</definedName>
    <definedName name="_T01" hidden="1">#REF!</definedName>
    <definedName name="_TS2">#REF!</definedName>
    <definedName name="_xlchart.v1.0" hidden="1">'1. VALUATION &gt;'!$I$90</definedName>
    <definedName name="A">'[1]PNT-QUOT-#3'!#REF!</definedName>
    <definedName name="aa">#REF!</definedName>
    <definedName name="AAA">'[7]MTL$-INTER'!#REF!</definedName>
    <definedName name="AAAA" hidden="1">{#N/A,#N/A,FALSE,"Chi tiÆt"}</definedName>
    <definedName name="abc" localSheetId="17" hidden="1">{"'TDTGT (theo Dphuong)'!$A$4:$F$75"}</definedName>
    <definedName name="abc" hidden="1">#REF!</definedName>
    <definedName name="ADSD" hidden="1">{"'Sheet1'!$L$16"}</definedName>
    <definedName name="adsf">#REF!</definedName>
    <definedName name="anpha">#REF!</definedName>
    <definedName name="anscount" hidden="1">2</definedName>
    <definedName name="as" hidden="1">[5]Sheet1!#REF!</definedName>
    <definedName name="asd" hidden="1">{"'Sheet1'!$L$16"}</definedName>
    <definedName name="aù0">'[8]bang tien luong'!#REF!</definedName>
    <definedName name="B">'[1]PNT-QUOT-#3'!#REF!</definedName>
    <definedName name="B5new" hidden="1">{"'TDTGT (theo Dphuong)'!$A$4:$F$75"}</definedName>
    <definedName name="bang11">'[9]T11-2004 '!$A$7:$AC$75</definedName>
    <definedName name="bangtru">[9]BTT!$A$10:$W$78</definedName>
    <definedName name="BANGVP">#REF!</definedName>
    <definedName name="BANGXUONG">#REF!</definedName>
    <definedName name="Bao" hidden="1">{#N/A,#N/A,FALSE,"Chi tiÆt"}</definedName>
    <definedName name="baocaotktp" hidden="1">{#N/A,#N/A,FALSE,"sum";#N/A,#N/A,FALSE,"MARTV";#N/A,#N/A,FALSE,"APRTV"}</definedName>
    <definedName name="bb">#REF!</definedName>
    <definedName name="bbb" hidden="1">{"'Sheet1'!$L$16"}</definedName>
    <definedName name="bbbb" hidden="1">{#N/A,#N/A,FALSE,"Chi tiÆt"}</definedName>
    <definedName name="bctp" hidden="1">{"'Sheet1'!$L$16"}</definedName>
    <definedName name="beta">#REF!</definedName>
    <definedName name="BR">#REF!</definedName>
    <definedName name="bs_error">'[10]1.Setup'!#REF!</definedName>
    <definedName name="BT">#REF!</definedName>
    <definedName name="Bust">[11]XL4Poppy!$C$31</definedName>
    <definedName name="bv">#REF!</definedName>
    <definedName name="CAGR_table">#REF!</definedName>
    <definedName name="Capital_structure">'A. FCFF'!$A$39:$A$39</definedName>
    <definedName name="CB_261a374fb1bd491f994367d823f6ccd8" localSheetId="5" hidden="1">'D. Sensivity &amp; Scenario'!$D$36</definedName>
    <definedName name="CB_442da176102a4e1e84fa5c963e721964" localSheetId="5" hidden="1">'D. Sensivity &amp; Scenario'!$D$35</definedName>
    <definedName name="CB_67b73b071b844402b76bcb89bb2aaa38" localSheetId="5" hidden="1">'D. Sensivity &amp; Scenario'!$D$33</definedName>
    <definedName name="CB_6c1981c3ec3747f2a7123e514b7dd87d" localSheetId="4" hidden="1">#N/A</definedName>
    <definedName name="CB_846d6d4af90a41a8acd6907037263f02" localSheetId="5" hidden="1">'D. Sensivity &amp; Scenario'!$D$34</definedName>
    <definedName name="CB_Block_00000000000000000000000000000000" localSheetId="1" hidden="1">"'7.0.0.0"</definedName>
    <definedName name="CB_Block_00000000000000000000000000000000" localSheetId="4" hidden="1">"'7.0.0.0"</definedName>
    <definedName name="CB_Block_00000000000000000000000000000000" localSheetId="5" hidden="1">"'7.0.0.0"</definedName>
    <definedName name="CB_Block_00000000000000000000000000000001" localSheetId="1" hidden="1">"'638353297682687891"</definedName>
    <definedName name="CB_Block_00000000000000000000000000000001" localSheetId="4" hidden="1">"'638353297681930270"</definedName>
    <definedName name="CB_Block_00000000000000000000000000000001" localSheetId="5" hidden="1">"'638353297682384106"</definedName>
    <definedName name="CB_Block_00000000000000000000000000000003" localSheetId="1" hidden="1">"'11.1.4323.0"</definedName>
    <definedName name="CB_Block_00000000000000000000000000000003" localSheetId="4" hidden="1">"'11.1.4323.0"</definedName>
    <definedName name="CB_Block_00000000000000000000000000000003" localSheetId="5" hidden="1">"'11.1.4323.0"</definedName>
    <definedName name="CB_BlockExt_00000000000000000000000000000003" localSheetId="1" hidden="1">"'11.1.2.4.400"</definedName>
    <definedName name="CB_BlockExt_00000000000000000000000000000003" localSheetId="4" hidden="1">"'11.1.2.4.400"</definedName>
    <definedName name="CB_BlockExt_00000000000000000000000000000003" localSheetId="5" hidden="1">"'11.1.2.4.400"</definedName>
    <definedName name="CB_c1d5d80b8c684810aafb073d147a0bfb" localSheetId="5" hidden="1">'D. Sensivity &amp; Scenario'!$D$31</definedName>
    <definedName name="CB_c9e073dac86e4d26885db7e18e15c6f1" localSheetId="1" hidden="1">'A. FCFF'!$K$33</definedName>
    <definedName name="CB_fef4ce316986488084b84faecb9eaac1" localSheetId="5" hidden="1">'D. Sensivity &amp; Scenario'!$D$32</definedName>
    <definedName name="CBCR_1292d5c45e69459381efad1195802a67" localSheetId="5" hidden="1">'D. Sensivity &amp; Scenario'!$H$33</definedName>
    <definedName name="CBCR_1e5a00d2ad6f4ab8902e44b64acc977e" localSheetId="5" hidden="1">'D. Sensivity &amp; Scenario'!$F$36</definedName>
    <definedName name="CBCR_2c5d7e9bb1ba4552b4decc7f8a19910d" localSheetId="5" hidden="1">'D. Sensivity &amp; Scenario'!$B$34</definedName>
    <definedName name="CBCR_3c6df590c7c2496085a57c65394d95a7" localSheetId="5" hidden="1">'D. Sensivity &amp; Scenario'!$G$34</definedName>
    <definedName name="CBCR_3d4241c3d7a448e2b6e67d9de0a58b90" localSheetId="5" hidden="1">'D. Sensivity &amp; Scenario'!$B$36</definedName>
    <definedName name="CBCR_4292acfda77b470981642af72a4b72a8" localSheetId="5" hidden="1">'D. Sensivity &amp; Scenario'!$F$35</definedName>
    <definedName name="CBCR_66b837bfecc140489e642981712c50cb" localSheetId="5" hidden="1">'D. Sensivity &amp; Scenario'!$B$31</definedName>
    <definedName name="CBCR_7b65d6bd02714c6c8e081d8bf7470a0b" localSheetId="5" hidden="1">'D. Sensivity &amp; Scenario'!$B$35</definedName>
    <definedName name="CBCR_816a6a4b5b10455a9ebc94ff10f7207d" localSheetId="5" hidden="1">'D. Sensivity &amp; Scenario'!$F$33</definedName>
    <definedName name="CBCR_8aae9c7c39e34eeb84a1e40b6b20e0d3" localSheetId="5" hidden="1">'D. Sensivity &amp; Scenario'!$B$33</definedName>
    <definedName name="CBCR_8d85113b0c0c4bb0ba06ce2efb0b0406" localSheetId="5" hidden="1">'D. Sensivity &amp; Scenario'!$F$34</definedName>
    <definedName name="CBCR_9a55bce483d6412d9a002209d6e9e800" localSheetId="5" hidden="1">'D. Sensivity &amp; Scenario'!$G$36</definedName>
    <definedName name="CBCR_a2340190a68644baa477fb6506eac56e" localSheetId="5" hidden="1">'D. Sensivity &amp; Scenario'!$B$32</definedName>
    <definedName name="CBCR_b5decfa117ea422086a98865a2777b84" localSheetId="5" hidden="1">'D. Sensivity &amp; Scenario'!$G$35</definedName>
    <definedName name="CBCR_e3f0668a06c7417a8c2f994d306b624c" localSheetId="5" hidden="1">'D. Sensivity &amp; Scenario'!$G$32</definedName>
    <definedName name="CBCR_ec56bb5dd87645fe94d7ea040aa128d8" localSheetId="5" hidden="1">'D. Sensivity &amp; Scenario'!$G$33</definedName>
    <definedName name="CBCR_f15de8195fd0485e906bb567869c8620" localSheetId="5" hidden="1">'D. Sensivity &amp; Scenario'!$F$32</definedName>
    <definedName name="CBWorkbookPriority" localSheetId="4" hidden="1">-2856398579979720</definedName>
    <definedName name="CBx_17095aa94e624d4b9d6aefd296a00f0e" localSheetId="4" hidden="1">"'DCF'!$A$1"</definedName>
    <definedName name="CBx_31368b1570094241bbb5c3ea5f8782a6" localSheetId="4" hidden="1">"'CB_DATA_'!$A$1"</definedName>
    <definedName name="CBx_540e9466d2bf4d51b5cc1113dd046a13" localSheetId="4" hidden="1">"'Sensi &amp; Scena analysis'!$A$1"</definedName>
    <definedName name="CBx_Sheet_Guid" localSheetId="1" hidden="1">"'17095aa9-4e62-4d4b-9d6a-efd296a00f0e"</definedName>
    <definedName name="CBx_Sheet_Guid" localSheetId="4" hidden="1">"'31368b15-7009-4241-bbb5-c3ea5f8782a6"</definedName>
    <definedName name="CBx_Sheet_Guid" localSheetId="5" hidden="1">"'540e9466-d2bf-4d51-b5cc-1113dd046a13"</definedName>
    <definedName name="CBx_SheetRef" localSheetId="1" hidden="1">CB_DATA_!$C$14</definedName>
    <definedName name="CBx_SheetRef" localSheetId="4" hidden="1">CB_DATA_!$A$14</definedName>
    <definedName name="CBx_SheetRef" localSheetId="5" hidden="1">CB_DATA_!$B$14</definedName>
    <definedName name="CBx_StorageType" localSheetId="1" hidden="1">2</definedName>
    <definedName name="CBx_StorageType" localSheetId="4" hidden="1">2</definedName>
    <definedName name="CBx_StorageType" localSheetId="5" hidden="1">2</definedName>
    <definedName name="cf_error">'[10]1.Setup'!#REF!</definedName>
    <definedName name="co">#REF!</definedName>
    <definedName name="Co_T1">[12]Thang1!$F$3:$F$156</definedName>
    <definedName name="Co_T10">[12]Thang10!$F$3:$F$137</definedName>
    <definedName name="Co_T11">[12]Thang11!$F$3:$F$154</definedName>
    <definedName name="Co_T12">[12]Thang12!$F$3:$F$159</definedName>
    <definedName name="Co_T2">[12]Thang2!$F$3:$F$169</definedName>
    <definedName name="Co_T3">[12]Thang3!$F$3:$F$211</definedName>
    <definedName name="Co_T4">[12]Thang4!$F$3:$F$179</definedName>
    <definedName name="Co_T5">[12]Thang5!$F$3:$F$179</definedName>
    <definedName name="Co_T6">[12]Thang6!$F$3:$F$175</definedName>
    <definedName name="Co_T7">[12]Thang7!$F$3:$F$143</definedName>
    <definedName name="Co_T8">[12]Thang8!$F$3:$F$145</definedName>
    <definedName name="Co_T9">[12]Thang9!$F$3:$F$180</definedName>
    <definedName name="Co2_T1">[12]Thang1!$I$3:$I$156</definedName>
    <definedName name="Co2_T10">[12]Thang10!$I$3:$I$137</definedName>
    <definedName name="Co2_T11">[12]Thang11!$I$3:$I$154</definedName>
    <definedName name="Co2_T12">[12]Thang12!$I$3:$I$159</definedName>
    <definedName name="Co2_T2">[12]Thang2!$I$3:$I$169</definedName>
    <definedName name="Co2_T3">[12]Thang3!$I$3:$I$211</definedName>
    <definedName name="Co2_T4">[12]Thang4!$I$3:$I$179</definedName>
    <definedName name="Co2_T5">[12]Thang5!$I$3:$I$179</definedName>
    <definedName name="Co2_T6">[12]Thang6!$I$3:$I$175</definedName>
    <definedName name="Co2_T7">[12]Thang7!$I$3:$I$143</definedName>
    <definedName name="Co2_T8">[12]Thang8!$I$3:$I$145</definedName>
    <definedName name="Co2_T9">[12]Thang9!$I$3:$I$180</definedName>
    <definedName name="COAT">'[1]PNT-QUOT-#3'!#REF!</definedName>
    <definedName name="cocon" hidden="1">{#N/A,#N/A,TRUE,"BT M200 da 10x20"}</definedName>
    <definedName name="Code" hidden="1">#REF!</definedName>
    <definedName name="conco" hidden="1">{#N/A,#N/A,TRUE,"BT M200 da 10x20"}</definedName>
    <definedName name="Continue">[11]XL4Poppy!$C$9</definedName>
    <definedName name="countryrisk">#REF!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ty">[13]RA!#REF!</definedName>
    <definedName name="cv" hidden="1">{"'TDTGT (theo Dphuong)'!$A$4:$F$75"}</definedName>
    <definedName name="cx">#REF!</definedName>
    <definedName name="d" hidden="1">#REF!</definedName>
    <definedName name="danhmuc">[14]Danhmuc!$C$4:$C$102</definedName>
    <definedName name="danhsach">[15]ds!$B$2:$B$8</definedName>
    <definedName name="danhsachphongban">[16]dsphongban!$B$4:$B$37</definedName>
    <definedName name="data">#REF!</definedName>
    <definedName name="data1" hidden="1">#REF!</definedName>
    <definedName name="data2" hidden="1">#REF!</definedName>
    <definedName name="data3" hidden="1">#REF!</definedName>
    <definedName name="dd">#REF!</definedName>
    <definedName name="dep">[17]ds!$E$2:$E$55</definedName>
    <definedName name="df" hidden="1">#REF!</definedName>
    <definedName name="dfgfdgfg" hidden="1">{"'Sheet1'!$L$16"}</definedName>
    <definedName name="dfhj" hidden="1">{#N/A,#N/A,TRUE,"BT M200 da 10x20"}</definedName>
    <definedName name="dg">#REF!</definedName>
    <definedName name="dhfu" hidden="1">{#N/A,#N/A,TRUE,"BT M200 da 10x20"}</definedName>
    <definedName name="dien">#REF!</definedName>
    <definedName name="Discount" hidden="1">#REF!</definedName>
    <definedName name="display_area_2" hidden="1">#REF!</definedName>
    <definedName name="dn" hidden="1">{"'TDTGT (theo Dphuong)'!$A$4:$F$75"}</definedName>
    <definedName name="Documents_array">#REF!</definedName>
    <definedName name="doituong">#REF!</definedName>
    <definedName name="dsdfgf" hidden="1">{#N/A,#N/A,FALSE,"Chi tiÆt"}</definedName>
    <definedName name="DSTD_Clear">[0]!DSTD_Clear</definedName>
    <definedName name="dtdatra">#REF!</definedName>
    <definedName name="dtuongptra">#REF!</definedName>
    <definedName name="EPS_F">#REF!</definedName>
    <definedName name="EPS_LY">#REF!</definedName>
    <definedName name="EV">#REF!</definedName>
    <definedName name="ExactAddinConnection" hidden="1">"003"</definedName>
    <definedName name="ExactAddinConnection.002" hidden="1">"CPNT01;003;mengtalekk;1"</definedName>
    <definedName name="ExactAddinConnection.003" hidden="1">"CPNT01;006;mengtalekk;1"</definedName>
    <definedName name="ExactAddinReports" hidden="1">2</definedName>
    <definedName name="FCode" hidden="1">#REF!</definedName>
    <definedName name="fdsgdfgdfg" hidden="1">{#N/A,#N/A,TRUE,"BT M200 da 10x20"}</definedName>
    <definedName name="ffddg">#REF!</definedName>
    <definedName name="ffff" hidden="1">{"'Sheet1'!$L$16"}</definedName>
    <definedName name="fhkfkld" hidden="1">{"'Sheet1'!$L$16"}</definedName>
    <definedName name="fhll" hidden="1">{"'Sheet1'!$L$16"}</definedName>
    <definedName name="fjdfjdff" hidden="1">{#N/A,#N/A,FALSE,"sum";#N/A,#N/A,FALSE,"MARTV";#N/A,#N/A,FALSE,"APRTV"}</definedName>
    <definedName name="fjdk" hidden="1">{"'Sheet1'!$L$16"}</definedName>
    <definedName name="FormulaBalanceSheet">[18]Config!$D$13&amp;"("""&amp;'A. Raw FS'!$F$34&amp;""""&amp;IF(OR('A. Raw FS'!$B$34=13,'A. Raw FS'!$B$34=14),IF([18]Config!$D$36=1,",",";")&amp;'A. Raw FS'!$G$34&amp;IF([18]Config!$D$36=1,",",";")&amp;'A. Raw FS'!$H$34&amp;IF([18]Config!$D$36=1,",",";")&amp;IF('A. Raw FS'!$B$34=13,""""&amp;[18]Config!$D$14&amp;""")",'A. Raw FS'!$E$34&amp;","&amp;'A. Raw FS'!$I$34&amp;")"),")")</definedName>
    <definedName name="FP">'[1]COAT&amp;WRAP-QIOT-#3'!#REF!</definedName>
    <definedName name="frhyejukikikilkilloilliuluiktyu" hidden="1">[6]Sheet1!#REF!</definedName>
    <definedName name="gcm">'[19]gia vt,nc,may'!$H$7:$I$17</definedName>
    <definedName name="gdk" hidden="1">{"'Sheet1'!$L$16"}</definedName>
    <definedName name="gfhll" hidden="1">{"'Sheet1'!$L$16"}</definedName>
    <definedName name="gghj" hidden="1">{#N/A,#N/A,FALSE,"Chi tiÆt"}</definedName>
    <definedName name="ghkfk" hidden="1">{"invbud-1",#N/A,FALSE,"A";"invbud-1CW",#N/A,FALSE,"A";"Desinvesteringen",#N/A,FALSE,"C"}</definedName>
    <definedName name="gjk" hidden="1">{#N/A,#N/A,TRUE,"BT M200 da 10x20"}</definedName>
    <definedName name="h" localSheetId="17" hidden="1">{"'TDTGT (theo Dphuong)'!$A$4:$F$75"}</definedName>
    <definedName name="H">[20]THANHTOAN!#REF!</definedName>
    <definedName name="hab">#REF!</definedName>
    <definedName name="habac">#REF!</definedName>
    <definedName name="Habac1">'[21]7 THAI NGUYEN'!$A$11</definedName>
    <definedName name="HATRUC" hidden="1">{"'Sheet1'!$L$16"}</definedName>
    <definedName name="Hello">#REF!</definedName>
    <definedName name="hhg">#REF!</definedName>
    <definedName name="HiddenRows" hidden="1">#REF!</definedName>
    <definedName name="hjhgjg" hidden="1">{#N/A,#N/A,FALSE,"Chi tiÆt"}</definedName>
    <definedName name="holdingrisk">#REF!</definedName>
    <definedName name="htgjkjljkl" hidden="1">{"'Sheet1'!$L$16"}</definedName>
    <definedName name="HTML_CodePage" localSheetId="17" hidden="1">1252</definedName>
    <definedName name="HTML_CodePage" hidden="1">950</definedName>
    <definedName name="HTML_Control" localSheetId="17" hidden="1">{"'TDTGT (theo Dphuong)'!$A$4:$F$75"}</definedName>
    <definedName name="HTML_Control" hidden="1">{"'Sheet1'!$L$16"}</definedName>
    <definedName name="HTML_Description" hidden="1">""</definedName>
    <definedName name="HTML_Email" localSheetId="17" hidden="1">"cvhoach@www.gso.gov.vn"</definedName>
    <definedName name="HTML_Email" hidden="1">""</definedName>
    <definedName name="HTML_Header" localSheetId="17" hidden="1">"TDTGT (theo Dphuong)"</definedName>
    <definedName name="HTML_Header" hidden="1">"Sheet1"</definedName>
    <definedName name="HTML_LastUpdate" localSheetId="17" hidden="1">"1/21/99"</definedName>
    <definedName name="HTML_LastUpdate" hidden="1">"2000/9/14"</definedName>
    <definedName name="HTML_LineAfter" localSheetId="17" hidden="1">TRUE</definedName>
    <definedName name="HTML_LineAfter" hidden="1">FALSE</definedName>
    <definedName name="HTML_LineBefore" localSheetId="17" hidden="1">TRUE</definedName>
    <definedName name="HTML_LineBefore" hidden="1">FALSE</definedName>
    <definedName name="HTML_Name" localSheetId="17" hidden="1">"PHONG TRONG TROT"</definedName>
    <definedName name="HTML_Name" hidden="1">"J.C.WONG"</definedName>
    <definedName name="HTML_OBDlg2" hidden="1">TRUE</definedName>
    <definedName name="HTML_OBDlg4" hidden="1">TRUE</definedName>
    <definedName name="HTML_OS" hidden="1">0</definedName>
    <definedName name="HTML_PathFile" localSheetId="17" hidden="1">"c:\hoach\thuhTM.htm"</definedName>
    <definedName name="HTML_PathFile" hidden="1">"C:\2689\Q\國內\00q3961台化龍德PTA3建造\MyHTML.htm"</definedName>
    <definedName name="HTML_Title" localSheetId="17" hidden="1">"Sè liÖuu 90-98 Phßng trång trät"</definedName>
    <definedName name="HTML_Title" hidden="1">"00Q3961-SUM"</definedName>
    <definedName name="HTTK">'[22]He thong tai khoan'!$B$2:$C$57</definedName>
    <definedName name="huy" hidden="1">{"'Sheet1'!$L$16"}</definedName>
    <definedName name="i" hidden="1">{#N/A,#N/A,FALSE,"Chung"}</definedName>
    <definedName name="index">'[10]1.Setup'!$C$11</definedName>
    <definedName name="IO">'[1]COAT&amp;WRAP-QIOT-#3'!#REF!</definedName>
    <definedName name="jdjdjdjd" hidden="1">{#N/A,#N/A,FALSE,"sum";#N/A,#N/A,FALSE,"MARTV";#N/A,#N/A,FALSE,"APRTV"}</definedName>
    <definedName name="JKFHJK" hidden="1">{"invbud-1",#N/A,FALSE,"A";"invbud-1CW",#N/A,FALSE,"A";"Desinvesteringen",#N/A,FALSE,"C"}</definedName>
    <definedName name="k10000000000">#REF!</definedName>
    <definedName name="KHSX" hidden="1">{"'Sheet1'!$L$16"}</definedName>
    <definedName name="kjh" hidden="1">{#N/A,#N/A,FALSE,"Chung"}</definedName>
    <definedName name="kjhjfhdjkfndfndf">#REF!</definedName>
    <definedName name="KQHDKD">#REF!</definedName>
    <definedName name="KT">[20]THANHTOAN!#REF!</definedName>
    <definedName name="L41800000">#REF!</definedName>
    <definedName name="lan" hidden="1">{#N/A,#N/A,TRUE,"BT M200 da 10x20"}</definedName>
    <definedName name="LCTT_TT_page1">#REF!</definedName>
    <definedName name="LCTT_TT_page2">#REF!</definedName>
    <definedName name="leha" hidden="1">{"'Sheet1'!$L$16"}</definedName>
    <definedName name="liquidityrisk">#REF!</definedName>
    <definedName name="ln">[23]NHAP!$I:$I</definedName>
    <definedName name="lungtung" hidden="1">{"'Sheet1'!$L$16"}</definedName>
    <definedName name="m" hidden="1">{"'TDTGT (theo Dphuong)'!$A$4:$F$75"}</definedName>
    <definedName name="Ma_N">#REF!</definedName>
    <definedName name="masongay">#REF!</definedName>
    <definedName name="masonhap">[24]nhap!$G:$G</definedName>
    <definedName name="MAT">'[1]COAT&amp;WRAP-QIOT-#3'!#REF!</definedName>
    <definedName name="mc">#REF!</definedName>
    <definedName name="mdgkd" hidden="1">{"'Sheet1'!$L$16"}</definedName>
    <definedName name="MF">'[1]COAT&amp;WRAP-QIOT-#3'!#REF!</definedName>
    <definedName name="mnh">'[25]2.74'!#REF!</definedName>
    <definedName name="mrn.inv._.budget" hidden="1">{"invbud-1",#N/A,FALSE,"A";"invbud-1CW",#N/A,FALSE,"A";"Desinvesteringen",#N/A,FALSE,"C"}</definedName>
    <definedName name="msn">#REF!</definedName>
    <definedName name="msngay">#REF!</definedName>
    <definedName name="n">'[25]2.74'!#REF!</definedName>
    <definedName name="ngay">#REF!</definedName>
    <definedName name="Ngay_CT">'[26]Nhat ky chung'!#REF!</definedName>
    <definedName name="Ngay_N">#REF!</definedName>
    <definedName name="ngay23" hidden="1">{"'Sheet1'!$L$16"}</definedName>
    <definedName name="NGHIMAT">#REF!</definedName>
    <definedName name="nhan">#REF!</definedName>
    <definedName name="Nhan_xet_cua_dai">"Picture 1"</definedName>
    <definedName name="no">#REF!</definedName>
    <definedName name="No_T1">[12]Thang1!$E$3:$E$156</definedName>
    <definedName name="No_T10">[12]Thang10!$E$3:$E$137</definedName>
    <definedName name="No_T11">[12]Thang11!$E$3:$E$154</definedName>
    <definedName name="No_T12">[12]Thang12!$E$3:$E$159</definedName>
    <definedName name="No_T2">[12]Thang2!$E$3:$E$169</definedName>
    <definedName name="No_T3">[12]Thang3!$E$3:$E$211</definedName>
    <definedName name="No_T4">[12]Thang4!$E$3:$E$179</definedName>
    <definedName name="No_T5">[12]Thang5!$E$3:$E$179</definedName>
    <definedName name="No_T6">[12]Thang6!$E$3:$E$175</definedName>
    <definedName name="No_T7">[12]Thang7!$E$3:$E$143</definedName>
    <definedName name="No_T8">[12]Thang8!$E$3:$E$145</definedName>
    <definedName name="No_T9">[12]Thang9!$E$3:$E$180</definedName>
    <definedName name="No2_T1">[12]Thang1!$H$3:$H$156</definedName>
    <definedName name="No2_T10">[12]Thang10!$H$3:$H$137</definedName>
    <definedName name="No2_T11">[12]Thang11!$H$3:$H$154</definedName>
    <definedName name="No2_T12">[12]Thang12!$H$3:$H$159</definedName>
    <definedName name="No2_T2">[12]Thang2!$H$3:$H$169</definedName>
    <definedName name="No2_T3">[12]Thang3!$H$3:$H$211</definedName>
    <definedName name="No2_T4">[12]Thang4!$H$3:$H$179</definedName>
    <definedName name="No2_T5">[12]Thang5!$H$3:$H$179</definedName>
    <definedName name="No2_T6">[12]Thang6!$H$3:$H$175</definedName>
    <definedName name="No2_T7">[12]Thang7!$H$3:$H$143</definedName>
    <definedName name="No2_T8">[12]Thang8!$H$3:$H$145</definedName>
    <definedName name="No2_T9">[12]Thang9!$H$3:$H$180</definedName>
    <definedName name="NOIBO">#REF!</definedName>
    <definedName name="nuoc">#REF!</definedName>
    <definedName name="NV">#REF!</definedName>
    <definedName name="oanh" hidden="1">{#N/A,#N/A,FALSE,"Chung"}</definedName>
    <definedName name="OrderTable" hidden="1">#REF!</definedName>
    <definedName name="P">'[1]PNT-QUOT-#3'!#REF!</definedName>
    <definedName name="pe_high">#REF!</definedName>
    <definedName name="pe_low">#REF!</definedName>
    <definedName name="PEJM">'[1]COAT&amp;WRAP-QIOT-#3'!#REF!</definedName>
    <definedName name="PF">'[1]PNT-QUOT-#3'!#REF!</definedName>
    <definedName name="phaitra">#REF!</definedName>
    <definedName name="phanphu" hidden="1">{#N/A,#N/A,FALSE,"Chi tiÆt"}</definedName>
    <definedName name="phu" hidden="1">{"'Sheet1'!$L$16"}</definedName>
    <definedName name="phuphan" hidden="1">{"'Sheet1'!$L$16"}</definedName>
    <definedName name="PM">[27]IBASE!$AH$16:$AV$110</definedName>
    <definedName name="_xlnm.Print_Area">#REF!</definedName>
    <definedName name="Print_Area_MI">[28]ESTI.!$A$1:$U$52</definedName>
    <definedName name="_xlnm.Print_Titles" localSheetId="17">'[29]TiÕn ®é thùc hiÖn KC'!#REF!</definedName>
    <definedName name="_xlnm.Print_Titles">#N/A</definedName>
    <definedName name="ProdForm" hidden="1">#REF!</definedName>
    <definedName name="Product" hidden="1">#REF!</definedName>
    <definedName name="pt">#REF!</definedName>
    <definedName name="PtichDTL">[0]!PtichDTL</definedName>
    <definedName name="ptr">#REF!</definedName>
    <definedName name="ptvt">'[30]ma-pt'!$A$6:$IV$228</definedName>
    <definedName name="qưeqwrqw" hidden="1">{#N/A,#N/A,FALSE,"Chung"}</definedName>
    <definedName name="RCArea" hidden="1">#REF!</definedName>
    <definedName name="RT">'[1]COAT&amp;WRAP-QIOT-#3'!#REF!</definedName>
    <definedName name="SAPBEXrevision" hidden="1">7</definedName>
    <definedName name="SAPBEXsysID" hidden="1">"P57"</definedName>
    <definedName name="SAPBEXwbID" hidden="1">"3JX5BV41R2KVEX9FV6LB6ZNYC"</definedName>
    <definedName name="SB">[27]IBASE!$AH$7:$AL$14</definedName>
    <definedName name="sdhg" hidden="1">{"'Sheet1'!$L$16"}</definedName>
    <definedName name="sdhgjhdg" hidden="1">{"'Sheet1'!$L$16"}</definedName>
    <definedName name="sdjgjk" hidden="1">{"'Sheet1'!$L$16"}</definedName>
    <definedName name="Sensitivity">#REF!</definedName>
    <definedName name="sff" hidden="1">{"'Sheet1'!$L$16"}</definedName>
    <definedName name="shares">#REF!</definedName>
    <definedName name="SL_N">#REF!</definedName>
    <definedName name="So_PS">'[26]Nhat ky chung'!#REF!</definedName>
    <definedName name="solver_adj" localSheetId="1" hidden="1">'A. FCFF'!$M$34</definedName>
    <definedName name="solver_adj" localSheetId="7" hidden="1">'A. FS'!$AX$102</definedName>
    <definedName name="solver_adj" localSheetId="8" hidden="1">'B. Sales &amp; COGS'!$T$94</definedName>
    <definedName name="solver_adj" localSheetId="11" hidden="1">'E. Non-ICT'!#REF!</definedName>
    <definedName name="solver_cvg" localSheetId="1" hidden="1">0.0001</definedName>
    <definedName name="solver_cvg" localSheetId="7" hidden="1">0.0001</definedName>
    <definedName name="solver_cvg" localSheetId="8" hidden="1">0.0001</definedName>
    <definedName name="solver_cvg" localSheetId="11" hidden="1">0.0001</definedName>
    <definedName name="solver_drv" localSheetId="1" hidden="1">1</definedName>
    <definedName name="solver_drv" localSheetId="7" hidden="1">2</definedName>
    <definedName name="solver_drv" localSheetId="8" hidden="1">1</definedName>
    <definedName name="solver_drv" localSheetId="11" hidden="1">1</definedName>
    <definedName name="solver_eng" localSheetId="1" hidden="1">1</definedName>
    <definedName name="solver_eng" localSheetId="7" hidden="1">1</definedName>
    <definedName name="solver_eng" localSheetId="8" hidden="1">1</definedName>
    <definedName name="solver_eng" localSheetId="11" hidden="1">1</definedName>
    <definedName name="solver_est" localSheetId="1" hidden="1">1</definedName>
    <definedName name="solver_est" localSheetId="7" hidden="1">1</definedName>
    <definedName name="solver_est" localSheetId="8" hidden="1">1</definedName>
    <definedName name="solver_est" localSheetId="11" hidden="1">1</definedName>
    <definedName name="solver_itr" localSheetId="1" hidden="1">2147483647</definedName>
    <definedName name="solver_itr" localSheetId="7" hidden="1">2147483647</definedName>
    <definedName name="solver_itr" localSheetId="8" hidden="1">2147483647</definedName>
    <definedName name="solver_itr" localSheetId="11" hidden="1">2147483647</definedName>
    <definedName name="solver_lhs1" localSheetId="7" hidden="1">'A. FS'!$O$137:$S$137</definedName>
    <definedName name="solver_lhs1" localSheetId="8" hidden="1">'B. Sales &amp; COGS'!$I$282:$M$282</definedName>
    <definedName name="solver_lhs1" localSheetId="11" hidden="1">'E. Non-ICT'!#REF!</definedName>
    <definedName name="solver_lhs2" localSheetId="8" hidden="1">'B. Sales &amp; COGS'!$I$282:$M$282</definedName>
    <definedName name="solver_lhs2" localSheetId="11" hidden="1">'E. Non-ICT'!#REF!</definedName>
    <definedName name="solver_lhs3" localSheetId="8" hidden="1">'B. Sales &amp; COGS'!$M$299</definedName>
    <definedName name="solver_lhs3" localSheetId="11" hidden="1">'E. Non-ICT'!#REF!</definedName>
    <definedName name="solver_lhs4" localSheetId="8" hidden="1">'B. Sales &amp; COGS'!$M$299</definedName>
    <definedName name="solver_lhs4" localSheetId="11" hidden="1">'E. Non-ICT'!#REF!</definedName>
    <definedName name="solver_mip" localSheetId="1" hidden="1">2147483647</definedName>
    <definedName name="solver_mip" localSheetId="7" hidden="1">2147483647</definedName>
    <definedName name="solver_mip" localSheetId="8" hidden="1">2147483647</definedName>
    <definedName name="solver_mip" localSheetId="11" hidden="1">2147483647</definedName>
    <definedName name="solver_mni" localSheetId="1" hidden="1">30</definedName>
    <definedName name="solver_mni" localSheetId="7" hidden="1">30</definedName>
    <definedName name="solver_mni" localSheetId="8" hidden="1">30</definedName>
    <definedName name="solver_mni" localSheetId="11" hidden="1">30</definedName>
    <definedName name="solver_mrt" localSheetId="1" hidden="1">0.075</definedName>
    <definedName name="solver_mrt" localSheetId="7" hidden="1">0.075</definedName>
    <definedName name="solver_mrt" localSheetId="8" hidden="1">0.075</definedName>
    <definedName name="solver_mrt" localSheetId="11" hidden="1">0.075</definedName>
    <definedName name="solver_msl" localSheetId="1" hidden="1">2</definedName>
    <definedName name="solver_msl" localSheetId="7" hidden="1">2</definedName>
    <definedName name="solver_msl" localSheetId="8" hidden="1">2</definedName>
    <definedName name="solver_msl" localSheetId="11" hidden="1">2</definedName>
    <definedName name="solver_neg" localSheetId="1" hidden="1">1</definedName>
    <definedName name="solver_neg" localSheetId="7" hidden="1">1</definedName>
    <definedName name="solver_neg" localSheetId="8" hidden="1">1</definedName>
    <definedName name="solver_neg" localSheetId="11" hidden="1">1</definedName>
    <definedName name="solver_nod" localSheetId="1" hidden="1">2147483647</definedName>
    <definedName name="solver_nod" localSheetId="7" hidden="1">2147483647</definedName>
    <definedName name="solver_nod" localSheetId="8" hidden="1">2147483647</definedName>
    <definedName name="solver_nod" localSheetId="11" hidden="1">2147483647</definedName>
    <definedName name="solver_num" localSheetId="1" hidden="1">0</definedName>
    <definedName name="solver_num" localSheetId="7" hidden="1">0</definedName>
    <definedName name="solver_num" localSheetId="8" hidden="1">0</definedName>
    <definedName name="solver_num" localSheetId="11" hidden="1">0</definedName>
    <definedName name="solver_nwt" localSheetId="1" hidden="1">1</definedName>
    <definedName name="solver_nwt" localSheetId="7" hidden="1">1</definedName>
    <definedName name="solver_nwt" localSheetId="8" hidden="1">1</definedName>
    <definedName name="solver_nwt" localSheetId="11" hidden="1">1</definedName>
    <definedName name="solver_opt" localSheetId="1" hidden="1">'A. FCFF'!$L$34</definedName>
    <definedName name="solver_opt" localSheetId="7" hidden="1">'A. FS'!$AZ$137</definedName>
    <definedName name="solver_opt" localSheetId="8" hidden="1">'B. Sales &amp; COGS'!$U$94</definedName>
    <definedName name="solver_opt" localSheetId="11" hidden="1">'E. Non-ICT'!#REF!</definedName>
    <definedName name="solver_pre" localSheetId="1" hidden="1">0.000001</definedName>
    <definedName name="solver_pre" localSheetId="7" hidden="1">0.000001</definedName>
    <definedName name="solver_pre" localSheetId="8" hidden="1">0.000001</definedName>
    <definedName name="solver_pre" localSheetId="11" hidden="1">0.000001</definedName>
    <definedName name="solver_rbv" localSheetId="1" hidden="1">1</definedName>
    <definedName name="solver_rbv" localSheetId="7" hidden="1">2</definedName>
    <definedName name="solver_rbv" localSheetId="8" hidden="1">1</definedName>
    <definedName name="solver_rbv" localSheetId="11" hidden="1">1</definedName>
    <definedName name="solver_rel1" localSheetId="7" hidden="1">2</definedName>
    <definedName name="solver_rel1" localSheetId="8" hidden="1">2</definedName>
    <definedName name="solver_rel1" localSheetId="11" hidden="1">2</definedName>
    <definedName name="solver_rel2" localSheetId="8" hidden="1">2</definedName>
    <definedName name="solver_rel2" localSheetId="11" hidden="1">2</definedName>
    <definedName name="solver_rel3" localSheetId="8" hidden="1">1</definedName>
    <definedName name="solver_rel3" localSheetId="11" hidden="1">1</definedName>
    <definedName name="solver_rel4" localSheetId="8" hidden="1">1</definedName>
    <definedName name="solver_rel4" localSheetId="11" hidden="1">1</definedName>
    <definedName name="solver_rhs1" localSheetId="7" hidden="1">0</definedName>
    <definedName name="solver_rhs1" localSheetId="8" hidden="1">0</definedName>
    <definedName name="solver_rhs1" localSheetId="11" hidden="1">0</definedName>
    <definedName name="solver_rhs2" localSheetId="8" hidden="1">0</definedName>
    <definedName name="solver_rhs2" localSheetId="11" hidden="1">0</definedName>
    <definedName name="solver_rhs3" localSheetId="8" hidden="1">0</definedName>
    <definedName name="solver_rhs3" localSheetId="11" hidden="1">0</definedName>
    <definedName name="solver_rhs4" localSheetId="8" hidden="1">0</definedName>
    <definedName name="solver_rhs4" localSheetId="11" hidden="1">0</definedName>
    <definedName name="solver_rlx" localSheetId="1" hidden="1">2</definedName>
    <definedName name="solver_rlx" localSheetId="7" hidden="1">2</definedName>
    <definedName name="solver_rlx" localSheetId="8" hidden="1">2</definedName>
    <definedName name="solver_rlx" localSheetId="11" hidden="1">2</definedName>
    <definedName name="solver_rsd" localSheetId="1" hidden="1">0</definedName>
    <definedName name="solver_rsd" localSheetId="7" hidden="1">0</definedName>
    <definedName name="solver_rsd" localSheetId="8" hidden="1">0</definedName>
    <definedName name="solver_rsd" localSheetId="11" hidden="1">0</definedName>
    <definedName name="solver_scl" localSheetId="1" hidden="1">1</definedName>
    <definedName name="solver_scl" localSheetId="7" hidden="1">2</definedName>
    <definedName name="solver_scl" localSheetId="8" hidden="1">1</definedName>
    <definedName name="solver_scl" localSheetId="11" hidden="1">1</definedName>
    <definedName name="solver_sho" localSheetId="1" hidden="1">2</definedName>
    <definedName name="solver_sho" localSheetId="7" hidden="1">2</definedName>
    <definedName name="solver_sho" localSheetId="8" hidden="1">2</definedName>
    <definedName name="solver_sho" localSheetId="11" hidden="1">2</definedName>
    <definedName name="solver_ssz" localSheetId="1" hidden="1">100</definedName>
    <definedName name="solver_ssz" localSheetId="7" hidden="1">100</definedName>
    <definedName name="solver_ssz" localSheetId="8" hidden="1">100</definedName>
    <definedName name="solver_ssz" localSheetId="11" hidden="1">100</definedName>
    <definedName name="solver_tim" localSheetId="1" hidden="1">2147483647</definedName>
    <definedName name="solver_tim" localSheetId="7" hidden="1">2147483647</definedName>
    <definedName name="solver_tim" localSheetId="8" hidden="1">2147483647</definedName>
    <definedName name="solver_tim" localSheetId="11" hidden="1">2147483647</definedName>
    <definedName name="solver_tol" localSheetId="1" hidden="1">0.01</definedName>
    <definedName name="solver_tol" localSheetId="7" hidden="1">0.01</definedName>
    <definedName name="solver_tol" localSheetId="8" hidden="1">0.01</definedName>
    <definedName name="solver_tol" localSheetId="11" hidden="1">0.01</definedName>
    <definedName name="solver_typ" localSheetId="1" hidden="1">3</definedName>
    <definedName name="solver_typ" localSheetId="7" hidden="1">3</definedName>
    <definedName name="solver_typ" localSheetId="8" hidden="1">1</definedName>
    <definedName name="solver_typ" localSheetId="11" hidden="1">1</definedName>
    <definedName name="solver_val" localSheetId="1" hidden="1">0</definedName>
    <definedName name="solver_val" localSheetId="7" hidden="1">0</definedName>
    <definedName name="solver_val" localSheetId="8" hidden="1">0</definedName>
    <definedName name="solver_val" localSheetId="11" hidden="1">0</definedName>
    <definedName name="solver_ver" localSheetId="1" hidden="1">3</definedName>
    <definedName name="solver_ver" localSheetId="7" hidden="1">3</definedName>
    <definedName name="solver_ver" localSheetId="8" hidden="1">3</definedName>
    <definedName name="solver_ver" localSheetId="11" hidden="1">3</definedName>
    <definedName name="SORT">#REF!</definedName>
    <definedName name="SORT_AREA">'[28]DI-ESTI'!$A$8:$R$489</definedName>
    <definedName name="sotien">#REF!</definedName>
    <definedName name="Sotien_T1">[12]Thang1!$G$3:$G$156</definedName>
    <definedName name="Sotien_T10">[12]Thang10!$G$3:$G$137</definedName>
    <definedName name="Sotien_T11">[12]Thang11!$G$3:$G$154</definedName>
    <definedName name="Sotien_T12">[12]Thang12!$G$3:$G$159</definedName>
    <definedName name="Sotien_T2">[12]Thang2!$G$3:$G$169</definedName>
    <definedName name="Sotien_T3">[12]Thang3!$G$3:$G$211</definedName>
    <definedName name="Sotien_T4">[12]Thang4!$G$3:$G$179</definedName>
    <definedName name="Sotien_T5">[12]Thang5!$G$3:$G$179</definedName>
    <definedName name="Sotien_T6">[12]Thang6!$G$3:$G$175</definedName>
    <definedName name="Sotien_T7">[12]Thang7!$G$3:$G$143</definedName>
    <definedName name="Sotien_T8">[12]Thang8!$G$3:$G$145</definedName>
    <definedName name="Sotien_T9">[12]Thang9!$G$3:$G$180</definedName>
    <definedName name="SP">'[1]PNT-QUOT-#3'!#REF!</definedName>
    <definedName name="SpecialPrice" hidden="1">#REF!</definedName>
    <definedName name="sss">#REF!</definedName>
    <definedName name="stdathu">#REF!</definedName>
    <definedName name="stdatra">#REF!</definedName>
    <definedName name="sthung">[23]NHAP!$J:$J</definedName>
    <definedName name="stien">[13]RA!#REF!</definedName>
    <definedName name="stphaitra">#REF!</definedName>
    <definedName name="stptra">#REF!</definedName>
    <definedName name="TBA">#REF!</definedName>
    <definedName name="tbl_ProdInfo" hidden="1">#REF!</definedName>
    <definedName name="td">#REF!</definedName>
    <definedName name="terminal_g">#REF!</definedName>
    <definedName name="TG">#REF!</definedName>
    <definedName name="th_bl">#REF!</definedName>
    <definedName name="THAN" hidden="1">{"'Sheet1'!$L$16"}</definedName>
    <definedName name="thang" hidden="1">{"'Sheet1'!$L$16"}</definedName>
    <definedName name="thanh" localSheetId="17" hidden="1">{"'TDTGT (theo Dphuong)'!$A$4:$F$75"}</definedName>
    <definedName name="THANH">#REF!</definedName>
    <definedName name="THK">'[1]COAT&amp;WRAP-QIOT-#3'!#REF!</definedName>
    <definedName name="thoigian">#REF!</definedName>
    <definedName name="THUE">#REF!</definedName>
    <definedName name="ticker">'[10]1.Setup'!$C$10</definedName>
    <definedName name="tien">#REF!</definedName>
    <definedName name="tiendatra">#REF!</definedName>
    <definedName name="TK_Co">'[26]Nhat ky chung'!#REF!</definedName>
    <definedName name="TK_No">'[26]Nhat ky chung'!#REF!</definedName>
    <definedName name="TMBLCSG">#REF!</definedName>
    <definedName name="tn">[23]NHAP!$K:$K</definedName>
    <definedName name="Tnghiep" hidden="1">{"'TDTGT (theo Dphuong)'!$A$4:$F$75"}</definedName>
    <definedName name="tp" hidden="1">{#N/A,#N/A,TRUE,"BT M200 da 10x20"}</definedName>
    <definedName name="trghjyjuytjyujiukiuloilkaefcaedafcdfdwfdwefefrdfwfwqfewf" hidden="1">#REF!</definedName>
    <definedName name="truc" hidden="1">{"'Sheet1'!$L$16"}</definedName>
    <definedName name="TS">#REF!</definedName>
    <definedName name="TSNB">#REF!</definedName>
    <definedName name="ttt">#REF!</definedName>
    <definedName name="txuat">[23]XUAT!$I:$I</definedName>
    <definedName name="uyen" hidden="1">{#N/A,#N/A,TRUE,"BT M200 da 10x20"}</definedName>
    <definedName name="uyuirh" hidden="1">{#N/A,#N/A,FALSE,"Chi tiÆt"}</definedName>
    <definedName name="Vat">0.02</definedName>
    <definedName name="vfff">#REF!</definedName>
    <definedName name="vn">#REF!</definedName>
    <definedName name="vv" hidden="1">{"'TDTGT (theo Dphuong)'!$A$4:$F$75"}</definedName>
    <definedName name="VVVVVV" hidden="1">{"'Sheet1'!$L$16"}</definedName>
    <definedName name="WACC">#REF!</definedName>
    <definedName name="wrn.BAOCAO." hidden="1">{#N/A,#N/A,FALSE,"sum";#N/A,#N/A,FALSE,"MARTV";#N/A,#N/A,FALSE,"APRTV"}</definedName>
    <definedName name="wrn.chi._.tiÆt." hidden="1">{#N/A,#N/A,FALSE,"Chi tiÆt"}</definedName>
    <definedName name="wrn.inv._.budget." hidden="1">{"invbud-1",#N/A,FALSE,"A";"invbud-1CW",#N/A,FALSE,"A";"Desinvesteringen",#N/A,FALSE,"C"}</definedName>
    <definedName name="wrn.thu." hidden="1">{#N/A,#N/A,FALSE,"Chung"}</definedName>
    <definedName name="wrn.vd." hidden="1">{#N/A,#N/A,TRUE,"BT M200 da 10x20"}</definedName>
    <definedName name="xd">'[31]7 THAI NGUYEN'!$A$11</definedName>
    <definedName name="xsx">#REF!</definedName>
    <definedName name="year">'[10]1.Setup'!$C$12</definedName>
    <definedName name="ZYX">#REF!</definedName>
    <definedName name="ZZZ">#REF!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4" i="5" l="1"/>
  <c r="N90" i="5"/>
  <c r="O90" i="5"/>
  <c r="P15" i="6"/>
  <c r="Q15" i="6"/>
  <c r="R15" i="6"/>
  <c r="S15" i="6"/>
  <c r="O15" i="6"/>
  <c r="O14" i="6"/>
  <c r="P14" i="6"/>
  <c r="Q14" i="6"/>
  <c r="R14" i="6"/>
  <c r="S14" i="6"/>
  <c r="I13" i="20"/>
  <c r="J13" i="20"/>
  <c r="K13" i="20"/>
  <c r="L13" i="20"/>
  <c r="M13" i="20"/>
  <c r="I14" i="20"/>
  <c r="J14" i="20"/>
  <c r="K14" i="20"/>
  <c r="L14" i="20"/>
  <c r="M14" i="20"/>
  <c r="R62" i="6"/>
  <c r="S62" i="6" s="1"/>
  <c r="P62" i="6"/>
  <c r="R63" i="6"/>
  <c r="S63" i="6" s="1"/>
  <c r="O63" i="6" s="1"/>
  <c r="R60" i="6"/>
  <c r="S60" i="6" s="1"/>
  <c r="P60" i="6"/>
  <c r="C242" i="10"/>
  <c r="AU5" i="5"/>
  <c r="AU7" i="5" s="1"/>
  <c r="M5" i="5"/>
  <c r="M7" i="5"/>
  <c r="F49" i="10"/>
  <c r="F48" i="10"/>
  <c r="M312" i="6"/>
  <c r="M313" i="6" s="1"/>
  <c r="I312" i="6" s="1"/>
  <c r="M311" i="6"/>
  <c r="M314" i="6" s="1"/>
  <c r="P312" i="6"/>
  <c r="Q312" i="6"/>
  <c r="R312" i="6"/>
  <c r="S312" i="6"/>
  <c r="P313" i="6"/>
  <c r="Q313" i="6"/>
  <c r="R313" i="6"/>
  <c r="S313" i="6"/>
  <c r="O313" i="6"/>
  <c r="O312" i="6"/>
  <c r="P38" i="27"/>
  <c r="Q38" i="27" s="1"/>
  <c r="R38" i="27" s="1"/>
  <c r="S38" i="27" s="1"/>
  <c r="O38" i="27"/>
  <c r="N17" i="27"/>
  <c r="O17" i="27" s="1"/>
  <c r="P17" i="27" s="1"/>
  <c r="Q17" i="27" s="1"/>
  <c r="R17" i="27" s="1"/>
  <c r="S17" i="27" s="1"/>
  <c r="O53" i="27"/>
  <c r="P53" i="27" s="1"/>
  <c r="R13" i="17"/>
  <c r="S13" i="17" s="1"/>
  <c r="T13" i="17" s="1"/>
  <c r="U13" i="17" s="1"/>
  <c r="V13" i="17"/>
  <c r="P21" i="27"/>
  <c r="N16" i="27"/>
  <c r="D115" i="3"/>
  <c r="E115" i="3"/>
  <c r="F115" i="3"/>
  <c r="G115" i="3"/>
  <c r="H115" i="3"/>
  <c r="M18" i="27"/>
  <c r="N18" i="20"/>
  <c r="M167" i="10"/>
  <c r="M166" i="10"/>
  <c r="M112" i="10"/>
  <c r="I112" i="10" s="1"/>
  <c r="J112" i="10" s="1"/>
  <c r="K112" i="10" s="1"/>
  <c r="L112" i="10" s="1"/>
  <c r="M101" i="10"/>
  <c r="K311" i="6" l="1"/>
  <c r="L311" i="6"/>
  <c r="J311" i="6"/>
  <c r="I311" i="6"/>
  <c r="L312" i="6"/>
  <c r="K312" i="6"/>
  <c r="J312" i="6"/>
  <c r="U22" i="27"/>
  <c r="O66" i="6"/>
  <c r="P66" i="6" s="1"/>
  <c r="Q66" i="6" s="1"/>
  <c r="R66" i="6" s="1"/>
  <c r="O65" i="6"/>
  <c r="P65" i="6" s="1"/>
  <c r="Q65" i="6" s="1"/>
  <c r="R65" i="6" s="1"/>
  <c r="O64" i="6"/>
  <c r="P64" i="6" s="1"/>
  <c r="Q64" i="6" s="1"/>
  <c r="R64" i="6" s="1"/>
  <c r="S66" i="6"/>
  <c r="S65" i="6"/>
  <c r="S64" i="6"/>
  <c r="R61" i="6"/>
  <c r="S61" i="6" s="1"/>
  <c r="P61" i="6"/>
  <c r="Q25" i="5" l="1"/>
  <c r="R25" i="5" s="1"/>
  <c r="S25" i="5" s="1"/>
  <c r="U13" i="24"/>
  <c r="O95" i="6"/>
  <c r="O62" i="10"/>
  <c r="O65" i="10"/>
  <c r="O68" i="10"/>
  <c r="O69" i="10"/>
  <c r="O70" i="10"/>
  <c r="O71" i="10"/>
  <c r="O74" i="10"/>
  <c r="D181" i="10"/>
  <c r="O100" i="6"/>
  <c r="M35" i="27"/>
  <c r="M50" i="27"/>
  <c r="P94" i="14"/>
  <c r="O94" i="14"/>
  <c r="K96" i="10"/>
  <c r="L96" i="10" s="1"/>
  <c r="Q51" i="20"/>
  <c r="R51" i="20" s="1"/>
  <c r="Q54" i="20"/>
  <c r="R54" i="20" s="1"/>
  <c r="O22" i="20"/>
  <c r="O21" i="20"/>
  <c r="O23" i="20"/>
  <c r="P23" i="20"/>
  <c r="Q23" i="20" s="1"/>
  <c r="R23" i="20" s="1"/>
  <c r="N23" i="20"/>
  <c r="Q20" i="20"/>
  <c r="R20" i="20" s="1"/>
  <c r="N21" i="20"/>
  <c r="N22" i="20" s="1"/>
  <c r="M49" i="20"/>
  <c r="K60" i="27"/>
  <c r="K216" i="6" s="1"/>
  <c r="L60" i="27"/>
  <c r="L216" i="6" s="1"/>
  <c r="M60" i="27"/>
  <c r="M216" i="6" s="1"/>
  <c r="J60" i="27"/>
  <c r="J216" i="6" s="1"/>
  <c r="I210" i="6"/>
  <c r="N213" i="6"/>
  <c r="O213" i="6"/>
  <c r="S213" i="6"/>
  <c r="N214" i="6"/>
  <c r="O214" i="6"/>
  <c r="S214" i="6"/>
  <c r="J208" i="6"/>
  <c r="K208" i="6"/>
  <c r="L208" i="6"/>
  <c r="M208" i="6"/>
  <c r="I194" i="6"/>
  <c r="J194" i="6"/>
  <c r="K194" i="6"/>
  <c r="L194" i="6"/>
  <c r="I195" i="6"/>
  <c r="N195" i="6"/>
  <c r="I197" i="6"/>
  <c r="I198" i="6"/>
  <c r="J198" i="6"/>
  <c r="K198" i="6"/>
  <c r="L198" i="6"/>
  <c r="M198" i="6"/>
  <c r="N198" i="6"/>
  <c r="O198" i="6"/>
  <c r="S198" i="6"/>
  <c r="I199" i="6"/>
  <c r="J199" i="6"/>
  <c r="K199" i="6"/>
  <c r="L199" i="6"/>
  <c r="M199" i="6"/>
  <c r="N199" i="6"/>
  <c r="O199" i="6"/>
  <c r="S199" i="6"/>
  <c r="J193" i="6"/>
  <c r="K193" i="6"/>
  <c r="L193" i="6"/>
  <c r="M193" i="6"/>
  <c r="I193" i="6"/>
  <c r="I12" i="6" s="1"/>
  <c r="I188" i="6"/>
  <c r="J188" i="6"/>
  <c r="K188" i="6"/>
  <c r="L188" i="6"/>
  <c r="M188" i="6"/>
  <c r="I174" i="6"/>
  <c r="I176" i="6"/>
  <c r="J176" i="6"/>
  <c r="K176" i="6"/>
  <c r="L176" i="6"/>
  <c r="I177" i="6"/>
  <c r="J177" i="6"/>
  <c r="K177" i="6"/>
  <c r="L177" i="6"/>
  <c r="N177" i="6"/>
  <c r="O177" i="6"/>
  <c r="S177" i="6"/>
  <c r="I178" i="6"/>
  <c r="J178" i="6"/>
  <c r="K178" i="6"/>
  <c r="L178" i="6"/>
  <c r="M178" i="6"/>
  <c r="N178" i="6"/>
  <c r="O178" i="6"/>
  <c r="S178" i="6"/>
  <c r="I179" i="6"/>
  <c r="J179" i="6"/>
  <c r="K179" i="6"/>
  <c r="L179" i="6"/>
  <c r="N179" i="6"/>
  <c r="O179" i="6"/>
  <c r="S179" i="6"/>
  <c r="I180" i="6"/>
  <c r="J180" i="6"/>
  <c r="K180" i="6"/>
  <c r="L180" i="6"/>
  <c r="M180" i="6"/>
  <c r="N180" i="6"/>
  <c r="O180" i="6"/>
  <c r="S180" i="6"/>
  <c r="I181" i="6"/>
  <c r="J181" i="6"/>
  <c r="K181" i="6"/>
  <c r="L181" i="6"/>
  <c r="M181" i="6"/>
  <c r="N181" i="6"/>
  <c r="O181" i="6"/>
  <c r="S181" i="6"/>
  <c r="I183" i="6"/>
  <c r="J183" i="6"/>
  <c r="K183" i="6"/>
  <c r="I184" i="6"/>
  <c r="J184" i="6"/>
  <c r="K184" i="6"/>
  <c r="L184" i="6"/>
  <c r="M184" i="6"/>
  <c r="I185" i="6"/>
  <c r="J185" i="6"/>
  <c r="K185" i="6"/>
  <c r="L185" i="6"/>
  <c r="M185" i="6"/>
  <c r="I186" i="6"/>
  <c r="J186" i="6"/>
  <c r="K186" i="6"/>
  <c r="L186" i="6"/>
  <c r="M186" i="6"/>
  <c r="I187" i="6"/>
  <c r="J187" i="6"/>
  <c r="K187" i="6"/>
  <c r="L187" i="6"/>
  <c r="M187" i="6"/>
  <c r="I170" i="6"/>
  <c r="J170" i="6"/>
  <c r="K170" i="6"/>
  <c r="I171" i="6"/>
  <c r="J171" i="6"/>
  <c r="K171" i="6"/>
  <c r="I172" i="6"/>
  <c r="J172" i="6"/>
  <c r="K172" i="6"/>
  <c r="I173" i="6"/>
  <c r="J173" i="6"/>
  <c r="K173" i="6"/>
  <c r="M173" i="6"/>
  <c r="L169" i="6"/>
  <c r="M169" i="6"/>
  <c r="I12" i="27"/>
  <c r="I169" i="6" s="1"/>
  <c r="J7" i="27"/>
  <c r="K7" i="27"/>
  <c r="L7" i="27"/>
  <c r="M7" i="27"/>
  <c r="I7" i="27"/>
  <c r="P58" i="27"/>
  <c r="Q58" i="27" s="1"/>
  <c r="R58" i="27" s="1"/>
  <c r="X58" i="27" s="1"/>
  <c r="K56" i="27"/>
  <c r="K212" i="6" s="1"/>
  <c r="M52" i="27"/>
  <c r="M209" i="6" s="1"/>
  <c r="P43" i="27"/>
  <c r="Q43" i="27" s="1"/>
  <c r="R43" i="27" s="1"/>
  <c r="X43" i="27" s="1"/>
  <c r="O195" i="6"/>
  <c r="J41" i="27"/>
  <c r="J197" i="6" s="1"/>
  <c r="M37" i="27"/>
  <c r="N37" i="27" s="1"/>
  <c r="N36" i="27" s="1"/>
  <c r="N41" i="27" s="1"/>
  <c r="N197" i="6" s="1"/>
  <c r="P42" i="27"/>
  <c r="Q42" i="27" s="1"/>
  <c r="R42" i="27" s="1"/>
  <c r="R198" i="6" s="1"/>
  <c r="L27" i="27"/>
  <c r="L183" i="6" s="1"/>
  <c r="P25" i="27"/>
  <c r="Q25" i="27" s="1"/>
  <c r="R25" i="27" s="1"/>
  <c r="X25" i="27" s="1"/>
  <c r="N174" i="6"/>
  <c r="P23" i="27"/>
  <c r="Q23" i="27" s="1"/>
  <c r="R23" i="27" s="1"/>
  <c r="R179" i="6" s="1"/>
  <c r="P22" i="27"/>
  <c r="Q22" i="27" s="1"/>
  <c r="R22" i="27" s="1"/>
  <c r="R178" i="6" s="1"/>
  <c r="Q21" i="27"/>
  <c r="R21" i="27" s="1"/>
  <c r="M14" i="27"/>
  <c r="M171" i="6" s="1"/>
  <c r="L14" i="27"/>
  <c r="L171" i="6" s="1"/>
  <c r="M15" i="27"/>
  <c r="M172" i="6" s="1"/>
  <c r="L15" i="27"/>
  <c r="L172" i="6" s="1"/>
  <c r="M13" i="27"/>
  <c r="M170" i="6" s="1"/>
  <c r="L13" i="27"/>
  <c r="L170" i="6" s="1"/>
  <c r="P24" i="27"/>
  <c r="Q24" i="27" s="1"/>
  <c r="R24" i="27" s="1"/>
  <c r="R180" i="6" s="1"/>
  <c r="I6" i="27"/>
  <c r="M56" i="27"/>
  <c r="M212" i="6" s="1"/>
  <c r="L56" i="27"/>
  <c r="L212" i="6" s="1"/>
  <c r="X69" i="27"/>
  <c r="X68" i="27"/>
  <c r="X67" i="27"/>
  <c r="X66" i="27"/>
  <c r="X65" i="27"/>
  <c r="X50" i="27"/>
  <c r="X49" i="27"/>
  <c r="X48" i="27"/>
  <c r="I47" i="27"/>
  <c r="I203" i="6" s="1"/>
  <c r="M45" i="27"/>
  <c r="M201" i="6" s="1"/>
  <c r="L45" i="27"/>
  <c r="L201" i="6" s="1"/>
  <c r="K45" i="27"/>
  <c r="K201" i="6" s="1"/>
  <c r="J45" i="27"/>
  <c r="J201" i="6" s="1"/>
  <c r="I45" i="27"/>
  <c r="I201" i="6" s="1"/>
  <c r="X44" i="27"/>
  <c r="M41" i="27"/>
  <c r="M197" i="6" s="1"/>
  <c r="L41" i="27"/>
  <c r="L197" i="6" s="1"/>
  <c r="K41" i="27"/>
  <c r="K197" i="6" s="1"/>
  <c r="M27" i="27"/>
  <c r="M183" i="6" s="1"/>
  <c r="X26" i="27"/>
  <c r="M20" i="27"/>
  <c r="M176" i="6" s="1"/>
  <c r="O16" i="27"/>
  <c r="O173" i="6" s="1"/>
  <c r="N14" i="27"/>
  <c r="N171" i="6" s="1"/>
  <c r="N13" i="27"/>
  <c r="K12" i="27"/>
  <c r="K5" i="27" s="1"/>
  <c r="J12" i="27"/>
  <c r="J5" i="27" s="1"/>
  <c r="I5" i="27"/>
  <c r="I3" i="27" s="1"/>
  <c r="X11" i="27"/>
  <c r="X10" i="27"/>
  <c r="H3" i="27"/>
  <c r="X8" i="27"/>
  <c r="CD6" i="27"/>
  <c r="CC6" i="27"/>
  <c r="CB6" i="27"/>
  <c r="CA6" i="27"/>
  <c r="BZ6" i="27"/>
  <c r="BY6" i="27"/>
  <c r="BX6" i="27"/>
  <c r="BW6" i="27"/>
  <c r="BV6" i="27"/>
  <c r="BU6" i="27"/>
  <c r="BT6" i="27"/>
  <c r="BS6" i="27"/>
  <c r="BR6" i="27"/>
  <c r="BQ6" i="27"/>
  <c r="BP6" i="27"/>
  <c r="BO6" i="27"/>
  <c r="BN6" i="27"/>
  <c r="BM6" i="27"/>
  <c r="BL6" i="27"/>
  <c r="BE6" i="27"/>
  <c r="BF6" i="27" s="1"/>
  <c r="M6" i="27"/>
  <c r="L6" i="27"/>
  <c r="K6" i="27"/>
  <c r="J6" i="27"/>
  <c r="CD5" i="27"/>
  <c r="CC5" i="27"/>
  <c r="CB5" i="27"/>
  <c r="CA5" i="27"/>
  <c r="BZ5" i="27"/>
  <c r="BY5" i="27"/>
  <c r="BX5" i="27"/>
  <c r="BW5" i="27"/>
  <c r="BV5" i="27"/>
  <c r="BU5" i="27"/>
  <c r="BT5" i="27"/>
  <c r="BS5" i="27"/>
  <c r="BR5" i="27"/>
  <c r="BQ5" i="27"/>
  <c r="BP5" i="27"/>
  <c r="BO5" i="27"/>
  <c r="BN5" i="27"/>
  <c r="BM5" i="27"/>
  <c r="BL5" i="27"/>
  <c r="BE5" i="27"/>
  <c r="BF5" i="27" s="1"/>
  <c r="M5" i="27"/>
  <c r="M3" i="27" s="1"/>
  <c r="L5" i="27"/>
  <c r="L3" i="27" s="1"/>
  <c r="BA3" i="27"/>
  <c r="AZ3" i="27"/>
  <c r="AY3" i="27"/>
  <c r="AX3" i="27"/>
  <c r="AW3" i="27"/>
  <c r="AV3" i="27"/>
  <c r="AU3" i="27"/>
  <c r="AT3" i="27"/>
  <c r="AS3" i="27"/>
  <c r="AR3" i="27"/>
  <c r="AQ3" i="27"/>
  <c r="AP3" i="27"/>
  <c r="AO3" i="27"/>
  <c r="AN3" i="27"/>
  <c r="AM3" i="27"/>
  <c r="AL3" i="27"/>
  <c r="AK3" i="27"/>
  <c r="AJ3" i="27"/>
  <c r="AI3" i="27"/>
  <c r="AH3" i="27"/>
  <c r="AG3" i="27"/>
  <c r="AF3" i="27"/>
  <c r="AE3" i="27"/>
  <c r="AD3" i="27"/>
  <c r="S1" i="27"/>
  <c r="R1" i="27"/>
  <c r="Q1" i="27"/>
  <c r="P1" i="27"/>
  <c r="O1" i="27"/>
  <c r="N1" i="27"/>
  <c r="M1" i="27"/>
  <c r="L1" i="27"/>
  <c r="K1" i="27"/>
  <c r="J1" i="27"/>
  <c r="I1" i="27"/>
  <c r="H1" i="27"/>
  <c r="K44" i="10"/>
  <c r="L44" i="10" s="1"/>
  <c r="P239" i="10"/>
  <c r="O173" i="10"/>
  <c r="K69" i="10"/>
  <c r="L69" i="10" s="1"/>
  <c r="J45" i="10"/>
  <c r="K93" i="10"/>
  <c r="L93" i="10" s="1"/>
  <c r="J54" i="10"/>
  <c r="I101" i="10"/>
  <c r="J164" i="10"/>
  <c r="K164" i="10" s="1"/>
  <c r="L164" i="10" s="1"/>
  <c r="J162" i="10"/>
  <c r="K162" i="10" s="1"/>
  <c r="L162" i="10" s="1"/>
  <c r="K54" i="10" l="1"/>
  <c r="J101" i="10"/>
  <c r="M12" i="6"/>
  <c r="N173" i="6"/>
  <c r="O13" i="27"/>
  <c r="K12" i="6"/>
  <c r="J12" i="6"/>
  <c r="Q180" i="6"/>
  <c r="P178" i="6"/>
  <c r="R177" i="6"/>
  <c r="R181" i="6"/>
  <c r="Q214" i="6"/>
  <c r="J169" i="6"/>
  <c r="Q179" i="6"/>
  <c r="P199" i="6"/>
  <c r="N170" i="6"/>
  <c r="P179" i="6"/>
  <c r="P214" i="6"/>
  <c r="K3" i="27"/>
  <c r="P210" i="6"/>
  <c r="Q181" i="6"/>
  <c r="P180" i="6"/>
  <c r="Q177" i="6"/>
  <c r="R199" i="6"/>
  <c r="Q198" i="6"/>
  <c r="M194" i="6"/>
  <c r="K169" i="6"/>
  <c r="P181" i="6"/>
  <c r="Q178" i="6"/>
  <c r="P177" i="6"/>
  <c r="Q199" i="6"/>
  <c r="P198" i="6"/>
  <c r="R214" i="6"/>
  <c r="L12" i="6"/>
  <c r="N193" i="6"/>
  <c r="N194" i="6"/>
  <c r="Q22" i="20"/>
  <c r="R22" i="20" s="1"/>
  <c r="Q21" i="20"/>
  <c r="R21" i="20" s="1"/>
  <c r="O210" i="6"/>
  <c r="J3" i="27"/>
  <c r="V22" i="27"/>
  <c r="AC22" i="27" s="1"/>
  <c r="N15" i="27"/>
  <c r="U20" i="27" s="1"/>
  <c r="X24" i="27"/>
  <c r="BM3" i="27"/>
  <c r="BW3" i="27"/>
  <c r="X59" i="27"/>
  <c r="AV9" i="27"/>
  <c r="BU3" i="27"/>
  <c r="CC3" i="27"/>
  <c r="BR3" i="27"/>
  <c r="BQ3" i="27"/>
  <c r="BY3" i="27"/>
  <c r="BZ3" i="27"/>
  <c r="CD3" i="27"/>
  <c r="BE3" i="27"/>
  <c r="BF3" i="27" s="1"/>
  <c r="F3" i="27"/>
  <c r="I46" i="27"/>
  <c r="I202" i="6" s="1"/>
  <c r="BS3" i="27"/>
  <c r="E3" i="27"/>
  <c r="AZ9" i="27"/>
  <c r="BN3" i="27"/>
  <c r="L16" i="27"/>
  <c r="L173" i="6" s="1"/>
  <c r="M21" i="27"/>
  <c r="M177" i="6" s="1"/>
  <c r="M23" i="27"/>
  <c r="M179" i="6" s="1"/>
  <c r="P16" i="27"/>
  <c r="P173" i="6" s="1"/>
  <c r="G3" i="27"/>
  <c r="BO3" i="27"/>
  <c r="BL3" i="27"/>
  <c r="BP3" i="27"/>
  <c r="BT3" i="27"/>
  <c r="BX3" i="27"/>
  <c r="CB3" i="27"/>
  <c r="BV3" i="27"/>
  <c r="CA3" i="27"/>
  <c r="O14" i="27"/>
  <c r="O171" i="6" s="1"/>
  <c r="P13" i="27"/>
  <c r="J67" i="10"/>
  <c r="K67" i="10" s="1"/>
  <c r="L67" i="10" s="1"/>
  <c r="U18" i="27" l="1"/>
  <c r="V20" i="27"/>
  <c r="L54" i="10"/>
  <c r="L101" i="10" s="1"/>
  <c r="K101" i="10"/>
  <c r="O174" i="6"/>
  <c r="P170" i="6"/>
  <c r="O170" i="6"/>
  <c r="Q53" i="27"/>
  <c r="Q210" i="6" s="1"/>
  <c r="O15" i="27"/>
  <c r="O172" i="6" s="1"/>
  <c r="N172" i="6"/>
  <c r="P195" i="6"/>
  <c r="N12" i="27"/>
  <c r="N18" i="27" s="1"/>
  <c r="BA9" i="27"/>
  <c r="J47" i="27"/>
  <c r="J203" i="6" s="1"/>
  <c r="J46" i="27"/>
  <c r="J202" i="6" s="1"/>
  <c r="Q13" i="27"/>
  <c r="P14" i="27"/>
  <c r="P171" i="6" s="1"/>
  <c r="K46" i="27"/>
  <c r="K202" i="6" s="1"/>
  <c r="Q16" i="27"/>
  <c r="Q173" i="6" s="1"/>
  <c r="P174" i="6" l="1"/>
  <c r="W22" i="27"/>
  <c r="AD22" i="27" s="1"/>
  <c r="V18" i="27"/>
  <c r="V21" i="27"/>
  <c r="AC21" i="27" s="1"/>
  <c r="AC20" i="27" s="1"/>
  <c r="P15" i="27"/>
  <c r="O12" i="27"/>
  <c r="O18" i="27" s="1"/>
  <c r="Q170" i="6"/>
  <c r="R53" i="27"/>
  <c r="S53" i="27" s="1"/>
  <c r="Q195" i="6"/>
  <c r="N29" i="27"/>
  <c r="N185" i="6" s="1"/>
  <c r="N169" i="6"/>
  <c r="N30" i="27"/>
  <c r="N186" i="6" s="1"/>
  <c r="N5" i="27"/>
  <c r="N28" i="27"/>
  <c r="N184" i="6" s="1"/>
  <c r="N32" i="27"/>
  <c r="N188" i="6" s="1"/>
  <c r="N20" i="27"/>
  <c r="N176" i="6" s="1"/>
  <c r="N31" i="27"/>
  <c r="N187" i="6" s="1"/>
  <c r="O28" i="27"/>
  <c r="O184" i="6" s="1"/>
  <c r="O31" i="27"/>
  <c r="O187" i="6" s="1"/>
  <c r="L46" i="27"/>
  <c r="L202" i="6" s="1"/>
  <c r="R16" i="27"/>
  <c r="R173" i="6" s="1"/>
  <c r="K47" i="27"/>
  <c r="K203" i="6" s="1"/>
  <c r="Q14" i="27"/>
  <c r="Q171" i="6" s="1"/>
  <c r="R13" i="27"/>
  <c r="O5" i="27" l="1"/>
  <c r="O29" i="27"/>
  <c r="O185" i="6" s="1"/>
  <c r="O169" i="6"/>
  <c r="O30" i="27"/>
  <c r="O186" i="6" s="1"/>
  <c r="O32" i="27"/>
  <c r="O188" i="6" s="1"/>
  <c r="Q174" i="6"/>
  <c r="X22" i="27"/>
  <c r="AE22" i="27" s="1"/>
  <c r="X20" i="27"/>
  <c r="V19" i="27"/>
  <c r="P172" i="6"/>
  <c r="W20" i="27"/>
  <c r="Q15" i="27"/>
  <c r="Q172" i="6" s="1"/>
  <c r="P12" i="27"/>
  <c r="P18" i="27" s="1"/>
  <c r="R170" i="6"/>
  <c r="R210" i="6"/>
  <c r="S195" i="6"/>
  <c r="R195" i="6"/>
  <c r="S210" i="6"/>
  <c r="N27" i="27"/>
  <c r="N183" i="6" s="1"/>
  <c r="BC5" i="27"/>
  <c r="Q12" i="27"/>
  <c r="N52" i="27"/>
  <c r="X13" i="27"/>
  <c r="S13" i="27"/>
  <c r="R14" i="27"/>
  <c r="R171" i="6" s="1"/>
  <c r="M46" i="27"/>
  <c r="M202" i="6" s="1"/>
  <c r="S16" i="27"/>
  <c r="X16" i="27"/>
  <c r="R15" i="27"/>
  <c r="R172" i="6" s="1"/>
  <c r="L47" i="27"/>
  <c r="L203" i="6" s="1"/>
  <c r="P31" i="27" l="1"/>
  <c r="P187" i="6" s="1"/>
  <c r="P5" i="27"/>
  <c r="P30" i="27"/>
  <c r="P186" i="6" s="1"/>
  <c r="Q18" i="27"/>
  <c r="O27" i="27"/>
  <c r="O183" i="6" s="1"/>
  <c r="P169" i="6"/>
  <c r="P29" i="27"/>
  <c r="P185" i="6" s="1"/>
  <c r="W18" i="27"/>
  <c r="W19" i="27" s="1"/>
  <c r="W21" i="27"/>
  <c r="AD21" i="27" s="1"/>
  <c r="AD20" i="27" s="1"/>
  <c r="R174" i="6"/>
  <c r="Y22" i="27"/>
  <c r="AF22" i="27" s="1"/>
  <c r="X18" i="27"/>
  <c r="X19" i="27" s="1"/>
  <c r="X21" i="27"/>
  <c r="AE21" i="27" s="1"/>
  <c r="AE20" i="27" s="1"/>
  <c r="Y20" i="27"/>
  <c r="P28" i="27"/>
  <c r="P184" i="6" s="1"/>
  <c r="P32" i="27"/>
  <c r="P188" i="6" s="1"/>
  <c r="S170" i="6"/>
  <c r="U13" i="27"/>
  <c r="S173" i="6"/>
  <c r="U16" i="27"/>
  <c r="N51" i="27"/>
  <c r="N61" i="27" s="1"/>
  <c r="N217" i="6" s="1"/>
  <c r="N209" i="6"/>
  <c r="Q31" i="27"/>
  <c r="Q187" i="6" s="1"/>
  <c r="Q169" i="6"/>
  <c r="Q32" i="27"/>
  <c r="Q188" i="6" s="1"/>
  <c r="Q29" i="27"/>
  <c r="Q185" i="6" s="1"/>
  <c r="Q5" i="27"/>
  <c r="Q28" i="27"/>
  <c r="Q184" i="6" s="1"/>
  <c r="Q30" i="27"/>
  <c r="Q186" i="6" s="1"/>
  <c r="R12" i="27"/>
  <c r="O52" i="27"/>
  <c r="X15" i="27"/>
  <c r="S15" i="27"/>
  <c r="M47" i="27"/>
  <c r="M203" i="6" s="1"/>
  <c r="S14" i="27"/>
  <c r="Z20" i="27" s="1"/>
  <c r="X14" i="27"/>
  <c r="O37" i="27"/>
  <c r="Z21" i="27" l="1"/>
  <c r="AG21" i="27" s="1"/>
  <c r="S174" i="6"/>
  <c r="Z22" i="27"/>
  <c r="AG22" i="27" s="1"/>
  <c r="P27" i="27"/>
  <c r="P183" i="6" s="1"/>
  <c r="Y21" i="27"/>
  <c r="AF21" i="27" s="1"/>
  <c r="AF20" i="27" s="1"/>
  <c r="Y18" i="27"/>
  <c r="Y19" i="27" s="1"/>
  <c r="AG20" i="27"/>
  <c r="N7" i="27"/>
  <c r="N56" i="27"/>
  <c r="N212" i="6" s="1"/>
  <c r="R18" i="27"/>
  <c r="S172" i="6"/>
  <c r="U15" i="27"/>
  <c r="S171" i="6"/>
  <c r="U14" i="27"/>
  <c r="O51" i="27"/>
  <c r="O61" i="27" s="1"/>
  <c r="O217" i="6" s="1"/>
  <c r="O209" i="6"/>
  <c r="N208" i="6"/>
  <c r="N12" i="6" s="1"/>
  <c r="N60" i="27"/>
  <c r="N216" i="6" s="1"/>
  <c r="N62" i="27"/>
  <c r="N218" i="6" s="1"/>
  <c r="O36" i="27"/>
  <c r="O41" i="27" s="1"/>
  <c r="O197" i="6" s="1"/>
  <c r="O194" i="6"/>
  <c r="R32" i="27"/>
  <c r="R188" i="6" s="1"/>
  <c r="R169" i="6"/>
  <c r="S12" i="27"/>
  <c r="S18" i="27" s="1"/>
  <c r="Q27" i="27"/>
  <c r="Q183" i="6" s="1"/>
  <c r="R31" i="27"/>
  <c r="R28" i="27"/>
  <c r="R184" i="6" s="1"/>
  <c r="R29" i="27"/>
  <c r="R30" i="27"/>
  <c r="R5" i="27"/>
  <c r="X12" i="27"/>
  <c r="P37" i="27"/>
  <c r="Z18" i="27" l="1"/>
  <c r="Z19" i="27" s="1"/>
  <c r="O7" i="27"/>
  <c r="O56" i="27"/>
  <c r="O212" i="6" s="1"/>
  <c r="O62" i="27"/>
  <c r="O218" i="6" s="1"/>
  <c r="O60" i="27"/>
  <c r="O216" i="6" s="1"/>
  <c r="U12" i="27"/>
  <c r="O208" i="6"/>
  <c r="S28" i="27"/>
  <c r="S184" i="6" s="1"/>
  <c r="O193" i="6"/>
  <c r="P36" i="27"/>
  <c r="P41" i="27" s="1"/>
  <c r="P197" i="6" s="1"/>
  <c r="P194" i="6"/>
  <c r="X31" i="27"/>
  <c r="R187" i="6"/>
  <c r="X30" i="27"/>
  <c r="R186" i="6"/>
  <c r="X29" i="27"/>
  <c r="R185" i="6"/>
  <c r="S29" i="27"/>
  <c r="S185" i="6" s="1"/>
  <c r="S169" i="6"/>
  <c r="S5" i="27"/>
  <c r="U5" i="27" s="1"/>
  <c r="S31" i="27"/>
  <c r="S187" i="6" s="1"/>
  <c r="S30" i="27"/>
  <c r="S186" i="6" s="1"/>
  <c r="S32" i="27"/>
  <c r="S188" i="6" s="1"/>
  <c r="X28" i="27"/>
  <c r="R27" i="27"/>
  <c r="Q37" i="27"/>
  <c r="O12" i="6" l="1"/>
  <c r="Q36" i="27"/>
  <c r="Q41" i="27" s="1"/>
  <c r="Q197" i="6" s="1"/>
  <c r="Q194" i="6"/>
  <c r="P193" i="6"/>
  <c r="X27" i="27"/>
  <c r="R183" i="6"/>
  <c r="X5" i="27"/>
  <c r="S27" i="27"/>
  <c r="S183" i="6" s="1"/>
  <c r="R37" i="27"/>
  <c r="Q193" i="6" l="1"/>
  <c r="R36" i="27"/>
  <c r="R41" i="27" s="1"/>
  <c r="R197" i="6" s="1"/>
  <c r="R194" i="6"/>
  <c r="X63" i="27"/>
  <c r="X54" i="27"/>
  <c r="S37" i="27"/>
  <c r="R193" i="6" l="1"/>
  <c r="S36" i="27"/>
  <c r="U36" i="27" s="1"/>
  <c r="S194" i="6"/>
  <c r="X53" i="27"/>
  <c r="X64" i="27"/>
  <c r="S193" i="6" l="1"/>
  <c r="S41" i="27"/>
  <c r="S197" i="6" s="1"/>
  <c r="I167" i="10"/>
  <c r="J167" i="10" s="1"/>
  <c r="K167" i="10" s="1"/>
  <c r="L167" i="10" s="1"/>
  <c r="K154" i="10"/>
  <c r="L154" i="10" s="1"/>
  <c r="F151" i="10"/>
  <c r="G151" i="10"/>
  <c r="E151" i="10"/>
  <c r="F153" i="10"/>
  <c r="G153" i="10"/>
  <c r="E153" i="10"/>
  <c r="P230" i="10"/>
  <c r="K27" i="17"/>
  <c r="Q94" i="6"/>
  <c r="W95" i="6"/>
  <c r="W96" i="6"/>
  <c r="U97" i="6"/>
  <c r="W97" i="6"/>
  <c r="V98" i="6"/>
  <c r="W98" i="6"/>
  <c r="W94" i="6"/>
  <c r="J3" i="25"/>
  <c r="K5" i="25" s="1"/>
  <c r="P31" i="17"/>
  <c r="E120" i="10"/>
  <c r="E9" i="10" s="1"/>
  <c r="K8" i="6" s="1"/>
  <c r="E109" i="10"/>
  <c r="E7" i="10" s="1"/>
  <c r="K7" i="6" s="1"/>
  <c r="K272" i="6" s="1"/>
  <c r="D89" i="3"/>
  <c r="G75" i="10"/>
  <c r="G63" i="10" s="1"/>
  <c r="I554" i="11" s="1"/>
  <c r="G120" i="10"/>
  <c r="H120" i="10" s="1"/>
  <c r="H9" i="10" s="1"/>
  <c r="F89" i="3"/>
  <c r="I166" i="10"/>
  <c r="J166" i="10" s="1"/>
  <c r="K166" i="10" s="1"/>
  <c r="L166" i="10" s="1"/>
  <c r="O18" i="20"/>
  <c r="N11" i="6"/>
  <c r="N16" i="6" s="1"/>
  <c r="H79" i="10"/>
  <c r="P18" i="20"/>
  <c r="S144" i="5"/>
  <c r="P144" i="5" s="1"/>
  <c r="P55" i="7" s="1"/>
  <c r="S148" i="5"/>
  <c r="P148" i="5" s="1"/>
  <c r="Q148" i="5" s="1"/>
  <c r="R148" i="5" s="1"/>
  <c r="Q18" i="20"/>
  <c r="R18" i="20"/>
  <c r="S18" i="20"/>
  <c r="C40" i="4"/>
  <c r="S95" i="6"/>
  <c r="S96" i="6"/>
  <c r="S97" i="6"/>
  <c r="S98" i="6"/>
  <c r="S99" i="6"/>
  <c r="S100" i="6"/>
  <c r="G145" i="10"/>
  <c r="O96" i="6"/>
  <c r="O97" i="6"/>
  <c r="O98" i="6"/>
  <c r="O99" i="6"/>
  <c r="A83" i="6"/>
  <c r="A94" i="6" s="1"/>
  <c r="A105" i="6" s="1"/>
  <c r="A84" i="6"/>
  <c r="A95" i="6" s="1"/>
  <c r="A106" i="6" s="1"/>
  <c r="A85" i="6"/>
  <c r="A96" i="6" s="1"/>
  <c r="A107" i="6" s="1"/>
  <c r="A86" i="6"/>
  <c r="A97" i="6" s="1"/>
  <c r="A108" i="6" s="1"/>
  <c r="A87" i="6"/>
  <c r="A98" i="6" s="1"/>
  <c r="A109" i="6" s="1"/>
  <c r="A88" i="6"/>
  <c r="A99" i="6" s="1"/>
  <c r="A110" i="6" s="1"/>
  <c r="A89" i="6"/>
  <c r="A100" i="6" s="1"/>
  <c r="A111" i="6" s="1"/>
  <c r="A82" i="6"/>
  <c r="A93" i="6" s="1"/>
  <c r="A104" i="6" s="1"/>
  <c r="AZ102" i="6"/>
  <c r="BA102" i="6"/>
  <c r="BC102" i="6"/>
  <c r="AZ91" i="6"/>
  <c r="BA91" i="6"/>
  <c r="BC91" i="6"/>
  <c r="M255" i="6"/>
  <c r="M66" i="6" s="1"/>
  <c r="L255" i="6"/>
  <c r="L66" i="6" s="1"/>
  <c r="K255" i="6"/>
  <c r="K66" i="6" s="1"/>
  <c r="J255" i="6"/>
  <c r="I255" i="6"/>
  <c r="I66" i="6" s="1"/>
  <c r="M11" i="6"/>
  <c r="M254" i="6"/>
  <c r="M65" i="6" s="1"/>
  <c r="L11" i="6"/>
  <c r="L254" i="6"/>
  <c r="L65" i="6" s="1"/>
  <c r="M144" i="6"/>
  <c r="M10" i="6" s="1"/>
  <c r="M253" i="6"/>
  <c r="M64" i="6" s="1"/>
  <c r="L10" i="6"/>
  <c r="L25" i="6" s="1"/>
  <c r="L8" i="7" s="1"/>
  <c r="L253" i="6"/>
  <c r="L64" i="6" s="1"/>
  <c r="K144" i="6"/>
  <c r="K10" i="6" s="1"/>
  <c r="K253" i="6"/>
  <c r="K64" i="6" s="1"/>
  <c r="J144" i="6"/>
  <c r="J253" i="6"/>
  <c r="J64" i="6" s="1"/>
  <c r="I144" i="6"/>
  <c r="I10" i="6" s="1"/>
  <c r="I253" i="6"/>
  <c r="I64" i="6" s="1"/>
  <c r="M252" i="6"/>
  <c r="F145" i="10"/>
  <c r="L9" i="6" s="1"/>
  <c r="L252" i="6"/>
  <c r="L63" i="6" s="1"/>
  <c r="E145" i="10"/>
  <c r="K9" i="6" s="1"/>
  <c r="K252" i="6"/>
  <c r="D145" i="10"/>
  <c r="J9" i="6" s="1"/>
  <c r="J252" i="6"/>
  <c r="J63" i="6" s="1"/>
  <c r="C145" i="10"/>
  <c r="I9" i="6" s="1"/>
  <c r="I252" i="6"/>
  <c r="I63" i="6" s="1"/>
  <c r="M292" i="6"/>
  <c r="M62" i="6" s="1"/>
  <c r="F120" i="10"/>
  <c r="F9" i="10" s="1"/>
  <c r="L8" i="6" s="1"/>
  <c r="L274" i="6" s="1"/>
  <c r="L292" i="6"/>
  <c r="L62" i="6" s="1"/>
  <c r="K292" i="6"/>
  <c r="K62" i="6" s="1"/>
  <c r="D120" i="10"/>
  <c r="D9" i="10" s="1"/>
  <c r="J8" i="6" s="1"/>
  <c r="J292" i="6"/>
  <c r="J62" i="6" s="1"/>
  <c r="C120" i="10"/>
  <c r="C121" i="10" s="1"/>
  <c r="I292" i="6"/>
  <c r="I62" i="6" s="1"/>
  <c r="M290" i="6"/>
  <c r="M61" i="6" s="1"/>
  <c r="L290" i="6"/>
  <c r="L61" i="6" s="1"/>
  <c r="K290" i="6"/>
  <c r="K61" i="6" s="1"/>
  <c r="M291" i="6"/>
  <c r="M60" i="6" s="1"/>
  <c r="F75" i="10"/>
  <c r="F63" i="10" s="1"/>
  <c r="H554" i="11" s="1"/>
  <c r="L291" i="6"/>
  <c r="L60" i="6" s="1"/>
  <c r="K291" i="6"/>
  <c r="K60" i="6" s="1"/>
  <c r="J291" i="6"/>
  <c r="J60" i="6" s="1"/>
  <c r="I291" i="6"/>
  <c r="I60" i="6" s="1"/>
  <c r="M251" i="6"/>
  <c r="M59" i="6" s="1"/>
  <c r="M277" i="6" s="1"/>
  <c r="L251" i="6"/>
  <c r="L59" i="6" s="1"/>
  <c r="K251" i="6"/>
  <c r="J251" i="6"/>
  <c r="J59" i="6" s="1"/>
  <c r="J277" i="6" s="1"/>
  <c r="I251" i="6"/>
  <c r="I59" i="6" s="1"/>
  <c r="K11" i="6"/>
  <c r="J11" i="6"/>
  <c r="I11" i="6"/>
  <c r="AZ80" i="6"/>
  <c r="BA80" i="6"/>
  <c r="BC80" i="6"/>
  <c r="E109" i="3"/>
  <c r="F109" i="3"/>
  <c r="G109" i="3"/>
  <c r="H109" i="3"/>
  <c r="D109" i="3"/>
  <c r="P20" i="27"/>
  <c r="P176" i="6" s="1"/>
  <c r="Q20" i="27"/>
  <c r="Q176" i="6" s="1"/>
  <c r="S20" i="27"/>
  <c r="S176" i="6" s="1"/>
  <c r="O20" i="27"/>
  <c r="O176" i="6" s="1"/>
  <c r="E121" i="3"/>
  <c r="F121" i="3"/>
  <c r="I121" i="3" s="1" a="1"/>
  <c r="I121" i="3" s="1"/>
  <c r="G121" i="3"/>
  <c r="H121" i="3"/>
  <c r="D121" i="3"/>
  <c r="E123" i="3"/>
  <c r="I123" i="3" s="1" a="1"/>
  <c r="I123" i="3" s="1"/>
  <c r="F123" i="3"/>
  <c r="G123" i="3"/>
  <c r="H123" i="3"/>
  <c r="D123" i="3"/>
  <c r="E117" i="3"/>
  <c r="F117" i="3"/>
  <c r="G117" i="3"/>
  <c r="H117" i="3"/>
  <c r="D117" i="3"/>
  <c r="M94" i="3"/>
  <c r="F14" i="8"/>
  <c r="C152" i="3"/>
  <c r="I152" i="3"/>
  <c r="M90" i="3"/>
  <c r="F152" i="3"/>
  <c r="C117" i="3"/>
  <c r="C123" i="3"/>
  <c r="C111" i="3"/>
  <c r="D111" i="3"/>
  <c r="E111" i="3"/>
  <c r="I111" i="3" s="1" a="1"/>
  <c r="I111" i="3" s="1"/>
  <c r="F111" i="3"/>
  <c r="G111" i="3"/>
  <c r="H111" i="3"/>
  <c r="C109" i="3"/>
  <c r="C115" i="3"/>
  <c r="C121" i="3"/>
  <c r="H130" i="3"/>
  <c r="B5" i="25"/>
  <c r="C5" i="25"/>
  <c r="D5" i="25"/>
  <c r="E5" i="25"/>
  <c r="F5" i="25"/>
  <c r="G5" i="25"/>
  <c r="B6" i="25"/>
  <c r="C6" i="25"/>
  <c r="D6" i="25"/>
  <c r="H6" i="25" s="1"/>
  <c r="I6" i="25" s="1"/>
  <c r="E6" i="25"/>
  <c r="F6" i="25"/>
  <c r="G6" i="25"/>
  <c r="B7" i="25"/>
  <c r="C7" i="25"/>
  <c r="H7" i="25" s="1"/>
  <c r="I7" i="25" s="1"/>
  <c r="D7" i="25"/>
  <c r="E7" i="25"/>
  <c r="F7" i="25"/>
  <c r="G7" i="25"/>
  <c r="B8" i="25"/>
  <c r="C8" i="25"/>
  <c r="H8" i="25" s="1"/>
  <c r="D8" i="25"/>
  <c r="E8" i="25"/>
  <c r="F8" i="25"/>
  <c r="G8" i="25"/>
  <c r="B9" i="25"/>
  <c r="C9" i="25"/>
  <c r="D9" i="25"/>
  <c r="H9" i="25" s="1"/>
  <c r="I9" i="25" s="1"/>
  <c r="E9" i="25"/>
  <c r="F9" i="25"/>
  <c r="G9" i="25"/>
  <c r="B10" i="25"/>
  <c r="C10" i="25"/>
  <c r="H10" i="25" s="1"/>
  <c r="I10" i="25" s="1"/>
  <c r="D10" i="25"/>
  <c r="E10" i="25"/>
  <c r="F10" i="25"/>
  <c r="G10" i="25"/>
  <c r="B11" i="25"/>
  <c r="C11" i="25"/>
  <c r="D11" i="25"/>
  <c r="E11" i="25"/>
  <c r="F11" i="25"/>
  <c r="G11" i="25"/>
  <c r="B12" i="25"/>
  <c r="C12" i="25"/>
  <c r="D12" i="25"/>
  <c r="E12" i="25"/>
  <c r="F12" i="25"/>
  <c r="G12" i="25"/>
  <c r="B13" i="25"/>
  <c r="C13" i="25"/>
  <c r="D13" i="25"/>
  <c r="E13" i="25"/>
  <c r="F13" i="25"/>
  <c r="G13" i="25"/>
  <c r="B14" i="25"/>
  <c r="C14" i="25"/>
  <c r="D14" i="25"/>
  <c r="E14" i="25"/>
  <c r="F14" i="25"/>
  <c r="G14" i="25"/>
  <c r="B15" i="25"/>
  <c r="C15" i="25"/>
  <c r="D15" i="25"/>
  <c r="E15" i="25"/>
  <c r="F15" i="25"/>
  <c r="G15" i="25"/>
  <c r="B16" i="25"/>
  <c r="C16" i="25"/>
  <c r="H16" i="25" s="1"/>
  <c r="D16" i="25"/>
  <c r="E16" i="25"/>
  <c r="F16" i="25"/>
  <c r="G16" i="25"/>
  <c r="B17" i="25"/>
  <c r="C17" i="25"/>
  <c r="D17" i="25"/>
  <c r="E17" i="25"/>
  <c r="F17" i="25"/>
  <c r="G17" i="25"/>
  <c r="B18" i="25"/>
  <c r="C18" i="25"/>
  <c r="D18" i="25"/>
  <c r="E18" i="25"/>
  <c r="F18" i="25"/>
  <c r="G18" i="25"/>
  <c r="B19" i="25"/>
  <c r="C19" i="25"/>
  <c r="D19" i="25"/>
  <c r="E19" i="25"/>
  <c r="F19" i="25"/>
  <c r="G19" i="25"/>
  <c r="B20" i="25"/>
  <c r="C20" i="25"/>
  <c r="D20" i="25"/>
  <c r="E20" i="25"/>
  <c r="F20" i="25"/>
  <c r="G20" i="25"/>
  <c r="B21" i="25"/>
  <c r="C21" i="25"/>
  <c r="D21" i="25"/>
  <c r="E21" i="25"/>
  <c r="F21" i="25"/>
  <c r="G21" i="25"/>
  <c r="B22" i="25"/>
  <c r="C22" i="25"/>
  <c r="H22" i="25" s="1"/>
  <c r="D22" i="25"/>
  <c r="E22" i="25"/>
  <c r="F22" i="25"/>
  <c r="G22" i="25"/>
  <c r="B23" i="25"/>
  <c r="C23" i="25"/>
  <c r="D23" i="25"/>
  <c r="E23" i="25"/>
  <c r="F23" i="25"/>
  <c r="G23" i="25"/>
  <c r="B24" i="25"/>
  <c r="C24" i="25"/>
  <c r="D24" i="25"/>
  <c r="E24" i="25"/>
  <c r="F24" i="25"/>
  <c r="G24" i="25"/>
  <c r="B25" i="25"/>
  <c r="C25" i="25"/>
  <c r="D25" i="25"/>
  <c r="E25" i="25"/>
  <c r="F25" i="25"/>
  <c r="G25" i="25"/>
  <c r="B26" i="25"/>
  <c r="C26" i="25"/>
  <c r="D26" i="25"/>
  <c r="E26" i="25"/>
  <c r="F26" i="25"/>
  <c r="G26" i="25"/>
  <c r="B27" i="25"/>
  <c r="C27" i="25"/>
  <c r="D27" i="25"/>
  <c r="E27" i="25"/>
  <c r="F27" i="25"/>
  <c r="G27" i="25"/>
  <c r="B28" i="25"/>
  <c r="C28" i="25"/>
  <c r="H28" i="25" s="1"/>
  <c r="D28" i="25"/>
  <c r="E28" i="25"/>
  <c r="F28" i="25"/>
  <c r="G28" i="25"/>
  <c r="B29" i="25"/>
  <c r="C29" i="25"/>
  <c r="D29" i="25"/>
  <c r="E29" i="25"/>
  <c r="F29" i="25"/>
  <c r="G29" i="25"/>
  <c r="B30" i="25"/>
  <c r="C30" i="25"/>
  <c r="D30" i="25"/>
  <c r="E30" i="25"/>
  <c r="F30" i="25"/>
  <c r="G30" i="25"/>
  <c r="B31" i="25"/>
  <c r="C31" i="25"/>
  <c r="D31" i="25"/>
  <c r="E31" i="25"/>
  <c r="F31" i="25"/>
  <c r="G31" i="25"/>
  <c r="B32" i="25"/>
  <c r="C32" i="25"/>
  <c r="H32" i="25" s="1"/>
  <c r="I32" i="25" s="1"/>
  <c r="D32" i="25"/>
  <c r="E32" i="25"/>
  <c r="F32" i="25"/>
  <c r="G32" i="25"/>
  <c r="B33" i="25"/>
  <c r="C33" i="25"/>
  <c r="D33" i="25"/>
  <c r="E33" i="25"/>
  <c r="F33" i="25"/>
  <c r="G33" i="25"/>
  <c r="B34" i="25"/>
  <c r="C34" i="25"/>
  <c r="D34" i="25"/>
  <c r="E34" i="25"/>
  <c r="F34" i="25"/>
  <c r="G34" i="25"/>
  <c r="B35" i="25"/>
  <c r="C35" i="25"/>
  <c r="D35" i="25"/>
  <c r="E35" i="25"/>
  <c r="F35" i="25"/>
  <c r="G35" i="25"/>
  <c r="B36" i="25"/>
  <c r="C36" i="25"/>
  <c r="D36" i="25"/>
  <c r="E36" i="25"/>
  <c r="F36" i="25"/>
  <c r="G36" i="25"/>
  <c r="B37" i="25"/>
  <c r="C37" i="25"/>
  <c r="D37" i="25"/>
  <c r="E37" i="25"/>
  <c r="F37" i="25"/>
  <c r="G37" i="25"/>
  <c r="B38" i="25"/>
  <c r="C38" i="25"/>
  <c r="H38" i="25" s="1"/>
  <c r="I38" i="25" s="1"/>
  <c r="D38" i="25"/>
  <c r="E38" i="25"/>
  <c r="F38" i="25"/>
  <c r="G38" i="25"/>
  <c r="B39" i="25"/>
  <c r="C39" i="25"/>
  <c r="D39" i="25"/>
  <c r="H39" i="25" s="1"/>
  <c r="E39" i="25"/>
  <c r="F39" i="25"/>
  <c r="G39" i="25"/>
  <c r="B40" i="25"/>
  <c r="C40" i="25"/>
  <c r="D40" i="25"/>
  <c r="E40" i="25"/>
  <c r="F40" i="25"/>
  <c r="G40" i="25"/>
  <c r="B41" i="25"/>
  <c r="C41" i="25"/>
  <c r="D41" i="25"/>
  <c r="E41" i="25"/>
  <c r="F41" i="25"/>
  <c r="G41" i="25"/>
  <c r="B42" i="25"/>
  <c r="C42" i="25"/>
  <c r="D42" i="25"/>
  <c r="E42" i="25"/>
  <c r="F42" i="25"/>
  <c r="G42" i="25"/>
  <c r="B43" i="25"/>
  <c r="C43" i="25"/>
  <c r="D43" i="25"/>
  <c r="E43" i="25"/>
  <c r="E44" i="25" s="1"/>
  <c r="F43" i="25"/>
  <c r="G43" i="25"/>
  <c r="B44" i="25"/>
  <c r="C44" i="25"/>
  <c r="D44" i="25"/>
  <c r="F44" i="25"/>
  <c r="G44" i="25"/>
  <c r="H44" i="25" s="1"/>
  <c r="I44" i="25" s="1"/>
  <c r="B45" i="25"/>
  <c r="C45" i="25"/>
  <c r="D45" i="25"/>
  <c r="E45" i="25"/>
  <c r="E46" i="25" s="1"/>
  <c r="F45" i="25"/>
  <c r="G45" i="25"/>
  <c r="B46" i="25"/>
  <c r="C46" i="25"/>
  <c r="D46" i="25"/>
  <c r="F46" i="25"/>
  <c r="G46" i="25"/>
  <c r="B47" i="25"/>
  <c r="C47" i="25"/>
  <c r="D47" i="25"/>
  <c r="E47" i="25"/>
  <c r="F47" i="25"/>
  <c r="G47" i="25"/>
  <c r="B48" i="25"/>
  <c r="C48" i="25"/>
  <c r="D48" i="25"/>
  <c r="E48" i="25"/>
  <c r="F48" i="25"/>
  <c r="G48" i="25"/>
  <c r="B49" i="25"/>
  <c r="C49" i="25"/>
  <c r="D49" i="25"/>
  <c r="E49" i="25"/>
  <c r="F49" i="25"/>
  <c r="G49" i="25"/>
  <c r="B50" i="25"/>
  <c r="C50" i="25"/>
  <c r="D50" i="25"/>
  <c r="E50" i="25"/>
  <c r="F50" i="25"/>
  <c r="G50" i="25"/>
  <c r="H50" i="25" s="1"/>
  <c r="I50" i="25" s="1"/>
  <c r="B51" i="25"/>
  <c r="C51" i="25"/>
  <c r="D51" i="25"/>
  <c r="E51" i="25"/>
  <c r="F51" i="25"/>
  <c r="G51" i="25"/>
  <c r="B52" i="25"/>
  <c r="C52" i="25"/>
  <c r="D52" i="25"/>
  <c r="E52" i="25"/>
  <c r="F52" i="25"/>
  <c r="G52" i="25"/>
  <c r="B53" i="25"/>
  <c r="C53" i="25"/>
  <c r="D53" i="25"/>
  <c r="E53" i="25"/>
  <c r="F53" i="25"/>
  <c r="G53" i="25"/>
  <c r="B54" i="25"/>
  <c r="C54" i="25"/>
  <c r="D54" i="25"/>
  <c r="E54" i="25"/>
  <c r="F54" i="25"/>
  <c r="G54" i="25"/>
  <c r="B55" i="25"/>
  <c r="C55" i="25"/>
  <c r="D55" i="25"/>
  <c r="D56" i="25" s="1"/>
  <c r="H56" i="25" s="1"/>
  <c r="I56" i="25" s="1"/>
  <c r="E55" i="25"/>
  <c r="F55" i="25"/>
  <c r="G55" i="25"/>
  <c r="B56" i="25"/>
  <c r="C56" i="25"/>
  <c r="E56" i="25"/>
  <c r="F56" i="25"/>
  <c r="G56" i="25"/>
  <c r="B57" i="25"/>
  <c r="C57" i="25"/>
  <c r="D57" i="25"/>
  <c r="E57" i="25"/>
  <c r="F57" i="25"/>
  <c r="H57" i="25" s="1"/>
  <c r="G57" i="25"/>
  <c r="B58" i="25"/>
  <c r="C58" i="25"/>
  <c r="D58" i="25"/>
  <c r="E58" i="25"/>
  <c r="F58" i="25"/>
  <c r="G58" i="25"/>
  <c r="B59" i="25"/>
  <c r="C59" i="25"/>
  <c r="D59" i="25"/>
  <c r="E59" i="25"/>
  <c r="F59" i="25"/>
  <c r="G59" i="25"/>
  <c r="B60" i="25"/>
  <c r="C60" i="25"/>
  <c r="H60" i="25" s="1"/>
  <c r="D60" i="25"/>
  <c r="E60" i="25"/>
  <c r="F60" i="25"/>
  <c r="G60" i="25"/>
  <c r="B61" i="25"/>
  <c r="C61" i="25"/>
  <c r="D61" i="25"/>
  <c r="E61" i="25"/>
  <c r="F61" i="25"/>
  <c r="G61" i="25"/>
  <c r="B62" i="25"/>
  <c r="C62" i="25"/>
  <c r="D62" i="25"/>
  <c r="E62" i="25"/>
  <c r="F62" i="25"/>
  <c r="G62" i="25"/>
  <c r="B63" i="25"/>
  <c r="C63" i="25"/>
  <c r="H63" i="25" s="1"/>
  <c r="D63" i="25"/>
  <c r="E63" i="25"/>
  <c r="F63" i="25"/>
  <c r="G63" i="25"/>
  <c r="B64" i="25"/>
  <c r="C64" i="25"/>
  <c r="D64" i="25"/>
  <c r="E64" i="25"/>
  <c r="F64" i="25"/>
  <c r="G64" i="25"/>
  <c r="B65" i="25"/>
  <c r="C65" i="25"/>
  <c r="H65" i="25" s="1"/>
  <c r="D65" i="25"/>
  <c r="E65" i="25"/>
  <c r="F65" i="25"/>
  <c r="G65" i="25"/>
  <c r="B66" i="25"/>
  <c r="C66" i="25"/>
  <c r="H66" i="25" s="1"/>
  <c r="D66" i="25"/>
  <c r="E66" i="25"/>
  <c r="F66" i="25"/>
  <c r="G66" i="25"/>
  <c r="B67" i="25"/>
  <c r="C67" i="25"/>
  <c r="D67" i="25"/>
  <c r="E67" i="25"/>
  <c r="F67" i="25"/>
  <c r="G67" i="25"/>
  <c r="B68" i="25"/>
  <c r="C68" i="25"/>
  <c r="D68" i="25"/>
  <c r="E68" i="25"/>
  <c r="F68" i="25"/>
  <c r="G68" i="25"/>
  <c r="B69" i="25"/>
  <c r="C69" i="25"/>
  <c r="D69" i="25"/>
  <c r="E69" i="25"/>
  <c r="F69" i="25"/>
  <c r="G69" i="25"/>
  <c r="H69" i="25"/>
  <c r="B70" i="25"/>
  <c r="C70" i="25"/>
  <c r="D70" i="25"/>
  <c r="E70" i="25"/>
  <c r="F70" i="25"/>
  <c r="G70" i="25"/>
  <c r="B71" i="25"/>
  <c r="C71" i="25"/>
  <c r="D71" i="25"/>
  <c r="E71" i="25"/>
  <c r="F71" i="25"/>
  <c r="G71" i="25"/>
  <c r="B72" i="25"/>
  <c r="C72" i="25"/>
  <c r="D72" i="25"/>
  <c r="H72" i="25" s="1"/>
  <c r="E72" i="25"/>
  <c r="F72" i="25"/>
  <c r="G72" i="25"/>
  <c r="B73" i="25"/>
  <c r="C73" i="25"/>
  <c r="D73" i="25"/>
  <c r="E73" i="25"/>
  <c r="F73" i="25"/>
  <c r="G73" i="25"/>
  <c r="B74" i="25"/>
  <c r="C74" i="25"/>
  <c r="D74" i="25"/>
  <c r="H74" i="25" s="1"/>
  <c r="I74" i="25" s="1"/>
  <c r="E74" i="25"/>
  <c r="F74" i="25"/>
  <c r="G74" i="25"/>
  <c r="B75" i="25"/>
  <c r="C75" i="25"/>
  <c r="H75" i="25" s="1"/>
  <c r="D75" i="25"/>
  <c r="E75" i="25"/>
  <c r="F75" i="25"/>
  <c r="G75" i="25"/>
  <c r="B76" i="25"/>
  <c r="C76" i="25"/>
  <c r="D76" i="25"/>
  <c r="D77" i="25" s="1"/>
  <c r="H77" i="25" s="1"/>
  <c r="I77" i="25" s="1"/>
  <c r="E76" i="25"/>
  <c r="E77" i="25" s="1"/>
  <c r="F76" i="25"/>
  <c r="G76" i="25"/>
  <c r="B77" i="25"/>
  <c r="C77" i="25"/>
  <c r="F77" i="25"/>
  <c r="G77" i="25"/>
  <c r="B78" i="25"/>
  <c r="C78" i="25"/>
  <c r="H78" i="25" s="1"/>
  <c r="I78" i="25" s="1"/>
  <c r="D78" i="25"/>
  <c r="E78" i="25"/>
  <c r="F78" i="25"/>
  <c r="G78" i="25"/>
  <c r="B79" i="25"/>
  <c r="C79" i="25"/>
  <c r="D79" i="25"/>
  <c r="E79" i="25"/>
  <c r="F79" i="25"/>
  <c r="G79" i="25"/>
  <c r="B80" i="25"/>
  <c r="C80" i="25"/>
  <c r="D80" i="25"/>
  <c r="H80" i="25" s="1"/>
  <c r="E80" i="25"/>
  <c r="F80" i="25"/>
  <c r="G80" i="25"/>
  <c r="B81" i="25"/>
  <c r="C81" i="25"/>
  <c r="D81" i="25"/>
  <c r="E81" i="25"/>
  <c r="F81" i="25"/>
  <c r="G81" i="25"/>
  <c r="H81" i="25"/>
  <c r="B82" i="25"/>
  <c r="C82" i="25"/>
  <c r="H82" i="25" s="1"/>
  <c r="D82" i="25"/>
  <c r="E82" i="25"/>
  <c r="F82" i="25"/>
  <c r="G82" i="25"/>
  <c r="B83" i="25"/>
  <c r="C83" i="25"/>
  <c r="D83" i="25"/>
  <c r="E83" i="25"/>
  <c r="F83" i="25"/>
  <c r="G83" i="25"/>
  <c r="B84" i="25"/>
  <c r="C84" i="25"/>
  <c r="H84" i="25" s="1"/>
  <c r="I84" i="25" s="1"/>
  <c r="D84" i="25"/>
  <c r="E84" i="25"/>
  <c r="F84" i="25"/>
  <c r="G84" i="25"/>
  <c r="B85" i="25"/>
  <c r="C85" i="25"/>
  <c r="D85" i="25"/>
  <c r="E85" i="25"/>
  <c r="F85" i="25"/>
  <c r="G85" i="25"/>
  <c r="B86" i="25"/>
  <c r="C86" i="25"/>
  <c r="D86" i="25"/>
  <c r="E86" i="25"/>
  <c r="F86" i="25"/>
  <c r="G86" i="25"/>
  <c r="H86" i="25"/>
  <c r="B87" i="25"/>
  <c r="C87" i="25"/>
  <c r="D87" i="25"/>
  <c r="E87" i="25"/>
  <c r="F87" i="25"/>
  <c r="G87" i="25"/>
  <c r="B88" i="25"/>
  <c r="C88" i="25"/>
  <c r="D88" i="25"/>
  <c r="E88" i="25"/>
  <c r="F88" i="25"/>
  <c r="G88" i="25"/>
  <c r="B89" i="25"/>
  <c r="C89" i="25"/>
  <c r="D89" i="25"/>
  <c r="D90" i="25" s="1"/>
  <c r="D91" i="25" s="1"/>
  <c r="D92" i="25" s="1"/>
  <c r="H92" i="25" s="1"/>
  <c r="I92" i="25" s="1"/>
  <c r="E89" i="25"/>
  <c r="H89" i="25" s="1"/>
  <c r="I89" i="25" s="1"/>
  <c r="F89" i="25"/>
  <c r="G89" i="25"/>
  <c r="B90" i="25"/>
  <c r="C90" i="25"/>
  <c r="E90" i="25"/>
  <c r="F90" i="25"/>
  <c r="G90" i="25"/>
  <c r="B91" i="25"/>
  <c r="C91" i="25"/>
  <c r="E91" i="25"/>
  <c r="F91" i="25"/>
  <c r="G91" i="25"/>
  <c r="B92" i="25"/>
  <c r="C92" i="25"/>
  <c r="E92" i="25"/>
  <c r="F92" i="25"/>
  <c r="G92" i="25"/>
  <c r="B93" i="25"/>
  <c r="C93" i="25"/>
  <c r="D93" i="25"/>
  <c r="E93" i="25"/>
  <c r="F93" i="25"/>
  <c r="G93" i="25"/>
  <c r="B94" i="25"/>
  <c r="C94" i="25"/>
  <c r="H94" i="25" s="1"/>
  <c r="D94" i="25"/>
  <c r="E94" i="25"/>
  <c r="F94" i="25"/>
  <c r="G94" i="25"/>
  <c r="B95" i="25"/>
  <c r="C95" i="25"/>
  <c r="D95" i="25"/>
  <c r="E95" i="25"/>
  <c r="F95" i="25"/>
  <c r="G95" i="25"/>
  <c r="B96" i="25"/>
  <c r="I96" i="25" s="1"/>
  <c r="C96" i="25"/>
  <c r="D96" i="25"/>
  <c r="E96" i="25"/>
  <c r="F96" i="25"/>
  <c r="G96" i="25"/>
  <c r="H96" i="25"/>
  <c r="B97" i="25"/>
  <c r="C97" i="25"/>
  <c r="D97" i="25"/>
  <c r="E97" i="25"/>
  <c r="F97" i="25"/>
  <c r="G97" i="25"/>
  <c r="B98" i="25"/>
  <c r="C98" i="25"/>
  <c r="D98" i="25"/>
  <c r="E98" i="25"/>
  <c r="F98" i="25"/>
  <c r="G98" i="25"/>
  <c r="B99" i="25"/>
  <c r="C99" i="25"/>
  <c r="D99" i="25"/>
  <c r="E99" i="25"/>
  <c r="F99" i="25"/>
  <c r="G99" i="25"/>
  <c r="B100" i="25"/>
  <c r="C100" i="25"/>
  <c r="D100" i="25"/>
  <c r="E100" i="25"/>
  <c r="F100" i="25"/>
  <c r="G100" i="25"/>
  <c r="B101" i="25"/>
  <c r="C101" i="25"/>
  <c r="D101" i="25"/>
  <c r="E101" i="25"/>
  <c r="F101" i="25"/>
  <c r="G101" i="25"/>
  <c r="B102" i="25"/>
  <c r="C102" i="25"/>
  <c r="D102" i="25"/>
  <c r="E102" i="25"/>
  <c r="F102" i="25"/>
  <c r="G102" i="25"/>
  <c r="B103" i="25"/>
  <c r="C103" i="25"/>
  <c r="D103" i="25"/>
  <c r="H103" i="25" s="1"/>
  <c r="E103" i="25"/>
  <c r="F103" i="25"/>
  <c r="G103" i="25"/>
  <c r="B104" i="25"/>
  <c r="C104" i="25"/>
  <c r="D104" i="25"/>
  <c r="E104" i="25"/>
  <c r="F104" i="25"/>
  <c r="G104" i="25"/>
  <c r="B105" i="25"/>
  <c r="C105" i="25"/>
  <c r="D105" i="25"/>
  <c r="H105" i="25" s="1"/>
  <c r="E105" i="25"/>
  <c r="F105" i="25"/>
  <c r="G105" i="25"/>
  <c r="B106" i="25"/>
  <c r="C106" i="25"/>
  <c r="D106" i="25"/>
  <c r="E106" i="25"/>
  <c r="F106" i="25"/>
  <c r="G106" i="25"/>
  <c r="B107" i="25"/>
  <c r="C107" i="25"/>
  <c r="H107" i="25" s="1"/>
  <c r="I107" i="25" s="1"/>
  <c r="D107" i="25"/>
  <c r="E107" i="25"/>
  <c r="F107" i="25"/>
  <c r="G107" i="25"/>
  <c r="B108" i="25"/>
  <c r="C108" i="25"/>
  <c r="D108" i="25"/>
  <c r="E108" i="25"/>
  <c r="F108" i="25"/>
  <c r="G108" i="25"/>
  <c r="B109" i="25"/>
  <c r="C109" i="25"/>
  <c r="D109" i="25"/>
  <c r="D110" i="25" s="1"/>
  <c r="E109" i="25"/>
  <c r="F109" i="25"/>
  <c r="G109" i="25"/>
  <c r="B110" i="25"/>
  <c r="C110" i="25"/>
  <c r="E110" i="25"/>
  <c r="F110" i="25"/>
  <c r="G110" i="25"/>
  <c r="B111" i="25"/>
  <c r="C111" i="25"/>
  <c r="E111" i="25"/>
  <c r="F111" i="25"/>
  <c r="G111" i="25"/>
  <c r="B112" i="25"/>
  <c r="C112" i="25"/>
  <c r="D112" i="25"/>
  <c r="E112" i="25"/>
  <c r="F112" i="25"/>
  <c r="G112" i="25"/>
  <c r="B113" i="25"/>
  <c r="C113" i="25"/>
  <c r="D113" i="25"/>
  <c r="E113" i="25"/>
  <c r="F113" i="25"/>
  <c r="G113" i="25"/>
  <c r="B114" i="25"/>
  <c r="C114" i="25"/>
  <c r="H114" i="25" s="1"/>
  <c r="D114" i="25"/>
  <c r="E114" i="25"/>
  <c r="F114" i="25"/>
  <c r="G114" i="25"/>
  <c r="B115" i="25"/>
  <c r="C115" i="25"/>
  <c r="D115" i="25"/>
  <c r="E115" i="25"/>
  <c r="F115" i="25"/>
  <c r="G115" i="25"/>
  <c r="B116" i="25"/>
  <c r="C116" i="25"/>
  <c r="D116" i="25"/>
  <c r="E116" i="25"/>
  <c r="F116" i="25"/>
  <c r="G116" i="25"/>
  <c r="B117" i="25"/>
  <c r="C117" i="25"/>
  <c r="D117" i="25"/>
  <c r="E117" i="25"/>
  <c r="F117" i="25"/>
  <c r="G117" i="25"/>
  <c r="B118" i="25"/>
  <c r="C118" i="25"/>
  <c r="D118" i="25"/>
  <c r="E118" i="25"/>
  <c r="F118" i="25"/>
  <c r="G118" i="25"/>
  <c r="B119" i="25"/>
  <c r="C119" i="25"/>
  <c r="D119" i="25"/>
  <c r="H119" i="25" s="1"/>
  <c r="I119" i="25" s="1"/>
  <c r="E119" i="25"/>
  <c r="F119" i="25"/>
  <c r="G119" i="25"/>
  <c r="B120" i="25"/>
  <c r="C120" i="25"/>
  <c r="D120" i="25"/>
  <c r="D121" i="25" s="1"/>
  <c r="E120" i="25"/>
  <c r="F120" i="25"/>
  <c r="G120" i="25"/>
  <c r="B121" i="25"/>
  <c r="C121" i="25"/>
  <c r="E121" i="25"/>
  <c r="F121" i="25"/>
  <c r="G121" i="25"/>
  <c r="B122" i="25"/>
  <c r="C122" i="25"/>
  <c r="D122" i="25"/>
  <c r="E122" i="25"/>
  <c r="F122" i="25"/>
  <c r="G122" i="25"/>
  <c r="B123" i="25"/>
  <c r="C123" i="25"/>
  <c r="D123" i="25"/>
  <c r="E123" i="25"/>
  <c r="F123" i="25"/>
  <c r="G123" i="25"/>
  <c r="B124" i="25"/>
  <c r="C124" i="25"/>
  <c r="D124" i="25"/>
  <c r="E124" i="25"/>
  <c r="F124" i="25"/>
  <c r="G124" i="25"/>
  <c r="B125" i="25"/>
  <c r="C125" i="25"/>
  <c r="D125" i="25"/>
  <c r="H125" i="25" s="1"/>
  <c r="I125" i="25" s="1"/>
  <c r="E125" i="25"/>
  <c r="F125" i="25"/>
  <c r="G125" i="25"/>
  <c r="B126" i="25"/>
  <c r="C126" i="25"/>
  <c r="D126" i="25"/>
  <c r="E126" i="25"/>
  <c r="F126" i="25"/>
  <c r="G126" i="25"/>
  <c r="B127" i="25"/>
  <c r="C127" i="25"/>
  <c r="D127" i="25"/>
  <c r="E127" i="25"/>
  <c r="F127" i="25"/>
  <c r="G127" i="25"/>
  <c r="B128" i="25"/>
  <c r="C128" i="25"/>
  <c r="D128" i="25"/>
  <c r="H128" i="25" s="1"/>
  <c r="I128" i="25" s="1"/>
  <c r="E128" i="25"/>
  <c r="F128" i="25"/>
  <c r="G128" i="25"/>
  <c r="B129" i="25"/>
  <c r="C129" i="25"/>
  <c r="D129" i="25"/>
  <c r="H129" i="25" s="1"/>
  <c r="E129" i="25"/>
  <c r="F129" i="25"/>
  <c r="F130" i="25" s="1"/>
  <c r="F131" i="25" s="1"/>
  <c r="G129" i="25"/>
  <c r="B130" i="25"/>
  <c r="C130" i="25"/>
  <c r="D130" i="25"/>
  <c r="E130" i="25"/>
  <c r="G130" i="25"/>
  <c r="G131" i="25" s="1"/>
  <c r="B131" i="25"/>
  <c r="C131" i="25"/>
  <c r="D131" i="25"/>
  <c r="E131" i="25"/>
  <c r="B132" i="25"/>
  <c r="C132" i="25"/>
  <c r="D132" i="25"/>
  <c r="H132" i="25" s="1"/>
  <c r="I132" i="25" s="1"/>
  <c r="E132" i="25"/>
  <c r="F132" i="25"/>
  <c r="G132" i="25"/>
  <c r="B133" i="25"/>
  <c r="C133" i="25"/>
  <c r="D133" i="25"/>
  <c r="E133" i="25"/>
  <c r="F133" i="25"/>
  <c r="G133" i="25"/>
  <c r="B134" i="25"/>
  <c r="C134" i="25"/>
  <c r="D134" i="25"/>
  <c r="D135" i="25" s="1"/>
  <c r="E134" i="25"/>
  <c r="F134" i="25"/>
  <c r="G134" i="25"/>
  <c r="B135" i="25"/>
  <c r="C135" i="25"/>
  <c r="E135" i="25"/>
  <c r="F135" i="25"/>
  <c r="G135" i="25"/>
  <c r="B136" i="25"/>
  <c r="C136" i="25"/>
  <c r="E136" i="25"/>
  <c r="F136" i="25"/>
  <c r="G136" i="25"/>
  <c r="B137" i="25"/>
  <c r="C137" i="25"/>
  <c r="E137" i="25"/>
  <c r="F137" i="25"/>
  <c r="G137" i="25"/>
  <c r="B138" i="25"/>
  <c r="C138" i="25"/>
  <c r="E138" i="25"/>
  <c r="F138" i="25"/>
  <c r="G138" i="25"/>
  <c r="B139" i="25"/>
  <c r="C139" i="25"/>
  <c r="E139" i="25"/>
  <c r="F139" i="25"/>
  <c r="G139" i="25"/>
  <c r="B140" i="25"/>
  <c r="C140" i="25"/>
  <c r="D140" i="25"/>
  <c r="H140" i="25" s="1"/>
  <c r="E140" i="25"/>
  <c r="F140" i="25"/>
  <c r="G140" i="25"/>
  <c r="B141" i="25"/>
  <c r="C141" i="25"/>
  <c r="D141" i="25"/>
  <c r="E141" i="25"/>
  <c r="F141" i="25"/>
  <c r="G141" i="25"/>
  <c r="H141" i="25"/>
  <c r="I141" i="25" s="1"/>
  <c r="B142" i="25"/>
  <c r="C142" i="25"/>
  <c r="D142" i="25"/>
  <c r="E142" i="25"/>
  <c r="F142" i="25"/>
  <c r="F143" i="25" s="1"/>
  <c r="G142" i="25"/>
  <c r="G143" i="25" s="1"/>
  <c r="B143" i="25"/>
  <c r="C143" i="25"/>
  <c r="D143" i="25"/>
  <c r="E143" i="25"/>
  <c r="B144" i="25"/>
  <c r="C144" i="25"/>
  <c r="H144" i="25" s="1"/>
  <c r="I144" i="25" s="1"/>
  <c r="D144" i="25"/>
  <c r="E144" i="25"/>
  <c r="F144" i="25"/>
  <c r="G144" i="25"/>
  <c r="B145" i="25"/>
  <c r="C145" i="25"/>
  <c r="D145" i="25"/>
  <c r="E145" i="25"/>
  <c r="F145" i="25"/>
  <c r="G145" i="25"/>
  <c r="B146" i="25"/>
  <c r="C146" i="25"/>
  <c r="D146" i="25"/>
  <c r="D147" i="25" s="1"/>
  <c r="H147" i="25" s="1"/>
  <c r="I147" i="25" s="1"/>
  <c r="E146" i="25"/>
  <c r="F146" i="25"/>
  <c r="G146" i="25"/>
  <c r="B147" i="25"/>
  <c r="C147" i="25"/>
  <c r="E147" i="25"/>
  <c r="F147" i="25"/>
  <c r="G147" i="25"/>
  <c r="B148" i="25"/>
  <c r="C148" i="25"/>
  <c r="H148" i="25" s="1"/>
  <c r="I148" i="25" s="1"/>
  <c r="D148" i="25"/>
  <c r="E148" i="25"/>
  <c r="F148" i="25"/>
  <c r="G148" i="25"/>
  <c r="B149" i="25"/>
  <c r="C149" i="25"/>
  <c r="D149" i="25"/>
  <c r="E149" i="25"/>
  <c r="F149" i="25"/>
  <c r="G149" i="25"/>
  <c r="B150" i="25"/>
  <c r="C150" i="25"/>
  <c r="D150" i="25"/>
  <c r="H150" i="25" s="1"/>
  <c r="I150" i="25" s="1"/>
  <c r="E150" i="25"/>
  <c r="F150" i="25"/>
  <c r="G150" i="25"/>
  <c r="B151" i="25"/>
  <c r="C151" i="25"/>
  <c r="D151" i="25"/>
  <c r="E151" i="25"/>
  <c r="F151" i="25"/>
  <c r="H151" i="25" s="1"/>
  <c r="G151" i="25"/>
  <c r="B152" i="25"/>
  <c r="C152" i="25"/>
  <c r="D152" i="25"/>
  <c r="E152" i="25"/>
  <c r="F152" i="25"/>
  <c r="G152" i="25"/>
  <c r="B153" i="25"/>
  <c r="C153" i="25"/>
  <c r="D153" i="25"/>
  <c r="E153" i="25"/>
  <c r="F153" i="25"/>
  <c r="G153" i="25"/>
  <c r="B154" i="25"/>
  <c r="C154" i="25"/>
  <c r="D154" i="25"/>
  <c r="E154" i="25"/>
  <c r="F154" i="25"/>
  <c r="G154" i="25"/>
  <c r="B155" i="25"/>
  <c r="C155" i="25"/>
  <c r="D155" i="25"/>
  <c r="E155" i="25"/>
  <c r="F155" i="25"/>
  <c r="G155" i="25"/>
  <c r="B156" i="25"/>
  <c r="C156" i="25"/>
  <c r="H156" i="25" s="1"/>
  <c r="D156" i="25"/>
  <c r="E156" i="25"/>
  <c r="F156" i="25"/>
  <c r="G156" i="25"/>
  <c r="B157" i="25"/>
  <c r="C157" i="25"/>
  <c r="D157" i="25"/>
  <c r="E157" i="25"/>
  <c r="F157" i="25"/>
  <c r="H157" i="25" s="1"/>
  <c r="G157" i="25"/>
  <c r="B158" i="25"/>
  <c r="C158" i="25"/>
  <c r="D158" i="25"/>
  <c r="D159" i="25" s="1"/>
  <c r="E158" i="25"/>
  <c r="F158" i="25"/>
  <c r="G158" i="25"/>
  <c r="B159" i="25"/>
  <c r="C159" i="25"/>
  <c r="E159" i="25"/>
  <c r="F159" i="25"/>
  <c r="G159" i="25"/>
  <c r="B160" i="25"/>
  <c r="C160" i="25"/>
  <c r="D160" i="25"/>
  <c r="E160" i="25"/>
  <c r="F160" i="25"/>
  <c r="G160" i="25"/>
  <c r="B161" i="25"/>
  <c r="C161" i="25"/>
  <c r="D161" i="25"/>
  <c r="E161" i="25"/>
  <c r="F161" i="25"/>
  <c r="G161" i="25"/>
  <c r="B162" i="25"/>
  <c r="C162" i="25"/>
  <c r="D162" i="25"/>
  <c r="E162" i="25"/>
  <c r="F162" i="25"/>
  <c r="G162" i="25"/>
  <c r="B163" i="25"/>
  <c r="C163" i="25"/>
  <c r="D163" i="25"/>
  <c r="E163" i="25"/>
  <c r="F163" i="25"/>
  <c r="G163" i="25"/>
  <c r="B164" i="25"/>
  <c r="C164" i="25"/>
  <c r="D164" i="25"/>
  <c r="H164" i="25" s="1"/>
  <c r="E164" i="25"/>
  <c r="F164" i="25"/>
  <c r="G164" i="25"/>
  <c r="B165" i="25"/>
  <c r="C165" i="25"/>
  <c r="D165" i="25"/>
  <c r="E165" i="25"/>
  <c r="F165" i="25"/>
  <c r="G165" i="25"/>
  <c r="B166" i="25"/>
  <c r="C166" i="25"/>
  <c r="D166" i="25"/>
  <c r="E166" i="25"/>
  <c r="F166" i="25"/>
  <c r="G166" i="25"/>
  <c r="B167" i="25"/>
  <c r="C167" i="25"/>
  <c r="D167" i="25"/>
  <c r="E167" i="25"/>
  <c r="F167" i="25"/>
  <c r="G167" i="25"/>
  <c r="B168" i="25"/>
  <c r="C168" i="25"/>
  <c r="D168" i="25"/>
  <c r="E168" i="25"/>
  <c r="F168" i="25"/>
  <c r="G168" i="25"/>
  <c r="B169" i="25"/>
  <c r="C169" i="25"/>
  <c r="D169" i="25"/>
  <c r="E169" i="25"/>
  <c r="F169" i="25"/>
  <c r="G169" i="25"/>
  <c r="B170" i="25"/>
  <c r="C170" i="25"/>
  <c r="D170" i="25"/>
  <c r="H170" i="25" s="1"/>
  <c r="E170" i="25"/>
  <c r="F170" i="25"/>
  <c r="F171" i="25" s="1"/>
  <c r="G170" i="25"/>
  <c r="B171" i="25"/>
  <c r="C171" i="25"/>
  <c r="D171" i="25"/>
  <c r="E171" i="25"/>
  <c r="G171" i="25"/>
  <c r="B172" i="25"/>
  <c r="C172" i="25"/>
  <c r="D172" i="25"/>
  <c r="E172" i="25"/>
  <c r="F172" i="25"/>
  <c r="G172" i="25"/>
  <c r="B173" i="25"/>
  <c r="C173" i="25"/>
  <c r="D173" i="25"/>
  <c r="E173" i="25"/>
  <c r="F173" i="25"/>
  <c r="G173" i="25"/>
  <c r="B174" i="25"/>
  <c r="C174" i="25"/>
  <c r="D174" i="25"/>
  <c r="E174" i="25"/>
  <c r="F174" i="25"/>
  <c r="G174" i="25"/>
  <c r="B175" i="25"/>
  <c r="C175" i="25"/>
  <c r="D175" i="25"/>
  <c r="E175" i="25"/>
  <c r="F175" i="25"/>
  <c r="G175" i="25"/>
  <c r="B176" i="25"/>
  <c r="C176" i="25"/>
  <c r="D176" i="25"/>
  <c r="E176" i="25"/>
  <c r="F176" i="25"/>
  <c r="G176" i="25"/>
  <c r="B177" i="25"/>
  <c r="C177" i="25"/>
  <c r="D177" i="25"/>
  <c r="E177" i="25"/>
  <c r="F177" i="25"/>
  <c r="G177" i="25"/>
  <c r="B178" i="25"/>
  <c r="C178" i="25"/>
  <c r="D178" i="25"/>
  <c r="E178" i="25"/>
  <c r="F178" i="25"/>
  <c r="G178" i="25"/>
  <c r="B179" i="25"/>
  <c r="C179" i="25"/>
  <c r="D179" i="25"/>
  <c r="E179" i="25"/>
  <c r="F179" i="25"/>
  <c r="G179" i="25"/>
  <c r="B180" i="25"/>
  <c r="C180" i="25"/>
  <c r="D180" i="25"/>
  <c r="E180" i="25"/>
  <c r="F180" i="25"/>
  <c r="G180" i="25"/>
  <c r="B181" i="25"/>
  <c r="C181" i="25"/>
  <c r="D181" i="25"/>
  <c r="E181" i="25"/>
  <c r="F181" i="25"/>
  <c r="G181" i="25"/>
  <c r="B182" i="25"/>
  <c r="C182" i="25"/>
  <c r="D182" i="25"/>
  <c r="E182" i="25"/>
  <c r="F182" i="25"/>
  <c r="G182" i="25"/>
  <c r="B183" i="25"/>
  <c r="C183" i="25"/>
  <c r="D183" i="25"/>
  <c r="E183" i="25"/>
  <c r="F183" i="25"/>
  <c r="G183" i="25"/>
  <c r="B184" i="25"/>
  <c r="C184" i="25"/>
  <c r="D184" i="25"/>
  <c r="E184" i="25"/>
  <c r="F184" i="25"/>
  <c r="G184" i="25"/>
  <c r="B185" i="25"/>
  <c r="C185" i="25"/>
  <c r="D185" i="25"/>
  <c r="E185" i="25"/>
  <c r="F185" i="25"/>
  <c r="G185" i="25"/>
  <c r="B186" i="25"/>
  <c r="C186" i="25"/>
  <c r="D186" i="25"/>
  <c r="E186" i="25"/>
  <c r="F186" i="25"/>
  <c r="G186" i="25"/>
  <c r="B187" i="25"/>
  <c r="C187" i="25"/>
  <c r="D187" i="25"/>
  <c r="E187" i="25"/>
  <c r="F187" i="25"/>
  <c r="G187" i="25"/>
  <c r="B188" i="25"/>
  <c r="C188" i="25"/>
  <c r="D188" i="25"/>
  <c r="E188" i="25"/>
  <c r="F188" i="25"/>
  <c r="G188" i="25"/>
  <c r="B189" i="25"/>
  <c r="C189" i="25"/>
  <c r="D189" i="25"/>
  <c r="E189" i="25"/>
  <c r="F189" i="25"/>
  <c r="G189" i="25"/>
  <c r="B190" i="25"/>
  <c r="C190" i="25"/>
  <c r="D190" i="25"/>
  <c r="E190" i="25"/>
  <c r="E191" i="25" s="1"/>
  <c r="F190" i="25"/>
  <c r="G190" i="25"/>
  <c r="B191" i="25"/>
  <c r="C191" i="25"/>
  <c r="D191" i="25"/>
  <c r="F191" i="25"/>
  <c r="G191" i="25"/>
  <c r="B192" i="25"/>
  <c r="C192" i="25"/>
  <c r="D192" i="25"/>
  <c r="E192" i="25"/>
  <c r="F192" i="25"/>
  <c r="G192" i="25"/>
  <c r="B193" i="25"/>
  <c r="C193" i="25"/>
  <c r="D193" i="25"/>
  <c r="E193" i="25"/>
  <c r="F193" i="25"/>
  <c r="G193" i="25"/>
  <c r="B194" i="25"/>
  <c r="C194" i="25"/>
  <c r="D194" i="25"/>
  <c r="E194" i="25"/>
  <c r="F194" i="25"/>
  <c r="G194" i="25"/>
  <c r="B195" i="25"/>
  <c r="C195" i="25"/>
  <c r="D195" i="25"/>
  <c r="E195" i="25"/>
  <c r="F195" i="25"/>
  <c r="G195" i="25"/>
  <c r="B196" i="25"/>
  <c r="C196" i="25"/>
  <c r="D196" i="25"/>
  <c r="E196" i="25"/>
  <c r="F196" i="25"/>
  <c r="G196" i="25"/>
  <c r="B197" i="25"/>
  <c r="C197" i="25"/>
  <c r="D197" i="25"/>
  <c r="E197" i="25"/>
  <c r="F197" i="25"/>
  <c r="G197" i="25"/>
  <c r="B198" i="25"/>
  <c r="C198" i="25"/>
  <c r="D198" i="25"/>
  <c r="E198" i="25"/>
  <c r="F198" i="25"/>
  <c r="G198" i="25"/>
  <c r="B199" i="25"/>
  <c r="C199" i="25"/>
  <c r="D199" i="25"/>
  <c r="E199" i="25"/>
  <c r="F199" i="25"/>
  <c r="G199" i="25"/>
  <c r="B200" i="25"/>
  <c r="C200" i="25"/>
  <c r="D200" i="25"/>
  <c r="E200" i="25"/>
  <c r="F200" i="25"/>
  <c r="G200" i="25"/>
  <c r="B201" i="25"/>
  <c r="C201" i="25"/>
  <c r="D201" i="25"/>
  <c r="E201" i="25"/>
  <c r="F201" i="25"/>
  <c r="G201" i="25"/>
  <c r="B202" i="25"/>
  <c r="C202" i="25"/>
  <c r="D202" i="25"/>
  <c r="E202" i="25"/>
  <c r="F202" i="25"/>
  <c r="G202" i="25"/>
  <c r="B203" i="25"/>
  <c r="C203" i="25"/>
  <c r="D203" i="25"/>
  <c r="E203" i="25"/>
  <c r="F203" i="25"/>
  <c r="G203" i="25"/>
  <c r="B204" i="25"/>
  <c r="C204" i="25"/>
  <c r="D204" i="25"/>
  <c r="E204" i="25"/>
  <c r="F204" i="25"/>
  <c r="G204" i="25"/>
  <c r="B205" i="25"/>
  <c r="C205" i="25"/>
  <c r="D205" i="25"/>
  <c r="E205" i="25"/>
  <c r="F205" i="25"/>
  <c r="G205" i="25"/>
  <c r="B206" i="25"/>
  <c r="C206" i="25"/>
  <c r="D206" i="25"/>
  <c r="E206" i="25"/>
  <c r="F206" i="25"/>
  <c r="G206" i="25"/>
  <c r="B207" i="25"/>
  <c r="C207" i="25"/>
  <c r="D207" i="25"/>
  <c r="E207" i="25"/>
  <c r="F207" i="25"/>
  <c r="G207" i="25"/>
  <c r="B208" i="25"/>
  <c r="C208" i="25"/>
  <c r="D208" i="25"/>
  <c r="E208" i="25"/>
  <c r="F208" i="25"/>
  <c r="G208" i="25"/>
  <c r="B209" i="25"/>
  <c r="C209" i="25"/>
  <c r="D209" i="25"/>
  <c r="E209" i="25"/>
  <c r="F209" i="25"/>
  <c r="G209" i="25"/>
  <c r="B210" i="25"/>
  <c r="C210" i="25"/>
  <c r="D210" i="25"/>
  <c r="E210" i="25"/>
  <c r="F210" i="25"/>
  <c r="G210" i="25"/>
  <c r="B211" i="25"/>
  <c r="C211" i="25"/>
  <c r="D211" i="25"/>
  <c r="E211" i="25"/>
  <c r="F211" i="25"/>
  <c r="G211" i="25"/>
  <c r="B212" i="25"/>
  <c r="C212" i="25"/>
  <c r="D212" i="25"/>
  <c r="E212" i="25"/>
  <c r="F212" i="25"/>
  <c r="G212" i="25"/>
  <c r="B213" i="25"/>
  <c r="C213" i="25"/>
  <c r="D213" i="25"/>
  <c r="E213" i="25"/>
  <c r="F213" i="25"/>
  <c r="G213" i="25"/>
  <c r="B214" i="25"/>
  <c r="C214" i="25"/>
  <c r="D214" i="25"/>
  <c r="E214" i="25"/>
  <c r="E215" i="25" s="1"/>
  <c r="F214" i="25"/>
  <c r="G214" i="25"/>
  <c r="B215" i="25"/>
  <c r="C215" i="25"/>
  <c r="D215" i="25"/>
  <c r="F215" i="25"/>
  <c r="G215" i="25"/>
  <c r="B216" i="25"/>
  <c r="C216" i="25"/>
  <c r="D216" i="25"/>
  <c r="E216" i="25"/>
  <c r="F216" i="25"/>
  <c r="G216" i="25"/>
  <c r="B217" i="25"/>
  <c r="C217" i="25"/>
  <c r="D217" i="25"/>
  <c r="E217" i="25"/>
  <c r="F217" i="25"/>
  <c r="G217" i="25"/>
  <c r="B218" i="25"/>
  <c r="C218" i="25"/>
  <c r="D218" i="25"/>
  <c r="E218" i="25"/>
  <c r="F218" i="25"/>
  <c r="G218" i="25"/>
  <c r="B219" i="25"/>
  <c r="C219" i="25"/>
  <c r="D219" i="25"/>
  <c r="E219" i="25"/>
  <c r="F219" i="25"/>
  <c r="G219" i="25"/>
  <c r="B220" i="25"/>
  <c r="C220" i="25"/>
  <c r="D220" i="25"/>
  <c r="E220" i="25"/>
  <c r="F220" i="25"/>
  <c r="G220" i="25"/>
  <c r="B221" i="25"/>
  <c r="C221" i="25"/>
  <c r="D221" i="25"/>
  <c r="E221" i="25"/>
  <c r="F221" i="25"/>
  <c r="G221" i="25"/>
  <c r="B222" i="25"/>
  <c r="C222" i="25"/>
  <c r="D222" i="25"/>
  <c r="E222" i="25"/>
  <c r="F222" i="25"/>
  <c r="G222" i="25"/>
  <c r="B223" i="25"/>
  <c r="C223" i="25"/>
  <c r="D223" i="25"/>
  <c r="E223" i="25"/>
  <c r="F223" i="25"/>
  <c r="G223" i="25"/>
  <c r="H223" i="25" s="1"/>
  <c r="B224" i="25"/>
  <c r="C224" i="25"/>
  <c r="D224" i="25"/>
  <c r="E224" i="25"/>
  <c r="F224" i="25"/>
  <c r="G224" i="25"/>
  <c r="B225" i="25"/>
  <c r="C225" i="25"/>
  <c r="D225" i="25"/>
  <c r="E225" i="25"/>
  <c r="F225" i="25"/>
  <c r="G225" i="25"/>
  <c r="B226" i="25"/>
  <c r="C226" i="25"/>
  <c r="D226" i="25"/>
  <c r="E226" i="25"/>
  <c r="F226" i="25"/>
  <c r="H226" i="25" s="1"/>
  <c r="G226" i="25"/>
  <c r="B227" i="25"/>
  <c r="C227" i="25"/>
  <c r="D227" i="25"/>
  <c r="E227" i="25"/>
  <c r="F227" i="25"/>
  <c r="G227" i="25"/>
  <c r="B228" i="25"/>
  <c r="C228" i="25"/>
  <c r="D228" i="25"/>
  <c r="E228" i="25"/>
  <c r="F228" i="25"/>
  <c r="G228" i="25"/>
  <c r="B229" i="25"/>
  <c r="C229" i="25"/>
  <c r="D229" i="25"/>
  <c r="E229" i="25"/>
  <c r="F229" i="25"/>
  <c r="F230" i="25" s="1"/>
  <c r="G229" i="25"/>
  <c r="G230" i="25" s="1"/>
  <c r="B230" i="25"/>
  <c r="C230" i="25"/>
  <c r="D230" i="25"/>
  <c r="E230" i="25"/>
  <c r="B231" i="25"/>
  <c r="C231" i="25"/>
  <c r="D231" i="25"/>
  <c r="E231" i="25"/>
  <c r="F231" i="25"/>
  <c r="G231" i="25"/>
  <c r="H231" i="25"/>
  <c r="B232" i="25"/>
  <c r="C232" i="25"/>
  <c r="D232" i="25"/>
  <c r="E232" i="25"/>
  <c r="F232" i="25"/>
  <c r="G232" i="25"/>
  <c r="B233" i="25"/>
  <c r="C233" i="25"/>
  <c r="D233" i="25"/>
  <c r="E233" i="25"/>
  <c r="F233" i="25"/>
  <c r="G233" i="25"/>
  <c r="B234" i="25"/>
  <c r="C234" i="25"/>
  <c r="H234" i="25" s="1"/>
  <c r="D234" i="25"/>
  <c r="E234" i="25"/>
  <c r="E235" i="25" s="1"/>
  <c r="F234" i="25"/>
  <c r="G234" i="25"/>
  <c r="B235" i="25"/>
  <c r="C235" i="25"/>
  <c r="D235" i="25"/>
  <c r="F235" i="25"/>
  <c r="G235" i="25"/>
  <c r="B236" i="25"/>
  <c r="C236" i="25"/>
  <c r="D236" i="25"/>
  <c r="E236" i="25"/>
  <c r="F236" i="25"/>
  <c r="G236" i="25"/>
  <c r="B237" i="25"/>
  <c r="C237" i="25"/>
  <c r="D237" i="25"/>
  <c r="E237" i="25"/>
  <c r="F237" i="25"/>
  <c r="G237" i="25"/>
  <c r="B238" i="25"/>
  <c r="C238" i="25"/>
  <c r="H238" i="25" s="1"/>
  <c r="D238" i="25"/>
  <c r="E238" i="25"/>
  <c r="F238" i="25"/>
  <c r="G238" i="25"/>
  <c r="B239" i="25"/>
  <c r="C239" i="25"/>
  <c r="D239" i="25"/>
  <c r="E239" i="25"/>
  <c r="F239" i="25"/>
  <c r="G239" i="25"/>
  <c r="B240" i="25"/>
  <c r="C240" i="25"/>
  <c r="D240" i="25"/>
  <c r="E240" i="25"/>
  <c r="E241" i="25" s="1"/>
  <c r="F240" i="25"/>
  <c r="G240" i="25"/>
  <c r="B241" i="25"/>
  <c r="C241" i="25"/>
  <c r="D241" i="25"/>
  <c r="F241" i="25"/>
  <c r="G241" i="25"/>
  <c r="B242" i="25"/>
  <c r="C242" i="25"/>
  <c r="D242" i="25"/>
  <c r="E242" i="25"/>
  <c r="F242" i="25"/>
  <c r="G242" i="25"/>
  <c r="B243" i="25"/>
  <c r="C243" i="25"/>
  <c r="D243" i="25"/>
  <c r="E243" i="25"/>
  <c r="F243" i="25"/>
  <c r="G243" i="25"/>
  <c r="B244" i="25"/>
  <c r="C244" i="25"/>
  <c r="H244" i="25" s="1"/>
  <c r="D244" i="25"/>
  <c r="E244" i="25"/>
  <c r="F244" i="25"/>
  <c r="G244" i="25"/>
  <c r="B245" i="25"/>
  <c r="C245" i="25"/>
  <c r="D245" i="25"/>
  <c r="E245" i="25"/>
  <c r="F245" i="25"/>
  <c r="G245" i="25"/>
  <c r="B246" i="25"/>
  <c r="C246" i="25"/>
  <c r="D246" i="25"/>
  <c r="E246" i="25"/>
  <c r="F246" i="25"/>
  <c r="G246" i="25"/>
  <c r="B247" i="25"/>
  <c r="C247" i="25"/>
  <c r="D247" i="25"/>
  <c r="E247" i="25"/>
  <c r="F247" i="25"/>
  <c r="G247" i="25"/>
  <c r="B248" i="25"/>
  <c r="C248" i="25"/>
  <c r="H248" i="25" s="1"/>
  <c r="D248" i="25"/>
  <c r="E248" i="25"/>
  <c r="F248" i="25"/>
  <c r="G248" i="25"/>
  <c r="B249" i="25"/>
  <c r="C249" i="25"/>
  <c r="D249" i="25"/>
  <c r="E249" i="25"/>
  <c r="F249" i="25"/>
  <c r="H249" i="25" s="1"/>
  <c r="G249" i="25"/>
  <c r="B250" i="25"/>
  <c r="C250" i="25"/>
  <c r="H250" i="25" s="1"/>
  <c r="D250" i="25"/>
  <c r="E250" i="25"/>
  <c r="F250" i="25"/>
  <c r="G250" i="25"/>
  <c r="B251" i="25"/>
  <c r="C251" i="25"/>
  <c r="D251" i="25"/>
  <c r="E251" i="25"/>
  <c r="F251" i="25"/>
  <c r="G251" i="25"/>
  <c r="B252" i="25"/>
  <c r="C252" i="25"/>
  <c r="H252" i="25" s="1"/>
  <c r="D252" i="25"/>
  <c r="E252" i="25"/>
  <c r="F252" i="25"/>
  <c r="G252" i="25"/>
  <c r="B253" i="25"/>
  <c r="C253" i="25"/>
  <c r="D253" i="25"/>
  <c r="E253" i="25"/>
  <c r="F253" i="25"/>
  <c r="G253" i="25"/>
  <c r="B254" i="25"/>
  <c r="C254" i="25"/>
  <c r="D254" i="25"/>
  <c r="E254" i="25"/>
  <c r="F254" i="25"/>
  <c r="G254" i="25"/>
  <c r="B255" i="25"/>
  <c r="C255" i="25"/>
  <c r="D255" i="25"/>
  <c r="E255" i="25"/>
  <c r="F255" i="25"/>
  <c r="G255" i="25"/>
  <c r="B256" i="25"/>
  <c r="C256" i="25"/>
  <c r="H256" i="25" s="1"/>
  <c r="D256" i="25"/>
  <c r="E256" i="25"/>
  <c r="F256" i="25"/>
  <c r="G256" i="25"/>
  <c r="B257" i="25"/>
  <c r="C257" i="25"/>
  <c r="D257" i="25"/>
  <c r="E257" i="25"/>
  <c r="F257" i="25"/>
  <c r="G257" i="25"/>
  <c r="B258" i="25"/>
  <c r="C258" i="25"/>
  <c r="D258" i="25"/>
  <c r="E258" i="25"/>
  <c r="F258" i="25"/>
  <c r="G258" i="25"/>
  <c r="B259" i="25"/>
  <c r="C259" i="25"/>
  <c r="D259" i="25"/>
  <c r="E259" i="25"/>
  <c r="F259" i="25"/>
  <c r="F260" i="25" s="1"/>
  <c r="G259" i="25"/>
  <c r="G260" i="25" s="1"/>
  <c r="B260" i="25"/>
  <c r="C260" i="25"/>
  <c r="D260" i="25"/>
  <c r="E260" i="25"/>
  <c r="B261" i="25"/>
  <c r="C261" i="25"/>
  <c r="D261" i="25"/>
  <c r="E261" i="25"/>
  <c r="F261" i="25"/>
  <c r="G261" i="25"/>
  <c r="B262" i="25"/>
  <c r="C262" i="25"/>
  <c r="H262" i="25" s="1"/>
  <c r="D262" i="25"/>
  <c r="E262" i="25"/>
  <c r="F262" i="25"/>
  <c r="G262" i="25"/>
  <c r="B263" i="25"/>
  <c r="C263" i="25"/>
  <c r="D263" i="25"/>
  <c r="E263" i="25"/>
  <c r="E264" i="25" s="1"/>
  <c r="F263" i="25"/>
  <c r="G263" i="25"/>
  <c r="B264" i="25"/>
  <c r="C264" i="25"/>
  <c r="D264" i="25"/>
  <c r="F264" i="25"/>
  <c r="G264" i="25"/>
  <c r="B265" i="25"/>
  <c r="C265" i="25"/>
  <c r="D265" i="25"/>
  <c r="E265" i="25"/>
  <c r="F265" i="25"/>
  <c r="G265" i="25"/>
  <c r="G266" i="25" s="1"/>
  <c r="G267" i="25" s="1"/>
  <c r="B266" i="25"/>
  <c r="C266" i="25"/>
  <c r="D266" i="25"/>
  <c r="E266" i="25"/>
  <c r="F266" i="25"/>
  <c r="F267" i="25" s="1"/>
  <c r="B267" i="25"/>
  <c r="C267" i="25"/>
  <c r="D267" i="25"/>
  <c r="E267" i="25"/>
  <c r="B268" i="25"/>
  <c r="C268" i="25"/>
  <c r="D268" i="25"/>
  <c r="E268" i="25"/>
  <c r="F268" i="25"/>
  <c r="G268" i="25"/>
  <c r="B269" i="25"/>
  <c r="C269" i="25"/>
  <c r="D269" i="25"/>
  <c r="E269" i="25"/>
  <c r="F269" i="25"/>
  <c r="G269" i="25"/>
  <c r="B270" i="25"/>
  <c r="C270" i="25"/>
  <c r="D270" i="25"/>
  <c r="E270" i="25"/>
  <c r="F270" i="25"/>
  <c r="G270" i="25"/>
  <c r="B271" i="25"/>
  <c r="C271" i="25"/>
  <c r="H271" i="25" s="1"/>
  <c r="I271" i="25" s="1"/>
  <c r="D271" i="25"/>
  <c r="E271" i="25"/>
  <c r="F271" i="25"/>
  <c r="G271" i="25"/>
  <c r="B272" i="25"/>
  <c r="C272" i="25"/>
  <c r="D272" i="25"/>
  <c r="E272" i="25"/>
  <c r="F272" i="25"/>
  <c r="G272" i="25"/>
  <c r="B273" i="25"/>
  <c r="C273" i="25"/>
  <c r="D273" i="25"/>
  <c r="E273" i="25"/>
  <c r="F273" i="25"/>
  <c r="G273" i="25"/>
  <c r="H273" i="25"/>
  <c r="B274" i="25"/>
  <c r="C274" i="25"/>
  <c r="D274" i="25"/>
  <c r="E274" i="25"/>
  <c r="F274" i="25"/>
  <c r="G274" i="25"/>
  <c r="B275" i="25"/>
  <c r="C275" i="25"/>
  <c r="D275" i="25"/>
  <c r="E275" i="25"/>
  <c r="F275" i="25"/>
  <c r="G275" i="25"/>
  <c r="B276" i="25"/>
  <c r="C276" i="25"/>
  <c r="D276" i="25"/>
  <c r="H276" i="25" s="1"/>
  <c r="E276" i="25"/>
  <c r="F276" i="25"/>
  <c r="G276" i="25"/>
  <c r="B277" i="25"/>
  <c r="C277" i="25"/>
  <c r="D277" i="25"/>
  <c r="E277" i="25"/>
  <c r="F277" i="25"/>
  <c r="G277" i="25"/>
  <c r="B278" i="25"/>
  <c r="C278" i="25"/>
  <c r="D278" i="25"/>
  <c r="E278" i="25"/>
  <c r="F278" i="25"/>
  <c r="G278" i="25"/>
  <c r="B279" i="25"/>
  <c r="C279" i="25"/>
  <c r="D279" i="25"/>
  <c r="E279" i="25"/>
  <c r="F279" i="25"/>
  <c r="G279" i="25"/>
  <c r="B280" i="25"/>
  <c r="C280" i="25"/>
  <c r="H280" i="25" s="1"/>
  <c r="I280" i="25" s="1"/>
  <c r="D280" i="25"/>
  <c r="E280" i="25"/>
  <c r="F280" i="25"/>
  <c r="G280" i="25"/>
  <c r="B281" i="25"/>
  <c r="C281" i="25"/>
  <c r="D281" i="25"/>
  <c r="E281" i="25"/>
  <c r="F281" i="25"/>
  <c r="G281" i="25"/>
  <c r="B282" i="25"/>
  <c r="C282" i="25"/>
  <c r="H282" i="25" s="1"/>
  <c r="D282" i="25"/>
  <c r="E282" i="25"/>
  <c r="F282" i="25"/>
  <c r="G282" i="25"/>
  <c r="B283" i="25"/>
  <c r="C283" i="25"/>
  <c r="D283" i="25"/>
  <c r="E283" i="25"/>
  <c r="F283" i="25"/>
  <c r="G283" i="25"/>
  <c r="B284" i="25"/>
  <c r="C284" i="25"/>
  <c r="D284" i="25"/>
  <c r="E284" i="25"/>
  <c r="F284" i="25"/>
  <c r="G284" i="25"/>
  <c r="B285" i="25"/>
  <c r="C285" i="25"/>
  <c r="D285" i="25"/>
  <c r="E285" i="25"/>
  <c r="E286" i="25" s="1"/>
  <c r="F285" i="25"/>
  <c r="H285" i="25" s="1"/>
  <c r="G285" i="25"/>
  <c r="B286" i="25"/>
  <c r="C286" i="25"/>
  <c r="H286" i="25" s="1"/>
  <c r="I286" i="25" s="1"/>
  <c r="D286" i="25"/>
  <c r="F286" i="25"/>
  <c r="G286" i="25"/>
  <c r="B287" i="25"/>
  <c r="C287" i="25"/>
  <c r="D287" i="25"/>
  <c r="E287" i="25"/>
  <c r="F287" i="25"/>
  <c r="G287" i="25"/>
  <c r="B288" i="25"/>
  <c r="C288" i="25"/>
  <c r="D288" i="25"/>
  <c r="E288" i="25"/>
  <c r="F288" i="25"/>
  <c r="G288" i="25"/>
  <c r="B289" i="25"/>
  <c r="C289" i="25"/>
  <c r="D289" i="25"/>
  <c r="E289" i="25"/>
  <c r="F289" i="25"/>
  <c r="G289" i="25"/>
  <c r="B290" i="25"/>
  <c r="C290" i="25"/>
  <c r="H290" i="25" s="1"/>
  <c r="D290" i="25"/>
  <c r="E290" i="25"/>
  <c r="F290" i="25"/>
  <c r="G290" i="25"/>
  <c r="B291" i="25"/>
  <c r="C291" i="25"/>
  <c r="D291" i="25"/>
  <c r="E291" i="25"/>
  <c r="F291" i="25"/>
  <c r="G291" i="25"/>
  <c r="B292" i="25"/>
  <c r="C292" i="25"/>
  <c r="H292" i="25" s="1"/>
  <c r="D292" i="25"/>
  <c r="E292" i="25"/>
  <c r="F292" i="25"/>
  <c r="G292" i="25"/>
  <c r="B293" i="25"/>
  <c r="C293" i="25"/>
  <c r="D293" i="25"/>
  <c r="E293" i="25"/>
  <c r="F293" i="25"/>
  <c r="G293" i="25"/>
  <c r="B294" i="25"/>
  <c r="C294" i="25"/>
  <c r="D294" i="25"/>
  <c r="E294" i="25"/>
  <c r="F294" i="25"/>
  <c r="G294" i="25"/>
  <c r="B295" i="25"/>
  <c r="C295" i="25"/>
  <c r="D295" i="25"/>
  <c r="E295" i="25"/>
  <c r="E296" i="25" s="1"/>
  <c r="F295" i="25"/>
  <c r="G295" i="25"/>
  <c r="B296" i="25"/>
  <c r="C296" i="25"/>
  <c r="D296" i="25"/>
  <c r="F296" i="25"/>
  <c r="G296" i="25"/>
  <c r="B297" i="25"/>
  <c r="C297" i="25"/>
  <c r="D297" i="25"/>
  <c r="E297" i="25"/>
  <c r="F297" i="25"/>
  <c r="G297" i="25"/>
  <c r="B298" i="25"/>
  <c r="C298" i="25"/>
  <c r="H298" i="25" s="1"/>
  <c r="D298" i="25"/>
  <c r="E298" i="25"/>
  <c r="F298" i="25"/>
  <c r="G298" i="25"/>
  <c r="B299" i="25"/>
  <c r="C299" i="25"/>
  <c r="D299" i="25"/>
  <c r="E299" i="25"/>
  <c r="F299" i="25"/>
  <c r="G299" i="25"/>
  <c r="B300" i="25"/>
  <c r="C300" i="25"/>
  <c r="D300" i="25"/>
  <c r="E300" i="25"/>
  <c r="F300" i="25"/>
  <c r="G300" i="25"/>
  <c r="B301" i="25"/>
  <c r="C301" i="25"/>
  <c r="D301" i="25"/>
  <c r="E301" i="25"/>
  <c r="F301" i="25"/>
  <c r="G301" i="25"/>
  <c r="B302" i="25"/>
  <c r="C302" i="25"/>
  <c r="D302" i="25"/>
  <c r="E302" i="25"/>
  <c r="F302" i="25"/>
  <c r="G302" i="25"/>
  <c r="B303" i="25"/>
  <c r="C303" i="25"/>
  <c r="D303" i="25"/>
  <c r="E303" i="25"/>
  <c r="F303" i="25"/>
  <c r="G303" i="25"/>
  <c r="B304" i="25"/>
  <c r="C304" i="25"/>
  <c r="D304" i="25"/>
  <c r="H304" i="25" s="1"/>
  <c r="E304" i="25"/>
  <c r="F304" i="25"/>
  <c r="G304" i="25"/>
  <c r="B305" i="25"/>
  <c r="C305" i="25"/>
  <c r="D305" i="25"/>
  <c r="D306" i="25" s="1"/>
  <c r="E305" i="25"/>
  <c r="F305" i="25"/>
  <c r="G305" i="25"/>
  <c r="B306" i="25"/>
  <c r="C306" i="25"/>
  <c r="E306" i="25"/>
  <c r="F306" i="25"/>
  <c r="G306" i="25"/>
  <c r="B307" i="25"/>
  <c r="C307" i="25"/>
  <c r="C3" i="25" s="1"/>
  <c r="U7" i="24" s="1"/>
  <c r="D307" i="25"/>
  <c r="E307" i="25"/>
  <c r="F307" i="25"/>
  <c r="G307" i="25"/>
  <c r="B308" i="25"/>
  <c r="C308" i="25"/>
  <c r="H308" i="25" s="1"/>
  <c r="D308" i="25"/>
  <c r="E308" i="25"/>
  <c r="F308" i="25"/>
  <c r="G308" i="25"/>
  <c r="B309" i="25"/>
  <c r="C309" i="25"/>
  <c r="D309" i="25"/>
  <c r="E309" i="25"/>
  <c r="F309" i="25"/>
  <c r="G309" i="25"/>
  <c r="B310" i="25"/>
  <c r="C310" i="25"/>
  <c r="D310" i="25"/>
  <c r="E310" i="25"/>
  <c r="F310" i="25"/>
  <c r="G310" i="25"/>
  <c r="B311" i="25"/>
  <c r="C311" i="25"/>
  <c r="D311" i="25"/>
  <c r="E311" i="25"/>
  <c r="F311" i="25"/>
  <c r="G311" i="25"/>
  <c r="B312" i="25"/>
  <c r="C312" i="25"/>
  <c r="D312" i="25"/>
  <c r="E312" i="25"/>
  <c r="F312" i="25"/>
  <c r="G312" i="25"/>
  <c r="B313" i="25"/>
  <c r="C313" i="25"/>
  <c r="H313" i="25" s="1"/>
  <c r="D313" i="25"/>
  <c r="E313" i="25"/>
  <c r="F313" i="25"/>
  <c r="G313" i="25"/>
  <c r="B314" i="25"/>
  <c r="C314" i="25"/>
  <c r="H314" i="25" s="1"/>
  <c r="D314" i="25"/>
  <c r="E314" i="25"/>
  <c r="F314" i="25"/>
  <c r="G314" i="25"/>
  <c r="B315" i="25"/>
  <c r="C315" i="25"/>
  <c r="H315" i="25" s="1"/>
  <c r="D315" i="25"/>
  <c r="E315" i="25"/>
  <c r="F315" i="25"/>
  <c r="G315" i="25"/>
  <c r="B316" i="25"/>
  <c r="C316" i="25"/>
  <c r="D316" i="25"/>
  <c r="E316" i="25"/>
  <c r="F316" i="25"/>
  <c r="G316" i="25"/>
  <c r="H316" i="25"/>
  <c r="B317" i="25"/>
  <c r="C317" i="25"/>
  <c r="D317" i="25"/>
  <c r="E317" i="25"/>
  <c r="F317" i="25"/>
  <c r="G317" i="25"/>
  <c r="B318" i="25"/>
  <c r="C318" i="25"/>
  <c r="D318" i="25"/>
  <c r="E318" i="25"/>
  <c r="F318" i="25"/>
  <c r="G318" i="25"/>
  <c r="G319" i="25" s="1"/>
  <c r="G320" i="25" s="1"/>
  <c r="B319" i="25"/>
  <c r="C319" i="25"/>
  <c r="D319" i="25"/>
  <c r="E319" i="25"/>
  <c r="B320" i="25"/>
  <c r="C320" i="25"/>
  <c r="D320" i="25"/>
  <c r="E320" i="25"/>
  <c r="B321" i="25"/>
  <c r="C321" i="25"/>
  <c r="D321" i="25"/>
  <c r="E321" i="25"/>
  <c r="F321" i="25"/>
  <c r="G321" i="25"/>
  <c r="B322" i="25"/>
  <c r="C322" i="25"/>
  <c r="D322" i="25"/>
  <c r="H322" i="25" s="1"/>
  <c r="E322" i="25"/>
  <c r="F322" i="25"/>
  <c r="G322" i="25"/>
  <c r="B323" i="25"/>
  <c r="C323" i="25"/>
  <c r="D323" i="25"/>
  <c r="E323" i="25"/>
  <c r="F323" i="25"/>
  <c r="G323" i="25"/>
  <c r="B324" i="25"/>
  <c r="C324" i="25"/>
  <c r="D324" i="25"/>
  <c r="E324" i="25"/>
  <c r="F324" i="25"/>
  <c r="G324" i="25"/>
  <c r="B325" i="25"/>
  <c r="C325" i="25"/>
  <c r="D325" i="25"/>
  <c r="E325" i="25"/>
  <c r="F325" i="25"/>
  <c r="G325" i="25"/>
  <c r="B326" i="25"/>
  <c r="C326" i="25"/>
  <c r="D326" i="25"/>
  <c r="E326" i="25"/>
  <c r="F326" i="25"/>
  <c r="G326" i="25"/>
  <c r="B327" i="25"/>
  <c r="C327" i="25"/>
  <c r="D327" i="25"/>
  <c r="E327" i="25"/>
  <c r="F327" i="25"/>
  <c r="G327" i="25"/>
  <c r="B328" i="25"/>
  <c r="C328" i="25"/>
  <c r="D328" i="25"/>
  <c r="E328" i="25"/>
  <c r="F328" i="25"/>
  <c r="G328" i="25"/>
  <c r="B329" i="25"/>
  <c r="C329" i="25"/>
  <c r="D329" i="25"/>
  <c r="E329" i="25"/>
  <c r="F329" i="25"/>
  <c r="G329" i="25"/>
  <c r="B330" i="25"/>
  <c r="C330" i="25"/>
  <c r="D330" i="25"/>
  <c r="E330" i="25"/>
  <c r="F330" i="25"/>
  <c r="G330" i="25"/>
  <c r="G331" i="25" s="1"/>
  <c r="B331" i="25"/>
  <c r="C331" i="25"/>
  <c r="H331" i="25" s="1"/>
  <c r="D331" i="25"/>
  <c r="E331" i="25"/>
  <c r="F331" i="25"/>
  <c r="B332" i="25"/>
  <c r="C332" i="25"/>
  <c r="D332" i="25"/>
  <c r="E332" i="25"/>
  <c r="F332" i="25"/>
  <c r="G332" i="25"/>
  <c r="H332" i="25" s="1"/>
  <c r="B333" i="25"/>
  <c r="C333" i="25"/>
  <c r="D333" i="25"/>
  <c r="E333" i="25"/>
  <c r="F333" i="25"/>
  <c r="G333" i="25"/>
  <c r="B334" i="25"/>
  <c r="C334" i="25"/>
  <c r="D334" i="25"/>
  <c r="E334" i="25"/>
  <c r="F334" i="25"/>
  <c r="G334" i="25"/>
  <c r="B335" i="25"/>
  <c r="C335" i="25"/>
  <c r="D335" i="25"/>
  <c r="E335" i="25"/>
  <c r="F335" i="25"/>
  <c r="G335" i="25"/>
  <c r="B336" i="25"/>
  <c r="C336" i="25"/>
  <c r="D336" i="25"/>
  <c r="E336" i="25"/>
  <c r="F336" i="25"/>
  <c r="G336" i="25"/>
  <c r="B337" i="25"/>
  <c r="C337" i="25"/>
  <c r="H337" i="25" s="1"/>
  <c r="I337" i="25" s="1"/>
  <c r="D337" i="25"/>
  <c r="E337" i="25"/>
  <c r="F337" i="25"/>
  <c r="G337" i="25"/>
  <c r="B338" i="25"/>
  <c r="C338" i="25"/>
  <c r="D338" i="25"/>
  <c r="E338" i="25"/>
  <c r="F338" i="25"/>
  <c r="G338" i="25"/>
  <c r="B339" i="25"/>
  <c r="C339" i="25"/>
  <c r="D339" i="25"/>
  <c r="E339" i="25"/>
  <c r="F339" i="25"/>
  <c r="G339" i="25"/>
  <c r="B340" i="25"/>
  <c r="C340" i="25"/>
  <c r="D340" i="25"/>
  <c r="E340" i="25"/>
  <c r="F340" i="25"/>
  <c r="H340" i="25" s="1"/>
  <c r="G340" i="25"/>
  <c r="B341" i="25"/>
  <c r="C341" i="25"/>
  <c r="D341" i="25"/>
  <c r="H341" i="25" s="1"/>
  <c r="E341" i="25"/>
  <c r="F341" i="25"/>
  <c r="G341" i="25"/>
  <c r="B342" i="25"/>
  <c r="C342" i="25"/>
  <c r="D342" i="25"/>
  <c r="E342" i="25"/>
  <c r="F342" i="25"/>
  <c r="G342" i="25"/>
  <c r="B343" i="25"/>
  <c r="C343" i="25"/>
  <c r="D343" i="25"/>
  <c r="E343" i="25"/>
  <c r="F343" i="25"/>
  <c r="G343" i="25"/>
  <c r="B344" i="25"/>
  <c r="C344" i="25"/>
  <c r="D344" i="25"/>
  <c r="E344" i="25"/>
  <c r="F344" i="25"/>
  <c r="G344" i="25"/>
  <c r="B345" i="25"/>
  <c r="C345" i="25"/>
  <c r="D345" i="25"/>
  <c r="E345" i="25"/>
  <c r="F345" i="25"/>
  <c r="G345" i="25"/>
  <c r="B346" i="25"/>
  <c r="C346" i="25"/>
  <c r="D346" i="25"/>
  <c r="E346" i="25"/>
  <c r="F346" i="25"/>
  <c r="G346" i="25"/>
  <c r="B347" i="25"/>
  <c r="C347" i="25"/>
  <c r="D347" i="25"/>
  <c r="H347" i="25" s="1"/>
  <c r="E347" i="25"/>
  <c r="F347" i="25"/>
  <c r="G347" i="25"/>
  <c r="B348" i="25"/>
  <c r="C348" i="25"/>
  <c r="D348" i="25"/>
  <c r="E348" i="25"/>
  <c r="F348" i="25"/>
  <c r="G348" i="25"/>
  <c r="B349" i="25"/>
  <c r="C349" i="25"/>
  <c r="D349" i="25"/>
  <c r="E349" i="25"/>
  <c r="F349" i="25"/>
  <c r="G349" i="25"/>
  <c r="B350" i="25"/>
  <c r="C350" i="25"/>
  <c r="D350" i="25"/>
  <c r="E350" i="25"/>
  <c r="F350" i="25"/>
  <c r="G350" i="25"/>
  <c r="B351" i="25"/>
  <c r="C351" i="25"/>
  <c r="D351" i="25"/>
  <c r="E351" i="25"/>
  <c r="F351" i="25"/>
  <c r="G351" i="25"/>
  <c r="B352" i="25"/>
  <c r="C352" i="25"/>
  <c r="D352" i="25"/>
  <c r="E352" i="25"/>
  <c r="F352" i="25"/>
  <c r="G352" i="25"/>
  <c r="B353" i="25"/>
  <c r="C353" i="25"/>
  <c r="D353" i="25"/>
  <c r="H353" i="25" s="1"/>
  <c r="E353" i="25"/>
  <c r="F353" i="25"/>
  <c r="G353" i="25"/>
  <c r="B354" i="25"/>
  <c r="C354" i="25"/>
  <c r="D354" i="25"/>
  <c r="E354" i="25"/>
  <c r="F354" i="25"/>
  <c r="G354" i="25"/>
  <c r="B355" i="25"/>
  <c r="C355" i="25"/>
  <c r="D355" i="25"/>
  <c r="E355" i="25"/>
  <c r="F355" i="25"/>
  <c r="G355" i="25"/>
  <c r="B356" i="25"/>
  <c r="C356" i="25"/>
  <c r="D356" i="25"/>
  <c r="E356" i="25"/>
  <c r="F356" i="25"/>
  <c r="G356" i="25"/>
  <c r="B357" i="25"/>
  <c r="C357" i="25"/>
  <c r="D357" i="25"/>
  <c r="E357" i="25"/>
  <c r="F357" i="25"/>
  <c r="G357" i="25"/>
  <c r="B358" i="25"/>
  <c r="C358" i="25"/>
  <c r="D358" i="25"/>
  <c r="E358" i="25"/>
  <c r="F358" i="25"/>
  <c r="F359" i="25" s="1"/>
  <c r="G358" i="25"/>
  <c r="G359" i="25" s="1"/>
  <c r="B359" i="25"/>
  <c r="C359" i="25"/>
  <c r="D359" i="25"/>
  <c r="E359" i="25"/>
  <c r="B360" i="25"/>
  <c r="C360" i="25"/>
  <c r="D360" i="25"/>
  <c r="E360" i="25"/>
  <c r="F360" i="25"/>
  <c r="G360" i="25"/>
  <c r="B361" i="25"/>
  <c r="C361" i="25"/>
  <c r="D361" i="25"/>
  <c r="E361" i="25"/>
  <c r="F361" i="25"/>
  <c r="G361" i="25"/>
  <c r="B362" i="25"/>
  <c r="C362" i="25"/>
  <c r="D362" i="25"/>
  <c r="E362" i="25"/>
  <c r="F362" i="25"/>
  <c r="G362" i="25"/>
  <c r="B363" i="25"/>
  <c r="C363" i="25"/>
  <c r="D363" i="25"/>
  <c r="E363" i="25"/>
  <c r="F363" i="25"/>
  <c r="G363" i="25"/>
  <c r="B364" i="25"/>
  <c r="C364" i="25"/>
  <c r="D364" i="25"/>
  <c r="E364" i="25"/>
  <c r="F364" i="25"/>
  <c r="G364" i="25"/>
  <c r="B365" i="25"/>
  <c r="C365" i="25"/>
  <c r="D365" i="25"/>
  <c r="E365" i="25"/>
  <c r="F365" i="25"/>
  <c r="G365" i="25"/>
  <c r="B366" i="25"/>
  <c r="C366" i="25"/>
  <c r="D366" i="25"/>
  <c r="E366" i="25"/>
  <c r="F366" i="25"/>
  <c r="G366" i="25"/>
  <c r="B367" i="25"/>
  <c r="C367" i="25"/>
  <c r="D367" i="25"/>
  <c r="E367" i="25"/>
  <c r="F367" i="25"/>
  <c r="G367" i="25"/>
  <c r="B368" i="25"/>
  <c r="C368" i="25"/>
  <c r="D368" i="25"/>
  <c r="E368" i="25"/>
  <c r="F368" i="25"/>
  <c r="G368" i="25"/>
  <c r="B369" i="25"/>
  <c r="C369" i="25"/>
  <c r="D369" i="25"/>
  <c r="E369" i="25"/>
  <c r="F369" i="25"/>
  <c r="G369" i="25"/>
  <c r="B370" i="25"/>
  <c r="C370" i="25"/>
  <c r="D370" i="25"/>
  <c r="E370" i="25"/>
  <c r="F370" i="25"/>
  <c r="G370" i="25"/>
  <c r="B371" i="25"/>
  <c r="C371" i="25"/>
  <c r="D371" i="25"/>
  <c r="E371" i="25"/>
  <c r="F371" i="25"/>
  <c r="G371" i="25"/>
  <c r="B372" i="25"/>
  <c r="C372" i="25"/>
  <c r="D372" i="25"/>
  <c r="E372" i="25"/>
  <c r="E373" i="25" s="1"/>
  <c r="F372" i="25"/>
  <c r="F373" i="25" s="1"/>
  <c r="G372" i="25"/>
  <c r="G373" i="25" s="1"/>
  <c r="B373" i="25"/>
  <c r="C373" i="25"/>
  <c r="D373" i="25"/>
  <c r="B374" i="25"/>
  <c r="C374" i="25"/>
  <c r="D374" i="25"/>
  <c r="E374" i="25"/>
  <c r="F374" i="25"/>
  <c r="G374" i="25"/>
  <c r="B375" i="25"/>
  <c r="C375" i="25"/>
  <c r="D375" i="25"/>
  <c r="E375" i="25"/>
  <c r="F375" i="25"/>
  <c r="G375" i="25"/>
  <c r="B376" i="25"/>
  <c r="C376" i="25"/>
  <c r="D376" i="25"/>
  <c r="E376" i="25"/>
  <c r="F376" i="25"/>
  <c r="G376" i="25"/>
  <c r="B377" i="25"/>
  <c r="C377" i="25"/>
  <c r="D377" i="25"/>
  <c r="E377" i="25"/>
  <c r="F377" i="25"/>
  <c r="G377" i="25"/>
  <c r="B378" i="25"/>
  <c r="C378" i="25"/>
  <c r="D378" i="25"/>
  <c r="E378" i="25"/>
  <c r="F378" i="25"/>
  <c r="G378" i="25"/>
  <c r="B379" i="25"/>
  <c r="C379" i="25"/>
  <c r="D379" i="25"/>
  <c r="E379" i="25"/>
  <c r="F379" i="25"/>
  <c r="G379" i="25"/>
  <c r="B380" i="25"/>
  <c r="C380" i="25"/>
  <c r="D380" i="25"/>
  <c r="D381" i="25" s="1"/>
  <c r="D382" i="25" s="1"/>
  <c r="E380" i="25"/>
  <c r="F380" i="25"/>
  <c r="F381" i="25" s="1"/>
  <c r="G380" i="25"/>
  <c r="G381" i="25" s="1"/>
  <c r="B381" i="25"/>
  <c r="C381" i="25"/>
  <c r="E381" i="25"/>
  <c r="B382" i="25"/>
  <c r="C382" i="25"/>
  <c r="E382" i="25"/>
  <c r="F382" i="25"/>
  <c r="G382" i="25"/>
  <c r="B383" i="25"/>
  <c r="C383" i="25"/>
  <c r="D383" i="25"/>
  <c r="E383" i="25"/>
  <c r="F383" i="25"/>
  <c r="G383" i="25"/>
  <c r="B384" i="25"/>
  <c r="C384" i="25"/>
  <c r="D384" i="25"/>
  <c r="E384" i="25"/>
  <c r="F384" i="25"/>
  <c r="G384" i="25"/>
  <c r="B385" i="25"/>
  <c r="C385" i="25"/>
  <c r="D385" i="25"/>
  <c r="E385" i="25"/>
  <c r="F385" i="25"/>
  <c r="G385" i="25"/>
  <c r="B386" i="25"/>
  <c r="C386" i="25"/>
  <c r="D386" i="25"/>
  <c r="E386" i="25"/>
  <c r="F386" i="25"/>
  <c r="G386" i="25"/>
  <c r="B387" i="25"/>
  <c r="C387" i="25"/>
  <c r="D387" i="25"/>
  <c r="E387" i="25"/>
  <c r="F387" i="25"/>
  <c r="G387" i="25"/>
  <c r="B388" i="25"/>
  <c r="C388" i="25"/>
  <c r="D388" i="25"/>
  <c r="E388" i="25"/>
  <c r="F388" i="25"/>
  <c r="G388" i="25"/>
  <c r="B389" i="25"/>
  <c r="C389" i="25"/>
  <c r="D389" i="25"/>
  <c r="E389" i="25"/>
  <c r="E390" i="25" s="1"/>
  <c r="F389" i="25"/>
  <c r="G389" i="25"/>
  <c r="B390" i="25"/>
  <c r="C390" i="25"/>
  <c r="D390" i="25"/>
  <c r="F390" i="25"/>
  <c r="G390" i="25"/>
  <c r="B391" i="25"/>
  <c r="C391" i="25"/>
  <c r="D391" i="25"/>
  <c r="E391" i="25"/>
  <c r="F391" i="25"/>
  <c r="F392" i="25" s="1"/>
  <c r="F393" i="25" s="1"/>
  <c r="G391" i="25"/>
  <c r="G392" i="25" s="1"/>
  <c r="G393" i="25" s="1"/>
  <c r="G394" i="25" s="1"/>
  <c r="B392" i="25"/>
  <c r="C392" i="25"/>
  <c r="D392" i="25"/>
  <c r="H392" i="25" s="1"/>
  <c r="E392" i="25"/>
  <c r="B393" i="25"/>
  <c r="C393" i="25"/>
  <c r="D393" i="25"/>
  <c r="E393" i="25"/>
  <c r="B394" i="25"/>
  <c r="C394" i="25"/>
  <c r="D394" i="25"/>
  <c r="E394" i="25"/>
  <c r="F394" i="25"/>
  <c r="B395" i="25"/>
  <c r="C395" i="25"/>
  <c r="D395" i="25"/>
  <c r="E395" i="25"/>
  <c r="F395" i="25"/>
  <c r="G395" i="25"/>
  <c r="B396" i="25"/>
  <c r="C396" i="25"/>
  <c r="D396" i="25"/>
  <c r="E396" i="25"/>
  <c r="F396" i="25"/>
  <c r="G396" i="25"/>
  <c r="B397" i="25"/>
  <c r="C397" i="25"/>
  <c r="D397" i="25"/>
  <c r="E397" i="25"/>
  <c r="F397" i="25"/>
  <c r="F398" i="25" s="1"/>
  <c r="G397" i="25"/>
  <c r="G398" i="25" s="1"/>
  <c r="B398" i="25"/>
  <c r="C398" i="25"/>
  <c r="D398" i="25"/>
  <c r="E398" i="25"/>
  <c r="B399" i="25"/>
  <c r="C399" i="25"/>
  <c r="D399" i="25"/>
  <c r="E399" i="25"/>
  <c r="F399" i="25"/>
  <c r="G399" i="25"/>
  <c r="B400" i="25"/>
  <c r="C400" i="25"/>
  <c r="D400" i="25"/>
  <c r="E400" i="25"/>
  <c r="F400" i="25"/>
  <c r="G400" i="25"/>
  <c r="B401" i="25"/>
  <c r="C401" i="25"/>
  <c r="D401" i="25"/>
  <c r="E401" i="25"/>
  <c r="F401" i="25"/>
  <c r="G401" i="25"/>
  <c r="B402" i="25"/>
  <c r="C402" i="25"/>
  <c r="D402" i="25"/>
  <c r="E402" i="25"/>
  <c r="F402" i="25"/>
  <c r="G402" i="25"/>
  <c r="B403" i="25"/>
  <c r="C403" i="25"/>
  <c r="D403" i="25"/>
  <c r="E403" i="25"/>
  <c r="F403" i="25"/>
  <c r="G403" i="25"/>
  <c r="B404" i="25"/>
  <c r="C404" i="25"/>
  <c r="D404" i="25"/>
  <c r="E404" i="25"/>
  <c r="F404" i="25"/>
  <c r="G404" i="25"/>
  <c r="B405" i="25"/>
  <c r="C405" i="25"/>
  <c r="D405" i="25"/>
  <c r="E405" i="25"/>
  <c r="F405" i="25"/>
  <c r="G405" i="25"/>
  <c r="B406" i="25"/>
  <c r="C406" i="25"/>
  <c r="D406" i="25"/>
  <c r="E406" i="25"/>
  <c r="F406" i="25"/>
  <c r="G406" i="25"/>
  <c r="B407" i="25"/>
  <c r="C407" i="25"/>
  <c r="D407" i="25"/>
  <c r="E407" i="25"/>
  <c r="F407" i="25"/>
  <c r="G407" i="25"/>
  <c r="B408" i="25"/>
  <c r="C408" i="25"/>
  <c r="D408" i="25"/>
  <c r="E408" i="25"/>
  <c r="F408" i="25"/>
  <c r="G408" i="25"/>
  <c r="B409" i="25"/>
  <c r="C409" i="25"/>
  <c r="D409" i="25"/>
  <c r="E409" i="25"/>
  <c r="F409" i="25"/>
  <c r="G409" i="25"/>
  <c r="B410" i="25"/>
  <c r="C410" i="25"/>
  <c r="D410" i="25"/>
  <c r="E410" i="25"/>
  <c r="F410" i="25"/>
  <c r="G410" i="25"/>
  <c r="B411" i="25"/>
  <c r="C411" i="25"/>
  <c r="H411" i="25" s="1"/>
  <c r="D411" i="25"/>
  <c r="E411" i="25"/>
  <c r="F411" i="25"/>
  <c r="G411" i="25"/>
  <c r="B412" i="25"/>
  <c r="C412" i="25"/>
  <c r="D412" i="25"/>
  <c r="E412" i="25"/>
  <c r="F412" i="25"/>
  <c r="G412" i="25"/>
  <c r="B413" i="25"/>
  <c r="C413" i="25"/>
  <c r="D413" i="25"/>
  <c r="E413" i="25"/>
  <c r="F413" i="25"/>
  <c r="G413" i="25"/>
  <c r="B414" i="25"/>
  <c r="C414" i="25"/>
  <c r="D414" i="25"/>
  <c r="E414" i="25"/>
  <c r="F414" i="25"/>
  <c r="G414" i="25"/>
  <c r="B415" i="25"/>
  <c r="C415" i="25"/>
  <c r="H415" i="25" s="1"/>
  <c r="D415" i="25"/>
  <c r="E415" i="25"/>
  <c r="F415" i="25"/>
  <c r="G415" i="25"/>
  <c r="B416" i="25"/>
  <c r="C416" i="25"/>
  <c r="D416" i="25"/>
  <c r="E416" i="25"/>
  <c r="F416" i="25"/>
  <c r="G416" i="25"/>
  <c r="B417" i="25"/>
  <c r="C417" i="25"/>
  <c r="H417" i="25" s="1"/>
  <c r="D417" i="25"/>
  <c r="E417" i="25"/>
  <c r="F417" i="25"/>
  <c r="G417" i="25"/>
  <c r="B418" i="25"/>
  <c r="C418" i="25"/>
  <c r="D418" i="25"/>
  <c r="E418" i="25"/>
  <c r="F418" i="25"/>
  <c r="G418" i="25"/>
  <c r="B419" i="25"/>
  <c r="C419" i="25"/>
  <c r="D419" i="25"/>
  <c r="E419" i="25"/>
  <c r="F419" i="25"/>
  <c r="G419" i="25"/>
  <c r="B420" i="25"/>
  <c r="C420" i="25"/>
  <c r="D420" i="25"/>
  <c r="E420" i="25"/>
  <c r="F420" i="25"/>
  <c r="G420" i="25"/>
  <c r="B421" i="25"/>
  <c r="C421" i="25"/>
  <c r="D421" i="25"/>
  <c r="E421" i="25"/>
  <c r="F421" i="25"/>
  <c r="G421" i="25"/>
  <c r="B422" i="25"/>
  <c r="C422" i="25"/>
  <c r="D422" i="25"/>
  <c r="E422" i="25"/>
  <c r="F422" i="25"/>
  <c r="G422" i="25"/>
  <c r="B423" i="25"/>
  <c r="C423" i="25"/>
  <c r="D423" i="25"/>
  <c r="E423" i="25"/>
  <c r="F423" i="25"/>
  <c r="G423" i="25"/>
  <c r="B424" i="25"/>
  <c r="C424" i="25"/>
  <c r="D424" i="25"/>
  <c r="D425" i="25" s="1"/>
  <c r="E424" i="25"/>
  <c r="F424" i="25"/>
  <c r="G424" i="25"/>
  <c r="B425" i="25"/>
  <c r="C425" i="25"/>
  <c r="E425" i="25"/>
  <c r="F425" i="25"/>
  <c r="G425" i="25"/>
  <c r="B426" i="25"/>
  <c r="C426" i="25"/>
  <c r="D426" i="25"/>
  <c r="H426" i="25" s="1"/>
  <c r="E426" i="25"/>
  <c r="F426" i="25"/>
  <c r="G426" i="25"/>
  <c r="B427" i="25"/>
  <c r="C427" i="25"/>
  <c r="D427" i="25"/>
  <c r="E427" i="25"/>
  <c r="F427" i="25"/>
  <c r="G427" i="25"/>
  <c r="B428" i="25"/>
  <c r="C428" i="25"/>
  <c r="D428" i="25"/>
  <c r="E428" i="25"/>
  <c r="F428" i="25"/>
  <c r="G428" i="25"/>
  <c r="B429" i="25"/>
  <c r="C429" i="25"/>
  <c r="D429" i="25"/>
  <c r="E429" i="25"/>
  <c r="F429" i="25"/>
  <c r="G429" i="25"/>
  <c r="B430" i="25"/>
  <c r="C430" i="25"/>
  <c r="D430" i="25"/>
  <c r="E430" i="25"/>
  <c r="F430" i="25"/>
  <c r="G430" i="25"/>
  <c r="B431" i="25"/>
  <c r="C431" i="25"/>
  <c r="D431" i="25"/>
  <c r="E431" i="25"/>
  <c r="F431" i="25"/>
  <c r="G431" i="25"/>
  <c r="B432" i="25"/>
  <c r="C432" i="25"/>
  <c r="D432" i="25"/>
  <c r="E432" i="25"/>
  <c r="F432" i="25"/>
  <c r="F433" i="25" s="1"/>
  <c r="G432" i="25"/>
  <c r="B433" i="25"/>
  <c r="C433" i="25"/>
  <c r="D433" i="25"/>
  <c r="E433" i="25"/>
  <c r="G433" i="25"/>
  <c r="B434" i="25"/>
  <c r="C434" i="25"/>
  <c r="D434" i="25"/>
  <c r="E434" i="25"/>
  <c r="F434" i="25"/>
  <c r="G434" i="25"/>
  <c r="B435" i="25"/>
  <c r="C435" i="25"/>
  <c r="D435" i="25"/>
  <c r="E435" i="25"/>
  <c r="F435" i="25"/>
  <c r="G435" i="25"/>
  <c r="B436" i="25"/>
  <c r="C436" i="25"/>
  <c r="D436" i="25"/>
  <c r="E436" i="25"/>
  <c r="F436" i="25"/>
  <c r="G436" i="25"/>
  <c r="B437" i="25"/>
  <c r="C437" i="25"/>
  <c r="D437" i="25"/>
  <c r="E437" i="25"/>
  <c r="F437" i="25"/>
  <c r="G437" i="25"/>
  <c r="B438" i="25"/>
  <c r="C438" i="25"/>
  <c r="D438" i="25"/>
  <c r="E438" i="25"/>
  <c r="F438" i="25"/>
  <c r="G438" i="25"/>
  <c r="B439" i="25"/>
  <c r="C439" i="25"/>
  <c r="D439" i="25"/>
  <c r="E439" i="25"/>
  <c r="F439" i="25"/>
  <c r="G439" i="25"/>
  <c r="B440" i="25"/>
  <c r="C440" i="25"/>
  <c r="D440" i="25"/>
  <c r="E440" i="25"/>
  <c r="F440" i="25"/>
  <c r="G440" i="25"/>
  <c r="B441" i="25"/>
  <c r="C441" i="25"/>
  <c r="D441" i="25"/>
  <c r="E441" i="25"/>
  <c r="F441" i="25"/>
  <c r="G441" i="25"/>
  <c r="B442" i="25"/>
  <c r="C442" i="25"/>
  <c r="D442" i="25"/>
  <c r="E442" i="25"/>
  <c r="F442" i="25"/>
  <c r="G442" i="25"/>
  <c r="B443" i="25"/>
  <c r="C443" i="25"/>
  <c r="D443" i="25"/>
  <c r="E443" i="25"/>
  <c r="F443" i="25"/>
  <c r="G443" i="25"/>
  <c r="B444" i="25"/>
  <c r="C444" i="25"/>
  <c r="H444" i="25" s="1"/>
  <c r="I444" i="25" s="1"/>
  <c r="D444" i="25"/>
  <c r="E444" i="25"/>
  <c r="F444" i="25"/>
  <c r="G444" i="25"/>
  <c r="B445" i="25"/>
  <c r="C445" i="25"/>
  <c r="D445" i="25"/>
  <c r="E445" i="25"/>
  <c r="F445" i="25"/>
  <c r="G445" i="25"/>
  <c r="B446" i="25"/>
  <c r="C446" i="25"/>
  <c r="D446" i="25"/>
  <c r="E446" i="25"/>
  <c r="F446" i="25"/>
  <c r="G446" i="25"/>
  <c r="B447" i="25"/>
  <c r="C447" i="25"/>
  <c r="D447" i="25"/>
  <c r="E447" i="25"/>
  <c r="F447" i="25"/>
  <c r="G447" i="25"/>
  <c r="B448" i="25"/>
  <c r="C448" i="25"/>
  <c r="D448" i="25"/>
  <c r="E448" i="25"/>
  <c r="E449" i="25" s="1"/>
  <c r="F448" i="25"/>
  <c r="G448" i="25"/>
  <c r="B449" i="25"/>
  <c r="C449" i="25"/>
  <c r="D449" i="25"/>
  <c r="F449" i="25"/>
  <c r="G449" i="25"/>
  <c r="B450" i="25"/>
  <c r="C450" i="25"/>
  <c r="D450" i="25"/>
  <c r="E450" i="25"/>
  <c r="F450" i="25"/>
  <c r="G450" i="25"/>
  <c r="B451" i="25"/>
  <c r="C451" i="25"/>
  <c r="D451" i="25"/>
  <c r="E451" i="25"/>
  <c r="F451" i="25"/>
  <c r="G451" i="25"/>
  <c r="B452" i="25"/>
  <c r="C452" i="25"/>
  <c r="D452" i="25"/>
  <c r="E452" i="25"/>
  <c r="F452" i="25"/>
  <c r="G452" i="25"/>
  <c r="B453" i="25"/>
  <c r="I453" i="25" s="1"/>
  <c r="C453" i="25"/>
  <c r="D453" i="25"/>
  <c r="E453" i="25"/>
  <c r="H453" i="25" s="1"/>
  <c r="F453" i="25"/>
  <c r="G453" i="25"/>
  <c r="B454" i="25"/>
  <c r="C454" i="25"/>
  <c r="D454" i="25"/>
  <c r="E454" i="25"/>
  <c r="F454" i="25"/>
  <c r="G454" i="25"/>
  <c r="B455" i="25"/>
  <c r="C455" i="25"/>
  <c r="D455" i="25"/>
  <c r="E455" i="25"/>
  <c r="F455" i="25"/>
  <c r="G455" i="25"/>
  <c r="H455" i="25"/>
  <c r="B456" i="25"/>
  <c r="C456" i="25"/>
  <c r="D456" i="25"/>
  <c r="E456" i="25"/>
  <c r="F456" i="25"/>
  <c r="G456" i="25"/>
  <c r="B457" i="25"/>
  <c r="C457" i="25"/>
  <c r="D457" i="25"/>
  <c r="E457" i="25"/>
  <c r="F457" i="25"/>
  <c r="G457" i="25"/>
  <c r="B458" i="25"/>
  <c r="C458" i="25"/>
  <c r="D458" i="25"/>
  <c r="E458" i="25"/>
  <c r="F458" i="25"/>
  <c r="G458" i="25"/>
  <c r="B459" i="25"/>
  <c r="C459" i="25"/>
  <c r="D459" i="25"/>
  <c r="D460" i="25" s="1"/>
  <c r="E459" i="25"/>
  <c r="F459" i="25"/>
  <c r="F460" i="25" s="1"/>
  <c r="G459" i="25"/>
  <c r="B460" i="25"/>
  <c r="C460" i="25"/>
  <c r="E460" i="25"/>
  <c r="G460" i="25"/>
  <c r="B461" i="25"/>
  <c r="C461" i="25"/>
  <c r="D461" i="25"/>
  <c r="E461" i="25"/>
  <c r="F461" i="25"/>
  <c r="G461" i="25"/>
  <c r="B462" i="25"/>
  <c r="C462" i="25"/>
  <c r="D462" i="25"/>
  <c r="E462" i="25"/>
  <c r="F462" i="25"/>
  <c r="G462" i="25"/>
  <c r="B463" i="25"/>
  <c r="C463" i="25"/>
  <c r="D463" i="25"/>
  <c r="E463" i="25"/>
  <c r="F463" i="25"/>
  <c r="G463" i="25"/>
  <c r="B464" i="25"/>
  <c r="C464" i="25"/>
  <c r="D464" i="25"/>
  <c r="E464" i="25"/>
  <c r="F464" i="25"/>
  <c r="G464" i="25"/>
  <c r="B465" i="25"/>
  <c r="C465" i="25"/>
  <c r="D465" i="25"/>
  <c r="E465" i="25"/>
  <c r="F465" i="25"/>
  <c r="G465" i="25"/>
  <c r="B466" i="25"/>
  <c r="C466" i="25"/>
  <c r="D466" i="25"/>
  <c r="E466" i="25"/>
  <c r="F466" i="25"/>
  <c r="G466" i="25"/>
  <c r="B467" i="25"/>
  <c r="C467" i="25"/>
  <c r="D467" i="25"/>
  <c r="E467" i="25"/>
  <c r="F467" i="25"/>
  <c r="G467" i="25"/>
  <c r="B468" i="25"/>
  <c r="C468" i="25"/>
  <c r="D468" i="25"/>
  <c r="E468" i="25"/>
  <c r="F468" i="25"/>
  <c r="G468" i="25"/>
  <c r="B469" i="25"/>
  <c r="C469" i="25"/>
  <c r="D469" i="25"/>
  <c r="E469" i="25"/>
  <c r="F469" i="25"/>
  <c r="G469" i="25"/>
  <c r="B470" i="25"/>
  <c r="C470" i="25"/>
  <c r="D470" i="25"/>
  <c r="E470" i="25"/>
  <c r="F470" i="25"/>
  <c r="G470" i="25"/>
  <c r="B471" i="25"/>
  <c r="C471" i="25"/>
  <c r="D471" i="25"/>
  <c r="E471" i="25"/>
  <c r="F471" i="25"/>
  <c r="G471" i="25"/>
  <c r="B472" i="25"/>
  <c r="C472" i="25"/>
  <c r="D472" i="25"/>
  <c r="E472" i="25"/>
  <c r="F472" i="25"/>
  <c r="G472" i="25"/>
  <c r="B473" i="25"/>
  <c r="C473" i="25"/>
  <c r="D473" i="25"/>
  <c r="E473" i="25"/>
  <c r="F473" i="25"/>
  <c r="G473" i="25"/>
  <c r="B474" i="25"/>
  <c r="C474" i="25"/>
  <c r="D474" i="25"/>
  <c r="E474" i="25"/>
  <c r="F474" i="25"/>
  <c r="F475" i="25" s="1"/>
  <c r="G474" i="25"/>
  <c r="G475" i="25" s="1"/>
  <c r="B475" i="25"/>
  <c r="C475" i="25"/>
  <c r="D475" i="25"/>
  <c r="E475" i="25"/>
  <c r="B476" i="25"/>
  <c r="C476" i="25"/>
  <c r="D476" i="25"/>
  <c r="E476" i="25"/>
  <c r="F476" i="25"/>
  <c r="G476" i="25"/>
  <c r="B477" i="25"/>
  <c r="C477" i="25"/>
  <c r="D477" i="25"/>
  <c r="E477" i="25"/>
  <c r="F477" i="25"/>
  <c r="G477" i="25"/>
  <c r="B478" i="25"/>
  <c r="C478" i="25"/>
  <c r="D478" i="25"/>
  <c r="E478" i="25"/>
  <c r="F478" i="25"/>
  <c r="F479" i="25" s="1"/>
  <c r="G478" i="25"/>
  <c r="G479" i="25" s="1"/>
  <c r="B479" i="25"/>
  <c r="C479" i="25"/>
  <c r="D479" i="25"/>
  <c r="E479" i="25"/>
  <c r="E480" i="25" s="1"/>
  <c r="B480" i="25"/>
  <c r="C480" i="25"/>
  <c r="D480" i="25"/>
  <c r="F480" i="25"/>
  <c r="G480" i="25"/>
  <c r="B481" i="25"/>
  <c r="C481" i="25"/>
  <c r="D481" i="25"/>
  <c r="E481" i="25"/>
  <c r="F481" i="25"/>
  <c r="G481" i="25"/>
  <c r="B482" i="25"/>
  <c r="C482" i="25"/>
  <c r="D482" i="25"/>
  <c r="E482" i="25"/>
  <c r="F482" i="25"/>
  <c r="G482" i="25"/>
  <c r="B483" i="25"/>
  <c r="C483" i="25"/>
  <c r="D483" i="25"/>
  <c r="E483" i="25"/>
  <c r="F483" i="25"/>
  <c r="G483" i="25"/>
  <c r="B484" i="25"/>
  <c r="C484" i="25"/>
  <c r="D484" i="25"/>
  <c r="E484" i="25"/>
  <c r="F484" i="25"/>
  <c r="G484" i="25"/>
  <c r="B485" i="25"/>
  <c r="C485" i="25"/>
  <c r="D485" i="25"/>
  <c r="E485" i="25"/>
  <c r="F485" i="25"/>
  <c r="G485" i="25"/>
  <c r="B486" i="25"/>
  <c r="C486" i="25"/>
  <c r="H486" i="25" s="1"/>
  <c r="I486" i="25" s="1"/>
  <c r="D486" i="25"/>
  <c r="E486" i="25"/>
  <c r="F486" i="25"/>
  <c r="G486" i="25"/>
  <c r="B487" i="25"/>
  <c r="C487" i="25"/>
  <c r="D487" i="25"/>
  <c r="E487" i="25"/>
  <c r="F487" i="25"/>
  <c r="G487" i="25"/>
  <c r="B488" i="25"/>
  <c r="C488" i="25"/>
  <c r="D488" i="25"/>
  <c r="H488" i="25" s="1"/>
  <c r="I488" i="25" s="1"/>
  <c r="E488" i="25"/>
  <c r="F488" i="25"/>
  <c r="G488" i="25"/>
  <c r="B489" i="25"/>
  <c r="C489" i="25"/>
  <c r="H489" i="25" s="1"/>
  <c r="D489" i="25"/>
  <c r="E489" i="25"/>
  <c r="F489" i="25"/>
  <c r="G489" i="25"/>
  <c r="B490" i="25"/>
  <c r="C490" i="25"/>
  <c r="D490" i="25"/>
  <c r="E490" i="25"/>
  <c r="F490" i="25"/>
  <c r="G490" i="25"/>
  <c r="B491" i="25"/>
  <c r="C491" i="25"/>
  <c r="H491" i="25" s="1"/>
  <c r="I491" i="25" s="1"/>
  <c r="D491" i="25"/>
  <c r="E491" i="25"/>
  <c r="F491" i="25"/>
  <c r="G491" i="25"/>
  <c r="B492" i="25"/>
  <c r="C492" i="25"/>
  <c r="H492" i="25" s="1"/>
  <c r="I492" i="25" s="1"/>
  <c r="D492" i="25"/>
  <c r="E492" i="25"/>
  <c r="F492" i="25"/>
  <c r="G492" i="25"/>
  <c r="B493" i="25"/>
  <c r="C493" i="25"/>
  <c r="D493" i="25"/>
  <c r="E493" i="25"/>
  <c r="F493" i="25"/>
  <c r="G493" i="25"/>
  <c r="B494" i="25"/>
  <c r="C494" i="25"/>
  <c r="H494" i="25" s="1"/>
  <c r="I494" i="25" s="1"/>
  <c r="D494" i="25"/>
  <c r="E494" i="25"/>
  <c r="F494" i="25"/>
  <c r="G494" i="25"/>
  <c r="B495" i="25"/>
  <c r="C495" i="25"/>
  <c r="H495" i="25" s="1"/>
  <c r="D495" i="25"/>
  <c r="E495" i="25"/>
  <c r="F495" i="25"/>
  <c r="G495" i="25"/>
  <c r="B496" i="25"/>
  <c r="C496" i="25"/>
  <c r="D496" i="25"/>
  <c r="E496" i="25"/>
  <c r="F496" i="25"/>
  <c r="G496" i="25"/>
  <c r="B497" i="25"/>
  <c r="C497" i="25"/>
  <c r="D497" i="25"/>
  <c r="E497" i="25"/>
  <c r="F497" i="25"/>
  <c r="G497" i="25"/>
  <c r="B498" i="25"/>
  <c r="C498" i="25"/>
  <c r="H498" i="25" s="1"/>
  <c r="I498" i="25" s="1"/>
  <c r="D498" i="25"/>
  <c r="E498" i="25"/>
  <c r="F498" i="25"/>
  <c r="G498" i="25"/>
  <c r="B499" i="25"/>
  <c r="C499" i="25"/>
  <c r="D499" i="25"/>
  <c r="E499" i="25"/>
  <c r="F499" i="25"/>
  <c r="G499" i="25"/>
  <c r="B500" i="25"/>
  <c r="C500" i="25"/>
  <c r="D500" i="25"/>
  <c r="E500" i="25"/>
  <c r="E501" i="25" s="1"/>
  <c r="F500" i="25"/>
  <c r="G500" i="25"/>
  <c r="B501" i="25"/>
  <c r="C501" i="25"/>
  <c r="D501" i="25"/>
  <c r="F501" i="25"/>
  <c r="G501" i="25"/>
  <c r="B502" i="25"/>
  <c r="C502" i="25"/>
  <c r="D502" i="25"/>
  <c r="E502" i="25"/>
  <c r="F502" i="25"/>
  <c r="G502" i="25"/>
  <c r="B503" i="25"/>
  <c r="C503" i="25"/>
  <c r="D503" i="25"/>
  <c r="E503" i="25"/>
  <c r="F503" i="25"/>
  <c r="G503" i="25"/>
  <c r="B504" i="25"/>
  <c r="C504" i="25"/>
  <c r="D504" i="25"/>
  <c r="E504" i="25"/>
  <c r="F504" i="25"/>
  <c r="G504" i="25"/>
  <c r="B505" i="25"/>
  <c r="C505" i="25"/>
  <c r="D505" i="25"/>
  <c r="E505" i="25"/>
  <c r="F505" i="25"/>
  <c r="G505" i="25"/>
  <c r="B506" i="25"/>
  <c r="C506" i="25"/>
  <c r="D506" i="25"/>
  <c r="E506" i="25"/>
  <c r="F506" i="25"/>
  <c r="H506" i="25" s="1"/>
  <c r="I506" i="25" s="1"/>
  <c r="G506" i="25"/>
  <c r="B507" i="25"/>
  <c r="C507" i="25"/>
  <c r="D507" i="25"/>
  <c r="E507" i="25"/>
  <c r="F507" i="25"/>
  <c r="G507" i="25"/>
  <c r="B508" i="25"/>
  <c r="C508" i="25"/>
  <c r="D508" i="25"/>
  <c r="E508" i="25"/>
  <c r="F508" i="25"/>
  <c r="G508" i="25"/>
  <c r="B509" i="25"/>
  <c r="C509" i="25"/>
  <c r="D509" i="25"/>
  <c r="E509" i="25"/>
  <c r="F509" i="25"/>
  <c r="F510" i="25" s="1"/>
  <c r="G509" i="25"/>
  <c r="G510" i="25" s="1"/>
  <c r="B510" i="25"/>
  <c r="C510" i="25"/>
  <c r="D510" i="25"/>
  <c r="E510" i="25"/>
  <c r="B511" i="25"/>
  <c r="C511" i="25"/>
  <c r="D511" i="25"/>
  <c r="D512" i="25" s="1"/>
  <c r="E511" i="25"/>
  <c r="F511" i="25"/>
  <c r="G511" i="25"/>
  <c r="B512" i="25"/>
  <c r="C512" i="25"/>
  <c r="E512" i="25"/>
  <c r="E513" i="25" s="1"/>
  <c r="F512" i="25"/>
  <c r="G512" i="25"/>
  <c r="B513" i="25"/>
  <c r="C513" i="25"/>
  <c r="D513" i="25"/>
  <c r="F513" i="25"/>
  <c r="G513" i="25"/>
  <c r="B514" i="25"/>
  <c r="C514" i="25"/>
  <c r="D514" i="25"/>
  <c r="E514" i="25"/>
  <c r="F514" i="25"/>
  <c r="G514" i="25"/>
  <c r="B515" i="25"/>
  <c r="C515" i="25"/>
  <c r="D515" i="25"/>
  <c r="E515" i="25"/>
  <c r="F515" i="25"/>
  <c r="G515" i="25"/>
  <c r="H515" i="25"/>
  <c r="I515" i="25" s="1"/>
  <c r="B516" i="25"/>
  <c r="C516" i="25"/>
  <c r="H516" i="25" s="1"/>
  <c r="D516" i="25"/>
  <c r="E516" i="25"/>
  <c r="F516" i="25"/>
  <c r="G516" i="25"/>
  <c r="G517" i="25" s="1"/>
  <c r="B517" i="25"/>
  <c r="C517" i="25"/>
  <c r="D517" i="25"/>
  <c r="E517" i="25"/>
  <c r="F517" i="25"/>
  <c r="B518" i="25"/>
  <c r="C518" i="25"/>
  <c r="D518" i="25"/>
  <c r="E518" i="25"/>
  <c r="F518" i="25"/>
  <c r="G518" i="25"/>
  <c r="B519" i="25"/>
  <c r="C519" i="25"/>
  <c r="H519" i="25" s="1"/>
  <c r="I519" i="25" s="1"/>
  <c r="D519" i="25"/>
  <c r="E519" i="25"/>
  <c r="F519" i="25"/>
  <c r="G519" i="25"/>
  <c r="B520" i="25"/>
  <c r="C520" i="25"/>
  <c r="D520" i="25"/>
  <c r="E520" i="25"/>
  <c r="F520" i="25"/>
  <c r="G520" i="25"/>
  <c r="B521" i="25"/>
  <c r="C521" i="25"/>
  <c r="H521" i="25" s="1"/>
  <c r="I521" i="25" s="1"/>
  <c r="D521" i="25"/>
  <c r="E521" i="25"/>
  <c r="F521" i="25"/>
  <c r="G521" i="25"/>
  <c r="B522" i="25"/>
  <c r="C522" i="25"/>
  <c r="D522" i="25"/>
  <c r="E522" i="25"/>
  <c r="F522" i="25"/>
  <c r="G522" i="25"/>
  <c r="B523" i="25"/>
  <c r="C523" i="25"/>
  <c r="D523" i="25"/>
  <c r="E523" i="25"/>
  <c r="F523" i="25"/>
  <c r="G523" i="25"/>
  <c r="B524" i="25"/>
  <c r="C524" i="25"/>
  <c r="H524" i="25" s="1"/>
  <c r="I524" i="25" s="1"/>
  <c r="D524" i="25"/>
  <c r="E524" i="25"/>
  <c r="F524" i="25"/>
  <c r="G524" i="25"/>
  <c r="B525" i="25"/>
  <c r="C525" i="25"/>
  <c r="D525" i="25"/>
  <c r="E525" i="25"/>
  <c r="F525" i="25"/>
  <c r="G525" i="25"/>
  <c r="B526" i="25"/>
  <c r="C526" i="25"/>
  <c r="D526" i="25"/>
  <c r="E526" i="25"/>
  <c r="F526" i="25"/>
  <c r="G526" i="25"/>
  <c r="B527" i="25"/>
  <c r="C527" i="25"/>
  <c r="D527" i="25"/>
  <c r="E527" i="25"/>
  <c r="F527" i="25"/>
  <c r="G527" i="25"/>
  <c r="B528" i="25"/>
  <c r="C528" i="25"/>
  <c r="H528" i="25" s="1"/>
  <c r="D528" i="25"/>
  <c r="E528" i="25"/>
  <c r="F528" i="25"/>
  <c r="G528" i="25"/>
  <c r="B529" i="25"/>
  <c r="C529" i="25"/>
  <c r="D529" i="25"/>
  <c r="E529" i="25"/>
  <c r="F529" i="25"/>
  <c r="F530" i="25" s="1"/>
  <c r="G529" i="25"/>
  <c r="B530" i="25"/>
  <c r="C530" i="25"/>
  <c r="D530" i="25"/>
  <c r="E530" i="25"/>
  <c r="G530" i="25"/>
  <c r="H530" i="25"/>
  <c r="B531" i="25"/>
  <c r="C531" i="25"/>
  <c r="D531" i="25"/>
  <c r="E531" i="25"/>
  <c r="F531" i="25"/>
  <c r="G531" i="25"/>
  <c r="H531" i="25"/>
  <c r="B532" i="25"/>
  <c r="C532" i="25"/>
  <c r="D532" i="25"/>
  <c r="E532" i="25"/>
  <c r="F532" i="25"/>
  <c r="G532" i="25"/>
  <c r="B533" i="25"/>
  <c r="C533" i="25"/>
  <c r="D533" i="25"/>
  <c r="E533" i="25"/>
  <c r="F533" i="25"/>
  <c r="G533" i="25"/>
  <c r="B534" i="25"/>
  <c r="C534" i="25"/>
  <c r="D534" i="25"/>
  <c r="E534" i="25"/>
  <c r="F534" i="25"/>
  <c r="G534" i="25"/>
  <c r="B535" i="25"/>
  <c r="C535" i="25"/>
  <c r="D535" i="25"/>
  <c r="E535" i="25"/>
  <c r="E536" i="25" s="1"/>
  <c r="F535" i="25"/>
  <c r="G535" i="25"/>
  <c r="B536" i="25"/>
  <c r="C536" i="25"/>
  <c r="D536" i="25"/>
  <c r="F536" i="25"/>
  <c r="G536" i="25"/>
  <c r="B537" i="25"/>
  <c r="C537" i="25"/>
  <c r="D537" i="25"/>
  <c r="E537" i="25"/>
  <c r="F537" i="25"/>
  <c r="G537" i="25"/>
  <c r="B538" i="25"/>
  <c r="C538" i="25"/>
  <c r="D538" i="25"/>
  <c r="E538" i="25"/>
  <c r="F538" i="25"/>
  <c r="G538" i="25"/>
  <c r="B539" i="25"/>
  <c r="C539" i="25"/>
  <c r="D539" i="25"/>
  <c r="E539" i="25"/>
  <c r="F539" i="25"/>
  <c r="G539" i="25"/>
  <c r="B540" i="25"/>
  <c r="C540" i="25"/>
  <c r="D540" i="25"/>
  <c r="E540" i="25"/>
  <c r="H540" i="25" s="1"/>
  <c r="F540" i="25"/>
  <c r="G540" i="25"/>
  <c r="B541" i="25"/>
  <c r="C541" i="25"/>
  <c r="D541" i="25"/>
  <c r="E541" i="25"/>
  <c r="F541" i="25"/>
  <c r="G541" i="25"/>
  <c r="B542" i="25"/>
  <c r="C542" i="25"/>
  <c r="D542" i="25"/>
  <c r="E542" i="25"/>
  <c r="F542" i="25"/>
  <c r="G542" i="25"/>
  <c r="B543" i="25"/>
  <c r="C543" i="25"/>
  <c r="D543" i="25"/>
  <c r="E543" i="25"/>
  <c r="F543" i="25"/>
  <c r="G543" i="25"/>
  <c r="B544" i="25"/>
  <c r="C544" i="25"/>
  <c r="D544" i="25"/>
  <c r="E544" i="25"/>
  <c r="F544" i="25"/>
  <c r="G544" i="25"/>
  <c r="B545" i="25"/>
  <c r="C545" i="25"/>
  <c r="D545" i="25"/>
  <c r="E545" i="25"/>
  <c r="E546" i="25" s="1"/>
  <c r="F545" i="25"/>
  <c r="G545" i="25"/>
  <c r="B546" i="25"/>
  <c r="C546" i="25"/>
  <c r="D546" i="25"/>
  <c r="F546" i="25"/>
  <c r="G546" i="25"/>
  <c r="B547" i="25"/>
  <c r="C547" i="25"/>
  <c r="D547" i="25"/>
  <c r="E547" i="25"/>
  <c r="F547" i="25"/>
  <c r="G547" i="25"/>
  <c r="H547" i="25" s="1"/>
  <c r="I547" i="25" s="1"/>
  <c r="B548" i="25"/>
  <c r="C548" i="25"/>
  <c r="D548" i="25"/>
  <c r="E548" i="25"/>
  <c r="F548" i="25"/>
  <c r="G548" i="25"/>
  <c r="B549" i="25"/>
  <c r="C549" i="25"/>
  <c r="D549" i="25"/>
  <c r="E549" i="25"/>
  <c r="F549" i="25"/>
  <c r="G549" i="25"/>
  <c r="B550" i="25"/>
  <c r="C550" i="25"/>
  <c r="D550" i="25"/>
  <c r="E550" i="25"/>
  <c r="H550" i="25" s="1"/>
  <c r="F550" i="25"/>
  <c r="G550" i="25"/>
  <c r="B551" i="25"/>
  <c r="C551" i="25"/>
  <c r="D551" i="25"/>
  <c r="E551" i="25"/>
  <c r="F551" i="25"/>
  <c r="G551" i="25"/>
  <c r="B552" i="25"/>
  <c r="C552" i="25"/>
  <c r="D552" i="25"/>
  <c r="E552" i="25"/>
  <c r="F552" i="25"/>
  <c r="G552" i="25"/>
  <c r="B553" i="25"/>
  <c r="C553" i="25"/>
  <c r="D553" i="25"/>
  <c r="E553" i="25"/>
  <c r="F553" i="25"/>
  <c r="G553" i="25"/>
  <c r="B554" i="25"/>
  <c r="C554" i="25"/>
  <c r="D554" i="25"/>
  <c r="E554" i="25"/>
  <c r="F554" i="25"/>
  <c r="G554" i="25"/>
  <c r="B555" i="25"/>
  <c r="C555" i="25"/>
  <c r="D555" i="25"/>
  <c r="E555" i="25"/>
  <c r="F555" i="25"/>
  <c r="G555" i="25"/>
  <c r="B556" i="25"/>
  <c r="C556" i="25"/>
  <c r="D556" i="25"/>
  <c r="E556" i="25"/>
  <c r="F556" i="25"/>
  <c r="G556" i="25"/>
  <c r="B557" i="25"/>
  <c r="C557" i="25"/>
  <c r="D557" i="25"/>
  <c r="E557" i="25"/>
  <c r="F557" i="25"/>
  <c r="G557" i="25"/>
  <c r="B558" i="25"/>
  <c r="C558" i="25"/>
  <c r="D558" i="25"/>
  <c r="E558" i="25"/>
  <c r="F558" i="25"/>
  <c r="F559" i="25" s="1"/>
  <c r="G558" i="25"/>
  <c r="G559" i="25" s="1"/>
  <c r="B559" i="25"/>
  <c r="C559" i="25"/>
  <c r="D559" i="25"/>
  <c r="D560" i="25" s="1"/>
  <c r="E559" i="25"/>
  <c r="B560" i="25"/>
  <c r="C560" i="25"/>
  <c r="E560" i="25"/>
  <c r="E561" i="25" s="1"/>
  <c r="F560" i="25"/>
  <c r="G560" i="25"/>
  <c r="B561" i="25"/>
  <c r="C561" i="25"/>
  <c r="D561" i="25"/>
  <c r="F561" i="25"/>
  <c r="G561" i="25"/>
  <c r="B562" i="25"/>
  <c r="C562" i="25"/>
  <c r="H562" i="25" s="1"/>
  <c r="D562" i="25"/>
  <c r="E562" i="25"/>
  <c r="F562" i="25"/>
  <c r="G562" i="25"/>
  <c r="B563" i="25"/>
  <c r="C563" i="25"/>
  <c r="D563" i="25"/>
  <c r="E563" i="25"/>
  <c r="F563" i="25"/>
  <c r="G563" i="25"/>
  <c r="B564" i="25"/>
  <c r="C564" i="25"/>
  <c r="H564" i="25" s="1"/>
  <c r="D564" i="25"/>
  <c r="E564" i="25"/>
  <c r="F564" i="25"/>
  <c r="G564" i="25"/>
  <c r="B565" i="25"/>
  <c r="C565" i="25"/>
  <c r="D565" i="25"/>
  <c r="E565" i="25"/>
  <c r="F565" i="25"/>
  <c r="G565" i="25"/>
  <c r="H565" i="25"/>
  <c r="B566" i="25"/>
  <c r="C566" i="25"/>
  <c r="D566" i="25"/>
  <c r="E566" i="25"/>
  <c r="F566" i="25"/>
  <c r="G566" i="25"/>
  <c r="B567" i="25"/>
  <c r="C567" i="25"/>
  <c r="D567" i="25"/>
  <c r="E567" i="25"/>
  <c r="F567" i="25"/>
  <c r="G567" i="25"/>
  <c r="B568" i="25"/>
  <c r="C568" i="25"/>
  <c r="D568" i="25"/>
  <c r="E568" i="25"/>
  <c r="F568" i="25"/>
  <c r="G568" i="25"/>
  <c r="B569" i="25"/>
  <c r="C569" i="25"/>
  <c r="D569" i="25"/>
  <c r="E569" i="25"/>
  <c r="F569" i="25"/>
  <c r="F570" i="25" s="1"/>
  <c r="G569" i="25"/>
  <c r="B570" i="25"/>
  <c r="C570" i="25"/>
  <c r="D570" i="25"/>
  <c r="E570" i="25"/>
  <c r="B571" i="25"/>
  <c r="C571" i="25"/>
  <c r="D571" i="25"/>
  <c r="E571" i="25"/>
  <c r="F571" i="25"/>
  <c r="F572" i="25" s="1"/>
  <c r="G571" i="25"/>
  <c r="G572" i="25" s="1"/>
  <c r="B572" i="25"/>
  <c r="C572" i="25"/>
  <c r="D572" i="25"/>
  <c r="E572" i="25"/>
  <c r="B573" i="25"/>
  <c r="C573" i="25"/>
  <c r="D573" i="25"/>
  <c r="E573" i="25"/>
  <c r="F573" i="25"/>
  <c r="G573" i="25"/>
  <c r="B574" i="25"/>
  <c r="C574" i="25"/>
  <c r="D574" i="25"/>
  <c r="E574" i="25"/>
  <c r="F574" i="25"/>
  <c r="H574" i="25" s="1"/>
  <c r="G574" i="25"/>
  <c r="B575" i="25"/>
  <c r="C575" i="25"/>
  <c r="D575" i="25"/>
  <c r="D576" i="25" s="1"/>
  <c r="E575" i="25"/>
  <c r="F575" i="25"/>
  <c r="G575" i="25"/>
  <c r="B576" i="25"/>
  <c r="C576" i="25"/>
  <c r="E576" i="25"/>
  <c r="F576" i="25"/>
  <c r="G576" i="25"/>
  <c r="B577" i="25"/>
  <c r="C577" i="25"/>
  <c r="D577" i="25"/>
  <c r="E577" i="25"/>
  <c r="F577" i="25"/>
  <c r="G577" i="25"/>
  <c r="B578" i="25"/>
  <c r="C578" i="25"/>
  <c r="D578" i="25"/>
  <c r="E578" i="25"/>
  <c r="F578" i="25"/>
  <c r="G578" i="25"/>
  <c r="B579" i="25"/>
  <c r="C579" i="25"/>
  <c r="D579" i="25"/>
  <c r="E579" i="25"/>
  <c r="F579" i="25"/>
  <c r="G579" i="25"/>
  <c r="B580" i="25"/>
  <c r="C580" i="25"/>
  <c r="D580" i="25"/>
  <c r="E580" i="25"/>
  <c r="F580" i="25"/>
  <c r="G580" i="25"/>
  <c r="H580" i="25"/>
  <c r="B581" i="25"/>
  <c r="C581" i="25"/>
  <c r="D581" i="25"/>
  <c r="E581" i="25"/>
  <c r="F581" i="25"/>
  <c r="G581" i="25"/>
  <c r="B582" i="25"/>
  <c r="C582" i="25"/>
  <c r="D582" i="25"/>
  <c r="E582" i="25"/>
  <c r="F582" i="25"/>
  <c r="G582" i="25"/>
  <c r="B583" i="25"/>
  <c r="C583" i="25"/>
  <c r="D583" i="25"/>
  <c r="E583" i="25"/>
  <c r="F583" i="25"/>
  <c r="G583" i="25"/>
  <c r="B584" i="25"/>
  <c r="C584" i="25"/>
  <c r="D584" i="25"/>
  <c r="E584" i="25"/>
  <c r="F584" i="25"/>
  <c r="G584" i="25"/>
  <c r="B585" i="25"/>
  <c r="C585" i="25"/>
  <c r="D585" i="25"/>
  <c r="E585" i="25"/>
  <c r="F585" i="25"/>
  <c r="G585" i="25"/>
  <c r="B586" i="25"/>
  <c r="C586" i="25"/>
  <c r="D586" i="25"/>
  <c r="E586" i="25"/>
  <c r="F586" i="25"/>
  <c r="G586" i="25"/>
  <c r="B587" i="25"/>
  <c r="C587" i="25"/>
  <c r="H587" i="25" s="1"/>
  <c r="D587" i="25"/>
  <c r="E587" i="25"/>
  <c r="F587" i="25"/>
  <c r="G587" i="25"/>
  <c r="B588" i="25"/>
  <c r="C588" i="25"/>
  <c r="D588" i="25"/>
  <c r="E588" i="25"/>
  <c r="F588" i="25"/>
  <c r="G588" i="25"/>
  <c r="B589" i="25"/>
  <c r="C589" i="25"/>
  <c r="D589" i="25"/>
  <c r="E589" i="25"/>
  <c r="F589" i="25"/>
  <c r="G589" i="25"/>
  <c r="B590" i="25"/>
  <c r="C590" i="25"/>
  <c r="D590" i="25"/>
  <c r="E590" i="25"/>
  <c r="F590" i="25"/>
  <c r="G590" i="25"/>
  <c r="B591" i="25"/>
  <c r="C591" i="25"/>
  <c r="D591" i="25"/>
  <c r="E591" i="25"/>
  <c r="F591" i="25"/>
  <c r="G591" i="25"/>
  <c r="B592" i="25"/>
  <c r="C592" i="25"/>
  <c r="D592" i="25"/>
  <c r="E592" i="25"/>
  <c r="H592" i="25" s="1"/>
  <c r="F592" i="25"/>
  <c r="G592" i="25"/>
  <c r="B593" i="25"/>
  <c r="C593" i="25"/>
  <c r="D593" i="25"/>
  <c r="E593" i="25"/>
  <c r="F593" i="25"/>
  <c r="G593" i="25"/>
  <c r="B594" i="25"/>
  <c r="C594" i="25"/>
  <c r="H594" i="25" s="1"/>
  <c r="D594" i="25"/>
  <c r="E594" i="25"/>
  <c r="F594" i="25"/>
  <c r="G594" i="25"/>
  <c r="B595" i="25"/>
  <c r="C595" i="25"/>
  <c r="D595" i="25"/>
  <c r="E595" i="25"/>
  <c r="F595" i="25"/>
  <c r="G595" i="25"/>
  <c r="B596" i="25"/>
  <c r="C596" i="25"/>
  <c r="D596" i="25"/>
  <c r="E596" i="25"/>
  <c r="F596" i="25"/>
  <c r="G596" i="25"/>
  <c r="B597" i="25"/>
  <c r="C597" i="25"/>
  <c r="D597" i="25"/>
  <c r="E597" i="25"/>
  <c r="F597" i="25"/>
  <c r="G597" i="25"/>
  <c r="B598" i="25"/>
  <c r="C598" i="25"/>
  <c r="D598" i="25"/>
  <c r="H598" i="25" s="1"/>
  <c r="E598" i="25"/>
  <c r="F598" i="25"/>
  <c r="G598" i="25"/>
  <c r="B599" i="25"/>
  <c r="C599" i="25"/>
  <c r="D599" i="25"/>
  <c r="E599" i="25"/>
  <c r="F599" i="25"/>
  <c r="G599" i="25"/>
  <c r="B600" i="25"/>
  <c r="C600" i="25"/>
  <c r="H600" i="25" s="1"/>
  <c r="D600" i="25"/>
  <c r="E600" i="25"/>
  <c r="F600" i="25"/>
  <c r="G600" i="25"/>
  <c r="B601" i="25"/>
  <c r="C601" i="25"/>
  <c r="H601" i="25" s="1"/>
  <c r="I601" i="25" s="1"/>
  <c r="D601" i="25"/>
  <c r="E601" i="25"/>
  <c r="F601" i="25"/>
  <c r="G601" i="25"/>
  <c r="B602" i="25"/>
  <c r="C602" i="25"/>
  <c r="D602" i="25"/>
  <c r="E602" i="25"/>
  <c r="F602" i="25"/>
  <c r="G602" i="25"/>
  <c r="B603" i="25"/>
  <c r="C603" i="25"/>
  <c r="D603" i="25"/>
  <c r="E603" i="25"/>
  <c r="F603" i="25"/>
  <c r="G603" i="25"/>
  <c r="B604" i="25"/>
  <c r="C604" i="25"/>
  <c r="D604" i="25"/>
  <c r="E604" i="25"/>
  <c r="F604" i="25"/>
  <c r="G604" i="25"/>
  <c r="B605" i="25"/>
  <c r="C605" i="25"/>
  <c r="D605" i="25"/>
  <c r="E605" i="25"/>
  <c r="F605" i="25"/>
  <c r="G605" i="25"/>
  <c r="H605" i="25"/>
  <c r="B606" i="25"/>
  <c r="C606" i="25"/>
  <c r="D606" i="25"/>
  <c r="E606" i="25"/>
  <c r="F606" i="25"/>
  <c r="G606" i="25"/>
  <c r="B607" i="25"/>
  <c r="C607" i="25"/>
  <c r="D607" i="25"/>
  <c r="E607" i="25"/>
  <c r="F607" i="25"/>
  <c r="G607" i="25"/>
  <c r="B608" i="25"/>
  <c r="C608" i="25"/>
  <c r="D608" i="25"/>
  <c r="E608" i="25"/>
  <c r="F608" i="25"/>
  <c r="G608" i="25"/>
  <c r="B609" i="25"/>
  <c r="C609" i="25"/>
  <c r="D609" i="25"/>
  <c r="E609" i="25"/>
  <c r="F609" i="25"/>
  <c r="G609" i="25"/>
  <c r="B610" i="25"/>
  <c r="C610" i="25"/>
  <c r="D610" i="25"/>
  <c r="E610" i="25"/>
  <c r="F610" i="25"/>
  <c r="G610" i="25"/>
  <c r="B611" i="25"/>
  <c r="C611" i="25"/>
  <c r="D611" i="25"/>
  <c r="E611" i="25"/>
  <c r="F611" i="25"/>
  <c r="G611" i="25"/>
  <c r="B612" i="25"/>
  <c r="C612" i="25"/>
  <c r="D612" i="25"/>
  <c r="E612" i="25"/>
  <c r="F612" i="25"/>
  <c r="H612" i="25" s="1"/>
  <c r="G612" i="25"/>
  <c r="B613" i="25"/>
  <c r="C613" i="25"/>
  <c r="D613" i="25"/>
  <c r="E613" i="25"/>
  <c r="F613" i="25"/>
  <c r="G613" i="25"/>
  <c r="B614" i="25"/>
  <c r="C614" i="25"/>
  <c r="D614" i="25"/>
  <c r="E614" i="25"/>
  <c r="F614" i="25"/>
  <c r="F615" i="25" s="1"/>
  <c r="G614" i="25"/>
  <c r="B615" i="25"/>
  <c r="C615" i="25"/>
  <c r="D615" i="25"/>
  <c r="E615" i="25"/>
  <c r="G615" i="25"/>
  <c r="B616" i="25"/>
  <c r="C616" i="25"/>
  <c r="D616" i="25"/>
  <c r="E616" i="25"/>
  <c r="F616" i="25"/>
  <c r="H616" i="25" s="1"/>
  <c r="G616" i="25"/>
  <c r="B617" i="25"/>
  <c r="C617" i="25"/>
  <c r="D617" i="25"/>
  <c r="E617" i="25"/>
  <c r="F617" i="25"/>
  <c r="G617" i="25"/>
  <c r="B618" i="25"/>
  <c r="C618" i="25"/>
  <c r="D618" i="25"/>
  <c r="E618" i="25"/>
  <c r="F618" i="25"/>
  <c r="G618" i="25"/>
  <c r="B619" i="25"/>
  <c r="C619" i="25"/>
  <c r="D619" i="25"/>
  <c r="E619" i="25"/>
  <c r="F619" i="25"/>
  <c r="G619" i="25"/>
  <c r="B620" i="25"/>
  <c r="C620" i="25"/>
  <c r="D620" i="25"/>
  <c r="E620" i="25"/>
  <c r="F620" i="25"/>
  <c r="G620" i="25"/>
  <c r="B621" i="25"/>
  <c r="C621" i="25"/>
  <c r="D621" i="25"/>
  <c r="E621" i="25"/>
  <c r="F621" i="25"/>
  <c r="G621" i="25"/>
  <c r="B622" i="25"/>
  <c r="C622" i="25"/>
  <c r="D622" i="25"/>
  <c r="D623" i="25" s="1"/>
  <c r="D624" i="25" s="1"/>
  <c r="E622" i="25"/>
  <c r="E623" i="25" s="1"/>
  <c r="E624" i="25" s="1"/>
  <c r="F622" i="25"/>
  <c r="G622" i="25"/>
  <c r="B623" i="25"/>
  <c r="C623" i="25"/>
  <c r="F623" i="25"/>
  <c r="G623" i="25"/>
  <c r="B624" i="25"/>
  <c r="C624" i="25"/>
  <c r="F624" i="25"/>
  <c r="G624" i="25"/>
  <c r="B625" i="25"/>
  <c r="C625" i="25"/>
  <c r="E625" i="25"/>
  <c r="F625" i="25"/>
  <c r="G625" i="25"/>
  <c r="B626" i="25"/>
  <c r="C626" i="25"/>
  <c r="D626" i="25"/>
  <c r="H626" i="25" s="1"/>
  <c r="I626" i="25" s="1"/>
  <c r="E626" i="25"/>
  <c r="F626" i="25"/>
  <c r="G626" i="25"/>
  <c r="B627" i="25"/>
  <c r="C627" i="25"/>
  <c r="D627" i="25"/>
  <c r="E627" i="25"/>
  <c r="F627" i="25"/>
  <c r="G627" i="25"/>
  <c r="B628" i="25"/>
  <c r="C628" i="25"/>
  <c r="D628" i="25"/>
  <c r="E628" i="25"/>
  <c r="F628" i="25"/>
  <c r="G628" i="25"/>
  <c r="B629" i="25"/>
  <c r="C629" i="25"/>
  <c r="D629" i="25"/>
  <c r="E629" i="25"/>
  <c r="F629" i="25"/>
  <c r="G629" i="25"/>
  <c r="B630" i="25"/>
  <c r="C630" i="25"/>
  <c r="H630" i="25" s="1"/>
  <c r="D630" i="25"/>
  <c r="E630" i="25"/>
  <c r="F630" i="25"/>
  <c r="F631" i="25" s="1"/>
  <c r="G630" i="25"/>
  <c r="B631" i="25"/>
  <c r="C631" i="25"/>
  <c r="D631" i="25"/>
  <c r="E631" i="25"/>
  <c r="E632" i="25" s="1"/>
  <c r="G631" i="25"/>
  <c r="B632" i="25"/>
  <c r="C632" i="25"/>
  <c r="D632" i="25"/>
  <c r="F632" i="25"/>
  <c r="G632" i="25"/>
  <c r="B633" i="25"/>
  <c r="C633" i="25"/>
  <c r="D633" i="25"/>
  <c r="E633" i="25"/>
  <c r="F633" i="25"/>
  <c r="G633" i="25"/>
  <c r="B634" i="25"/>
  <c r="C634" i="25"/>
  <c r="D634" i="25"/>
  <c r="E634" i="25"/>
  <c r="F634" i="25"/>
  <c r="G634" i="25"/>
  <c r="B635" i="25"/>
  <c r="C635" i="25"/>
  <c r="D635" i="25"/>
  <c r="H635" i="25" s="1"/>
  <c r="E635" i="25"/>
  <c r="F635" i="25"/>
  <c r="G635" i="25"/>
  <c r="B636" i="25"/>
  <c r="C636" i="25"/>
  <c r="D636" i="25"/>
  <c r="E636" i="25"/>
  <c r="F636" i="25"/>
  <c r="G636" i="25"/>
  <c r="B637" i="25"/>
  <c r="C637" i="25"/>
  <c r="H637" i="25" s="1"/>
  <c r="I637" i="25" s="1"/>
  <c r="D637" i="25"/>
  <c r="E637" i="25"/>
  <c r="F637" i="25"/>
  <c r="G637" i="25"/>
  <c r="B638" i="25"/>
  <c r="C638" i="25"/>
  <c r="D638" i="25"/>
  <c r="E638" i="25"/>
  <c r="F638" i="25"/>
  <c r="G638" i="25"/>
  <c r="B639" i="25"/>
  <c r="C639" i="25"/>
  <c r="D639" i="25"/>
  <c r="E639" i="25"/>
  <c r="F639" i="25"/>
  <c r="G639" i="25"/>
  <c r="B640" i="25"/>
  <c r="C640" i="25"/>
  <c r="D640" i="25"/>
  <c r="E640" i="25"/>
  <c r="F640" i="25"/>
  <c r="G640" i="25"/>
  <c r="G641" i="25" s="1"/>
  <c r="G642" i="25" s="1"/>
  <c r="G643" i="25" s="1"/>
  <c r="B641" i="25"/>
  <c r="C641" i="25"/>
  <c r="D641" i="25"/>
  <c r="E641" i="25"/>
  <c r="B642" i="25"/>
  <c r="C642" i="25"/>
  <c r="D642" i="25"/>
  <c r="E642" i="25"/>
  <c r="B643" i="25"/>
  <c r="C643" i="25"/>
  <c r="D643" i="25"/>
  <c r="E643" i="25"/>
  <c r="B644" i="25"/>
  <c r="C644" i="25"/>
  <c r="D644" i="25"/>
  <c r="E644" i="25"/>
  <c r="F644" i="25"/>
  <c r="G644" i="25"/>
  <c r="B645" i="25"/>
  <c r="C645" i="25"/>
  <c r="D645" i="25"/>
  <c r="E645" i="25"/>
  <c r="F645" i="25"/>
  <c r="G645" i="25"/>
  <c r="B646" i="25"/>
  <c r="C646" i="25"/>
  <c r="D646" i="25"/>
  <c r="E646" i="25"/>
  <c r="F646" i="25"/>
  <c r="G646" i="25"/>
  <c r="B647" i="25"/>
  <c r="C647" i="25"/>
  <c r="D647" i="25"/>
  <c r="E647" i="25"/>
  <c r="F647" i="25"/>
  <c r="F648" i="25" s="1"/>
  <c r="G647" i="25"/>
  <c r="G648" i="25" s="1"/>
  <c r="B648" i="25"/>
  <c r="C648" i="25"/>
  <c r="D648" i="25"/>
  <c r="E648" i="25"/>
  <c r="B649" i="25"/>
  <c r="C649" i="25"/>
  <c r="D649" i="25"/>
  <c r="D650" i="25" s="1"/>
  <c r="E649" i="25"/>
  <c r="F649" i="25"/>
  <c r="G649" i="25"/>
  <c r="B650" i="25"/>
  <c r="C650" i="25"/>
  <c r="E650" i="25"/>
  <c r="F650" i="25"/>
  <c r="G650" i="25"/>
  <c r="B651" i="25"/>
  <c r="C651" i="25"/>
  <c r="D651" i="25"/>
  <c r="E651" i="25"/>
  <c r="F651" i="25"/>
  <c r="G651" i="25"/>
  <c r="B652" i="25"/>
  <c r="C652" i="25"/>
  <c r="D652" i="25"/>
  <c r="E652" i="25"/>
  <c r="F652" i="25"/>
  <c r="G652" i="25"/>
  <c r="B653" i="25"/>
  <c r="C653" i="25"/>
  <c r="D653" i="25"/>
  <c r="H653" i="25" s="1"/>
  <c r="E653" i="25"/>
  <c r="F653" i="25"/>
  <c r="G653" i="25"/>
  <c r="B654" i="25"/>
  <c r="C654" i="25"/>
  <c r="D654" i="25"/>
  <c r="E654" i="25"/>
  <c r="F654" i="25"/>
  <c r="G654" i="25"/>
  <c r="B655" i="25"/>
  <c r="C655" i="25"/>
  <c r="D655" i="25"/>
  <c r="E655" i="25"/>
  <c r="F655" i="25"/>
  <c r="G655" i="25"/>
  <c r="B656" i="25"/>
  <c r="C656" i="25"/>
  <c r="H656" i="25" s="1"/>
  <c r="I656" i="25" s="1"/>
  <c r="D656" i="25"/>
  <c r="E656" i="25"/>
  <c r="F656" i="25"/>
  <c r="G656" i="25"/>
  <c r="B657" i="25"/>
  <c r="C657" i="25"/>
  <c r="D657" i="25"/>
  <c r="E657" i="25"/>
  <c r="F657" i="25"/>
  <c r="G657" i="25"/>
  <c r="B658" i="25"/>
  <c r="C658" i="25"/>
  <c r="D658" i="25"/>
  <c r="E658" i="25"/>
  <c r="F658" i="25"/>
  <c r="G658" i="25"/>
  <c r="B659" i="25"/>
  <c r="C659" i="25"/>
  <c r="D659" i="25"/>
  <c r="E659" i="25"/>
  <c r="F659" i="25"/>
  <c r="G659" i="25"/>
  <c r="B660" i="25"/>
  <c r="C660" i="25"/>
  <c r="H660" i="25" s="1"/>
  <c r="D660" i="25"/>
  <c r="E660" i="25"/>
  <c r="F660" i="25"/>
  <c r="G660" i="25"/>
  <c r="B661" i="25"/>
  <c r="C661" i="25"/>
  <c r="H661" i="25" s="1"/>
  <c r="D661" i="25"/>
  <c r="E661" i="25"/>
  <c r="F661" i="25"/>
  <c r="G661" i="25"/>
  <c r="B662" i="25"/>
  <c r="C662" i="25"/>
  <c r="H662" i="25" s="1"/>
  <c r="I662" i="25" s="1"/>
  <c r="D662" i="25"/>
  <c r="E662" i="25"/>
  <c r="F662" i="25"/>
  <c r="G662" i="25"/>
  <c r="B663" i="25"/>
  <c r="C663" i="25"/>
  <c r="H663" i="25" s="1"/>
  <c r="D663" i="25"/>
  <c r="E663" i="25"/>
  <c r="F663" i="25"/>
  <c r="G663" i="25"/>
  <c r="B664" i="25"/>
  <c r="C664" i="25"/>
  <c r="D664" i="25"/>
  <c r="E664" i="25"/>
  <c r="F664" i="25"/>
  <c r="G664" i="25"/>
  <c r="H664" i="25"/>
  <c r="B665" i="25"/>
  <c r="C665" i="25"/>
  <c r="D665" i="25"/>
  <c r="D666" i="25" s="1"/>
  <c r="E665" i="25"/>
  <c r="F665" i="25"/>
  <c r="G665" i="25"/>
  <c r="B666" i="25"/>
  <c r="C666" i="25"/>
  <c r="E666" i="25"/>
  <c r="F666" i="25"/>
  <c r="G666" i="25"/>
  <c r="B667" i="25"/>
  <c r="C667" i="25"/>
  <c r="D667" i="25"/>
  <c r="E667" i="25"/>
  <c r="F667" i="25"/>
  <c r="G667" i="25"/>
  <c r="B668" i="25"/>
  <c r="C668" i="25"/>
  <c r="D668" i="25"/>
  <c r="E668" i="25"/>
  <c r="F668" i="25"/>
  <c r="G668" i="25"/>
  <c r="H668" i="25" s="1"/>
  <c r="I668" i="25" s="1"/>
  <c r="B669" i="25"/>
  <c r="C669" i="25"/>
  <c r="D669" i="25"/>
  <c r="E669" i="25"/>
  <c r="F669" i="25"/>
  <c r="G669" i="25"/>
  <c r="B670" i="25"/>
  <c r="C670" i="25"/>
  <c r="D670" i="25"/>
  <c r="E670" i="25"/>
  <c r="F670" i="25"/>
  <c r="G670" i="25"/>
  <c r="B671" i="25"/>
  <c r="C671" i="25"/>
  <c r="D671" i="25"/>
  <c r="E671" i="25"/>
  <c r="F671" i="25"/>
  <c r="H671" i="25" s="1"/>
  <c r="G671" i="25"/>
  <c r="B672" i="25"/>
  <c r="C672" i="25"/>
  <c r="D672" i="25"/>
  <c r="E672" i="25"/>
  <c r="F672" i="25"/>
  <c r="G672" i="25"/>
  <c r="B673" i="25"/>
  <c r="C673" i="25"/>
  <c r="D673" i="25"/>
  <c r="E673" i="25"/>
  <c r="F673" i="25"/>
  <c r="G673" i="25"/>
  <c r="B674" i="25"/>
  <c r="C674" i="25"/>
  <c r="D674" i="25"/>
  <c r="E674" i="25"/>
  <c r="F674" i="25"/>
  <c r="F675" i="25" s="1"/>
  <c r="G674" i="25"/>
  <c r="B675" i="25"/>
  <c r="C675" i="25"/>
  <c r="D675" i="25"/>
  <c r="E675" i="25"/>
  <c r="G675" i="25"/>
  <c r="B676" i="25"/>
  <c r="C676" i="25"/>
  <c r="D676" i="25"/>
  <c r="E676" i="25"/>
  <c r="F676" i="25"/>
  <c r="H676" i="25" s="1"/>
  <c r="G676" i="25"/>
  <c r="B677" i="25"/>
  <c r="C677" i="25"/>
  <c r="D677" i="25"/>
  <c r="E677" i="25"/>
  <c r="F677" i="25"/>
  <c r="G677" i="25"/>
  <c r="B678" i="25"/>
  <c r="C678" i="25"/>
  <c r="H678" i="25" s="1"/>
  <c r="D678" i="25"/>
  <c r="E678" i="25"/>
  <c r="F678" i="25"/>
  <c r="G678" i="25"/>
  <c r="B679" i="25"/>
  <c r="C679" i="25"/>
  <c r="D679" i="25"/>
  <c r="E679" i="25"/>
  <c r="F679" i="25"/>
  <c r="G679" i="25"/>
  <c r="B680" i="25"/>
  <c r="C680" i="25"/>
  <c r="D680" i="25"/>
  <c r="E680" i="25"/>
  <c r="F680" i="25"/>
  <c r="G680" i="25"/>
  <c r="B681" i="25"/>
  <c r="C681" i="25"/>
  <c r="D681" i="25"/>
  <c r="E681" i="25"/>
  <c r="F681" i="25"/>
  <c r="G681" i="25"/>
  <c r="B682" i="25"/>
  <c r="C682" i="25"/>
  <c r="D682" i="25"/>
  <c r="H682" i="25" s="1"/>
  <c r="E682" i="25"/>
  <c r="F682" i="25"/>
  <c r="G682" i="25"/>
  <c r="B683" i="25"/>
  <c r="C683" i="25"/>
  <c r="D683" i="25"/>
  <c r="H683" i="25" s="1"/>
  <c r="E683" i="25"/>
  <c r="F683" i="25"/>
  <c r="G683" i="25"/>
  <c r="B684" i="25"/>
  <c r="C684" i="25"/>
  <c r="D684" i="25"/>
  <c r="H684" i="25" s="1"/>
  <c r="E684" i="25"/>
  <c r="F684" i="25"/>
  <c r="G684" i="25"/>
  <c r="B685" i="25"/>
  <c r="C685" i="25"/>
  <c r="D685" i="25"/>
  <c r="E685" i="25"/>
  <c r="F685" i="25"/>
  <c r="G685" i="25"/>
  <c r="B686" i="25"/>
  <c r="C686" i="25"/>
  <c r="H686" i="25" s="1"/>
  <c r="D686" i="25"/>
  <c r="E686" i="25"/>
  <c r="F686" i="25"/>
  <c r="G686" i="25"/>
  <c r="B687" i="25"/>
  <c r="C687" i="25"/>
  <c r="D687" i="25"/>
  <c r="E687" i="25"/>
  <c r="F687" i="25"/>
  <c r="G687" i="25"/>
  <c r="B688" i="25"/>
  <c r="C688" i="25"/>
  <c r="H688" i="25" s="1"/>
  <c r="D688" i="25"/>
  <c r="E688" i="25"/>
  <c r="E689" i="25" s="1"/>
  <c r="F688" i="25"/>
  <c r="G688" i="25"/>
  <c r="B689" i="25"/>
  <c r="C689" i="25"/>
  <c r="D689" i="25"/>
  <c r="F689" i="25"/>
  <c r="G689" i="25"/>
  <c r="B690" i="25"/>
  <c r="C690" i="25"/>
  <c r="D690" i="25"/>
  <c r="E690" i="25"/>
  <c r="F690" i="25"/>
  <c r="G690" i="25"/>
  <c r="B691" i="25"/>
  <c r="C691" i="25"/>
  <c r="D691" i="25"/>
  <c r="E691" i="25"/>
  <c r="F691" i="25"/>
  <c r="G691" i="25"/>
  <c r="B692" i="25"/>
  <c r="C692" i="25"/>
  <c r="D692" i="25"/>
  <c r="H692" i="25" s="1"/>
  <c r="I692" i="25" s="1"/>
  <c r="E692" i="25"/>
  <c r="F692" i="25"/>
  <c r="G692" i="25"/>
  <c r="B693" i="25"/>
  <c r="C693" i="25"/>
  <c r="D693" i="25"/>
  <c r="E693" i="25"/>
  <c r="F693" i="25"/>
  <c r="G693" i="25"/>
  <c r="B694" i="25"/>
  <c r="C694" i="25"/>
  <c r="D694" i="25"/>
  <c r="E694" i="25"/>
  <c r="F694" i="25"/>
  <c r="G694" i="25"/>
  <c r="B695" i="25"/>
  <c r="C695" i="25"/>
  <c r="D695" i="25"/>
  <c r="E695" i="25"/>
  <c r="F695" i="25"/>
  <c r="G695" i="25"/>
  <c r="B696" i="25"/>
  <c r="C696" i="25"/>
  <c r="D696" i="25"/>
  <c r="E696" i="25"/>
  <c r="F696" i="25"/>
  <c r="G696" i="25"/>
  <c r="B697" i="25"/>
  <c r="C697" i="25"/>
  <c r="D697" i="25"/>
  <c r="H697" i="25" s="1"/>
  <c r="E697" i="25"/>
  <c r="F697" i="25"/>
  <c r="G697" i="25"/>
  <c r="B698" i="25"/>
  <c r="C698" i="25"/>
  <c r="D698" i="25"/>
  <c r="E698" i="25"/>
  <c r="F698" i="25"/>
  <c r="G698" i="25"/>
  <c r="B699" i="25"/>
  <c r="C699" i="25"/>
  <c r="D699" i="25"/>
  <c r="H699" i="25" s="1"/>
  <c r="E699" i="25"/>
  <c r="F699" i="25"/>
  <c r="G699" i="25"/>
  <c r="B700" i="25"/>
  <c r="C700" i="25"/>
  <c r="D700" i="25"/>
  <c r="E700" i="25"/>
  <c r="F700" i="25"/>
  <c r="G700" i="25"/>
  <c r="B701" i="25"/>
  <c r="C701" i="25"/>
  <c r="D701" i="25"/>
  <c r="E701" i="25"/>
  <c r="F701" i="25"/>
  <c r="G701" i="25"/>
  <c r="B702" i="25"/>
  <c r="C702" i="25"/>
  <c r="D702" i="25"/>
  <c r="E702" i="25"/>
  <c r="F702" i="25"/>
  <c r="G702" i="25"/>
  <c r="B703" i="25"/>
  <c r="C703" i="25"/>
  <c r="D703" i="25"/>
  <c r="E703" i="25"/>
  <c r="F703" i="25"/>
  <c r="G703" i="25"/>
  <c r="B704" i="25"/>
  <c r="C704" i="25"/>
  <c r="H704" i="25" s="1"/>
  <c r="D704" i="25"/>
  <c r="E704" i="25"/>
  <c r="F704" i="25"/>
  <c r="G704" i="25"/>
  <c r="B705" i="25"/>
  <c r="C705" i="25"/>
  <c r="D705" i="25"/>
  <c r="E705" i="25"/>
  <c r="F705" i="25"/>
  <c r="G705" i="25"/>
  <c r="B706" i="25"/>
  <c r="C706" i="25"/>
  <c r="D706" i="25"/>
  <c r="E706" i="25"/>
  <c r="F706" i="25"/>
  <c r="G706" i="25"/>
  <c r="B707" i="25"/>
  <c r="C707" i="25"/>
  <c r="D707" i="25"/>
  <c r="E707" i="25"/>
  <c r="F707" i="25"/>
  <c r="G707" i="25"/>
  <c r="B708" i="25"/>
  <c r="C708" i="25"/>
  <c r="D708" i="25"/>
  <c r="E708" i="25"/>
  <c r="F708" i="25"/>
  <c r="G708" i="25"/>
  <c r="B709" i="25"/>
  <c r="C709" i="25"/>
  <c r="D709" i="25"/>
  <c r="E709" i="25"/>
  <c r="F709" i="25"/>
  <c r="G709" i="25"/>
  <c r="G710" i="25" s="1"/>
  <c r="B710" i="25"/>
  <c r="C710" i="25"/>
  <c r="D710" i="25"/>
  <c r="E710" i="25"/>
  <c r="B711" i="25"/>
  <c r="C711" i="25"/>
  <c r="D711" i="25"/>
  <c r="H711" i="25" s="1"/>
  <c r="E711" i="25"/>
  <c r="F711" i="25"/>
  <c r="G711" i="25"/>
  <c r="B712" i="25"/>
  <c r="C712" i="25"/>
  <c r="D712" i="25"/>
  <c r="E712" i="25"/>
  <c r="F712" i="25"/>
  <c r="G712" i="25"/>
  <c r="B713" i="25"/>
  <c r="C713" i="25"/>
  <c r="H713" i="25" s="1"/>
  <c r="I713" i="25" s="1"/>
  <c r="D713" i="25"/>
  <c r="D714" i="25" s="1"/>
  <c r="D715" i="25" s="1"/>
  <c r="H715" i="25" s="1"/>
  <c r="E713" i="25"/>
  <c r="F713" i="25"/>
  <c r="G713" i="25"/>
  <c r="B714" i="25"/>
  <c r="C714" i="25"/>
  <c r="E714" i="25"/>
  <c r="F714" i="25"/>
  <c r="G714" i="25"/>
  <c r="B715" i="25"/>
  <c r="C715" i="25"/>
  <c r="E715" i="25"/>
  <c r="F715" i="25"/>
  <c r="G715" i="25"/>
  <c r="B716" i="25"/>
  <c r="C716" i="25"/>
  <c r="D716" i="25"/>
  <c r="E716" i="25"/>
  <c r="F716" i="25"/>
  <c r="G716" i="25"/>
  <c r="B717" i="25"/>
  <c r="C717" i="25"/>
  <c r="D717" i="25"/>
  <c r="H717" i="25" s="1"/>
  <c r="E717" i="25"/>
  <c r="F717" i="25"/>
  <c r="G717" i="25"/>
  <c r="B718" i="25"/>
  <c r="C718" i="25"/>
  <c r="D718" i="25"/>
  <c r="E718" i="25"/>
  <c r="F718" i="25"/>
  <c r="G718" i="25"/>
  <c r="B719" i="25"/>
  <c r="C719" i="25"/>
  <c r="H719" i="25" s="1"/>
  <c r="D719" i="25"/>
  <c r="E719" i="25"/>
  <c r="F719" i="25"/>
  <c r="G719" i="25"/>
  <c r="B720" i="25"/>
  <c r="C720" i="25"/>
  <c r="D720" i="25"/>
  <c r="E720" i="25"/>
  <c r="F720" i="25"/>
  <c r="G720" i="25"/>
  <c r="B721" i="25"/>
  <c r="C721" i="25"/>
  <c r="D721" i="25"/>
  <c r="E721" i="25"/>
  <c r="F721" i="25"/>
  <c r="G721" i="25"/>
  <c r="B722" i="25"/>
  <c r="C722" i="25"/>
  <c r="H722" i="25" s="1"/>
  <c r="D722" i="25"/>
  <c r="E722" i="25"/>
  <c r="F722" i="25"/>
  <c r="G722" i="25"/>
  <c r="B723" i="25"/>
  <c r="C723" i="25"/>
  <c r="D723" i="25"/>
  <c r="E723" i="25"/>
  <c r="F723" i="25"/>
  <c r="G723" i="25"/>
  <c r="G724" i="25" s="1"/>
  <c r="G725" i="25" s="1"/>
  <c r="B724" i="25"/>
  <c r="C724" i="25"/>
  <c r="D724" i="25"/>
  <c r="E724" i="25"/>
  <c r="B725" i="25"/>
  <c r="C725" i="25"/>
  <c r="D725" i="25"/>
  <c r="D726" i="25" s="1"/>
  <c r="E725" i="25"/>
  <c r="B726" i="25"/>
  <c r="C726" i="25"/>
  <c r="E726" i="25"/>
  <c r="F726" i="25"/>
  <c r="G726" i="25"/>
  <c r="B727" i="25"/>
  <c r="C727" i="25"/>
  <c r="D727" i="25"/>
  <c r="E727" i="25"/>
  <c r="F727" i="25"/>
  <c r="F728" i="25" s="1"/>
  <c r="G727" i="25"/>
  <c r="G728" i="25" s="1"/>
  <c r="B728" i="25"/>
  <c r="C728" i="25"/>
  <c r="D728" i="25"/>
  <c r="E728" i="25"/>
  <c r="H728" i="25"/>
  <c r="I728" i="25" s="1"/>
  <c r="B729" i="25"/>
  <c r="I729" i="25" s="1"/>
  <c r="C729" i="25"/>
  <c r="D729" i="25"/>
  <c r="E729" i="25"/>
  <c r="F729" i="25"/>
  <c r="G729" i="25"/>
  <c r="H729" i="25"/>
  <c r="B730" i="25"/>
  <c r="C730" i="25"/>
  <c r="D730" i="25"/>
  <c r="E730" i="25"/>
  <c r="F730" i="25"/>
  <c r="G730" i="25"/>
  <c r="B731" i="25"/>
  <c r="C731" i="25"/>
  <c r="D731" i="25"/>
  <c r="E731" i="25"/>
  <c r="F731" i="25"/>
  <c r="G731" i="25"/>
  <c r="B732" i="25"/>
  <c r="C732" i="25"/>
  <c r="D732" i="25"/>
  <c r="E732" i="25"/>
  <c r="F732" i="25"/>
  <c r="G732" i="25"/>
  <c r="B733" i="25"/>
  <c r="C733" i="25"/>
  <c r="D733" i="25"/>
  <c r="E733" i="25"/>
  <c r="F733" i="25"/>
  <c r="G733" i="25"/>
  <c r="B734" i="25"/>
  <c r="C734" i="25"/>
  <c r="D734" i="25"/>
  <c r="E734" i="25"/>
  <c r="F734" i="25"/>
  <c r="G734" i="25"/>
  <c r="B735" i="25"/>
  <c r="C735" i="25"/>
  <c r="D735" i="25"/>
  <c r="E735" i="25"/>
  <c r="F735" i="25"/>
  <c r="G735" i="25"/>
  <c r="B736" i="25"/>
  <c r="C736" i="25"/>
  <c r="D736" i="25"/>
  <c r="E736" i="25"/>
  <c r="F736" i="25"/>
  <c r="G736" i="25"/>
  <c r="B737" i="25"/>
  <c r="C737" i="25"/>
  <c r="D737" i="25"/>
  <c r="E737" i="25"/>
  <c r="F737" i="25"/>
  <c r="G737" i="25"/>
  <c r="H737" i="25" s="1"/>
  <c r="I737" i="25" s="1"/>
  <c r="B738" i="25"/>
  <c r="C738" i="25"/>
  <c r="D738" i="25"/>
  <c r="E738" i="25"/>
  <c r="F738" i="25"/>
  <c r="G738" i="25"/>
  <c r="B739" i="25"/>
  <c r="C739" i="25"/>
  <c r="D739" i="25"/>
  <c r="E739" i="25"/>
  <c r="F739" i="25"/>
  <c r="G739" i="25"/>
  <c r="B740" i="25"/>
  <c r="C740" i="25"/>
  <c r="D740" i="25"/>
  <c r="H740" i="25" s="1"/>
  <c r="E740" i="25"/>
  <c r="F740" i="25"/>
  <c r="G740" i="25"/>
  <c r="B741" i="25"/>
  <c r="C741" i="25"/>
  <c r="D741" i="25"/>
  <c r="E741" i="25"/>
  <c r="F741" i="25"/>
  <c r="G741" i="25"/>
  <c r="B742" i="25"/>
  <c r="C742" i="25"/>
  <c r="D742" i="25"/>
  <c r="E742" i="25"/>
  <c r="F742" i="25"/>
  <c r="G742" i="25"/>
  <c r="B743" i="25"/>
  <c r="C743" i="25"/>
  <c r="D743" i="25"/>
  <c r="E743" i="25"/>
  <c r="F743" i="25"/>
  <c r="G743" i="25"/>
  <c r="B744" i="25"/>
  <c r="C744" i="25"/>
  <c r="D744" i="25"/>
  <c r="E744" i="25"/>
  <c r="F744" i="25"/>
  <c r="G744" i="25"/>
  <c r="B745" i="25"/>
  <c r="C745" i="25"/>
  <c r="D745" i="25"/>
  <c r="E745" i="25"/>
  <c r="F745" i="25"/>
  <c r="G745" i="25"/>
  <c r="B746" i="25"/>
  <c r="C746" i="25"/>
  <c r="D746" i="25"/>
  <c r="E746" i="25"/>
  <c r="F746" i="25"/>
  <c r="G746" i="25"/>
  <c r="B747" i="25"/>
  <c r="C747" i="25"/>
  <c r="D747" i="25"/>
  <c r="E747" i="25"/>
  <c r="F747" i="25"/>
  <c r="G747" i="25"/>
  <c r="B748" i="25"/>
  <c r="C748" i="25"/>
  <c r="D748" i="25"/>
  <c r="E748" i="25"/>
  <c r="F748" i="25"/>
  <c r="G748" i="25"/>
  <c r="B749" i="25"/>
  <c r="C749" i="25"/>
  <c r="D749" i="25"/>
  <c r="E749" i="25"/>
  <c r="F749" i="25"/>
  <c r="G749" i="25"/>
  <c r="B750" i="25"/>
  <c r="C750" i="25"/>
  <c r="D750" i="25"/>
  <c r="E750" i="25"/>
  <c r="F750" i="25"/>
  <c r="G750" i="25"/>
  <c r="B751" i="25"/>
  <c r="C751" i="25"/>
  <c r="D751" i="25"/>
  <c r="H751" i="25" s="1"/>
  <c r="E751" i="25"/>
  <c r="F751" i="25"/>
  <c r="G751" i="25"/>
  <c r="B752" i="25"/>
  <c r="C752" i="25"/>
  <c r="D752" i="25"/>
  <c r="E752" i="25"/>
  <c r="F752" i="25"/>
  <c r="G752" i="25"/>
  <c r="B753" i="25"/>
  <c r="C753" i="25"/>
  <c r="D753" i="25"/>
  <c r="D754" i="25" s="1"/>
  <c r="D755" i="25" s="1"/>
  <c r="D756" i="25" s="1"/>
  <c r="E753" i="25"/>
  <c r="F753" i="25"/>
  <c r="G753" i="25"/>
  <c r="B754" i="25"/>
  <c r="I754" i="25" s="1"/>
  <c r="C754" i="25"/>
  <c r="H754" i="25" s="1"/>
  <c r="E754" i="25"/>
  <c r="E755" i="25" s="1"/>
  <c r="F754" i="25"/>
  <c r="G754" i="25"/>
  <c r="B755" i="25"/>
  <c r="C755" i="25"/>
  <c r="H755" i="25" s="1"/>
  <c r="F755" i="25"/>
  <c r="G755" i="25"/>
  <c r="B756" i="25"/>
  <c r="C756" i="25"/>
  <c r="H756" i="25" s="1"/>
  <c r="E756" i="25"/>
  <c r="F756" i="25"/>
  <c r="G756" i="25"/>
  <c r="B757" i="25"/>
  <c r="C757" i="25"/>
  <c r="D757" i="25"/>
  <c r="E757" i="25"/>
  <c r="F757" i="25"/>
  <c r="G757" i="25"/>
  <c r="B758" i="25"/>
  <c r="C758" i="25"/>
  <c r="D758" i="25"/>
  <c r="E758" i="25"/>
  <c r="F758" i="25"/>
  <c r="F759" i="25" s="1"/>
  <c r="G758" i="25"/>
  <c r="G759" i="25" s="1"/>
  <c r="B759" i="25"/>
  <c r="C759" i="25"/>
  <c r="D759" i="25"/>
  <c r="E759" i="25"/>
  <c r="B760" i="25"/>
  <c r="C760" i="25"/>
  <c r="D760" i="25"/>
  <c r="E760" i="25"/>
  <c r="F760" i="25"/>
  <c r="G760" i="25"/>
  <c r="B761" i="25"/>
  <c r="C761" i="25"/>
  <c r="D761" i="25"/>
  <c r="E761" i="25"/>
  <c r="F761" i="25"/>
  <c r="G761" i="25"/>
  <c r="B762" i="25"/>
  <c r="C762" i="25"/>
  <c r="D762" i="25"/>
  <c r="E762" i="25"/>
  <c r="F762" i="25"/>
  <c r="G762" i="25"/>
  <c r="B763" i="25"/>
  <c r="C763" i="25"/>
  <c r="D763" i="25"/>
  <c r="E763" i="25"/>
  <c r="F763" i="25"/>
  <c r="G763" i="25"/>
  <c r="B764" i="25"/>
  <c r="C764" i="25"/>
  <c r="D764" i="25"/>
  <c r="E764" i="25"/>
  <c r="F764" i="25"/>
  <c r="G764" i="25"/>
  <c r="B765" i="25"/>
  <c r="C765" i="25"/>
  <c r="D765" i="25"/>
  <c r="E765" i="25"/>
  <c r="F765" i="25"/>
  <c r="G765" i="25"/>
  <c r="B766" i="25"/>
  <c r="C766" i="25"/>
  <c r="D766" i="25"/>
  <c r="E766" i="25"/>
  <c r="F766" i="25"/>
  <c r="F767" i="25" s="1"/>
  <c r="G766" i="25"/>
  <c r="G767" i="25" s="1"/>
  <c r="B767" i="25"/>
  <c r="C767" i="25"/>
  <c r="D767" i="25"/>
  <c r="E767" i="25"/>
  <c r="B768" i="25"/>
  <c r="C768" i="25"/>
  <c r="D768" i="25"/>
  <c r="E768" i="25"/>
  <c r="F768" i="25"/>
  <c r="G768" i="25"/>
  <c r="B769" i="25"/>
  <c r="C769" i="25"/>
  <c r="D769" i="25"/>
  <c r="E769" i="25"/>
  <c r="F769" i="25"/>
  <c r="G769" i="25"/>
  <c r="B770" i="25"/>
  <c r="C770" i="25"/>
  <c r="D770" i="25"/>
  <c r="E770" i="25"/>
  <c r="F770" i="25"/>
  <c r="G770" i="25"/>
  <c r="H770" i="25" s="1"/>
  <c r="I770" i="25" s="1"/>
  <c r="B771" i="25"/>
  <c r="C771" i="25"/>
  <c r="D771" i="25"/>
  <c r="E771" i="25"/>
  <c r="F771" i="25"/>
  <c r="G771" i="25"/>
  <c r="B772" i="25"/>
  <c r="C772" i="25"/>
  <c r="D772" i="25"/>
  <c r="E772" i="25"/>
  <c r="F772" i="25"/>
  <c r="G772" i="25"/>
  <c r="B773" i="25"/>
  <c r="C773" i="25"/>
  <c r="D773" i="25"/>
  <c r="E773" i="25"/>
  <c r="F773" i="25"/>
  <c r="G773" i="25"/>
  <c r="B774" i="25"/>
  <c r="C774" i="25"/>
  <c r="D774" i="25"/>
  <c r="E774" i="25"/>
  <c r="F774" i="25"/>
  <c r="G774" i="25"/>
  <c r="B775" i="25"/>
  <c r="C775" i="25"/>
  <c r="D775" i="25"/>
  <c r="E775" i="25"/>
  <c r="F775" i="25"/>
  <c r="G775" i="25"/>
  <c r="O98" i="3"/>
  <c r="I116" i="3" a="1"/>
  <c r="I116" i="3" s="1"/>
  <c r="I110" i="3" a="1"/>
  <c r="I110" i="3" s="1"/>
  <c r="I122" i="3" a="1"/>
  <c r="I122" i="3" s="1"/>
  <c r="C68" i="3"/>
  <c r="D68" i="3"/>
  <c r="B71" i="3"/>
  <c r="B72" i="3"/>
  <c r="B73" i="3"/>
  <c r="B74" i="3"/>
  <c r="B75" i="3"/>
  <c r="B76" i="3"/>
  <c r="B77" i="3"/>
  <c r="B70" i="3"/>
  <c r="E68" i="3"/>
  <c r="F68" i="3"/>
  <c r="G68" i="3"/>
  <c r="H68" i="3"/>
  <c r="J96" i="14"/>
  <c r="K96" i="14"/>
  <c r="K105" i="14" s="1"/>
  <c r="L96" i="14"/>
  <c r="X96" i="14" s="1"/>
  <c r="M96" i="14"/>
  <c r="M105" i="14" s="1"/>
  <c r="J97" i="14"/>
  <c r="K97" i="14"/>
  <c r="L97" i="14"/>
  <c r="M97" i="14"/>
  <c r="F143" i="14" s="1"/>
  <c r="J98" i="14"/>
  <c r="K98" i="14"/>
  <c r="K162" i="14" s="1"/>
  <c r="L98" i="14"/>
  <c r="M98" i="14"/>
  <c r="J99" i="14"/>
  <c r="K99" i="14"/>
  <c r="L99" i="14"/>
  <c r="X99" i="14" s="1"/>
  <c r="M99" i="14"/>
  <c r="J100" i="14"/>
  <c r="K100" i="14"/>
  <c r="L100" i="14"/>
  <c r="F146" i="14" s="1"/>
  <c r="M100" i="14"/>
  <c r="J92" i="14"/>
  <c r="J93" i="14" s="1"/>
  <c r="K92" i="14"/>
  <c r="K101" i="14"/>
  <c r="L92" i="14"/>
  <c r="L101" i="14"/>
  <c r="M92" i="14"/>
  <c r="M93" i="14" s="1"/>
  <c r="N96" i="14"/>
  <c r="Y96" i="14" s="1"/>
  <c r="O137" i="14"/>
  <c r="O96" i="14"/>
  <c r="N97" i="14"/>
  <c r="N106" i="14" s="1"/>
  <c r="N98" i="14"/>
  <c r="N107" i="14" s="1"/>
  <c r="N99" i="14"/>
  <c r="O99" i="14"/>
  <c r="N100" i="14"/>
  <c r="N92" i="14"/>
  <c r="N101" i="14" s="1"/>
  <c r="O92" i="14"/>
  <c r="O101" i="14" s="1"/>
  <c r="P92" i="14"/>
  <c r="Q92" i="14"/>
  <c r="C11" i="26"/>
  <c r="B11" i="26"/>
  <c r="A11" i="26"/>
  <c r="L7" i="3"/>
  <c r="L9" i="3" s="1"/>
  <c r="M9" i="3" s="1"/>
  <c r="B64" i="8"/>
  <c r="D125" i="4"/>
  <c r="D124" i="4"/>
  <c r="D121" i="4"/>
  <c r="D120" i="4"/>
  <c r="D119" i="4"/>
  <c r="D118" i="4"/>
  <c r="D117" i="4"/>
  <c r="AE3" i="23"/>
  <c r="O743" i="11"/>
  <c r="N743" i="11"/>
  <c r="O742" i="11"/>
  <c r="N742" i="11"/>
  <c r="O741" i="11"/>
  <c r="N741" i="11"/>
  <c r="U739" i="11"/>
  <c r="U740" i="11" s="1"/>
  <c r="O740" i="11"/>
  <c r="N740" i="11"/>
  <c r="M740" i="11"/>
  <c r="I552" i="11"/>
  <c r="H552" i="11"/>
  <c r="G552" i="11"/>
  <c r="F552" i="11"/>
  <c r="E552" i="11"/>
  <c r="I550" i="11"/>
  <c r="H550" i="11"/>
  <c r="G550" i="11"/>
  <c r="F550" i="11"/>
  <c r="E550" i="11"/>
  <c r="I548" i="11"/>
  <c r="H548" i="11"/>
  <c r="G548" i="11"/>
  <c r="F548" i="11"/>
  <c r="E548" i="11"/>
  <c r="C53" i="18"/>
  <c r="C54" i="18" s="1"/>
  <c r="C55" i="18" s="1"/>
  <c r="C56" i="18" s="1"/>
  <c r="C57" i="18" s="1"/>
  <c r="C58" i="18" s="1"/>
  <c r="C59" i="18" s="1"/>
  <c r="C60" i="18" s="1"/>
  <c r="B52" i="18"/>
  <c r="B53" i="18" s="1"/>
  <c r="B54" i="18" s="1"/>
  <c r="B55" i="18" s="1"/>
  <c r="B56" i="18" s="1"/>
  <c r="F45" i="18"/>
  <c r="F44" i="18"/>
  <c r="F38" i="18"/>
  <c r="F37" i="18"/>
  <c r="F28" i="18"/>
  <c r="D27" i="18"/>
  <c r="F27" i="18" s="1"/>
  <c r="F26" i="18"/>
  <c r="F25" i="18"/>
  <c r="F24" i="18"/>
  <c r="C24" i="18"/>
  <c r="F23" i="18"/>
  <c r="E22" i="18"/>
  <c r="F22" i="18" s="1"/>
  <c r="F21" i="18"/>
  <c r="F20" i="18"/>
  <c r="D19" i="18"/>
  <c r="C19" i="18"/>
  <c r="F14" i="18"/>
  <c r="C51" i="18" s="1"/>
  <c r="C52" i="18" s="1"/>
  <c r="F11" i="18"/>
  <c r="F10" i="18"/>
  <c r="I195" i="14"/>
  <c r="H195" i="14"/>
  <c r="G195" i="14"/>
  <c r="F195" i="14"/>
  <c r="E195" i="14"/>
  <c r="D195" i="14"/>
  <c r="C195" i="14"/>
  <c r="B195" i="14"/>
  <c r="I185" i="14"/>
  <c r="H185" i="14"/>
  <c r="G185" i="14"/>
  <c r="F185" i="14"/>
  <c r="E185" i="14"/>
  <c r="D185" i="14"/>
  <c r="C185" i="14"/>
  <c r="B185" i="14"/>
  <c r="H182" i="14"/>
  <c r="K161" i="14"/>
  <c r="K164" i="14"/>
  <c r="F96" i="14"/>
  <c r="J105" i="14" s="1"/>
  <c r="G96" i="14"/>
  <c r="H96" i="14"/>
  <c r="I96" i="14"/>
  <c r="F97" i="14"/>
  <c r="U97" i="14" s="1"/>
  <c r="G97" i="14"/>
  <c r="E143" i="14" s="1"/>
  <c r="H97" i="14"/>
  <c r="L106" i="14" s="1"/>
  <c r="I97" i="14"/>
  <c r="F98" i="14"/>
  <c r="J107" i="14" s="1"/>
  <c r="G98" i="14"/>
  <c r="H98" i="14"/>
  <c r="L107" i="14" s="1"/>
  <c r="I98" i="14"/>
  <c r="F99" i="14"/>
  <c r="G99" i="14"/>
  <c r="H99" i="14"/>
  <c r="I99" i="14"/>
  <c r="F100" i="14"/>
  <c r="J109" i="14" s="1"/>
  <c r="G100" i="14"/>
  <c r="K109" i="14" s="1"/>
  <c r="H100" i="14"/>
  <c r="I100" i="14"/>
  <c r="F92" i="14"/>
  <c r="F101" i="14"/>
  <c r="G92" i="14"/>
  <c r="G93" i="14" s="1"/>
  <c r="G101" i="14"/>
  <c r="H92" i="14"/>
  <c r="H101" i="14"/>
  <c r="I92" i="14"/>
  <c r="I101" i="14" s="1"/>
  <c r="B137" i="14"/>
  <c r="C137" i="14"/>
  <c r="C99" i="14" s="1"/>
  <c r="D137" i="14"/>
  <c r="D98" i="14" s="1"/>
  <c r="E137" i="14"/>
  <c r="E96" i="14" s="1"/>
  <c r="I105" i="14" s="1"/>
  <c r="E97" i="14"/>
  <c r="I106" i="14" s="1"/>
  <c r="C98" i="14"/>
  <c r="B100" i="14"/>
  <c r="B92" i="14"/>
  <c r="B93" i="14" s="1"/>
  <c r="C92" i="14"/>
  <c r="C93" i="14" s="1"/>
  <c r="D92" i="14"/>
  <c r="E92" i="14"/>
  <c r="H142" i="14"/>
  <c r="H160" i="14"/>
  <c r="J139" i="14"/>
  <c r="F139" i="14"/>
  <c r="E111" i="14"/>
  <c r="D111" i="14"/>
  <c r="C111" i="14"/>
  <c r="B111" i="14"/>
  <c r="N109" i="14"/>
  <c r="L109" i="14"/>
  <c r="N108" i="14"/>
  <c r="M108" i="14"/>
  <c r="L108" i="14"/>
  <c r="M106" i="14"/>
  <c r="K106" i="14"/>
  <c r="O105" i="14"/>
  <c r="N105" i="14"/>
  <c r="L105" i="14"/>
  <c r="X100" i="14"/>
  <c r="W100" i="14"/>
  <c r="U100" i="14"/>
  <c r="V99" i="14"/>
  <c r="X98" i="14"/>
  <c r="W98" i="14"/>
  <c r="X97" i="14"/>
  <c r="V96" i="14"/>
  <c r="Q93" i="14"/>
  <c r="P93" i="14"/>
  <c r="N93" i="14"/>
  <c r="L93" i="14"/>
  <c r="K93" i="14"/>
  <c r="I93" i="14"/>
  <c r="H93" i="14"/>
  <c r="F93" i="14"/>
  <c r="D93" i="14"/>
  <c r="O25" i="14"/>
  <c r="O42" i="14" s="1"/>
  <c r="P25" i="14"/>
  <c r="P42" i="14" s="1"/>
  <c r="Q25" i="14"/>
  <c r="Q42" i="14" s="1"/>
  <c r="C25" i="14"/>
  <c r="C42" i="14" s="1"/>
  <c r="D25" i="14"/>
  <c r="D42" i="14" s="1"/>
  <c r="E25" i="14"/>
  <c r="E42" i="14"/>
  <c r="L25" i="14"/>
  <c r="L42" i="14"/>
  <c r="M25" i="14"/>
  <c r="M42" i="14" s="1"/>
  <c r="N25" i="14"/>
  <c r="N42" i="14" s="1"/>
  <c r="I25" i="14"/>
  <c r="I42" i="14" s="1"/>
  <c r="J25" i="14"/>
  <c r="J42" i="14"/>
  <c r="K25" i="14"/>
  <c r="K42" i="14" s="1"/>
  <c r="O24" i="14"/>
  <c r="O41" i="14" s="1"/>
  <c r="P24" i="14"/>
  <c r="P41" i="14" s="1"/>
  <c r="Q24" i="14"/>
  <c r="Q41" i="14"/>
  <c r="C24" i="14"/>
  <c r="C41" i="14" s="1"/>
  <c r="D54" i="14" s="1"/>
  <c r="D24" i="14"/>
  <c r="D41" i="14" s="1"/>
  <c r="E24" i="14"/>
  <c r="E41" i="14" s="1"/>
  <c r="L24" i="14"/>
  <c r="L41" i="14" s="1"/>
  <c r="M24" i="14"/>
  <c r="M41" i="14"/>
  <c r="N24" i="14"/>
  <c r="N41" i="14" s="1"/>
  <c r="I24" i="14"/>
  <c r="I41" i="14"/>
  <c r="J24" i="14"/>
  <c r="J41" i="14"/>
  <c r="K24" i="14"/>
  <c r="K41" i="14" s="1"/>
  <c r="O23" i="14"/>
  <c r="O40" i="14" s="1"/>
  <c r="H53" i="14" s="1"/>
  <c r="P23" i="14"/>
  <c r="P40" i="14" s="1"/>
  <c r="Q23" i="14"/>
  <c r="Q40" i="14"/>
  <c r="C23" i="14"/>
  <c r="C40" i="14" s="1"/>
  <c r="D23" i="14"/>
  <c r="D40" i="14"/>
  <c r="E23" i="14"/>
  <c r="E40" i="14"/>
  <c r="L23" i="14"/>
  <c r="L40" i="14" s="1"/>
  <c r="M23" i="14"/>
  <c r="M40" i="14" s="1"/>
  <c r="N23" i="14"/>
  <c r="N40" i="14" s="1"/>
  <c r="I23" i="14"/>
  <c r="I40" i="14" s="1"/>
  <c r="J23" i="14"/>
  <c r="J40" i="14"/>
  <c r="K23" i="14"/>
  <c r="K40" i="14" s="1"/>
  <c r="O22" i="14"/>
  <c r="O39" i="14" s="1"/>
  <c r="P22" i="14"/>
  <c r="P39" i="14" s="1"/>
  <c r="Q22" i="14"/>
  <c r="Q39" i="14"/>
  <c r="C22" i="14"/>
  <c r="C39" i="14" s="1"/>
  <c r="D22" i="14"/>
  <c r="D39" i="14"/>
  <c r="E22" i="14"/>
  <c r="E39" i="14" s="1"/>
  <c r="L22" i="14"/>
  <c r="L39" i="14"/>
  <c r="M22" i="14"/>
  <c r="M39" i="14" s="1"/>
  <c r="N22" i="14"/>
  <c r="N39" i="14" s="1"/>
  <c r="I22" i="14"/>
  <c r="I39" i="14" s="1"/>
  <c r="F52" i="14" s="1"/>
  <c r="F59" i="14" s="1"/>
  <c r="J22" i="14"/>
  <c r="J39" i="14" s="1"/>
  <c r="K22" i="14"/>
  <c r="K39" i="14"/>
  <c r="O21" i="14"/>
  <c r="O38" i="14" s="1"/>
  <c r="P21" i="14"/>
  <c r="P38" i="14" s="1"/>
  <c r="Q21" i="14"/>
  <c r="Q38" i="14"/>
  <c r="C21" i="14"/>
  <c r="C38" i="14" s="1"/>
  <c r="D21" i="14"/>
  <c r="D38" i="14"/>
  <c r="E21" i="14"/>
  <c r="E38" i="14"/>
  <c r="L21" i="14"/>
  <c r="L38" i="14" s="1"/>
  <c r="M21" i="14"/>
  <c r="M38" i="14" s="1"/>
  <c r="N21" i="14"/>
  <c r="N38" i="14" s="1"/>
  <c r="I21" i="14"/>
  <c r="I38" i="14" s="1"/>
  <c r="J21" i="14"/>
  <c r="J38" i="14" s="1"/>
  <c r="K21" i="14"/>
  <c r="K38" i="14" s="1"/>
  <c r="F25" i="14"/>
  <c r="F42" i="14" s="1"/>
  <c r="G25" i="14"/>
  <c r="G42" i="14"/>
  <c r="H25" i="14"/>
  <c r="H42" i="14" s="1"/>
  <c r="F24" i="14"/>
  <c r="F41" i="14" s="1"/>
  <c r="G24" i="14"/>
  <c r="G41" i="14"/>
  <c r="H24" i="14"/>
  <c r="H41" i="14" s="1"/>
  <c r="F23" i="14"/>
  <c r="F40" i="14" s="1"/>
  <c r="G23" i="14"/>
  <c r="G40" i="14"/>
  <c r="H23" i="14"/>
  <c r="H40" i="14" s="1"/>
  <c r="F22" i="14"/>
  <c r="F39" i="14" s="1"/>
  <c r="E52" i="14" s="1"/>
  <c r="G22" i="14"/>
  <c r="G39" i="14" s="1"/>
  <c r="H22" i="14"/>
  <c r="H39" i="14"/>
  <c r="F21" i="14"/>
  <c r="F38" i="14" s="1"/>
  <c r="E51" i="14" s="1"/>
  <c r="G21" i="14"/>
  <c r="G38" i="14" s="1"/>
  <c r="H21" i="14"/>
  <c r="H38" i="14" s="1"/>
  <c r="B25" i="14"/>
  <c r="B42" i="14" s="1"/>
  <c r="B24" i="14"/>
  <c r="B41" i="14"/>
  <c r="B23" i="14"/>
  <c r="B40" i="14" s="1"/>
  <c r="B22" i="14"/>
  <c r="B39" i="14" s="1"/>
  <c r="B21" i="14"/>
  <c r="B38" i="14" s="1"/>
  <c r="J17" i="14"/>
  <c r="J33" i="14" s="1"/>
  <c r="I17" i="14"/>
  <c r="I33" i="14" s="1"/>
  <c r="H17" i="14"/>
  <c r="H33" i="14" s="1"/>
  <c r="G17" i="14"/>
  <c r="G33" i="14" s="1"/>
  <c r="F17" i="14"/>
  <c r="F33" i="14" s="1"/>
  <c r="E17" i="14"/>
  <c r="E33" i="14"/>
  <c r="D17" i="14"/>
  <c r="D33" i="14" s="1"/>
  <c r="C17" i="14"/>
  <c r="C33" i="14" s="1"/>
  <c r="B17" i="14"/>
  <c r="B33" i="14" s="1"/>
  <c r="A33" i="14"/>
  <c r="J16" i="14"/>
  <c r="J32" i="14"/>
  <c r="I16" i="14"/>
  <c r="I32" i="14" s="1"/>
  <c r="H16" i="14"/>
  <c r="H32" i="14" s="1"/>
  <c r="G16" i="14"/>
  <c r="G32" i="14" s="1"/>
  <c r="F16" i="14"/>
  <c r="F32" i="14" s="1"/>
  <c r="E16" i="14"/>
  <c r="E32" i="14"/>
  <c r="D16" i="14"/>
  <c r="D32" i="14"/>
  <c r="C16" i="14"/>
  <c r="C32" i="14" s="1"/>
  <c r="B16" i="14"/>
  <c r="B32" i="14" s="1"/>
  <c r="A32" i="14"/>
  <c r="J15" i="14"/>
  <c r="J31" i="14" s="1"/>
  <c r="I15" i="14"/>
  <c r="I31" i="14" s="1"/>
  <c r="H15" i="14"/>
  <c r="H31" i="14" s="1"/>
  <c r="G15" i="14"/>
  <c r="G31" i="14" s="1"/>
  <c r="F15" i="14"/>
  <c r="F31" i="14"/>
  <c r="E15" i="14"/>
  <c r="E31" i="14"/>
  <c r="D15" i="14"/>
  <c r="D31" i="14" s="1"/>
  <c r="C15" i="14"/>
  <c r="C31" i="14"/>
  <c r="B15" i="14"/>
  <c r="B31" i="14" s="1"/>
  <c r="A31" i="14"/>
  <c r="J14" i="14"/>
  <c r="J30" i="14" s="1"/>
  <c r="I14" i="14"/>
  <c r="I30" i="14" s="1"/>
  <c r="H14" i="14"/>
  <c r="H30" i="14" s="1"/>
  <c r="G14" i="14"/>
  <c r="G30" i="14" s="1"/>
  <c r="F14" i="14"/>
  <c r="F30" i="14" s="1"/>
  <c r="E14" i="14"/>
  <c r="E30" i="14" s="1"/>
  <c r="D14" i="14"/>
  <c r="D30" i="14" s="1"/>
  <c r="C14" i="14"/>
  <c r="C30" i="14" s="1"/>
  <c r="B14" i="14"/>
  <c r="B30" i="14" s="1"/>
  <c r="A30" i="14"/>
  <c r="J13" i="14"/>
  <c r="J29" i="14"/>
  <c r="I13" i="14"/>
  <c r="I29" i="14" s="1"/>
  <c r="H13" i="14"/>
  <c r="H29" i="14" s="1"/>
  <c r="G13" i="14"/>
  <c r="G29" i="14" s="1"/>
  <c r="F13" i="14"/>
  <c r="F29" i="14" s="1"/>
  <c r="E13" i="14"/>
  <c r="E29" i="14" s="1"/>
  <c r="D13" i="14"/>
  <c r="D29" i="14"/>
  <c r="C13" i="14"/>
  <c r="C29" i="14" s="1"/>
  <c r="B13" i="14"/>
  <c r="B29" i="14" s="1"/>
  <c r="A29" i="14"/>
  <c r="A17" i="14"/>
  <c r="A16" i="14"/>
  <c r="A15" i="14"/>
  <c r="A14" i="14"/>
  <c r="A13" i="14"/>
  <c r="M409" i="12"/>
  <c r="L409" i="12"/>
  <c r="K409" i="12"/>
  <c r="J409" i="12"/>
  <c r="I409" i="12"/>
  <c r="H409" i="12"/>
  <c r="M408" i="12"/>
  <c r="L408" i="12"/>
  <c r="K408" i="12"/>
  <c r="J408" i="12"/>
  <c r="I408" i="12"/>
  <c r="H408" i="12"/>
  <c r="M407" i="12"/>
  <c r="L407" i="12"/>
  <c r="K407" i="12"/>
  <c r="J407" i="12"/>
  <c r="I407" i="12"/>
  <c r="H407" i="12"/>
  <c r="M406" i="12"/>
  <c r="L406" i="12"/>
  <c r="K406" i="12"/>
  <c r="J406" i="12"/>
  <c r="I406" i="12"/>
  <c r="H406" i="12"/>
  <c r="M404" i="12"/>
  <c r="L404" i="12"/>
  <c r="K404" i="12"/>
  <c r="J404" i="12"/>
  <c r="I404" i="12"/>
  <c r="H404" i="12"/>
  <c r="M403" i="12"/>
  <c r="L403" i="12"/>
  <c r="K403" i="12"/>
  <c r="J403" i="12"/>
  <c r="I403" i="12"/>
  <c r="H403" i="12"/>
  <c r="M402" i="12"/>
  <c r="L402" i="12"/>
  <c r="K402" i="12"/>
  <c r="J402" i="12"/>
  <c r="I402" i="12"/>
  <c r="H402" i="12"/>
  <c r="M401" i="12"/>
  <c r="L401" i="12"/>
  <c r="K401" i="12"/>
  <c r="J401" i="12"/>
  <c r="I401" i="12"/>
  <c r="H401" i="12"/>
  <c r="M400" i="12"/>
  <c r="L400" i="12"/>
  <c r="K400" i="12"/>
  <c r="J400" i="12"/>
  <c r="I400" i="12"/>
  <c r="H400" i="12"/>
  <c r="M397" i="12"/>
  <c r="L397" i="12"/>
  <c r="K397" i="12"/>
  <c r="J397" i="12"/>
  <c r="I397" i="12"/>
  <c r="M395" i="12"/>
  <c r="L395" i="12"/>
  <c r="K395" i="12"/>
  <c r="J395" i="12"/>
  <c r="I395" i="12"/>
  <c r="M393" i="12"/>
  <c r="L393" i="12"/>
  <c r="K393" i="12"/>
  <c r="J393" i="12"/>
  <c r="I393" i="12"/>
  <c r="M389" i="12"/>
  <c r="L389" i="12"/>
  <c r="K389" i="12"/>
  <c r="J389" i="12"/>
  <c r="I389" i="12"/>
  <c r="M387" i="12"/>
  <c r="L387" i="12"/>
  <c r="K387" i="12"/>
  <c r="J387" i="12"/>
  <c r="I387" i="12"/>
  <c r="M385" i="12"/>
  <c r="L385" i="12"/>
  <c r="K385" i="12"/>
  <c r="J385" i="12"/>
  <c r="I385" i="12"/>
  <c r="M383" i="12"/>
  <c r="L383" i="12"/>
  <c r="K383" i="12"/>
  <c r="J383" i="12"/>
  <c r="I383" i="12"/>
  <c r="M354" i="12"/>
  <c r="L354" i="12"/>
  <c r="K354" i="12"/>
  <c r="J354" i="12"/>
  <c r="I354" i="12"/>
  <c r="BC296" i="12"/>
  <c r="BA296" i="12"/>
  <c r="AZ296" i="12"/>
  <c r="AY296" i="12"/>
  <c r="BC279" i="12"/>
  <c r="BA279" i="12"/>
  <c r="AZ279" i="12"/>
  <c r="AY279" i="12"/>
  <c r="BC263" i="12"/>
  <c r="BA263" i="12"/>
  <c r="BA261" i="12" s="1"/>
  <c r="AZ263" i="12"/>
  <c r="AZ261" i="12" s="1"/>
  <c r="AY263" i="12"/>
  <c r="AY261" i="12" s="1"/>
  <c r="O194" i="12"/>
  <c r="N194" i="12"/>
  <c r="M38" i="12"/>
  <c r="L38" i="12"/>
  <c r="K38" i="12"/>
  <c r="J38" i="12"/>
  <c r="I38" i="12"/>
  <c r="H38" i="12"/>
  <c r="G38" i="12"/>
  <c r="F38" i="12"/>
  <c r="E38" i="12"/>
  <c r="D38" i="12"/>
  <c r="C38" i="12"/>
  <c r="BA13" i="12"/>
  <c r="K242" i="7"/>
  <c r="J242" i="7"/>
  <c r="I242" i="7"/>
  <c r="B242" i="7"/>
  <c r="K238" i="7"/>
  <c r="J238" i="7"/>
  <c r="I238" i="7"/>
  <c r="B238" i="7"/>
  <c r="K234" i="7"/>
  <c r="J234" i="7"/>
  <c r="I234" i="7"/>
  <c r="B234" i="7"/>
  <c r="K224" i="7"/>
  <c r="J224" i="7"/>
  <c r="I224" i="7"/>
  <c r="B224" i="7"/>
  <c r="M84" i="7"/>
  <c r="L84" i="7"/>
  <c r="K84" i="7"/>
  <c r="J84" i="7"/>
  <c r="I84" i="7"/>
  <c r="L9" i="7"/>
  <c r="K9" i="7"/>
  <c r="J9" i="7"/>
  <c r="I1" i="7"/>
  <c r="H1" i="7"/>
  <c r="B68" i="8"/>
  <c r="B69" i="8" s="1"/>
  <c r="B25" i="8" s="1"/>
  <c r="F55" i="8"/>
  <c r="F54" i="8"/>
  <c r="F53" i="8"/>
  <c r="F52" i="8"/>
  <c r="F51" i="8"/>
  <c r="F50" i="8"/>
  <c r="F49" i="8"/>
  <c r="F48" i="8"/>
  <c r="F47" i="8"/>
  <c r="F46" i="8"/>
  <c r="F45" i="8"/>
  <c r="F44" i="8"/>
  <c r="F43" i="8"/>
  <c r="F42" i="8"/>
  <c r="F41" i="8"/>
  <c r="F40" i="8"/>
  <c r="F39" i="8"/>
  <c r="F38" i="8"/>
  <c r="F37" i="8"/>
  <c r="B14" i="8"/>
  <c r="B6" i="8"/>
  <c r="B5" i="8"/>
  <c r="M59" i="20"/>
  <c r="N59" i="20" s="1"/>
  <c r="M56" i="20"/>
  <c r="N56" i="20" s="1"/>
  <c r="I28" i="20"/>
  <c r="M27" i="20"/>
  <c r="L27" i="20"/>
  <c r="K27" i="20"/>
  <c r="J27" i="20"/>
  <c r="N16" i="20"/>
  <c r="L11" i="20"/>
  <c r="L10" i="20"/>
  <c r="L9" i="20"/>
  <c r="L8" i="20"/>
  <c r="L7" i="20"/>
  <c r="M6" i="20"/>
  <c r="K6" i="20"/>
  <c r="J6" i="20"/>
  <c r="J10" i="20" s="1"/>
  <c r="I6" i="20"/>
  <c r="I16" i="20" s="1"/>
  <c r="AW3" i="20"/>
  <c r="AV3" i="20"/>
  <c r="AU3" i="20"/>
  <c r="AT3" i="20"/>
  <c r="AS3" i="20"/>
  <c r="AR3" i="20"/>
  <c r="AQ3" i="20"/>
  <c r="AP3" i="20"/>
  <c r="AO3" i="20"/>
  <c r="AN3" i="20"/>
  <c r="AM3" i="20"/>
  <c r="AL3" i="20"/>
  <c r="AK3" i="20"/>
  <c r="AJ3" i="20"/>
  <c r="AI3" i="20"/>
  <c r="AH3" i="20"/>
  <c r="AG3" i="20"/>
  <c r="AF3" i="20"/>
  <c r="AE3" i="20"/>
  <c r="AD3" i="20"/>
  <c r="AC3" i="20"/>
  <c r="AB3" i="20"/>
  <c r="S1" i="20"/>
  <c r="R1" i="20"/>
  <c r="Q1" i="20"/>
  <c r="P1" i="20"/>
  <c r="O1" i="20"/>
  <c r="N1" i="20"/>
  <c r="M1" i="20"/>
  <c r="L1" i="20"/>
  <c r="K1" i="20"/>
  <c r="J1" i="20"/>
  <c r="I1" i="20"/>
  <c r="M244" i="10"/>
  <c r="L244" i="10"/>
  <c r="K244" i="10"/>
  <c r="J244" i="10"/>
  <c r="I244" i="10"/>
  <c r="H244" i="10"/>
  <c r="G244" i="10"/>
  <c r="G163" i="10" s="1"/>
  <c r="F244" i="10"/>
  <c r="F163" i="10" s="1"/>
  <c r="E244" i="10"/>
  <c r="E163" i="10" s="1"/>
  <c r="D244" i="10"/>
  <c r="D163" i="10" s="1"/>
  <c r="C244" i="10"/>
  <c r="C163" i="10" s="1"/>
  <c r="M242" i="10"/>
  <c r="L242" i="10"/>
  <c r="K242" i="10"/>
  <c r="J242" i="10"/>
  <c r="I242" i="10"/>
  <c r="H242" i="10"/>
  <c r="G242" i="10"/>
  <c r="G161" i="10" s="1"/>
  <c r="F242" i="10"/>
  <c r="F161" i="10" s="1"/>
  <c r="E242" i="10"/>
  <c r="E161" i="10" s="1"/>
  <c r="D242" i="10"/>
  <c r="D161" i="10" s="1"/>
  <c r="C161" i="10"/>
  <c r="M240" i="10"/>
  <c r="L240" i="10"/>
  <c r="K240" i="10"/>
  <c r="J240" i="10"/>
  <c r="I240" i="10"/>
  <c r="H240" i="10"/>
  <c r="G240" i="10"/>
  <c r="F240" i="10"/>
  <c r="E240" i="10"/>
  <c r="D240" i="10"/>
  <c r="O239" i="10"/>
  <c r="M238" i="10"/>
  <c r="L238" i="10"/>
  <c r="K238" i="10"/>
  <c r="J238" i="10"/>
  <c r="I238" i="10"/>
  <c r="H238" i="10"/>
  <c r="G238" i="10"/>
  <c r="F238" i="10"/>
  <c r="E238" i="10"/>
  <c r="D238" i="10"/>
  <c r="P237" i="10"/>
  <c r="O237" i="10"/>
  <c r="M235" i="10"/>
  <c r="L235" i="10"/>
  <c r="K235" i="10"/>
  <c r="J235" i="10"/>
  <c r="I235" i="10"/>
  <c r="H235" i="10"/>
  <c r="G235" i="10"/>
  <c r="F235" i="10"/>
  <c r="E235" i="10"/>
  <c r="D235" i="10"/>
  <c r="C235" i="10"/>
  <c r="M233" i="10"/>
  <c r="L233" i="10"/>
  <c r="K233" i="10"/>
  <c r="J233" i="10"/>
  <c r="I233" i="10"/>
  <c r="H233" i="10"/>
  <c r="G233" i="10"/>
  <c r="F233" i="10"/>
  <c r="E233" i="10"/>
  <c r="D233" i="10"/>
  <c r="P232" i="10"/>
  <c r="O232" i="10"/>
  <c r="M231" i="10"/>
  <c r="L231" i="10"/>
  <c r="K231" i="10"/>
  <c r="J231" i="10"/>
  <c r="I231" i="10"/>
  <c r="H231" i="10"/>
  <c r="G231" i="10"/>
  <c r="F231" i="10"/>
  <c r="E231" i="10"/>
  <c r="D231" i="10"/>
  <c r="O230" i="10"/>
  <c r="M228" i="10"/>
  <c r="L228" i="10"/>
  <c r="K228" i="10"/>
  <c r="J228" i="10"/>
  <c r="I228" i="10"/>
  <c r="H228" i="10"/>
  <c r="G228" i="10"/>
  <c r="F228" i="10"/>
  <c r="E228" i="10"/>
  <c r="D228" i="10"/>
  <c r="C228" i="10"/>
  <c r="K221" i="10"/>
  <c r="J221" i="10"/>
  <c r="I221" i="10"/>
  <c r="H221" i="10"/>
  <c r="G221" i="10"/>
  <c r="F221" i="10"/>
  <c r="L220" i="10"/>
  <c r="L221" i="10" s="1"/>
  <c r="K218" i="10"/>
  <c r="J218" i="10"/>
  <c r="I218" i="10"/>
  <c r="H218" i="10"/>
  <c r="G218" i="10"/>
  <c r="F218" i="10"/>
  <c r="L217" i="10"/>
  <c r="K216" i="10"/>
  <c r="J216" i="10"/>
  <c r="I216" i="10"/>
  <c r="H216" i="10"/>
  <c r="G216" i="10"/>
  <c r="F216" i="10"/>
  <c r="L215" i="10"/>
  <c r="M215" i="10" s="1"/>
  <c r="K214" i="10"/>
  <c r="J214" i="10"/>
  <c r="I214" i="10"/>
  <c r="H214" i="10"/>
  <c r="G214" i="10"/>
  <c r="F214" i="10"/>
  <c r="L213" i="10"/>
  <c r="M213" i="10" s="1"/>
  <c r="P213" i="10" s="1"/>
  <c r="K211" i="10"/>
  <c r="K223" i="10" s="1"/>
  <c r="J211" i="10"/>
  <c r="J223" i="10" s="1"/>
  <c r="I211" i="10"/>
  <c r="I223" i="10" s="1"/>
  <c r="H211" i="10"/>
  <c r="G211" i="10"/>
  <c r="F211" i="10"/>
  <c r="E211" i="10"/>
  <c r="E223" i="10" s="1"/>
  <c r="C211" i="10"/>
  <c r="K207" i="10"/>
  <c r="G207" i="10"/>
  <c r="H206" i="10"/>
  <c r="H205" i="10"/>
  <c r="O205" i="10" s="1"/>
  <c r="K202" i="10"/>
  <c r="G202" i="10"/>
  <c r="H201" i="10"/>
  <c r="O201" i="10" s="1"/>
  <c r="H200" i="10"/>
  <c r="O200" i="10" s="1"/>
  <c r="Q195" i="10" a="1"/>
  <c r="Q195" i="10" s="1"/>
  <c r="O195" i="10" a="1"/>
  <c r="O195" i="10" s="1"/>
  <c r="Q194" i="10" a="1"/>
  <c r="Q194" i="10" s="1"/>
  <c r="O194" i="10" a="1"/>
  <c r="O194" i="10" s="1"/>
  <c r="Q191" i="10" a="1"/>
  <c r="Q191" i="10" s="1"/>
  <c r="O191" i="10" a="1"/>
  <c r="O191" i="10" s="1"/>
  <c r="Q190" i="10" a="1"/>
  <c r="Q190" i="10" s="1"/>
  <c r="O190" i="10" a="1"/>
  <c r="O190" i="10" s="1"/>
  <c r="M185" i="10"/>
  <c r="L185" i="10"/>
  <c r="K185" i="10"/>
  <c r="J185" i="10"/>
  <c r="I185" i="10"/>
  <c r="H185" i="10"/>
  <c r="G185" i="10"/>
  <c r="F185" i="10"/>
  <c r="E185" i="10"/>
  <c r="D185" i="10"/>
  <c r="C185" i="10"/>
  <c r="M183" i="10"/>
  <c r="L183" i="10"/>
  <c r="K183" i="10"/>
  <c r="J183" i="10"/>
  <c r="I183" i="10"/>
  <c r="H183" i="10"/>
  <c r="G183" i="10"/>
  <c r="F183" i="10"/>
  <c r="E183" i="10"/>
  <c r="D183" i="10"/>
  <c r="C183" i="10"/>
  <c r="M181" i="10"/>
  <c r="L181" i="10"/>
  <c r="K181" i="10"/>
  <c r="J181" i="10"/>
  <c r="I181" i="10"/>
  <c r="H181" i="10"/>
  <c r="G181" i="10"/>
  <c r="F181" i="10"/>
  <c r="E181" i="10"/>
  <c r="P180" i="10"/>
  <c r="O180" i="10"/>
  <c r="M179" i="10"/>
  <c r="L179" i="10"/>
  <c r="K179" i="10"/>
  <c r="J179" i="10"/>
  <c r="I179" i="10"/>
  <c r="H179" i="10"/>
  <c r="G179" i="10"/>
  <c r="F179" i="10"/>
  <c r="E179" i="10"/>
  <c r="D179" i="10"/>
  <c r="P178" i="10"/>
  <c r="O178" i="10"/>
  <c r="M176" i="10"/>
  <c r="L176" i="10"/>
  <c r="K176" i="10"/>
  <c r="J176" i="10"/>
  <c r="I176" i="10"/>
  <c r="H176" i="10"/>
  <c r="G176" i="10"/>
  <c r="F176" i="10"/>
  <c r="E176" i="10"/>
  <c r="D176" i="10"/>
  <c r="P175" i="10"/>
  <c r="O175" i="10"/>
  <c r="M174" i="10"/>
  <c r="L174" i="10"/>
  <c r="K174" i="10"/>
  <c r="J174" i="10"/>
  <c r="I174" i="10"/>
  <c r="H174" i="10"/>
  <c r="G174" i="10"/>
  <c r="F174" i="10"/>
  <c r="E174" i="10"/>
  <c r="D174" i="10"/>
  <c r="P173" i="10"/>
  <c r="K152" i="10"/>
  <c r="L152" i="10" s="1"/>
  <c r="C125" i="10"/>
  <c r="C124" i="10"/>
  <c r="C110" i="10"/>
  <c r="O108" i="10"/>
  <c r="C107" i="10"/>
  <c r="O105" i="10"/>
  <c r="O104" i="10"/>
  <c r="O102" i="10"/>
  <c r="O99" i="10"/>
  <c r="C98" i="10"/>
  <c r="E97" i="10"/>
  <c r="E98" i="10" s="1"/>
  <c r="O96" i="10"/>
  <c r="C96" i="10"/>
  <c r="O94" i="10"/>
  <c r="O93" i="10"/>
  <c r="O92" i="10"/>
  <c r="E91" i="10"/>
  <c r="C91" i="10"/>
  <c r="G90" i="10"/>
  <c r="F90" i="10"/>
  <c r="F97" i="10" s="1"/>
  <c r="G89" i="10"/>
  <c r="F89" i="10"/>
  <c r="E89" i="10"/>
  <c r="C89" i="10"/>
  <c r="O87" i="10"/>
  <c r="C86" i="10"/>
  <c r="C84" i="10"/>
  <c r="G79" i="10"/>
  <c r="F79" i="10"/>
  <c r="E79" i="10"/>
  <c r="D79" i="10"/>
  <c r="C79" i="10"/>
  <c r="D60" i="10"/>
  <c r="D72" i="10" s="1"/>
  <c r="C60" i="10"/>
  <c r="C72" i="10" s="1"/>
  <c r="C73" i="10" s="1"/>
  <c r="D43" i="10"/>
  <c r="D41" i="10" s="1"/>
  <c r="C43" i="10"/>
  <c r="C44" i="10" s="1"/>
  <c r="H67" i="10"/>
  <c r="D67" i="10"/>
  <c r="C67" i="10"/>
  <c r="J56" i="10"/>
  <c r="K56" i="10" s="1"/>
  <c r="G49" i="10"/>
  <c r="E49" i="10"/>
  <c r="D49" i="10"/>
  <c r="G48" i="10"/>
  <c r="E48" i="10"/>
  <c r="C47" i="10"/>
  <c r="D48" i="10" s="1"/>
  <c r="O46" i="10"/>
  <c r="K45" i="10"/>
  <c r="L45" i="10" s="1"/>
  <c r="H45" i="10"/>
  <c r="O44" i="10"/>
  <c r="AB43" i="10"/>
  <c r="AA43" i="10"/>
  <c r="O35" i="10"/>
  <c r="G34" i="10"/>
  <c r="G36" i="10" s="1"/>
  <c r="F34" i="10"/>
  <c r="F36" i="10" s="1"/>
  <c r="E34" i="10"/>
  <c r="E36" i="10" s="1"/>
  <c r="D34" i="10"/>
  <c r="D36" i="10" s="1"/>
  <c r="O33" i="10"/>
  <c r="H32" i="10"/>
  <c r="G32" i="10"/>
  <c r="F32" i="10"/>
  <c r="E32" i="10"/>
  <c r="O31" i="10"/>
  <c r="J31" i="10"/>
  <c r="K31" i="10" s="1"/>
  <c r="L31" i="10" s="1"/>
  <c r="M31" i="10" s="1"/>
  <c r="H31" i="10"/>
  <c r="G31" i="10"/>
  <c r="F31" i="10"/>
  <c r="E31" i="10"/>
  <c r="D31" i="10"/>
  <c r="C31" i="10"/>
  <c r="I30" i="10"/>
  <c r="O29" i="10"/>
  <c r="H26" i="10"/>
  <c r="G26" i="10"/>
  <c r="F26" i="10"/>
  <c r="E26" i="10"/>
  <c r="D26" i="10"/>
  <c r="C26" i="10"/>
  <c r="C27" i="10" s="1"/>
  <c r="O25" i="10"/>
  <c r="I24" i="10"/>
  <c r="O24" i="10" s="1"/>
  <c r="O23" i="10"/>
  <c r="O22" i="10"/>
  <c r="K22" i="10"/>
  <c r="O21" i="10"/>
  <c r="J21" i="10"/>
  <c r="J20" i="10" s="1"/>
  <c r="I20" i="10"/>
  <c r="O20" i="10" s="1"/>
  <c r="H20" i="10"/>
  <c r="G20" i="10"/>
  <c r="F20" i="10"/>
  <c r="E20" i="10"/>
  <c r="D20" i="10"/>
  <c r="O19" i="10"/>
  <c r="D7" i="10"/>
  <c r="J7" i="6" s="1"/>
  <c r="J272" i="6" s="1"/>
  <c r="C7" i="10"/>
  <c r="I7" i="6" s="1"/>
  <c r="I272" i="6" s="1"/>
  <c r="M1" i="10"/>
  <c r="L1" i="10"/>
  <c r="K1" i="10"/>
  <c r="J1" i="10"/>
  <c r="I1" i="10"/>
  <c r="H1" i="10"/>
  <c r="G1" i="10"/>
  <c r="F1" i="10"/>
  <c r="E1" i="10"/>
  <c r="D1" i="10"/>
  <c r="C1" i="10"/>
  <c r="X311" i="6"/>
  <c r="X310" i="6"/>
  <c r="X309" i="6"/>
  <c r="X308" i="6"/>
  <c r="X307" i="6"/>
  <c r="X306" i="6"/>
  <c r="X305" i="6"/>
  <c r="X304" i="6"/>
  <c r="X303" i="6"/>
  <c r="X302" i="6"/>
  <c r="X301" i="6"/>
  <c r="X300" i="6"/>
  <c r="B300" i="6"/>
  <c r="X299" i="6"/>
  <c r="M299" i="6"/>
  <c r="L299" i="6"/>
  <c r="B299" i="6"/>
  <c r="X298" i="6"/>
  <c r="X297" i="6"/>
  <c r="X296" i="6"/>
  <c r="X295" i="6"/>
  <c r="X294" i="6"/>
  <c r="X293" i="6"/>
  <c r="X292" i="6"/>
  <c r="H292" i="6"/>
  <c r="H62" i="6" s="1"/>
  <c r="G292" i="6"/>
  <c r="G62" i="6" s="1"/>
  <c r="X291" i="6"/>
  <c r="H291" i="6"/>
  <c r="H60" i="6" s="1"/>
  <c r="G291" i="6"/>
  <c r="G60" i="6" s="1"/>
  <c r="X290" i="6"/>
  <c r="J290" i="6"/>
  <c r="I290" i="6"/>
  <c r="H290" i="6"/>
  <c r="H61" i="6" s="1"/>
  <c r="G290" i="6"/>
  <c r="G61" i="6" s="1"/>
  <c r="X289" i="6"/>
  <c r="X288" i="6"/>
  <c r="X287" i="6"/>
  <c r="X286" i="6"/>
  <c r="X285" i="6"/>
  <c r="X284" i="6"/>
  <c r="X283" i="6"/>
  <c r="X282" i="6"/>
  <c r="X281" i="6"/>
  <c r="X280" i="6"/>
  <c r="X279" i="6"/>
  <c r="X278" i="6"/>
  <c r="X277" i="6"/>
  <c r="X276" i="6"/>
  <c r="X275" i="6"/>
  <c r="X274" i="6"/>
  <c r="H274" i="6"/>
  <c r="G274" i="6"/>
  <c r="X273" i="6"/>
  <c r="H273" i="6"/>
  <c r="G273" i="6"/>
  <c r="X272" i="6"/>
  <c r="H272" i="6"/>
  <c r="G272" i="6"/>
  <c r="G285" i="6" s="1"/>
  <c r="X271" i="6"/>
  <c r="H271" i="6"/>
  <c r="G271" i="6"/>
  <c r="A271" i="6"/>
  <c r="X270" i="6"/>
  <c r="X269" i="6"/>
  <c r="X268" i="6"/>
  <c r="X267" i="6"/>
  <c r="B267" i="6"/>
  <c r="X266" i="6"/>
  <c r="B266" i="6"/>
  <c r="X265" i="6"/>
  <c r="B265" i="6"/>
  <c r="B264" i="6"/>
  <c r="X263" i="6"/>
  <c r="X262" i="6"/>
  <c r="X261" i="6"/>
  <c r="X260" i="6"/>
  <c r="X259" i="6"/>
  <c r="X258" i="6"/>
  <c r="X257" i="6"/>
  <c r="M248" i="6"/>
  <c r="H255" i="6"/>
  <c r="H66" i="6" s="1"/>
  <c r="H55" i="6" s="1"/>
  <c r="G255" i="6"/>
  <c r="G248" i="6" s="1"/>
  <c r="K254" i="6"/>
  <c r="K247" i="6" s="1"/>
  <c r="J254" i="6"/>
  <c r="J247" i="6" s="1"/>
  <c r="I254" i="6"/>
  <c r="I247" i="6" s="1"/>
  <c r="H254" i="6"/>
  <c r="X254" i="6" s="1"/>
  <c r="G254" i="6"/>
  <c r="G247" i="6" s="1"/>
  <c r="L246" i="6"/>
  <c r="H253" i="6"/>
  <c r="X253" i="6" s="1"/>
  <c r="G253" i="6"/>
  <c r="G246" i="6" s="1"/>
  <c r="J245" i="6"/>
  <c r="I245" i="6"/>
  <c r="H252" i="6"/>
  <c r="G252" i="6"/>
  <c r="G245" i="6" s="1"/>
  <c r="M244" i="6"/>
  <c r="L277" i="6"/>
  <c r="H251" i="6"/>
  <c r="H59" i="6" s="1"/>
  <c r="H277" i="6" s="1"/>
  <c r="G251" i="6"/>
  <c r="G244" i="6" s="1"/>
  <c r="X250" i="6"/>
  <c r="L245" i="6"/>
  <c r="X242" i="6"/>
  <c r="X237" i="6"/>
  <c r="X236" i="6"/>
  <c r="X235" i="6"/>
  <c r="X234" i="6"/>
  <c r="X233" i="6"/>
  <c r="X232" i="6"/>
  <c r="X231" i="6"/>
  <c r="X230" i="6"/>
  <c r="X229" i="6"/>
  <c r="X228" i="6"/>
  <c r="X227" i="6"/>
  <c r="X226" i="6"/>
  <c r="X224" i="6"/>
  <c r="X221" i="6"/>
  <c r="X215" i="6"/>
  <c r="X214" i="6"/>
  <c r="I78" i="6"/>
  <c r="X200" i="6"/>
  <c r="X199" i="6"/>
  <c r="X182" i="6"/>
  <c r="X180" i="6"/>
  <c r="X178" i="6"/>
  <c r="X175" i="6"/>
  <c r="X168" i="6"/>
  <c r="X167" i="6"/>
  <c r="X165" i="6"/>
  <c r="M159" i="6"/>
  <c r="L159" i="6"/>
  <c r="K159" i="6"/>
  <c r="J159" i="6"/>
  <c r="I152" i="6"/>
  <c r="N150" i="6"/>
  <c r="M150" i="6"/>
  <c r="L150" i="6"/>
  <c r="K150" i="6"/>
  <c r="J150" i="6"/>
  <c r="A150" i="6"/>
  <c r="L149" i="6"/>
  <c r="L148" i="6"/>
  <c r="L147" i="6"/>
  <c r="L146" i="6"/>
  <c r="L145" i="6"/>
  <c r="M149" i="6"/>
  <c r="K147" i="6"/>
  <c r="N139" i="6"/>
  <c r="M139" i="6"/>
  <c r="M136" i="6"/>
  <c r="L136" i="6"/>
  <c r="M126" i="6"/>
  <c r="L126" i="6"/>
  <c r="K126" i="6"/>
  <c r="J126" i="6"/>
  <c r="I126" i="6"/>
  <c r="K125" i="6"/>
  <c r="J125" i="6"/>
  <c r="I125" i="6"/>
  <c r="M124" i="6"/>
  <c r="S78" i="6"/>
  <c r="R78" i="6"/>
  <c r="Q78" i="6"/>
  <c r="P78" i="6"/>
  <c r="O78" i="6"/>
  <c r="N78" i="6"/>
  <c r="M78" i="6"/>
  <c r="L78" i="6"/>
  <c r="K78" i="6"/>
  <c r="J78" i="6"/>
  <c r="I77" i="6"/>
  <c r="I76" i="6"/>
  <c r="X69" i="6"/>
  <c r="X67" i="6"/>
  <c r="X66" i="6"/>
  <c r="X58" i="6"/>
  <c r="X56" i="6"/>
  <c r="H54" i="6"/>
  <c r="G54" i="6"/>
  <c r="X47" i="6"/>
  <c r="BC46" i="6"/>
  <c r="BC57" i="6" s="1"/>
  <c r="X45" i="6"/>
  <c r="X42" i="6"/>
  <c r="BK41" i="6"/>
  <c r="BJ41" i="6"/>
  <c r="BI41" i="6"/>
  <c r="BK40" i="6"/>
  <c r="BJ40" i="6"/>
  <c r="BI40" i="6"/>
  <c r="AK3" i="6"/>
  <c r="AK32" i="6" s="1"/>
  <c r="BK39" i="6"/>
  <c r="BJ39" i="6"/>
  <c r="BI39" i="6"/>
  <c r="BK38" i="6"/>
  <c r="BJ38" i="6"/>
  <c r="BI38" i="6"/>
  <c r="BK34" i="6"/>
  <c r="BJ34" i="6"/>
  <c r="BI34" i="6"/>
  <c r="BK33" i="6"/>
  <c r="BJ33" i="6"/>
  <c r="BI33" i="6"/>
  <c r="BK32" i="6"/>
  <c r="BJ32" i="6"/>
  <c r="BI32" i="6"/>
  <c r="AX3" i="6"/>
  <c r="AX39" i="6" s="1"/>
  <c r="AL3" i="6"/>
  <c r="AL32" i="6" s="1"/>
  <c r="AH3" i="6"/>
  <c r="AH40" i="6" s="1"/>
  <c r="X31" i="6"/>
  <c r="X28" i="6"/>
  <c r="AZ27" i="6"/>
  <c r="AY27" i="6"/>
  <c r="AX27" i="6"/>
  <c r="AW27" i="6"/>
  <c r="AV27" i="6"/>
  <c r="AU27" i="6"/>
  <c r="AT27" i="6"/>
  <c r="AS27" i="6"/>
  <c r="AR27" i="6"/>
  <c r="AQ27" i="6"/>
  <c r="AP27" i="6"/>
  <c r="AO27" i="6"/>
  <c r="AN27" i="6"/>
  <c r="AM27" i="6"/>
  <c r="AL27" i="6"/>
  <c r="AK27" i="6"/>
  <c r="AJ27" i="6"/>
  <c r="AI27" i="6"/>
  <c r="AH27" i="6"/>
  <c r="H27" i="6"/>
  <c r="G27" i="6"/>
  <c r="AZ26" i="6"/>
  <c r="AY26" i="6"/>
  <c r="AX26" i="6"/>
  <c r="AW26" i="6"/>
  <c r="AV26" i="6"/>
  <c r="AU26" i="6"/>
  <c r="AT26" i="6"/>
  <c r="AS26" i="6"/>
  <c r="AR26" i="6"/>
  <c r="AQ26" i="6"/>
  <c r="AP26" i="6"/>
  <c r="AO26" i="6"/>
  <c r="AN26" i="6"/>
  <c r="AM26" i="6"/>
  <c r="AL26" i="6"/>
  <c r="AK26" i="6"/>
  <c r="AJ26" i="6"/>
  <c r="AI26" i="6"/>
  <c r="AH26" i="6"/>
  <c r="G26" i="6"/>
  <c r="AZ25" i="6"/>
  <c r="AY25" i="6"/>
  <c r="AX25" i="6"/>
  <c r="AW25" i="6"/>
  <c r="AV25" i="6"/>
  <c r="AU25" i="6"/>
  <c r="AT25" i="6"/>
  <c r="AS25" i="6"/>
  <c r="AR25" i="6"/>
  <c r="AQ25" i="6"/>
  <c r="AP25" i="6"/>
  <c r="AO25" i="6"/>
  <c r="AN25" i="6"/>
  <c r="AM25" i="6"/>
  <c r="AL25" i="6"/>
  <c r="AK25" i="6"/>
  <c r="AJ25" i="6"/>
  <c r="AI25" i="6"/>
  <c r="AH25" i="6"/>
  <c r="H25" i="6"/>
  <c r="G25" i="6"/>
  <c r="AZ24" i="6"/>
  <c r="AY24" i="6"/>
  <c r="AX24" i="6"/>
  <c r="AW24" i="6"/>
  <c r="AV24" i="6"/>
  <c r="AU24" i="6"/>
  <c r="AT24" i="6"/>
  <c r="AS24" i="6"/>
  <c r="AR24" i="6"/>
  <c r="AQ24" i="6"/>
  <c r="AP24" i="6"/>
  <c r="AO24" i="6"/>
  <c r="AN24" i="6"/>
  <c r="AM24" i="6"/>
  <c r="AL24" i="6"/>
  <c r="AK24" i="6"/>
  <c r="AJ24" i="6"/>
  <c r="AI24" i="6"/>
  <c r="AH24" i="6"/>
  <c r="H24" i="6"/>
  <c r="G24" i="6"/>
  <c r="H23" i="6"/>
  <c r="AZ20" i="6"/>
  <c r="AY20" i="6"/>
  <c r="AX20" i="6"/>
  <c r="AW20" i="6"/>
  <c r="AV20" i="6"/>
  <c r="AU20" i="6"/>
  <c r="AT20" i="6"/>
  <c r="AS20" i="6"/>
  <c r="AR20" i="6"/>
  <c r="AQ20" i="6"/>
  <c r="AP20" i="6"/>
  <c r="AO20" i="6"/>
  <c r="AN20" i="6"/>
  <c r="AM20" i="6"/>
  <c r="AL20" i="6"/>
  <c r="AK20" i="6"/>
  <c r="AJ20" i="6"/>
  <c r="AI20" i="6"/>
  <c r="AH20" i="6"/>
  <c r="H20" i="6"/>
  <c r="G20" i="6"/>
  <c r="CD19" i="6"/>
  <c r="CC19" i="6"/>
  <c r="CB19" i="6"/>
  <c r="CA19" i="6"/>
  <c r="BZ19" i="6"/>
  <c r="BY19" i="6"/>
  <c r="BX19" i="6"/>
  <c r="BW19" i="6"/>
  <c r="BV19" i="6"/>
  <c r="BU19" i="6"/>
  <c r="BT19" i="6"/>
  <c r="BS19" i="6"/>
  <c r="BR19" i="6"/>
  <c r="BQ19" i="6"/>
  <c r="BP19" i="6"/>
  <c r="BO19" i="6"/>
  <c r="BN19" i="6"/>
  <c r="BM19" i="6"/>
  <c r="H16" i="6"/>
  <c r="G16" i="6"/>
  <c r="F16" i="6"/>
  <c r="E16" i="6"/>
  <c r="H15" i="6"/>
  <c r="H3" i="6" s="1"/>
  <c r="G15" i="6"/>
  <c r="G3" i="6" s="1"/>
  <c r="F15" i="6"/>
  <c r="E15" i="6"/>
  <c r="X13" i="6"/>
  <c r="CD12" i="6"/>
  <c r="CC12" i="6"/>
  <c r="CB12" i="6"/>
  <c r="CA12" i="6"/>
  <c r="BZ12" i="6"/>
  <c r="BY12" i="6"/>
  <c r="BX12" i="6"/>
  <c r="BW12" i="6"/>
  <c r="BV12" i="6"/>
  <c r="BU12" i="6"/>
  <c r="BT12" i="6"/>
  <c r="BS12" i="6"/>
  <c r="BR12" i="6"/>
  <c r="BQ12" i="6"/>
  <c r="BP12" i="6"/>
  <c r="BO12" i="6"/>
  <c r="BO27" i="6" s="1"/>
  <c r="BN12" i="6"/>
  <c r="BN27" i="6" s="1"/>
  <c r="BM12" i="6"/>
  <c r="BM27" i="6" s="1"/>
  <c r="BL12" i="6"/>
  <c r="BE12" i="6"/>
  <c r="BF12" i="6" s="1"/>
  <c r="CD11" i="6"/>
  <c r="CC11" i="6"/>
  <c r="CB11" i="6"/>
  <c r="CA11" i="6"/>
  <c r="BZ11" i="6"/>
  <c r="BY11" i="6"/>
  <c r="BX11" i="6"/>
  <c r="BW11" i="6"/>
  <c r="BV11" i="6"/>
  <c r="BU11" i="6"/>
  <c r="BT11" i="6"/>
  <c r="BS11" i="6"/>
  <c r="BR11" i="6"/>
  <c r="BQ11" i="6"/>
  <c r="BP11" i="6"/>
  <c r="BO11" i="6"/>
  <c r="BO26" i="6" s="1"/>
  <c r="BN11" i="6"/>
  <c r="BN26" i="6" s="1"/>
  <c r="BM11" i="6"/>
  <c r="BM26" i="6" s="1"/>
  <c r="BL11" i="6"/>
  <c r="BE11" i="6"/>
  <c r="BF11" i="6" s="1"/>
  <c r="CD10" i="6"/>
  <c r="CC10" i="6"/>
  <c r="CB10" i="6"/>
  <c r="CA10" i="6"/>
  <c r="BZ10" i="6"/>
  <c r="BY10" i="6"/>
  <c r="BX10" i="6"/>
  <c r="BW10" i="6"/>
  <c r="BV10" i="6"/>
  <c r="BU10" i="6"/>
  <c r="BT10" i="6"/>
  <c r="BS10" i="6"/>
  <c r="BR10" i="6"/>
  <c r="BQ10" i="6"/>
  <c r="BP10" i="6"/>
  <c r="BO10" i="6"/>
  <c r="BO25" i="6" s="1"/>
  <c r="BN10" i="6"/>
  <c r="BM10" i="6"/>
  <c r="BM25" i="6" s="1"/>
  <c r="BL10" i="6"/>
  <c r="BE10" i="6"/>
  <c r="BF10" i="6" s="1"/>
  <c r="CD9" i="6"/>
  <c r="CC9" i="6"/>
  <c r="CB9" i="6"/>
  <c r="CA9" i="6"/>
  <c r="BZ9" i="6"/>
  <c r="BY9" i="6"/>
  <c r="BX9" i="6"/>
  <c r="BW9" i="6"/>
  <c r="BV9" i="6"/>
  <c r="BU9" i="6"/>
  <c r="BT9" i="6"/>
  <c r="BS9" i="6"/>
  <c r="BR9" i="6"/>
  <c r="BQ9" i="6"/>
  <c r="BP9" i="6"/>
  <c r="BO9" i="6"/>
  <c r="BO24" i="6" s="1"/>
  <c r="BN9" i="6"/>
  <c r="BM9" i="6"/>
  <c r="BM24" i="6" s="1"/>
  <c r="BL9" i="6"/>
  <c r="BE9" i="6"/>
  <c r="BF9" i="6" s="1"/>
  <c r="CD5" i="6"/>
  <c r="CC5" i="6"/>
  <c r="CB5" i="6"/>
  <c r="CB20" i="6" s="1"/>
  <c r="CA5" i="6"/>
  <c r="BZ5" i="6"/>
  <c r="BY5" i="6"/>
  <c r="BX5" i="6"/>
  <c r="BW5" i="6"/>
  <c r="BV5" i="6"/>
  <c r="BU5" i="6"/>
  <c r="BT5" i="6"/>
  <c r="BS5" i="6"/>
  <c r="BR5" i="6"/>
  <c r="BQ5" i="6"/>
  <c r="BP5" i="6"/>
  <c r="BO5" i="6"/>
  <c r="BN5" i="6"/>
  <c r="BM5" i="6"/>
  <c r="BM20" i="6" s="1"/>
  <c r="BL5" i="6"/>
  <c r="BE5" i="6"/>
  <c r="BA3" i="6"/>
  <c r="AZ3" i="6"/>
  <c r="AZ39" i="6" s="1"/>
  <c r="AY3" i="6"/>
  <c r="AY40" i="6" s="1"/>
  <c r="AW3" i="6"/>
  <c r="AW38" i="6" s="1"/>
  <c r="AV3" i="6"/>
  <c r="AV32" i="6" s="1"/>
  <c r="AU3" i="6"/>
  <c r="AU32" i="6" s="1"/>
  <c r="AT3" i="6"/>
  <c r="AT32" i="6" s="1"/>
  <c r="AS3" i="6"/>
  <c r="AS32" i="6" s="1"/>
  <c r="AR3" i="6"/>
  <c r="AR39" i="6" s="1"/>
  <c r="AQ3" i="6"/>
  <c r="AP3" i="6"/>
  <c r="AP34" i="6" s="1"/>
  <c r="AO3" i="6"/>
  <c r="AO39" i="6" s="1"/>
  <c r="AN3" i="6"/>
  <c r="AN40" i="6" s="1"/>
  <c r="AM3" i="6"/>
  <c r="AM41" i="6" s="1"/>
  <c r="AJ3" i="6"/>
  <c r="AJ39" i="6" s="1"/>
  <c r="AI3" i="6"/>
  <c r="AI32" i="6" s="1"/>
  <c r="AG3" i="6"/>
  <c r="AG34" i="6" s="1"/>
  <c r="AF3" i="6"/>
  <c r="AF38" i="6" s="1"/>
  <c r="AE3" i="6"/>
  <c r="AE34" i="6" s="1"/>
  <c r="AD3" i="6"/>
  <c r="AD32" i="6" s="1"/>
  <c r="S1" i="6"/>
  <c r="R1" i="6"/>
  <c r="Q1" i="6"/>
  <c r="P1" i="6"/>
  <c r="O1" i="6"/>
  <c r="N1" i="6"/>
  <c r="M1" i="6"/>
  <c r="L1" i="6"/>
  <c r="K1" i="6"/>
  <c r="J1" i="6"/>
  <c r="I1" i="6"/>
  <c r="H1" i="6"/>
  <c r="C247" i="5"/>
  <c r="AA246" i="5"/>
  <c r="C245" i="5"/>
  <c r="C244" i="5" s="1"/>
  <c r="S241" i="5"/>
  <c r="AA240" i="5"/>
  <c r="AA235" i="5"/>
  <c r="AZ234" i="5"/>
  <c r="AZ232" i="5"/>
  <c r="AX229" i="5"/>
  <c r="AW229" i="5"/>
  <c r="AV229" i="5"/>
  <c r="AU229" i="5"/>
  <c r="AT229" i="5"/>
  <c r="AS229" i="5"/>
  <c r="AR229" i="5"/>
  <c r="AQ229" i="5"/>
  <c r="AP229" i="5"/>
  <c r="AO229" i="5"/>
  <c r="AN229" i="5"/>
  <c r="AM229" i="5"/>
  <c r="AL229" i="5"/>
  <c r="AK229" i="5"/>
  <c r="AJ229" i="5"/>
  <c r="AI229" i="5"/>
  <c r="AH229" i="5"/>
  <c r="AG229" i="5"/>
  <c r="AF229" i="5"/>
  <c r="AE229" i="5"/>
  <c r="AD229" i="5"/>
  <c r="AC229" i="5"/>
  <c r="AB229" i="5"/>
  <c r="AA229" i="5"/>
  <c r="M229" i="5"/>
  <c r="L229" i="5"/>
  <c r="K229" i="5"/>
  <c r="J229" i="5"/>
  <c r="I229" i="5"/>
  <c r="H229" i="5"/>
  <c r="G229" i="5"/>
  <c r="F229" i="5"/>
  <c r="E229" i="5"/>
  <c r="D229" i="5"/>
  <c r="AZ224" i="5"/>
  <c r="AA221" i="5"/>
  <c r="AZ220" i="5"/>
  <c r="S202" i="5"/>
  <c r="AW191" i="5"/>
  <c r="AV191" i="5"/>
  <c r="AU191" i="5"/>
  <c r="AT191" i="5"/>
  <c r="AS191" i="5"/>
  <c r="AR191" i="5"/>
  <c r="AQ191" i="5"/>
  <c r="AP191" i="5"/>
  <c r="AO191" i="5"/>
  <c r="AN191" i="5"/>
  <c r="AM191" i="5"/>
  <c r="AL191" i="5"/>
  <c r="AK191" i="5"/>
  <c r="AJ191" i="5"/>
  <c r="AI191" i="5"/>
  <c r="AH191" i="5"/>
  <c r="AG191" i="5"/>
  <c r="AF191" i="5"/>
  <c r="AE191" i="5"/>
  <c r="AD191" i="5"/>
  <c r="AC191" i="5"/>
  <c r="AB191" i="5"/>
  <c r="M191" i="5"/>
  <c r="L191" i="5"/>
  <c r="K191" i="5"/>
  <c r="J191" i="5"/>
  <c r="I191" i="5"/>
  <c r="H191" i="5"/>
  <c r="G191" i="5"/>
  <c r="F191" i="5"/>
  <c r="E191" i="5"/>
  <c r="D191" i="5"/>
  <c r="C191" i="5"/>
  <c r="AW190" i="5"/>
  <c r="AV190" i="5"/>
  <c r="AU190" i="5"/>
  <c r="AT190" i="5"/>
  <c r="AS190" i="5"/>
  <c r="AR190" i="5"/>
  <c r="AQ190" i="5"/>
  <c r="AP190" i="5"/>
  <c r="AO190" i="5"/>
  <c r="AN190" i="5"/>
  <c r="AM190" i="5"/>
  <c r="AL190" i="5"/>
  <c r="AK190" i="5"/>
  <c r="AJ190" i="5"/>
  <c r="AI190" i="5"/>
  <c r="AH190" i="5"/>
  <c r="AG190" i="5"/>
  <c r="AF190" i="5"/>
  <c r="AE190" i="5"/>
  <c r="AD190" i="5"/>
  <c r="AC190" i="5"/>
  <c r="AB190" i="5"/>
  <c r="M190" i="5"/>
  <c r="L190" i="5"/>
  <c r="K190" i="5"/>
  <c r="J190" i="5"/>
  <c r="I190" i="5"/>
  <c r="H190" i="5"/>
  <c r="G190" i="5"/>
  <c r="F190" i="5"/>
  <c r="E190" i="5"/>
  <c r="D190" i="5"/>
  <c r="C190" i="5"/>
  <c r="C189" i="5"/>
  <c r="C246" i="5" s="1"/>
  <c r="AX186" i="5"/>
  <c r="AT186" i="5"/>
  <c r="AB186" i="5"/>
  <c r="R186" i="5"/>
  <c r="S186" i="5" s="1"/>
  <c r="E186" i="5"/>
  <c r="F186" i="5" s="1"/>
  <c r="G186" i="5" s="1"/>
  <c r="H186" i="5" s="1"/>
  <c r="I186" i="5" s="1"/>
  <c r="J186" i="5" s="1"/>
  <c r="K186" i="5" s="1"/>
  <c r="L186" i="5" s="1"/>
  <c r="M186" i="5" s="1"/>
  <c r="AA185" i="5"/>
  <c r="C179" i="5"/>
  <c r="AW172" i="5"/>
  <c r="AV172" i="5"/>
  <c r="AU172" i="5"/>
  <c r="AT172" i="5"/>
  <c r="AS172" i="5"/>
  <c r="AT169" i="5" s="1"/>
  <c r="AR172" i="5"/>
  <c r="AQ172" i="5"/>
  <c r="AR169" i="5" s="1"/>
  <c r="AP172" i="5"/>
  <c r="AQ169" i="5" s="1"/>
  <c r="AQ170" i="5" s="1"/>
  <c r="AO172" i="5"/>
  <c r="AN172" i="5"/>
  <c r="AO169" i="5" s="1"/>
  <c r="AM172" i="5"/>
  <c r="AL172" i="5"/>
  <c r="AM169" i="5" s="1"/>
  <c r="AK172" i="5"/>
  <c r="AJ172" i="5"/>
  <c r="AI172" i="5"/>
  <c r="AH172" i="5"/>
  <c r="AG172" i="5"/>
  <c r="AH169" i="5" s="1"/>
  <c r="AF172" i="5"/>
  <c r="AE172" i="5"/>
  <c r="AF169" i="5" s="1"/>
  <c r="AD172" i="5"/>
  <c r="AE169" i="5" s="1"/>
  <c r="AC172" i="5"/>
  <c r="AD169" i="5" s="1"/>
  <c r="AB172" i="5"/>
  <c r="AC169" i="5" s="1"/>
  <c r="M172" i="5"/>
  <c r="L172" i="5"/>
  <c r="M169" i="5" s="1"/>
  <c r="K172" i="5"/>
  <c r="L169" i="5" s="1"/>
  <c r="J172" i="5"/>
  <c r="I172" i="5"/>
  <c r="J169" i="5" s="1"/>
  <c r="H172" i="5"/>
  <c r="G172" i="5"/>
  <c r="H169" i="5" s="1"/>
  <c r="H170" i="5" s="1"/>
  <c r="F172" i="5"/>
  <c r="E172" i="5"/>
  <c r="F169" i="5" s="1"/>
  <c r="D172" i="5"/>
  <c r="E169" i="5" s="1"/>
  <c r="AW171" i="5"/>
  <c r="AV171" i="5"/>
  <c r="AV164" i="5" s="1"/>
  <c r="AU171" i="5"/>
  <c r="AT171" i="5"/>
  <c r="AS171" i="5"/>
  <c r="AS164" i="5" s="1"/>
  <c r="AS174" i="5" s="1"/>
  <c r="AS36" i="5" s="1"/>
  <c r="AS210" i="5" s="1"/>
  <c r="AR171" i="5"/>
  <c r="AR164" i="5" s="1"/>
  <c r="AR174" i="5" s="1"/>
  <c r="AR36" i="5" s="1"/>
  <c r="AR210" i="5" s="1"/>
  <c r="AQ171" i="5"/>
  <c r="AQ164" i="5" s="1"/>
  <c r="AQ174" i="5" s="1"/>
  <c r="AQ36" i="5" s="1"/>
  <c r="AQ210" i="5" s="1"/>
  <c r="AP171" i="5"/>
  <c r="AP164" i="5" s="1"/>
  <c r="AP174" i="5" s="1"/>
  <c r="AP36" i="5" s="1"/>
  <c r="AP210" i="5" s="1"/>
  <c r="AO171" i="5"/>
  <c r="AO170" i="5" s="1"/>
  <c r="AN171" i="5"/>
  <c r="AN164" i="5" s="1"/>
  <c r="AN174" i="5" s="1"/>
  <c r="AN36" i="5" s="1"/>
  <c r="AN210" i="5" s="1"/>
  <c r="AM171" i="5"/>
  <c r="AM164" i="5" s="1"/>
  <c r="AL171" i="5"/>
  <c r="AL164" i="5" s="1"/>
  <c r="AL174" i="5" s="1"/>
  <c r="AL36" i="5" s="1"/>
  <c r="AK171" i="5"/>
  <c r="AK164" i="5" s="1"/>
  <c r="AK174" i="5" s="1"/>
  <c r="AK36" i="5" s="1"/>
  <c r="AJ171" i="5"/>
  <c r="AJ164" i="5" s="1"/>
  <c r="AI171" i="5"/>
  <c r="AH171" i="5"/>
  <c r="AG171" i="5"/>
  <c r="AG164" i="5" s="1"/>
  <c r="AG174" i="5" s="1"/>
  <c r="AG36" i="5" s="1"/>
  <c r="AG210" i="5" s="1"/>
  <c r="AF171" i="5"/>
  <c r="AF164" i="5" s="1"/>
  <c r="AF174" i="5" s="1"/>
  <c r="AF36" i="5" s="1"/>
  <c r="AE171" i="5"/>
  <c r="AD171" i="5"/>
  <c r="AD164" i="5" s="1"/>
  <c r="AD174" i="5" s="1"/>
  <c r="AD36" i="5" s="1"/>
  <c r="AD210" i="5" s="1"/>
  <c r="AC171" i="5"/>
  <c r="AB171" i="5"/>
  <c r="AB164" i="5" s="1"/>
  <c r="AB174" i="5" s="1"/>
  <c r="AB36" i="5" s="1"/>
  <c r="AB210" i="5" s="1"/>
  <c r="M171" i="5"/>
  <c r="M164" i="5" s="1"/>
  <c r="L171" i="5"/>
  <c r="L164" i="5" s="1"/>
  <c r="K171" i="5"/>
  <c r="K164" i="5" s="1"/>
  <c r="K174" i="5" s="1"/>
  <c r="K36" i="5" s="1"/>
  <c r="K210" i="5" s="1"/>
  <c r="J171" i="5"/>
  <c r="I171" i="5"/>
  <c r="I164" i="5" s="1"/>
  <c r="I174" i="5" s="1"/>
  <c r="I36" i="5" s="1"/>
  <c r="H171" i="5"/>
  <c r="G171" i="5"/>
  <c r="F171" i="5"/>
  <c r="E171" i="5"/>
  <c r="E164" i="5" s="1"/>
  <c r="D171" i="5"/>
  <c r="D164" i="5" s="1"/>
  <c r="P170" i="5"/>
  <c r="Q170" i="5" s="1"/>
  <c r="R170" i="5" s="1"/>
  <c r="S170" i="5" s="1"/>
  <c r="AX169" i="5"/>
  <c r="AP169" i="5"/>
  <c r="AN169" i="5"/>
  <c r="AL169" i="5"/>
  <c r="AL170" i="5" s="1"/>
  <c r="AI169" i="5"/>
  <c r="AB169" i="5"/>
  <c r="N169" i="5"/>
  <c r="I169" i="5"/>
  <c r="G169" i="5"/>
  <c r="D169" i="5"/>
  <c r="AA165" i="5"/>
  <c r="AU164" i="5"/>
  <c r="AU174" i="5" s="1"/>
  <c r="AU36" i="5" s="1"/>
  <c r="AU210" i="5" s="1"/>
  <c r="AI164" i="5"/>
  <c r="AI174" i="5" s="1"/>
  <c r="AI36" i="5" s="1"/>
  <c r="AI39" i="5" s="1"/>
  <c r="J164" i="5"/>
  <c r="J174" i="5" s="1"/>
  <c r="J36" i="5" s="1"/>
  <c r="G164" i="5"/>
  <c r="C164" i="5"/>
  <c r="C36" i="5" s="1"/>
  <c r="C161" i="5"/>
  <c r="AX151" i="5"/>
  <c r="O149" i="5"/>
  <c r="P149" i="5" s="1"/>
  <c r="AW133" i="5"/>
  <c r="AX133" i="5" s="1"/>
  <c r="AZ133" i="5" s="1"/>
  <c r="N133" i="5" s="1"/>
  <c r="O133" i="5" s="1"/>
  <c r="P133" i="5" s="1"/>
  <c r="Q133" i="5" s="1"/>
  <c r="R133" i="5" s="1"/>
  <c r="S133" i="5" s="1"/>
  <c r="AV133" i="5"/>
  <c r="AU133" i="5"/>
  <c r="AT133" i="5"/>
  <c r="AS133" i="5"/>
  <c r="AR133" i="5"/>
  <c r="AQ133" i="5"/>
  <c r="AP133" i="5"/>
  <c r="AO133" i="5"/>
  <c r="AN133" i="5"/>
  <c r="AM133" i="5"/>
  <c r="AL133" i="5"/>
  <c r="AK133" i="5"/>
  <c r="AJ133" i="5"/>
  <c r="AI133" i="5"/>
  <c r="AH133" i="5"/>
  <c r="AG133" i="5"/>
  <c r="AF133" i="5"/>
  <c r="AE133" i="5"/>
  <c r="AD133" i="5"/>
  <c r="AC133" i="5"/>
  <c r="AB133" i="5"/>
  <c r="AA133" i="5"/>
  <c r="M133" i="5"/>
  <c r="L133" i="5"/>
  <c r="K133" i="5"/>
  <c r="J133" i="5"/>
  <c r="I133" i="5"/>
  <c r="H133" i="5"/>
  <c r="G133" i="5"/>
  <c r="F133" i="5"/>
  <c r="E133" i="5"/>
  <c r="D133" i="5"/>
  <c r="C133" i="5"/>
  <c r="AW132" i="5"/>
  <c r="AV132" i="5"/>
  <c r="AU132" i="5"/>
  <c r="AT132" i="5"/>
  <c r="AS132" i="5"/>
  <c r="AR132" i="5"/>
  <c r="AQ132" i="5"/>
  <c r="AP132" i="5"/>
  <c r="AO132" i="5"/>
  <c r="AN132" i="5"/>
  <c r="AM132" i="5"/>
  <c r="AL132" i="5"/>
  <c r="AK132" i="5"/>
  <c r="AJ132" i="5"/>
  <c r="AI132" i="5"/>
  <c r="AH132" i="5"/>
  <c r="AG132" i="5"/>
  <c r="AF132" i="5"/>
  <c r="AE132" i="5"/>
  <c r="AD132" i="5"/>
  <c r="AC132" i="5"/>
  <c r="AB132" i="5"/>
  <c r="AA132" i="5"/>
  <c r="M132" i="5"/>
  <c r="L132" i="5"/>
  <c r="K132" i="5"/>
  <c r="J132" i="5"/>
  <c r="J129" i="5" s="1"/>
  <c r="I132" i="5"/>
  <c r="H132" i="5"/>
  <c r="G132" i="5"/>
  <c r="F132" i="5"/>
  <c r="E132" i="5"/>
  <c r="D132" i="5"/>
  <c r="C132" i="5"/>
  <c r="AW131" i="5"/>
  <c r="AV131" i="5"/>
  <c r="AU131" i="5"/>
  <c r="AT131" i="5"/>
  <c r="AS131" i="5"/>
  <c r="AR131" i="5"/>
  <c r="AQ131" i="5"/>
  <c r="AP131" i="5"/>
  <c r="AO131" i="5"/>
  <c r="AN131" i="5"/>
  <c r="AM131" i="5"/>
  <c r="AL131" i="5"/>
  <c r="AK131" i="5"/>
  <c r="AJ131" i="5"/>
  <c r="AI131" i="5"/>
  <c r="AH131" i="5"/>
  <c r="AG131" i="5"/>
  <c r="AF131" i="5"/>
  <c r="AE131" i="5"/>
  <c r="AD131" i="5"/>
  <c r="AC131" i="5"/>
  <c r="AB131" i="5"/>
  <c r="AA131" i="5"/>
  <c r="M131" i="5"/>
  <c r="L131" i="5"/>
  <c r="K131" i="5"/>
  <c r="J131" i="5"/>
  <c r="I131" i="5"/>
  <c r="H131" i="5"/>
  <c r="G131" i="5"/>
  <c r="F131" i="5"/>
  <c r="E131" i="5"/>
  <c r="D131" i="5"/>
  <c r="C131" i="5"/>
  <c r="AZ130" i="5"/>
  <c r="AW130" i="5"/>
  <c r="AV130" i="5"/>
  <c r="AU130" i="5"/>
  <c r="AT130" i="5"/>
  <c r="AS130" i="5"/>
  <c r="AS228" i="5" s="1"/>
  <c r="AR130" i="5"/>
  <c r="AQ130" i="5"/>
  <c r="AP130" i="5"/>
  <c r="AO130" i="5"/>
  <c r="AN130" i="5"/>
  <c r="AM130" i="5"/>
  <c r="AL130" i="5"/>
  <c r="AK130" i="5"/>
  <c r="AJ130" i="5"/>
  <c r="AI130" i="5"/>
  <c r="AM93" i="5" s="1"/>
  <c r="AH130" i="5"/>
  <c r="AG130" i="5"/>
  <c r="AG228" i="5" s="1"/>
  <c r="AF130" i="5"/>
  <c r="AE130" i="5"/>
  <c r="AF228" i="5" s="1"/>
  <c r="AD130" i="5"/>
  <c r="AD228" i="5" s="1"/>
  <c r="AC130" i="5"/>
  <c r="AB130" i="5"/>
  <c r="AA130" i="5"/>
  <c r="AB228" i="5" s="1"/>
  <c r="N130" i="5"/>
  <c r="M130" i="5"/>
  <c r="L130" i="5"/>
  <c r="L228" i="5"/>
  <c r="K130" i="5"/>
  <c r="J130" i="5"/>
  <c r="I130" i="5"/>
  <c r="H130" i="5"/>
  <c r="H129" i="5" s="1"/>
  <c r="I19" i="7" s="1"/>
  <c r="G130" i="5"/>
  <c r="F130" i="5"/>
  <c r="E130" i="5"/>
  <c r="D130" i="5"/>
  <c r="D129" i="5" s="1"/>
  <c r="D77" i="7" s="1"/>
  <c r="C130" i="5"/>
  <c r="AW127" i="5"/>
  <c r="AV127" i="5"/>
  <c r="AU127" i="5"/>
  <c r="AU125" i="5" s="1"/>
  <c r="AT127" i="5"/>
  <c r="AS127" i="5"/>
  <c r="AR127" i="5"/>
  <c r="AQ127" i="5"/>
  <c r="AQ227" i="5" s="1"/>
  <c r="AP127" i="5"/>
  <c r="AO127" i="5"/>
  <c r="AN127" i="5"/>
  <c r="AM127" i="5"/>
  <c r="AN227" i="5" s="1"/>
  <c r="AL127" i="5"/>
  <c r="AK127" i="5"/>
  <c r="AJ127" i="5"/>
  <c r="AI127" i="5"/>
  <c r="AI125" i="5" s="1"/>
  <c r="AH127" i="5"/>
  <c r="AH227" i="5" s="1"/>
  <c r="AG127" i="5"/>
  <c r="AF127" i="5"/>
  <c r="AE127" i="5"/>
  <c r="AE227" i="5" s="1"/>
  <c r="AD127" i="5"/>
  <c r="AC127" i="5"/>
  <c r="AB127" i="5"/>
  <c r="AA127" i="5"/>
  <c r="AA227" i="5" s="1"/>
  <c r="M127" i="5"/>
  <c r="L127" i="5"/>
  <c r="K127" i="5"/>
  <c r="J127" i="5"/>
  <c r="I127" i="5"/>
  <c r="H127" i="5"/>
  <c r="G127" i="5"/>
  <c r="F127" i="5"/>
  <c r="E127" i="5"/>
  <c r="D127" i="5"/>
  <c r="C127" i="5"/>
  <c r="AW126" i="5"/>
  <c r="AV126" i="5"/>
  <c r="AU126" i="5"/>
  <c r="AT126" i="5"/>
  <c r="AT125" i="5" s="1"/>
  <c r="AS126" i="5"/>
  <c r="AR126" i="5"/>
  <c r="AQ126" i="5"/>
  <c r="AP126" i="5"/>
  <c r="AP182" i="5" s="1"/>
  <c r="AO126" i="5"/>
  <c r="AN126" i="5"/>
  <c r="AM126" i="5"/>
  <c r="AM182" i="5" s="1"/>
  <c r="AL126" i="5"/>
  <c r="AL125" i="5" s="1"/>
  <c r="AK126" i="5"/>
  <c r="AK125" i="5" s="1"/>
  <c r="AJ126" i="5"/>
  <c r="AI126" i="5"/>
  <c r="AH126" i="5"/>
  <c r="AG126" i="5"/>
  <c r="AG125" i="5" s="1"/>
  <c r="AF126" i="5"/>
  <c r="AF182" i="5"/>
  <c r="AE126" i="5"/>
  <c r="AD126" i="5"/>
  <c r="AD182" i="5" s="1"/>
  <c r="AC126" i="5"/>
  <c r="AB126" i="5"/>
  <c r="AA126" i="5"/>
  <c r="M126" i="5"/>
  <c r="L126" i="5"/>
  <c r="L182" i="5" s="1"/>
  <c r="K126" i="5"/>
  <c r="J126" i="5"/>
  <c r="I126" i="5"/>
  <c r="I125" i="5" s="1"/>
  <c r="H126" i="5"/>
  <c r="G126" i="5"/>
  <c r="G125" i="5" s="1"/>
  <c r="F126" i="5"/>
  <c r="F182" i="5" s="1"/>
  <c r="E126" i="5"/>
  <c r="E182" i="5"/>
  <c r="D126" i="5"/>
  <c r="D182" i="5" s="1"/>
  <c r="C126" i="5"/>
  <c r="C182" i="5" s="1"/>
  <c r="AW125" i="5"/>
  <c r="AO125" i="5"/>
  <c r="AW123" i="5"/>
  <c r="AV123" i="5"/>
  <c r="AU123" i="5"/>
  <c r="AT123" i="5"/>
  <c r="AS123" i="5"/>
  <c r="AR123" i="5"/>
  <c r="AQ123" i="5"/>
  <c r="AP123" i="5"/>
  <c r="AO123" i="5"/>
  <c r="AN123" i="5"/>
  <c r="AM123" i="5"/>
  <c r="AL123" i="5"/>
  <c r="AK123" i="5"/>
  <c r="AJ123" i="5"/>
  <c r="AJ217" i="5" s="1"/>
  <c r="AI123" i="5"/>
  <c r="AH123" i="5"/>
  <c r="AG123" i="5"/>
  <c r="AF123" i="5"/>
  <c r="AF217" i="5" s="1"/>
  <c r="AE123" i="5"/>
  <c r="AD123" i="5"/>
  <c r="AC123" i="5"/>
  <c r="AB123" i="5"/>
  <c r="AA123" i="5"/>
  <c r="AA217" i="5" s="1"/>
  <c r="M123" i="5"/>
  <c r="L123" i="5"/>
  <c r="K123" i="5"/>
  <c r="J123" i="5"/>
  <c r="I123" i="5"/>
  <c r="H123" i="5"/>
  <c r="G123" i="5"/>
  <c r="F123" i="5"/>
  <c r="E123" i="5"/>
  <c r="D123" i="5"/>
  <c r="C123" i="5"/>
  <c r="AW122" i="5"/>
  <c r="AV122" i="5"/>
  <c r="AU122" i="5"/>
  <c r="AT122" i="5"/>
  <c r="AT120" i="5" s="1"/>
  <c r="AT119" i="5" s="1"/>
  <c r="AS122" i="5"/>
  <c r="AR122" i="5"/>
  <c r="AQ122" i="5"/>
  <c r="AP122" i="5"/>
  <c r="AO122" i="5"/>
  <c r="AN122" i="5"/>
  <c r="AM122" i="5"/>
  <c r="AM120" i="5" s="1"/>
  <c r="AL122" i="5"/>
  <c r="AK122" i="5"/>
  <c r="AJ122" i="5"/>
  <c r="AI122" i="5"/>
  <c r="AH122" i="5"/>
  <c r="AG122" i="5"/>
  <c r="AF122" i="5"/>
  <c r="AE122" i="5"/>
  <c r="AD122" i="5"/>
  <c r="AC122" i="5"/>
  <c r="AB122" i="5"/>
  <c r="AA122" i="5"/>
  <c r="AA216" i="5" s="1"/>
  <c r="M122" i="5"/>
  <c r="L122" i="5"/>
  <c r="K122" i="5"/>
  <c r="J122" i="5"/>
  <c r="I122" i="5"/>
  <c r="H122" i="5"/>
  <c r="G122" i="5"/>
  <c r="F122" i="5"/>
  <c r="E122" i="5"/>
  <c r="D122" i="5"/>
  <c r="C122" i="5"/>
  <c r="AW121" i="5"/>
  <c r="AV121" i="5"/>
  <c r="AV56" i="5" s="1"/>
  <c r="AU121" i="5"/>
  <c r="AT121" i="5"/>
  <c r="AS121" i="5"/>
  <c r="AR121" i="5"/>
  <c r="AQ121" i="5"/>
  <c r="AP121" i="5"/>
  <c r="AO121" i="5"/>
  <c r="AO120" i="5" s="1"/>
  <c r="AN121" i="5"/>
  <c r="AM121" i="5"/>
  <c r="AL121" i="5"/>
  <c r="AK121" i="5"/>
  <c r="AJ121" i="5"/>
  <c r="AJ56" i="5" s="1"/>
  <c r="AI121" i="5"/>
  <c r="AH121" i="5"/>
  <c r="AG121" i="5"/>
  <c r="AF121" i="5"/>
  <c r="AE121" i="5"/>
  <c r="AD121" i="5"/>
  <c r="AC121" i="5"/>
  <c r="AC120" i="5" s="1"/>
  <c r="AB121" i="5"/>
  <c r="AA121" i="5"/>
  <c r="M121" i="5"/>
  <c r="L121" i="5"/>
  <c r="K121" i="5"/>
  <c r="J121" i="5"/>
  <c r="I121" i="5"/>
  <c r="H121" i="5"/>
  <c r="G121" i="5"/>
  <c r="F121" i="5"/>
  <c r="E121" i="5"/>
  <c r="D121" i="5"/>
  <c r="D120" i="5" s="1"/>
  <c r="C121" i="5"/>
  <c r="AW116" i="5"/>
  <c r="AV116" i="5"/>
  <c r="AU116" i="5"/>
  <c r="AT116" i="5"/>
  <c r="AS116" i="5"/>
  <c r="AR116" i="5"/>
  <c r="AQ116" i="5"/>
  <c r="AP116" i="5"/>
  <c r="AO116" i="5"/>
  <c r="AN116" i="5"/>
  <c r="AM116" i="5"/>
  <c r="AL116" i="5"/>
  <c r="AK116" i="5"/>
  <c r="AJ116" i="5"/>
  <c r="AI116" i="5"/>
  <c r="AH116" i="5"/>
  <c r="AG116" i="5"/>
  <c r="AF116" i="5"/>
  <c r="AE116" i="5"/>
  <c r="AD116" i="5"/>
  <c r="AC116" i="5"/>
  <c r="AB116" i="5"/>
  <c r="AA116" i="5"/>
  <c r="M116" i="5"/>
  <c r="L116" i="5"/>
  <c r="K116" i="5"/>
  <c r="J116" i="5"/>
  <c r="I116" i="5"/>
  <c r="H116" i="5"/>
  <c r="G116" i="5"/>
  <c r="F116" i="5"/>
  <c r="E116" i="5"/>
  <c r="D116" i="5"/>
  <c r="AW115" i="5"/>
  <c r="AX115" i="5" s="1"/>
  <c r="AV115" i="5"/>
  <c r="AU115" i="5"/>
  <c r="AT115" i="5"/>
  <c r="AS115" i="5"/>
  <c r="AR115" i="5"/>
  <c r="AQ115" i="5"/>
  <c r="AP115" i="5"/>
  <c r="AO115" i="5"/>
  <c r="AN115" i="5"/>
  <c r="AM115" i="5"/>
  <c r="AL115" i="5"/>
  <c r="AK115" i="5"/>
  <c r="AJ115" i="5"/>
  <c r="AI115" i="5"/>
  <c r="AH115" i="5"/>
  <c r="AG115" i="5"/>
  <c r="AF115" i="5"/>
  <c r="AE115" i="5"/>
  <c r="AD115" i="5"/>
  <c r="AC115" i="5"/>
  <c r="AB115" i="5"/>
  <c r="AA115" i="5"/>
  <c r="M115" i="5"/>
  <c r="M222" i="5" s="1"/>
  <c r="L115" i="5"/>
  <c r="K115" i="5"/>
  <c r="J115" i="5"/>
  <c r="I115" i="5"/>
  <c r="H115" i="5"/>
  <c r="G115" i="5"/>
  <c r="F115" i="5"/>
  <c r="E115" i="5"/>
  <c r="D115" i="5"/>
  <c r="C115" i="5"/>
  <c r="AW114" i="5"/>
  <c r="AV114" i="5"/>
  <c r="AU114" i="5"/>
  <c r="AT114" i="5"/>
  <c r="AS114" i="5"/>
  <c r="AR114" i="5"/>
  <c r="AQ114" i="5"/>
  <c r="AP114" i="5"/>
  <c r="AO114" i="5"/>
  <c r="AN114" i="5"/>
  <c r="AM114" i="5"/>
  <c r="AL114" i="5"/>
  <c r="AK114" i="5"/>
  <c r="AJ114" i="5"/>
  <c r="AI114" i="5"/>
  <c r="AH114" i="5"/>
  <c r="AG114" i="5"/>
  <c r="AF114" i="5"/>
  <c r="AE114" i="5"/>
  <c r="AD114" i="5"/>
  <c r="AC114" i="5"/>
  <c r="AB114" i="5"/>
  <c r="AA114" i="5"/>
  <c r="M114" i="5"/>
  <c r="L114" i="5"/>
  <c r="K114" i="5"/>
  <c r="L222" i="5" s="1"/>
  <c r="J114" i="5"/>
  <c r="I114" i="5"/>
  <c r="H114" i="5"/>
  <c r="G114" i="5"/>
  <c r="F114" i="5"/>
  <c r="E114" i="5"/>
  <c r="D114" i="5"/>
  <c r="C114" i="5"/>
  <c r="AW113" i="5"/>
  <c r="AV113" i="5"/>
  <c r="AU113" i="5"/>
  <c r="AT113" i="5"/>
  <c r="AS113" i="5"/>
  <c r="AR113" i="5"/>
  <c r="AQ113" i="5"/>
  <c r="AP113" i="5"/>
  <c r="AO113" i="5"/>
  <c r="AN113" i="5"/>
  <c r="AM113" i="5"/>
  <c r="AL113" i="5"/>
  <c r="AK113" i="5"/>
  <c r="AJ113" i="5"/>
  <c r="AI113" i="5"/>
  <c r="AH113" i="5"/>
  <c r="AG113" i="5"/>
  <c r="AF113" i="5"/>
  <c r="AE113" i="5"/>
  <c r="AD113" i="5"/>
  <c r="AC113" i="5"/>
  <c r="AB113" i="5"/>
  <c r="AA113" i="5"/>
  <c r="M113" i="5"/>
  <c r="L113" i="5"/>
  <c r="K113" i="5"/>
  <c r="J113" i="5"/>
  <c r="I113" i="5"/>
  <c r="I111" i="5" s="1"/>
  <c r="I166" i="5" s="1"/>
  <c r="H113" i="5"/>
  <c r="G113" i="5"/>
  <c r="F113" i="5"/>
  <c r="E113" i="5"/>
  <c r="D113" i="5"/>
  <c r="C113" i="5"/>
  <c r="AW112" i="5"/>
  <c r="AW111" i="5" s="1"/>
  <c r="AW166" i="5" s="1"/>
  <c r="AV112" i="5"/>
  <c r="AU112" i="5"/>
  <c r="AT112" i="5"/>
  <c r="AS112" i="5"/>
  <c r="AR112" i="5"/>
  <c r="AQ112" i="5"/>
  <c r="AP112" i="5"/>
  <c r="AO112" i="5"/>
  <c r="AN112" i="5"/>
  <c r="AN111" i="5" s="1"/>
  <c r="AN166" i="5" s="1"/>
  <c r="AM112" i="5"/>
  <c r="AL112" i="5"/>
  <c r="AK112" i="5"/>
  <c r="AK111" i="5" s="1"/>
  <c r="AJ112" i="5"/>
  <c r="AI112" i="5"/>
  <c r="AH112" i="5"/>
  <c r="AG112" i="5"/>
  <c r="AG111" i="5" s="1"/>
  <c r="AF112" i="5"/>
  <c r="AE112" i="5"/>
  <c r="AD112" i="5"/>
  <c r="AC112" i="5"/>
  <c r="AB112" i="5"/>
  <c r="AB111" i="5" s="1"/>
  <c r="AB166" i="5" s="1"/>
  <c r="AA112" i="5"/>
  <c r="M112" i="5"/>
  <c r="L112" i="5"/>
  <c r="K112" i="5"/>
  <c r="J112" i="5"/>
  <c r="I112" i="5"/>
  <c r="H112" i="5"/>
  <c r="G112" i="5"/>
  <c r="F112" i="5"/>
  <c r="E112" i="5"/>
  <c r="D112" i="5"/>
  <c r="D111" i="5" s="1"/>
  <c r="D166" i="5" s="1"/>
  <c r="C112" i="5"/>
  <c r="AO111" i="5"/>
  <c r="AA111" i="5"/>
  <c r="AA166" i="5" s="1"/>
  <c r="AB161" i="5" s="1"/>
  <c r="AW110" i="5"/>
  <c r="AX110" i="5" s="1"/>
  <c r="AZ110" i="5" s="1"/>
  <c r="N110" i="5" s="1"/>
  <c r="O110" i="5" s="1"/>
  <c r="P110" i="5" s="1"/>
  <c r="Q110" i="5" s="1"/>
  <c r="R110" i="5" s="1"/>
  <c r="S110" i="5" s="1"/>
  <c r="AV110" i="5"/>
  <c r="AU110" i="5"/>
  <c r="AT110" i="5"/>
  <c r="AS110" i="5"/>
  <c r="AR110" i="5"/>
  <c r="AQ110" i="5"/>
  <c r="AP110" i="5"/>
  <c r="AO110" i="5"/>
  <c r="AN110" i="5"/>
  <c r="AM110" i="5"/>
  <c r="AL110" i="5"/>
  <c r="AK110" i="5"/>
  <c r="AJ110" i="5"/>
  <c r="AI110" i="5"/>
  <c r="AH110" i="5"/>
  <c r="AG110" i="5"/>
  <c r="AF110" i="5"/>
  <c r="AE110" i="5"/>
  <c r="AD110" i="5"/>
  <c r="AC110" i="5"/>
  <c r="AB110" i="5"/>
  <c r="AA110" i="5"/>
  <c r="M110" i="5"/>
  <c r="L110" i="5"/>
  <c r="K110" i="5"/>
  <c r="J110" i="5"/>
  <c r="I110" i="5"/>
  <c r="H110" i="5"/>
  <c r="G110" i="5"/>
  <c r="F110" i="5"/>
  <c r="E110" i="5"/>
  <c r="D110" i="5"/>
  <c r="C110" i="5"/>
  <c r="AW106" i="5"/>
  <c r="AV106" i="5"/>
  <c r="AU106" i="5"/>
  <c r="AT106" i="5"/>
  <c r="AS106" i="5"/>
  <c r="AR106" i="5"/>
  <c r="AQ106" i="5"/>
  <c r="AP106" i="5"/>
  <c r="AO106" i="5"/>
  <c r="AN106" i="5"/>
  <c r="AM106" i="5"/>
  <c r="AL106" i="5"/>
  <c r="AK106" i="5"/>
  <c r="AJ106" i="5"/>
  <c r="AI106" i="5"/>
  <c r="AH106" i="5"/>
  <c r="AG106" i="5"/>
  <c r="AF106" i="5"/>
  <c r="AE106" i="5"/>
  <c r="AD106" i="5"/>
  <c r="AC106" i="5"/>
  <c r="AB106" i="5"/>
  <c r="AA106" i="5"/>
  <c r="AA215" i="5" s="1"/>
  <c r="M106" i="5"/>
  <c r="L106" i="5"/>
  <c r="K106" i="5"/>
  <c r="J106" i="5"/>
  <c r="I106" i="5"/>
  <c r="H106" i="5"/>
  <c r="G106" i="5"/>
  <c r="F106" i="5"/>
  <c r="E106" i="5"/>
  <c r="D106" i="5"/>
  <c r="C106" i="5"/>
  <c r="AW105" i="5"/>
  <c r="AV105" i="5"/>
  <c r="AU105" i="5"/>
  <c r="AT105" i="5"/>
  <c r="AS105" i="5"/>
  <c r="AS9" i="5" s="1"/>
  <c r="AR105" i="5"/>
  <c r="AQ105" i="5"/>
  <c r="AP105" i="5"/>
  <c r="AO105" i="5"/>
  <c r="AN105" i="5"/>
  <c r="AM105" i="5"/>
  <c r="AL105" i="5"/>
  <c r="AL9" i="5" s="1"/>
  <c r="AK105" i="5"/>
  <c r="AK9" i="5" s="1"/>
  <c r="AJ105" i="5"/>
  <c r="AI105" i="5"/>
  <c r="AH105" i="5"/>
  <c r="AG105" i="5"/>
  <c r="AF105" i="5"/>
  <c r="AE105" i="5"/>
  <c r="AD105" i="5"/>
  <c r="AC105" i="5"/>
  <c r="AC9" i="5" s="1"/>
  <c r="AB105" i="5"/>
  <c r="AB9" i="5" s="1"/>
  <c r="AA105" i="5"/>
  <c r="AA214" i="5"/>
  <c r="M105" i="5"/>
  <c r="M9" i="5" s="1"/>
  <c r="L105" i="5"/>
  <c r="K105" i="5"/>
  <c r="J105" i="5"/>
  <c r="J9" i="5" s="1"/>
  <c r="I105" i="5"/>
  <c r="I9" i="5" s="1"/>
  <c r="H105" i="5"/>
  <c r="G105" i="5"/>
  <c r="F105" i="5"/>
  <c r="F9" i="5" s="1"/>
  <c r="E105" i="5"/>
  <c r="D105" i="5"/>
  <c r="C105" i="5"/>
  <c r="AW104" i="5"/>
  <c r="AV104" i="5"/>
  <c r="AU104" i="5"/>
  <c r="AT104" i="5"/>
  <c r="AS104" i="5"/>
  <c r="AR104" i="5"/>
  <c r="AQ104" i="5"/>
  <c r="AP104" i="5"/>
  <c r="AO104" i="5"/>
  <c r="AN104" i="5"/>
  <c r="AM104" i="5"/>
  <c r="AL104" i="5"/>
  <c r="AK104" i="5"/>
  <c r="AJ104" i="5"/>
  <c r="AI104" i="5"/>
  <c r="AH104" i="5"/>
  <c r="AG104" i="5"/>
  <c r="AF104" i="5"/>
  <c r="AF213" i="5" s="1"/>
  <c r="AE104" i="5"/>
  <c r="AD104" i="5"/>
  <c r="AC104" i="5"/>
  <c r="AB104" i="5"/>
  <c r="AA104" i="5"/>
  <c r="M104" i="5"/>
  <c r="L104" i="5"/>
  <c r="K104" i="5"/>
  <c r="J104" i="5"/>
  <c r="I104" i="5"/>
  <c r="H104" i="5"/>
  <c r="G104" i="5"/>
  <c r="F104" i="5"/>
  <c r="E104" i="5"/>
  <c r="D104" i="5"/>
  <c r="E213" i="5" s="1"/>
  <c r="C104" i="5"/>
  <c r="AW103" i="5"/>
  <c r="AV103" i="5"/>
  <c r="AU103" i="5"/>
  <c r="AT103" i="5"/>
  <c r="AS103" i="5"/>
  <c r="AR103" i="5"/>
  <c r="AQ103" i="5"/>
  <c r="AP103" i="5"/>
  <c r="AO103" i="5"/>
  <c r="AN103" i="5"/>
  <c r="AM103" i="5"/>
  <c r="AL103" i="5"/>
  <c r="AK103" i="5"/>
  <c r="AJ103" i="5"/>
  <c r="AI103" i="5"/>
  <c r="AH103" i="5"/>
  <c r="AG103" i="5"/>
  <c r="AF103" i="5"/>
  <c r="AE103" i="5"/>
  <c r="AD103" i="5"/>
  <c r="AC103" i="5"/>
  <c r="AB103" i="5"/>
  <c r="AA103" i="5"/>
  <c r="M103" i="5"/>
  <c r="L103" i="5"/>
  <c r="K103" i="5"/>
  <c r="J103" i="5"/>
  <c r="I103" i="5"/>
  <c r="H103" i="5"/>
  <c r="G103" i="5"/>
  <c r="F103" i="5"/>
  <c r="E103" i="5"/>
  <c r="D103" i="5"/>
  <c r="C103" i="5"/>
  <c r="AW102" i="5"/>
  <c r="AW101" i="5" s="1"/>
  <c r="AV102" i="5"/>
  <c r="AU102" i="5"/>
  <c r="AT102" i="5"/>
  <c r="AS102" i="5"/>
  <c r="AR102" i="5"/>
  <c r="AQ102" i="5"/>
  <c r="AP102" i="5"/>
  <c r="AO102" i="5"/>
  <c r="AN102" i="5"/>
  <c r="AM102" i="5"/>
  <c r="AL102" i="5"/>
  <c r="AK102" i="5"/>
  <c r="AJ102" i="5"/>
  <c r="AI102" i="5"/>
  <c r="AH102" i="5"/>
  <c r="AG102" i="5"/>
  <c r="AF102" i="5"/>
  <c r="AE102" i="5"/>
  <c r="AD102" i="5"/>
  <c r="AC102" i="5"/>
  <c r="AD50" i="5" s="1"/>
  <c r="AA102" i="5"/>
  <c r="M102" i="5"/>
  <c r="L102" i="5"/>
  <c r="K102" i="5"/>
  <c r="J102" i="5"/>
  <c r="I102" i="5"/>
  <c r="H102" i="5"/>
  <c r="G102" i="5"/>
  <c r="F102" i="5"/>
  <c r="E102" i="5"/>
  <c r="F235" i="5" s="1"/>
  <c r="D102" i="5"/>
  <c r="C102" i="5"/>
  <c r="O94" i="5"/>
  <c r="P94" i="5" s="1"/>
  <c r="Q94" i="5" s="1"/>
  <c r="AX92" i="5"/>
  <c r="AZ92" i="5" s="1"/>
  <c r="AZ93" i="5" s="1"/>
  <c r="AW92" i="5"/>
  <c r="AV92" i="5"/>
  <c r="AU92" i="5"/>
  <c r="AT92" i="5"/>
  <c r="AS92" i="5"/>
  <c r="AR92" i="5"/>
  <c r="AR93" i="5" s="1"/>
  <c r="AQ92" i="5"/>
  <c r="AP92" i="5"/>
  <c r="AO92" i="5"/>
  <c r="AN92" i="5"/>
  <c r="AM92" i="5"/>
  <c r="AL92" i="5"/>
  <c r="AK92" i="5"/>
  <c r="AJ92" i="5"/>
  <c r="AI92" i="5"/>
  <c r="AH92" i="5"/>
  <c r="AH93" i="5" s="1"/>
  <c r="AG92" i="5"/>
  <c r="AG93" i="5" s="1"/>
  <c r="AF92" i="5"/>
  <c r="AE92" i="5"/>
  <c r="AD92" i="5"/>
  <c r="AC92" i="5"/>
  <c r="AB92" i="5"/>
  <c r="AA92" i="5"/>
  <c r="M92" i="5"/>
  <c r="M93" i="5" s="1"/>
  <c r="L92" i="5"/>
  <c r="L93" i="5" s="1"/>
  <c r="K92" i="5"/>
  <c r="K93" i="5" s="1"/>
  <c r="J92" i="5"/>
  <c r="J93" i="5" s="1"/>
  <c r="I92" i="5"/>
  <c r="I93" i="5" s="1"/>
  <c r="H92" i="5"/>
  <c r="G92" i="5"/>
  <c r="F92" i="5"/>
  <c r="F93" i="5" s="1"/>
  <c r="E92" i="5"/>
  <c r="E93" i="5" s="1"/>
  <c r="D92" i="5"/>
  <c r="C92" i="5"/>
  <c r="CB82" i="5"/>
  <c r="CA82" i="5"/>
  <c r="BZ82" i="5"/>
  <c r="BY82" i="5"/>
  <c r="BX82" i="5"/>
  <c r="BW82" i="5"/>
  <c r="BV82" i="5"/>
  <c r="BU82" i="5"/>
  <c r="BT82" i="5"/>
  <c r="BS82" i="5"/>
  <c r="BR82" i="5"/>
  <c r="BQ82" i="5"/>
  <c r="BP82" i="5"/>
  <c r="BO82" i="5"/>
  <c r="BN82" i="5"/>
  <c r="BM82" i="5"/>
  <c r="BL82" i="5"/>
  <c r="BK82" i="5"/>
  <c r="BJ82" i="5"/>
  <c r="BI82" i="5"/>
  <c r="CB78" i="5"/>
  <c r="CA78" i="5"/>
  <c r="BZ78" i="5"/>
  <c r="BY78" i="5"/>
  <c r="BX78" i="5"/>
  <c r="BW78" i="5"/>
  <c r="BV78" i="5"/>
  <c r="BU78" i="5"/>
  <c r="BT78" i="5"/>
  <c r="BS78" i="5"/>
  <c r="BR78" i="5"/>
  <c r="BQ78" i="5"/>
  <c r="BP78" i="5"/>
  <c r="BO78" i="5"/>
  <c r="BN78" i="5"/>
  <c r="BM78" i="5"/>
  <c r="BL78" i="5"/>
  <c r="BK78" i="5"/>
  <c r="BJ78" i="5"/>
  <c r="BI78" i="5"/>
  <c r="AW76" i="5"/>
  <c r="AV76" i="5"/>
  <c r="CA76" i="5" s="1"/>
  <c r="AU76" i="5"/>
  <c r="AT76" i="5"/>
  <c r="AS76" i="5"/>
  <c r="AR76" i="5"/>
  <c r="AQ76" i="5"/>
  <c r="AP76" i="5"/>
  <c r="AO76" i="5"/>
  <c r="AN76" i="5"/>
  <c r="BV76" i="5" s="1"/>
  <c r="AM76" i="5"/>
  <c r="AL76" i="5"/>
  <c r="AK76" i="5"/>
  <c r="AJ76" i="5"/>
  <c r="BO76" i="5" s="1"/>
  <c r="AI76" i="5"/>
  <c r="AH76" i="5"/>
  <c r="AG76" i="5"/>
  <c r="AF76" i="5"/>
  <c r="AE76" i="5"/>
  <c r="AD76" i="5"/>
  <c r="AC76" i="5"/>
  <c r="AB76" i="5"/>
  <c r="AA76" i="5"/>
  <c r="M76" i="5"/>
  <c r="L76" i="5"/>
  <c r="K76" i="5"/>
  <c r="J76" i="5"/>
  <c r="I76" i="5"/>
  <c r="H76" i="5"/>
  <c r="G76" i="5"/>
  <c r="F76" i="5"/>
  <c r="E76" i="5"/>
  <c r="D76" i="5"/>
  <c r="C76" i="5"/>
  <c r="BY75" i="5"/>
  <c r="BX75" i="5"/>
  <c r="BW75" i="5"/>
  <c r="BV75" i="5"/>
  <c r="BU75" i="5"/>
  <c r="BT75" i="5"/>
  <c r="BS75" i="5"/>
  <c r="BR75" i="5"/>
  <c r="BQ75" i="5"/>
  <c r="BP75" i="5"/>
  <c r="BO75" i="5"/>
  <c r="BN75" i="5"/>
  <c r="BM75" i="5"/>
  <c r="BL75" i="5"/>
  <c r="BK75" i="5"/>
  <c r="BJ75" i="5"/>
  <c r="BI75" i="5"/>
  <c r="CB71" i="5"/>
  <c r="CA71" i="5"/>
  <c r="BZ71" i="5"/>
  <c r="BY71" i="5"/>
  <c r="BX71" i="5"/>
  <c r="BW71" i="5"/>
  <c r="BV71" i="5"/>
  <c r="BU71" i="5"/>
  <c r="BT71" i="5"/>
  <c r="BS71" i="5"/>
  <c r="BR71" i="5"/>
  <c r="BQ71" i="5"/>
  <c r="BP71" i="5"/>
  <c r="BO71" i="5"/>
  <c r="BN71" i="5"/>
  <c r="BM71" i="5"/>
  <c r="BL71" i="5"/>
  <c r="BK71" i="5"/>
  <c r="BJ71" i="5"/>
  <c r="BI71" i="5"/>
  <c r="AW69" i="5"/>
  <c r="AV69" i="5"/>
  <c r="AV208" i="5" s="1"/>
  <c r="AU69" i="5"/>
  <c r="AU208" i="5" s="1"/>
  <c r="AT69" i="5"/>
  <c r="AT208" i="5" s="1"/>
  <c r="AS69" i="5"/>
  <c r="AR69" i="5"/>
  <c r="AR208" i="5" s="1"/>
  <c r="AQ69" i="5"/>
  <c r="AP69" i="5"/>
  <c r="AP208" i="5"/>
  <c r="AO69" i="5"/>
  <c r="AN69" i="5"/>
  <c r="AN208" i="5" s="1"/>
  <c r="AM69" i="5"/>
  <c r="AL69" i="5"/>
  <c r="AK69" i="5"/>
  <c r="AJ69" i="5"/>
  <c r="AJ208" i="5" s="1"/>
  <c r="AI69" i="5"/>
  <c r="AH69" i="5"/>
  <c r="AG69" i="5"/>
  <c r="AF69" i="5"/>
  <c r="AF208" i="5" s="1"/>
  <c r="AE69" i="5"/>
  <c r="AD69" i="5"/>
  <c r="AD208" i="5" s="1"/>
  <c r="AC69" i="5"/>
  <c r="AC208" i="5" s="1"/>
  <c r="AB69" i="5"/>
  <c r="AB208" i="5" s="1"/>
  <c r="AA69" i="5"/>
  <c r="M69" i="5"/>
  <c r="L69" i="5"/>
  <c r="L208" i="5" s="1"/>
  <c r="K69" i="5"/>
  <c r="K208" i="5" s="1"/>
  <c r="J69" i="5"/>
  <c r="J208" i="5"/>
  <c r="I69" i="5"/>
  <c r="I208" i="5" s="1"/>
  <c r="H69" i="5"/>
  <c r="G69" i="5"/>
  <c r="F69" i="5"/>
  <c r="F208" i="5" s="1"/>
  <c r="E69" i="5"/>
  <c r="E208" i="5" s="1"/>
  <c r="D69" i="5"/>
  <c r="D208" i="5" s="1"/>
  <c r="C69" i="5"/>
  <c r="CB68" i="5"/>
  <c r="CA68" i="5"/>
  <c r="BZ68" i="5"/>
  <c r="BY68" i="5"/>
  <c r="BX68" i="5"/>
  <c r="BW68" i="5"/>
  <c r="BV68" i="5"/>
  <c r="BU68" i="5"/>
  <c r="BT68" i="5"/>
  <c r="BS68" i="5"/>
  <c r="BR68" i="5"/>
  <c r="BQ68" i="5"/>
  <c r="BP68" i="5"/>
  <c r="BO68" i="5"/>
  <c r="BN68" i="5"/>
  <c r="BM68" i="5"/>
  <c r="BL68" i="5"/>
  <c r="BK68" i="5"/>
  <c r="BJ68" i="5"/>
  <c r="BI68" i="5"/>
  <c r="AW63" i="5"/>
  <c r="AV63" i="5"/>
  <c r="AU63" i="5"/>
  <c r="AT63" i="5"/>
  <c r="AS63" i="5"/>
  <c r="AR63" i="5"/>
  <c r="AQ63" i="5"/>
  <c r="AP63" i="5"/>
  <c r="AO63" i="5"/>
  <c r="AN63" i="5"/>
  <c r="AM63" i="5"/>
  <c r="AL63" i="5"/>
  <c r="AK63" i="5"/>
  <c r="AJ63" i="5"/>
  <c r="AI63" i="5"/>
  <c r="AH63" i="5"/>
  <c r="AG63" i="5"/>
  <c r="AF63" i="5"/>
  <c r="BK63" i="5" s="1"/>
  <c r="AE63" i="5"/>
  <c r="AD63" i="5"/>
  <c r="AC63" i="5"/>
  <c r="AB63" i="5"/>
  <c r="AA63" i="5"/>
  <c r="P63" i="5"/>
  <c r="Q63" i="5" s="1"/>
  <c r="R63" i="5" s="1"/>
  <c r="S63" i="5" s="1"/>
  <c r="M63" i="5"/>
  <c r="L63" i="5"/>
  <c r="K63" i="5"/>
  <c r="J63" i="5"/>
  <c r="I63" i="5"/>
  <c r="H63" i="5"/>
  <c r="G63" i="5"/>
  <c r="F63" i="5"/>
  <c r="E63" i="5"/>
  <c r="D63" i="5"/>
  <c r="C63" i="5"/>
  <c r="AW62" i="5"/>
  <c r="AV62" i="5"/>
  <c r="AU62" i="5"/>
  <c r="AU207" i="5" s="1"/>
  <c r="AT62" i="5"/>
  <c r="AS62" i="5"/>
  <c r="AR62" i="5"/>
  <c r="AQ62" i="5"/>
  <c r="AP62" i="5"/>
  <c r="AO62" i="5"/>
  <c r="AN62" i="5"/>
  <c r="AM62" i="5"/>
  <c r="BU62" i="5" s="1"/>
  <c r="AL62" i="5"/>
  <c r="AK62" i="5"/>
  <c r="AJ62" i="5"/>
  <c r="AI62" i="5"/>
  <c r="BN62" i="5" s="1"/>
  <c r="AH62" i="5"/>
  <c r="AG62" i="5"/>
  <c r="AF62" i="5"/>
  <c r="AE62" i="5"/>
  <c r="AD62" i="5"/>
  <c r="AC62" i="5"/>
  <c r="AB62" i="5"/>
  <c r="AA62" i="5"/>
  <c r="P62" i="5"/>
  <c r="Q62" i="5" s="1"/>
  <c r="R62" i="5" s="1"/>
  <c r="S62" i="5" s="1"/>
  <c r="M62" i="5"/>
  <c r="L62" i="5"/>
  <c r="K62" i="5"/>
  <c r="J62" i="5"/>
  <c r="I62" i="5"/>
  <c r="H62" i="5"/>
  <c r="G62" i="5"/>
  <c r="F62" i="5"/>
  <c r="E62" i="5"/>
  <c r="D62" i="5"/>
  <c r="C62" i="5"/>
  <c r="AP56" i="5"/>
  <c r="AW55" i="5"/>
  <c r="AV55" i="5"/>
  <c r="AU55" i="5"/>
  <c r="AT55" i="5"/>
  <c r="AS55" i="5"/>
  <c r="AR55" i="5"/>
  <c r="AQ55" i="5"/>
  <c r="AP55" i="5"/>
  <c r="AO55" i="5"/>
  <c r="AN55" i="5"/>
  <c r="AM55" i="5"/>
  <c r="AM218" i="5" s="1"/>
  <c r="AL55" i="5"/>
  <c r="AK55" i="5"/>
  <c r="AJ55" i="5"/>
  <c r="AI55" i="5"/>
  <c r="AH55" i="5"/>
  <c r="AG55" i="5"/>
  <c r="AF55" i="5"/>
  <c r="AE55" i="5"/>
  <c r="AD55" i="5"/>
  <c r="AC55" i="5"/>
  <c r="AB55" i="5"/>
  <c r="AA55" i="5"/>
  <c r="M55" i="5"/>
  <c r="L55" i="5"/>
  <c r="K55" i="5"/>
  <c r="J55" i="5"/>
  <c r="J56" i="5" s="1"/>
  <c r="I55" i="5"/>
  <c r="H55" i="5"/>
  <c r="G55" i="5"/>
  <c r="F55" i="5"/>
  <c r="E55" i="5"/>
  <c r="D55" i="5"/>
  <c r="C55" i="5"/>
  <c r="AW54" i="5"/>
  <c r="AV54" i="5"/>
  <c r="AU54" i="5"/>
  <c r="AT54" i="5"/>
  <c r="AS54" i="5"/>
  <c r="AR54" i="5"/>
  <c r="AQ54" i="5"/>
  <c r="AP54" i="5"/>
  <c r="AO54" i="5"/>
  <c r="AN54" i="5"/>
  <c r="AM54" i="5"/>
  <c r="AL54" i="5"/>
  <c r="AK54" i="5"/>
  <c r="AJ54" i="5"/>
  <c r="AI54" i="5"/>
  <c r="AH54" i="5"/>
  <c r="AG54" i="5"/>
  <c r="AF54" i="5"/>
  <c r="AE54" i="5"/>
  <c r="AD54" i="5"/>
  <c r="AC54" i="5"/>
  <c r="AB54" i="5"/>
  <c r="AA54" i="5"/>
  <c r="M54" i="5"/>
  <c r="L54" i="5"/>
  <c r="K54" i="5"/>
  <c r="J54" i="5"/>
  <c r="I54" i="5"/>
  <c r="H54" i="5"/>
  <c r="G54" i="5"/>
  <c r="F54" i="5"/>
  <c r="E54" i="5"/>
  <c r="D54" i="5"/>
  <c r="C54" i="5"/>
  <c r="R53" i="5"/>
  <c r="S53" i="5" s="1"/>
  <c r="P53" i="5"/>
  <c r="AW52" i="5"/>
  <c r="AV52" i="5"/>
  <c r="AU52" i="5"/>
  <c r="CA52" i="5" s="1"/>
  <c r="AT52" i="5"/>
  <c r="AS52" i="5"/>
  <c r="AR52" i="5"/>
  <c r="AQ52" i="5"/>
  <c r="AP52" i="5"/>
  <c r="AO52" i="5"/>
  <c r="AN52" i="5"/>
  <c r="AM52" i="5"/>
  <c r="AL52" i="5"/>
  <c r="AK52" i="5"/>
  <c r="AJ52" i="5"/>
  <c r="AI52" i="5"/>
  <c r="AH52" i="5"/>
  <c r="AG52" i="5"/>
  <c r="BO52" i="5"/>
  <c r="AF52" i="5"/>
  <c r="AE52" i="5"/>
  <c r="BM52" i="5"/>
  <c r="AD52" i="5"/>
  <c r="AC52" i="5"/>
  <c r="AB52" i="5"/>
  <c r="AA52" i="5"/>
  <c r="M52" i="5"/>
  <c r="L52" i="5"/>
  <c r="K52" i="5"/>
  <c r="J52" i="5"/>
  <c r="I52" i="5"/>
  <c r="H52" i="5"/>
  <c r="G52" i="5"/>
  <c r="F52" i="5"/>
  <c r="E52" i="5"/>
  <c r="D52" i="5"/>
  <c r="C52" i="5"/>
  <c r="AW49" i="5"/>
  <c r="AV49" i="5"/>
  <c r="AV50" i="5" s="1"/>
  <c r="AV241" i="5" s="1"/>
  <c r="AU49" i="5"/>
  <c r="AT49" i="5"/>
  <c r="AS49" i="5"/>
  <c r="AR49" i="5"/>
  <c r="AQ49" i="5"/>
  <c r="AP49" i="5"/>
  <c r="AO49" i="5"/>
  <c r="AN49" i="5"/>
  <c r="AN50" i="5" s="1"/>
  <c r="AM49" i="5"/>
  <c r="AL49" i="5"/>
  <c r="AK49" i="5"/>
  <c r="AJ49" i="5"/>
  <c r="AJ50" i="5" s="1"/>
  <c r="AI49" i="5"/>
  <c r="AH49" i="5"/>
  <c r="AG49" i="5"/>
  <c r="AF49" i="5"/>
  <c r="AE49" i="5"/>
  <c r="AD49" i="5"/>
  <c r="AC49" i="5"/>
  <c r="AB49" i="5"/>
  <c r="AA49" i="5"/>
  <c r="AA50" i="5" s="1"/>
  <c r="AA241" i="5" s="1"/>
  <c r="M49" i="5"/>
  <c r="M50" i="5" s="1"/>
  <c r="M241" i="5" s="1"/>
  <c r="L49" i="5"/>
  <c r="K49" i="5"/>
  <c r="J49" i="5"/>
  <c r="J50" i="5" s="1"/>
  <c r="J241" i="5" s="1"/>
  <c r="I49" i="5"/>
  <c r="H49" i="5"/>
  <c r="G49" i="5"/>
  <c r="G50" i="5"/>
  <c r="G241" i="5" s="1"/>
  <c r="F49" i="5"/>
  <c r="E49" i="5"/>
  <c r="D49" i="5"/>
  <c r="AW48" i="5"/>
  <c r="AV48" i="5"/>
  <c r="AU48" i="5"/>
  <c r="AT48" i="5"/>
  <c r="AS48" i="5"/>
  <c r="AR48" i="5"/>
  <c r="AQ48" i="5"/>
  <c r="AP48" i="5"/>
  <c r="AO48" i="5"/>
  <c r="AN48" i="5"/>
  <c r="AM48" i="5"/>
  <c r="AL48" i="5"/>
  <c r="AK48" i="5"/>
  <c r="AJ48" i="5"/>
  <c r="AI48" i="5"/>
  <c r="AH48" i="5"/>
  <c r="AG48" i="5"/>
  <c r="AF48" i="5"/>
  <c r="AE48" i="5"/>
  <c r="AD48" i="5"/>
  <c r="AC48" i="5"/>
  <c r="AB48" i="5"/>
  <c r="AA48" i="5"/>
  <c r="M48" i="5"/>
  <c r="L48" i="5"/>
  <c r="K48" i="5"/>
  <c r="J48" i="5"/>
  <c r="I48" i="5"/>
  <c r="H48" i="5"/>
  <c r="G48" i="5"/>
  <c r="F48" i="5"/>
  <c r="E48" i="5"/>
  <c r="D48" i="5"/>
  <c r="C48" i="5"/>
  <c r="R47" i="5"/>
  <c r="S47" i="5" s="1"/>
  <c r="P47" i="5"/>
  <c r="AW46" i="5"/>
  <c r="AV46" i="5"/>
  <c r="AU46" i="5"/>
  <c r="AU43" i="5" s="1"/>
  <c r="AT46" i="5"/>
  <c r="AS46" i="5"/>
  <c r="AR46" i="5"/>
  <c r="AQ46" i="5"/>
  <c r="AP46" i="5"/>
  <c r="AP207" i="5"/>
  <c r="AO46" i="5"/>
  <c r="AN46" i="5"/>
  <c r="AM46" i="5"/>
  <c r="AL46" i="5"/>
  <c r="AK46" i="5"/>
  <c r="AJ46" i="5"/>
  <c r="AI46" i="5"/>
  <c r="AH46" i="5"/>
  <c r="AG46" i="5"/>
  <c r="AF46" i="5"/>
  <c r="AE46" i="5"/>
  <c r="AD46" i="5"/>
  <c r="AC46" i="5"/>
  <c r="AB46" i="5"/>
  <c r="AA46" i="5"/>
  <c r="M46" i="5"/>
  <c r="M207" i="5" s="1"/>
  <c r="L46" i="5"/>
  <c r="K46" i="5"/>
  <c r="J46" i="5"/>
  <c r="I46" i="5"/>
  <c r="I207" i="5" s="1"/>
  <c r="H46" i="5"/>
  <c r="G46" i="5"/>
  <c r="F46" i="5"/>
  <c r="E46" i="5"/>
  <c r="D46" i="5"/>
  <c r="C46" i="5"/>
  <c r="AI43" i="5"/>
  <c r="E43" i="5"/>
  <c r="E58" i="5" s="1"/>
  <c r="CB42" i="5"/>
  <c r="CA42" i="5"/>
  <c r="BZ42" i="5"/>
  <c r="BY42" i="5"/>
  <c r="BX42" i="5"/>
  <c r="BW42" i="5"/>
  <c r="BV42" i="5"/>
  <c r="BU42" i="5"/>
  <c r="BT42" i="5"/>
  <c r="BS42" i="5"/>
  <c r="BR42" i="5"/>
  <c r="BQ42" i="5"/>
  <c r="BP42" i="5"/>
  <c r="BO42" i="5"/>
  <c r="BN42" i="5"/>
  <c r="BM42" i="5"/>
  <c r="BL42" i="5"/>
  <c r="BK42" i="5"/>
  <c r="BJ42" i="5"/>
  <c r="BI42" i="5"/>
  <c r="CB38" i="5"/>
  <c r="CA38" i="5"/>
  <c r="BZ38" i="5"/>
  <c r="BY38" i="5"/>
  <c r="BX38" i="5"/>
  <c r="BW38" i="5"/>
  <c r="BV38" i="5"/>
  <c r="BU38" i="5"/>
  <c r="BT38" i="5"/>
  <c r="BS38" i="5"/>
  <c r="BR38" i="5"/>
  <c r="BQ38" i="5"/>
  <c r="BP38" i="5"/>
  <c r="BO38" i="5"/>
  <c r="BN38" i="5"/>
  <c r="BM38" i="5"/>
  <c r="BL38" i="5"/>
  <c r="BK38" i="5"/>
  <c r="BJ38" i="5"/>
  <c r="BI38" i="5"/>
  <c r="AF210" i="5"/>
  <c r="AA36" i="5"/>
  <c r="AA210" i="5" s="1"/>
  <c r="CB35" i="5"/>
  <c r="CA35" i="5"/>
  <c r="BZ35" i="5"/>
  <c r="BY35" i="5"/>
  <c r="BX35" i="5"/>
  <c r="BW35" i="5"/>
  <c r="BV35" i="5"/>
  <c r="BU35" i="5"/>
  <c r="BT35" i="5"/>
  <c r="BS35" i="5"/>
  <c r="BR35" i="5"/>
  <c r="BQ35" i="5"/>
  <c r="BP35" i="5"/>
  <c r="BO35" i="5"/>
  <c r="BN35" i="5"/>
  <c r="BM35" i="5"/>
  <c r="BL35" i="5"/>
  <c r="BK35" i="5"/>
  <c r="BJ35" i="5"/>
  <c r="BI35" i="5"/>
  <c r="S30" i="5"/>
  <c r="AW29" i="5"/>
  <c r="CB29" i="5" s="1"/>
  <c r="AV29" i="5"/>
  <c r="AU29" i="5"/>
  <c r="AT29" i="5"/>
  <c r="AS29" i="5"/>
  <c r="AR29" i="5"/>
  <c r="AQ29" i="5"/>
  <c r="AP29" i="5"/>
  <c r="AO29" i="5"/>
  <c r="AN29" i="5"/>
  <c r="AM29" i="5"/>
  <c r="AL29" i="5"/>
  <c r="AK29" i="5"/>
  <c r="AJ29" i="5"/>
  <c r="AI29" i="5"/>
  <c r="AH29" i="5"/>
  <c r="AG29" i="5"/>
  <c r="BO29" i="5" s="1"/>
  <c r="AF29" i="5"/>
  <c r="AE29" i="5"/>
  <c r="AD29" i="5"/>
  <c r="AC29" i="5"/>
  <c r="AB29" i="5"/>
  <c r="AA29" i="5"/>
  <c r="M29" i="5"/>
  <c r="L29" i="5"/>
  <c r="K29" i="5"/>
  <c r="J29" i="5"/>
  <c r="I29" i="5"/>
  <c r="H29" i="5"/>
  <c r="H16" i="7" s="1"/>
  <c r="G29" i="5"/>
  <c r="F29" i="5"/>
  <c r="E29" i="5"/>
  <c r="D29" i="5"/>
  <c r="C29" i="5"/>
  <c r="CB28" i="5"/>
  <c r="CA28" i="5"/>
  <c r="BZ28" i="5"/>
  <c r="BY28" i="5"/>
  <c r="BX28" i="5"/>
  <c r="BW28" i="5"/>
  <c r="BV28" i="5"/>
  <c r="BU28" i="5"/>
  <c r="BT28" i="5"/>
  <c r="BS28" i="5"/>
  <c r="BR28" i="5"/>
  <c r="BQ28" i="5"/>
  <c r="BP28" i="5"/>
  <c r="BO28" i="5"/>
  <c r="BN28" i="5"/>
  <c r="BM28" i="5"/>
  <c r="BL28" i="5"/>
  <c r="BK28" i="5"/>
  <c r="BJ28" i="5"/>
  <c r="BI28" i="5"/>
  <c r="O27" i="5"/>
  <c r="P27" i="5" s="1"/>
  <c r="Q27" i="5" s="1"/>
  <c r="R27" i="5" s="1"/>
  <c r="M26" i="5"/>
  <c r="L26" i="5"/>
  <c r="K26" i="5"/>
  <c r="J26" i="5"/>
  <c r="I26" i="5"/>
  <c r="H26" i="5"/>
  <c r="M24" i="5"/>
  <c r="L24" i="5"/>
  <c r="K24" i="5"/>
  <c r="J24" i="5"/>
  <c r="I24" i="5"/>
  <c r="H24" i="5"/>
  <c r="M22" i="5"/>
  <c r="L22" i="5"/>
  <c r="K22" i="5"/>
  <c r="J22" i="5"/>
  <c r="I22" i="5"/>
  <c r="H22" i="5"/>
  <c r="M20" i="5"/>
  <c r="N20" i="5" s="1"/>
  <c r="O20" i="5" s="1"/>
  <c r="L20" i="5"/>
  <c r="K20" i="5"/>
  <c r="J20" i="5"/>
  <c r="I20" i="5"/>
  <c r="H20" i="5"/>
  <c r="AW17" i="5"/>
  <c r="AV17" i="5"/>
  <c r="AU17" i="5"/>
  <c r="AT17" i="5"/>
  <c r="AS17" i="5"/>
  <c r="AR17" i="5"/>
  <c r="AQ17" i="5"/>
  <c r="AP17" i="5"/>
  <c r="AO17" i="5"/>
  <c r="AN17" i="5"/>
  <c r="AM17" i="5"/>
  <c r="AL17" i="5"/>
  <c r="AK17" i="5"/>
  <c r="AJ17" i="5"/>
  <c r="AI17" i="5"/>
  <c r="AH17" i="5"/>
  <c r="AG17" i="5"/>
  <c r="AF17" i="5"/>
  <c r="AE17" i="5"/>
  <c r="AD17" i="5"/>
  <c r="AC17" i="5"/>
  <c r="AB17" i="5"/>
  <c r="AA17" i="5"/>
  <c r="M17" i="5"/>
  <c r="G17" i="5"/>
  <c r="F17" i="5"/>
  <c r="E17" i="5"/>
  <c r="D17" i="5"/>
  <c r="C17" i="5"/>
  <c r="AW13" i="5"/>
  <c r="AW32" i="5" s="1"/>
  <c r="AW206" i="5" s="1"/>
  <c r="AV13" i="5"/>
  <c r="AU13" i="5"/>
  <c r="AT13" i="5"/>
  <c r="CB13" i="5" s="1"/>
  <c r="AS13" i="5"/>
  <c r="AR13" i="5"/>
  <c r="AQ13" i="5"/>
  <c r="AP13" i="5"/>
  <c r="BW13" i="5" s="1"/>
  <c r="AO13" i="5"/>
  <c r="AN13" i="5"/>
  <c r="AM13" i="5"/>
  <c r="AL13" i="5"/>
  <c r="AK13" i="5"/>
  <c r="AJ13" i="5"/>
  <c r="AI13" i="5"/>
  <c r="AH13" i="5"/>
  <c r="AG13" i="5"/>
  <c r="AF13" i="5"/>
  <c r="AE13" i="5"/>
  <c r="AD13" i="5"/>
  <c r="AC13" i="5"/>
  <c r="AB13" i="5"/>
  <c r="AA13" i="5"/>
  <c r="M13" i="5"/>
  <c r="L13" i="5"/>
  <c r="K13" i="5"/>
  <c r="J13" i="5"/>
  <c r="I13" i="5"/>
  <c r="H13" i="5"/>
  <c r="G13" i="5"/>
  <c r="F13" i="5"/>
  <c r="E13" i="5"/>
  <c r="D13" i="5"/>
  <c r="C13" i="5"/>
  <c r="CB12" i="5"/>
  <c r="CA12" i="5"/>
  <c r="BZ12" i="5"/>
  <c r="BY12" i="5"/>
  <c r="BX12" i="5"/>
  <c r="BW12" i="5"/>
  <c r="BV12" i="5"/>
  <c r="BU12" i="5"/>
  <c r="BT12" i="5"/>
  <c r="BS12" i="5"/>
  <c r="BR12" i="5"/>
  <c r="BQ12" i="5"/>
  <c r="BP12" i="5"/>
  <c r="BO12" i="5"/>
  <c r="BN12" i="5"/>
  <c r="BM12" i="5"/>
  <c r="BL12" i="5"/>
  <c r="BK12" i="5"/>
  <c r="BJ12" i="5"/>
  <c r="BI12" i="5"/>
  <c r="AW9" i="5"/>
  <c r="AV9" i="5"/>
  <c r="AN9" i="5"/>
  <c r="AM9" i="5"/>
  <c r="AJ9" i="5"/>
  <c r="AF9" i="5"/>
  <c r="AA9" i="5"/>
  <c r="L9" i="5"/>
  <c r="K9" i="5"/>
  <c r="E9" i="5"/>
  <c r="AW6" i="5"/>
  <c r="AV6" i="5"/>
  <c r="AU6" i="5"/>
  <c r="AT6" i="5"/>
  <c r="AS6" i="5"/>
  <c r="BZ6" i="5" s="1"/>
  <c r="AR6" i="5"/>
  <c r="AQ6" i="5"/>
  <c r="AP6" i="5"/>
  <c r="AO6" i="5"/>
  <c r="AN6" i="5"/>
  <c r="AM6" i="5"/>
  <c r="AL6" i="5"/>
  <c r="AL7" i="5" s="1"/>
  <c r="AK6" i="5"/>
  <c r="AJ6" i="5"/>
  <c r="AI6" i="5"/>
  <c r="AH6" i="5"/>
  <c r="AG6" i="5"/>
  <c r="AF6" i="5"/>
  <c r="AE6" i="5"/>
  <c r="AD6" i="5"/>
  <c r="AD7" i="5" s="1"/>
  <c r="AD144" i="5" s="1"/>
  <c r="BL6" i="5"/>
  <c r="AC6" i="5"/>
  <c r="AB6" i="5"/>
  <c r="AA6" i="5"/>
  <c r="AA7" i="5" s="1"/>
  <c r="M6" i="5"/>
  <c r="L6" i="5"/>
  <c r="K6" i="5"/>
  <c r="J6" i="5"/>
  <c r="I6" i="5"/>
  <c r="H6" i="5"/>
  <c r="G6" i="5"/>
  <c r="F6" i="5"/>
  <c r="E6" i="5"/>
  <c r="D6" i="5"/>
  <c r="C6" i="5"/>
  <c r="AW5" i="5"/>
  <c r="AV5" i="5"/>
  <c r="AV7" i="5" s="1"/>
  <c r="AT5" i="5"/>
  <c r="AS5" i="5"/>
  <c r="AS7" i="5"/>
  <c r="AR5" i="5"/>
  <c r="AR7" i="5" s="1"/>
  <c r="AQ5" i="5"/>
  <c r="AP5" i="5"/>
  <c r="AO5" i="5"/>
  <c r="AN5" i="5"/>
  <c r="AM5" i="5"/>
  <c r="AM7" i="5"/>
  <c r="AL5" i="5"/>
  <c r="AK5" i="5"/>
  <c r="AJ5" i="5"/>
  <c r="AI5" i="5"/>
  <c r="AI7" i="5" s="1"/>
  <c r="AH5" i="5"/>
  <c r="AG5" i="5"/>
  <c r="AF5" i="5"/>
  <c r="AE5" i="5"/>
  <c r="AD5" i="5"/>
  <c r="AC5" i="5"/>
  <c r="AB5" i="5"/>
  <c r="AA5" i="5"/>
  <c r="L5" i="5"/>
  <c r="K5" i="5"/>
  <c r="J5" i="5"/>
  <c r="I5" i="5"/>
  <c r="H5" i="5"/>
  <c r="H44" i="7" s="1"/>
  <c r="G5" i="5"/>
  <c r="F5" i="5"/>
  <c r="E5" i="5"/>
  <c r="D5" i="5"/>
  <c r="C5" i="5"/>
  <c r="G1" i="5"/>
  <c r="G1" i="27" s="1"/>
  <c r="F1" i="5"/>
  <c r="F1" i="27" s="1"/>
  <c r="E1" i="5"/>
  <c r="D1" i="5"/>
  <c r="D1" i="27" s="1"/>
  <c r="C1" i="5"/>
  <c r="C1" i="7" s="1"/>
  <c r="D111" i="4"/>
  <c r="D109" i="4"/>
  <c r="G70" i="4"/>
  <c r="D70" i="4"/>
  <c r="G69" i="4"/>
  <c r="D69" i="4"/>
  <c r="G68" i="4"/>
  <c r="D68" i="4"/>
  <c r="D67" i="4"/>
  <c r="D66" i="4"/>
  <c r="D65" i="4"/>
  <c r="D64" i="4"/>
  <c r="I45" i="4"/>
  <c r="C34" i="4"/>
  <c r="C33" i="4"/>
  <c r="C29" i="4"/>
  <c r="C26" i="4"/>
  <c r="B1255" i="25"/>
  <c r="C1255" i="25"/>
  <c r="D1255" i="25"/>
  <c r="E1255" i="25"/>
  <c r="F1254" i="25"/>
  <c r="F1255" i="25" s="1"/>
  <c r="G1255" i="25"/>
  <c r="B1254" i="25"/>
  <c r="C1254" i="25"/>
  <c r="D1254" i="25"/>
  <c r="E1254" i="25"/>
  <c r="G1254" i="25"/>
  <c r="B1253" i="25"/>
  <c r="C1253" i="25"/>
  <c r="D1253" i="25"/>
  <c r="E1253" i="25"/>
  <c r="F1253" i="25"/>
  <c r="G1253" i="25"/>
  <c r="B1252" i="25"/>
  <c r="C1252" i="25"/>
  <c r="D1252" i="25"/>
  <c r="E1252" i="25"/>
  <c r="H1252" i="25" s="1"/>
  <c r="F1252" i="25"/>
  <c r="G1252" i="25"/>
  <c r="B1251" i="25"/>
  <c r="C1251" i="25"/>
  <c r="D1251" i="25"/>
  <c r="E1250" i="25"/>
  <c r="E1251" i="25" s="1"/>
  <c r="F1251" i="25"/>
  <c r="G1251" i="25"/>
  <c r="B1250" i="25"/>
  <c r="C1250" i="25"/>
  <c r="D1250" i="25"/>
  <c r="F1250" i="25"/>
  <c r="G1250" i="25"/>
  <c r="B1249" i="25"/>
  <c r="C1249" i="25"/>
  <c r="D1249" i="25"/>
  <c r="E1249" i="25"/>
  <c r="F1249" i="25"/>
  <c r="G1249" i="25"/>
  <c r="B1248" i="25"/>
  <c r="C1248" i="25"/>
  <c r="D1248" i="25"/>
  <c r="E1248" i="25"/>
  <c r="F1248" i="25"/>
  <c r="G1248" i="25"/>
  <c r="B1247" i="25"/>
  <c r="C1247" i="25"/>
  <c r="D1247" i="25"/>
  <c r="E1247" i="25"/>
  <c r="F1247" i="25"/>
  <c r="G1247" i="25"/>
  <c r="B1246" i="25"/>
  <c r="C1246" i="25"/>
  <c r="D1246" i="25"/>
  <c r="E1246" i="25"/>
  <c r="F1246" i="25"/>
  <c r="G1246" i="25"/>
  <c r="B1245" i="25"/>
  <c r="C1245" i="25"/>
  <c r="D1245" i="25"/>
  <c r="E1245" i="25"/>
  <c r="F1245" i="25"/>
  <c r="G1245" i="25"/>
  <c r="H1245" i="25" s="1"/>
  <c r="I1245" i="25"/>
  <c r="B1244" i="25"/>
  <c r="C1244" i="25"/>
  <c r="D1244" i="25"/>
  <c r="E1244" i="25"/>
  <c r="F1244" i="25"/>
  <c r="G1244" i="25"/>
  <c r="B1243" i="25"/>
  <c r="C1243" i="25"/>
  <c r="D1243" i="25"/>
  <c r="E1243" i="25"/>
  <c r="F1243" i="25"/>
  <c r="G1243" i="25"/>
  <c r="B1242" i="25"/>
  <c r="C1242" i="25"/>
  <c r="D1242" i="25"/>
  <c r="E1242" i="25"/>
  <c r="F1242" i="25"/>
  <c r="G1242" i="25"/>
  <c r="B1241" i="25"/>
  <c r="C1241" i="25"/>
  <c r="D1240" i="25"/>
  <c r="D1241" i="25" s="1"/>
  <c r="E1240" i="25"/>
  <c r="E1241" i="25" s="1"/>
  <c r="F1241" i="25"/>
  <c r="G1241" i="25"/>
  <c r="B1240" i="25"/>
  <c r="C1240" i="25"/>
  <c r="F1240" i="25"/>
  <c r="G1240" i="25"/>
  <c r="B1239" i="25"/>
  <c r="C1239" i="25"/>
  <c r="D1239" i="25"/>
  <c r="E1239" i="25"/>
  <c r="F1239" i="25"/>
  <c r="G1239" i="25"/>
  <c r="B1238" i="25"/>
  <c r="C1238" i="25"/>
  <c r="D1238" i="25"/>
  <c r="E1238" i="25"/>
  <c r="F1238" i="25"/>
  <c r="G1238" i="25"/>
  <c r="B1237" i="25"/>
  <c r="C1237" i="25"/>
  <c r="D1237" i="25"/>
  <c r="E1237" i="25"/>
  <c r="F1237" i="25"/>
  <c r="G1237" i="25"/>
  <c r="B1236" i="25"/>
  <c r="C1236" i="25"/>
  <c r="D1236" i="25"/>
  <c r="E1236" i="25"/>
  <c r="F1236" i="25"/>
  <c r="G1236" i="25"/>
  <c r="B1235" i="25"/>
  <c r="C1235" i="25"/>
  <c r="D1235" i="25"/>
  <c r="E1235" i="25"/>
  <c r="F1235" i="25"/>
  <c r="G1235" i="25"/>
  <c r="B1234" i="25"/>
  <c r="C1234" i="25"/>
  <c r="D1234" i="25"/>
  <c r="E1234" i="25"/>
  <c r="F1234" i="25"/>
  <c r="G1234" i="25"/>
  <c r="B1233" i="25"/>
  <c r="C1233" i="25"/>
  <c r="D1233" i="25"/>
  <c r="E1233" i="25"/>
  <c r="F1233" i="25"/>
  <c r="G1233" i="25"/>
  <c r="B1232" i="25"/>
  <c r="C1232" i="25"/>
  <c r="D1232" i="25"/>
  <c r="E1232" i="25"/>
  <c r="F1232" i="25"/>
  <c r="G1232" i="25"/>
  <c r="B1231" i="25"/>
  <c r="C1231" i="25"/>
  <c r="D1231" i="25"/>
  <c r="E1231" i="25"/>
  <c r="F1231" i="25"/>
  <c r="G1231" i="25"/>
  <c r="B1230" i="25"/>
  <c r="C1230" i="25"/>
  <c r="D1230" i="25"/>
  <c r="E1228" i="25"/>
  <c r="E1229" i="25" s="1"/>
  <c r="E1230" i="25" s="1"/>
  <c r="F1229" i="25"/>
  <c r="F1230" i="25"/>
  <c r="G1229" i="25"/>
  <c r="G1230" i="25" s="1"/>
  <c r="B1229" i="25"/>
  <c r="C1229" i="25"/>
  <c r="D1229" i="25"/>
  <c r="B1228" i="25"/>
  <c r="C1228" i="25"/>
  <c r="D1228" i="25"/>
  <c r="H1228" i="25" s="1"/>
  <c r="F1228" i="25"/>
  <c r="G1228" i="25"/>
  <c r="B1227" i="25"/>
  <c r="C1227" i="25"/>
  <c r="D1227" i="25"/>
  <c r="H1227" i="25" s="1"/>
  <c r="E1227" i="25"/>
  <c r="F1226" i="25"/>
  <c r="F1227" i="25"/>
  <c r="G1226" i="25"/>
  <c r="G1227" i="25" s="1"/>
  <c r="B1226" i="25"/>
  <c r="C1226" i="25"/>
  <c r="D1226" i="25"/>
  <c r="E1226" i="25"/>
  <c r="B1225" i="25"/>
  <c r="C1225" i="25"/>
  <c r="D1225" i="25"/>
  <c r="E1225" i="25"/>
  <c r="F1225" i="25"/>
  <c r="G1225" i="25"/>
  <c r="B1224" i="25"/>
  <c r="C1224" i="25"/>
  <c r="D1224" i="25"/>
  <c r="E1224" i="25"/>
  <c r="F1224" i="25"/>
  <c r="G1224" i="25"/>
  <c r="B1223" i="25"/>
  <c r="C1223" i="25"/>
  <c r="D1223" i="25"/>
  <c r="E1223" i="25"/>
  <c r="F1223" i="25"/>
  <c r="G1223" i="25"/>
  <c r="B1222" i="25"/>
  <c r="C1222" i="25"/>
  <c r="D1222" i="25"/>
  <c r="E1222" i="25"/>
  <c r="F1222" i="25"/>
  <c r="G1222" i="25"/>
  <c r="B1221" i="25"/>
  <c r="C1221" i="25"/>
  <c r="H1221" i="25" s="1"/>
  <c r="D1221" i="25"/>
  <c r="E1221" i="25"/>
  <c r="F1221" i="25"/>
  <c r="G1221" i="25"/>
  <c r="B1220" i="25"/>
  <c r="C1220" i="25"/>
  <c r="D1220" i="25"/>
  <c r="E1220" i="25"/>
  <c r="F1220" i="25"/>
  <c r="G1220" i="25"/>
  <c r="B1219" i="25"/>
  <c r="C1219" i="25"/>
  <c r="D1219" i="25"/>
  <c r="E1219" i="25"/>
  <c r="F1219" i="25"/>
  <c r="G1219" i="25"/>
  <c r="B1218" i="25"/>
  <c r="C1218" i="25"/>
  <c r="D1218" i="25"/>
  <c r="E1218" i="25"/>
  <c r="F1218" i="25"/>
  <c r="G1218" i="25"/>
  <c r="B1217" i="25"/>
  <c r="C1217" i="25"/>
  <c r="D1215" i="25"/>
  <c r="D1216" i="25" s="1"/>
  <c r="D1217" i="25"/>
  <c r="E1217" i="25"/>
  <c r="F1217" i="25"/>
  <c r="G1217" i="25"/>
  <c r="B1216" i="25"/>
  <c r="C1216" i="25"/>
  <c r="E1215" i="25"/>
  <c r="F1216" i="25"/>
  <c r="G1216" i="25"/>
  <c r="B1215" i="25"/>
  <c r="C1215" i="25"/>
  <c r="F1215" i="25"/>
  <c r="G1215" i="25"/>
  <c r="B1214" i="25"/>
  <c r="C1214" i="25"/>
  <c r="D1214" i="25"/>
  <c r="E1214" i="25"/>
  <c r="F1214" i="25"/>
  <c r="G1214" i="25"/>
  <c r="B1213" i="25"/>
  <c r="C1213" i="25"/>
  <c r="D1213" i="25"/>
  <c r="E1213" i="25"/>
  <c r="F1213" i="25"/>
  <c r="G1213" i="25"/>
  <c r="B1212" i="25"/>
  <c r="C1212" i="25"/>
  <c r="D1212" i="25"/>
  <c r="E1212" i="25"/>
  <c r="F1212" i="25"/>
  <c r="G1212" i="25"/>
  <c r="B1211" i="25"/>
  <c r="C1211" i="25"/>
  <c r="D1211" i="25"/>
  <c r="E1211" i="25"/>
  <c r="F1211" i="25"/>
  <c r="G1211" i="25"/>
  <c r="B1210" i="25"/>
  <c r="C1210" i="25"/>
  <c r="D1210" i="25"/>
  <c r="E1210" i="25"/>
  <c r="F1210" i="25"/>
  <c r="G1210" i="25"/>
  <c r="B1209" i="25"/>
  <c r="C1209" i="25"/>
  <c r="D1209" i="25"/>
  <c r="E1209" i="25"/>
  <c r="F1209" i="25"/>
  <c r="H1209" i="25" s="1"/>
  <c r="I1209" i="25" s="1"/>
  <c r="G1209" i="25"/>
  <c r="B1208" i="25"/>
  <c r="C1208" i="25"/>
  <c r="D1208" i="25"/>
  <c r="E1208" i="25"/>
  <c r="F1208" i="25"/>
  <c r="G1208" i="25"/>
  <c r="B1207" i="25"/>
  <c r="C1207" i="25"/>
  <c r="D1207" i="25"/>
  <c r="E1206" i="25"/>
  <c r="F1207" i="25"/>
  <c r="G1207" i="25"/>
  <c r="B1206" i="25"/>
  <c r="C1206" i="25"/>
  <c r="D1206" i="25"/>
  <c r="F1206" i="25"/>
  <c r="G1206" i="25"/>
  <c r="B1205" i="25"/>
  <c r="C1205" i="25"/>
  <c r="D1205" i="25"/>
  <c r="E1205" i="25"/>
  <c r="F1205" i="25"/>
  <c r="G1205" i="25"/>
  <c r="B1204" i="25"/>
  <c r="C1204" i="25"/>
  <c r="D1204" i="25"/>
  <c r="E1204" i="25"/>
  <c r="F1204" i="25"/>
  <c r="G1204" i="25"/>
  <c r="B1203" i="25"/>
  <c r="C1203" i="25"/>
  <c r="D1203" i="25"/>
  <c r="E1203" i="25"/>
  <c r="F1203" i="25"/>
  <c r="G1203" i="25"/>
  <c r="H1203" i="25"/>
  <c r="I1203" i="25" s="1"/>
  <c r="B1202" i="25"/>
  <c r="C1202" i="25"/>
  <c r="D1202" i="25"/>
  <c r="E1202" i="25"/>
  <c r="F1202" i="25"/>
  <c r="G1202" i="25"/>
  <c r="B1201" i="25"/>
  <c r="C1201" i="25"/>
  <c r="D1201" i="25"/>
  <c r="E1201" i="25"/>
  <c r="F1201" i="25"/>
  <c r="G1201" i="25"/>
  <c r="B1200" i="25"/>
  <c r="I1200" i="25" s="1"/>
  <c r="C1200" i="25"/>
  <c r="D1200" i="25"/>
  <c r="E1200" i="25"/>
  <c r="F1200" i="25"/>
  <c r="G1200" i="25"/>
  <c r="H1200" i="25"/>
  <c r="B1199" i="25"/>
  <c r="C1199" i="25"/>
  <c r="D1199" i="25"/>
  <c r="E1198" i="25"/>
  <c r="E1199" i="25"/>
  <c r="F1199" i="25"/>
  <c r="G1199" i="25"/>
  <c r="B1198" i="25"/>
  <c r="C1198" i="25"/>
  <c r="D1198" i="25"/>
  <c r="F1198" i="25"/>
  <c r="G1198" i="25"/>
  <c r="B1197" i="25"/>
  <c r="C1197" i="25"/>
  <c r="D1197" i="25"/>
  <c r="E1197" i="25"/>
  <c r="F1197" i="25"/>
  <c r="G1197" i="25"/>
  <c r="B1196" i="25"/>
  <c r="C1196" i="25"/>
  <c r="D1196" i="25"/>
  <c r="E1196" i="25"/>
  <c r="F1196" i="25"/>
  <c r="G1196" i="25"/>
  <c r="B1195" i="25"/>
  <c r="C1195" i="25"/>
  <c r="D1195" i="25"/>
  <c r="E1195" i="25"/>
  <c r="F1195" i="25"/>
  <c r="G1195" i="25"/>
  <c r="B1194" i="25"/>
  <c r="C1194" i="25"/>
  <c r="D1194" i="25"/>
  <c r="E1194" i="25"/>
  <c r="F1194" i="25"/>
  <c r="H1194" i="25" s="1"/>
  <c r="I1194" i="25" s="1"/>
  <c r="G1194" i="25"/>
  <c r="B1193" i="25"/>
  <c r="C1193" i="25"/>
  <c r="D1193" i="25"/>
  <c r="E1193" i="25"/>
  <c r="F1193" i="25"/>
  <c r="G1193" i="25"/>
  <c r="B1192" i="25"/>
  <c r="C1192" i="25"/>
  <c r="D1192" i="25"/>
  <c r="E1192" i="25"/>
  <c r="F1192" i="25"/>
  <c r="G1192" i="25"/>
  <c r="B1191" i="25"/>
  <c r="C1191" i="25"/>
  <c r="D1191" i="25"/>
  <c r="E1187" i="25"/>
  <c r="E1188" i="25" s="1"/>
  <c r="E1189" i="25" s="1"/>
  <c r="E1190" i="25" s="1"/>
  <c r="F1191" i="25"/>
  <c r="G1191" i="25"/>
  <c r="B1190" i="25"/>
  <c r="C1190" i="25"/>
  <c r="D1190" i="25"/>
  <c r="F1190" i="25"/>
  <c r="G1190" i="25"/>
  <c r="B1189" i="25"/>
  <c r="C1189" i="25"/>
  <c r="H1189" i="25" s="1"/>
  <c r="D1189" i="25"/>
  <c r="F1189" i="25"/>
  <c r="G1189" i="25"/>
  <c r="B1188" i="25"/>
  <c r="C1188" i="25"/>
  <c r="D1188" i="25"/>
  <c r="F1188" i="25"/>
  <c r="G1188" i="25"/>
  <c r="H1188" i="25"/>
  <c r="B1187" i="25"/>
  <c r="C1187" i="25"/>
  <c r="D1187" i="25"/>
  <c r="F1187" i="25"/>
  <c r="G1187" i="25"/>
  <c r="B1186" i="25"/>
  <c r="C1186" i="25"/>
  <c r="D1186" i="25"/>
  <c r="E1186" i="25"/>
  <c r="F1186" i="25"/>
  <c r="G1186" i="25"/>
  <c r="B1185" i="25"/>
  <c r="C1185" i="25"/>
  <c r="D1185" i="25"/>
  <c r="E1185" i="25"/>
  <c r="F1185" i="25"/>
  <c r="G1185" i="25"/>
  <c r="B1184" i="25"/>
  <c r="C1184" i="25"/>
  <c r="D1184" i="25"/>
  <c r="E1184" i="25"/>
  <c r="F1184" i="25"/>
  <c r="G1184" i="25"/>
  <c r="B1183" i="25"/>
  <c r="C1183" i="25"/>
  <c r="D1183" i="25"/>
  <c r="E1183" i="25"/>
  <c r="F1182" i="25"/>
  <c r="F1183" i="25" s="1"/>
  <c r="G1182" i="25"/>
  <c r="B1182" i="25"/>
  <c r="C1182" i="25"/>
  <c r="D1182" i="25"/>
  <c r="E1182" i="25"/>
  <c r="B1181" i="25"/>
  <c r="C1181" i="25"/>
  <c r="H1181" i="25" s="1"/>
  <c r="D1181" i="25"/>
  <c r="E1181" i="25"/>
  <c r="F1181" i="25"/>
  <c r="G1181" i="25"/>
  <c r="B1180" i="25"/>
  <c r="C1180" i="25"/>
  <c r="D1180" i="25"/>
  <c r="E1180" i="25"/>
  <c r="H1180" i="25" s="1"/>
  <c r="F1180" i="25"/>
  <c r="G1180" i="25"/>
  <c r="B1179" i="25"/>
  <c r="C1179" i="25"/>
  <c r="H1179" i="25" s="1"/>
  <c r="D1179" i="25"/>
  <c r="E1179" i="25"/>
  <c r="F1179" i="25"/>
  <c r="G1179" i="25"/>
  <c r="B1178" i="25"/>
  <c r="C1178" i="25"/>
  <c r="D1178" i="25"/>
  <c r="E1178" i="25"/>
  <c r="F1178" i="25"/>
  <c r="G1178" i="25"/>
  <c r="B1177" i="25"/>
  <c r="C1177" i="25"/>
  <c r="D1177" i="25"/>
  <c r="E1177" i="25"/>
  <c r="F1177" i="25"/>
  <c r="G1177" i="25"/>
  <c r="B1176" i="25"/>
  <c r="C1176" i="25"/>
  <c r="D1176" i="25"/>
  <c r="E1176" i="25"/>
  <c r="F1176" i="25"/>
  <c r="G1176" i="25"/>
  <c r="B1175" i="25"/>
  <c r="C1175" i="25"/>
  <c r="D1175" i="25"/>
  <c r="E1175" i="25"/>
  <c r="F1175" i="25"/>
  <c r="G1175" i="25"/>
  <c r="B1174" i="25"/>
  <c r="C1174" i="25"/>
  <c r="D1174" i="25"/>
  <c r="E1174" i="25"/>
  <c r="F1174" i="25"/>
  <c r="G1174" i="25"/>
  <c r="B1173" i="25"/>
  <c r="C1173" i="25"/>
  <c r="D1173" i="25"/>
  <c r="E1173" i="25"/>
  <c r="F1173" i="25"/>
  <c r="G1173" i="25"/>
  <c r="H1173" i="25" s="1"/>
  <c r="I1173" i="25" s="1"/>
  <c r="B1172" i="25"/>
  <c r="C1172" i="25"/>
  <c r="D1172" i="25"/>
  <c r="E1172" i="25"/>
  <c r="F1172" i="25"/>
  <c r="G1172" i="25"/>
  <c r="B1171" i="25"/>
  <c r="C1171" i="25"/>
  <c r="D1170" i="25"/>
  <c r="D1171" i="25"/>
  <c r="E1171" i="25"/>
  <c r="F1171" i="25"/>
  <c r="G1171" i="25"/>
  <c r="B1170" i="25"/>
  <c r="I1170" i="25" s="1"/>
  <c r="C1170" i="25"/>
  <c r="H1170" i="25" s="1"/>
  <c r="E1170" i="25"/>
  <c r="F1170" i="25"/>
  <c r="G1170" i="25"/>
  <c r="B1169" i="25"/>
  <c r="C1169" i="25"/>
  <c r="D1169" i="25"/>
  <c r="E1169" i="25"/>
  <c r="F1169" i="25"/>
  <c r="G1169" i="25"/>
  <c r="B1168" i="25"/>
  <c r="C1168" i="25"/>
  <c r="D1168" i="25"/>
  <c r="E1168" i="25"/>
  <c r="F1168" i="25"/>
  <c r="G1168" i="25"/>
  <c r="B1167" i="25"/>
  <c r="C1167" i="25"/>
  <c r="D1167" i="25"/>
  <c r="E1167" i="25"/>
  <c r="F1167" i="25"/>
  <c r="H1167" i="25" s="1"/>
  <c r="G1167" i="25"/>
  <c r="B1166" i="25"/>
  <c r="C1166" i="25"/>
  <c r="D1166" i="25"/>
  <c r="E1166" i="25"/>
  <c r="F1166" i="25"/>
  <c r="G1166" i="25"/>
  <c r="B1165" i="25"/>
  <c r="C1165" i="25"/>
  <c r="D1165" i="25"/>
  <c r="E1165" i="25"/>
  <c r="H1165" i="25" s="1"/>
  <c r="I1165" i="25" s="1"/>
  <c r="F1165" i="25"/>
  <c r="G1165" i="25"/>
  <c r="B1164" i="25"/>
  <c r="C1164" i="25"/>
  <c r="D1164" i="25"/>
  <c r="E1164" i="25"/>
  <c r="F1164" i="25"/>
  <c r="G1164" i="25"/>
  <c r="H1164" i="25"/>
  <c r="I1164" i="25" s="1"/>
  <c r="B1163" i="25"/>
  <c r="C1163" i="25"/>
  <c r="D1163" i="25"/>
  <c r="E1163" i="25"/>
  <c r="F1163" i="25"/>
  <c r="G1163" i="25"/>
  <c r="B1162" i="25"/>
  <c r="C1162" i="25"/>
  <c r="D1162" i="25"/>
  <c r="E1162" i="25"/>
  <c r="F1162" i="25"/>
  <c r="G1162" i="25"/>
  <c r="B1161" i="25"/>
  <c r="C1161" i="25"/>
  <c r="D1161" i="25"/>
  <c r="E1161" i="25"/>
  <c r="F1161" i="25"/>
  <c r="G1161" i="25"/>
  <c r="B1160" i="25"/>
  <c r="C1160" i="25"/>
  <c r="D1160" i="25"/>
  <c r="E1160" i="25"/>
  <c r="F1160" i="25"/>
  <c r="G1160" i="25"/>
  <c r="B1159" i="25"/>
  <c r="C1159" i="25"/>
  <c r="D1159" i="25"/>
  <c r="E1159" i="25"/>
  <c r="F1159" i="25"/>
  <c r="G1159" i="25"/>
  <c r="B1158" i="25"/>
  <c r="C1158" i="25"/>
  <c r="D1158" i="25"/>
  <c r="E1158" i="25"/>
  <c r="F1158" i="25"/>
  <c r="G1158" i="25"/>
  <c r="H1158" i="25"/>
  <c r="B1157" i="25"/>
  <c r="C1157" i="25"/>
  <c r="D1157" i="25"/>
  <c r="E1157" i="25"/>
  <c r="F1157" i="25"/>
  <c r="G1157" i="25"/>
  <c r="B1156" i="25"/>
  <c r="C1156" i="25"/>
  <c r="D1156" i="25"/>
  <c r="E1156" i="25"/>
  <c r="F1156" i="25"/>
  <c r="G1156" i="25"/>
  <c r="B1155" i="25"/>
  <c r="C1155" i="25"/>
  <c r="H1155" i="25" s="1"/>
  <c r="D1155" i="25"/>
  <c r="E1155" i="25"/>
  <c r="F1155" i="25"/>
  <c r="G1155" i="25"/>
  <c r="B1154" i="25"/>
  <c r="C1154" i="25"/>
  <c r="D1154" i="25"/>
  <c r="E1154" i="25"/>
  <c r="F1154" i="25"/>
  <c r="G1154" i="25"/>
  <c r="B1153" i="25"/>
  <c r="C1153" i="25"/>
  <c r="D1153" i="25"/>
  <c r="E1152" i="25"/>
  <c r="E1153" i="25" s="1"/>
  <c r="F1153" i="25"/>
  <c r="G1153" i="25"/>
  <c r="B1152" i="25"/>
  <c r="C1152" i="25"/>
  <c r="D1151" i="25"/>
  <c r="D1152" i="25" s="1"/>
  <c r="F1152" i="25"/>
  <c r="G1152" i="25"/>
  <c r="H1152" i="25"/>
  <c r="I1152" i="25" s="1"/>
  <c r="B1151" i="25"/>
  <c r="C1151" i="25"/>
  <c r="E1151" i="25"/>
  <c r="F1151" i="25"/>
  <c r="G1151" i="25"/>
  <c r="B1150" i="25"/>
  <c r="C1150" i="25"/>
  <c r="D1150" i="25"/>
  <c r="E1150" i="25"/>
  <c r="F1150" i="25"/>
  <c r="G1150" i="25"/>
  <c r="B1149" i="25"/>
  <c r="C1149" i="25"/>
  <c r="D1149" i="25"/>
  <c r="E1149" i="25"/>
  <c r="F1148" i="25"/>
  <c r="F1149" i="25" s="1"/>
  <c r="G1148" i="25"/>
  <c r="G1149" i="25"/>
  <c r="B1148" i="25"/>
  <c r="C1148" i="25"/>
  <c r="D1148" i="25"/>
  <c r="H1148" i="25" s="1"/>
  <c r="E1148" i="25"/>
  <c r="B1147" i="25"/>
  <c r="C1147" i="25"/>
  <c r="D1147" i="25"/>
  <c r="E1147" i="25"/>
  <c r="F1147" i="25"/>
  <c r="G1147" i="25"/>
  <c r="B1146" i="25"/>
  <c r="C1146" i="25"/>
  <c r="D1146" i="25"/>
  <c r="H1146" i="25" s="1"/>
  <c r="E1146" i="25"/>
  <c r="F1146" i="25"/>
  <c r="G1146" i="25"/>
  <c r="B1145" i="25"/>
  <c r="C1145" i="25"/>
  <c r="D1145" i="25"/>
  <c r="E1145" i="25"/>
  <c r="F1145" i="25"/>
  <c r="G1145" i="25"/>
  <c r="B1144" i="25"/>
  <c r="C1144" i="25"/>
  <c r="D1144" i="25"/>
  <c r="E1144" i="25"/>
  <c r="F1143" i="25"/>
  <c r="F1144" i="25"/>
  <c r="G1143" i="25"/>
  <c r="G1144" i="25" s="1"/>
  <c r="B1143" i="25"/>
  <c r="C1143" i="25"/>
  <c r="D1142" i="25"/>
  <c r="D1143" i="25" s="1"/>
  <c r="E1143" i="25"/>
  <c r="B1142" i="25"/>
  <c r="C1142" i="25"/>
  <c r="E1142" i="25"/>
  <c r="F1142" i="25"/>
  <c r="G1142" i="25"/>
  <c r="B1141" i="25"/>
  <c r="C1141" i="25"/>
  <c r="D1140" i="25"/>
  <c r="D1141" i="25" s="1"/>
  <c r="E1141" i="25"/>
  <c r="F1141" i="25"/>
  <c r="G1141" i="25"/>
  <c r="B1140" i="25"/>
  <c r="I1140" i="25" s="1"/>
  <c r="C1140" i="25"/>
  <c r="E1140" i="25"/>
  <c r="F1140" i="25"/>
  <c r="G1140" i="25"/>
  <c r="H1140" i="25"/>
  <c r="B1139" i="25"/>
  <c r="C1139" i="25"/>
  <c r="D1139" i="25"/>
  <c r="E1139" i="25"/>
  <c r="F1139" i="25"/>
  <c r="G1139" i="25"/>
  <c r="B1138" i="25"/>
  <c r="C1138" i="25"/>
  <c r="D1138" i="25"/>
  <c r="E1138" i="25"/>
  <c r="F1138" i="25"/>
  <c r="G1138" i="25"/>
  <c r="B1137" i="25"/>
  <c r="C1137" i="25"/>
  <c r="D1137" i="25"/>
  <c r="E1137" i="25"/>
  <c r="F1137" i="25"/>
  <c r="G1137" i="25"/>
  <c r="H1137" i="25" s="1"/>
  <c r="B1136" i="25"/>
  <c r="C1136" i="25"/>
  <c r="D1136" i="25"/>
  <c r="E1136" i="25"/>
  <c r="F1136" i="25"/>
  <c r="G1136" i="25"/>
  <c r="B1135" i="25"/>
  <c r="C1135" i="25"/>
  <c r="D1135" i="25"/>
  <c r="E1135" i="25"/>
  <c r="F1135" i="25"/>
  <c r="G1135" i="25"/>
  <c r="B1134" i="25"/>
  <c r="C1134" i="25"/>
  <c r="H1134" i="25" s="1"/>
  <c r="D1134" i="25"/>
  <c r="E1134" i="25"/>
  <c r="F1134" i="25"/>
  <c r="G1134" i="25"/>
  <c r="B1133" i="25"/>
  <c r="C1133" i="25"/>
  <c r="D1133" i="25"/>
  <c r="E1133" i="25"/>
  <c r="F1132" i="25"/>
  <c r="F1133" i="25" s="1"/>
  <c r="G1132" i="25"/>
  <c r="G1133" i="25" s="1"/>
  <c r="B1132" i="25"/>
  <c r="C1132" i="25"/>
  <c r="D1132" i="25"/>
  <c r="E1132" i="25"/>
  <c r="B1131" i="25"/>
  <c r="C1131" i="25"/>
  <c r="D1131" i="25"/>
  <c r="E1131" i="25"/>
  <c r="F1131" i="25"/>
  <c r="G1131" i="25"/>
  <c r="H1131" i="25" s="1"/>
  <c r="I1131" i="25"/>
  <c r="B1130" i="25"/>
  <c r="C1130" i="25"/>
  <c r="D1130" i="25"/>
  <c r="H1130" i="25" s="1"/>
  <c r="E1130" i="25"/>
  <c r="F1130" i="25"/>
  <c r="G1130" i="25"/>
  <c r="B1129" i="25"/>
  <c r="C1129" i="25"/>
  <c r="D1129" i="25"/>
  <c r="E1129" i="25"/>
  <c r="F1129" i="25"/>
  <c r="G1129" i="25"/>
  <c r="B1128" i="25"/>
  <c r="C1128" i="25"/>
  <c r="D1128" i="25"/>
  <c r="E1128" i="25"/>
  <c r="F1128" i="25"/>
  <c r="G1128" i="25"/>
  <c r="B1127" i="25"/>
  <c r="C1127" i="25"/>
  <c r="D1127" i="25"/>
  <c r="E1127" i="25"/>
  <c r="F1127" i="25"/>
  <c r="G1127" i="25"/>
  <c r="B1126" i="25"/>
  <c r="C1126" i="25"/>
  <c r="D1126" i="25"/>
  <c r="E1126" i="25"/>
  <c r="F1126" i="25"/>
  <c r="G1126" i="25"/>
  <c r="B1125" i="25"/>
  <c r="C1125" i="25"/>
  <c r="D1125" i="25"/>
  <c r="E1125" i="25"/>
  <c r="F1125" i="25"/>
  <c r="G1125" i="25"/>
  <c r="H1125" i="25"/>
  <c r="B1124" i="25"/>
  <c r="C1124" i="25"/>
  <c r="D1124" i="25"/>
  <c r="E1124" i="25"/>
  <c r="F1124" i="25"/>
  <c r="G1124" i="25"/>
  <c r="B1123" i="25"/>
  <c r="C1123" i="25"/>
  <c r="D1123" i="25"/>
  <c r="E1122" i="25"/>
  <c r="F1122" i="25"/>
  <c r="F1123" i="25"/>
  <c r="G1122" i="25"/>
  <c r="G1123" i="25"/>
  <c r="B1122" i="25"/>
  <c r="C1122" i="25"/>
  <c r="D1122" i="25"/>
  <c r="B1121" i="25"/>
  <c r="C1121" i="25"/>
  <c r="D1121" i="25"/>
  <c r="E1120" i="25"/>
  <c r="E1121" i="25" s="1"/>
  <c r="F1121" i="25"/>
  <c r="G1121" i="25"/>
  <c r="B1120" i="25"/>
  <c r="C1120" i="25"/>
  <c r="D1120" i="25"/>
  <c r="F1120" i="25"/>
  <c r="G1120" i="25"/>
  <c r="B1119" i="25"/>
  <c r="C1119" i="25"/>
  <c r="D1119" i="25"/>
  <c r="E1119" i="25"/>
  <c r="H1119" i="25" s="1"/>
  <c r="F1119" i="25"/>
  <c r="G1119" i="25"/>
  <c r="B1118" i="25"/>
  <c r="C1118" i="25"/>
  <c r="D1118" i="25"/>
  <c r="E1118" i="25"/>
  <c r="F1118" i="25"/>
  <c r="G1118" i="25"/>
  <c r="B1117" i="25"/>
  <c r="C1117" i="25"/>
  <c r="D1117" i="25"/>
  <c r="E1117" i="25"/>
  <c r="F1117" i="25"/>
  <c r="G1117" i="25"/>
  <c r="B1116" i="25"/>
  <c r="C1116" i="25"/>
  <c r="D1116" i="25"/>
  <c r="E1116" i="25"/>
  <c r="F1116" i="25"/>
  <c r="G1116" i="25"/>
  <c r="H1116" i="25"/>
  <c r="B1115" i="25"/>
  <c r="C1115" i="25"/>
  <c r="D1114" i="25"/>
  <c r="D1115" i="25" s="1"/>
  <c r="E1115" i="25"/>
  <c r="F1115" i="25"/>
  <c r="G1115" i="25"/>
  <c r="B1114" i="25"/>
  <c r="C1114" i="25"/>
  <c r="E1114" i="25"/>
  <c r="F1114" i="25"/>
  <c r="G1114" i="25"/>
  <c r="B1113" i="25"/>
  <c r="C1113" i="25"/>
  <c r="D1108" i="25"/>
  <c r="D1109" i="25" s="1"/>
  <c r="D1110" i="25" s="1"/>
  <c r="D1111" i="25" s="1"/>
  <c r="D1112" i="25" s="1"/>
  <c r="H1112" i="25" s="1"/>
  <c r="I1112" i="25" s="1"/>
  <c r="E1113" i="25"/>
  <c r="F1112" i="25"/>
  <c r="F1113" i="25"/>
  <c r="G1112" i="25"/>
  <c r="G1113" i="25"/>
  <c r="B1112" i="25"/>
  <c r="C1112" i="25"/>
  <c r="E1112" i="25"/>
  <c r="B1111" i="25"/>
  <c r="C1111" i="25"/>
  <c r="E1109" i="25"/>
  <c r="E1110" i="25" s="1"/>
  <c r="E1111" i="25"/>
  <c r="F1111" i="25"/>
  <c r="G1111" i="25"/>
  <c r="B1110" i="25"/>
  <c r="C1110" i="25"/>
  <c r="F1110" i="25"/>
  <c r="G1110" i="25"/>
  <c r="B1109" i="25"/>
  <c r="C1109" i="25"/>
  <c r="F1109" i="25"/>
  <c r="G1109" i="25"/>
  <c r="B1108" i="25"/>
  <c r="C1108" i="25"/>
  <c r="E1108" i="25"/>
  <c r="F1108" i="25"/>
  <c r="G1108" i="25"/>
  <c r="B1107" i="25"/>
  <c r="C1107" i="25"/>
  <c r="D1107" i="25"/>
  <c r="E1107" i="25"/>
  <c r="F1107" i="25"/>
  <c r="G1107" i="25"/>
  <c r="B1106" i="25"/>
  <c r="C1106" i="25"/>
  <c r="D1106" i="25"/>
  <c r="E1106" i="25"/>
  <c r="F1106" i="25"/>
  <c r="G1106" i="25"/>
  <c r="B1105" i="25"/>
  <c r="C1105" i="25"/>
  <c r="D1105" i="25"/>
  <c r="E1105" i="25"/>
  <c r="F1105" i="25"/>
  <c r="G1105" i="25"/>
  <c r="B1104" i="25"/>
  <c r="C1104" i="25"/>
  <c r="D1104" i="25"/>
  <c r="E1104" i="25"/>
  <c r="F1104" i="25"/>
  <c r="G1104" i="25"/>
  <c r="B1103" i="25"/>
  <c r="C1103" i="25"/>
  <c r="D1103" i="25"/>
  <c r="E1103" i="25"/>
  <c r="F1103" i="25"/>
  <c r="G1103" i="25"/>
  <c r="B1102" i="25"/>
  <c r="C1102" i="25"/>
  <c r="D1102" i="25"/>
  <c r="E1102" i="25"/>
  <c r="F1102" i="25"/>
  <c r="G1102" i="25"/>
  <c r="B1101" i="25"/>
  <c r="C1101" i="25"/>
  <c r="D1101" i="25"/>
  <c r="E1101" i="25"/>
  <c r="F1101" i="25"/>
  <c r="G1101" i="25"/>
  <c r="B1100" i="25"/>
  <c r="C1100" i="25"/>
  <c r="D1100" i="25"/>
  <c r="E1100" i="25"/>
  <c r="F1100" i="25"/>
  <c r="G1100" i="25"/>
  <c r="B1099" i="25"/>
  <c r="C1099" i="25"/>
  <c r="D1099" i="25"/>
  <c r="E1099" i="25"/>
  <c r="H1099" i="25" s="1"/>
  <c r="I1099" i="25" s="1"/>
  <c r="F1099" i="25"/>
  <c r="G1099" i="25"/>
  <c r="B1098" i="25"/>
  <c r="C1098" i="25"/>
  <c r="D1098" i="25"/>
  <c r="E1098" i="25"/>
  <c r="F1098" i="25"/>
  <c r="G1098" i="25"/>
  <c r="B1097" i="25"/>
  <c r="C1097" i="25"/>
  <c r="D1097" i="25"/>
  <c r="E1097" i="25"/>
  <c r="F1097" i="25"/>
  <c r="G1097" i="25"/>
  <c r="B1096" i="25"/>
  <c r="C1096" i="25"/>
  <c r="D1096" i="25"/>
  <c r="E1096" i="25"/>
  <c r="F1096" i="25"/>
  <c r="G1096" i="25"/>
  <c r="B1095" i="25"/>
  <c r="C1095" i="25"/>
  <c r="D1095" i="25"/>
  <c r="E1095" i="25"/>
  <c r="F1095" i="25"/>
  <c r="G1095" i="25"/>
  <c r="B1094" i="25"/>
  <c r="C1094" i="25"/>
  <c r="D1094" i="25"/>
  <c r="E1094" i="25"/>
  <c r="F1094" i="25"/>
  <c r="G1094" i="25"/>
  <c r="B1093" i="25"/>
  <c r="C1093" i="25"/>
  <c r="D1093" i="25"/>
  <c r="E1093" i="25"/>
  <c r="F1093" i="25"/>
  <c r="G1093" i="25"/>
  <c r="B1092" i="25"/>
  <c r="C1092" i="25"/>
  <c r="D1092" i="25"/>
  <c r="E1092" i="25"/>
  <c r="F1092" i="25"/>
  <c r="G1092" i="25"/>
  <c r="B1091" i="25"/>
  <c r="C1091" i="25"/>
  <c r="D1091" i="25"/>
  <c r="E1091" i="25"/>
  <c r="F1091" i="25"/>
  <c r="G1091" i="25"/>
  <c r="B1090" i="25"/>
  <c r="C1090" i="25"/>
  <c r="D1090" i="25"/>
  <c r="E1090" i="25"/>
  <c r="F1090" i="25"/>
  <c r="G1090" i="25"/>
  <c r="B1089" i="25"/>
  <c r="C1089" i="25"/>
  <c r="D1089" i="25"/>
  <c r="E1089" i="25"/>
  <c r="F1089" i="25"/>
  <c r="G1089" i="25"/>
  <c r="H1089" i="25" s="1"/>
  <c r="B1088" i="25"/>
  <c r="C1088" i="25"/>
  <c r="D1088" i="25"/>
  <c r="E1088" i="25"/>
  <c r="F1088" i="25"/>
  <c r="G1088" i="25"/>
  <c r="B1087" i="25"/>
  <c r="C1087" i="25"/>
  <c r="D1087" i="25"/>
  <c r="E1087" i="25"/>
  <c r="F1087" i="25"/>
  <c r="G1087" i="25"/>
  <c r="B1086" i="25"/>
  <c r="C1086" i="25"/>
  <c r="D1086" i="25"/>
  <c r="E1086" i="25"/>
  <c r="F1086" i="25"/>
  <c r="G1086" i="25"/>
  <c r="B1085" i="25"/>
  <c r="C1085" i="25"/>
  <c r="D1085" i="25"/>
  <c r="E1085" i="25"/>
  <c r="F1085" i="25"/>
  <c r="G1085" i="25"/>
  <c r="B1084" i="25"/>
  <c r="C1084" i="25"/>
  <c r="D1084" i="25"/>
  <c r="E1084" i="25"/>
  <c r="F1084" i="25"/>
  <c r="G1084" i="25"/>
  <c r="B1083" i="25"/>
  <c r="C1083" i="25"/>
  <c r="D1083" i="25"/>
  <c r="E1083" i="25"/>
  <c r="F1083" i="25"/>
  <c r="G1083" i="25"/>
  <c r="H1083" i="25" s="1"/>
  <c r="B1082" i="25"/>
  <c r="C1082" i="25"/>
  <c r="D1082" i="25"/>
  <c r="E1082" i="25"/>
  <c r="F1081" i="25"/>
  <c r="F1082" i="25" s="1"/>
  <c r="G1081" i="25"/>
  <c r="G1082" i="25" s="1"/>
  <c r="B1081" i="25"/>
  <c r="C1081" i="25"/>
  <c r="D1081" i="25"/>
  <c r="E1081" i="25"/>
  <c r="B1080" i="25"/>
  <c r="C1080" i="25"/>
  <c r="D1080" i="25"/>
  <c r="E1080" i="25"/>
  <c r="F1080" i="25"/>
  <c r="G1080" i="25"/>
  <c r="B1079" i="25"/>
  <c r="C1079" i="25"/>
  <c r="D1079" i="25"/>
  <c r="E1079" i="25"/>
  <c r="F1079" i="25"/>
  <c r="G1079" i="25"/>
  <c r="B1078" i="25"/>
  <c r="C1078" i="25"/>
  <c r="D1078" i="25"/>
  <c r="E1078" i="25"/>
  <c r="H1078" i="25" s="1"/>
  <c r="I1078" i="25" s="1"/>
  <c r="F1078" i="25"/>
  <c r="G1078" i="25"/>
  <c r="B1077" i="25"/>
  <c r="C1077" i="25"/>
  <c r="D1077" i="25"/>
  <c r="E1077" i="25"/>
  <c r="F1077" i="25"/>
  <c r="G1077" i="25"/>
  <c r="B1076" i="25"/>
  <c r="C1076" i="25"/>
  <c r="D1076" i="25"/>
  <c r="E1076" i="25"/>
  <c r="F1076" i="25"/>
  <c r="G1076" i="25"/>
  <c r="B1075" i="25"/>
  <c r="C1075" i="25"/>
  <c r="D1075" i="25"/>
  <c r="E1075" i="25"/>
  <c r="F1075" i="25"/>
  <c r="G1075" i="25"/>
  <c r="B1074" i="25"/>
  <c r="C1074" i="25"/>
  <c r="D1074" i="25"/>
  <c r="E1074" i="25"/>
  <c r="F1074" i="25"/>
  <c r="G1074" i="25"/>
  <c r="B1073" i="25"/>
  <c r="C1073" i="25"/>
  <c r="D1073" i="25"/>
  <c r="E1073" i="25"/>
  <c r="F1072" i="25"/>
  <c r="F1073" i="25" s="1"/>
  <c r="G1072" i="25"/>
  <c r="G1073" i="25" s="1"/>
  <c r="B1072" i="25"/>
  <c r="C1072" i="25"/>
  <c r="H1072" i="25" s="1"/>
  <c r="D1072" i="25"/>
  <c r="E1071" i="25"/>
  <c r="E1072" i="25"/>
  <c r="B1071" i="25"/>
  <c r="C1071" i="25"/>
  <c r="D1071" i="25"/>
  <c r="F1071" i="25"/>
  <c r="G1071" i="25"/>
  <c r="B1070" i="25"/>
  <c r="C1070" i="25"/>
  <c r="D1070" i="25"/>
  <c r="E1070" i="25"/>
  <c r="F1070" i="25"/>
  <c r="G1070" i="25"/>
  <c r="B1069" i="25"/>
  <c r="C1069" i="25"/>
  <c r="D1069" i="25"/>
  <c r="E1069" i="25"/>
  <c r="F1069" i="25"/>
  <c r="G1069" i="25"/>
  <c r="H1069" i="25"/>
  <c r="I1069" i="25" s="1"/>
  <c r="B1068" i="25"/>
  <c r="C1068" i="25"/>
  <c r="D1068" i="25"/>
  <c r="E1068" i="25"/>
  <c r="F1068" i="25"/>
  <c r="G1068" i="25"/>
  <c r="B1067" i="25"/>
  <c r="C1067" i="25"/>
  <c r="D1067" i="25"/>
  <c r="E1067" i="25"/>
  <c r="F1067" i="25"/>
  <c r="G1067" i="25"/>
  <c r="B1066" i="25"/>
  <c r="C1066" i="25"/>
  <c r="D1066" i="25"/>
  <c r="E1066" i="25"/>
  <c r="F1066" i="25"/>
  <c r="G1066" i="25"/>
  <c r="B1065" i="25"/>
  <c r="C1065" i="25"/>
  <c r="D1065" i="25"/>
  <c r="E1065" i="25"/>
  <c r="F1065" i="25"/>
  <c r="G1065" i="25"/>
  <c r="H1065" i="25" s="1"/>
  <c r="I1065" i="25" s="1"/>
  <c r="B1064" i="25"/>
  <c r="C1064" i="25"/>
  <c r="D1064" i="25"/>
  <c r="E1064" i="25"/>
  <c r="F1064" i="25"/>
  <c r="G1064" i="25"/>
  <c r="B1063" i="25"/>
  <c r="C1063" i="25"/>
  <c r="D1063" i="25"/>
  <c r="E1062" i="25"/>
  <c r="E1063" i="25" s="1"/>
  <c r="F1062" i="25"/>
  <c r="F1063" i="25" s="1"/>
  <c r="G1062" i="25"/>
  <c r="G1063" i="25"/>
  <c r="B1062" i="25"/>
  <c r="C1062" i="25"/>
  <c r="D1062" i="25"/>
  <c r="B1061" i="25"/>
  <c r="C1061" i="25"/>
  <c r="D1061" i="25"/>
  <c r="E1061" i="25"/>
  <c r="F1061" i="25"/>
  <c r="G1061" i="25"/>
  <c r="B1060" i="25"/>
  <c r="C1060" i="25"/>
  <c r="D1060" i="25"/>
  <c r="E1060" i="25"/>
  <c r="F1060" i="25"/>
  <c r="G1060" i="25"/>
  <c r="B1059" i="25"/>
  <c r="C1059" i="25"/>
  <c r="D1059" i="25"/>
  <c r="E1059" i="25"/>
  <c r="F1059" i="25"/>
  <c r="G1059" i="25"/>
  <c r="H1059" i="25" s="1"/>
  <c r="I1059" i="25" s="1"/>
  <c r="B1058" i="25"/>
  <c r="C1058" i="25"/>
  <c r="D1058" i="25"/>
  <c r="E1058" i="25"/>
  <c r="F1058" i="25"/>
  <c r="G1058" i="25"/>
  <c r="B1057" i="25"/>
  <c r="C1057" i="25"/>
  <c r="D1057" i="25"/>
  <c r="E1057" i="25"/>
  <c r="F1057" i="25"/>
  <c r="G1057" i="25"/>
  <c r="B1056" i="25"/>
  <c r="C1056" i="25"/>
  <c r="D1056" i="25"/>
  <c r="E1056" i="25"/>
  <c r="F1056" i="25"/>
  <c r="G1056" i="25"/>
  <c r="B1055" i="25"/>
  <c r="C1055" i="25"/>
  <c r="D1055" i="25"/>
  <c r="E1055" i="25"/>
  <c r="F1055" i="25"/>
  <c r="G1055" i="25"/>
  <c r="B1054" i="25"/>
  <c r="C1054" i="25"/>
  <c r="H1054" i="25" s="1"/>
  <c r="I1054" i="25" s="1"/>
  <c r="D1054" i="25"/>
  <c r="E1054" i="25"/>
  <c r="F1054" i="25"/>
  <c r="G1054" i="25"/>
  <c r="B1053" i="25"/>
  <c r="C1053" i="25"/>
  <c r="D1053" i="25"/>
  <c r="E1053" i="25"/>
  <c r="F1053" i="25"/>
  <c r="G1053" i="25"/>
  <c r="B1052" i="25"/>
  <c r="C1052" i="25"/>
  <c r="D1052" i="25"/>
  <c r="H1052" i="25" s="1"/>
  <c r="E1052" i="25"/>
  <c r="F1052" i="25"/>
  <c r="G1052" i="25"/>
  <c r="B1051" i="25"/>
  <c r="C1051" i="25"/>
  <c r="D1051" i="25"/>
  <c r="E1051" i="25"/>
  <c r="F1051" i="25"/>
  <c r="G1051" i="25"/>
  <c r="B1050" i="25"/>
  <c r="C1050" i="25"/>
  <c r="D1050" i="25"/>
  <c r="E1050" i="25"/>
  <c r="F1050" i="25"/>
  <c r="G1050" i="25"/>
  <c r="B1049" i="25"/>
  <c r="C1049" i="25"/>
  <c r="D1049" i="25"/>
  <c r="E1049" i="25"/>
  <c r="F1049" i="25"/>
  <c r="G1049" i="25"/>
  <c r="B1048" i="25"/>
  <c r="C1048" i="25"/>
  <c r="H1048" i="25" s="1"/>
  <c r="I1048" i="25" s="1"/>
  <c r="D1048" i="25"/>
  <c r="E1048" i="25"/>
  <c r="F1048" i="25"/>
  <c r="G1048" i="25"/>
  <c r="B1047" i="25"/>
  <c r="C1047" i="25"/>
  <c r="D1047" i="25"/>
  <c r="E1047" i="25"/>
  <c r="F1047" i="25"/>
  <c r="G1047" i="25"/>
  <c r="B1046" i="25"/>
  <c r="C1046" i="25"/>
  <c r="D1046" i="25"/>
  <c r="E1046" i="25"/>
  <c r="F1046" i="25"/>
  <c r="G1046" i="25"/>
  <c r="B1045" i="25"/>
  <c r="C1045" i="25"/>
  <c r="D1045" i="25"/>
  <c r="E1045" i="25"/>
  <c r="F1045" i="25"/>
  <c r="G1045" i="25"/>
  <c r="B1044" i="25"/>
  <c r="C1044" i="25"/>
  <c r="D1044" i="25"/>
  <c r="E1043" i="25"/>
  <c r="E1044" i="25" s="1"/>
  <c r="F1044" i="25"/>
  <c r="G1044" i="25"/>
  <c r="B1043" i="25"/>
  <c r="C1043" i="25"/>
  <c r="D1043" i="25"/>
  <c r="F1043" i="25"/>
  <c r="G1043" i="25"/>
  <c r="B1042" i="25"/>
  <c r="C1042" i="25"/>
  <c r="D1042" i="25"/>
  <c r="E1042" i="25"/>
  <c r="F1042" i="25"/>
  <c r="G1042" i="25"/>
  <c r="B1041" i="25"/>
  <c r="C1041" i="25"/>
  <c r="H1041" i="25" s="1"/>
  <c r="D1041" i="25"/>
  <c r="E1040" i="25"/>
  <c r="E1041" i="25" s="1"/>
  <c r="F1041" i="25"/>
  <c r="G1041" i="25"/>
  <c r="B1040" i="25"/>
  <c r="C1040" i="25"/>
  <c r="D1040" i="25"/>
  <c r="F1040" i="25"/>
  <c r="G1040" i="25"/>
  <c r="B1039" i="25"/>
  <c r="C1039" i="25"/>
  <c r="H1039" i="25" s="1"/>
  <c r="I1039" i="25" s="1"/>
  <c r="D1039" i="25"/>
  <c r="E1038" i="25"/>
  <c r="E1039" i="25" s="1"/>
  <c r="F1039" i="25"/>
  <c r="G1039" i="25"/>
  <c r="B1038" i="25"/>
  <c r="C1038" i="25"/>
  <c r="D1038" i="25"/>
  <c r="F1038" i="25"/>
  <c r="G1038" i="25"/>
  <c r="B1037" i="25"/>
  <c r="C1037" i="25"/>
  <c r="D1037" i="25"/>
  <c r="E1037" i="25"/>
  <c r="F1037" i="25"/>
  <c r="G1037" i="25"/>
  <c r="B1036" i="25"/>
  <c r="C1036" i="25"/>
  <c r="D1036" i="25"/>
  <c r="E1036" i="25"/>
  <c r="F1036" i="25"/>
  <c r="G1036" i="25"/>
  <c r="B1035" i="25"/>
  <c r="C1035" i="25"/>
  <c r="H1035" i="25" s="1"/>
  <c r="D1035" i="25"/>
  <c r="E1035" i="25"/>
  <c r="F1035" i="25"/>
  <c r="G1035" i="25"/>
  <c r="B1034" i="25"/>
  <c r="C1034" i="25"/>
  <c r="D1034" i="25"/>
  <c r="H1034" i="25" s="1"/>
  <c r="E1034" i="25"/>
  <c r="F1034" i="25"/>
  <c r="G1034" i="25"/>
  <c r="B1033" i="25"/>
  <c r="C1033" i="25"/>
  <c r="D1033" i="25"/>
  <c r="E1033" i="25"/>
  <c r="F1033" i="25"/>
  <c r="G1033" i="25"/>
  <c r="B1032" i="25"/>
  <c r="C1032" i="25"/>
  <c r="D1032" i="25"/>
  <c r="E1032" i="25"/>
  <c r="F1032" i="25"/>
  <c r="G1032" i="25"/>
  <c r="H1032" i="25"/>
  <c r="I1032" i="25" s="1"/>
  <c r="B1031" i="25"/>
  <c r="C1031" i="25"/>
  <c r="D1031" i="25"/>
  <c r="E1031" i="25"/>
  <c r="F1031" i="25"/>
  <c r="G1031" i="25"/>
  <c r="B1030" i="25"/>
  <c r="C1030" i="25"/>
  <c r="D1030" i="25"/>
  <c r="E1030" i="25"/>
  <c r="F1030" i="25"/>
  <c r="G1030" i="25"/>
  <c r="B1029" i="25"/>
  <c r="C1029" i="25"/>
  <c r="D1029" i="25"/>
  <c r="E1029" i="25"/>
  <c r="F1029" i="25"/>
  <c r="G1029" i="25"/>
  <c r="B1028" i="25"/>
  <c r="C1028" i="25"/>
  <c r="D1028" i="25"/>
  <c r="E1028" i="25"/>
  <c r="F1028" i="25"/>
  <c r="H1028" i="25" s="1"/>
  <c r="I1028" i="25" s="1"/>
  <c r="G1028" i="25"/>
  <c r="B1027" i="25"/>
  <c r="C1027" i="25"/>
  <c r="D1027" i="25"/>
  <c r="E1027" i="25"/>
  <c r="F1027" i="25"/>
  <c r="G1027" i="25"/>
  <c r="B1026" i="25"/>
  <c r="C1026" i="25"/>
  <c r="D1026" i="25"/>
  <c r="E1026" i="25"/>
  <c r="F1026" i="25"/>
  <c r="G1026" i="25"/>
  <c r="H1026" i="25" s="1"/>
  <c r="I1026" i="25" s="1"/>
  <c r="B1025" i="25"/>
  <c r="C1025" i="25"/>
  <c r="D1025" i="25"/>
  <c r="E1025" i="25"/>
  <c r="F1025" i="25"/>
  <c r="G1025" i="25"/>
  <c r="B1024" i="25"/>
  <c r="C1024" i="25"/>
  <c r="D1024" i="25"/>
  <c r="E1024" i="25"/>
  <c r="F1024" i="25"/>
  <c r="G1024" i="25"/>
  <c r="B1023" i="25"/>
  <c r="C1023" i="25"/>
  <c r="D1023" i="25"/>
  <c r="E1023" i="25"/>
  <c r="F1023" i="25"/>
  <c r="G1023" i="25"/>
  <c r="B1022" i="25"/>
  <c r="C1022" i="25"/>
  <c r="D1022" i="25"/>
  <c r="E1022" i="25"/>
  <c r="F1022" i="25"/>
  <c r="G1022" i="25"/>
  <c r="B1021" i="25"/>
  <c r="C1021" i="25"/>
  <c r="D1021" i="25"/>
  <c r="E1021" i="25"/>
  <c r="F1021" i="25"/>
  <c r="G1021" i="25"/>
  <c r="B1020" i="25"/>
  <c r="C1020" i="25"/>
  <c r="D1020" i="25"/>
  <c r="E1020" i="25"/>
  <c r="F1020" i="25"/>
  <c r="G1020" i="25"/>
  <c r="B1019" i="25"/>
  <c r="C1019" i="25"/>
  <c r="H1019" i="25" s="1"/>
  <c r="D1019" i="25"/>
  <c r="E1019" i="25"/>
  <c r="F1018" i="25"/>
  <c r="F1019" i="25" s="1"/>
  <c r="G1018" i="25"/>
  <c r="G1019" i="25" s="1"/>
  <c r="B1018" i="25"/>
  <c r="C1018" i="25"/>
  <c r="D1018" i="25"/>
  <c r="E1017" i="25"/>
  <c r="E1018" i="25" s="1"/>
  <c r="H1018" i="25" s="1"/>
  <c r="B1017" i="25"/>
  <c r="C1017" i="25"/>
  <c r="D1017" i="25"/>
  <c r="F1017" i="25"/>
  <c r="G1017" i="25"/>
  <c r="B1016" i="25"/>
  <c r="C1016" i="25"/>
  <c r="D1016" i="25"/>
  <c r="E1016" i="25"/>
  <c r="F1016" i="25"/>
  <c r="G1016" i="25"/>
  <c r="B1015" i="25"/>
  <c r="C1015" i="25"/>
  <c r="H1015" i="25" s="1"/>
  <c r="D1015" i="25"/>
  <c r="E1014" i="25"/>
  <c r="E1015" i="25" s="1"/>
  <c r="F1015" i="25"/>
  <c r="G1015" i="25"/>
  <c r="B1014" i="25"/>
  <c r="C1014" i="25"/>
  <c r="D1014" i="25"/>
  <c r="F1014" i="25"/>
  <c r="G1014" i="25"/>
  <c r="B1013" i="25"/>
  <c r="C1013" i="25"/>
  <c r="D1013" i="25"/>
  <c r="E1013" i="25"/>
  <c r="F1013" i="25"/>
  <c r="G1013" i="25"/>
  <c r="B1012" i="25"/>
  <c r="C1012" i="25"/>
  <c r="D1012" i="25"/>
  <c r="E1011" i="25"/>
  <c r="E1012" i="25" s="1"/>
  <c r="F1011" i="25"/>
  <c r="F1012" i="25" s="1"/>
  <c r="G1011" i="25"/>
  <c r="B1011" i="25"/>
  <c r="C1011" i="25"/>
  <c r="D1011" i="25"/>
  <c r="B1010" i="25"/>
  <c r="C1010" i="25"/>
  <c r="D1010" i="25"/>
  <c r="E1010" i="25"/>
  <c r="F1010" i="25"/>
  <c r="G1010" i="25"/>
  <c r="B1009" i="25"/>
  <c r="C1009" i="25"/>
  <c r="D1009" i="25"/>
  <c r="E1008" i="25"/>
  <c r="E1009" i="25"/>
  <c r="F1009" i="25"/>
  <c r="G1009" i="25"/>
  <c r="B1008" i="25"/>
  <c r="C1008" i="25"/>
  <c r="D1008" i="25"/>
  <c r="F1008" i="25"/>
  <c r="G1008" i="25"/>
  <c r="B1007" i="25"/>
  <c r="C1007" i="25"/>
  <c r="D1007" i="25"/>
  <c r="E1007" i="25"/>
  <c r="F1007" i="25"/>
  <c r="G1007" i="25"/>
  <c r="B1006" i="25"/>
  <c r="C1006" i="25"/>
  <c r="D1006" i="25"/>
  <c r="E1006" i="25"/>
  <c r="F1006" i="25"/>
  <c r="G1006" i="25"/>
  <c r="B1005" i="25"/>
  <c r="C1005" i="25"/>
  <c r="D1005" i="25"/>
  <c r="H1005" i="25" s="1"/>
  <c r="E1005" i="25"/>
  <c r="F1005" i="25"/>
  <c r="G1005" i="25"/>
  <c r="B1004" i="25"/>
  <c r="C1004" i="25"/>
  <c r="D1004" i="25"/>
  <c r="E1004" i="25"/>
  <c r="F1004" i="25"/>
  <c r="G1004" i="25"/>
  <c r="B1003" i="25"/>
  <c r="C1003" i="25"/>
  <c r="D1003" i="25"/>
  <c r="H1003" i="25" s="1"/>
  <c r="I1003" i="25" s="1"/>
  <c r="E1003" i="25"/>
  <c r="F1003" i="25"/>
  <c r="G1003" i="25"/>
  <c r="B1002" i="25"/>
  <c r="C1002" i="25"/>
  <c r="D1002" i="25"/>
  <c r="E1002" i="25"/>
  <c r="F1002" i="25"/>
  <c r="G1002" i="25"/>
  <c r="B1001" i="25"/>
  <c r="C1001" i="25"/>
  <c r="D1001" i="25"/>
  <c r="E1001" i="25"/>
  <c r="F1001" i="25"/>
  <c r="G1001" i="25"/>
  <c r="B1000" i="25"/>
  <c r="C1000" i="25"/>
  <c r="D1000" i="25"/>
  <c r="E1000" i="25"/>
  <c r="F1000" i="25"/>
  <c r="G1000" i="25"/>
  <c r="B999" i="25"/>
  <c r="C999" i="25"/>
  <c r="D999" i="25"/>
  <c r="E999" i="25"/>
  <c r="F999" i="25"/>
  <c r="G999" i="25"/>
  <c r="B998" i="25"/>
  <c r="C998" i="25"/>
  <c r="D998" i="25"/>
  <c r="E998" i="25"/>
  <c r="F998" i="25"/>
  <c r="G998" i="25"/>
  <c r="B997" i="25"/>
  <c r="C997" i="25"/>
  <c r="D997" i="25"/>
  <c r="E997" i="25"/>
  <c r="F997" i="25"/>
  <c r="G997" i="25"/>
  <c r="B996" i="25"/>
  <c r="C996" i="25"/>
  <c r="D996" i="25"/>
  <c r="E996" i="25"/>
  <c r="F996" i="25"/>
  <c r="G996" i="25"/>
  <c r="B995" i="25"/>
  <c r="C995" i="25"/>
  <c r="D995" i="25"/>
  <c r="E995" i="25"/>
  <c r="F995" i="25"/>
  <c r="G995" i="25"/>
  <c r="B994" i="25"/>
  <c r="C994" i="25"/>
  <c r="D994" i="25"/>
  <c r="E994" i="25"/>
  <c r="F994" i="25"/>
  <c r="G994" i="25"/>
  <c r="B993" i="25"/>
  <c r="C993" i="25"/>
  <c r="D993" i="25"/>
  <c r="H993" i="25" s="1"/>
  <c r="E993" i="25"/>
  <c r="F993" i="25"/>
  <c r="G993" i="25"/>
  <c r="B992" i="25"/>
  <c r="C992" i="25"/>
  <c r="D992" i="25"/>
  <c r="E992" i="25"/>
  <c r="F992" i="25"/>
  <c r="G992" i="25"/>
  <c r="B991" i="25"/>
  <c r="C991" i="25"/>
  <c r="D991" i="25"/>
  <c r="H991" i="25" s="1"/>
  <c r="E991" i="25"/>
  <c r="F991" i="25"/>
  <c r="G991" i="25"/>
  <c r="B990" i="25"/>
  <c r="C990" i="25"/>
  <c r="D990" i="25"/>
  <c r="E990" i="25"/>
  <c r="F990" i="25"/>
  <c r="G990" i="25"/>
  <c r="B989" i="25"/>
  <c r="C989" i="25"/>
  <c r="D989" i="25"/>
  <c r="E989" i="25"/>
  <c r="F989" i="25"/>
  <c r="G989" i="25"/>
  <c r="B988" i="25"/>
  <c r="C988" i="25"/>
  <c r="D988" i="25"/>
  <c r="E988" i="25"/>
  <c r="F988" i="25"/>
  <c r="G988" i="25"/>
  <c r="B987" i="25"/>
  <c r="C987" i="25"/>
  <c r="D987" i="25"/>
  <c r="E987" i="25"/>
  <c r="F987" i="25"/>
  <c r="G987" i="25"/>
  <c r="B986" i="25"/>
  <c r="C986" i="25"/>
  <c r="D986" i="25"/>
  <c r="E986" i="25"/>
  <c r="F986" i="25"/>
  <c r="G986" i="25"/>
  <c r="B985" i="25"/>
  <c r="C985" i="25"/>
  <c r="D985" i="25"/>
  <c r="E985" i="25"/>
  <c r="F985" i="25"/>
  <c r="G985" i="25"/>
  <c r="B984" i="25"/>
  <c r="C984" i="25"/>
  <c r="D984" i="25"/>
  <c r="E984" i="25"/>
  <c r="F984" i="25"/>
  <c r="G984" i="25"/>
  <c r="B983" i="25"/>
  <c r="C983" i="25"/>
  <c r="D983" i="25"/>
  <c r="E983" i="25"/>
  <c r="F983" i="25"/>
  <c r="G983" i="25"/>
  <c r="B982" i="25"/>
  <c r="C982" i="25"/>
  <c r="D982" i="25"/>
  <c r="E982" i="25"/>
  <c r="F982" i="25"/>
  <c r="G982" i="25"/>
  <c r="B981" i="25"/>
  <c r="C981" i="25"/>
  <c r="D981" i="25"/>
  <c r="E981" i="25"/>
  <c r="F980" i="25"/>
  <c r="F981" i="25" s="1"/>
  <c r="G980" i="25"/>
  <c r="G981" i="25" s="1"/>
  <c r="B980" i="25"/>
  <c r="C980" i="25"/>
  <c r="H980" i="25" s="1"/>
  <c r="D980" i="25"/>
  <c r="E980" i="25"/>
  <c r="B979" i="25"/>
  <c r="C979" i="25"/>
  <c r="D979" i="25"/>
  <c r="H979" i="25" s="1"/>
  <c r="I979" i="25" s="1"/>
  <c r="E979" i="25"/>
  <c r="F979" i="25"/>
  <c r="G979" i="25"/>
  <c r="B978" i="25"/>
  <c r="C978" i="25"/>
  <c r="D978" i="25"/>
  <c r="E978" i="25"/>
  <c r="F977" i="25"/>
  <c r="F978" i="25" s="1"/>
  <c r="G977" i="25"/>
  <c r="G978" i="25" s="1"/>
  <c r="B977" i="25"/>
  <c r="C977" i="25"/>
  <c r="D977" i="25"/>
  <c r="E977" i="25"/>
  <c r="B976" i="25"/>
  <c r="C976" i="25"/>
  <c r="D976" i="25"/>
  <c r="E976" i="25"/>
  <c r="F976" i="25"/>
  <c r="G976" i="25"/>
  <c r="B975" i="25"/>
  <c r="C975" i="25"/>
  <c r="D975" i="25"/>
  <c r="E975" i="25"/>
  <c r="F975" i="25"/>
  <c r="G975" i="25"/>
  <c r="B974" i="25"/>
  <c r="C974" i="25"/>
  <c r="D974" i="25"/>
  <c r="E974" i="25"/>
  <c r="F974" i="25"/>
  <c r="G974" i="25"/>
  <c r="B973" i="25"/>
  <c r="C973" i="25"/>
  <c r="D973" i="25"/>
  <c r="E973" i="25"/>
  <c r="F973" i="25"/>
  <c r="G973" i="25"/>
  <c r="B972" i="25"/>
  <c r="C972" i="25"/>
  <c r="D972" i="25"/>
  <c r="E972" i="25"/>
  <c r="F972" i="25"/>
  <c r="G972" i="25"/>
  <c r="B971" i="25"/>
  <c r="C971" i="25"/>
  <c r="D971" i="25"/>
  <c r="E971" i="25"/>
  <c r="F971" i="25"/>
  <c r="G971" i="25"/>
  <c r="B970" i="25"/>
  <c r="C970" i="25"/>
  <c r="D970" i="25"/>
  <c r="E970" i="25"/>
  <c r="F970" i="25"/>
  <c r="G970" i="25"/>
  <c r="B969" i="25"/>
  <c r="C969" i="25"/>
  <c r="D969" i="25"/>
  <c r="H969" i="25" s="1"/>
  <c r="E969" i="25"/>
  <c r="F969" i="25"/>
  <c r="G969" i="25"/>
  <c r="B968" i="25"/>
  <c r="C968" i="25"/>
  <c r="D966" i="25"/>
  <c r="D967" i="25"/>
  <c r="E968" i="25"/>
  <c r="F968" i="25"/>
  <c r="G968" i="25"/>
  <c r="B967" i="25"/>
  <c r="C967" i="25"/>
  <c r="E966" i="25"/>
  <c r="F967" i="25"/>
  <c r="G967" i="25"/>
  <c r="B966" i="25"/>
  <c r="C966" i="25"/>
  <c r="F966" i="25"/>
  <c r="G966" i="25"/>
  <c r="B965" i="25"/>
  <c r="C965" i="25"/>
  <c r="D965" i="25"/>
  <c r="E965" i="25"/>
  <c r="F965" i="25"/>
  <c r="G965" i="25"/>
  <c r="B964" i="25"/>
  <c r="C964" i="25"/>
  <c r="D964" i="25"/>
  <c r="E964" i="25"/>
  <c r="F964" i="25"/>
  <c r="G964" i="25"/>
  <c r="B963" i="25"/>
  <c r="C963" i="25"/>
  <c r="D962" i="25"/>
  <c r="E963" i="25"/>
  <c r="F962" i="25"/>
  <c r="F963" i="25" s="1"/>
  <c r="G962" i="25"/>
  <c r="G963" i="25" s="1"/>
  <c r="B962" i="25"/>
  <c r="C962" i="25"/>
  <c r="E962" i="25"/>
  <c r="B961" i="25"/>
  <c r="C961" i="25"/>
  <c r="D961" i="25"/>
  <c r="E961" i="25"/>
  <c r="F961" i="25"/>
  <c r="G961" i="25"/>
  <c r="B960" i="25"/>
  <c r="C960" i="25"/>
  <c r="D960" i="25"/>
  <c r="E960" i="25"/>
  <c r="F960" i="25"/>
  <c r="G960" i="25"/>
  <c r="B959" i="25"/>
  <c r="C959" i="25"/>
  <c r="D959" i="25"/>
  <c r="E959" i="25"/>
  <c r="H959" i="25" s="1"/>
  <c r="F959" i="25"/>
  <c r="G959" i="25"/>
  <c r="B958" i="25"/>
  <c r="C958" i="25"/>
  <c r="D958" i="25"/>
  <c r="E958" i="25"/>
  <c r="F958" i="25"/>
  <c r="G958" i="25"/>
  <c r="B957" i="25"/>
  <c r="C957" i="25"/>
  <c r="D957" i="25"/>
  <c r="E957" i="25"/>
  <c r="F957" i="25"/>
  <c r="G957" i="25"/>
  <c r="B956" i="25"/>
  <c r="C956" i="25"/>
  <c r="D956" i="25"/>
  <c r="E956" i="25"/>
  <c r="F956" i="25"/>
  <c r="G956" i="25"/>
  <c r="B955" i="25"/>
  <c r="C955" i="25"/>
  <c r="D955" i="25"/>
  <c r="E955" i="25"/>
  <c r="F955" i="25"/>
  <c r="G955" i="25"/>
  <c r="B954" i="25"/>
  <c r="C954" i="25"/>
  <c r="D954" i="25"/>
  <c r="E954" i="25"/>
  <c r="F954" i="25"/>
  <c r="G954" i="25"/>
  <c r="B953" i="25"/>
  <c r="C953" i="25"/>
  <c r="D953" i="25"/>
  <c r="E953" i="25"/>
  <c r="H953" i="25" s="1"/>
  <c r="F953" i="25"/>
  <c r="G953" i="25"/>
  <c r="B952" i="25"/>
  <c r="C952" i="25"/>
  <c r="D952" i="25"/>
  <c r="E952" i="25"/>
  <c r="F952" i="25"/>
  <c r="G952" i="25"/>
  <c r="B951" i="25"/>
  <c r="C951" i="25"/>
  <c r="D951" i="25"/>
  <c r="E951" i="25"/>
  <c r="F951" i="25"/>
  <c r="G951" i="25"/>
  <c r="B950" i="25"/>
  <c r="C950" i="25"/>
  <c r="D950" i="25"/>
  <c r="E950" i="25"/>
  <c r="F950" i="25"/>
  <c r="G950" i="25"/>
  <c r="B949" i="25"/>
  <c r="C949" i="25"/>
  <c r="D949" i="25"/>
  <c r="E949" i="25"/>
  <c r="F949" i="25"/>
  <c r="G949" i="25"/>
  <c r="B948" i="25"/>
  <c r="C948" i="25"/>
  <c r="D948" i="25"/>
  <c r="E948" i="25"/>
  <c r="F948" i="25"/>
  <c r="G948" i="25"/>
  <c r="B947" i="25"/>
  <c r="C947" i="25"/>
  <c r="D947" i="25"/>
  <c r="E947" i="25"/>
  <c r="H947" i="25" s="1"/>
  <c r="I947" i="25" s="1"/>
  <c r="F947" i="25"/>
  <c r="G947" i="25"/>
  <c r="B946" i="25"/>
  <c r="C946" i="25"/>
  <c r="D946" i="25"/>
  <c r="E946" i="25"/>
  <c r="F946" i="25"/>
  <c r="G946" i="25"/>
  <c r="B945" i="25"/>
  <c r="C945" i="25"/>
  <c r="D945" i="25"/>
  <c r="H945" i="25" s="1"/>
  <c r="E945" i="25"/>
  <c r="F945" i="25"/>
  <c r="G945" i="25"/>
  <c r="B944" i="25"/>
  <c r="C944" i="25"/>
  <c r="D944" i="25"/>
  <c r="E944" i="25"/>
  <c r="H944" i="25" s="1"/>
  <c r="F944" i="25"/>
  <c r="G944" i="25"/>
  <c r="B943" i="25"/>
  <c r="C943" i="25"/>
  <c r="D943" i="25"/>
  <c r="H943" i="25" s="1"/>
  <c r="I943" i="25" s="1"/>
  <c r="E943" i="25"/>
  <c r="F943" i="25"/>
  <c r="G943" i="25"/>
  <c r="B942" i="25"/>
  <c r="C942" i="25"/>
  <c r="D942" i="25"/>
  <c r="E942" i="25"/>
  <c r="F942" i="25"/>
  <c r="G942" i="25"/>
  <c r="B941" i="25"/>
  <c r="C941" i="25"/>
  <c r="D941" i="25"/>
  <c r="E941" i="25"/>
  <c r="F941" i="25"/>
  <c r="G941" i="25"/>
  <c r="B940" i="25"/>
  <c r="C940" i="25"/>
  <c r="D940" i="25"/>
  <c r="E940" i="25"/>
  <c r="F939" i="25"/>
  <c r="F940" i="25"/>
  <c r="G939" i="25"/>
  <c r="G940" i="25"/>
  <c r="B939" i="25"/>
  <c r="C939" i="25"/>
  <c r="D939" i="25"/>
  <c r="E939" i="25"/>
  <c r="B938" i="25"/>
  <c r="C938" i="25"/>
  <c r="D938" i="25"/>
  <c r="E938" i="25"/>
  <c r="F938" i="25"/>
  <c r="G938" i="25"/>
  <c r="B937" i="25"/>
  <c r="C937" i="25"/>
  <c r="D937" i="25"/>
  <c r="E937" i="25"/>
  <c r="F937" i="25"/>
  <c r="G937" i="25"/>
  <c r="B936" i="25"/>
  <c r="C936" i="25"/>
  <c r="D936" i="25"/>
  <c r="E936" i="25"/>
  <c r="F936" i="25"/>
  <c r="G936" i="25"/>
  <c r="B935" i="25"/>
  <c r="C935" i="25"/>
  <c r="D935" i="25"/>
  <c r="E935" i="25"/>
  <c r="F935" i="25"/>
  <c r="G935" i="25"/>
  <c r="B934" i="25"/>
  <c r="C934" i="25"/>
  <c r="D934" i="25"/>
  <c r="E934" i="25"/>
  <c r="F934" i="25"/>
  <c r="G934" i="25"/>
  <c r="B933" i="25"/>
  <c r="C933" i="25"/>
  <c r="D933" i="25"/>
  <c r="H933" i="25" s="1"/>
  <c r="E933" i="25"/>
  <c r="F933" i="25"/>
  <c r="G933" i="25"/>
  <c r="B932" i="25"/>
  <c r="C932" i="25"/>
  <c r="D932" i="25"/>
  <c r="E932" i="25"/>
  <c r="F932" i="25"/>
  <c r="G932" i="25"/>
  <c r="B931" i="25"/>
  <c r="C931" i="25"/>
  <c r="D931" i="25"/>
  <c r="H931" i="25" s="1"/>
  <c r="E931" i="25"/>
  <c r="F931" i="25"/>
  <c r="G931" i="25"/>
  <c r="B930" i="25"/>
  <c r="C930" i="25"/>
  <c r="D930" i="25"/>
  <c r="E930" i="25"/>
  <c r="F930" i="25"/>
  <c r="G930" i="25"/>
  <c r="B929" i="25"/>
  <c r="C929" i="25"/>
  <c r="D929" i="25"/>
  <c r="E929" i="25"/>
  <c r="F929" i="25"/>
  <c r="G929" i="25"/>
  <c r="B928" i="25"/>
  <c r="C928" i="25"/>
  <c r="D928" i="25"/>
  <c r="E928" i="25"/>
  <c r="F928" i="25"/>
  <c r="G928" i="25"/>
  <c r="B927" i="25"/>
  <c r="C927" i="25"/>
  <c r="D927" i="25"/>
  <c r="E927" i="25"/>
  <c r="F927" i="25"/>
  <c r="G927" i="25"/>
  <c r="B926" i="25"/>
  <c r="C926" i="25"/>
  <c r="D926" i="25"/>
  <c r="E926" i="25"/>
  <c r="H926" i="25" s="1"/>
  <c r="I926" i="25" s="1"/>
  <c r="F926" i="25"/>
  <c r="G926" i="25"/>
  <c r="B925" i="25"/>
  <c r="C925" i="25"/>
  <c r="D925" i="25"/>
  <c r="E925" i="25"/>
  <c r="F925" i="25"/>
  <c r="G925" i="25"/>
  <c r="B924" i="25"/>
  <c r="C924" i="25"/>
  <c r="D924" i="25"/>
  <c r="E924" i="25"/>
  <c r="F924" i="25"/>
  <c r="G924" i="25"/>
  <c r="B923" i="25"/>
  <c r="C923" i="25"/>
  <c r="D923" i="25"/>
  <c r="E923" i="25"/>
  <c r="F923" i="25"/>
  <c r="G923" i="25"/>
  <c r="B922" i="25"/>
  <c r="C922" i="25"/>
  <c r="D922" i="25"/>
  <c r="E922" i="25"/>
  <c r="F922" i="25"/>
  <c r="G922" i="25"/>
  <c r="B921" i="25"/>
  <c r="C921" i="25"/>
  <c r="D921" i="25"/>
  <c r="E921" i="25"/>
  <c r="F921" i="25"/>
  <c r="G921" i="25"/>
  <c r="B920" i="25"/>
  <c r="C920" i="25"/>
  <c r="D920" i="25"/>
  <c r="E920" i="25"/>
  <c r="H920" i="25" s="1"/>
  <c r="I920" i="25" s="1"/>
  <c r="F920" i="25"/>
  <c r="G920" i="25"/>
  <c r="B919" i="25"/>
  <c r="C919" i="25"/>
  <c r="D919" i="25"/>
  <c r="E919" i="25"/>
  <c r="F919" i="25"/>
  <c r="G919" i="25"/>
  <c r="B918" i="25"/>
  <c r="C918" i="25"/>
  <c r="D918" i="25"/>
  <c r="H918" i="25" s="1"/>
  <c r="E918" i="25"/>
  <c r="F918" i="25"/>
  <c r="G918" i="25"/>
  <c r="B917" i="25"/>
  <c r="C917" i="25"/>
  <c r="D917" i="25"/>
  <c r="E917" i="25"/>
  <c r="F917" i="25"/>
  <c r="G917" i="25"/>
  <c r="B916" i="25"/>
  <c r="C916" i="25"/>
  <c r="D916" i="25"/>
  <c r="H916" i="25" s="1"/>
  <c r="I916" i="25" s="1"/>
  <c r="E916" i="25"/>
  <c r="F916" i="25"/>
  <c r="G916" i="25"/>
  <c r="B915" i="25"/>
  <c r="C915" i="25"/>
  <c r="D915" i="25"/>
  <c r="E915" i="25"/>
  <c r="F915" i="25"/>
  <c r="G915" i="25"/>
  <c r="B914" i="25"/>
  <c r="C914" i="25"/>
  <c r="D914" i="25"/>
  <c r="E914" i="25"/>
  <c r="F914" i="25"/>
  <c r="G914" i="25"/>
  <c r="B913" i="25"/>
  <c r="C913" i="25"/>
  <c r="D913" i="25"/>
  <c r="E913" i="25"/>
  <c r="F913" i="25"/>
  <c r="G913" i="25"/>
  <c r="B912" i="25"/>
  <c r="C912" i="25"/>
  <c r="D912" i="25"/>
  <c r="H912" i="25" s="1"/>
  <c r="E912" i="25"/>
  <c r="F912" i="25"/>
  <c r="G912" i="25"/>
  <c r="B911" i="25"/>
  <c r="C911" i="25"/>
  <c r="D911" i="25"/>
  <c r="E911" i="25"/>
  <c r="F911" i="25"/>
  <c r="G911" i="25"/>
  <c r="B910" i="25"/>
  <c r="C910" i="25"/>
  <c r="D910" i="25"/>
  <c r="H910" i="25" s="1"/>
  <c r="E910" i="25"/>
  <c r="F910" i="25"/>
  <c r="G910" i="25"/>
  <c r="B909" i="25"/>
  <c r="C909" i="25"/>
  <c r="D909" i="25"/>
  <c r="E909" i="25"/>
  <c r="F909" i="25"/>
  <c r="G909" i="25"/>
  <c r="B908" i="25"/>
  <c r="C908" i="25"/>
  <c r="D907" i="25"/>
  <c r="D908" i="25" s="1"/>
  <c r="E908" i="25"/>
  <c r="F908" i="25"/>
  <c r="G908" i="25"/>
  <c r="B907" i="25"/>
  <c r="C907" i="25"/>
  <c r="E907" i="25"/>
  <c r="F907" i="25"/>
  <c r="G907" i="25"/>
  <c r="B906" i="25"/>
  <c r="C906" i="25"/>
  <c r="D906" i="25"/>
  <c r="H906" i="25" s="1"/>
  <c r="E906" i="25"/>
  <c r="F906" i="25"/>
  <c r="G906" i="25"/>
  <c r="B905" i="25"/>
  <c r="C905" i="25"/>
  <c r="D905" i="25"/>
  <c r="E905" i="25"/>
  <c r="F905" i="25"/>
  <c r="G905" i="25"/>
  <c r="B904" i="25"/>
  <c r="C904" i="25"/>
  <c r="D904" i="25"/>
  <c r="H904" i="25" s="1"/>
  <c r="I904" i="25" s="1"/>
  <c r="E904" i="25"/>
  <c r="F904" i="25"/>
  <c r="G904" i="25"/>
  <c r="B903" i="25"/>
  <c r="C903" i="25"/>
  <c r="D903" i="25"/>
  <c r="E903" i="25"/>
  <c r="F903" i="25"/>
  <c r="G903" i="25"/>
  <c r="B902" i="25"/>
  <c r="C902" i="25"/>
  <c r="D902" i="25"/>
  <c r="E902" i="25"/>
  <c r="F902" i="25"/>
  <c r="G902" i="25"/>
  <c r="B901" i="25"/>
  <c r="C901" i="25"/>
  <c r="D901" i="25"/>
  <c r="E901" i="25"/>
  <c r="F900" i="25"/>
  <c r="F901" i="25" s="1"/>
  <c r="G900" i="25"/>
  <c r="G901" i="25" s="1"/>
  <c r="B900" i="25"/>
  <c r="C900" i="25"/>
  <c r="D900" i="25"/>
  <c r="E900" i="25"/>
  <c r="B899" i="25"/>
  <c r="C899" i="25"/>
  <c r="D899" i="25"/>
  <c r="E899" i="25"/>
  <c r="F899" i="25"/>
  <c r="G899" i="25"/>
  <c r="B898" i="25"/>
  <c r="C898" i="25"/>
  <c r="D898" i="25"/>
  <c r="E898" i="25"/>
  <c r="F898" i="25"/>
  <c r="G898" i="25"/>
  <c r="B897" i="25"/>
  <c r="C897" i="25"/>
  <c r="D896" i="25"/>
  <c r="D897" i="25" s="1"/>
  <c r="E897" i="25"/>
  <c r="F897" i="25"/>
  <c r="G897" i="25"/>
  <c r="B896" i="25"/>
  <c r="C896" i="25"/>
  <c r="E896" i="25"/>
  <c r="F896" i="25"/>
  <c r="G896" i="25"/>
  <c r="B895" i="25"/>
  <c r="C895" i="25"/>
  <c r="D895" i="25"/>
  <c r="E895" i="25"/>
  <c r="F895" i="25"/>
  <c r="G895" i="25"/>
  <c r="B894" i="25"/>
  <c r="C894" i="25"/>
  <c r="D894" i="25"/>
  <c r="E894" i="25"/>
  <c r="F894" i="25"/>
  <c r="G894" i="25"/>
  <c r="B893" i="25"/>
  <c r="C893" i="25"/>
  <c r="D893" i="25"/>
  <c r="E893" i="25"/>
  <c r="F893" i="25"/>
  <c r="G893" i="25"/>
  <c r="B892" i="25"/>
  <c r="C892" i="25"/>
  <c r="D892" i="25"/>
  <c r="E892" i="25"/>
  <c r="F892" i="25"/>
  <c r="G892" i="25"/>
  <c r="B891" i="25"/>
  <c r="C891" i="25"/>
  <c r="D891" i="25"/>
  <c r="E891" i="25"/>
  <c r="F891" i="25"/>
  <c r="G891" i="25"/>
  <c r="B890" i="25"/>
  <c r="C890" i="25"/>
  <c r="D890" i="25"/>
  <c r="E890" i="25"/>
  <c r="F890" i="25"/>
  <c r="G890" i="25"/>
  <c r="B889" i="25"/>
  <c r="C889" i="25"/>
  <c r="D889" i="25"/>
  <c r="E889" i="25"/>
  <c r="F889" i="25"/>
  <c r="G889" i="25"/>
  <c r="B888" i="25"/>
  <c r="C888" i="25"/>
  <c r="D888" i="25"/>
  <c r="E888" i="25"/>
  <c r="F888" i="25"/>
  <c r="G888" i="25"/>
  <c r="B887" i="25"/>
  <c r="C887" i="25"/>
  <c r="D887" i="25"/>
  <c r="E887" i="25"/>
  <c r="F887" i="25"/>
  <c r="G887" i="25"/>
  <c r="B886" i="25"/>
  <c r="C886" i="25"/>
  <c r="D886" i="25"/>
  <c r="E886" i="25"/>
  <c r="F886" i="25"/>
  <c r="G886" i="25"/>
  <c r="B885" i="25"/>
  <c r="C885" i="25"/>
  <c r="D885" i="25"/>
  <c r="E885" i="25"/>
  <c r="F885" i="25"/>
  <c r="G885" i="25"/>
  <c r="B884" i="25"/>
  <c r="C884" i="25"/>
  <c r="D884" i="25"/>
  <c r="E884" i="25"/>
  <c r="F884" i="25"/>
  <c r="G884" i="25"/>
  <c r="B883" i="25"/>
  <c r="C883" i="25"/>
  <c r="D883" i="25"/>
  <c r="E883" i="25"/>
  <c r="F882" i="25"/>
  <c r="F883" i="25"/>
  <c r="G882" i="25"/>
  <c r="G883" i="25" s="1"/>
  <c r="B882" i="25"/>
  <c r="C882" i="25"/>
  <c r="D882" i="25"/>
  <c r="E882" i="25"/>
  <c r="B881" i="25"/>
  <c r="C881" i="25"/>
  <c r="D881" i="25"/>
  <c r="E881" i="25"/>
  <c r="F880" i="25"/>
  <c r="F881" i="25" s="1"/>
  <c r="G880" i="25"/>
  <c r="G881" i="25" s="1"/>
  <c r="B880" i="25"/>
  <c r="C880" i="25"/>
  <c r="D879" i="25"/>
  <c r="D880" i="25"/>
  <c r="E879" i="25"/>
  <c r="E880" i="25" s="1"/>
  <c r="B879" i="25"/>
  <c r="C879" i="25"/>
  <c r="F879" i="25"/>
  <c r="H879" i="25" s="1"/>
  <c r="G879" i="25"/>
  <c r="B878" i="25"/>
  <c r="C878" i="25"/>
  <c r="D878" i="25"/>
  <c r="E877" i="25"/>
  <c r="E878" i="25" s="1"/>
  <c r="F878" i="25"/>
  <c r="G878" i="25"/>
  <c r="B877" i="25"/>
  <c r="C877" i="25"/>
  <c r="D877" i="25"/>
  <c r="F877" i="25"/>
  <c r="G877" i="25"/>
  <c r="B876" i="25"/>
  <c r="C876" i="25"/>
  <c r="D876" i="25"/>
  <c r="E876" i="25"/>
  <c r="F876" i="25"/>
  <c r="G876" i="25"/>
  <c r="B875" i="25"/>
  <c r="C875" i="25"/>
  <c r="D875" i="25"/>
  <c r="E875" i="25"/>
  <c r="F875" i="25"/>
  <c r="G875" i="25"/>
  <c r="B874" i="25"/>
  <c r="C874" i="25"/>
  <c r="D874" i="25"/>
  <c r="E874" i="25"/>
  <c r="F874" i="25"/>
  <c r="G874" i="25"/>
  <c r="B873" i="25"/>
  <c r="C873" i="25"/>
  <c r="D873" i="25"/>
  <c r="E873" i="25"/>
  <c r="F873" i="25"/>
  <c r="G873" i="25"/>
  <c r="B872" i="25"/>
  <c r="C872" i="25"/>
  <c r="D872" i="25"/>
  <c r="E872" i="25"/>
  <c r="F872" i="25"/>
  <c r="G872" i="25"/>
  <c r="B871" i="25"/>
  <c r="C871" i="25"/>
  <c r="D871" i="25"/>
  <c r="E871" i="25"/>
  <c r="F871" i="25"/>
  <c r="G871" i="25"/>
  <c r="B870" i="25"/>
  <c r="C870" i="25"/>
  <c r="D867" i="25"/>
  <c r="D868" i="25" s="1"/>
  <c r="E870" i="25"/>
  <c r="F870" i="25"/>
  <c r="G870" i="25"/>
  <c r="B869" i="25"/>
  <c r="C869" i="25"/>
  <c r="E869" i="25"/>
  <c r="F869" i="25"/>
  <c r="G869" i="25"/>
  <c r="B868" i="25"/>
  <c r="C868" i="25"/>
  <c r="E866" i="25"/>
  <c r="E867" i="25" s="1"/>
  <c r="E868" i="25" s="1"/>
  <c r="F868" i="25"/>
  <c r="G868" i="25"/>
  <c r="B867" i="25"/>
  <c r="C867" i="25"/>
  <c r="F867" i="25"/>
  <c r="G867" i="25"/>
  <c r="B866" i="25"/>
  <c r="C866" i="25"/>
  <c r="D866" i="25"/>
  <c r="F866" i="25"/>
  <c r="G866" i="25"/>
  <c r="B865" i="25"/>
  <c r="C865" i="25"/>
  <c r="D865" i="25"/>
  <c r="E865" i="25"/>
  <c r="F865" i="25"/>
  <c r="G865" i="25"/>
  <c r="B864" i="25"/>
  <c r="C864" i="25"/>
  <c r="D864" i="25"/>
  <c r="H864" i="25" s="1"/>
  <c r="E864" i="25"/>
  <c r="F864" i="25"/>
  <c r="G864" i="25"/>
  <c r="B863" i="25"/>
  <c r="C863" i="25"/>
  <c r="D862" i="25"/>
  <c r="D863" i="25"/>
  <c r="E863" i="25"/>
  <c r="F863" i="25"/>
  <c r="G863" i="25"/>
  <c r="B862" i="25"/>
  <c r="C862" i="25"/>
  <c r="H862" i="25" s="1"/>
  <c r="I862" i="25" s="1"/>
  <c r="E862" i="25"/>
  <c r="F862" i="25"/>
  <c r="G862" i="25"/>
  <c r="B861" i="25"/>
  <c r="C861" i="25"/>
  <c r="D861" i="25"/>
  <c r="E861" i="25"/>
  <c r="F860" i="25"/>
  <c r="F861" i="25"/>
  <c r="G860" i="25"/>
  <c r="G861" i="25" s="1"/>
  <c r="B860" i="25"/>
  <c r="C860" i="25"/>
  <c r="H860" i="25" s="1"/>
  <c r="D860" i="25"/>
  <c r="E860" i="25"/>
  <c r="B859" i="25"/>
  <c r="C859" i="25"/>
  <c r="D859" i="25"/>
  <c r="E859" i="25"/>
  <c r="F859" i="25"/>
  <c r="G859" i="25"/>
  <c r="B858" i="25"/>
  <c r="C858" i="25"/>
  <c r="D858" i="25"/>
  <c r="E857" i="25"/>
  <c r="E858" i="25" s="1"/>
  <c r="F858" i="25"/>
  <c r="G858" i="25"/>
  <c r="B857" i="25"/>
  <c r="C857" i="25"/>
  <c r="D857" i="25"/>
  <c r="F857" i="25"/>
  <c r="G857" i="25"/>
  <c r="B856" i="25"/>
  <c r="C856" i="25"/>
  <c r="D856" i="25"/>
  <c r="E856" i="25"/>
  <c r="F856" i="25"/>
  <c r="G856" i="25"/>
  <c r="B855" i="25"/>
  <c r="C855" i="25"/>
  <c r="D855" i="25"/>
  <c r="E855" i="25"/>
  <c r="F855" i="25"/>
  <c r="G855" i="25"/>
  <c r="B854" i="25"/>
  <c r="C854" i="25"/>
  <c r="D854" i="25"/>
  <c r="E854" i="25"/>
  <c r="H854" i="25" s="1"/>
  <c r="I854" i="25" s="1"/>
  <c r="F854" i="25"/>
  <c r="G854" i="25"/>
  <c r="B853" i="25"/>
  <c r="C853" i="25"/>
  <c r="D853" i="25"/>
  <c r="E853" i="25"/>
  <c r="F853" i="25"/>
  <c r="G853" i="25"/>
  <c r="B852" i="25"/>
  <c r="C852" i="25"/>
  <c r="D852" i="25"/>
  <c r="E852" i="25"/>
  <c r="F852" i="25"/>
  <c r="G852" i="25"/>
  <c r="B851" i="25"/>
  <c r="C851" i="25"/>
  <c r="D851" i="25"/>
  <c r="E851" i="25"/>
  <c r="F851" i="25"/>
  <c r="G851" i="25"/>
  <c r="B850" i="25"/>
  <c r="C850" i="25"/>
  <c r="D850" i="25"/>
  <c r="E850" i="25"/>
  <c r="F850" i="25"/>
  <c r="G850" i="25"/>
  <c r="B849" i="25"/>
  <c r="C849" i="25"/>
  <c r="D849" i="25"/>
  <c r="E849" i="25"/>
  <c r="F849" i="25"/>
  <c r="G849" i="25"/>
  <c r="B848" i="25"/>
  <c r="C848" i="25"/>
  <c r="D848" i="25"/>
  <c r="E848" i="25"/>
  <c r="H848" i="25" s="1"/>
  <c r="I848" i="25" s="1"/>
  <c r="F848" i="25"/>
  <c r="G848" i="25"/>
  <c r="B847" i="25"/>
  <c r="C847" i="25"/>
  <c r="D847" i="25"/>
  <c r="E847" i="25"/>
  <c r="F847" i="25"/>
  <c r="G847" i="25"/>
  <c r="B846" i="25"/>
  <c r="C846" i="25"/>
  <c r="D846" i="25"/>
  <c r="E846" i="25"/>
  <c r="F846" i="25"/>
  <c r="G846" i="25"/>
  <c r="B845" i="25"/>
  <c r="C845" i="25"/>
  <c r="D845" i="25"/>
  <c r="E845" i="25"/>
  <c r="F845" i="25"/>
  <c r="G845" i="25"/>
  <c r="B844" i="25"/>
  <c r="C844" i="25"/>
  <c r="D844" i="25"/>
  <c r="E844" i="25"/>
  <c r="F844" i="25"/>
  <c r="G844" i="25"/>
  <c r="B843" i="25"/>
  <c r="C843" i="25"/>
  <c r="D843" i="25"/>
  <c r="E843" i="25"/>
  <c r="F843" i="25"/>
  <c r="G843" i="25"/>
  <c r="B842" i="25"/>
  <c r="C842" i="25"/>
  <c r="D842" i="25"/>
  <c r="E842" i="25"/>
  <c r="H842" i="25" s="1"/>
  <c r="I842" i="25" s="1"/>
  <c r="F842" i="25"/>
  <c r="G842" i="25"/>
  <c r="B841" i="25"/>
  <c r="C841" i="25"/>
  <c r="D841" i="25"/>
  <c r="E841" i="25"/>
  <c r="F841" i="25"/>
  <c r="G841" i="25"/>
  <c r="B840" i="25"/>
  <c r="C840" i="25"/>
  <c r="D840" i="25"/>
  <c r="E840" i="25"/>
  <c r="F840" i="25"/>
  <c r="G840" i="25"/>
  <c r="B839" i="25"/>
  <c r="C839" i="25"/>
  <c r="D839" i="25"/>
  <c r="E839" i="25"/>
  <c r="F839" i="25"/>
  <c r="G839" i="25"/>
  <c r="B838" i="25"/>
  <c r="C838" i="25"/>
  <c r="D838" i="25"/>
  <c r="E838" i="25"/>
  <c r="F837" i="25"/>
  <c r="F838" i="25" s="1"/>
  <c r="G837" i="25"/>
  <c r="G838" i="25"/>
  <c r="B837" i="25"/>
  <c r="C837" i="25"/>
  <c r="D837" i="25"/>
  <c r="E837" i="25"/>
  <c r="H837" i="25"/>
  <c r="B836" i="25"/>
  <c r="C836" i="25"/>
  <c r="D836" i="25"/>
  <c r="E836" i="25"/>
  <c r="F836" i="25"/>
  <c r="G836" i="25"/>
  <c r="B835" i="25"/>
  <c r="C835" i="25"/>
  <c r="D835" i="25"/>
  <c r="E835" i="25"/>
  <c r="F835" i="25"/>
  <c r="G835" i="25"/>
  <c r="B834" i="25"/>
  <c r="C834" i="25"/>
  <c r="D834" i="25"/>
  <c r="H834" i="25" s="1"/>
  <c r="E834" i="25"/>
  <c r="F834" i="25"/>
  <c r="G834" i="25"/>
  <c r="B833" i="25"/>
  <c r="C833" i="25"/>
  <c r="D833" i="25"/>
  <c r="E833" i="25"/>
  <c r="F833" i="25"/>
  <c r="G833" i="25"/>
  <c r="B832" i="25"/>
  <c r="C832" i="25"/>
  <c r="D832" i="25"/>
  <c r="H832" i="25" s="1"/>
  <c r="I832" i="25" s="1"/>
  <c r="E832" i="25"/>
  <c r="F832" i="25"/>
  <c r="G832" i="25"/>
  <c r="B831" i="25"/>
  <c r="C831" i="25"/>
  <c r="D831" i="25"/>
  <c r="E831" i="25"/>
  <c r="F831" i="25"/>
  <c r="G831" i="25"/>
  <c r="B830" i="25"/>
  <c r="C830" i="25"/>
  <c r="D830" i="25"/>
  <c r="E830" i="25"/>
  <c r="F830" i="25"/>
  <c r="G830" i="25"/>
  <c r="B829" i="25"/>
  <c r="C829" i="25"/>
  <c r="D829" i="25"/>
  <c r="E829" i="25"/>
  <c r="F829" i="25"/>
  <c r="G829" i="25"/>
  <c r="B828" i="25"/>
  <c r="C828" i="25"/>
  <c r="D828" i="25"/>
  <c r="E828" i="25"/>
  <c r="F828" i="25"/>
  <c r="G828" i="25"/>
  <c r="B827" i="25"/>
  <c r="C827" i="25"/>
  <c r="D827" i="25"/>
  <c r="E827" i="25"/>
  <c r="F827" i="25"/>
  <c r="G827" i="25"/>
  <c r="B826" i="25"/>
  <c r="C826" i="25"/>
  <c r="D826" i="25"/>
  <c r="E826" i="25"/>
  <c r="F826" i="25"/>
  <c r="G826" i="25"/>
  <c r="B825" i="25"/>
  <c r="C825" i="25"/>
  <c r="D825" i="25"/>
  <c r="E825" i="25"/>
  <c r="F825" i="25"/>
  <c r="G825" i="25"/>
  <c r="B824" i="25"/>
  <c r="C824" i="25"/>
  <c r="D824" i="25"/>
  <c r="E824" i="25"/>
  <c r="F824" i="25"/>
  <c r="G824" i="25"/>
  <c r="B823" i="25"/>
  <c r="C823" i="25"/>
  <c r="D823" i="25"/>
  <c r="E823" i="25"/>
  <c r="F821" i="25"/>
  <c r="F822" i="25" s="1"/>
  <c r="F823" i="25" s="1"/>
  <c r="G821" i="25"/>
  <c r="G822" i="25" s="1"/>
  <c r="G823" i="25" s="1"/>
  <c r="B822" i="25"/>
  <c r="C822" i="25"/>
  <c r="D822" i="25"/>
  <c r="E822" i="25"/>
  <c r="B821" i="25"/>
  <c r="C821" i="25"/>
  <c r="D821" i="25"/>
  <c r="E821" i="25"/>
  <c r="B820" i="25"/>
  <c r="C820" i="25"/>
  <c r="D820" i="25"/>
  <c r="E820" i="25"/>
  <c r="F820" i="25"/>
  <c r="G820" i="25"/>
  <c r="B819" i="25"/>
  <c r="C819" i="25"/>
  <c r="D818" i="25"/>
  <c r="D819" i="25" s="1"/>
  <c r="E818" i="25"/>
  <c r="E819" i="25" s="1"/>
  <c r="F819" i="25"/>
  <c r="G819" i="25"/>
  <c r="B818" i="25"/>
  <c r="C818" i="25"/>
  <c r="F818" i="25"/>
  <c r="G818" i="25"/>
  <c r="B817" i="25"/>
  <c r="C817" i="25"/>
  <c r="D817" i="25"/>
  <c r="E817" i="25"/>
  <c r="F817" i="25"/>
  <c r="G817" i="25"/>
  <c r="B816" i="25"/>
  <c r="C816" i="25"/>
  <c r="D816" i="25"/>
  <c r="E816" i="25"/>
  <c r="F816" i="25"/>
  <c r="G816" i="25"/>
  <c r="B815" i="25"/>
  <c r="C815" i="25"/>
  <c r="D815" i="25"/>
  <c r="E815" i="25"/>
  <c r="F815" i="25"/>
  <c r="G815" i="25"/>
  <c r="B814" i="25"/>
  <c r="C814" i="25"/>
  <c r="D814" i="25"/>
  <c r="E814" i="25"/>
  <c r="F814" i="25"/>
  <c r="G814" i="25"/>
  <c r="B813" i="25"/>
  <c r="C813" i="25"/>
  <c r="D813" i="25"/>
  <c r="E813" i="25"/>
  <c r="F813" i="25"/>
  <c r="G813" i="25"/>
  <c r="B812" i="25"/>
  <c r="C812" i="25"/>
  <c r="D812" i="25"/>
  <c r="E812" i="25"/>
  <c r="F812" i="25"/>
  <c r="G812" i="25"/>
  <c r="B811" i="25"/>
  <c r="C811" i="25"/>
  <c r="D811" i="25"/>
  <c r="E811" i="25"/>
  <c r="F810" i="25"/>
  <c r="F811" i="25" s="1"/>
  <c r="G810" i="25"/>
  <c r="G811" i="25" s="1"/>
  <c r="B810" i="25"/>
  <c r="C810" i="25"/>
  <c r="D810" i="25"/>
  <c r="E810" i="25"/>
  <c r="B809" i="25"/>
  <c r="C809" i="25"/>
  <c r="D809" i="25"/>
  <c r="E809" i="25"/>
  <c r="F809" i="25"/>
  <c r="G809" i="25"/>
  <c r="B808" i="25"/>
  <c r="C808" i="25"/>
  <c r="H808" i="25" s="1"/>
  <c r="D807" i="25"/>
  <c r="D808" i="25" s="1"/>
  <c r="E808" i="25"/>
  <c r="F808" i="25"/>
  <c r="G808" i="25"/>
  <c r="B807" i="25"/>
  <c r="C807" i="25"/>
  <c r="E807" i="25"/>
  <c r="F807" i="25"/>
  <c r="G807" i="25"/>
  <c r="B806" i="25"/>
  <c r="C806" i="25"/>
  <c r="D806" i="25"/>
  <c r="E806" i="25"/>
  <c r="F806" i="25"/>
  <c r="G806" i="25"/>
  <c r="B805" i="25"/>
  <c r="C805" i="25"/>
  <c r="D803" i="25"/>
  <c r="D804" i="25" s="1"/>
  <c r="E804" i="25"/>
  <c r="E805" i="25" s="1"/>
  <c r="F805" i="25"/>
  <c r="G805" i="25"/>
  <c r="B804" i="25"/>
  <c r="C804" i="25"/>
  <c r="F804" i="25"/>
  <c r="G804" i="25"/>
  <c r="B803" i="25"/>
  <c r="C803" i="25"/>
  <c r="E803" i="25"/>
  <c r="F803" i="25"/>
  <c r="G803" i="25"/>
  <c r="B802" i="25"/>
  <c r="C802" i="25"/>
  <c r="D802" i="25"/>
  <c r="E802" i="25"/>
  <c r="F802" i="25"/>
  <c r="G802" i="25"/>
  <c r="B801" i="25"/>
  <c r="C801" i="25"/>
  <c r="D801" i="25"/>
  <c r="E801" i="25"/>
  <c r="F801" i="25"/>
  <c r="G801" i="25"/>
  <c r="B800" i="25"/>
  <c r="C800" i="25"/>
  <c r="D800" i="25"/>
  <c r="E800" i="25"/>
  <c r="F800" i="25"/>
  <c r="G800" i="25"/>
  <c r="B799" i="25"/>
  <c r="C799" i="25"/>
  <c r="D799" i="25"/>
  <c r="E799" i="25"/>
  <c r="F799" i="25"/>
  <c r="G799" i="25"/>
  <c r="B798" i="25"/>
  <c r="C798" i="25"/>
  <c r="D798" i="25"/>
  <c r="E797" i="25"/>
  <c r="E798" i="25"/>
  <c r="F798" i="25"/>
  <c r="G798" i="25"/>
  <c r="B797" i="25"/>
  <c r="C797" i="25"/>
  <c r="D797" i="25"/>
  <c r="F797" i="25"/>
  <c r="G797" i="25"/>
  <c r="B796" i="25"/>
  <c r="C796" i="25"/>
  <c r="D796" i="25"/>
  <c r="E796" i="25"/>
  <c r="F796" i="25"/>
  <c r="G796" i="25"/>
  <c r="B795" i="25"/>
  <c r="C795" i="25"/>
  <c r="D795" i="25"/>
  <c r="E795" i="25"/>
  <c r="F793" i="25"/>
  <c r="F794" i="25" s="1"/>
  <c r="F795" i="25" s="1"/>
  <c r="G793" i="25"/>
  <c r="G794" i="25" s="1"/>
  <c r="G795" i="25" s="1"/>
  <c r="B794" i="25"/>
  <c r="C794" i="25"/>
  <c r="D794" i="25"/>
  <c r="E794" i="25"/>
  <c r="B793" i="25"/>
  <c r="C793" i="25"/>
  <c r="D793" i="25"/>
  <c r="E793" i="25"/>
  <c r="B792" i="25"/>
  <c r="C792" i="25"/>
  <c r="D792" i="25"/>
  <c r="E792" i="25"/>
  <c r="F792" i="25"/>
  <c r="G792" i="25"/>
  <c r="B791" i="25"/>
  <c r="C791" i="25"/>
  <c r="D791" i="25"/>
  <c r="E791" i="25"/>
  <c r="F791" i="25"/>
  <c r="G791" i="25"/>
  <c r="B790" i="25"/>
  <c r="C790" i="25"/>
  <c r="D790" i="25"/>
  <c r="E790" i="25"/>
  <c r="F790" i="25"/>
  <c r="G790" i="25"/>
  <c r="B789" i="25"/>
  <c r="C789" i="25"/>
  <c r="D789" i="25"/>
  <c r="E789" i="25"/>
  <c r="F789" i="25"/>
  <c r="G789" i="25"/>
  <c r="B788" i="25"/>
  <c r="C788" i="25"/>
  <c r="D788" i="25"/>
  <c r="E788" i="25"/>
  <c r="H788" i="25" s="1"/>
  <c r="I788" i="25" s="1"/>
  <c r="F788" i="25"/>
  <c r="G788" i="25"/>
  <c r="B787" i="25"/>
  <c r="C787" i="25"/>
  <c r="D787" i="25"/>
  <c r="E786" i="25"/>
  <c r="E787" i="25" s="1"/>
  <c r="F787" i="25"/>
  <c r="G787" i="25"/>
  <c r="H787" i="25"/>
  <c r="I787" i="25" s="1"/>
  <c r="B786" i="25"/>
  <c r="C786" i="25"/>
  <c r="D786" i="25"/>
  <c r="F786" i="25"/>
  <c r="G786" i="25"/>
  <c r="B785" i="25"/>
  <c r="C785" i="25"/>
  <c r="D785" i="25"/>
  <c r="E785" i="25"/>
  <c r="F785" i="25"/>
  <c r="G785" i="25"/>
  <c r="B784" i="25"/>
  <c r="C784" i="25"/>
  <c r="D784" i="25"/>
  <c r="E784" i="25"/>
  <c r="F784" i="25"/>
  <c r="G784" i="25"/>
  <c r="B783" i="25"/>
  <c r="C783" i="25"/>
  <c r="D783" i="25"/>
  <c r="E783" i="25"/>
  <c r="F783" i="25"/>
  <c r="G783" i="25"/>
  <c r="B782" i="25"/>
  <c r="C782" i="25"/>
  <c r="D782" i="25"/>
  <c r="E782" i="25"/>
  <c r="H782" i="25" s="1"/>
  <c r="I782" i="25" s="1"/>
  <c r="F782" i="25"/>
  <c r="G782" i="25"/>
  <c r="B781" i="25"/>
  <c r="C781" i="25"/>
  <c r="D781" i="25"/>
  <c r="E781" i="25"/>
  <c r="F781" i="25"/>
  <c r="G781" i="25"/>
  <c r="B780" i="25"/>
  <c r="C780" i="25"/>
  <c r="D780" i="25"/>
  <c r="H780" i="25" s="1"/>
  <c r="E780" i="25"/>
  <c r="F780" i="25"/>
  <c r="G780" i="25"/>
  <c r="B779" i="25"/>
  <c r="C779" i="25"/>
  <c r="D779" i="25"/>
  <c r="E779" i="25"/>
  <c r="F779" i="25"/>
  <c r="G779" i="25"/>
  <c r="B778" i="25"/>
  <c r="C778" i="25"/>
  <c r="D778" i="25"/>
  <c r="H778" i="25" s="1"/>
  <c r="E778" i="25"/>
  <c r="F778" i="25"/>
  <c r="G778" i="25"/>
  <c r="B777" i="25"/>
  <c r="C777" i="25"/>
  <c r="D777" i="25"/>
  <c r="E777" i="25"/>
  <c r="F777" i="25"/>
  <c r="G777" i="25"/>
  <c r="B3" i="25"/>
  <c r="CO2" i="25"/>
  <c r="CN2" i="25"/>
  <c r="CM2" i="25"/>
  <c r="CI2" i="25"/>
  <c r="CH2" i="25"/>
  <c r="CG2" i="25"/>
  <c r="CC2" i="25"/>
  <c r="CB2" i="25"/>
  <c r="CA2" i="25"/>
  <c r="BW2" i="25"/>
  <c r="BV2" i="25"/>
  <c r="BU2" i="25"/>
  <c r="BJ2" i="25"/>
  <c r="BI2" i="25"/>
  <c r="BH2" i="25"/>
  <c r="BD2" i="25"/>
  <c r="BC2" i="25"/>
  <c r="BB2" i="25"/>
  <c r="AW2" i="25"/>
  <c r="AV2" i="25"/>
  <c r="AU2" i="25"/>
  <c r="AQ2" i="25"/>
  <c r="AP2" i="25"/>
  <c r="AO2" i="25"/>
  <c r="AK2" i="25"/>
  <c r="AJ2" i="25"/>
  <c r="AI2" i="25"/>
  <c r="AE2" i="25"/>
  <c r="AD2" i="25"/>
  <c r="AC2" i="25"/>
  <c r="Y2" i="25"/>
  <c r="X2" i="25"/>
  <c r="W2" i="25"/>
  <c r="Q2" i="25"/>
  <c r="P2" i="25"/>
  <c r="O2" i="25"/>
  <c r="Y87" i="24"/>
  <c r="X87" i="24"/>
  <c r="L78" i="24"/>
  <c r="Z77" i="24"/>
  <c r="Z78" i="24" s="1"/>
  <c r="Y77" i="24"/>
  <c r="Y78" i="24" s="1"/>
  <c r="X77" i="24"/>
  <c r="X78" i="24" s="1"/>
  <c r="W77" i="24"/>
  <c r="W78" i="24" s="1"/>
  <c r="S77" i="24"/>
  <c r="S78" i="24" s="1"/>
  <c r="R77" i="24"/>
  <c r="R78" i="24" s="1"/>
  <c r="Q77" i="24"/>
  <c r="Q78" i="24" s="1"/>
  <c r="P77" i="24"/>
  <c r="P78" i="24" s="1"/>
  <c r="M77" i="24"/>
  <c r="M78" i="24" s="1"/>
  <c r="L77" i="24"/>
  <c r="J77" i="24"/>
  <c r="J78" i="24" s="1"/>
  <c r="I77" i="24"/>
  <c r="I78" i="24" s="1"/>
  <c r="V75" i="24"/>
  <c r="O75" i="24"/>
  <c r="H75" i="24"/>
  <c r="V74" i="24"/>
  <c r="O74" i="24"/>
  <c r="H74" i="24"/>
  <c r="V72" i="24"/>
  <c r="O72" i="24"/>
  <c r="H72" i="24"/>
  <c r="V70" i="24"/>
  <c r="O70" i="24"/>
  <c r="H70" i="24"/>
  <c r="V68" i="24"/>
  <c r="O68" i="24"/>
  <c r="H68" i="24"/>
  <c r="V67" i="24"/>
  <c r="O67" i="24"/>
  <c r="H67" i="24"/>
  <c r="V66" i="24"/>
  <c r="O66" i="24"/>
  <c r="H66" i="24"/>
  <c r="V65" i="24"/>
  <c r="O65" i="24"/>
  <c r="H65" i="24"/>
  <c r="V64" i="24"/>
  <c r="O64" i="24"/>
  <c r="H64" i="24"/>
  <c r="V63" i="24"/>
  <c r="O63" i="24"/>
  <c r="H63" i="24"/>
  <c r="V62" i="24"/>
  <c r="O62" i="24"/>
  <c r="H62" i="24"/>
  <c r="V20" i="24"/>
  <c r="S20" i="24"/>
  <c r="R20" i="24"/>
  <c r="Q20" i="24"/>
  <c r="P20" i="24"/>
  <c r="O20" i="24"/>
  <c r="N20" i="24"/>
  <c r="M20" i="24"/>
  <c r="L20" i="24"/>
  <c r="J20" i="24"/>
  <c r="I20" i="24"/>
  <c r="H20" i="24"/>
  <c r="G20" i="24"/>
  <c r="V19" i="24"/>
  <c r="S19" i="24"/>
  <c r="R19" i="24"/>
  <c r="Q19" i="24"/>
  <c r="P19" i="24"/>
  <c r="O19" i="24"/>
  <c r="N19" i="24"/>
  <c r="M19" i="24"/>
  <c r="L19" i="24"/>
  <c r="J19" i="24"/>
  <c r="I19" i="24"/>
  <c r="H19" i="24"/>
  <c r="G19" i="24"/>
  <c r="W18" i="24"/>
  <c r="V18" i="24"/>
  <c r="V23" i="24" s="1"/>
  <c r="V28" i="24" s="1"/>
  <c r="S18" i="24"/>
  <c r="R18" i="24"/>
  <c r="Q18" i="24"/>
  <c r="P18" i="24"/>
  <c r="O18" i="24"/>
  <c r="N18" i="24"/>
  <c r="M18" i="24"/>
  <c r="L18" i="24"/>
  <c r="J18" i="24"/>
  <c r="I18" i="24"/>
  <c r="H18" i="24"/>
  <c r="G18" i="24"/>
  <c r="V17" i="24"/>
  <c r="S17" i="24"/>
  <c r="R17" i="24"/>
  <c r="Q17" i="24"/>
  <c r="P17" i="24"/>
  <c r="O17" i="24"/>
  <c r="N17" i="24"/>
  <c r="M17" i="24"/>
  <c r="L17" i="24"/>
  <c r="J17" i="24"/>
  <c r="I17" i="24"/>
  <c r="H17" i="24"/>
  <c r="G17" i="24"/>
  <c r="W16" i="24"/>
  <c r="V16" i="24"/>
  <c r="S16" i="24"/>
  <c r="R16" i="24"/>
  <c r="Q16" i="24"/>
  <c r="P16" i="24"/>
  <c r="O16" i="24"/>
  <c r="N16" i="24"/>
  <c r="M16" i="24"/>
  <c r="L16" i="24"/>
  <c r="J16" i="24"/>
  <c r="I16" i="24"/>
  <c r="H16" i="24"/>
  <c r="G16" i="24"/>
  <c r="W15" i="24"/>
  <c r="V15" i="24"/>
  <c r="S15" i="24"/>
  <c r="R15" i="24"/>
  <c r="Q15" i="24"/>
  <c r="P15" i="24"/>
  <c r="O15" i="24"/>
  <c r="N15" i="24"/>
  <c r="M15" i="24"/>
  <c r="L15" i="24"/>
  <c r="J15" i="24"/>
  <c r="I15" i="24"/>
  <c r="H15" i="24"/>
  <c r="G15" i="24"/>
  <c r="K32" i="17"/>
  <c r="K29" i="17"/>
  <c r="F11" i="17"/>
  <c r="P4" i="17"/>
  <c r="O4" i="17"/>
  <c r="N4" i="17"/>
  <c r="M4" i="17"/>
  <c r="L4" i="17"/>
  <c r="M3" i="17"/>
  <c r="N3" i="17" s="1"/>
  <c r="O3" i="17" s="1"/>
  <c r="H285" i="6"/>
  <c r="K27" i="6"/>
  <c r="I248" i="6"/>
  <c r="M247" i="6"/>
  <c r="L27" i="6"/>
  <c r="M246" i="6"/>
  <c r="L247" i="6"/>
  <c r="L152" i="6"/>
  <c r="K148" i="6"/>
  <c r="M152" i="6"/>
  <c r="I27" i="6"/>
  <c r="M148" i="6"/>
  <c r="J27" i="6"/>
  <c r="L244" i="6"/>
  <c r="AP40" i="6"/>
  <c r="M27" i="6"/>
  <c r="K76" i="6"/>
  <c r="K248" i="6"/>
  <c r="J246" i="6"/>
  <c r="L248" i="6"/>
  <c r="I244" i="6"/>
  <c r="K246" i="6"/>
  <c r="J244" i="6"/>
  <c r="J76" i="6"/>
  <c r="M146" i="6"/>
  <c r="M147" i="6"/>
  <c r="K145" i="6"/>
  <c r="K149" i="6"/>
  <c r="K146" i="6"/>
  <c r="M145" i="6"/>
  <c r="AH39" i="6"/>
  <c r="K139" i="6"/>
  <c r="L139" i="6"/>
  <c r="AZ40" i="6"/>
  <c r="BO51" i="7"/>
  <c r="BO55" i="7" s="1"/>
  <c r="BE51" i="7"/>
  <c r="BE55" i="7" s="1"/>
  <c r="AI144" i="5"/>
  <c r="AI18" i="5"/>
  <c r="AI14" i="5"/>
  <c r="AR27" i="5"/>
  <c r="F44" i="7"/>
  <c r="AB32" i="5"/>
  <c r="BV13" i="5"/>
  <c r="AN32" i="5"/>
  <c r="C15" i="5"/>
  <c r="F1" i="7"/>
  <c r="F1" i="6"/>
  <c r="D10" i="7"/>
  <c r="AV43" i="5"/>
  <c r="AV58" i="5" s="1"/>
  <c r="M179" i="5"/>
  <c r="G1" i="6"/>
  <c r="G1" i="7"/>
  <c r="BI51" i="7"/>
  <c r="BI55" i="7" s="1"/>
  <c r="BJ5" i="5"/>
  <c r="BK5" i="5"/>
  <c r="BW5" i="5"/>
  <c r="AQ7" i="5"/>
  <c r="AM10" i="5"/>
  <c r="AC15" i="5"/>
  <c r="BQ17" i="5"/>
  <c r="BO17" i="5"/>
  <c r="CA17" i="5"/>
  <c r="AK210" i="5"/>
  <c r="J44" i="7"/>
  <c r="H17" i="5"/>
  <c r="H21" i="5"/>
  <c r="AL210" i="5"/>
  <c r="AR10" i="5"/>
  <c r="AO15" i="5"/>
  <c r="I17" i="5"/>
  <c r="I21" i="5"/>
  <c r="AJ241" i="5"/>
  <c r="L16" i="7"/>
  <c r="AR37" i="5"/>
  <c r="BR29" i="5"/>
  <c r="AH7" i="5"/>
  <c r="AT7" i="5"/>
  <c r="BQ5" i="5"/>
  <c r="AJ43" i="5"/>
  <c r="AJ58" i="5" s="1"/>
  <c r="BR5" i="5"/>
  <c r="BK13" i="5"/>
  <c r="AK43" i="5"/>
  <c r="C43" i="5"/>
  <c r="BJ52" i="5"/>
  <c r="BI52" i="5"/>
  <c r="AB43" i="5"/>
  <c r="AN43" i="5"/>
  <c r="D1" i="7"/>
  <c r="D1" i="6"/>
  <c r="K218" i="5"/>
  <c r="AJ218" i="5"/>
  <c r="AV218" i="5"/>
  <c r="E10" i="7"/>
  <c r="BM13" i="5"/>
  <c r="BY13" i="5"/>
  <c r="E15" i="5"/>
  <c r="AD15" i="5"/>
  <c r="AP15" i="5"/>
  <c r="BT17" i="5"/>
  <c r="BU29" i="5"/>
  <c r="AA32" i="5"/>
  <c r="AM32" i="5"/>
  <c r="AS37" i="5"/>
  <c r="M46" i="7"/>
  <c r="M56" i="5"/>
  <c r="F10" i="7"/>
  <c r="F15" i="5"/>
  <c r="AE15" i="5"/>
  <c r="AQ15" i="5"/>
  <c r="BI17" i="5"/>
  <c r="BU17" i="5"/>
  <c r="AR30" i="5"/>
  <c r="G10" i="7"/>
  <c r="G46" i="6"/>
  <c r="BO13" i="5"/>
  <c r="CA13" i="5"/>
  <c r="G15" i="5"/>
  <c r="AF15" i="5"/>
  <c r="AR15" i="5"/>
  <c r="BJ17" i="5"/>
  <c r="BV17" i="5"/>
  <c r="BX36" i="5"/>
  <c r="AA242" i="5"/>
  <c r="H10" i="7"/>
  <c r="H46" i="6"/>
  <c r="BP13" i="5"/>
  <c r="H15" i="5"/>
  <c r="AG15" i="5"/>
  <c r="AS15" i="5"/>
  <c r="BL29" i="5"/>
  <c r="AD32" i="5"/>
  <c r="AP32" i="5"/>
  <c r="AN241" i="5"/>
  <c r="K237" i="5"/>
  <c r="L240" i="5" s="1"/>
  <c r="L235" i="5"/>
  <c r="K101" i="5"/>
  <c r="I10" i="7"/>
  <c r="I15" i="5"/>
  <c r="AH15" i="5"/>
  <c r="AT15" i="5"/>
  <c r="D15" i="7"/>
  <c r="AI30" i="5"/>
  <c r="AE32" i="5"/>
  <c r="AQ32" i="5"/>
  <c r="AQ39" i="5" s="1"/>
  <c r="J10" i="7"/>
  <c r="AI58" i="5"/>
  <c r="AI59" i="5" s="1"/>
  <c r="AU58" i="5"/>
  <c r="J15" i="5"/>
  <c r="AI15" i="5"/>
  <c r="AU15" i="5"/>
  <c r="E15" i="7"/>
  <c r="F16" i="7"/>
  <c r="AD241" i="5"/>
  <c r="BW63" i="5"/>
  <c r="K10" i="7"/>
  <c r="K15" i="5"/>
  <c r="AJ15" i="5"/>
  <c r="AV15" i="5"/>
  <c r="F15" i="7"/>
  <c r="G16" i="7"/>
  <c r="AG32" i="5"/>
  <c r="AR47" i="5"/>
  <c r="BL63" i="5"/>
  <c r="AA208" i="5"/>
  <c r="BI69" i="5"/>
  <c r="AM208" i="5"/>
  <c r="BU69" i="5"/>
  <c r="BT69" i="5"/>
  <c r="F111" i="5"/>
  <c r="AE111" i="5"/>
  <c r="AQ111" i="5"/>
  <c r="AQ166" i="5" s="1"/>
  <c r="H111" i="5"/>
  <c r="H166" i="5" s="1"/>
  <c r="I161" i="5" s="1"/>
  <c r="L10" i="7"/>
  <c r="L15" i="5"/>
  <c r="AK15" i="5"/>
  <c r="AW15" i="5"/>
  <c r="G15" i="7"/>
  <c r="AH32" i="5"/>
  <c r="AT32" i="5"/>
  <c r="AG207" i="5"/>
  <c r="AS207" i="5"/>
  <c r="BU46" i="5"/>
  <c r="BO55" i="5"/>
  <c r="CA55" i="5"/>
  <c r="BV63" i="5"/>
  <c r="M10" i="7"/>
  <c r="BI13" i="5"/>
  <c r="BU13" i="5"/>
  <c r="BY15" i="5" s="1"/>
  <c r="AR14" i="5"/>
  <c r="M15" i="5"/>
  <c r="AL15" i="5"/>
  <c r="I16" i="7"/>
  <c r="AI32" i="5"/>
  <c r="AU32" i="5"/>
  <c r="BV46" i="5"/>
  <c r="BP55" i="5"/>
  <c r="AI10" i="5"/>
  <c r="AS14" i="5"/>
  <c r="AA15" i="5"/>
  <c r="AM15" i="5"/>
  <c r="J16" i="7"/>
  <c r="E32" i="5"/>
  <c r="AJ32" i="5"/>
  <c r="AV32" i="5"/>
  <c r="AI47" i="5"/>
  <c r="BT52" i="5"/>
  <c r="BS52" i="5"/>
  <c r="BL52" i="5"/>
  <c r="BX52" i="5"/>
  <c r="AR53" i="5"/>
  <c r="BJ55" i="5"/>
  <c r="AP93" i="5"/>
  <c r="AR153" i="5"/>
  <c r="AB218" i="5"/>
  <c r="AN218" i="5"/>
  <c r="AH56" i="5"/>
  <c r="AT56" i="5"/>
  <c r="BQ63" i="5"/>
  <c r="AE208" i="5"/>
  <c r="BM69" i="5"/>
  <c r="AQ208" i="5"/>
  <c r="BY69" i="5"/>
  <c r="AW50" i="5"/>
  <c r="AW241" i="5" s="1"/>
  <c r="D218" i="5"/>
  <c r="AC218" i="5"/>
  <c r="BV69" i="5"/>
  <c r="G93" i="5"/>
  <c r="E161" i="5"/>
  <c r="E46" i="7"/>
  <c r="E218" i="5"/>
  <c r="AD218" i="5"/>
  <c r="AP218" i="5"/>
  <c r="AG208" i="5"/>
  <c r="BO69" i="5"/>
  <c r="AS208" i="5"/>
  <c r="CA69" i="5"/>
  <c r="AS93" i="5"/>
  <c r="J182" i="5"/>
  <c r="J226" i="5"/>
  <c r="J125" i="5"/>
  <c r="AI226" i="5"/>
  <c r="AI182" i="5"/>
  <c r="AU226" i="5"/>
  <c r="AU182" i="5"/>
  <c r="L227" i="5"/>
  <c r="L125" i="5"/>
  <c r="AW129" i="5"/>
  <c r="AX132" i="5"/>
  <c r="AZ132" i="5" s="1"/>
  <c r="N132" i="5" s="1"/>
  <c r="O132" i="5" s="1"/>
  <c r="P132" i="5" s="1"/>
  <c r="Q132" i="5" s="1"/>
  <c r="R132" i="5" s="1"/>
  <c r="S132" i="5" s="1"/>
  <c r="F46" i="7"/>
  <c r="F218" i="5"/>
  <c r="AE218" i="5"/>
  <c r="AQ218" i="5"/>
  <c r="BZ69" i="5"/>
  <c r="G225" i="5"/>
  <c r="G247" i="5" s="1"/>
  <c r="AF225" i="5"/>
  <c r="AF247" i="5" s="1"/>
  <c r="AR120" i="5"/>
  <c r="AT216" i="5"/>
  <c r="AV217" i="5"/>
  <c r="K182" i="5"/>
  <c r="K226" i="5"/>
  <c r="K125" i="5"/>
  <c r="AJ226" i="5"/>
  <c r="AJ182" i="5"/>
  <c r="AJ125" i="5"/>
  <c r="AV226" i="5"/>
  <c r="AV182" i="5"/>
  <c r="AV125" i="5"/>
  <c r="M227" i="5"/>
  <c r="M125" i="5"/>
  <c r="AO207" i="5"/>
  <c r="G218" i="5"/>
  <c r="AF218" i="5"/>
  <c r="AR218" i="5"/>
  <c r="AG237" i="5"/>
  <c r="AH240" i="5" s="1"/>
  <c r="AH235" i="5"/>
  <c r="AS237" i="5"/>
  <c r="AT240" i="5" s="1"/>
  <c r="L213" i="5"/>
  <c r="AK213" i="5"/>
  <c r="AW213" i="5"/>
  <c r="AM214" i="5"/>
  <c r="D215" i="5"/>
  <c r="AC215" i="5"/>
  <c r="AO215" i="5"/>
  <c r="H193" i="5"/>
  <c r="H120" i="5"/>
  <c r="AG193" i="5"/>
  <c r="AG120" i="5"/>
  <c r="AG119" i="5" s="1"/>
  <c r="AS193" i="5"/>
  <c r="AS120" i="5"/>
  <c r="AW217" i="5"/>
  <c r="H218" i="5"/>
  <c r="AG218" i="5"/>
  <c r="AS218" i="5"/>
  <c r="AM56" i="5"/>
  <c r="H237" i="5"/>
  <c r="I240" i="5" s="1"/>
  <c r="I46" i="7"/>
  <c r="I218" i="5"/>
  <c r="AH218" i="5"/>
  <c r="AT218" i="5"/>
  <c r="C56" i="5"/>
  <c r="AK208" i="5"/>
  <c r="BS69" i="5"/>
  <c r="BR69" i="5"/>
  <c r="AI237" i="5"/>
  <c r="AJ240" i="5" s="1"/>
  <c r="AJ242" i="5" s="1"/>
  <c r="AJ235" i="5"/>
  <c r="AI101" i="5"/>
  <c r="AU237" i="5"/>
  <c r="AV240" i="5" s="1"/>
  <c r="AV242" i="5" s="1"/>
  <c r="AV235" i="5"/>
  <c r="AU101" i="5"/>
  <c r="AA213" i="5"/>
  <c r="AM213" i="5"/>
  <c r="D214" i="5"/>
  <c r="D101" i="5"/>
  <c r="D66" i="7" s="1"/>
  <c r="AC214" i="5"/>
  <c r="AC101" i="5"/>
  <c r="AO214" i="5"/>
  <c r="AO101" i="5"/>
  <c r="F215" i="5"/>
  <c r="D109" i="5"/>
  <c r="AR207" i="5"/>
  <c r="J46" i="7"/>
  <c r="J218" i="5"/>
  <c r="AI218" i="5"/>
  <c r="AU218" i="5"/>
  <c r="AL208" i="5"/>
  <c r="BJ69" i="5"/>
  <c r="BJ76" i="5"/>
  <c r="K235" i="5"/>
  <c r="J237" i="5"/>
  <c r="K240" i="5" s="1"/>
  <c r="J101" i="5"/>
  <c r="AK235" i="5"/>
  <c r="AJ237" i="5"/>
  <c r="AK240" i="5" s="1"/>
  <c r="AJ101" i="5"/>
  <c r="AW235" i="5"/>
  <c r="AV237" i="5"/>
  <c r="AW240" i="5" s="1"/>
  <c r="AW242" i="5" s="1"/>
  <c r="AV101" i="5"/>
  <c r="C101" i="5"/>
  <c r="AB213" i="5"/>
  <c r="AN213" i="5"/>
  <c r="AN101" i="5"/>
  <c r="E214" i="5"/>
  <c r="AD214" i="5"/>
  <c r="AP214" i="5"/>
  <c r="G215" i="5"/>
  <c r="G101" i="5"/>
  <c r="AF215" i="5"/>
  <c r="AF101" i="5"/>
  <c r="AR146" i="5"/>
  <c r="AR215" i="5"/>
  <c r="AR101" i="5"/>
  <c r="AC111" i="5"/>
  <c r="AC166" i="5" s="1"/>
  <c r="AD161" i="5" s="1"/>
  <c r="AF170" i="5"/>
  <c r="AG169" i="5"/>
  <c r="AG170" i="5" s="1"/>
  <c r="AH207" i="5"/>
  <c r="L218" i="5"/>
  <c r="AK218" i="5"/>
  <c r="F56" i="5"/>
  <c r="AE56" i="5"/>
  <c r="AQ56" i="5"/>
  <c r="BN69" i="5"/>
  <c r="G111" i="5"/>
  <c r="AF111" i="5"/>
  <c r="AR111" i="5"/>
  <c r="AJ93" i="5"/>
  <c r="AV93" i="5"/>
  <c r="I237" i="5"/>
  <c r="J240" i="5" s="1"/>
  <c r="J242" i="5" s="1"/>
  <c r="J235" i="5"/>
  <c r="AH237" i="5"/>
  <c r="AI240" i="5" s="1"/>
  <c r="AI235" i="5"/>
  <c r="AT237" i="5"/>
  <c r="AU240" i="5" s="1"/>
  <c r="AU235" i="5"/>
  <c r="M213" i="5"/>
  <c r="AL213" i="5"/>
  <c r="AB214" i="5"/>
  <c r="AN214" i="5"/>
  <c r="E215" i="5"/>
  <c r="AD215" i="5"/>
  <c r="AP215" i="5"/>
  <c r="AC161" i="5"/>
  <c r="AO161" i="5"/>
  <c r="I222" i="5"/>
  <c r="AB222" i="5"/>
  <c r="AN222" i="5"/>
  <c r="F225" i="5"/>
  <c r="F247" i="5" s="1"/>
  <c r="F193" i="5"/>
  <c r="G189" i="5" s="1"/>
  <c r="AE225" i="5"/>
  <c r="AE193" i="5"/>
  <c r="AQ225" i="5"/>
  <c r="AQ247" i="5" s="1"/>
  <c r="AQ193" i="5"/>
  <c r="AG216" i="5"/>
  <c r="AS216" i="5"/>
  <c r="J217" i="5"/>
  <c r="AI217" i="5"/>
  <c r="AI149" i="5"/>
  <c r="BL69" i="5"/>
  <c r="BX69" i="5"/>
  <c r="M235" i="5"/>
  <c r="L237" i="5"/>
  <c r="M240" i="5" s="1"/>
  <c r="AK237" i="5"/>
  <c r="AL240" i="5" s="1"/>
  <c r="AL235" i="5"/>
  <c r="AX235" i="5"/>
  <c r="AW237" i="5"/>
  <c r="AX240" i="5" s="1"/>
  <c r="AX242" i="5" s="1"/>
  <c r="AX49" i="5" s="1"/>
  <c r="AZ49" i="5" s="1"/>
  <c r="D213" i="5"/>
  <c r="AC213" i="5"/>
  <c r="AO213" i="5"/>
  <c r="F214" i="5"/>
  <c r="AE214" i="5"/>
  <c r="AQ214" i="5"/>
  <c r="H215" i="5"/>
  <c r="AG215" i="5"/>
  <c r="AS215" i="5"/>
  <c r="AE222" i="5"/>
  <c r="AQ222" i="5"/>
  <c r="AQ120" i="5"/>
  <c r="I193" i="5"/>
  <c r="AH193" i="5"/>
  <c r="AH225" i="5"/>
  <c r="AH247" i="5" s="1"/>
  <c r="AT225" i="5"/>
  <c r="AT193" i="5"/>
  <c r="K216" i="5"/>
  <c r="AJ216" i="5"/>
  <c r="AW226" i="5"/>
  <c r="AN93" i="5"/>
  <c r="M237" i="5"/>
  <c r="N240" i="5" s="1"/>
  <c r="N235" i="5"/>
  <c r="M142" i="5"/>
  <c r="AL237" i="5"/>
  <c r="AM240" i="5" s="1"/>
  <c r="AM235" i="5"/>
  <c r="AD213" i="5"/>
  <c r="AP213" i="5"/>
  <c r="G214" i="5"/>
  <c r="AF214" i="5"/>
  <c r="AR214" i="5"/>
  <c r="I215" i="5"/>
  <c r="AH215" i="5"/>
  <c r="AT215" i="5"/>
  <c r="J76" i="7"/>
  <c r="J225" i="5"/>
  <c r="J247" i="5" s="1"/>
  <c r="J193" i="5"/>
  <c r="AI225" i="5"/>
  <c r="AI193" i="5"/>
  <c r="AA237" i="5"/>
  <c r="AB240" i="5" s="1"/>
  <c r="AB235" i="5"/>
  <c r="AM237" i="5"/>
  <c r="AN240" i="5" s="1"/>
  <c r="AN235" i="5"/>
  <c r="AE213" i="5"/>
  <c r="AQ213" i="5"/>
  <c r="AG214" i="5"/>
  <c r="AS214" i="5"/>
  <c r="J215" i="5"/>
  <c r="AI215" i="5"/>
  <c r="AI146" i="5"/>
  <c r="AU215" i="5"/>
  <c r="AG222" i="5"/>
  <c r="AS222" i="5"/>
  <c r="AJ120" i="5"/>
  <c r="AJ119" i="5" s="1"/>
  <c r="AV120" i="5"/>
  <c r="AV119" i="5" s="1"/>
  <c r="AB129" i="5"/>
  <c r="AN129" i="5"/>
  <c r="AC129" i="5"/>
  <c r="AO129" i="5"/>
  <c r="E174" i="5"/>
  <c r="E36" i="5" s="1"/>
  <c r="E210" i="5" s="1"/>
  <c r="H164" i="5"/>
  <c r="M101" i="5"/>
  <c r="AL101" i="5"/>
  <c r="D235" i="5"/>
  <c r="AN237" i="5"/>
  <c r="AO240" i="5" s="1"/>
  <c r="AO235" i="5"/>
  <c r="G213" i="5"/>
  <c r="AR213" i="5"/>
  <c r="I214" i="5"/>
  <c r="AH214" i="5"/>
  <c r="AT214" i="5"/>
  <c r="K215" i="5"/>
  <c r="AJ215" i="5"/>
  <c r="AV215" i="5"/>
  <c r="AV146" i="5"/>
  <c r="AH222" i="5"/>
  <c r="AT222" i="5"/>
  <c r="L225" i="5"/>
  <c r="L247" i="5" s="1"/>
  <c r="L193" i="5"/>
  <c r="AK225" i="5"/>
  <c r="AK193" i="5"/>
  <c r="B19" i="8"/>
  <c r="AW225" i="5"/>
  <c r="AW247" i="5" s="1"/>
  <c r="AW193" i="5"/>
  <c r="AX189" i="5" s="1"/>
  <c r="AX246" i="5" s="1"/>
  <c r="D184" i="5"/>
  <c r="D185" i="5" s="1"/>
  <c r="D201" i="5" s="1"/>
  <c r="C184" i="5"/>
  <c r="C185" i="5" s="1"/>
  <c r="C201" i="5" s="1"/>
  <c r="D179" i="5"/>
  <c r="E129" i="5"/>
  <c r="AA101" i="5"/>
  <c r="AM101" i="5"/>
  <c r="D237" i="5"/>
  <c r="E240" i="5" s="1"/>
  <c r="E235" i="5"/>
  <c r="AC237" i="5"/>
  <c r="AD240" i="5" s="1"/>
  <c r="AD235" i="5"/>
  <c r="AO237" i="5"/>
  <c r="AP240" i="5" s="1"/>
  <c r="AP235" i="5"/>
  <c r="H213" i="5"/>
  <c r="AG213" i="5"/>
  <c r="AS213" i="5"/>
  <c r="J214" i="5"/>
  <c r="L215" i="5"/>
  <c r="AK215" i="5"/>
  <c r="AI222" i="5"/>
  <c r="AU222" i="5"/>
  <c r="F120" i="5"/>
  <c r="F64" i="7" s="1"/>
  <c r="AD237" i="5"/>
  <c r="AE240" i="5" s="1"/>
  <c r="AE235" i="5"/>
  <c r="AP237" i="5"/>
  <c r="AQ240" i="5" s="1"/>
  <c r="AQ235" i="5"/>
  <c r="I213" i="5"/>
  <c r="AH213" i="5"/>
  <c r="AT213" i="5"/>
  <c r="AT153" i="5"/>
  <c r="K214" i="5"/>
  <c r="AJ214" i="5"/>
  <c r="AJ212" i="5" s="1"/>
  <c r="AV214" i="5"/>
  <c r="M215" i="5"/>
  <c r="AL215" i="5"/>
  <c r="AL146" i="5"/>
  <c r="E222" i="5"/>
  <c r="AJ222" i="5"/>
  <c r="AV222" i="5"/>
  <c r="AZ222" i="5" s="1"/>
  <c r="AA225" i="5"/>
  <c r="AA247" i="5" s="1"/>
  <c r="AA193" i="5"/>
  <c r="AM225" i="5"/>
  <c r="AM193" i="5"/>
  <c r="D216" i="5"/>
  <c r="AC216" i="5"/>
  <c r="AO216" i="5"/>
  <c r="F217" i="5"/>
  <c r="AE217" i="5"/>
  <c r="AQ217" i="5"/>
  <c r="AE179" i="5"/>
  <c r="AE181" i="5"/>
  <c r="AQ179" i="5"/>
  <c r="AQ181" i="5"/>
  <c r="AI154" i="5"/>
  <c r="F237" i="5"/>
  <c r="G240" i="5" s="1"/>
  <c r="G242" i="5" s="1"/>
  <c r="G235" i="5"/>
  <c r="J213" i="5"/>
  <c r="AI213" i="5"/>
  <c r="AI153" i="5"/>
  <c r="AU213" i="5"/>
  <c r="L214" i="5"/>
  <c r="AK214" i="5"/>
  <c r="AW214" i="5"/>
  <c r="AM215" i="5"/>
  <c r="AX161" i="5"/>
  <c r="F222" i="5"/>
  <c r="AK222" i="5"/>
  <c r="AW222" i="5"/>
  <c r="AB193" i="5"/>
  <c r="AB200" i="5" s="1"/>
  <c r="AB120" i="5"/>
  <c r="AB225" i="5"/>
  <c r="AN193" i="5"/>
  <c r="AN120" i="5"/>
  <c r="AN119" i="5" s="1"/>
  <c r="E216" i="5"/>
  <c r="AP216" i="5"/>
  <c r="G217" i="5"/>
  <c r="AR217" i="5"/>
  <c r="AR149" i="5"/>
  <c r="AD101" i="5"/>
  <c r="AP101" i="5"/>
  <c r="G237" i="5"/>
  <c r="H240" i="5" s="1"/>
  <c r="H235" i="5"/>
  <c r="AF237" i="5"/>
  <c r="AG240" i="5" s="1"/>
  <c r="AG235" i="5"/>
  <c r="AR237" i="5"/>
  <c r="AS240" i="5" s="1"/>
  <c r="AS235" i="5"/>
  <c r="K213" i="5"/>
  <c r="AJ213" i="5"/>
  <c r="AV213" i="5"/>
  <c r="M214" i="5"/>
  <c r="AL214" i="5"/>
  <c r="AB215" i="5"/>
  <c r="AN215" i="5"/>
  <c r="AL222" i="5"/>
  <c r="AX114" i="5"/>
  <c r="N114" i="5" s="1"/>
  <c r="O114" i="5" s="1"/>
  <c r="P114" i="5" s="1"/>
  <c r="I120" i="5"/>
  <c r="I64" i="7" s="1"/>
  <c r="AR125" i="5"/>
  <c r="I228" i="5"/>
  <c r="I129" i="5"/>
  <c r="I77" i="7" s="1"/>
  <c r="AD146" i="5"/>
  <c r="I225" i="5"/>
  <c r="I247" i="5" s="1"/>
  <c r="M225" i="5"/>
  <c r="M247" i="5" s="1"/>
  <c r="M193" i="5"/>
  <c r="AL225" i="5"/>
  <c r="AL247" i="5" s="1"/>
  <c r="AB216" i="5"/>
  <c r="E217" i="5"/>
  <c r="AD217" i="5"/>
  <c r="AP217" i="5"/>
  <c r="AF125" i="5"/>
  <c r="I226" i="5"/>
  <c r="I182" i="5"/>
  <c r="AH226" i="5"/>
  <c r="AH182" i="5"/>
  <c r="AT226" i="5"/>
  <c r="AT182" i="5"/>
  <c r="AU179" i="5" s="1"/>
  <c r="AZ179" i="5" s="1"/>
  <c r="K227" i="5"/>
  <c r="AD227" i="5"/>
  <c r="AP227" i="5"/>
  <c r="G228" i="5"/>
  <c r="AL228" i="5"/>
  <c r="D225" i="5"/>
  <c r="D193" i="5"/>
  <c r="D197" i="5" s="1"/>
  <c r="AC193" i="5"/>
  <c r="AC197" i="5" s="1"/>
  <c r="AO225" i="5"/>
  <c r="AO247" i="5" s="1"/>
  <c r="AO193" i="5"/>
  <c r="F216" i="5"/>
  <c r="AE216" i="5"/>
  <c r="AQ216" i="5"/>
  <c r="H217" i="5"/>
  <c r="AG217" i="5"/>
  <c r="AG212" i="5" s="1"/>
  <c r="AS217" i="5"/>
  <c r="AS212" i="5" s="1"/>
  <c r="L226" i="5"/>
  <c r="AK226" i="5"/>
  <c r="AG227" i="5"/>
  <c r="AS227" i="5"/>
  <c r="J228" i="5"/>
  <c r="AC228" i="5"/>
  <c r="AO228" i="5"/>
  <c r="E225" i="5"/>
  <c r="E247" i="5" s="1"/>
  <c r="E193" i="5"/>
  <c r="F200" i="5" s="1"/>
  <c r="AD225" i="5"/>
  <c r="AD247" i="5" s="1"/>
  <c r="AD193" i="5"/>
  <c r="AE200" i="5" s="1"/>
  <c r="AP225" i="5"/>
  <c r="AP247" i="5" s="1"/>
  <c r="AP193" i="5"/>
  <c r="G216" i="5"/>
  <c r="AF216" i="5"/>
  <c r="AR216" i="5"/>
  <c r="I217" i="5"/>
  <c r="AH217" i="5"/>
  <c r="AT217" i="5"/>
  <c r="M226" i="5"/>
  <c r="M182" i="5"/>
  <c r="AL226" i="5"/>
  <c r="AL182" i="5"/>
  <c r="AM181" i="5" s="1"/>
  <c r="AT227" i="5"/>
  <c r="K228" i="5"/>
  <c r="G174" i="5"/>
  <c r="G36" i="5" s="1"/>
  <c r="AM170" i="5"/>
  <c r="AK182" i="5"/>
  <c r="AL184" i="5" s="1"/>
  <c r="AL185" i="5" s="1"/>
  <c r="AA226" i="5"/>
  <c r="AA182" i="5"/>
  <c r="AS149" i="5"/>
  <c r="AH170" i="5"/>
  <c r="AH164" i="5"/>
  <c r="AH174" i="5" s="1"/>
  <c r="AH36" i="5" s="1"/>
  <c r="AT170" i="5"/>
  <c r="AT164" i="5"/>
  <c r="AT174" i="5" s="1"/>
  <c r="AT36" i="5" s="1"/>
  <c r="AI170" i="5"/>
  <c r="AJ169" i="5"/>
  <c r="AV169" i="5"/>
  <c r="AV170" i="5" s="1"/>
  <c r="AN182" i="5"/>
  <c r="AN216" i="5"/>
  <c r="AR228" i="5"/>
  <c r="AJ170" i="5"/>
  <c r="AK169" i="5"/>
  <c r="AK170" i="5" s="1"/>
  <c r="AW169" i="5"/>
  <c r="AW170" i="5" s="1"/>
  <c r="D226" i="5"/>
  <c r="AU216" i="5"/>
  <c r="AK217" i="5"/>
  <c r="AM125" i="5"/>
  <c r="AM119" i="5" s="1"/>
  <c r="E179" i="5"/>
  <c r="AC226" i="5"/>
  <c r="AC182" i="5"/>
  <c r="AO226" i="5"/>
  <c r="AO182" i="5"/>
  <c r="AP181" i="5" s="1"/>
  <c r="F227" i="5"/>
  <c r="AK227" i="5"/>
  <c r="AW227" i="5"/>
  <c r="N228" i="5"/>
  <c r="AJ174" i="5"/>
  <c r="AJ36" i="5" s="1"/>
  <c r="AJ39" i="5" s="1"/>
  <c r="AV174" i="5"/>
  <c r="AV36" i="5" s="1"/>
  <c r="M170" i="5"/>
  <c r="AW182" i="5"/>
  <c r="AX181" i="5" s="1"/>
  <c r="F226" i="5"/>
  <c r="AV216" i="5"/>
  <c r="M217" i="5"/>
  <c r="AL217" i="5"/>
  <c r="C125" i="5"/>
  <c r="AB125" i="5"/>
  <c r="AN125" i="5"/>
  <c r="E226" i="5"/>
  <c r="AD226" i="5"/>
  <c r="AP226" i="5"/>
  <c r="G227" i="5"/>
  <c r="AL227" i="5"/>
  <c r="AX127" i="5"/>
  <c r="AX227" i="5" s="1"/>
  <c r="M129" i="5"/>
  <c r="O130" i="5"/>
  <c r="O228" i="5" s="1"/>
  <c r="AH228" i="5"/>
  <c r="AW164" i="5"/>
  <c r="AX171" i="5"/>
  <c r="AF226" i="5"/>
  <c r="AU225" i="5"/>
  <c r="AU193" i="5"/>
  <c r="L216" i="5"/>
  <c r="AK216" i="5"/>
  <c r="AW216" i="5"/>
  <c r="D125" i="5"/>
  <c r="G179" i="5"/>
  <c r="AE226" i="5"/>
  <c r="AE182" i="5"/>
  <c r="AQ226" i="5"/>
  <c r="AQ182" i="5"/>
  <c r="D174" i="5"/>
  <c r="D36" i="5" s="1"/>
  <c r="AM217" i="5"/>
  <c r="AM226" i="5"/>
  <c r="K225" i="5"/>
  <c r="K247" i="5" s="1"/>
  <c r="K193" i="5"/>
  <c r="AJ225" i="5"/>
  <c r="AJ193" i="5"/>
  <c r="AV225" i="5"/>
  <c r="AV247" i="5" s="1"/>
  <c r="AV193" i="5"/>
  <c r="M216" i="5"/>
  <c r="AL216" i="5"/>
  <c r="AB217" i="5"/>
  <c r="AN217" i="5"/>
  <c r="E125" i="5"/>
  <c r="G182" i="5"/>
  <c r="G226" i="5"/>
  <c r="AR226" i="5"/>
  <c r="AR182" i="5"/>
  <c r="I227" i="5"/>
  <c r="AJ228" i="5"/>
  <c r="AV228" i="5"/>
  <c r="AL149" i="5"/>
  <c r="AM174" i="5"/>
  <c r="AM36" i="5" s="1"/>
  <c r="AL193" i="5"/>
  <c r="AL195" i="5" s="1"/>
  <c r="H226" i="5"/>
  <c r="H182" i="5"/>
  <c r="AG226" i="5"/>
  <c r="AG182" i="5"/>
  <c r="AH179" i="5" s="1"/>
  <c r="AS226" i="5"/>
  <c r="AS182" i="5"/>
  <c r="AX228" i="5"/>
  <c r="AW228" i="5"/>
  <c r="L174" i="5"/>
  <c r="L36" i="5" s="1"/>
  <c r="L210" i="5" s="1"/>
  <c r="M174" i="5"/>
  <c r="M36" i="5" s="1"/>
  <c r="M18" i="5"/>
  <c r="H32" i="5"/>
  <c r="M42" i="7"/>
  <c r="H15" i="7"/>
  <c r="I15" i="7"/>
  <c r="I277" i="6"/>
  <c r="I75" i="6"/>
  <c r="AW189" i="5"/>
  <c r="AW246" i="5" s="1"/>
  <c r="H174" i="5"/>
  <c r="H36" i="5" s="1"/>
  <c r="AF189" i="5"/>
  <c r="AF246" i="5" s="1"/>
  <c r="H197" i="5"/>
  <c r="AJ206" i="5"/>
  <c r="AJ65" i="5"/>
  <c r="AJ34" i="5"/>
  <c r="BP51" i="7"/>
  <c r="BP55" i="7" s="1"/>
  <c r="AT47" i="5"/>
  <c r="AT53" i="5"/>
  <c r="AT10" i="5"/>
  <c r="BP50" i="7" s="1"/>
  <c r="BP54" i="7" s="1"/>
  <c r="AT30" i="5"/>
  <c r="AT8" i="5"/>
  <c r="AT18" i="5"/>
  <c r="AJ60" i="5"/>
  <c r="AN206" i="5"/>
  <c r="AN65" i="5"/>
  <c r="AN39" i="5"/>
  <c r="AN41" i="5" s="1"/>
  <c r="AU247" i="5"/>
  <c r="AJ247" i="5"/>
  <c r="AR184" i="5"/>
  <c r="AR185" i="5" s="1"/>
  <c r="AR201" i="5" s="1"/>
  <c r="AQ195" i="5"/>
  <c r="AQ189" i="5"/>
  <c r="AQ246" i="5" s="1"/>
  <c r="AQ200" i="5"/>
  <c r="E189" i="5"/>
  <c r="E246" i="5" s="1"/>
  <c r="E248" i="5" s="1"/>
  <c r="AX222" i="5"/>
  <c r="AZ114" i="5"/>
  <c r="AH153" i="5"/>
  <c r="AK247" i="5"/>
  <c r="D65" i="7"/>
  <c r="L184" i="5"/>
  <c r="L185" i="5" s="1"/>
  <c r="L201" i="5" s="1"/>
  <c r="L179" i="5"/>
  <c r="H109" i="5"/>
  <c r="AP206" i="5"/>
  <c r="AP39" i="5"/>
  <c r="AM206" i="5"/>
  <c r="AM39" i="5"/>
  <c r="AM40" i="5" s="1"/>
  <c r="AM33" i="5"/>
  <c r="AL144" i="5"/>
  <c r="AI8" i="5"/>
  <c r="AG206" i="5"/>
  <c r="AG209" i="5" s="1"/>
  <c r="AG211" i="5" s="1"/>
  <c r="AG219" i="5" s="1"/>
  <c r="AG39" i="5"/>
  <c r="L189" i="5"/>
  <c r="L192" i="5" s="1"/>
  <c r="D210" i="5"/>
  <c r="AB179" i="5"/>
  <c r="AB181" i="5"/>
  <c r="D247" i="5"/>
  <c r="M195" i="5"/>
  <c r="M189" i="5"/>
  <c r="AD242" i="5"/>
  <c r="AD206" i="5"/>
  <c r="AD39" i="5"/>
  <c r="AD33" i="5"/>
  <c r="CA15" i="5"/>
  <c r="AA206" i="5"/>
  <c r="AA39" i="5"/>
  <c r="AA41" i="5" s="1"/>
  <c r="AA34" i="5"/>
  <c r="BI52" i="7"/>
  <c r="BI56" i="7" s="1"/>
  <c r="BI50" i="7"/>
  <c r="BI54" i="7" s="1"/>
  <c r="AE189" i="5"/>
  <c r="AE246" i="5" s="1"/>
  <c r="D76" i="7"/>
  <c r="AO200" i="5"/>
  <c r="AO189" i="5"/>
  <c r="AO246" i="5" s="1"/>
  <c r="AO248" i="5" s="1"/>
  <c r="AO195" i="5"/>
  <c r="AM247" i="5"/>
  <c r="AH146" i="5"/>
  <c r="M212" i="5"/>
  <c r="H9" i="17" s="1"/>
  <c r="BE52" i="7"/>
  <c r="BE56" i="7" s="1"/>
  <c r="BE50" i="7"/>
  <c r="BE54" i="7" s="1"/>
  <c r="AI145" i="5"/>
  <c r="AI141" i="5"/>
  <c r="AI148" i="5" s="1"/>
  <c r="AI11" i="5"/>
  <c r="AQ109" i="5"/>
  <c r="BO15" i="5"/>
  <c r="BK15" i="5"/>
  <c r="BM51" i="7"/>
  <c r="BM55" i="7" s="1"/>
  <c r="C58" i="5"/>
  <c r="AW174" i="5"/>
  <c r="AW36" i="5" s="1"/>
  <c r="AX179" i="5"/>
  <c r="AL181" i="5"/>
  <c r="AB195" i="5"/>
  <c r="AB189" i="5"/>
  <c r="AJ189" i="5"/>
  <c r="AT200" i="5"/>
  <c r="AT195" i="5"/>
  <c r="AT189" i="5"/>
  <c r="AU206" i="5"/>
  <c r="AU65" i="5"/>
  <c r="AU72" i="5" s="1"/>
  <c r="AU39" i="5"/>
  <c r="AR161" i="5"/>
  <c r="AE206" i="5"/>
  <c r="AE34" i="5"/>
  <c r="AS179" i="5"/>
  <c r="AS181" i="5"/>
  <c r="K179" i="5"/>
  <c r="K184" i="5"/>
  <c r="K185" i="5" s="1"/>
  <c r="K201" i="5" s="1"/>
  <c r="E206" i="5"/>
  <c r="E65" i="5"/>
  <c r="E70" i="5" s="1"/>
  <c r="E39" i="5"/>
  <c r="AH47" i="5"/>
  <c r="AH53" i="5"/>
  <c r="AH10" i="5"/>
  <c r="AH141" i="5" s="1"/>
  <c r="AH30" i="5"/>
  <c r="AH27" i="5"/>
  <c r="AH181" i="5"/>
  <c r="E197" i="5"/>
  <c r="AB247" i="5"/>
  <c r="AI247" i="5"/>
  <c r="AU200" i="5"/>
  <c r="AU189" i="5"/>
  <c r="AU246" i="5" s="1"/>
  <c r="AI206" i="5"/>
  <c r="AI33" i="5"/>
  <c r="AT33" i="5"/>
  <c r="BN52" i="7"/>
  <c r="BN56" i="7" s="1"/>
  <c r="AV210" i="5"/>
  <c r="AP184" i="5"/>
  <c r="AP185" i="5" s="1"/>
  <c r="AP201" i="5" s="1"/>
  <c r="AP179" i="5"/>
  <c r="AB119" i="5"/>
  <c r="AB135" i="5" s="1"/>
  <c r="K189" i="5"/>
  <c r="K246" i="5" s="1"/>
  <c r="K195" i="5"/>
  <c r="AT247" i="5"/>
  <c r="AW179" i="5"/>
  <c r="BM15" i="5"/>
  <c r="AN58" i="5"/>
  <c r="AI179" i="5"/>
  <c r="N189" i="5"/>
  <c r="N246" i="5" s="1"/>
  <c r="AC189" i="5"/>
  <c r="AC246" i="5" s="1"/>
  <c r="AJ179" i="5"/>
  <c r="AJ181" i="5"/>
  <c r="AB206" i="5"/>
  <c r="AB39" i="5"/>
  <c r="AB34" i="5"/>
  <c r="AV195" i="5"/>
  <c r="AE247" i="5"/>
  <c r="M210" i="5"/>
  <c r="H11" i="17"/>
  <c r="AD184" i="5"/>
  <c r="AD185" i="5" s="1"/>
  <c r="AD201" i="5" s="1"/>
  <c r="AD179" i="5"/>
  <c r="AD181" i="5"/>
  <c r="AI200" i="5"/>
  <c r="AI195" i="5"/>
  <c r="AI189" i="5"/>
  <c r="AI246" i="5" s="1"/>
  <c r="AI248" i="5" s="1"/>
  <c r="AR189" i="5"/>
  <c r="AR246" i="5" s="1"/>
  <c r="AH200" i="5"/>
  <c r="AH195" i="5"/>
  <c r="AH189" i="5"/>
  <c r="AM189" i="5"/>
  <c r="AM246" i="5" s="1"/>
  <c r="AM248" i="5" s="1"/>
  <c r="AO184" i="5"/>
  <c r="AO185" i="5" s="1"/>
  <c r="AO201" i="5" s="1"/>
  <c r="AO202" i="5" s="1"/>
  <c r="AO179" i="5"/>
  <c r="AO181" i="5"/>
  <c r="AP200" i="5"/>
  <c r="AO192" i="5"/>
  <c r="AP195" i="5"/>
  <c r="AO197" i="5"/>
  <c r="AP189" i="5"/>
  <c r="AP246" i="5" s="1"/>
  <c r="AP248" i="5" s="1"/>
  <c r="J179" i="5"/>
  <c r="J184" i="5"/>
  <c r="J185" i="5" s="1"/>
  <c r="J201" i="5" s="1"/>
  <c r="AW192" i="5"/>
  <c r="J200" i="5"/>
  <c r="I197" i="5"/>
  <c r="J189" i="5"/>
  <c r="J192" i="5" s="1"/>
  <c r="J195" i="5"/>
  <c r="E72" i="5"/>
  <c r="AP192" i="5"/>
  <c r="BD50" i="7"/>
  <c r="BD54" i="7" s="1"/>
  <c r="AH145" i="5"/>
  <c r="AH154" i="5"/>
  <c r="AI192" i="5"/>
  <c r="AN70" i="5"/>
  <c r="AN72" i="5"/>
  <c r="AW39" i="5"/>
  <c r="C60" i="5"/>
  <c r="AT145" i="5"/>
  <c r="AD40" i="5"/>
  <c r="AI155" i="5"/>
  <c r="AJ72" i="5"/>
  <c r="AJ94" i="5" s="1"/>
  <c r="AJ70" i="5"/>
  <c r="AU70" i="5"/>
  <c r="AJ79" i="5"/>
  <c r="AN88" i="5"/>
  <c r="S55" i="7"/>
  <c r="O55" i="7"/>
  <c r="O56" i="7"/>
  <c r="P56" i="7"/>
  <c r="Q56" i="7"/>
  <c r="R56" i="7"/>
  <c r="I109" i="3" a="1"/>
  <c r="I109" i="3" s="1"/>
  <c r="F153" i="3"/>
  <c r="E75" i="10"/>
  <c r="K5" i="6"/>
  <c r="L124" i="6"/>
  <c r="K130" i="6"/>
  <c r="K131" i="6"/>
  <c r="K128" i="6"/>
  <c r="CD72" i="5" a="1"/>
  <c r="L14" i="17" l="1"/>
  <c r="E3" i="6"/>
  <c r="AR41" i="6"/>
  <c r="P242" i="10"/>
  <c r="AU41" i="6"/>
  <c r="AL34" i="6"/>
  <c r="AK34" i="6"/>
  <c r="AU18" i="6"/>
  <c r="BZ36" i="5"/>
  <c r="AT210" i="5"/>
  <c r="BY36" i="5"/>
  <c r="AT37" i="5"/>
  <c r="CA36" i="5"/>
  <c r="AT34" i="5"/>
  <c r="AM228" i="5"/>
  <c r="AM129" i="5"/>
  <c r="K59" i="6"/>
  <c r="K277" i="6" s="1"/>
  <c r="K244" i="6"/>
  <c r="K238" i="6" s="1"/>
  <c r="K239" i="6" s="1"/>
  <c r="K63" i="6"/>
  <c r="K245" i="6"/>
  <c r="M63" i="6"/>
  <c r="M245" i="6"/>
  <c r="M238" i="6" s="1"/>
  <c r="M239" i="6" s="1"/>
  <c r="J10" i="6"/>
  <c r="K25" i="6" s="1"/>
  <c r="K8" i="7" s="1"/>
  <c r="J145" i="6"/>
  <c r="J146" i="6"/>
  <c r="J149" i="6"/>
  <c r="K152" i="6"/>
  <c r="J152" i="6"/>
  <c r="J148" i="6"/>
  <c r="K156" i="6" s="1"/>
  <c r="J66" i="6"/>
  <c r="J248" i="6"/>
  <c r="AJ230" i="5"/>
  <c r="AJ88" i="5"/>
  <c r="BP52" i="7"/>
  <c r="BP56" i="7" s="1"/>
  <c r="BP57" i="7" s="1"/>
  <c r="K192" i="5"/>
  <c r="AH11" i="5"/>
  <c r="BD52" i="7"/>
  <c r="BD56" i="7" s="1"/>
  <c r="AA40" i="5"/>
  <c r="AQ192" i="5"/>
  <c r="AB41" i="5"/>
  <c r="AT39" i="5"/>
  <c r="AL179" i="5"/>
  <c r="AE195" i="5"/>
  <c r="AM179" i="5"/>
  <c r="M200" i="5"/>
  <c r="L200" i="5"/>
  <c r="L202" i="5" s="1"/>
  <c r="I76" i="7"/>
  <c r="J19" i="7"/>
  <c r="E228" i="5"/>
  <c r="AA125" i="5"/>
  <c r="H228" i="5"/>
  <c r="AQ125" i="5"/>
  <c r="AQ119" i="5" s="1"/>
  <c r="AA129" i="5"/>
  <c r="AW212" i="5"/>
  <c r="BL62" i="5"/>
  <c r="AE207" i="5"/>
  <c r="BX62" i="5"/>
  <c r="AQ207" i="5"/>
  <c r="AB207" i="5"/>
  <c r="AB209" i="5" s="1"/>
  <c r="AB211" i="5" s="1"/>
  <c r="AB219" i="5" s="1"/>
  <c r="BJ63" i="5"/>
  <c r="BR63" i="5"/>
  <c r="AJ207" i="5"/>
  <c r="AJ209" i="5" s="1"/>
  <c r="BT63" i="5"/>
  <c r="AN207" i="5"/>
  <c r="BX63" i="5"/>
  <c r="BY63" i="5"/>
  <c r="BZ63" i="5"/>
  <c r="D56" i="5"/>
  <c r="D46" i="7"/>
  <c r="G193" i="5"/>
  <c r="H46" i="7"/>
  <c r="G120" i="5"/>
  <c r="G66" i="7" s="1"/>
  <c r="G46" i="7"/>
  <c r="H225" i="5"/>
  <c r="H247" i="5" s="1"/>
  <c r="K56" i="5"/>
  <c r="L46" i="7"/>
  <c r="K120" i="5"/>
  <c r="K46" i="7"/>
  <c r="AB56" i="5"/>
  <c r="AC225" i="5"/>
  <c r="AC247" i="5" s="1"/>
  <c r="AC56" i="5"/>
  <c r="AF120" i="5"/>
  <c r="AF119" i="5" s="1"/>
  <c r="AF193" i="5"/>
  <c r="AG225" i="5"/>
  <c r="AG247" i="5" s="1"/>
  <c r="AN225" i="5"/>
  <c r="AN247" i="5" s="1"/>
  <c r="AN56" i="5"/>
  <c r="AO56" i="5"/>
  <c r="BV56" i="5" s="1"/>
  <c r="AS225" i="5"/>
  <c r="AS247" i="5" s="1"/>
  <c r="AR193" i="5"/>
  <c r="AR225" i="5"/>
  <c r="AR247" i="5" s="1"/>
  <c r="AR248" i="5" s="1"/>
  <c r="I216" i="5"/>
  <c r="I212" i="5" s="1"/>
  <c r="D9" i="17" s="1"/>
  <c r="J216" i="5"/>
  <c r="AD120" i="5"/>
  <c r="AD216" i="5"/>
  <c r="AD212" i="5" s="1"/>
  <c r="AH216" i="5"/>
  <c r="AI216" i="5"/>
  <c r="AH120" i="5"/>
  <c r="K217" i="5"/>
  <c r="L217" i="5"/>
  <c r="L212" i="5" s="1"/>
  <c r="G9" i="17" s="1"/>
  <c r="AV149" i="5"/>
  <c r="H102" i="6"/>
  <c r="H208" i="5"/>
  <c r="BN76" i="5"/>
  <c r="BL76" i="5"/>
  <c r="BK76" i="5"/>
  <c r="BX76" i="5"/>
  <c r="BY76" i="5"/>
  <c r="BW76" i="5"/>
  <c r="BZ76" i="5"/>
  <c r="AJ77" i="5"/>
  <c r="AE192" i="5"/>
  <c r="AT11" i="5"/>
  <c r="AM195" i="5"/>
  <c r="AT206" i="5"/>
  <c r="AU34" i="5"/>
  <c r="L195" i="5"/>
  <c r="P130" i="5"/>
  <c r="AN209" i="5"/>
  <c r="AN211" i="5" s="1"/>
  <c r="AW195" i="5"/>
  <c r="AN228" i="5"/>
  <c r="AA228" i="5"/>
  <c r="J147" i="6"/>
  <c r="AM135" i="5"/>
  <c r="AT141" i="5"/>
  <c r="AE248" i="5"/>
  <c r="AE209" i="5"/>
  <c r="AC109" i="5"/>
  <c r="AC117" i="5" s="1"/>
  <c r="M25" i="6"/>
  <c r="M8" i="7" s="1"/>
  <c r="AB227" i="5"/>
  <c r="AE125" i="5"/>
  <c r="K119" i="5"/>
  <c r="AT212" i="5"/>
  <c r="BM76" i="5"/>
  <c r="AS8" i="5"/>
  <c r="AS27" i="5"/>
  <c r="AS144" i="5"/>
  <c r="AS146" i="5"/>
  <c r="AS153" i="5"/>
  <c r="AS10" i="5"/>
  <c r="AS145" i="5" s="1"/>
  <c r="AS53" i="5"/>
  <c r="BR51" i="7"/>
  <c r="BR55" i="7" s="1"/>
  <c r="AV18" i="5"/>
  <c r="BN6" i="5"/>
  <c r="AG7" i="5"/>
  <c r="J17" i="5"/>
  <c r="J25" i="5"/>
  <c r="D16" i="7"/>
  <c r="E16" i="7"/>
  <c r="L43" i="7"/>
  <c r="M16" i="7"/>
  <c r="BJ29" i="5"/>
  <c r="BI29" i="5"/>
  <c r="BP29" i="5"/>
  <c r="BS29" i="5"/>
  <c r="AK32" i="5"/>
  <c r="BW29" i="5"/>
  <c r="AO32" i="5"/>
  <c r="AP34" i="5" s="1"/>
  <c r="BV29" i="5"/>
  <c r="BX29" i="5"/>
  <c r="AS32" i="5"/>
  <c r="AS33" i="5" s="1"/>
  <c r="CA29" i="5"/>
  <c r="AS30" i="5"/>
  <c r="AH43" i="5"/>
  <c r="AH44" i="5" s="1"/>
  <c r="BP46" i="5"/>
  <c r="BM46" i="5"/>
  <c r="BO46" i="5"/>
  <c r="AL207" i="5"/>
  <c r="BQ46" i="5"/>
  <c r="BT46" i="5"/>
  <c r="CA46" i="5"/>
  <c r="BZ46" i="5"/>
  <c r="BX46" i="5"/>
  <c r="BY46" i="5"/>
  <c r="AS47" i="5"/>
  <c r="AW207" i="5"/>
  <c r="CB46" i="5"/>
  <c r="AO166" i="5"/>
  <c r="AP161" i="5" s="1"/>
  <c r="AO109" i="5"/>
  <c r="AP129" i="5"/>
  <c r="AP197" i="5" s="1"/>
  <c r="AP228" i="5"/>
  <c r="L119" i="5"/>
  <c r="L242" i="5"/>
  <c r="AK65" i="5"/>
  <c r="G7" i="5"/>
  <c r="G44" i="7"/>
  <c r="AI53" i="5"/>
  <c r="AI27" i="5"/>
  <c r="BX6" i="5"/>
  <c r="BL13" i="5"/>
  <c r="BJ13" i="5"/>
  <c r="BJ15" i="5" s="1"/>
  <c r="BT13" i="5"/>
  <c r="BS13" i="5"/>
  <c r="AC32" i="5"/>
  <c r="AO18" i="5"/>
  <c r="AS18" i="5"/>
  <c r="AI44" i="5"/>
  <c r="BP52" i="5"/>
  <c r="BN55" i="5"/>
  <c r="D217" i="5"/>
  <c r="D212" i="5" s="1"/>
  <c r="AK120" i="5"/>
  <c r="AK119" i="5" s="1"/>
  <c r="AO217" i="5"/>
  <c r="D227" i="5"/>
  <c r="AJ227" i="5"/>
  <c r="AJ231" i="5" s="1"/>
  <c r="AT228" i="5"/>
  <c r="G65" i="7"/>
  <c r="AN34" i="5"/>
  <c r="E1" i="27"/>
  <c r="E1" i="7"/>
  <c r="E1" i="6"/>
  <c r="BX5" i="5"/>
  <c r="BP17" i="5"/>
  <c r="L56" i="5"/>
  <c r="AU9" i="5"/>
  <c r="AT9" i="5"/>
  <c r="I170" i="5"/>
  <c r="BY20" i="6"/>
  <c r="BY25" i="6"/>
  <c r="BQ26" i="6"/>
  <c r="CC26" i="6"/>
  <c r="CC27" i="6"/>
  <c r="AV212" i="5"/>
  <c r="AV219" i="5" s="1"/>
  <c r="BN51" i="7"/>
  <c r="BN55" i="7" s="1"/>
  <c r="AR18" i="5"/>
  <c r="AR144" i="5"/>
  <c r="D43" i="5"/>
  <c r="H43" i="5"/>
  <c r="H58" i="5" s="1"/>
  <c r="H91" i="6" s="1"/>
  <c r="L43" i="5"/>
  <c r="BR46" i="5"/>
  <c r="BS46" i="5"/>
  <c r="AR43" i="5"/>
  <c r="AR44" i="5" s="1"/>
  <c r="AV207" i="5"/>
  <c r="I43" i="5"/>
  <c r="J207" i="5"/>
  <c r="BI76" i="5"/>
  <c r="AW93" i="5"/>
  <c r="AB162" i="5"/>
  <c r="E111" i="5"/>
  <c r="AC222" i="5"/>
  <c r="AO222" i="5"/>
  <c r="AA120" i="5"/>
  <c r="AA119" i="5" s="1"/>
  <c r="AA135" i="5" s="1"/>
  <c r="AP125" i="5"/>
  <c r="C129" i="5"/>
  <c r="AL129" i="5"/>
  <c r="AL197" i="5" s="1"/>
  <c r="BZ20" i="6"/>
  <c r="F7" i="5"/>
  <c r="BV5" i="5"/>
  <c r="G32" i="5"/>
  <c r="AB15" i="5"/>
  <c r="AN15" i="5"/>
  <c r="CB17" i="5"/>
  <c r="K16" i="7"/>
  <c r="AE43" i="5"/>
  <c r="AE65" i="5" s="1"/>
  <c r="AE72" i="5" s="1"/>
  <c r="AT43" i="5"/>
  <c r="AT44" i="5" s="1"/>
  <c r="K50" i="5"/>
  <c r="K241" i="5" s="1"/>
  <c r="K242" i="5" s="1"/>
  <c r="AL50" i="5"/>
  <c r="AL241" i="5" s="1"/>
  <c r="AP50" i="5"/>
  <c r="AP241" i="5" s="1"/>
  <c r="AP242" i="5" s="1"/>
  <c r="E56" i="5"/>
  <c r="BL55" i="5"/>
  <c r="BU55" i="5"/>
  <c r="L207" i="5"/>
  <c r="AC207" i="5"/>
  <c r="BQ76" i="5"/>
  <c r="AE93" i="5"/>
  <c r="AI93" i="5"/>
  <c r="AQ93" i="5"/>
  <c r="AT93" i="5"/>
  <c r="L101" i="5"/>
  <c r="AI214" i="5"/>
  <c r="AI212" i="5" s="1"/>
  <c r="AU214" i="5"/>
  <c r="AW215" i="5"/>
  <c r="AL111" i="5"/>
  <c r="J222" i="5"/>
  <c r="AD222" i="5"/>
  <c r="AP222" i="5"/>
  <c r="E120" i="5"/>
  <c r="E119" i="5" s="1"/>
  <c r="M120" i="5"/>
  <c r="M119" i="5" s="1"/>
  <c r="AN226" i="5"/>
  <c r="E227" i="5"/>
  <c r="AS125" i="5"/>
  <c r="AS119" i="5" s="1"/>
  <c r="L129" i="5"/>
  <c r="L197" i="5" s="1"/>
  <c r="AF93" i="5"/>
  <c r="AQ228" i="5"/>
  <c r="I136" i="6"/>
  <c r="I246" i="6"/>
  <c r="I238" i="6" s="1"/>
  <c r="Q31" i="17"/>
  <c r="V97" i="6" s="1"/>
  <c r="J7" i="5"/>
  <c r="BP5" i="5"/>
  <c r="AO7" i="5"/>
  <c r="L7" i="5"/>
  <c r="L50" i="5"/>
  <c r="L241" i="5" s="1"/>
  <c r="AA207" i="5"/>
  <c r="AA209" i="5" s="1"/>
  <c r="AA211" i="5" s="1"/>
  <c r="AI50" i="5"/>
  <c r="AI241" i="5" s="1"/>
  <c r="AI242" i="5" s="1"/>
  <c r="AQ43" i="5"/>
  <c r="AQ58" i="5" s="1"/>
  <c r="AU50" i="5"/>
  <c r="AU241" i="5" s="1"/>
  <c r="AU242" i="5" s="1"/>
  <c r="AZ242" i="5" s="1"/>
  <c r="BY52" i="5"/>
  <c r="CB52" i="5"/>
  <c r="AA56" i="5"/>
  <c r="BY55" i="5"/>
  <c r="BK62" i="5"/>
  <c r="H93" i="5"/>
  <c r="AG9" i="5"/>
  <c r="AE215" i="5"/>
  <c r="AE212" i="5" s="1"/>
  <c r="J111" i="5"/>
  <c r="AM111" i="5"/>
  <c r="AU111" i="5"/>
  <c r="AA222" i="5"/>
  <c r="AA223" i="5" s="1"/>
  <c r="L120" i="5"/>
  <c r="L64" i="7" s="1"/>
  <c r="AD125" i="5"/>
  <c r="G170" i="5"/>
  <c r="K136" i="6"/>
  <c r="L137" i="6" s="1"/>
  <c r="S56" i="7"/>
  <c r="I115" i="3" a="1"/>
  <c r="I115" i="3" s="1"/>
  <c r="R20" i="27"/>
  <c r="I117" i="3" a="1"/>
  <c r="I117" i="3" s="1"/>
  <c r="L8" i="3"/>
  <c r="M8" i="3" s="1"/>
  <c r="M10" i="3" s="1"/>
  <c r="L17" i="3"/>
  <c r="L19" i="3" s="1"/>
  <c r="M19" i="3" s="1"/>
  <c r="X64" i="6"/>
  <c r="X65" i="6"/>
  <c r="AT181" i="5"/>
  <c r="AT184" i="5"/>
  <c r="AT185" i="5" s="1"/>
  <c r="AT201" i="5" s="1"/>
  <c r="AS184" i="5"/>
  <c r="AS185" i="5" s="1"/>
  <c r="AS201" i="5" s="1"/>
  <c r="AW34" i="5"/>
  <c r="CB32" i="5"/>
  <c r="AV206" i="5"/>
  <c r="AV209" i="5" s="1"/>
  <c r="AV211" i="5" s="1"/>
  <c r="AV39" i="5"/>
  <c r="CB39" i="5" s="1"/>
  <c r="AV65" i="5"/>
  <c r="AV33" i="5"/>
  <c r="AK67" i="5"/>
  <c r="AK72" i="5"/>
  <c r="AK77" i="5" s="1"/>
  <c r="AH192" i="5"/>
  <c r="AH246" i="5"/>
  <c r="AH248" i="5" s="1"/>
  <c r="H73" i="7"/>
  <c r="H77" i="7"/>
  <c r="H76" i="7"/>
  <c r="J212" i="5"/>
  <c r="E9" i="17" s="1"/>
  <c r="AR109" i="5"/>
  <c r="AR117" i="5" s="1"/>
  <c r="AR166" i="5"/>
  <c r="AV60" i="5"/>
  <c r="AV59" i="5"/>
  <c r="AG18" i="5"/>
  <c r="AG144" i="5"/>
  <c r="AG30" i="5"/>
  <c r="AG40" i="5"/>
  <c r="AG27" i="5"/>
  <c r="AG146" i="5"/>
  <c r="AG33" i="5"/>
  <c r="AG10" i="5"/>
  <c r="AG11" i="5" s="1"/>
  <c r="AG53" i="5"/>
  <c r="AA27" i="5"/>
  <c r="AA37" i="5"/>
  <c r="AA33" i="5"/>
  <c r="AD149" i="5"/>
  <c r="AD14" i="5"/>
  <c r="AD37" i="5"/>
  <c r="AD27" i="5"/>
  <c r="AD18" i="5"/>
  <c r="AD53" i="5"/>
  <c r="AZ51" i="7"/>
  <c r="AZ55" i="7" s="1"/>
  <c r="AD47" i="5"/>
  <c r="AD10" i="5"/>
  <c r="AD153" i="5"/>
  <c r="AL53" i="5"/>
  <c r="AL27" i="5"/>
  <c r="AL10" i="5"/>
  <c r="BH51" i="7"/>
  <c r="BH55" i="7" s="1"/>
  <c r="D64" i="7"/>
  <c r="D119" i="5"/>
  <c r="D135" i="5" s="1"/>
  <c r="F179" i="5"/>
  <c r="F184" i="5"/>
  <c r="F185" i="5" s="1"/>
  <c r="F201" i="5" s="1"/>
  <c r="E184" i="5"/>
  <c r="E185" i="5" s="1"/>
  <c r="E201" i="5" s="1"/>
  <c r="AG179" i="5"/>
  <c r="AG181" i="5"/>
  <c r="AN181" i="5"/>
  <c r="AN179" i="5"/>
  <c r="AM184" i="5"/>
  <c r="AM185" i="5" s="1"/>
  <c r="AM201" i="5" s="1"/>
  <c r="AM202" i="5" s="1"/>
  <c r="AN184" i="5"/>
  <c r="AN185" i="5" s="1"/>
  <c r="AN201" i="5" s="1"/>
  <c r="J77" i="7"/>
  <c r="J197" i="5"/>
  <c r="J73" i="7"/>
  <c r="AI210" i="5"/>
  <c r="AI37" i="5"/>
  <c r="BQ36" i="5"/>
  <c r="AT246" i="5"/>
  <c r="AT192" i="5"/>
  <c r="AW210" i="5"/>
  <c r="CB36" i="5"/>
  <c r="AT179" i="5"/>
  <c r="AK189" i="5"/>
  <c r="AJ200" i="5"/>
  <c r="AJ195" i="5"/>
  <c r="AR179" i="5"/>
  <c r="AR181" i="5"/>
  <c r="AQ184" i="5"/>
  <c r="AQ185" i="5" s="1"/>
  <c r="AQ201" i="5" s="1"/>
  <c r="AQ202" i="5" s="1"/>
  <c r="E73" i="7"/>
  <c r="E76" i="7"/>
  <c r="AR212" i="5"/>
  <c r="AN135" i="5"/>
  <c r="AN197" i="5"/>
  <c r="I195" i="5"/>
  <c r="I189" i="5"/>
  <c r="AR119" i="5"/>
  <c r="AV179" i="5"/>
  <c r="AU184" i="5"/>
  <c r="AU185" i="5" s="1"/>
  <c r="AU201" i="5" s="1"/>
  <c r="AV184" i="5"/>
  <c r="AV185" i="5" s="1"/>
  <c r="AV201" i="5" s="1"/>
  <c r="CA32" i="5"/>
  <c r="AS206" i="5"/>
  <c r="AS209" i="5" s="1"/>
  <c r="AS211" i="5" s="1"/>
  <c r="AS39" i="5"/>
  <c r="J15" i="7"/>
  <c r="I58" i="5"/>
  <c r="I60" i="5" s="1"/>
  <c r="AR8" i="5"/>
  <c r="AQ144" i="5"/>
  <c r="AQ47" i="5"/>
  <c r="BY47" i="5" s="1"/>
  <c r="BS15" i="5"/>
  <c r="BW15" i="5"/>
  <c r="BO52" i="7"/>
  <c r="BO56" i="7" s="1"/>
  <c r="AH34" i="5"/>
  <c r="BP32" i="5"/>
  <c r="BO32" i="5"/>
  <c r="AI34" i="5"/>
  <c r="AH206" i="5"/>
  <c r="AB58" i="5"/>
  <c r="AB65" i="5"/>
  <c r="AV34" i="5"/>
  <c r="AK70" i="5"/>
  <c r="AH65" i="5"/>
  <c r="AK200" i="5"/>
  <c r="AD189" i="5"/>
  <c r="AD246" i="5" s="1"/>
  <c r="AD248" i="5" s="1"/>
  <c r="G210" i="5"/>
  <c r="G37" i="5"/>
  <c r="AA248" i="5"/>
  <c r="AP212" i="5"/>
  <c r="BU56" i="5"/>
  <c r="AE166" i="5"/>
  <c r="AF161" i="5" s="1"/>
  <c r="AE109" i="5"/>
  <c r="AN242" i="5"/>
  <c r="AQ59" i="5"/>
  <c r="E166" i="5"/>
  <c r="E109" i="5"/>
  <c r="E117" i="5" s="1"/>
  <c r="AP202" i="5"/>
  <c r="L246" i="5"/>
  <c r="L248" i="5" s="1"/>
  <c r="AQ248" i="5"/>
  <c r="AW200" i="5"/>
  <c r="BN36" i="5"/>
  <c r="I73" i="7"/>
  <c r="E212" i="5"/>
  <c r="AM192" i="5"/>
  <c r="G212" i="5"/>
  <c r="K212" i="5"/>
  <c r="F9" i="17" s="1"/>
  <c r="D117" i="5"/>
  <c r="BT15" i="5"/>
  <c r="AU248" i="5"/>
  <c r="BE57" i="7"/>
  <c r="AP209" i="5"/>
  <c r="AP211" i="5" s="1"/>
  <c r="AG184" i="5"/>
  <c r="AG185" i="5" s="1"/>
  <c r="AG201" i="5" s="1"/>
  <c r="AX172" i="5"/>
  <c r="AL212" i="5"/>
  <c r="AK212" i="5"/>
  <c r="AK184" i="5"/>
  <c r="AK185" i="5" s="1"/>
  <c r="AK201" i="5" s="1"/>
  <c r="AK202" i="5" s="1"/>
  <c r="AH212" i="5"/>
  <c r="AB212" i="5"/>
  <c r="K248" i="5"/>
  <c r="F202" i="5"/>
  <c r="AS219" i="5"/>
  <c r="AN212" i="5"/>
  <c r="AN219" i="5" s="1"/>
  <c r="AO117" i="5"/>
  <c r="AA212" i="5"/>
  <c r="AL242" i="5"/>
  <c r="F162" i="10"/>
  <c r="R139" i="6"/>
  <c r="AL18" i="6"/>
  <c r="H246" i="6"/>
  <c r="X246" i="6" s="1"/>
  <c r="AU38" i="6"/>
  <c r="AF32" i="6"/>
  <c r="AL40" i="6"/>
  <c r="X251" i="6"/>
  <c r="AU34" i="6"/>
  <c r="AR34" i="6"/>
  <c r="AW34" i="6"/>
  <c r="K16" i="6"/>
  <c r="BW25" i="6"/>
  <c r="BS24" i="6"/>
  <c r="I16" i="6"/>
  <c r="I30" i="6" s="1"/>
  <c r="M26" i="6"/>
  <c r="M9" i="7" s="1"/>
  <c r="BX20" i="6"/>
  <c r="H64" i="6"/>
  <c r="H53" i="6" s="1"/>
  <c r="AP32" i="6"/>
  <c r="AJ32" i="6"/>
  <c r="AP39" i="6"/>
  <c r="AE39" i="6"/>
  <c r="AP41" i="6"/>
  <c r="AJ34" i="6"/>
  <c r="AJ38" i="6"/>
  <c r="L16" i="6"/>
  <c r="M54" i="6"/>
  <c r="K153" i="6"/>
  <c r="BS27" i="6"/>
  <c r="BQ20" i="6"/>
  <c r="BW24" i="6"/>
  <c r="CA24" i="6"/>
  <c r="CA25" i="6"/>
  <c r="CA26" i="6"/>
  <c r="BV27" i="6"/>
  <c r="BZ27" i="6"/>
  <c r="BC12" i="6"/>
  <c r="BA27" i="6" s="1"/>
  <c r="C77" i="3"/>
  <c r="N27" i="6"/>
  <c r="M55" i="6"/>
  <c r="M89" i="6" s="1"/>
  <c r="H244" i="6"/>
  <c r="X244" i="6" s="1"/>
  <c r="AS40" i="6"/>
  <c r="BP20" i="6"/>
  <c r="BT20" i="6"/>
  <c r="BX24" i="6"/>
  <c r="BP25" i="6"/>
  <c r="BT25" i="6"/>
  <c r="BT26" i="6"/>
  <c r="BX26" i="6"/>
  <c r="CB26" i="6"/>
  <c r="BW27" i="6"/>
  <c r="AD38" i="6"/>
  <c r="AO34" i="6"/>
  <c r="H48" i="6"/>
  <c r="H276" i="6" s="1"/>
  <c r="BT27" i="6"/>
  <c r="AL38" i="6"/>
  <c r="CC20" i="6"/>
  <c r="CC25" i="6"/>
  <c r="AY34" i="6"/>
  <c r="AL39" i="6"/>
  <c r="AP38" i="6"/>
  <c r="AJ40" i="6"/>
  <c r="AJ41" i="6"/>
  <c r="H247" i="6"/>
  <c r="X247" i="6" s="1"/>
  <c r="BS25" i="6"/>
  <c r="AV18" i="6"/>
  <c r="CD24" i="6"/>
  <c r="G286" i="6"/>
  <c r="X255" i="6"/>
  <c r="AY18" i="6"/>
  <c r="AF40" i="6"/>
  <c r="AY39" i="6"/>
  <c r="AM32" i="6"/>
  <c r="BU20" i="6"/>
  <c r="BP27" i="6"/>
  <c r="AF34" i="6"/>
  <c r="BX3" i="6"/>
  <c r="BX34" i="6" s="1"/>
  <c r="AU40" i="6"/>
  <c r="BZ25" i="6"/>
  <c r="H287" i="6"/>
  <c r="M156" i="6"/>
  <c r="CB27" i="6"/>
  <c r="AY38" i="6"/>
  <c r="AY43" i="6" s="1"/>
  <c r="H29" i="6"/>
  <c r="AU39" i="6"/>
  <c r="AY57" i="6"/>
  <c r="AK41" i="6"/>
  <c r="AK38" i="6"/>
  <c r="BR24" i="6"/>
  <c r="BZ24" i="6"/>
  <c r="BV25" i="6"/>
  <c r="AZ34" i="6"/>
  <c r="L154" i="6"/>
  <c r="L157" i="6"/>
  <c r="M154" i="6"/>
  <c r="AI39" i="6"/>
  <c r="AY41" i="6"/>
  <c r="AY32" i="6"/>
  <c r="AX57" i="6"/>
  <c r="BO3" i="6"/>
  <c r="BO41" i="6" s="1"/>
  <c r="BS3" i="6"/>
  <c r="BS32" i="6" s="1"/>
  <c r="BW3" i="6"/>
  <c r="BW39" i="6" s="1"/>
  <c r="CD27" i="6"/>
  <c r="K155" i="6"/>
  <c r="L155" i="6"/>
  <c r="H40" i="6"/>
  <c r="H38" i="6"/>
  <c r="H34" i="6"/>
  <c r="H39" i="6"/>
  <c r="H41" i="6"/>
  <c r="J25" i="6"/>
  <c r="J8" i="7" s="1"/>
  <c r="I25" i="6"/>
  <c r="BC11" i="6"/>
  <c r="BA26" i="6" s="1"/>
  <c r="C76" i="3"/>
  <c r="N26" i="6"/>
  <c r="N9" i="7" s="1"/>
  <c r="G57" i="6"/>
  <c r="G38" i="6"/>
  <c r="H57" i="6"/>
  <c r="AZ38" i="6"/>
  <c r="AE41" i="6"/>
  <c r="AG39" i="6"/>
  <c r="AM39" i="6"/>
  <c r="AV40" i="6"/>
  <c r="AI38" i="6"/>
  <c r="J238" i="6"/>
  <c r="J239" i="6" s="1"/>
  <c r="AT41" i="6"/>
  <c r="AR40" i="6"/>
  <c r="G66" i="6"/>
  <c r="G55" i="6" s="1"/>
  <c r="G63" i="6"/>
  <c r="G52" i="6" s="1"/>
  <c r="AM18" i="6"/>
  <c r="BO20" i="6"/>
  <c r="BZ3" i="6"/>
  <c r="BZ40" i="6" s="1"/>
  <c r="AR32" i="6"/>
  <c r="AI40" i="6"/>
  <c r="AN18" i="6"/>
  <c r="AR38" i="6"/>
  <c r="M157" i="6"/>
  <c r="AG38" i="6"/>
  <c r="AM34" i="6"/>
  <c r="AK18" i="6"/>
  <c r="CA20" i="6"/>
  <c r="H30" i="6"/>
  <c r="AG41" i="6"/>
  <c r="L153" i="6"/>
  <c r="AZ18" i="6"/>
  <c r="AZ41" i="6"/>
  <c r="H248" i="6"/>
  <c r="X248" i="6" s="1"/>
  <c r="AH41" i="6"/>
  <c r="G59" i="6"/>
  <c r="BN3" i="6"/>
  <c r="BN38" i="6" s="1"/>
  <c r="BN24" i="6"/>
  <c r="BQ24" i="6"/>
  <c r="BU24" i="6"/>
  <c r="BY24" i="6"/>
  <c r="CC24" i="6"/>
  <c r="BU25" i="6"/>
  <c r="BP26" i="6"/>
  <c r="CA27" i="6"/>
  <c r="G287" i="6"/>
  <c r="BV3" i="6"/>
  <c r="BV34" i="6" s="1"/>
  <c r="X252" i="6"/>
  <c r="H245" i="6"/>
  <c r="X245" i="6" s="1"/>
  <c r="AN32" i="6"/>
  <c r="AS39" i="6"/>
  <c r="AO41" i="6"/>
  <c r="AO18" i="6"/>
  <c r="AO32" i="6"/>
  <c r="AV17" i="6"/>
  <c r="AT39" i="6"/>
  <c r="BS20" i="6"/>
  <c r="AQ41" i="6"/>
  <c r="AQ18" i="6"/>
  <c r="AQ32" i="6"/>
  <c r="BM3" i="6"/>
  <c r="BM39" i="6" s="1"/>
  <c r="AN39" i="6"/>
  <c r="AN38" i="6"/>
  <c r="BE3" i="6"/>
  <c r="BF3" i="6" s="1"/>
  <c r="BF5" i="6"/>
  <c r="BV24" i="6"/>
  <c r="BN25" i="6"/>
  <c r="AX32" i="6"/>
  <c r="AX40" i="6"/>
  <c r="AX18" i="6"/>
  <c r="G39" i="6"/>
  <c r="AN34" i="6"/>
  <c r="AN41" i="6"/>
  <c r="AW39" i="6"/>
  <c r="AX38" i="6"/>
  <c r="AS41" i="6"/>
  <c r="AD39" i="6"/>
  <c r="CA3" i="6"/>
  <c r="CA40" i="6" s="1"/>
  <c r="BQ3" i="6"/>
  <c r="BQ38" i="6" s="1"/>
  <c r="AT34" i="6"/>
  <c r="AT40" i="6"/>
  <c r="AQ34" i="6"/>
  <c r="L238" i="6"/>
  <c r="AQ39" i="6"/>
  <c r="AI41" i="6"/>
  <c r="AX34" i="6"/>
  <c r="BW20" i="6"/>
  <c r="BZ26" i="6"/>
  <c r="CD26" i="6"/>
  <c r="BQ27" i="6"/>
  <c r="H286" i="6"/>
  <c r="AW40" i="6"/>
  <c r="AW32" i="6"/>
  <c r="G41" i="6"/>
  <c r="AW41" i="6"/>
  <c r="H63" i="6"/>
  <c r="H52" i="6" s="1"/>
  <c r="G64" i="6"/>
  <c r="G53" i="6" s="1"/>
  <c r="K157" i="6"/>
  <c r="G34" i="6"/>
  <c r="BY3" i="6"/>
  <c r="BY38" i="6" s="1"/>
  <c r="K154" i="6"/>
  <c r="AI34" i="6"/>
  <c r="AZ17" i="6"/>
  <c r="AW18" i="6"/>
  <c r="AE32" i="6"/>
  <c r="AS18" i="6"/>
  <c r="AD40" i="6"/>
  <c r="AS38" i="6"/>
  <c r="AT38" i="6"/>
  <c r="AT18" i="6"/>
  <c r="AQ40" i="6"/>
  <c r="AO38" i="6"/>
  <c r="AR18" i="6"/>
  <c r="AX41" i="6"/>
  <c r="AO40" i="6"/>
  <c r="BN20" i="6"/>
  <c r="BR25" i="6"/>
  <c r="AG40" i="6"/>
  <c r="AG32" i="6"/>
  <c r="AM38" i="6"/>
  <c r="AM40" i="6"/>
  <c r="AQ38" i="6"/>
  <c r="AS34" i="6"/>
  <c r="AV34" i="6"/>
  <c r="AV38" i="6"/>
  <c r="AV39" i="6"/>
  <c r="AV41" i="6"/>
  <c r="BX25" i="6"/>
  <c r="CB25" i="6"/>
  <c r="BS26" i="6"/>
  <c r="H18" i="6"/>
  <c r="G40" i="6"/>
  <c r="G44" i="6" s="1"/>
  <c r="BD80" i="6"/>
  <c r="L287" i="6"/>
  <c r="K285" i="6"/>
  <c r="I285" i="6"/>
  <c r="J285" i="6"/>
  <c r="BQ25" i="6"/>
  <c r="G30" i="6"/>
  <c r="M153" i="6"/>
  <c r="AP18" i="6"/>
  <c r="M155" i="6"/>
  <c r="L156" i="6"/>
  <c r="CD25" i="6"/>
  <c r="BL3" i="6"/>
  <c r="BL34" i="6" s="1"/>
  <c r="L53" i="6"/>
  <c r="J55" i="6"/>
  <c r="J89" i="6" s="1"/>
  <c r="BD91" i="6"/>
  <c r="BD102" i="6"/>
  <c r="D162" i="10"/>
  <c r="E164" i="10"/>
  <c r="G148" i="10"/>
  <c r="E156" i="10"/>
  <c r="E158" i="10"/>
  <c r="G152" i="10"/>
  <c r="G156" i="10"/>
  <c r="H151" i="10"/>
  <c r="I151" i="10" s="1"/>
  <c r="J151" i="10" s="1"/>
  <c r="K151" i="10" s="1"/>
  <c r="L151" i="10" s="1"/>
  <c r="M151" i="10" s="1"/>
  <c r="H153" i="10"/>
  <c r="I153" i="10" s="1"/>
  <c r="J153" i="10" s="1"/>
  <c r="K153" i="10" s="1"/>
  <c r="L153" i="10" s="1"/>
  <c r="M153" i="10" s="1"/>
  <c r="O153" i="10" s="1"/>
  <c r="G158" i="10"/>
  <c r="F156" i="10"/>
  <c r="F158" i="10"/>
  <c r="E162" i="10"/>
  <c r="F164" i="10"/>
  <c r="G164" i="10"/>
  <c r="H163" i="10"/>
  <c r="D164" i="10"/>
  <c r="F154" i="10"/>
  <c r="F148" i="10"/>
  <c r="J236" i="10"/>
  <c r="G154" i="10"/>
  <c r="O235" i="10"/>
  <c r="M245" i="10"/>
  <c r="O183" i="10"/>
  <c r="D44" i="10"/>
  <c r="F186" i="10"/>
  <c r="Q139" i="6"/>
  <c r="J139" i="6"/>
  <c r="S139" i="6"/>
  <c r="H27" i="10"/>
  <c r="H28" i="10" s="1"/>
  <c r="G5" i="10"/>
  <c r="M6" i="6" s="1"/>
  <c r="M273" i="6" s="1"/>
  <c r="M286" i="6" s="1"/>
  <c r="L23" i="6"/>
  <c r="P139" i="6"/>
  <c r="E110" i="10"/>
  <c r="E148" i="10"/>
  <c r="D53" i="10"/>
  <c r="I229" i="10"/>
  <c r="O228" i="10"/>
  <c r="J136" i="6"/>
  <c r="E50" i="10"/>
  <c r="C41" i="10"/>
  <c r="C42" i="10" s="1"/>
  <c r="O139" i="6"/>
  <c r="M137" i="6"/>
  <c r="G184" i="10"/>
  <c r="H243" i="10"/>
  <c r="H245" i="10"/>
  <c r="L245" i="10"/>
  <c r="K23" i="6"/>
  <c r="J24" i="6"/>
  <c r="J7" i="7" s="1"/>
  <c r="L24" i="6"/>
  <c r="L7" i="7" s="1"/>
  <c r="K274" i="6"/>
  <c r="K287" i="6" s="1"/>
  <c r="E8" i="10"/>
  <c r="G91" i="10"/>
  <c r="D236" i="10"/>
  <c r="E121" i="10"/>
  <c r="F121" i="10"/>
  <c r="F245" i="10"/>
  <c r="K51" i="6"/>
  <c r="K24" i="6"/>
  <c r="K7" i="7" s="1"/>
  <c r="F27" i="10"/>
  <c r="F28" i="10" s="1"/>
  <c r="I32" i="10"/>
  <c r="O32" i="10" s="1"/>
  <c r="H186" i="10"/>
  <c r="K224" i="10"/>
  <c r="I236" i="10"/>
  <c r="I243" i="10"/>
  <c r="O242" i="10"/>
  <c r="C9" i="10"/>
  <c r="I8" i="6" s="1"/>
  <c r="I51" i="6" s="1"/>
  <c r="I85" i="6" s="1"/>
  <c r="K14" i="6"/>
  <c r="J274" i="6"/>
  <c r="J287" i="6" s="1"/>
  <c r="I24" i="6"/>
  <c r="F10" i="10"/>
  <c r="D148" i="10"/>
  <c r="C49" i="10"/>
  <c r="C53" i="10" s="1"/>
  <c r="C54" i="10" s="1"/>
  <c r="D61" i="10"/>
  <c r="C126" i="10"/>
  <c r="C129" i="10" s="1"/>
  <c r="C128" i="10" s="1"/>
  <c r="C131" i="10" s="1"/>
  <c r="I184" i="10"/>
  <c r="J212" i="10"/>
  <c r="K15" i="6"/>
  <c r="E10" i="10"/>
  <c r="J229" i="10"/>
  <c r="K236" i="10"/>
  <c r="F5" i="10"/>
  <c r="L6" i="6" s="1"/>
  <c r="L49" i="6" s="1"/>
  <c r="L83" i="6" s="1"/>
  <c r="L51" i="6"/>
  <c r="L85" i="6" s="1"/>
  <c r="I139" i="6"/>
  <c r="G41" i="4"/>
  <c r="K6" i="25"/>
  <c r="K7" i="25" s="1"/>
  <c r="K8" i="25" s="1"/>
  <c r="K9" i="25" s="1"/>
  <c r="K10" i="25" s="1"/>
  <c r="K11" i="25" s="1"/>
  <c r="K12" i="25" s="1"/>
  <c r="K13" i="25" s="1"/>
  <c r="K14" i="25" s="1"/>
  <c r="K15" i="25" s="1"/>
  <c r="K16" i="25" s="1"/>
  <c r="K17" i="25" s="1"/>
  <c r="K18" i="25" s="1"/>
  <c r="K19" i="25" s="1"/>
  <c r="K20" i="25" s="1"/>
  <c r="K21" i="25" s="1"/>
  <c r="K22" i="25" s="1"/>
  <c r="K23" i="25" s="1"/>
  <c r="K24" i="25" s="1"/>
  <c r="K25" i="25" s="1"/>
  <c r="K26" i="25" s="1"/>
  <c r="K27" i="25" s="1"/>
  <c r="K28" i="25" s="1"/>
  <c r="K29" i="25" s="1"/>
  <c r="K30" i="25" s="1"/>
  <c r="K31" i="25" s="1"/>
  <c r="K32" i="25" s="1"/>
  <c r="K33" i="25" s="1"/>
  <c r="K34" i="25" s="1"/>
  <c r="K35" i="25" s="1"/>
  <c r="K36" i="25" s="1"/>
  <c r="K37" i="25" s="1"/>
  <c r="K38" i="25" s="1"/>
  <c r="K39" i="25" s="1"/>
  <c r="K40" i="25" s="1"/>
  <c r="K41" i="25" s="1"/>
  <c r="K42" i="25" s="1"/>
  <c r="K43" i="25" s="1"/>
  <c r="K44" i="25" s="1"/>
  <c r="K45" i="25" s="1"/>
  <c r="K46" i="25" s="1"/>
  <c r="K47" i="25" s="1"/>
  <c r="K48" i="25" s="1"/>
  <c r="K49" i="25" s="1"/>
  <c r="K50" i="25" s="1"/>
  <c r="K51" i="25" s="1"/>
  <c r="K52" i="25" s="1"/>
  <c r="K53" i="25" s="1"/>
  <c r="K54" i="25" s="1"/>
  <c r="K55" i="25" s="1"/>
  <c r="K56" i="25" s="1"/>
  <c r="K57" i="25" s="1"/>
  <c r="K58" i="25" s="1"/>
  <c r="K59" i="25" s="1"/>
  <c r="K60" i="25" s="1"/>
  <c r="K61" i="25" s="1"/>
  <c r="K62" i="25" s="1"/>
  <c r="K63" i="25" s="1"/>
  <c r="K64" i="25" s="1"/>
  <c r="K65" i="25" s="1"/>
  <c r="K66" i="25" s="1"/>
  <c r="K67" i="25" s="1"/>
  <c r="K68" i="25" s="1"/>
  <c r="K69" i="25" s="1"/>
  <c r="K70" i="25" s="1"/>
  <c r="K71" i="25" s="1"/>
  <c r="K72" i="25" s="1"/>
  <c r="K73" i="25" s="1"/>
  <c r="K74" i="25" s="1"/>
  <c r="K75" i="25" s="1"/>
  <c r="K76" i="25" s="1"/>
  <c r="K77" i="25" s="1"/>
  <c r="K78" i="25" s="1"/>
  <c r="K79" i="25" s="1"/>
  <c r="K80" i="25" s="1"/>
  <c r="K81" i="25" s="1"/>
  <c r="K82" i="25" s="1"/>
  <c r="K83" i="25" s="1"/>
  <c r="K84" i="25" s="1"/>
  <c r="K85" i="25" s="1"/>
  <c r="K86" i="25" s="1"/>
  <c r="K87" i="25" s="1"/>
  <c r="K88" i="25" s="1"/>
  <c r="K89" i="25" s="1"/>
  <c r="K90" i="25" s="1"/>
  <c r="K91" i="25" s="1"/>
  <c r="K92" i="25" s="1"/>
  <c r="K93" i="25" s="1"/>
  <c r="K94" i="25" s="1"/>
  <c r="K95" i="25" s="1"/>
  <c r="K96" i="25" s="1"/>
  <c r="K97" i="25" s="1"/>
  <c r="K98" i="25" s="1"/>
  <c r="K99" i="25" s="1"/>
  <c r="K100" i="25" s="1"/>
  <c r="K101" i="25" s="1"/>
  <c r="K102" i="25" s="1"/>
  <c r="K103" i="25" s="1"/>
  <c r="K104" i="25" s="1"/>
  <c r="K105" i="25" s="1"/>
  <c r="K106" i="25" s="1"/>
  <c r="K107" i="25" s="1"/>
  <c r="K108" i="25" s="1"/>
  <c r="K109" i="25" s="1"/>
  <c r="K110" i="25" s="1"/>
  <c r="K111" i="25" s="1"/>
  <c r="K112" i="25" s="1"/>
  <c r="K113" i="25" s="1"/>
  <c r="K114" i="25" s="1"/>
  <c r="K115" i="25" s="1"/>
  <c r="K116" i="25" s="1"/>
  <c r="K117" i="25" s="1"/>
  <c r="K118" i="25" s="1"/>
  <c r="K119" i="25" s="1"/>
  <c r="K120" i="25" s="1"/>
  <c r="K121" i="25" s="1"/>
  <c r="K122" i="25" s="1"/>
  <c r="K123" i="25" s="1"/>
  <c r="K124" i="25" s="1"/>
  <c r="K125" i="25" s="1"/>
  <c r="K126" i="25" s="1"/>
  <c r="K127" i="25" s="1"/>
  <c r="K128" i="25" s="1"/>
  <c r="K129" i="25" s="1"/>
  <c r="K130" i="25" s="1"/>
  <c r="K131" i="25" s="1"/>
  <c r="K132" i="25" s="1"/>
  <c r="K133" i="25" s="1"/>
  <c r="K134" i="25" s="1"/>
  <c r="K135" i="25" s="1"/>
  <c r="K136" i="25" s="1"/>
  <c r="K137" i="25" s="1"/>
  <c r="K138" i="25" s="1"/>
  <c r="K139" i="25" s="1"/>
  <c r="K140" i="25" s="1"/>
  <c r="K141" i="25" s="1"/>
  <c r="K142" i="25" s="1"/>
  <c r="K143" i="25" s="1"/>
  <c r="K144" i="25" s="1"/>
  <c r="K145" i="25" s="1"/>
  <c r="K146" i="25" s="1"/>
  <c r="K147" i="25" s="1"/>
  <c r="K148" i="25" s="1"/>
  <c r="K149" i="25" s="1"/>
  <c r="K150" i="25" s="1"/>
  <c r="K151" i="25" s="1"/>
  <c r="K152" i="25" s="1"/>
  <c r="K153" i="25" s="1"/>
  <c r="K154" i="25" s="1"/>
  <c r="K155" i="25" s="1"/>
  <c r="K156" i="25" s="1"/>
  <c r="K157" i="25" s="1"/>
  <c r="K158" i="25" s="1"/>
  <c r="K159" i="25" s="1"/>
  <c r="K160" i="25" s="1"/>
  <c r="K161" i="25" s="1"/>
  <c r="K162" i="25" s="1"/>
  <c r="K163" i="25" s="1"/>
  <c r="K164" i="25" s="1"/>
  <c r="K165" i="25" s="1"/>
  <c r="K166" i="25" s="1"/>
  <c r="K167" i="25" s="1"/>
  <c r="K168" i="25" s="1"/>
  <c r="K169" i="25" s="1"/>
  <c r="K170" i="25" s="1"/>
  <c r="K171" i="25" s="1"/>
  <c r="K172" i="25" s="1"/>
  <c r="K173" i="25" s="1"/>
  <c r="K174" i="25" s="1"/>
  <c r="K175" i="25" s="1"/>
  <c r="K176" i="25" s="1"/>
  <c r="K177" i="25" s="1"/>
  <c r="K178" i="25" s="1"/>
  <c r="K179" i="25" s="1"/>
  <c r="K180" i="25" s="1"/>
  <c r="K181" i="25" s="1"/>
  <c r="K182" i="25" s="1"/>
  <c r="K183" i="25" s="1"/>
  <c r="K184" i="25" s="1"/>
  <c r="K185" i="25" s="1"/>
  <c r="K186" i="25" s="1"/>
  <c r="K187" i="25" s="1"/>
  <c r="K188" i="25" s="1"/>
  <c r="K189" i="25" s="1"/>
  <c r="K190" i="25" s="1"/>
  <c r="K191" i="25" s="1"/>
  <c r="K192" i="25" s="1"/>
  <c r="K193" i="25" s="1"/>
  <c r="K194" i="25" s="1"/>
  <c r="K195" i="25" s="1"/>
  <c r="K196" i="25" s="1"/>
  <c r="K197" i="25" s="1"/>
  <c r="K198" i="25" s="1"/>
  <c r="K199" i="25" s="1"/>
  <c r="K200" i="25" s="1"/>
  <c r="K201" i="25" s="1"/>
  <c r="K202" i="25" s="1"/>
  <c r="K203" i="25" s="1"/>
  <c r="K204" i="25" s="1"/>
  <c r="K205" i="25" s="1"/>
  <c r="K206" i="25" s="1"/>
  <c r="K207" i="25" s="1"/>
  <c r="K208" i="25" s="1"/>
  <c r="K209" i="25" s="1"/>
  <c r="K210" i="25" s="1"/>
  <c r="K211" i="25" s="1"/>
  <c r="K212" i="25" s="1"/>
  <c r="K213" i="25" s="1"/>
  <c r="K214" i="25" s="1"/>
  <c r="K215" i="25" s="1"/>
  <c r="K216" i="25" s="1"/>
  <c r="K217" i="25" s="1"/>
  <c r="K218" i="25" s="1"/>
  <c r="K219" i="25" s="1"/>
  <c r="K220" i="25" s="1"/>
  <c r="K221" i="25" s="1"/>
  <c r="K222" i="25" s="1"/>
  <c r="K223" i="25" s="1"/>
  <c r="K224" i="25" s="1"/>
  <c r="K225" i="25" s="1"/>
  <c r="K226" i="25" s="1"/>
  <c r="K227" i="25" s="1"/>
  <c r="K228" i="25" s="1"/>
  <c r="K229" i="25" s="1"/>
  <c r="K230" i="25" s="1"/>
  <c r="K231" i="25" s="1"/>
  <c r="K232" i="25" s="1"/>
  <c r="K233" i="25" s="1"/>
  <c r="K234" i="25" s="1"/>
  <c r="K235" i="25" s="1"/>
  <c r="K236" i="25" s="1"/>
  <c r="K237" i="25" s="1"/>
  <c r="K238" i="25" s="1"/>
  <c r="K239" i="25" s="1"/>
  <c r="K240" i="25" s="1"/>
  <c r="K241" i="25" s="1"/>
  <c r="K242" i="25" s="1"/>
  <c r="K243" i="25" s="1"/>
  <c r="K244" i="25" s="1"/>
  <c r="K245" i="25" s="1"/>
  <c r="K246" i="25" s="1"/>
  <c r="K247" i="25" s="1"/>
  <c r="K248" i="25" s="1"/>
  <c r="K249" i="25" s="1"/>
  <c r="K250" i="25" s="1"/>
  <c r="K251" i="25" s="1"/>
  <c r="K252" i="25" s="1"/>
  <c r="K253" i="25" s="1"/>
  <c r="K254" i="25" s="1"/>
  <c r="K255" i="25" s="1"/>
  <c r="K256" i="25" s="1"/>
  <c r="K257" i="25" s="1"/>
  <c r="K258" i="25" s="1"/>
  <c r="K259" i="25" s="1"/>
  <c r="K260" i="25" s="1"/>
  <c r="K261" i="25" s="1"/>
  <c r="K262" i="25" s="1"/>
  <c r="K263" i="25" s="1"/>
  <c r="K264" i="25" s="1"/>
  <c r="K265" i="25" s="1"/>
  <c r="K266" i="25" s="1"/>
  <c r="K267" i="25" s="1"/>
  <c r="K268" i="25" s="1"/>
  <c r="K269" i="25" s="1"/>
  <c r="K270" i="25" s="1"/>
  <c r="K271" i="25" s="1"/>
  <c r="K272" i="25" s="1"/>
  <c r="K273" i="25" s="1"/>
  <c r="K274" i="25" s="1"/>
  <c r="K275" i="25" s="1"/>
  <c r="K276" i="25" s="1"/>
  <c r="K277" i="25" s="1"/>
  <c r="K278" i="25" s="1"/>
  <c r="K279" i="25" s="1"/>
  <c r="K280" i="25" s="1"/>
  <c r="K281" i="25" s="1"/>
  <c r="K282" i="25" s="1"/>
  <c r="K283" i="25" s="1"/>
  <c r="K284" i="25" s="1"/>
  <c r="K285" i="25" s="1"/>
  <c r="K286" i="25" s="1"/>
  <c r="K287" i="25" s="1"/>
  <c r="K288" i="25" s="1"/>
  <c r="K289" i="25" s="1"/>
  <c r="K290" i="25" s="1"/>
  <c r="K291" i="25" s="1"/>
  <c r="K292" i="25" s="1"/>
  <c r="K293" i="25" s="1"/>
  <c r="K294" i="25" s="1"/>
  <c r="K295" i="25" s="1"/>
  <c r="K296" i="25" s="1"/>
  <c r="K297" i="25" s="1"/>
  <c r="K298" i="25" s="1"/>
  <c r="K299" i="25" s="1"/>
  <c r="K300" i="25" s="1"/>
  <c r="K301" i="25" s="1"/>
  <c r="K302" i="25" s="1"/>
  <c r="K303" i="25" s="1"/>
  <c r="K304" i="25" s="1"/>
  <c r="K305" i="25" s="1"/>
  <c r="K306" i="25" s="1"/>
  <c r="K307" i="25" s="1"/>
  <c r="K308" i="25" s="1"/>
  <c r="K309" i="25" s="1"/>
  <c r="K310" i="25" s="1"/>
  <c r="K311" i="25" s="1"/>
  <c r="K312" i="25" s="1"/>
  <c r="K313" i="25" s="1"/>
  <c r="K314" i="25" s="1"/>
  <c r="K315" i="25" s="1"/>
  <c r="K316" i="25" s="1"/>
  <c r="K317" i="25" s="1"/>
  <c r="K318" i="25" s="1"/>
  <c r="K319" i="25" s="1"/>
  <c r="K320" i="25" s="1"/>
  <c r="K321" i="25" s="1"/>
  <c r="K322" i="25" s="1"/>
  <c r="K323" i="25" s="1"/>
  <c r="K324" i="25" s="1"/>
  <c r="K325" i="25" s="1"/>
  <c r="K326" i="25" s="1"/>
  <c r="K327" i="25" s="1"/>
  <c r="K328" i="25" s="1"/>
  <c r="K329" i="25" s="1"/>
  <c r="K330" i="25" s="1"/>
  <c r="K331" i="25" s="1"/>
  <c r="K332" i="25" s="1"/>
  <c r="K333" i="25" s="1"/>
  <c r="K334" i="25" s="1"/>
  <c r="K335" i="25" s="1"/>
  <c r="K336" i="25" s="1"/>
  <c r="K337" i="25" s="1"/>
  <c r="K338" i="25" s="1"/>
  <c r="K339" i="25" s="1"/>
  <c r="K340" i="25" s="1"/>
  <c r="K341" i="25" s="1"/>
  <c r="K342" i="25" s="1"/>
  <c r="K343" i="25" s="1"/>
  <c r="K344" i="25" s="1"/>
  <c r="K345" i="25" s="1"/>
  <c r="K346" i="25" s="1"/>
  <c r="K347" i="25" s="1"/>
  <c r="K348" i="25" s="1"/>
  <c r="K349" i="25" s="1"/>
  <c r="K350" i="25" s="1"/>
  <c r="K351" i="25" s="1"/>
  <c r="K352" i="25" s="1"/>
  <c r="K353" i="25" s="1"/>
  <c r="K354" i="25" s="1"/>
  <c r="K355" i="25" s="1"/>
  <c r="K356" i="25" s="1"/>
  <c r="K357" i="25" s="1"/>
  <c r="K358" i="25" s="1"/>
  <c r="K359" i="25" s="1"/>
  <c r="K360" i="25" s="1"/>
  <c r="K361" i="25" s="1"/>
  <c r="K362" i="25" s="1"/>
  <c r="K363" i="25" s="1"/>
  <c r="K364" i="25" s="1"/>
  <c r="K365" i="25" s="1"/>
  <c r="K366" i="25" s="1"/>
  <c r="K367" i="25" s="1"/>
  <c r="K368" i="25" s="1"/>
  <c r="K369" i="25" s="1"/>
  <c r="K370" i="25" s="1"/>
  <c r="K371" i="25" s="1"/>
  <c r="K372" i="25" s="1"/>
  <c r="K373" i="25" s="1"/>
  <c r="K374" i="25" s="1"/>
  <c r="K375" i="25" s="1"/>
  <c r="K376" i="25" s="1"/>
  <c r="K377" i="25" s="1"/>
  <c r="K378" i="25" s="1"/>
  <c r="K379" i="25" s="1"/>
  <c r="K380" i="25" s="1"/>
  <c r="K381" i="25" s="1"/>
  <c r="K382" i="25" s="1"/>
  <c r="K383" i="25" s="1"/>
  <c r="K384" i="25" s="1"/>
  <c r="K385" i="25" s="1"/>
  <c r="K386" i="25" s="1"/>
  <c r="K387" i="25" s="1"/>
  <c r="K388" i="25" s="1"/>
  <c r="K389" i="25" s="1"/>
  <c r="K390" i="25" s="1"/>
  <c r="K391" i="25" s="1"/>
  <c r="K392" i="25" s="1"/>
  <c r="K393" i="25" s="1"/>
  <c r="K394" i="25" s="1"/>
  <c r="K395" i="25" s="1"/>
  <c r="K396" i="25" s="1"/>
  <c r="K397" i="25" s="1"/>
  <c r="K398" i="25" s="1"/>
  <c r="K399" i="25" s="1"/>
  <c r="K400" i="25" s="1"/>
  <c r="K401" i="25" s="1"/>
  <c r="K402" i="25" s="1"/>
  <c r="K403" i="25" s="1"/>
  <c r="K404" i="25" s="1"/>
  <c r="K405" i="25" s="1"/>
  <c r="K406" i="25" s="1"/>
  <c r="K407" i="25" s="1"/>
  <c r="K408" i="25" s="1"/>
  <c r="K409" i="25" s="1"/>
  <c r="K410" i="25" s="1"/>
  <c r="K411" i="25" s="1"/>
  <c r="K412" i="25" s="1"/>
  <c r="K413" i="25" s="1"/>
  <c r="K414" i="25" s="1"/>
  <c r="K415" i="25" s="1"/>
  <c r="K416" i="25" s="1"/>
  <c r="K417" i="25" s="1"/>
  <c r="K418" i="25" s="1"/>
  <c r="K419" i="25" s="1"/>
  <c r="K420" i="25" s="1"/>
  <c r="K421" i="25" s="1"/>
  <c r="K422" i="25" s="1"/>
  <c r="K423" i="25" s="1"/>
  <c r="K424" i="25" s="1"/>
  <c r="K425" i="25" s="1"/>
  <c r="K426" i="25" s="1"/>
  <c r="K427" i="25" s="1"/>
  <c r="K428" i="25" s="1"/>
  <c r="K429" i="25" s="1"/>
  <c r="K430" i="25" s="1"/>
  <c r="K431" i="25" s="1"/>
  <c r="K432" i="25" s="1"/>
  <c r="K433" i="25" s="1"/>
  <c r="K434" i="25" s="1"/>
  <c r="K435" i="25" s="1"/>
  <c r="K436" i="25" s="1"/>
  <c r="K437" i="25" s="1"/>
  <c r="K438" i="25" s="1"/>
  <c r="K439" i="25" s="1"/>
  <c r="K440" i="25" s="1"/>
  <c r="K441" i="25" s="1"/>
  <c r="K442" i="25" s="1"/>
  <c r="K443" i="25" s="1"/>
  <c r="K444" i="25" s="1"/>
  <c r="K445" i="25" s="1"/>
  <c r="K446" i="25" s="1"/>
  <c r="K447" i="25" s="1"/>
  <c r="K448" i="25" s="1"/>
  <c r="K449" i="25" s="1"/>
  <c r="K450" i="25" s="1"/>
  <c r="K451" i="25" s="1"/>
  <c r="K452" i="25" s="1"/>
  <c r="K453" i="25" s="1"/>
  <c r="K454" i="25" s="1"/>
  <c r="K455" i="25" s="1"/>
  <c r="K456" i="25" s="1"/>
  <c r="K457" i="25" s="1"/>
  <c r="K458" i="25" s="1"/>
  <c r="K459" i="25" s="1"/>
  <c r="K460" i="25" s="1"/>
  <c r="K461" i="25" s="1"/>
  <c r="K462" i="25" s="1"/>
  <c r="K463" i="25" s="1"/>
  <c r="K464" i="25" s="1"/>
  <c r="K465" i="25" s="1"/>
  <c r="K466" i="25" s="1"/>
  <c r="K467" i="25" s="1"/>
  <c r="K468" i="25" s="1"/>
  <c r="K469" i="25" s="1"/>
  <c r="K470" i="25" s="1"/>
  <c r="K471" i="25" s="1"/>
  <c r="K472" i="25" s="1"/>
  <c r="K473" i="25" s="1"/>
  <c r="K474" i="25" s="1"/>
  <c r="K475" i="25" s="1"/>
  <c r="K476" i="25" s="1"/>
  <c r="K477" i="25" s="1"/>
  <c r="K478" i="25" s="1"/>
  <c r="K479" i="25" s="1"/>
  <c r="K480" i="25" s="1"/>
  <c r="K481" i="25" s="1"/>
  <c r="K482" i="25" s="1"/>
  <c r="K483" i="25" s="1"/>
  <c r="K484" i="25" s="1"/>
  <c r="K485" i="25" s="1"/>
  <c r="K486" i="25" s="1"/>
  <c r="K487" i="25" s="1"/>
  <c r="K488" i="25" s="1"/>
  <c r="K489" i="25" s="1"/>
  <c r="K490" i="25" s="1"/>
  <c r="K491" i="25" s="1"/>
  <c r="K492" i="25" s="1"/>
  <c r="K493" i="25" s="1"/>
  <c r="K494" i="25" s="1"/>
  <c r="K495" i="25" s="1"/>
  <c r="K496" i="25" s="1"/>
  <c r="K497" i="25" s="1"/>
  <c r="K498" i="25" s="1"/>
  <c r="K499" i="25" s="1"/>
  <c r="K500" i="25" s="1"/>
  <c r="K501" i="25" s="1"/>
  <c r="K502" i="25" s="1"/>
  <c r="K503" i="25" s="1"/>
  <c r="K504" i="25" s="1"/>
  <c r="K505" i="25" s="1"/>
  <c r="K506" i="25" s="1"/>
  <c r="K507" i="25" s="1"/>
  <c r="K508" i="25" s="1"/>
  <c r="K509" i="25" s="1"/>
  <c r="K510" i="25" s="1"/>
  <c r="K511" i="25" s="1"/>
  <c r="K512" i="25" s="1"/>
  <c r="K513" i="25" s="1"/>
  <c r="K514" i="25" s="1"/>
  <c r="K515" i="25" s="1"/>
  <c r="K516" i="25" s="1"/>
  <c r="K517" i="25" s="1"/>
  <c r="K518" i="25" s="1"/>
  <c r="K519" i="25" s="1"/>
  <c r="K520" i="25" s="1"/>
  <c r="K521" i="25" s="1"/>
  <c r="K522" i="25" s="1"/>
  <c r="K523" i="25" s="1"/>
  <c r="K524" i="25" s="1"/>
  <c r="K525" i="25" s="1"/>
  <c r="K526" i="25" s="1"/>
  <c r="K527" i="25" s="1"/>
  <c r="K528" i="25" s="1"/>
  <c r="K529" i="25" s="1"/>
  <c r="K530" i="25" s="1"/>
  <c r="K531" i="25" s="1"/>
  <c r="K532" i="25" s="1"/>
  <c r="K533" i="25" s="1"/>
  <c r="K534" i="25" s="1"/>
  <c r="K535" i="25" s="1"/>
  <c r="K536" i="25" s="1"/>
  <c r="K537" i="25" s="1"/>
  <c r="K538" i="25" s="1"/>
  <c r="K539" i="25" s="1"/>
  <c r="K540" i="25" s="1"/>
  <c r="K541" i="25" s="1"/>
  <c r="K542" i="25" s="1"/>
  <c r="K543" i="25" s="1"/>
  <c r="K544" i="25" s="1"/>
  <c r="K545" i="25" s="1"/>
  <c r="K546" i="25" s="1"/>
  <c r="K547" i="25" s="1"/>
  <c r="K548" i="25" s="1"/>
  <c r="K549" i="25" s="1"/>
  <c r="K550" i="25" s="1"/>
  <c r="K551" i="25" s="1"/>
  <c r="K552" i="25" s="1"/>
  <c r="K553" i="25" s="1"/>
  <c r="K554" i="25" s="1"/>
  <c r="K555" i="25" s="1"/>
  <c r="K556" i="25" s="1"/>
  <c r="K557" i="25" s="1"/>
  <c r="K558" i="25" s="1"/>
  <c r="K559" i="25" s="1"/>
  <c r="K560" i="25" s="1"/>
  <c r="K561" i="25" s="1"/>
  <c r="K562" i="25" s="1"/>
  <c r="K563" i="25" s="1"/>
  <c r="K564" i="25" s="1"/>
  <c r="K565" i="25" s="1"/>
  <c r="K566" i="25" s="1"/>
  <c r="K567" i="25" s="1"/>
  <c r="K568" i="25" s="1"/>
  <c r="K569" i="25" s="1"/>
  <c r="K570" i="25" s="1"/>
  <c r="K571" i="25" s="1"/>
  <c r="K572" i="25" s="1"/>
  <c r="K573" i="25" s="1"/>
  <c r="K574" i="25" s="1"/>
  <c r="K575" i="25" s="1"/>
  <c r="K576" i="25" s="1"/>
  <c r="K577" i="25" s="1"/>
  <c r="K578" i="25" s="1"/>
  <c r="K579" i="25" s="1"/>
  <c r="K580" i="25" s="1"/>
  <c r="K581" i="25" s="1"/>
  <c r="K582" i="25" s="1"/>
  <c r="K583" i="25" s="1"/>
  <c r="K584" i="25" s="1"/>
  <c r="K585" i="25" s="1"/>
  <c r="K586" i="25" s="1"/>
  <c r="K587" i="25" s="1"/>
  <c r="K588" i="25" s="1"/>
  <c r="K589" i="25" s="1"/>
  <c r="K590" i="25" s="1"/>
  <c r="K591" i="25" s="1"/>
  <c r="K592" i="25" s="1"/>
  <c r="K593" i="25" s="1"/>
  <c r="K594" i="25" s="1"/>
  <c r="K595" i="25" s="1"/>
  <c r="K596" i="25" s="1"/>
  <c r="K597" i="25" s="1"/>
  <c r="K598" i="25" s="1"/>
  <c r="K599" i="25" s="1"/>
  <c r="K600" i="25" s="1"/>
  <c r="K601" i="25" s="1"/>
  <c r="K602" i="25" s="1"/>
  <c r="K603" i="25" s="1"/>
  <c r="K604" i="25" s="1"/>
  <c r="K605" i="25" s="1"/>
  <c r="K606" i="25" s="1"/>
  <c r="K607" i="25" s="1"/>
  <c r="K608" i="25" s="1"/>
  <c r="K609" i="25" s="1"/>
  <c r="K610" i="25" s="1"/>
  <c r="K611" i="25" s="1"/>
  <c r="K612" i="25" s="1"/>
  <c r="K613" i="25" s="1"/>
  <c r="K614" i="25" s="1"/>
  <c r="K615" i="25" s="1"/>
  <c r="K616" i="25" s="1"/>
  <c r="K617" i="25" s="1"/>
  <c r="K618" i="25" s="1"/>
  <c r="K619" i="25" s="1"/>
  <c r="K620" i="25" s="1"/>
  <c r="K621" i="25" s="1"/>
  <c r="K622" i="25" s="1"/>
  <c r="K623" i="25" s="1"/>
  <c r="K624" i="25" s="1"/>
  <c r="K625" i="25" s="1"/>
  <c r="K626" i="25" s="1"/>
  <c r="K627" i="25" s="1"/>
  <c r="K628" i="25" s="1"/>
  <c r="K629" i="25" s="1"/>
  <c r="K630" i="25" s="1"/>
  <c r="K631" i="25" s="1"/>
  <c r="K632" i="25" s="1"/>
  <c r="K633" i="25" s="1"/>
  <c r="K634" i="25" s="1"/>
  <c r="K635" i="25" s="1"/>
  <c r="K636" i="25" s="1"/>
  <c r="K637" i="25" s="1"/>
  <c r="K638" i="25" s="1"/>
  <c r="K639" i="25" s="1"/>
  <c r="K640" i="25" s="1"/>
  <c r="K641" i="25" s="1"/>
  <c r="K642" i="25" s="1"/>
  <c r="K643" i="25" s="1"/>
  <c r="K644" i="25" s="1"/>
  <c r="K645" i="25" s="1"/>
  <c r="K646" i="25" s="1"/>
  <c r="K647" i="25" s="1"/>
  <c r="K648" i="25" s="1"/>
  <c r="K649" i="25" s="1"/>
  <c r="K650" i="25" s="1"/>
  <c r="K651" i="25" s="1"/>
  <c r="K652" i="25" s="1"/>
  <c r="K653" i="25" s="1"/>
  <c r="K654" i="25" s="1"/>
  <c r="K655" i="25" s="1"/>
  <c r="K656" i="25" s="1"/>
  <c r="K657" i="25" s="1"/>
  <c r="K658" i="25" s="1"/>
  <c r="K659" i="25" s="1"/>
  <c r="K660" i="25" s="1"/>
  <c r="K661" i="25" s="1"/>
  <c r="K662" i="25" s="1"/>
  <c r="K663" i="25" s="1"/>
  <c r="K664" i="25" s="1"/>
  <c r="K665" i="25" s="1"/>
  <c r="K666" i="25" s="1"/>
  <c r="K667" i="25" s="1"/>
  <c r="K668" i="25" s="1"/>
  <c r="K669" i="25" s="1"/>
  <c r="K670" i="25" s="1"/>
  <c r="K671" i="25" s="1"/>
  <c r="K672" i="25" s="1"/>
  <c r="K673" i="25" s="1"/>
  <c r="K674" i="25" s="1"/>
  <c r="K675" i="25" s="1"/>
  <c r="K676" i="25" s="1"/>
  <c r="K677" i="25" s="1"/>
  <c r="K678" i="25" s="1"/>
  <c r="K679" i="25" s="1"/>
  <c r="K680" i="25" s="1"/>
  <c r="K681" i="25" s="1"/>
  <c r="K682" i="25" s="1"/>
  <c r="K683" i="25" s="1"/>
  <c r="K684" i="25" s="1"/>
  <c r="K685" i="25" s="1"/>
  <c r="K686" i="25" s="1"/>
  <c r="K687" i="25" s="1"/>
  <c r="K688" i="25" s="1"/>
  <c r="K689" i="25" s="1"/>
  <c r="K690" i="25" s="1"/>
  <c r="K691" i="25" s="1"/>
  <c r="K692" i="25" s="1"/>
  <c r="K693" i="25" s="1"/>
  <c r="K694" i="25" s="1"/>
  <c r="K695" i="25" s="1"/>
  <c r="K696" i="25" s="1"/>
  <c r="K697" i="25" s="1"/>
  <c r="K698" i="25" s="1"/>
  <c r="K699" i="25" s="1"/>
  <c r="K700" i="25" s="1"/>
  <c r="K701" i="25" s="1"/>
  <c r="K702" i="25" s="1"/>
  <c r="K703" i="25" s="1"/>
  <c r="K704" i="25" s="1"/>
  <c r="K705" i="25" s="1"/>
  <c r="K706" i="25" s="1"/>
  <c r="K707" i="25" s="1"/>
  <c r="K708" i="25" s="1"/>
  <c r="K709" i="25" s="1"/>
  <c r="K710" i="25" s="1"/>
  <c r="K711" i="25" s="1"/>
  <c r="K712" i="25" s="1"/>
  <c r="K713" i="25" s="1"/>
  <c r="K714" i="25" s="1"/>
  <c r="K715" i="25" s="1"/>
  <c r="K716" i="25" s="1"/>
  <c r="K717" i="25" s="1"/>
  <c r="K718" i="25" s="1"/>
  <c r="K719" i="25" s="1"/>
  <c r="K720" i="25" s="1"/>
  <c r="K721" i="25" s="1"/>
  <c r="K722" i="25" s="1"/>
  <c r="K723" i="25" s="1"/>
  <c r="K724" i="25" s="1"/>
  <c r="K725" i="25" s="1"/>
  <c r="K726" i="25" s="1"/>
  <c r="K727" i="25" s="1"/>
  <c r="K728" i="25" s="1"/>
  <c r="K729" i="25" s="1"/>
  <c r="K730" i="25" s="1"/>
  <c r="K731" i="25" s="1"/>
  <c r="K732" i="25" s="1"/>
  <c r="K733" i="25" s="1"/>
  <c r="K734" i="25" s="1"/>
  <c r="K735" i="25" s="1"/>
  <c r="K736" i="25" s="1"/>
  <c r="K737" i="25" s="1"/>
  <c r="K738" i="25" s="1"/>
  <c r="K739" i="25" s="1"/>
  <c r="K740" i="25" s="1"/>
  <c r="K741" i="25" s="1"/>
  <c r="K742" i="25" s="1"/>
  <c r="K743" i="25" s="1"/>
  <c r="K744" i="25" s="1"/>
  <c r="K745" i="25" s="1"/>
  <c r="K746" i="25" s="1"/>
  <c r="K747" i="25" s="1"/>
  <c r="K748" i="25" s="1"/>
  <c r="K749" i="25" s="1"/>
  <c r="K750" i="25" s="1"/>
  <c r="K751" i="25" s="1"/>
  <c r="K752" i="25" s="1"/>
  <c r="K753" i="25" s="1"/>
  <c r="K754" i="25" s="1"/>
  <c r="K755" i="25" s="1"/>
  <c r="K756" i="25" s="1"/>
  <c r="K757" i="25" s="1"/>
  <c r="K758" i="25" s="1"/>
  <c r="K759" i="25" s="1"/>
  <c r="K760" i="25" s="1"/>
  <c r="K761" i="25" s="1"/>
  <c r="K762" i="25" s="1"/>
  <c r="K763" i="25" s="1"/>
  <c r="K764" i="25" s="1"/>
  <c r="K765" i="25" s="1"/>
  <c r="K766" i="25" s="1"/>
  <c r="K767" i="25" s="1"/>
  <c r="K768" i="25" s="1"/>
  <c r="K769" i="25" s="1"/>
  <c r="K770" i="25" s="1"/>
  <c r="K771" i="25" s="1"/>
  <c r="K772" i="25" s="1"/>
  <c r="K773" i="25" s="1"/>
  <c r="K774" i="25" s="1"/>
  <c r="K775" i="25" s="1"/>
  <c r="K777" i="25" s="1"/>
  <c r="K778" i="25" s="1"/>
  <c r="K779" i="25" s="1"/>
  <c r="K780" i="25" s="1"/>
  <c r="K781" i="25" s="1"/>
  <c r="K782" i="25" s="1"/>
  <c r="K783" i="25" s="1"/>
  <c r="K784" i="25" s="1"/>
  <c r="K785" i="25" s="1"/>
  <c r="K786" i="25" s="1"/>
  <c r="K787" i="25" s="1"/>
  <c r="K788" i="25" s="1"/>
  <c r="K789" i="25" s="1"/>
  <c r="K790" i="25" s="1"/>
  <c r="K791" i="25" s="1"/>
  <c r="K792" i="25" s="1"/>
  <c r="K793" i="25" s="1"/>
  <c r="K794" i="25" s="1"/>
  <c r="K795" i="25" s="1"/>
  <c r="K796" i="25" s="1"/>
  <c r="K797" i="25" s="1"/>
  <c r="K798" i="25" s="1"/>
  <c r="K799" i="25" s="1"/>
  <c r="K800" i="25" s="1"/>
  <c r="K801" i="25" s="1"/>
  <c r="K802" i="25" s="1"/>
  <c r="K803" i="25" s="1"/>
  <c r="K804" i="25" s="1"/>
  <c r="K805" i="25" s="1"/>
  <c r="K806" i="25" s="1"/>
  <c r="K807" i="25" s="1"/>
  <c r="K808" i="25" s="1"/>
  <c r="K809" i="25" s="1"/>
  <c r="K810" i="25" s="1"/>
  <c r="K811" i="25" s="1"/>
  <c r="K812" i="25" s="1"/>
  <c r="K813" i="25" s="1"/>
  <c r="K814" i="25" s="1"/>
  <c r="K815" i="25" s="1"/>
  <c r="K816" i="25" s="1"/>
  <c r="K817" i="25" s="1"/>
  <c r="K818" i="25" s="1"/>
  <c r="K819" i="25" s="1"/>
  <c r="K820" i="25" s="1"/>
  <c r="K821" i="25" s="1"/>
  <c r="K822" i="25" s="1"/>
  <c r="K823" i="25" s="1"/>
  <c r="K824" i="25" s="1"/>
  <c r="K825" i="25" s="1"/>
  <c r="K826" i="25" s="1"/>
  <c r="K827" i="25" s="1"/>
  <c r="K828" i="25" s="1"/>
  <c r="K829" i="25" s="1"/>
  <c r="K830" i="25" s="1"/>
  <c r="K831" i="25" s="1"/>
  <c r="K832" i="25" s="1"/>
  <c r="K833" i="25" s="1"/>
  <c r="K834" i="25" s="1"/>
  <c r="K835" i="25" s="1"/>
  <c r="K836" i="25" s="1"/>
  <c r="K837" i="25" s="1"/>
  <c r="K838" i="25" s="1"/>
  <c r="K839" i="25" s="1"/>
  <c r="K840" i="25" s="1"/>
  <c r="K841" i="25" s="1"/>
  <c r="K842" i="25" s="1"/>
  <c r="K843" i="25" s="1"/>
  <c r="K844" i="25" s="1"/>
  <c r="K845" i="25" s="1"/>
  <c r="K846" i="25" s="1"/>
  <c r="K847" i="25" s="1"/>
  <c r="K848" i="25" s="1"/>
  <c r="K849" i="25" s="1"/>
  <c r="K850" i="25" s="1"/>
  <c r="K851" i="25" s="1"/>
  <c r="K852" i="25" s="1"/>
  <c r="K853" i="25" s="1"/>
  <c r="K854" i="25" s="1"/>
  <c r="K855" i="25" s="1"/>
  <c r="K856" i="25" s="1"/>
  <c r="K857" i="25" s="1"/>
  <c r="K858" i="25" s="1"/>
  <c r="K859" i="25" s="1"/>
  <c r="K860" i="25" s="1"/>
  <c r="K861" i="25" s="1"/>
  <c r="K862" i="25" s="1"/>
  <c r="K863" i="25" s="1"/>
  <c r="K864" i="25" s="1"/>
  <c r="K865" i="25" s="1"/>
  <c r="K866" i="25" s="1"/>
  <c r="K867" i="25" s="1"/>
  <c r="K868" i="25" s="1"/>
  <c r="K869" i="25" s="1"/>
  <c r="K870" i="25" s="1"/>
  <c r="K871" i="25" s="1"/>
  <c r="K872" i="25" s="1"/>
  <c r="K873" i="25" s="1"/>
  <c r="K874" i="25" s="1"/>
  <c r="K875" i="25" s="1"/>
  <c r="K876" i="25" s="1"/>
  <c r="K877" i="25" s="1"/>
  <c r="K878" i="25" s="1"/>
  <c r="K879" i="25" s="1"/>
  <c r="K880" i="25" s="1"/>
  <c r="K881" i="25" s="1"/>
  <c r="K882" i="25" s="1"/>
  <c r="K883" i="25" s="1"/>
  <c r="K884" i="25" s="1"/>
  <c r="K885" i="25" s="1"/>
  <c r="K886" i="25" s="1"/>
  <c r="K887" i="25" s="1"/>
  <c r="K888" i="25" s="1"/>
  <c r="K889" i="25" s="1"/>
  <c r="K890" i="25" s="1"/>
  <c r="K891" i="25" s="1"/>
  <c r="K892" i="25" s="1"/>
  <c r="K893" i="25" s="1"/>
  <c r="K894" i="25" s="1"/>
  <c r="K895" i="25" s="1"/>
  <c r="K896" i="25" s="1"/>
  <c r="K897" i="25" s="1"/>
  <c r="K898" i="25" s="1"/>
  <c r="K899" i="25" s="1"/>
  <c r="K900" i="25" s="1"/>
  <c r="K901" i="25" s="1"/>
  <c r="K902" i="25" s="1"/>
  <c r="K903" i="25" s="1"/>
  <c r="K904" i="25" s="1"/>
  <c r="K905" i="25" s="1"/>
  <c r="K906" i="25" s="1"/>
  <c r="K907" i="25" s="1"/>
  <c r="K908" i="25" s="1"/>
  <c r="K909" i="25" s="1"/>
  <c r="K910" i="25" s="1"/>
  <c r="K911" i="25" s="1"/>
  <c r="K912" i="25" s="1"/>
  <c r="K913" i="25" s="1"/>
  <c r="K914" i="25" s="1"/>
  <c r="K915" i="25" s="1"/>
  <c r="K916" i="25" s="1"/>
  <c r="K917" i="25" s="1"/>
  <c r="K918" i="25" s="1"/>
  <c r="K919" i="25" s="1"/>
  <c r="K920" i="25" s="1"/>
  <c r="K921" i="25" s="1"/>
  <c r="K922" i="25" s="1"/>
  <c r="K923" i="25" s="1"/>
  <c r="K924" i="25" s="1"/>
  <c r="K925" i="25" s="1"/>
  <c r="K926" i="25" s="1"/>
  <c r="K927" i="25" s="1"/>
  <c r="K928" i="25" s="1"/>
  <c r="K929" i="25" s="1"/>
  <c r="K930" i="25" s="1"/>
  <c r="K931" i="25" s="1"/>
  <c r="K932" i="25" s="1"/>
  <c r="K933" i="25" s="1"/>
  <c r="K934" i="25" s="1"/>
  <c r="K935" i="25" s="1"/>
  <c r="K936" i="25" s="1"/>
  <c r="K937" i="25" s="1"/>
  <c r="K938" i="25" s="1"/>
  <c r="K939" i="25" s="1"/>
  <c r="K940" i="25" s="1"/>
  <c r="K941" i="25" s="1"/>
  <c r="K942" i="25" s="1"/>
  <c r="K943" i="25" s="1"/>
  <c r="K944" i="25" s="1"/>
  <c r="K945" i="25" s="1"/>
  <c r="K946" i="25" s="1"/>
  <c r="K947" i="25" s="1"/>
  <c r="K948" i="25" s="1"/>
  <c r="K949" i="25" s="1"/>
  <c r="K950" i="25" s="1"/>
  <c r="K951" i="25" s="1"/>
  <c r="K952" i="25" s="1"/>
  <c r="K953" i="25" s="1"/>
  <c r="K954" i="25" s="1"/>
  <c r="K955" i="25" s="1"/>
  <c r="K956" i="25" s="1"/>
  <c r="K957" i="25" s="1"/>
  <c r="K958" i="25" s="1"/>
  <c r="K959" i="25" s="1"/>
  <c r="K960" i="25" s="1"/>
  <c r="K961" i="25" s="1"/>
  <c r="K962" i="25" s="1"/>
  <c r="K963" i="25" s="1"/>
  <c r="K964" i="25" s="1"/>
  <c r="K965" i="25" s="1"/>
  <c r="K966" i="25" s="1"/>
  <c r="K967" i="25" s="1"/>
  <c r="K968" i="25" s="1"/>
  <c r="K969" i="25" s="1"/>
  <c r="K970" i="25" s="1"/>
  <c r="K971" i="25" s="1"/>
  <c r="K972" i="25" s="1"/>
  <c r="K973" i="25" s="1"/>
  <c r="K974" i="25" s="1"/>
  <c r="K975" i="25" s="1"/>
  <c r="K976" i="25" s="1"/>
  <c r="K977" i="25" s="1"/>
  <c r="K978" i="25" s="1"/>
  <c r="K979" i="25" s="1"/>
  <c r="K980" i="25" s="1"/>
  <c r="K981" i="25" s="1"/>
  <c r="K982" i="25" s="1"/>
  <c r="K983" i="25" s="1"/>
  <c r="K984" i="25" s="1"/>
  <c r="K985" i="25" s="1"/>
  <c r="K986" i="25" s="1"/>
  <c r="K987" i="25" s="1"/>
  <c r="K988" i="25" s="1"/>
  <c r="K989" i="25" s="1"/>
  <c r="K990" i="25" s="1"/>
  <c r="K991" i="25" s="1"/>
  <c r="K992" i="25" s="1"/>
  <c r="K993" i="25" s="1"/>
  <c r="K994" i="25" s="1"/>
  <c r="K995" i="25" s="1"/>
  <c r="K996" i="25" s="1"/>
  <c r="K997" i="25" s="1"/>
  <c r="K998" i="25" s="1"/>
  <c r="K999" i="25" s="1"/>
  <c r="K1000" i="25" s="1"/>
  <c r="K1001" i="25" s="1"/>
  <c r="K1002" i="25" s="1"/>
  <c r="K1003" i="25" s="1"/>
  <c r="K1004" i="25" s="1"/>
  <c r="K1005" i="25" s="1"/>
  <c r="K1006" i="25" s="1"/>
  <c r="K1007" i="25" s="1"/>
  <c r="K1008" i="25" s="1"/>
  <c r="K1009" i="25" s="1"/>
  <c r="K1010" i="25" s="1"/>
  <c r="K1011" i="25" s="1"/>
  <c r="K1012" i="25" s="1"/>
  <c r="K1013" i="25" s="1"/>
  <c r="K1014" i="25" s="1"/>
  <c r="K1015" i="25" s="1"/>
  <c r="K1016" i="25" s="1"/>
  <c r="K1017" i="25" s="1"/>
  <c r="K1018" i="25" s="1"/>
  <c r="K1019" i="25" s="1"/>
  <c r="K1020" i="25" s="1"/>
  <c r="K1021" i="25" s="1"/>
  <c r="K1022" i="25" s="1"/>
  <c r="K1023" i="25" s="1"/>
  <c r="K1024" i="25" s="1"/>
  <c r="K1025" i="25" s="1"/>
  <c r="K1026" i="25" s="1"/>
  <c r="K1027" i="25" s="1"/>
  <c r="K1028" i="25" s="1"/>
  <c r="K1029" i="25" s="1"/>
  <c r="K1030" i="25" s="1"/>
  <c r="K1031" i="25" s="1"/>
  <c r="K1032" i="25" s="1"/>
  <c r="K1033" i="25" s="1"/>
  <c r="K1034" i="25" s="1"/>
  <c r="K1035" i="25" s="1"/>
  <c r="K1036" i="25" s="1"/>
  <c r="K1037" i="25" s="1"/>
  <c r="K1038" i="25" s="1"/>
  <c r="K1039" i="25" s="1"/>
  <c r="K1040" i="25" s="1"/>
  <c r="K1041" i="25" s="1"/>
  <c r="K1042" i="25" s="1"/>
  <c r="K1043" i="25" s="1"/>
  <c r="K1044" i="25" s="1"/>
  <c r="K1045" i="25" s="1"/>
  <c r="K1046" i="25" s="1"/>
  <c r="K1047" i="25" s="1"/>
  <c r="K1048" i="25" s="1"/>
  <c r="K1049" i="25" s="1"/>
  <c r="K1050" i="25" s="1"/>
  <c r="K1051" i="25" s="1"/>
  <c r="K1052" i="25" s="1"/>
  <c r="K1053" i="25" s="1"/>
  <c r="K1054" i="25" s="1"/>
  <c r="K1055" i="25" s="1"/>
  <c r="K1056" i="25" s="1"/>
  <c r="K1057" i="25" s="1"/>
  <c r="K1058" i="25" s="1"/>
  <c r="K1059" i="25" s="1"/>
  <c r="K1060" i="25" s="1"/>
  <c r="K1061" i="25" s="1"/>
  <c r="K1062" i="25" s="1"/>
  <c r="K1063" i="25" s="1"/>
  <c r="K1064" i="25" s="1"/>
  <c r="K1065" i="25" s="1"/>
  <c r="K1066" i="25" s="1"/>
  <c r="K1067" i="25" s="1"/>
  <c r="K1068" i="25" s="1"/>
  <c r="K1069" i="25" s="1"/>
  <c r="K1070" i="25" s="1"/>
  <c r="K1071" i="25" s="1"/>
  <c r="K1072" i="25" s="1"/>
  <c r="K1073" i="25" s="1"/>
  <c r="K1074" i="25" s="1"/>
  <c r="K1075" i="25" s="1"/>
  <c r="K1076" i="25" s="1"/>
  <c r="K1077" i="25" s="1"/>
  <c r="K1078" i="25" s="1"/>
  <c r="K1079" i="25" s="1"/>
  <c r="K1080" i="25" s="1"/>
  <c r="K1081" i="25" s="1"/>
  <c r="K1082" i="25" s="1"/>
  <c r="K1083" i="25" s="1"/>
  <c r="K1084" i="25" s="1"/>
  <c r="K1085" i="25" s="1"/>
  <c r="K1086" i="25" s="1"/>
  <c r="K1087" i="25" s="1"/>
  <c r="K1088" i="25" s="1"/>
  <c r="K1089" i="25" s="1"/>
  <c r="K1090" i="25" s="1"/>
  <c r="K1091" i="25" s="1"/>
  <c r="K1092" i="25" s="1"/>
  <c r="K1093" i="25" s="1"/>
  <c r="K1094" i="25" s="1"/>
  <c r="K1095" i="25" s="1"/>
  <c r="K1096" i="25" s="1"/>
  <c r="K1097" i="25" s="1"/>
  <c r="K1098" i="25" s="1"/>
  <c r="K1099" i="25" s="1"/>
  <c r="K1100" i="25" s="1"/>
  <c r="K1101" i="25" s="1"/>
  <c r="K1102" i="25" s="1"/>
  <c r="K1103" i="25" s="1"/>
  <c r="K1104" i="25" s="1"/>
  <c r="K1105" i="25" s="1"/>
  <c r="K1106" i="25" s="1"/>
  <c r="K1107" i="25" s="1"/>
  <c r="K1108" i="25" s="1"/>
  <c r="K1109" i="25" s="1"/>
  <c r="K1110" i="25" s="1"/>
  <c r="K1111" i="25" s="1"/>
  <c r="K1112" i="25" s="1"/>
  <c r="K1113" i="25" s="1"/>
  <c r="K1114" i="25" s="1"/>
  <c r="K1115" i="25" s="1"/>
  <c r="K1116" i="25" s="1"/>
  <c r="K1117" i="25" s="1"/>
  <c r="K1118" i="25" s="1"/>
  <c r="K1119" i="25" s="1"/>
  <c r="K1120" i="25" s="1"/>
  <c r="K1121" i="25" s="1"/>
  <c r="K1122" i="25" s="1"/>
  <c r="K1123" i="25" s="1"/>
  <c r="K1124" i="25" s="1"/>
  <c r="K1125" i="25" s="1"/>
  <c r="K1126" i="25" s="1"/>
  <c r="K1127" i="25" s="1"/>
  <c r="K1128" i="25" s="1"/>
  <c r="K1129" i="25" s="1"/>
  <c r="K1130" i="25" s="1"/>
  <c r="K1131" i="25" s="1"/>
  <c r="K1132" i="25" s="1"/>
  <c r="K1133" i="25" s="1"/>
  <c r="K1134" i="25" s="1"/>
  <c r="K1135" i="25" s="1"/>
  <c r="K1136" i="25" s="1"/>
  <c r="K1137" i="25" s="1"/>
  <c r="K1138" i="25" s="1"/>
  <c r="K1139" i="25" s="1"/>
  <c r="K1140" i="25" s="1"/>
  <c r="K1141" i="25" s="1"/>
  <c r="K1142" i="25" s="1"/>
  <c r="K1143" i="25" s="1"/>
  <c r="K1144" i="25" s="1"/>
  <c r="K1145" i="25" s="1"/>
  <c r="K1146" i="25" s="1"/>
  <c r="K1147" i="25" s="1"/>
  <c r="K1148" i="25" s="1"/>
  <c r="K1149" i="25" s="1"/>
  <c r="K1150" i="25" s="1"/>
  <c r="K1151" i="25" s="1"/>
  <c r="K1152" i="25" s="1"/>
  <c r="K1153" i="25" s="1"/>
  <c r="K1154" i="25" s="1"/>
  <c r="K1155" i="25" s="1"/>
  <c r="K1156" i="25" s="1"/>
  <c r="K1157" i="25" s="1"/>
  <c r="K1158" i="25" s="1"/>
  <c r="K1159" i="25" s="1"/>
  <c r="K1160" i="25" s="1"/>
  <c r="K1161" i="25" s="1"/>
  <c r="K1162" i="25" s="1"/>
  <c r="K1163" i="25" s="1"/>
  <c r="K1164" i="25" s="1"/>
  <c r="K1165" i="25" s="1"/>
  <c r="K1166" i="25" s="1"/>
  <c r="K1167" i="25" s="1"/>
  <c r="K1168" i="25" s="1"/>
  <c r="K1169" i="25" s="1"/>
  <c r="K1170" i="25" s="1"/>
  <c r="K1171" i="25" s="1"/>
  <c r="K1172" i="25" s="1"/>
  <c r="K1173" i="25" s="1"/>
  <c r="K1174" i="25" s="1"/>
  <c r="K1175" i="25" s="1"/>
  <c r="K1176" i="25" s="1"/>
  <c r="K1177" i="25" s="1"/>
  <c r="K1178" i="25" s="1"/>
  <c r="K1179" i="25" s="1"/>
  <c r="K1180" i="25" s="1"/>
  <c r="K1181" i="25" s="1"/>
  <c r="K1182" i="25" s="1"/>
  <c r="K1183" i="25" s="1"/>
  <c r="K1184" i="25" s="1"/>
  <c r="K1185" i="25" s="1"/>
  <c r="K1186" i="25" s="1"/>
  <c r="K1187" i="25" s="1"/>
  <c r="K1188" i="25" s="1"/>
  <c r="K1189" i="25" s="1"/>
  <c r="K1190" i="25" s="1"/>
  <c r="K1191" i="25" s="1"/>
  <c r="K1192" i="25" s="1"/>
  <c r="K1193" i="25" s="1"/>
  <c r="K1194" i="25" s="1"/>
  <c r="K1195" i="25" s="1"/>
  <c r="K1196" i="25" s="1"/>
  <c r="K1197" i="25" s="1"/>
  <c r="K1198" i="25" s="1"/>
  <c r="K1199" i="25" s="1"/>
  <c r="K1200" i="25" s="1"/>
  <c r="K1201" i="25" s="1"/>
  <c r="K1202" i="25" s="1"/>
  <c r="K1203" i="25" s="1"/>
  <c r="K1204" i="25" s="1"/>
  <c r="K1205" i="25" s="1"/>
  <c r="K1206" i="25" s="1"/>
  <c r="K1207" i="25" s="1"/>
  <c r="K1208" i="25" s="1"/>
  <c r="K1209" i="25" s="1"/>
  <c r="K1210" i="25" s="1"/>
  <c r="K1211" i="25" s="1"/>
  <c r="K1212" i="25" s="1"/>
  <c r="K1213" i="25" s="1"/>
  <c r="K1214" i="25" s="1"/>
  <c r="K1215" i="25" s="1"/>
  <c r="K1216" i="25" s="1"/>
  <c r="K1217" i="25" s="1"/>
  <c r="K1218" i="25" s="1"/>
  <c r="K1219" i="25" s="1"/>
  <c r="K1220" i="25" s="1"/>
  <c r="K1221" i="25" s="1"/>
  <c r="K1222" i="25" s="1"/>
  <c r="K1223" i="25" s="1"/>
  <c r="K1224" i="25" s="1"/>
  <c r="K1225" i="25" s="1"/>
  <c r="K1226" i="25" s="1"/>
  <c r="K1227" i="25" s="1"/>
  <c r="K1228" i="25" s="1"/>
  <c r="K1229" i="25" s="1"/>
  <c r="K1230" i="25" s="1"/>
  <c r="K1231" i="25" s="1"/>
  <c r="K1232" i="25" s="1"/>
  <c r="K1233" i="25" s="1"/>
  <c r="K1234" i="25" s="1"/>
  <c r="K1235" i="25" s="1"/>
  <c r="K1236" i="25" s="1"/>
  <c r="K1237" i="25" s="1"/>
  <c r="K1238" i="25" s="1"/>
  <c r="K1239" i="25" s="1"/>
  <c r="K1240" i="25" s="1"/>
  <c r="K1241" i="25" s="1"/>
  <c r="K1242" i="25" s="1"/>
  <c r="K1243" i="25" s="1"/>
  <c r="K1244" i="25" s="1"/>
  <c r="K1245" i="25" s="1"/>
  <c r="K1246" i="25" s="1"/>
  <c r="K1247" i="25" s="1"/>
  <c r="K1248" i="25" s="1"/>
  <c r="K1249" i="25" s="1"/>
  <c r="K1250" i="25" s="1"/>
  <c r="K1251" i="25" s="1"/>
  <c r="K1252" i="25" s="1"/>
  <c r="K1253" i="25" s="1"/>
  <c r="K1254" i="25" s="1"/>
  <c r="K1255" i="25" s="1"/>
  <c r="P100" i="6"/>
  <c r="Q100" i="6" s="1"/>
  <c r="R100" i="6" s="1"/>
  <c r="Q95" i="6"/>
  <c r="R95" i="6" s="1"/>
  <c r="P98" i="6"/>
  <c r="Q98" i="6" s="1"/>
  <c r="P97" i="6"/>
  <c r="Q97" i="6" s="1"/>
  <c r="G89" i="3"/>
  <c r="P96" i="6"/>
  <c r="Q96" i="6" s="1"/>
  <c r="F46" i="18"/>
  <c r="CD72" i="5"/>
  <c r="G64" i="10"/>
  <c r="G121" i="10"/>
  <c r="G76" i="10"/>
  <c r="F13" i="18"/>
  <c r="F15" i="18" s="1"/>
  <c r="AV67" i="5"/>
  <c r="AV70" i="5"/>
  <c r="AD200" i="5"/>
  <c r="AD202" i="5" s="1"/>
  <c r="AC192" i="5"/>
  <c r="AD195" i="5"/>
  <c r="AC200" i="5"/>
  <c r="AQ40" i="5"/>
  <c r="AQ41" i="5"/>
  <c r="AE101" i="5"/>
  <c r="AE117" i="5" s="1"/>
  <c r="AF50" i="5"/>
  <c r="AF241" i="5" s="1"/>
  <c r="AF242" i="5" s="1"/>
  <c r="AE237" i="5"/>
  <c r="AF240" i="5" s="1"/>
  <c r="AJ41" i="5"/>
  <c r="AH50" i="5"/>
  <c r="AG101" i="5"/>
  <c r="H210" i="5"/>
  <c r="G246" i="5"/>
  <c r="G248" i="5" s="1"/>
  <c r="AE70" i="5"/>
  <c r="AI151" i="5"/>
  <c r="AN195" i="5"/>
  <c r="AM197" i="5"/>
  <c r="AN189" i="5"/>
  <c r="AN200" i="5"/>
  <c r="AM200" i="5"/>
  <c r="E77" i="7"/>
  <c r="E101" i="5"/>
  <c r="E237" i="5"/>
  <c r="F240" i="5" s="1"/>
  <c r="E64" i="7"/>
  <c r="K222" i="5"/>
  <c r="AH39" i="5"/>
  <c r="AH210" i="5"/>
  <c r="BP36" i="5"/>
  <c r="AH37" i="5"/>
  <c r="K7" i="5"/>
  <c r="L5" i="7" s="1"/>
  <c r="K44" i="7"/>
  <c r="E195" i="5"/>
  <c r="E200" i="5"/>
  <c r="E202" i="5" s="1"/>
  <c r="F195" i="5"/>
  <c r="F189" i="5"/>
  <c r="E192" i="5"/>
  <c r="AQ50" i="5"/>
  <c r="AQ237" i="5"/>
  <c r="AR240" i="5" s="1"/>
  <c r="AR235" i="5"/>
  <c r="AR50" i="5"/>
  <c r="AQ101" i="5"/>
  <c r="AQ117" i="5" s="1"/>
  <c r="BN49" i="7" s="1"/>
  <c r="H206" i="5"/>
  <c r="H39" i="5"/>
  <c r="H11" i="7"/>
  <c r="AR162" i="5"/>
  <c r="AS161" i="5"/>
  <c r="AG109" i="5"/>
  <c r="AG117" i="5" s="1"/>
  <c r="AG166" i="5"/>
  <c r="BV32" i="5"/>
  <c r="AO33" i="5"/>
  <c r="BU32" i="5"/>
  <c r="BV26" i="6"/>
  <c r="BR26" i="6"/>
  <c r="BO36" i="5"/>
  <c r="AH148" i="5"/>
  <c r="AH155" i="5"/>
  <c r="AK181" i="5"/>
  <c r="AN202" i="5"/>
  <c r="AI41" i="5"/>
  <c r="AI40" i="5"/>
  <c r="X179" i="6"/>
  <c r="M184" i="5"/>
  <c r="M185" i="5" s="1"/>
  <c r="M201" i="5" s="1"/>
  <c r="M197" i="5"/>
  <c r="N179" i="5"/>
  <c r="I235" i="5"/>
  <c r="H64" i="7"/>
  <c r="BU3" i="6"/>
  <c r="BU27" i="6"/>
  <c r="BY27" i="6"/>
  <c r="AZ189" i="5"/>
  <c r="AF235" i="5"/>
  <c r="AF109" i="5"/>
  <c r="AF117" i="5" s="1"/>
  <c r="AF166" i="5"/>
  <c r="I162" i="5"/>
  <c r="J161" i="5"/>
  <c r="G29" i="6"/>
  <c r="F3" i="6"/>
  <c r="G18" i="6" s="1"/>
  <c r="AB246" i="5"/>
  <c r="AB192" i="5"/>
  <c r="AS101" i="5"/>
  <c r="AS50" i="5"/>
  <c r="AT235" i="5"/>
  <c r="AZ235" i="5" s="1"/>
  <c r="AJ184" i="5"/>
  <c r="AJ185" i="5" s="1"/>
  <c r="AJ201" i="5" s="1"/>
  <c r="AJ202" i="5" s="1"/>
  <c r="AK179" i="5"/>
  <c r="K271" i="6"/>
  <c r="AT154" i="5"/>
  <c r="AI181" i="5"/>
  <c r="AI184" i="5"/>
  <c r="AI185" i="5" s="1"/>
  <c r="AI201" i="5" s="1"/>
  <c r="AI202" i="5" s="1"/>
  <c r="AH184" i="5"/>
  <c r="AH185" i="5" s="1"/>
  <c r="AH201" i="5" s="1"/>
  <c r="AH202" i="5" s="1"/>
  <c r="AQ34" i="5"/>
  <c r="AQ206" i="5"/>
  <c r="AQ209" i="5" s="1"/>
  <c r="AQ211" i="5" s="1"/>
  <c r="AQ65" i="5"/>
  <c r="AQ33" i="5"/>
  <c r="BC52" i="7"/>
  <c r="BC56" i="7" s="1"/>
  <c r="BC50" i="7"/>
  <c r="BC54" i="7" s="1"/>
  <c r="AH18" i="5"/>
  <c r="AH8" i="5"/>
  <c r="BD51" i="7"/>
  <c r="BD55" i="7" s="1"/>
  <c r="AH14" i="5"/>
  <c r="AH33" i="5"/>
  <c r="AH149" i="5"/>
  <c r="AH144" i="5"/>
  <c r="BM40" i="6"/>
  <c r="H1212" i="25"/>
  <c r="CB62" i="5"/>
  <c r="BZ62" i="5"/>
  <c r="AT207" i="5"/>
  <c r="AT209" i="5" s="1"/>
  <c r="AT211" i="5" s="1"/>
  <c r="AT219" i="5" s="1"/>
  <c r="AT65" i="5"/>
  <c r="BY62" i="5"/>
  <c r="BN63" i="5"/>
  <c r="AI65" i="5"/>
  <c r="AW184" i="5"/>
  <c r="AW185" i="5" s="1"/>
  <c r="AW201" i="5" s="1"/>
  <c r="AW202" i="5" s="1"/>
  <c r="AW197" i="5"/>
  <c r="AL189" i="5"/>
  <c r="AK195" i="5"/>
  <c r="AL200" i="5"/>
  <c r="AU195" i="5"/>
  <c r="AM153" i="5"/>
  <c r="AM144" i="5"/>
  <c r="AM146" i="5"/>
  <c r="AM27" i="5"/>
  <c r="AM30" i="5"/>
  <c r="AM18" i="5"/>
  <c r="AM47" i="5"/>
  <c r="AM14" i="5"/>
  <c r="AM8" i="5"/>
  <c r="AM149" i="5"/>
  <c r="AV47" i="5"/>
  <c r="AV144" i="5"/>
  <c r="AV53" i="5"/>
  <c r="AV27" i="5"/>
  <c r="AV10" i="5"/>
  <c r="AV14" i="5"/>
  <c r="AV30" i="5"/>
  <c r="AV153" i="5"/>
  <c r="AV44" i="5"/>
  <c r="AV37" i="5"/>
  <c r="M60" i="7"/>
  <c r="M144" i="5"/>
  <c r="M8" i="5"/>
  <c r="M10" i="5"/>
  <c r="M23" i="5"/>
  <c r="M31" i="7"/>
  <c r="M25" i="5"/>
  <c r="M153" i="5"/>
  <c r="M149" i="5"/>
  <c r="M47" i="5"/>
  <c r="M43" i="7"/>
  <c r="M45" i="7" s="1"/>
  <c r="M30" i="5"/>
  <c r="M146" i="5"/>
  <c r="M27" i="5"/>
  <c r="M53" i="5"/>
  <c r="M14" i="5"/>
  <c r="C55" i="4" s="1"/>
  <c r="M85" i="7"/>
  <c r="M37" i="5"/>
  <c r="M51" i="7"/>
  <c r="M5" i="7"/>
  <c r="AK7" i="5"/>
  <c r="BQ6" i="5"/>
  <c r="M43" i="5"/>
  <c r="M218" i="5"/>
  <c r="AL43" i="5"/>
  <c r="BQ43" i="5" s="1"/>
  <c r="BR55" i="5"/>
  <c r="BS55" i="5"/>
  <c r="BQ55" i="5"/>
  <c r="AL218" i="5"/>
  <c r="BT55" i="5"/>
  <c r="AL56" i="5"/>
  <c r="J202" i="5"/>
  <c r="AC248" i="5"/>
  <c r="AV200" i="5"/>
  <c r="AU192" i="5"/>
  <c r="AV189" i="5"/>
  <c r="F166" i="5"/>
  <c r="G161" i="5" s="1"/>
  <c r="F109" i="5"/>
  <c r="AM154" i="5"/>
  <c r="AM141" i="5"/>
  <c r="AM145" i="5"/>
  <c r="AM11" i="5"/>
  <c r="AQ18" i="5"/>
  <c r="AM37" i="5"/>
  <c r="AM210" i="5"/>
  <c r="BS36" i="5"/>
  <c r="K200" i="5"/>
  <c r="K202" i="5" s="1"/>
  <c r="AJ210" i="5"/>
  <c r="BR36" i="5"/>
  <c r="AC195" i="5"/>
  <c r="AQ14" i="5"/>
  <c r="AQ153" i="5"/>
  <c r="AQ146" i="5"/>
  <c r="AQ30" i="5"/>
  <c r="AQ37" i="5"/>
  <c r="BY7" i="5"/>
  <c r="BY14" i="5" s="1"/>
  <c r="AQ44" i="5"/>
  <c r="AQ53" i="5"/>
  <c r="BY53" i="5" s="1"/>
  <c r="AQ10" i="5"/>
  <c r="AQ149" i="5"/>
  <c r="AQ27" i="5"/>
  <c r="AT202" i="5"/>
  <c r="L37" i="5"/>
  <c r="G11" i="17"/>
  <c r="M246" i="5"/>
  <c r="M248" i="5" s="1"/>
  <c r="M192" i="5"/>
  <c r="G184" i="5"/>
  <c r="G185" i="5" s="1"/>
  <c r="G201" i="5" s="1"/>
  <c r="H179" i="5"/>
  <c r="H184" i="5"/>
  <c r="H185" i="5" s="1"/>
  <c r="H201" i="5" s="1"/>
  <c r="AE184" i="5"/>
  <c r="AE185" i="5" s="1"/>
  <c r="AE201" i="5" s="1"/>
  <c r="AE202" i="5" s="1"/>
  <c r="AF179" i="5"/>
  <c r="AF181" i="5"/>
  <c r="AF184" i="5"/>
  <c r="AF185" i="5" s="1"/>
  <c r="AF201" i="5" s="1"/>
  <c r="D73" i="7"/>
  <c r="E19" i="7"/>
  <c r="D19" i="7"/>
  <c r="H200" i="5"/>
  <c r="H195" i="5"/>
  <c r="I200" i="5"/>
  <c r="BN50" i="7"/>
  <c r="BN54" i="7" s="1"/>
  <c r="BN57" i="7" s="1"/>
  <c r="AR141" i="5"/>
  <c r="AR145" i="5"/>
  <c r="AR154" i="5"/>
  <c r="AR11" i="5"/>
  <c r="H827" i="25"/>
  <c r="I827" i="25" s="1"/>
  <c r="H833" i="25"/>
  <c r="I833" i="25" s="1"/>
  <c r="AW248" i="5"/>
  <c r="AT27" i="5"/>
  <c r="AT14" i="5"/>
  <c r="AT146" i="5"/>
  <c r="AT149" i="5"/>
  <c r="AT144" i="5"/>
  <c r="I808" i="25"/>
  <c r="H825" i="25"/>
  <c r="I1015" i="25"/>
  <c r="L144" i="5"/>
  <c r="L53" i="5"/>
  <c r="L47" i="5"/>
  <c r="L30" i="5"/>
  <c r="L85" i="7"/>
  <c r="L25" i="5"/>
  <c r="L149" i="5"/>
  <c r="L60" i="7"/>
  <c r="L51" i="7"/>
  <c r="L27" i="5"/>
  <c r="L14" i="5"/>
  <c r="L8" i="5"/>
  <c r="BP6" i="5"/>
  <c r="BR6" i="5"/>
  <c r="CB6" i="5"/>
  <c r="BM17" i="5"/>
  <c r="BL17" i="5"/>
  <c r="AF32" i="5"/>
  <c r="BK17" i="5"/>
  <c r="BN17" i="5"/>
  <c r="BY17" i="5"/>
  <c r="BY18" i="5" s="1"/>
  <c r="BX17" i="5"/>
  <c r="AR32" i="5"/>
  <c r="BW17" i="5"/>
  <c r="BZ17" i="5"/>
  <c r="AK50" i="5"/>
  <c r="AK207" i="5"/>
  <c r="AW56" i="5"/>
  <c r="AW43" i="5"/>
  <c r="AW218" i="5"/>
  <c r="CB55" i="5"/>
  <c r="K207" i="5"/>
  <c r="AI207" i="5"/>
  <c r="AW208" i="5"/>
  <c r="CB69" i="5"/>
  <c r="BR76" i="5"/>
  <c r="BS76" i="5"/>
  <c r="AZ127" i="5"/>
  <c r="N127" i="5" s="1"/>
  <c r="J241" i="6"/>
  <c r="H800" i="25"/>
  <c r="H997" i="25"/>
  <c r="I997" i="25" s="1"/>
  <c r="H999" i="25"/>
  <c r="H1001" i="25"/>
  <c r="I1001" i="25" s="1"/>
  <c r="H1007" i="25"/>
  <c r="H1020" i="25"/>
  <c r="I1020" i="25" s="1"/>
  <c r="I1130" i="25"/>
  <c r="H1176" i="25"/>
  <c r="I1176" i="25" s="1"/>
  <c r="BU5" i="5"/>
  <c r="BS5" i="5"/>
  <c r="AW7" i="5"/>
  <c r="AA14" i="5"/>
  <c r="AA10" i="5"/>
  <c r="AA8" i="5"/>
  <c r="AW51" i="7"/>
  <c r="AW55" i="7" s="1"/>
  <c r="AA30" i="5"/>
  <c r="AA47" i="5"/>
  <c r="AA53" i="5"/>
  <c r="AA18" i="5"/>
  <c r="AL14" i="5"/>
  <c r="AL30" i="5"/>
  <c r="AL47" i="5"/>
  <c r="AL153" i="5"/>
  <c r="AL18" i="5"/>
  <c r="D58" i="5"/>
  <c r="D32" i="5"/>
  <c r="AD207" i="5"/>
  <c r="AD209" i="5" s="1"/>
  <c r="AD211" i="5" s="1"/>
  <c r="AD43" i="5"/>
  <c r="BI46" i="5"/>
  <c r="BL46" i="5"/>
  <c r="BR52" i="5"/>
  <c r="AM53" i="5"/>
  <c r="BU52" i="5"/>
  <c r="AF212" i="5"/>
  <c r="AE40" i="6"/>
  <c r="AI18" i="6"/>
  <c r="AE38" i="6"/>
  <c r="I119" i="5"/>
  <c r="I135" i="5" s="1"/>
  <c r="H796" i="25"/>
  <c r="I796" i="25" s="1"/>
  <c r="H798" i="25"/>
  <c r="H802" i="25"/>
  <c r="I802" i="25" s="1"/>
  <c r="H1128" i="25"/>
  <c r="I1134" i="25"/>
  <c r="D15" i="5"/>
  <c r="C32" i="5"/>
  <c r="AL201" i="5"/>
  <c r="AL202" i="5" s="1"/>
  <c r="AF248" i="5"/>
  <c r="H794" i="25"/>
  <c r="H932" i="25"/>
  <c r="I932" i="25" s="1"/>
  <c r="I1128" i="25"/>
  <c r="G33" i="5"/>
  <c r="G53" i="5"/>
  <c r="G153" i="5"/>
  <c r="G43" i="7"/>
  <c r="G27" i="5"/>
  <c r="G42" i="7"/>
  <c r="G10" i="5"/>
  <c r="G18" i="5"/>
  <c r="G146" i="5"/>
  <c r="AE7" i="5"/>
  <c r="AE44" i="5" s="1"/>
  <c r="BL5" i="5"/>
  <c r="BM5" i="5"/>
  <c r="G43" i="5"/>
  <c r="G44" i="5" s="1"/>
  <c r="G47" i="5"/>
  <c r="G80" i="6" s="1"/>
  <c r="G207" i="5"/>
  <c r="AF43" i="5"/>
  <c r="BN46" i="5"/>
  <c r="AF207" i="5"/>
  <c r="BW52" i="5"/>
  <c r="AO53" i="5"/>
  <c r="BV52" i="5"/>
  <c r="BW55" i="5"/>
  <c r="BV55" i="5"/>
  <c r="AO218" i="5"/>
  <c r="AT248" i="5"/>
  <c r="I184" i="5"/>
  <c r="I185" i="5" s="1"/>
  <c r="I201" i="5" s="1"/>
  <c r="I202" i="5" s="1"/>
  <c r="I179" i="5"/>
  <c r="BX40" i="6"/>
  <c r="H900" i="25"/>
  <c r="I900" i="25" s="1"/>
  <c r="H922" i="25"/>
  <c r="I922" i="25" s="1"/>
  <c r="H924" i="25"/>
  <c r="I924" i="25" s="1"/>
  <c r="H1143" i="25"/>
  <c r="I1143" i="25" s="1"/>
  <c r="BN5" i="5"/>
  <c r="AF7" i="5"/>
  <c r="E44" i="7"/>
  <c r="E7" i="5"/>
  <c r="F5" i="7" s="1"/>
  <c r="AU209" i="5"/>
  <c r="AU211" i="5" s="1"/>
  <c r="M77" i="7"/>
  <c r="M73" i="7"/>
  <c r="H882" i="25"/>
  <c r="H890" i="25"/>
  <c r="I890" i="25" s="1"/>
  <c r="H896" i="25"/>
  <c r="H898" i="25"/>
  <c r="I898" i="25" s="1"/>
  <c r="I910" i="25"/>
  <c r="H973" i="25"/>
  <c r="I973" i="25" s="1"/>
  <c r="H975" i="25"/>
  <c r="I975" i="25" s="1"/>
  <c r="AP219" i="5"/>
  <c r="AO212" i="5"/>
  <c r="I882" i="25"/>
  <c r="H886" i="25"/>
  <c r="I886" i="25" s="1"/>
  <c r="H888" i="25"/>
  <c r="H892" i="25"/>
  <c r="I892" i="25" s="1"/>
  <c r="H894" i="25"/>
  <c r="H1102" i="25"/>
  <c r="I1102" i="25" s="1"/>
  <c r="H1129" i="25"/>
  <c r="I1129" i="25" s="1"/>
  <c r="E1216" i="25"/>
  <c r="H1216" i="25" s="1"/>
  <c r="I1216" i="25" s="1"/>
  <c r="H1215" i="25"/>
  <c r="I1215" i="25" s="1"/>
  <c r="H1218" i="25"/>
  <c r="I1218" i="25" s="1"/>
  <c r="I798" i="25"/>
  <c r="H809" i="25"/>
  <c r="H874" i="25"/>
  <c r="H876" i="25"/>
  <c r="H878" i="25"/>
  <c r="I878" i="25" s="1"/>
  <c r="E967" i="25"/>
  <c r="H966" i="25"/>
  <c r="H971" i="25"/>
  <c r="H977" i="25"/>
  <c r="I977" i="25" s="1"/>
  <c r="I991" i="25"/>
  <c r="I993" i="25"/>
  <c r="H1009" i="25"/>
  <c r="I1009" i="25" s="1"/>
  <c r="H1076" i="25"/>
  <c r="I1076" i="25" s="1"/>
  <c r="H1106" i="25"/>
  <c r="H1108" i="25"/>
  <c r="H1117" i="25"/>
  <c r="I1117" i="25" s="1"/>
  <c r="I1155" i="25"/>
  <c r="H1161" i="25"/>
  <c r="I1161" i="25" s="1"/>
  <c r="H1195" i="25"/>
  <c r="I1195" i="25" s="1"/>
  <c r="H1210" i="25"/>
  <c r="I1210" i="25" s="1"/>
  <c r="F207" i="5"/>
  <c r="F43" i="5"/>
  <c r="F58" i="5" s="1"/>
  <c r="F60" i="5" s="1"/>
  <c r="AH18" i="6"/>
  <c r="AD34" i="6"/>
  <c r="AD41" i="6"/>
  <c r="BT3" i="6"/>
  <c r="BX27" i="6"/>
  <c r="H784" i="25"/>
  <c r="I784" i="25" s="1"/>
  <c r="H786" i="25"/>
  <c r="H790" i="25"/>
  <c r="H792" i="25"/>
  <c r="I874" i="25"/>
  <c r="I876" i="25"/>
  <c r="H887" i="25"/>
  <c r="I887" i="25" s="1"/>
  <c r="H899" i="25"/>
  <c r="D963" i="25"/>
  <c r="H962" i="25"/>
  <c r="H965" i="25"/>
  <c r="I965" i="25" s="1"/>
  <c r="H1060" i="25"/>
  <c r="I1060" i="25" s="1"/>
  <c r="H1070" i="25"/>
  <c r="I1070" i="25" s="1"/>
  <c r="I1072" i="25"/>
  <c r="H1095" i="25"/>
  <c r="I1095" i="25" s="1"/>
  <c r="H1187" i="25"/>
  <c r="H1197" i="25"/>
  <c r="I1197" i="25" s="1"/>
  <c r="H1199" i="25"/>
  <c r="I1199" i="25" s="1"/>
  <c r="H1201" i="25"/>
  <c r="I1201" i="25" s="1"/>
  <c r="I1212" i="25"/>
  <c r="AD30" i="5"/>
  <c r="AQ129" i="5"/>
  <c r="J210" i="5"/>
  <c r="E11" i="17"/>
  <c r="AF39" i="6"/>
  <c r="AJ18" i="6"/>
  <c r="AF41" i="6"/>
  <c r="CC3" i="6"/>
  <c r="AH38" i="6"/>
  <c r="AH32" i="6"/>
  <c r="AH34" i="6"/>
  <c r="AW209" i="5"/>
  <c r="AW211" i="5" s="1"/>
  <c r="AW219" i="5" s="1"/>
  <c r="I778" i="25"/>
  <c r="I780" i="25"/>
  <c r="H866" i="25"/>
  <c r="H939" i="25"/>
  <c r="H992" i="25"/>
  <c r="I992" i="25" s="1"/>
  <c r="H998" i="25"/>
  <c r="I998" i="25" s="1"/>
  <c r="H1047" i="25"/>
  <c r="I1047" i="25" s="1"/>
  <c r="H1053" i="25"/>
  <c r="H1185" i="25"/>
  <c r="H1248" i="25"/>
  <c r="I1248" i="25" s="1"/>
  <c r="C7" i="5"/>
  <c r="C14" i="5" s="1"/>
  <c r="L44" i="7"/>
  <c r="I790" i="25"/>
  <c r="I792" i="25"/>
  <c r="I939" i="25"/>
  <c r="H982" i="25"/>
  <c r="I982" i="25" s="1"/>
  <c r="H984" i="25"/>
  <c r="H988" i="25"/>
  <c r="I988" i="25" s="1"/>
  <c r="H990" i="25"/>
  <c r="H1085" i="25"/>
  <c r="H1144" i="25"/>
  <c r="I1144" i="25" s="1"/>
  <c r="I1185" i="25"/>
  <c r="D7" i="5"/>
  <c r="D42" i="7" s="1"/>
  <c r="AT58" i="5"/>
  <c r="AT59" i="5" s="1"/>
  <c r="H222" i="5"/>
  <c r="AR222" i="5"/>
  <c r="AE129" i="5"/>
  <c r="AE197" i="5" s="1"/>
  <c r="AC170" i="5"/>
  <c r="AC164" i="5"/>
  <c r="AR170" i="5"/>
  <c r="AS169" i="5"/>
  <c r="AS170" i="5" s="1"/>
  <c r="BT24" i="6"/>
  <c r="BP3" i="6"/>
  <c r="BP24" i="6"/>
  <c r="CB3" i="6"/>
  <c r="CB24" i="6"/>
  <c r="BY26" i="6"/>
  <c r="BU26" i="6"/>
  <c r="M242" i="5"/>
  <c r="H823" i="25"/>
  <c r="H840" i="25"/>
  <c r="H844" i="25"/>
  <c r="I844" i="25" s="1"/>
  <c r="H846" i="25"/>
  <c r="H850" i="25"/>
  <c r="I850" i="25" s="1"/>
  <c r="H852" i="25"/>
  <c r="I852" i="25" s="1"/>
  <c r="H856" i="25"/>
  <c r="H858" i="25"/>
  <c r="I860" i="25"/>
  <c r="H949" i="25"/>
  <c r="I949" i="25" s="1"/>
  <c r="H951" i="25"/>
  <c r="I951" i="25" s="1"/>
  <c r="H955" i="25"/>
  <c r="I955" i="25" s="1"/>
  <c r="H957" i="25"/>
  <c r="I957" i="25" s="1"/>
  <c r="H961" i="25"/>
  <c r="I961" i="25" s="1"/>
  <c r="H1031" i="25"/>
  <c r="I1031" i="25" s="1"/>
  <c r="H1045" i="25"/>
  <c r="I1045" i="25" s="1"/>
  <c r="I1179" i="25"/>
  <c r="H1223" i="25"/>
  <c r="H1246" i="25"/>
  <c r="I1246" i="25" s="1"/>
  <c r="K21" i="5"/>
  <c r="K17" i="5"/>
  <c r="AH125" i="5"/>
  <c r="AH119" i="5" s="1"/>
  <c r="AI227" i="5"/>
  <c r="L44" i="5"/>
  <c r="H77" i="24"/>
  <c r="H78" i="24" s="1"/>
  <c r="H810" i="25"/>
  <c r="H812" i="25"/>
  <c r="H820" i="25"/>
  <c r="I820" i="25" s="1"/>
  <c r="H1027" i="25"/>
  <c r="I1027" i="25" s="1"/>
  <c r="H1029" i="25"/>
  <c r="I1029" i="25" s="1"/>
  <c r="H1049" i="25"/>
  <c r="H1055" i="25"/>
  <c r="H1138" i="25"/>
  <c r="I1138" i="25" s="1"/>
  <c r="H1234" i="25"/>
  <c r="I1234" i="25" s="1"/>
  <c r="H1240" i="25"/>
  <c r="H1244" i="25"/>
  <c r="I1244" i="25" s="1"/>
  <c r="H1250" i="25"/>
  <c r="I1250" i="25" s="1"/>
  <c r="AJ7" i="5"/>
  <c r="AJ80" i="5" s="1"/>
  <c r="AH101" i="5"/>
  <c r="AI9" i="5"/>
  <c r="AH9" i="5"/>
  <c r="H793" i="25"/>
  <c r="I793" i="25" s="1"/>
  <c r="I810" i="25"/>
  <c r="H814" i="25"/>
  <c r="I814" i="25" s="1"/>
  <c r="H816" i="25"/>
  <c r="I816" i="25" s="1"/>
  <c r="I834" i="25"/>
  <c r="I840" i="25"/>
  <c r="I856" i="25"/>
  <c r="I858" i="25"/>
  <c r="H902" i="25"/>
  <c r="I902" i="25" s="1"/>
  <c r="H914" i="25"/>
  <c r="I914" i="25" s="1"/>
  <c r="I953" i="25"/>
  <c r="H1017" i="25"/>
  <c r="H1051" i="25"/>
  <c r="I1051" i="25" s="1"/>
  <c r="H1174" i="25"/>
  <c r="I1221" i="25"/>
  <c r="H1232" i="25"/>
  <c r="I1232" i="25" s="1"/>
  <c r="H1236" i="25"/>
  <c r="I1236" i="25" s="1"/>
  <c r="H1238" i="25"/>
  <c r="I1238" i="25" s="1"/>
  <c r="BO62" i="5"/>
  <c r="AZ229" i="5"/>
  <c r="O215" i="10"/>
  <c r="P215" i="10"/>
  <c r="H631" i="25"/>
  <c r="E3" i="25"/>
  <c r="U10" i="24" s="1"/>
  <c r="I912" i="25"/>
  <c r="H928" i="25"/>
  <c r="I928" i="25" s="1"/>
  <c r="H930" i="25"/>
  <c r="I930" i="25" s="1"/>
  <c r="H934" i="25"/>
  <c r="I934" i="25" s="1"/>
  <c r="H936" i="25"/>
  <c r="H938" i="25"/>
  <c r="I938" i="25" s="1"/>
  <c r="I971" i="25"/>
  <c r="H986" i="25"/>
  <c r="I986" i="25" s="1"/>
  <c r="H1022" i="25"/>
  <c r="H1033" i="25"/>
  <c r="I1033" i="25" s="1"/>
  <c r="H1043" i="25"/>
  <c r="H1071" i="25"/>
  <c r="I1071" i="25" s="1"/>
  <c r="H1077" i="25"/>
  <c r="H1087" i="25"/>
  <c r="I1087" i="25" s="1"/>
  <c r="H1093" i="25"/>
  <c r="I1093" i="25" s="1"/>
  <c r="H1101" i="25"/>
  <c r="I1101" i="25" s="1"/>
  <c r="H1127" i="25"/>
  <c r="I1127" i="25" s="1"/>
  <c r="H1142" i="25"/>
  <c r="H1150" i="25"/>
  <c r="I1150" i="25" s="1"/>
  <c r="H1156" i="25"/>
  <c r="I1156" i="25" s="1"/>
  <c r="H1192" i="25"/>
  <c r="I1192" i="25" s="1"/>
  <c r="H1226" i="25"/>
  <c r="I1226" i="25" s="1"/>
  <c r="I1240" i="25"/>
  <c r="L21" i="5"/>
  <c r="AO50" i="5"/>
  <c r="H777" i="25"/>
  <c r="H807" i="25"/>
  <c r="I807" i="25" s="1"/>
  <c r="H815" i="25"/>
  <c r="H821" i="25"/>
  <c r="H829" i="25"/>
  <c r="I829" i="25" s="1"/>
  <c r="H831" i="25"/>
  <c r="H835" i="25"/>
  <c r="I835" i="25" s="1"/>
  <c r="H839" i="25"/>
  <c r="I839" i="25" s="1"/>
  <c r="H845" i="25"/>
  <c r="I845" i="25" s="1"/>
  <c r="H867" i="25"/>
  <c r="I867" i="25" s="1"/>
  <c r="H871" i="25"/>
  <c r="I871" i="25" s="1"/>
  <c r="H873" i="25"/>
  <c r="I873" i="25" s="1"/>
  <c r="H875" i="25"/>
  <c r="I875" i="25" s="1"/>
  <c r="H881" i="25"/>
  <c r="I881" i="25" s="1"/>
  <c r="H885" i="25"/>
  <c r="I885" i="25" s="1"/>
  <c r="H893" i="25"/>
  <c r="I893" i="25" s="1"/>
  <c r="H905" i="25"/>
  <c r="I905" i="25" s="1"/>
  <c r="H942" i="25"/>
  <c r="I942" i="25" s="1"/>
  <c r="H950" i="25"/>
  <c r="I950" i="25" s="1"/>
  <c r="H956" i="25"/>
  <c r="H978" i="25"/>
  <c r="I978" i="25" s="1"/>
  <c r="H994" i="25"/>
  <c r="I994" i="25" s="1"/>
  <c r="H996" i="25"/>
  <c r="H1004" i="25"/>
  <c r="H1014" i="25"/>
  <c r="H1016" i="25"/>
  <c r="H1024" i="25"/>
  <c r="I1024" i="25" s="1"/>
  <c r="I1035" i="25"/>
  <c r="I1053" i="25"/>
  <c r="H1057" i="25"/>
  <c r="I1057" i="25" s="1"/>
  <c r="H1061" i="25"/>
  <c r="H1075" i="25"/>
  <c r="I1075" i="25" s="1"/>
  <c r="H1081" i="25"/>
  <c r="H1107" i="25"/>
  <c r="I1107" i="25" s="1"/>
  <c r="I1119" i="25"/>
  <c r="I1125" i="25"/>
  <c r="H1135" i="25"/>
  <c r="I1135" i="25" s="1"/>
  <c r="H1162" i="25"/>
  <c r="I1162" i="25" s="1"/>
  <c r="I1167" i="25"/>
  <c r="H1186" i="25"/>
  <c r="H1224" i="25"/>
  <c r="AT111" i="5"/>
  <c r="AT166" i="5" s="1"/>
  <c r="AU161" i="5" s="1"/>
  <c r="AG129" i="5"/>
  <c r="AS129" i="5"/>
  <c r="AS197" i="5" s="1"/>
  <c r="AI129" i="5"/>
  <c r="C248" i="5"/>
  <c r="H785" i="25"/>
  <c r="I785" i="25" s="1"/>
  <c r="H797" i="25"/>
  <c r="H803" i="25"/>
  <c r="H813" i="25"/>
  <c r="I813" i="25" s="1"/>
  <c r="H817" i="25"/>
  <c r="I817" i="25" s="1"/>
  <c r="I825" i="25"/>
  <c r="I837" i="25"/>
  <c r="H841" i="25"/>
  <c r="I841" i="25" s="1"/>
  <c r="H843" i="25"/>
  <c r="I843" i="25" s="1"/>
  <c r="H851" i="25"/>
  <c r="I851" i="25" s="1"/>
  <c r="H877" i="25"/>
  <c r="I877" i="25" s="1"/>
  <c r="I879" i="25"/>
  <c r="H883" i="25"/>
  <c r="H889" i="25"/>
  <c r="I889" i="25" s="1"/>
  <c r="H891" i="25"/>
  <c r="H895" i="25"/>
  <c r="I895" i="25" s="1"/>
  <c r="H897" i="25"/>
  <c r="H903" i="25"/>
  <c r="H907" i="25"/>
  <c r="I907" i="25" s="1"/>
  <c r="H909" i="25"/>
  <c r="H911" i="25"/>
  <c r="I911" i="25" s="1"/>
  <c r="H917" i="25"/>
  <c r="I917" i="25" s="1"/>
  <c r="H946" i="25"/>
  <c r="I946" i="25" s="1"/>
  <c r="H948" i="25"/>
  <c r="I948" i="25" s="1"/>
  <c r="H952" i="25"/>
  <c r="I952" i="25" s="1"/>
  <c r="H954" i="25"/>
  <c r="I954" i="25" s="1"/>
  <c r="H958" i="25"/>
  <c r="I958" i="25" s="1"/>
  <c r="H960" i="25"/>
  <c r="I960" i="25" s="1"/>
  <c r="I962" i="25"/>
  <c r="H964" i="25"/>
  <c r="I964" i="25" s="1"/>
  <c r="H974" i="25"/>
  <c r="I984" i="25"/>
  <c r="H1000" i="25"/>
  <c r="I1000" i="25" s="1"/>
  <c r="H1002" i="25"/>
  <c r="H1006" i="25"/>
  <c r="I1006" i="25" s="1"/>
  <c r="H1008" i="25"/>
  <c r="H1010" i="25"/>
  <c r="I1014" i="25"/>
  <c r="H1044" i="25"/>
  <c r="H1050" i="25"/>
  <c r="I1050" i="25" s="1"/>
  <c r="H1079" i="25"/>
  <c r="I1079" i="25" s="1"/>
  <c r="I1083" i="25"/>
  <c r="I1089" i="25"/>
  <c r="H1105" i="25"/>
  <c r="I1105" i="25" s="1"/>
  <c r="I1146" i="25"/>
  <c r="H1184" i="25"/>
  <c r="I1184" i="25" s="1"/>
  <c r="H1198" i="25"/>
  <c r="H1222" i="25"/>
  <c r="H1243" i="25"/>
  <c r="I1243" i="25" s="1"/>
  <c r="H1251" i="25"/>
  <c r="I1251" i="25" s="1"/>
  <c r="H7" i="5"/>
  <c r="H44" i="5" s="1"/>
  <c r="AB7" i="5"/>
  <c r="BM6" i="5"/>
  <c r="BY6" i="5"/>
  <c r="AD58" i="5"/>
  <c r="BV62" i="5"/>
  <c r="AL93" i="5"/>
  <c r="M228" i="5"/>
  <c r="AV129" i="5"/>
  <c r="AV197" i="5" s="1"/>
  <c r="AE170" i="5"/>
  <c r="AZ169" i="5"/>
  <c r="AU169" i="5"/>
  <c r="AU170" i="5" s="1"/>
  <c r="AZ170" i="5" s="1"/>
  <c r="N170" i="5" s="1"/>
  <c r="G238" i="6"/>
  <c r="G241" i="6" s="1"/>
  <c r="H781" i="25"/>
  <c r="I781" i="25" s="1"/>
  <c r="H783" i="25"/>
  <c r="H789" i="25"/>
  <c r="H791" i="25"/>
  <c r="H799" i="25"/>
  <c r="I799" i="25" s="1"/>
  <c r="H801" i="25"/>
  <c r="I809" i="25"/>
  <c r="I831" i="25"/>
  <c r="H847" i="25"/>
  <c r="I847" i="25" s="1"/>
  <c r="H849" i="25"/>
  <c r="I849" i="25" s="1"/>
  <c r="H853" i="25"/>
  <c r="I853" i="25" s="1"/>
  <c r="H855" i="25"/>
  <c r="I855" i="25" s="1"/>
  <c r="H857" i="25"/>
  <c r="H865" i="25"/>
  <c r="I865" i="25" s="1"/>
  <c r="H913" i="25"/>
  <c r="I913" i="25" s="1"/>
  <c r="H915" i="25"/>
  <c r="H923" i="25"/>
  <c r="I923" i="25" s="1"/>
  <c r="I966" i="25"/>
  <c r="H970" i="25"/>
  <c r="I970" i="25" s="1"/>
  <c r="H972" i="25"/>
  <c r="I972" i="25" s="1"/>
  <c r="H976" i="25"/>
  <c r="I976" i="25" s="1"/>
  <c r="H1056" i="25"/>
  <c r="I1056" i="25" s="1"/>
  <c r="H1086" i="25"/>
  <c r="I1086" i="25" s="1"/>
  <c r="H1092" i="25"/>
  <c r="I1092" i="25" s="1"/>
  <c r="H1114" i="25"/>
  <c r="I1158" i="25"/>
  <c r="H1175" i="25"/>
  <c r="I1180" i="25"/>
  <c r="H1182" i="25"/>
  <c r="I1182" i="25" s="1"/>
  <c r="I1224" i="25"/>
  <c r="H1229" i="25"/>
  <c r="H1231" i="25"/>
  <c r="I1231" i="25" s="1"/>
  <c r="H1237" i="25"/>
  <c r="H1241" i="25"/>
  <c r="I1241" i="25" s="1"/>
  <c r="H1249" i="25"/>
  <c r="I1249" i="25" s="1"/>
  <c r="AC7" i="5"/>
  <c r="AO43" i="5"/>
  <c r="G56" i="5"/>
  <c r="AQ215" i="5"/>
  <c r="AQ212" i="5" s="1"/>
  <c r="AV111" i="5"/>
  <c r="AV109" i="5" s="1"/>
  <c r="AV117" i="5" s="1"/>
  <c r="AE120" i="5"/>
  <c r="AE119" i="5" s="1"/>
  <c r="H822" i="25"/>
  <c r="I822" i="25" s="1"/>
  <c r="H859" i="25"/>
  <c r="I859" i="25" s="1"/>
  <c r="H863" i="25"/>
  <c r="I863" i="25" s="1"/>
  <c r="I891" i="25"/>
  <c r="I903" i="25"/>
  <c r="H919" i="25"/>
  <c r="I919" i="25" s="1"/>
  <c r="H921" i="25"/>
  <c r="H925" i="25"/>
  <c r="I925" i="25" s="1"/>
  <c r="H927" i="25"/>
  <c r="H929" i="25"/>
  <c r="I929" i="25" s="1"/>
  <c r="H935" i="25"/>
  <c r="I935" i="25" s="1"/>
  <c r="I1002" i="25"/>
  <c r="H1030" i="25"/>
  <c r="I1030" i="25" s="1"/>
  <c r="H1046" i="25"/>
  <c r="H1062" i="25"/>
  <c r="I1062" i="25" s="1"/>
  <c r="H1068" i="25"/>
  <c r="I1068" i="25" s="1"/>
  <c r="I1077" i="25"/>
  <c r="H1098" i="25"/>
  <c r="I1098" i="25" s="1"/>
  <c r="H1120" i="25"/>
  <c r="H1124" i="25"/>
  <c r="I1124" i="25" s="1"/>
  <c r="H1126" i="25"/>
  <c r="I1126" i="25" s="1"/>
  <c r="H1168" i="25"/>
  <c r="I1168" i="25" s="1"/>
  <c r="H1177" i="25"/>
  <c r="H1233" i="25"/>
  <c r="I1233" i="25" s="1"/>
  <c r="H1253" i="25"/>
  <c r="BY5" i="5"/>
  <c r="BO6" i="5"/>
  <c r="CA6" i="5"/>
  <c r="BW62" i="5"/>
  <c r="L111" i="5"/>
  <c r="L166" i="5" s="1"/>
  <c r="M161" i="5" s="1"/>
  <c r="AP120" i="5"/>
  <c r="AP119" i="5" s="1"/>
  <c r="AP135" i="5" s="1"/>
  <c r="AC227" i="5"/>
  <c r="AC125" i="5"/>
  <c r="AO227" i="5"/>
  <c r="D228" i="5"/>
  <c r="O77" i="24"/>
  <c r="O78" i="24" s="1"/>
  <c r="H824" i="25"/>
  <c r="I824" i="25" s="1"/>
  <c r="H880" i="25"/>
  <c r="I915" i="25"/>
  <c r="I931" i="25"/>
  <c r="H983" i="25"/>
  <c r="I983" i="25" s="1"/>
  <c r="H989" i="25"/>
  <c r="I989" i="25" s="1"/>
  <c r="H1040" i="25"/>
  <c r="H1074" i="25"/>
  <c r="I1074" i="25" s="1"/>
  <c r="H1080" i="25"/>
  <c r="I1080" i="25" s="1"/>
  <c r="H1084" i="25"/>
  <c r="I1084" i="25" s="1"/>
  <c r="H1090" i="25"/>
  <c r="I1090" i="25" s="1"/>
  <c r="I1137" i="25"/>
  <c r="H1147" i="25"/>
  <c r="H1166" i="25"/>
  <c r="H1190" i="25"/>
  <c r="H1202" i="25"/>
  <c r="H1217" i="25"/>
  <c r="I1217" i="25" s="1"/>
  <c r="H1239" i="25"/>
  <c r="I1239" i="25" s="1"/>
  <c r="H1247" i="25"/>
  <c r="I1247" i="25" s="1"/>
  <c r="BN13" i="5"/>
  <c r="BZ13" i="5"/>
  <c r="BZ15" i="5" s="1"/>
  <c r="L17" i="5"/>
  <c r="L32" i="5" s="1"/>
  <c r="AT50" i="5"/>
  <c r="BM62" i="5"/>
  <c r="BP69" i="5"/>
  <c r="AH208" i="5"/>
  <c r="AH209" i="5" s="1"/>
  <c r="AH211" i="5" s="1"/>
  <c r="AH219" i="5" s="1"/>
  <c r="AR9" i="5"/>
  <c r="AQ9" i="5"/>
  <c r="H216" i="5"/>
  <c r="AU217" i="5"/>
  <c r="AU212" i="5" s="1"/>
  <c r="I791" i="25"/>
  <c r="H806" i="25"/>
  <c r="H826" i="25"/>
  <c r="I826" i="25" s="1"/>
  <c r="H828" i="25"/>
  <c r="H830" i="25"/>
  <c r="I830" i="25" s="1"/>
  <c r="H836" i="25"/>
  <c r="H872" i="25"/>
  <c r="I872" i="25" s="1"/>
  <c r="H884" i="25"/>
  <c r="I884" i="25" s="1"/>
  <c r="I921" i="25"/>
  <c r="H937" i="25"/>
  <c r="I937" i="25" s="1"/>
  <c r="H941" i="25"/>
  <c r="I941" i="25" s="1"/>
  <c r="H985" i="25"/>
  <c r="I985" i="25" s="1"/>
  <c r="H987" i="25"/>
  <c r="H995" i="25"/>
  <c r="I995" i="25" s="1"/>
  <c r="H1013" i="25"/>
  <c r="I1013" i="25" s="1"/>
  <c r="H1021" i="25"/>
  <c r="I1021" i="25" s="1"/>
  <c r="H1023" i="25"/>
  <c r="I1023" i="25" s="1"/>
  <c r="H1036" i="25"/>
  <c r="I1036" i="25" s="1"/>
  <c r="H1042" i="25"/>
  <c r="I1042" i="25" s="1"/>
  <c r="H1058" i="25"/>
  <c r="H1066" i="25"/>
  <c r="I1066" i="25" s="1"/>
  <c r="H1094" i="25"/>
  <c r="H1096" i="25"/>
  <c r="I1096" i="25" s="1"/>
  <c r="H1104" i="25"/>
  <c r="I1104" i="25" s="1"/>
  <c r="I1116" i="25"/>
  <c r="H1149" i="25"/>
  <c r="H1151" i="25"/>
  <c r="H1159" i="25"/>
  <c r="I1159" i="25" s="1"/>
  <c r="H1193" i="25"/>
  <c r="I1193" i="25" s="1"/>
  <c r="H1204" i="25"/>
  <c r="I1204" i="25" s="1"/>
  <c r="H1208" i="25"/>
  <c r="H1242" i="25"/>
  <c r="I1242" i="25" s="1"/>
  <c r="H1254" i="25"/>
  <c r="I1254" i="25" s="1"/>
  <c r="BO63" i="5"/>
  <c r="F213" i="5"/>
  <c r="F212" i="5" s="1"/>
  <c r="F129" i="5"/>
  <c r="Y101" i="14"/>
  <c r="H714" i="25"/>
  <c r="I26" i="10"/>
  <c r="J184" i="10"/>
  <c r="I186" i="10"/>
  <c r="E229" i="10"/>
  <c r="D243" i="10"/>
  <c r="J18" i="20"/>
  <c r="H52" i="14"/>
  <c r="H59" i="14" s="1"/>
  <c r="F55" i="14"/>
  <c r="F62" i="14" s="1"/>
  <c r="H762" i="25"/>
  <c r="H734" i="25"/>
  <c r="H718" i="25"/>
  <c r="I718" i="25" s="1"/>
  <c r="I516" i="25"/>
  <c r="H438" i="25"/>
  <c r="J24" i="10"/>
  <c r="D73" i="10"/>
  <c r="J186" i="10"/>
  <c r="H207" i="10"/>
  <c r="F229" i="10"/>
  <c r="F236" i="10"/>
  <c r="E243" i="10"/>
  <c r="D245" i="10"/>
  <c r="M18" i="20"/>
  <c r="N49" i="20"/>
  <c r="D51" i="14"/>
  <c r="D53" i="14"/>
  <c r="H55" i="14"/>
  <c r="O93" i="14"/>
  <c r="L102" i="14"/>
  <c r="N102" i="14"/>
  <c r="F145" i="14"/>
  <c r="H746" i="25"/>
  <c r="H744" i="25"/>
  <c r="H701" i="25"/>
  <c r="I701" i="25" s="1"/>
  <c r="H696" i="25"/>
  <c r="H694" i="25"/>
  <c r="I688" i="25"/>
  <c r="I686" i="25"/>
  <c r="I653" i="25"/>
  <c r="H590" i="25"/>
  <c r="I590" i="25" s="1"/>
  <c r="H533" i="25"/>
  <c r="I533" i="25" s="1"/>
  <c r="H461" i="25"/>
  <c r="I461" i="25" s="1"/>
  <c r="M21" i="5"/>
  <c r="BW46" i="5"/>
  <c r="BN52" i="5"/>
  <c r="AP43" i="5"/>
  <c r="BK55" i="5"/>
  <c r="H207" i="5"/>
  <c r="BM63" i="5"/>
  <c r="I109" i="5"/>
  <c r="AH111" i="5"/>
  <c r="AI111" i="5"/>
  <c r="AF227" i="5"/>
  <c r="AJ129" i="5"/>
  <c r="AJ197" i="5" s="1"/>
  <c r="AF129" i="5"/>
  <c r="AF197" i="5" s="1"/>
  <c r="AR129" i="5"/>
  <c r="K186" i="10"/>
  <c r="G229" i="10"/>
  <c r="G236" i="10"/>
  <c r="F243" i="10"/>
  <c r="E245" i="10"/>
  <c r="J7" i="20"/>
  <c r="K165" i="14"/>
  <c r="F144" i="14"/>
  <c r="H772" i="25"/>
  <c r="I772" i="25" s="1"/>
  <c r="H753" i="25"/>
  <c r="H742" i="25"/>
  <c r="I742" i="25" s="1"/>
  <c r="H674" i="25"/>
  <c r="I674" i="25" s="1"/>
  <c r="H670" i="25"/>
  <c r="I670" i="25" s="1"/>
  <c r="H654" i="25"/>
  <c r="H619" i="25"/>
  <c r="I619" i="25" s="1"/>
  <c r="H615" i="25"/>
  <c r="H599" i="25"/>
  <c r="I594" i="25"/>
  <c r="I592" i="25"/>
  <c r="H584" i="25"/>
  <c r="I584" i="25" s="1"/>
  <c r="H582" i="25"/>
  <c r="H557" i="25"/>
  <c r="I557" i="25" s="1"/>
  <c r="H225" i="25"/>
  <c r="P183" i="10"/>
  <c r="H229" i="10"/>
  <c r="H236" i="10"/>
  <c r="G243" i="10"/>
  <c r="W99" i="14"/>
  <c r="D97" i="14"/>
  <c r="K163" i="14"/>
  <c r="M107" i="14"/>
  <c r="H768" i="25"/>
  <c r="H738" i="25"/>
  <c r="H732" i="25"/>
  <c r="H679" i="25"/>
  <c r="I679" i="25" s="1"/>
  <c r="I678" i="25"/>
  <c r="I676" i="25"/>
  <c r="H611" i="25"/>
  <c r="H609" i="25"/>
  <c r="H591" i="25"/>
  <c r="H576" i="25"/>
  <c r="H549" i="25"/>
  <c r="I549" i="25" s="1"/>
  <c r="H537" i="25"/>
  <c r="H475" i="25"/>
  <c r="I475" i="25" s="1"/>
  <c r="H473" i="25"/>
  <c r="I473" i="25" s="1"/>
  <c r="H471" i="25"/>
  <c r="H465" i="25"/>
  <c r="H265" i="25"/>
  <c r="BT29" i="5"/>
  <c r="K43" i="5"/>
  <c r="K44" i="5" s="1"/>
  <c r="AS43" i="5"/>
  <c r="BY43" i="5" s="1"/>
  <c r="BY44" i="5" s="1"/>
  <c r="J43" i="5"/>
  <c r="BM55" i="5"/>
  <c r="BP62" i="5"/>
  <c r="CA62" i="5"/>
  <c r="BP63" i="5"/>
  <c r="CA63" i="5"/>
  <c r="C93" i="5"/>
  <c r="AK93" i="5"/>
  <c r="AU93" i="5"/>
  <c r="K111" i="5"/>
  <c r="AJ111" i="5"/>
  <c r="AJ166" i="5" s="1"/>
  <c r="J120" i="5"/>
  <c r="AI120" i="5"/>
  <c r="AI119" i="5" s="1"/>
  <c r="AU120" i="5"/>
  <c r="AU119" i="5" s="1"/>
  <c r="J227" i="5"/>
  <c r="AR227" i="5"/>
  <c r="F228" i="5"/>
  <c r="AT129" i="5"/>
  <c r="AT197" i="5" s="1"/>
  <c r="AU129" i="5"/>
  <c r="J8" i="20"/>
  <c r="F51" i="14"/>
  <c r="F58" i="14" s="1"/>
  <c r="G55" i="14"/>
  <c r="G62" i="14" s="1"/>
  <c r="U96" i="14"/>
  <c r="J106" i="14"/>
  <c r="F19" i="18"/>
  <c r="F29" i="18" s="1"/>
  <c r="F31" i="18" s="1"/>
  <c r="J101" i="14"/>
  <c r="H721" i="25"/>
  <c r="H707" i="25"/>
  <c r="I707" i="25" s="1"/>
  <c r="H703" i="25"/>
  <c r="I703" i="25" s="1"/>
  <c r="H646" i="25"/>
  <c r="H644" i="25"/>
  <c r="I644" i="25" s="1"/>
  <c r="H607" i="25"/>
  <c r="I607" i="25" s="1"/>
  <c r="H578" i="25"/>
  <c r="I578" i="25" s="1"/>
  <c r="I576" i="25"/>
  <c r="I574" i="25"/>
  <c r="I537" i="25"/>
  <c r="H509" i="25"/>
  <c r="I509" i="25" s="1"/>
  <c r="H507" i="25"/>
  <c r="H477" i="25"/>
  <c r="I392" i="25"/>
  <c r="H279" i="25"/>
  <c r="H270" i="25"/>
  <c r="BW26" i="6"/>
  <c r="K184" i="10"/>
  <c r="O185" i="10"/>
  <c r="H726" i="25"/>
  <c r="I580" i="25"/>
  <c r="I455" i="25"/>
  <c r="BZ52" i="5"/>
  <c r="H56" i="5"/>
  <c r="AG56" i="5"/>
  <c r="AR56" i="5"/>
  <c r="BW56" i="5" s="1"/>
  <c r="BI62" i="5"/>
  <c r="BR62" i="5"/>
  <c r="AZ62" i="5"/>
  <c r="N62" i="5" s="1"/>
  <c r="BQ69" i="5"/>
  <c r="F101" i="5"/>
  <c r="F65" i="7" s="1"/>
  <c r="I101" i="5"/>
  <c r="AT101" i="5"/>
  <c r="M111" i="5"/>
  <c r="D222" i="5"/>
  <c r="AW120" i="5"/>
  <c r="AW119" i="5" s="1"/>
  <c r="AW135" i="5" s="1"/>
  <c r="BR27" i="6"/>
  <c r="J30" i="10"/>
  <c r="K30" i="10" s="1"/>
  <c r="D184" i="10"/>
  <c r="P185" i="10"/>
  <c r="F212" i="10"/>
  <c r="J243" i="10"/>
  <c r="I245" i="10"/>
  <c r="J9" i="20"/>
  <c r="W96" i="14"/>
  <c r="K160" i="14"/>
  <c r="F39" i="18"/>
  <c r="H749" i="25"/>
  <c r="I749" i="25" s="1"/>
  <c r="H747" i="25"/>
  <c r="H733" i="25"/>
  <c r="I721" i="25"/>
  <c r="H691" i="25"/>
  <c r="H689" i="25"/>
  <c r="I689" i="25" s="1"/>
  <c r="H687" i="25"/>
  <c r="H685" i="25"/>
  <c r="I685" i="25" s="1"/>
  <c r="H633" i="25"/>
  <c r="H629" i="25"/>
  <c r="I629" i="25" s="1"/>
  <c r="H627" i="25"/>
  <c r="H610" i="25"/>
  <c r="I530" i="25"/>
  <c r="I495" i="25"/>
  <c r="H487" i="25"/>
  <c r="I487" i="25" s="1"/>
  <c r="N121" i="6"/>
  <c r="N126" i="6" s="1"/>
  <c r="N8" i="6"/>
  <c r="BK29" i="5"/>
  <c r="I56" i="5"/>
  <c r="BS62" i="5"/>
  <c r="BS63" i="5"/>
  <c r="AA109" i="5"/>
  <c r="AA117" i="5" s="1"/>
  <c r="AW49" i="7" s="1"/>
  <c r="AM222" i="5"/>
  <c r="D27" i="10"/>
  <c r="D28" i="10" s="1"/>
  <c r="O30" i="10"/>
  <c r="C48" i="10"/>
  <c r="D186" i="10"/>
  <c r="L186" i="10"/>
  <c r="G212" i="10"/>
  <c r="L229" i="10"/>
  <c r="K243" i="10"/>
  <c r="J245" i="10"/>
  <c r="N110" i="14"/>
  <c r="H147" i="14"/>
  <c r="B101" i="14"/>
  <c r="E142" i="14"/>
  <c r="H775" i="25"/>
  <c r="I775" i="25" s="1"/>
  <c r="H757" i="25"/>
  <c r="I757" i="25" s="1"/>
  <c r="I751" i="25"/>
  <c r="H741" i="25"/>
  <c r="H712" i="25"/>
  <c r="I712" i="25" s="1"/>
  <c r="I711" i="25"/>
  <c r="H695" i="25"/>
  <c r="I695" i="25" s="1"/>
  <c r="H693" i="25"/>
  <c r="H681" i="25"/>
  <c r="H665" i="25"/>
  <c r="I665" i="25" s="1"/>
  <c r="H657" i="25"/>
  <c r="I635" i="25"/>
  <c r="I631" i="25"/>
  <c r="H483" i="25"/>
  <c r="D207" i="5"/>
  <c r="BJ46" i="5"/>
  <c r="BQ52" i="5"/>
  <c r="AI56" i="5"/>
  <c r="BJ62" i="5"/>
  <c r="BP76" i="5"/>
  <c r="CB76" i="5"/>
  <c r="AO93" i="5"/>
  <c r="E27" i="10"/>
  <c r="E28" i="10" s="1"/>
  <c r="C61" i="10"/>
  <c r="F91" i="10"/>
  <c r="F184" i="10"/>
  <c r="E186" i="10"/>
  <c r="G223" i="10"/>
  <c r="P235" i="10"/>
  <c r="L243" i="10"/>
  <c r="K245" i="10"/>
  <c r="G51" i="14"/>
  <c r="G58" i="14" s="1"/>
  <c r="D52" i="14"/>
  <c r="O97" i="14"/>
  <c r="P137" i="14"/>
  <c r="H767" i="25"/>
  <c r="H761" i="25"/>
  <c r="H743" i="25"/>
  <c r="I743" i="25" s="1"/>
  <c r="H739" i="25"/>
  <c r="I739" i="25" s="1"/>
  <c r="H727" i="25"/>
  <c r="I727" i="25" s="1"/>
  <c r="I697" i="25"/>
  <c r="H677" i="25"/>
  <c r="H673" i="25"/>
  <c r="I673" i="25" s="1"/>
  <c r="H622" i="25"/>
  <c r="H620" i="25"/>
  <c r="H614" i="25"/>
  <c r="I614" i="25" s="1"/>
  <c r="H554" i="25"/>
  <c r="I554" i="25" s="1"/>
  <c r="I483" i="25"/>
  <c r="BM29" i="5"/>
  <c r="BY29" i="5"/>
  <c r="E207" i="5"/>
  <c r="E209" i="5" s="1"/>
  <c r="E211" i="5" s="1"/>
  <c r="E219" i="5" s="1"/>
  <c r="AM207" i="5"/>
  <c r="AM209" i="5" s="1"/>
  <c r="AM211" i="5" s="1"/>
  <c r="AE50" i="5"/>
  <c r="AE241" i="5" s="1"/>
  <c r="AE242" i="5" s="1"/>
  <c r="AU56" i="5"/>
  <c r="CB56" i="5" s="1"/>
  <c r="AK101" i="5"/>
  <c r="AD111" i="5"/>
  <c r="AP111" i="5"/>
  <c r="AC217" i="5"/>
  <c r="AC212" i="5" s="1"/>
  <c r="AD129" i="5"/>
  <c r="AB170" i="5"/>
  <c r="P228" i="10"/>
  <c r="J11" i="20"/>
  <c r="H54" i="14"/>
  <c r="H61" i="14" s="1"/>
  <c r="L110" i="14"/>
  <c r="H773" i="25"/>
  <c r="I773" i="25" s="1"/>
  <c r="H771" i="25"/>
  <c r="H748" i="25"/>
  <c r="I748" i="25" s="1"/>
  <c r="H735" i="25"/>
  <c r="H731" i="25"/>
  <c r="I731" i="25" s="1"/>
  <c r="H698" i="25"/>
  <c r="I698" i="25" s="1"/>
  <c r="H690" i="25"/>
  <c r="H575" i="25"/>
  <c r="I575" i="25" s="1"/>
  <c r="H480" i="25"/>
  <c r="I480" i="25" s="1"/>
  <c r="H446" i="25"/>
  <c r="I446" i="25" s="1"/>
  <c r="H383" i="25"/>
  <c r="I383" i="25" s="1"/>
  <c r="I65" i="25"/>
  <c r="J21" i="5"/>
  <c r="BZ29" i="5"/>
  <c r="BK46" i="5"/>
  <c r="AC43" i="5"/>
  <c r="AK56" i="5"/>
  <c r="BT62" i="5"/>
  <c r="BI63" i="5"/>
  <c r="BU63" i="5"/>
  <c r="G222" i="5"/>
  <c r="AF222" i="5"/>
  <c r="AC119" i="5"/>
  <c r="AC135" i="5" s="1"/>
  <c r="AO119" i="5"/>
  <c r="AO135" i="5" s="1"/>
  <c r="F125" i="5"/>
  <c r="F119" i="5" s="1"/>
  <c r="AM227" i="5"/>
  <c r="K129" i="5"/>
  <c r="D170" i="5"/>
  <c r="AL41" i="6"/>
  <c r="G27" i="10"/>
  <c r="G28" i="10" s="1"/>
  <c r="H184" i="10"/>
  <c r="G186" i="10"/>
  <c r="D55" i="14"/>
  <c r="V97" i="14"/>
  <c r="J108" i="14"/>
  <c r="M101" i="14"/>
  <c r="X101" i="14" s="1"/>
  <c r="W97" i="14"/>
  <c r="H752" i="25"/>
  <c r="H659" i="25"/>
  <c r="I659" i="25" s="1"/>
  <c r="H645" i="25"/>
  <c r="H636" i="25"/>
  <c r="H588" i="25"/>
  <c r="H579" i="25"/>
  <c r="H560" i="25"/>
  <c r="I560" i="25" s="1"/>
  <c r="I550" i="25"/>
  <c r="H539" i="25"/>
  <c r="I539" i="25" s="1"/>
  <c r="H476" i="25"/>
  <c r="I476" i="25" s="1"/>
  <c r="H459" i="25"/>
  <c r="H450" i="25"/>
  <c r="I450" i="25" s="1"/>
  <c r="H422" i="25"/>
  <c r="I422" i="25" s="1"/>
  <c r="H303" i="25"/>
  <c r="H301" i="25"/>
  <c r="I170" i="25"/>
  <c r="I164" i="25"/>
  <c r="I140" i="25"/>
  <c r="H131" i="25"/>
  <c r="I131" i="25" s="1"/>
  <c r="I80" i="25"/>
  <c r="H53" i="25"/>
  <c r="I53" i="25" s="1"/>
  <c r="H41" i="25"/>
  <c r="I41" i="25" s="1"/>
  <c r="C153" i="3"/>
  <c r="K50" i="6"/>
  <c r="K84" i="6" s="1"/>
  <c r="M9" i="6"/>
  <c r="M52" i="6" s="1"/>
  <c r="M53" i="6"/>
  <c r="M75" i="6" s="1"/>
  <c r="H700" i="25"/>
  <c r="I700" i="25" s="1"/>
  <c r="H667" i="25"/>
  <c r="I667" i="25" s="1"/>
  <c r="H647" i="25"/>
  <c r="H632" i="25"/>
  <c r="I632" i="25" s="1"/>
  <c r="I627" i="25"/>
  <c r="H618" i="25"/>
  <c r="H602" i="25"/>
  <c r="I602" i="25" s="1"/>
  <c r="I599" i="25"/>
  <c r="H597" i="25"/>
  <c r="H595" i="25"/>
  <c r="H593" i="25"/>
  <c r="I593" i="25" s="1"/>
  <c r="H581" i="25"/>
  <c r="I581" i="25" s="1"/>
  <c r="H577" i="25"/>
  <c r="I577" i="25" s="1"/>
  <c r="H553" i="25"/>
  <c r="I553" i="25" s="1"/>
  <c r="H545" i="25"/>
  <c r="I545" i="25" s="1"/>
  <c r="H504" i="25"/>
  <c r="I504" i="25" s="1"/>
  <c r="H363" i="25"/>
  <c r="I363" i="25" s="1"/>
  <c r="H325" i="25"/>
  <c r="I325" i="25" s="1"/>
  <c r="H274" i="25"/>
  <c r="I274" i="25" s="1"/>
  <c r="I248" i="25"/>
  <c r="H222" i="25"/>
  <c r="H218" i="25"/>
  <c r="H216" i="25"/>
  <c r="H212" i="25"/>
  <c r="H210" i="25"/>
  <c r="H206" i="25"/>
  <c r="H204" i="25"/>
  <c r="H200" i="25"/>
  <c r="H198" i="25"/>
  <c r="H194" i="25"/>
  <c r="H192" i="25"/>
  <c r="H188" i="25"/>
  <c r="H186" i="25"/>
  <c r="H182" i="25"/>
  <c r="H180" i="25"/>
  <c r="H176" i="25"/>
  <c r="H174" i="25"/>
  <c r="H168" i="25"/>
  <c r="H162" i="25"/>
  <c r="I154" i="25"/>
  <c r="H47" i="25"/>
  <c r="I47" i="25" s="1"/>
  <c r="H35" i="25"/>
  <c r="I35" i="25" s="1"/>
  <c r="I28" i="25"/>
  <c r="I22" i="25"/>
  <c r="I16" i="25"/>
  <c r="I153" i="3"/>
  <c r="J16" i="6"/>
  <c r="H127" i="25"/>
  <c r="H123" i="25"/>
  <c r="H117" i="25"/>
  <c r="I117" i="25" s="1"/>
  <c r="H115" i="25"/>
  <c r="H113" i="25"/>
  <c r="I113" i="25" s="1"/>
  <c r="H101" i="25"/>
  <c r="I101" i="25" s="1"/>
  <c r="H97" i="25"/>
  <c r="H83" i="25"/>
  <c r="I83" i="25" s="1"/>
  <c r="H59" i="25"/>
  <c r="I59" i="25" s="1"/>
  <c r="H51" i="25"/>
  <c r="H45" i="25"/>
  <c r="H33" i="25"/>
  <c r="H29" i="25"/>
  <c r="I29" i="25" s="1"/>
  <c r="H23" i="25"/>
  <c r="H17" i="25"/>
  <c r="H11" i="25"/>
  <c r="I8" i="25"/>
  <c r="K55" i="6"/>
  <c r="I768" i="25"/>
  <c r="H745" i="25"/>
  <c r="I740" i="25"/>
  <c r="H705" i="25"/>
  <c r="H680" i="25"/>
  <c r="I680" i="25" s="1"/>
  <c r="H649" i="25"/>
  <c r="I649" i="25" s="1"/>
  <c r="H638" i="25"/>
  <c r="I638" i="25" s="1"/>
  <c r="H634" i="25"/>
  <c r="I634" i="25" s="1"/>
  <c r="H613" i="25"/>
  <c r="I613" i="25" s="1"/>
  <c r="H608" i="25"/>
  <c r="I608" i="25" s="1"/>
  <c r="H604" i="25"/>
  <c r="I604" i="25" s="1"/>
  <c r="H583" i="25"/>
  <c r="I583" i="25" s="1"/>
  <c r="H566" i="25"/>
  <c r="I566" i="25" s="1"/>
  <c r="H544" i="25"/>
  <c r="I531" i="25"/>
  <c r="H527" i="25"/>
  <c r="I527" i="25" s="1"/>
  <c r="I438" i="25"/>
  <c r="H424" i="25"/>
  <c r="I424" i="25" s="1"/>
  <c r="H410" i="25"/>
  <c r="I410" i="25" s="1"/>
  <c r="H404" i="25"/>
  <c r="I404" i="25" s="1"/>
  <c r="H396" i="25"/>
  <c r="I396" i="25" s="1"/>
  <c r="H387" i="25"/>
  <c r="H328" i="25"/>
  <c r="I328" i="25" s="1"/>
  <c r="H310" i="25"/>
  <c r="I301" i="25"/>
  <c r="H217" i="25"/>
  <c r="H211" i="25"/>
  <c r="H205" i="25"/>
  <c r="H199" i="25"/>
  <c r="H193" i="25"/>
  <c r="H187" i="25"/>
  <c r="H181" i="25"/>
  <c r="H175" i="25"/>
  <c r="H169" i="25"/>
  <c r="H163" i="25"/>
  <c r="I105" i="25"/>
  <c r="H99" i="25"/>
  <c r="I99" i="25" s="1"/>
  <c r="H95" i="25"/>
  <c r="I95" i="25" s="1"/>
  <c r="H87" i="25"/>
  <c r="H68" i="25"/>
  <c r="I68" i="25" s="1"/>
  <c r="I63" i="25"/>
  <c r="I39" i="25"/>
  <c r="I426" i="25"/>
  <c r="H408" i="25"/>
  <c r="H344" i="25"/>
  <c r="I344" i="25" s="1"/>
  <c r="H306" i="25"/>
  <c r="H291" i="25"/>
  <c r="H289" i="25"/>
  <c r="H255" i="25"/>
  <c r="H237" i="25"/>
  <c r="H227" i="25"/>
  <c r="H155" i="25"/>
  <c r="I155" i="25" s="1"/>
  <c r="H130" i="25"/>
  <c r="H118" i="25"/>
  <c r="I103" i="25"/>
  <c r="H93" i="25"/>
  <c r="H91" i="25"/>
  <c r="I87" i="25"/>
  <c r="I72" i="25"/>
  <c r="I51" i="25"/>
  <c r="H27" i="25"/>
  <c r="I27" i="25" s="1"/>
  <c r="H21" i="25"/>
  <c r="I21" i="25" s="1"/>
  <c r="H15" i="25"/>
  <c r="I15" i="25" s="1"/>
  <c r="H364" i="25"/>
  <c r="I364" i="25" s="1"/>
  <c r="H338" i="25"/>
  <c r="H326" i="25"/>
  <c r="H312" i="25"/>
  <c r="H267" i="25"/>
  <c r="H261" i="25"/>
  <c r="H259" i="25"/>
  <c r="H257" i="25"/>
  <c r="I257" i="25" s="1"/>
  <c r="H253" i="25"/>
  <c r="H247" i="25"/>
  <c r="H243" i="25"/>
  <c r="H241" i="25"/>
  <c r="H239" i="25"/>
  <c r="I239" i="25" s="1"/>
  <c r="H235" i="25"/>
  <c r="I227" i="25"/>
  <c r="H167" i="25"/>
  <c r="I167" i="25" s="1"/>
  <c r="H161" i="25"/>
  <c r="I161" i="25" s="1"/>
  <c r="H159" i="25"/>
  <c r="H153" i="25"/>
  <c r="H149" i="25"/>
  <c r="I149" i="25" s="1"/>
  <c r="H145" i="25"/>
  <c r="I145" i="25" s="1"/>
  <c r="I86" i="25"/>
  <c r="H31" i="25"/>
  <c r="H25" i="25"/>
  <c r="H19" i="25"/>
  <c r="H13" i="25"/>
  <c r="K52" i="6"/>
  <c r="K86" i="6" s="1"/>
  <c r="L55" i="6"/>
  <c r="H596" i="25"/>
  <c r="I596" i="25" s="1"/>
  <c r="H568" i="25"/>
  <c r="I568" i="25" s="1"/>
  <c r="H542" i="25"/>
  <c r="I542" i="25" s="1"/>
  <c r="H482" i="25"/>
  <c r="I482" i="25" s="1"/>
  <c r="H472" i="25"/>
  <c r="I472" i="25" s="1"/>
  <c r="H470" i="25"/>
  <c r="I470" i="25" s="1"/>
  <c r="H449" i="25"/>
  <c r="I449" i="25" s="1"/>
  <c r="H435" i="25"/>
  <c r="I435" i="25" s="1"/>
  <c r="H376" i="25"/>
  <c r="I376" i="25" s="1"/>
  <c r="H330" i="25"/>
  <c r="H300" i="25"/>
  <c r="H294" i="25"/>
  <c r="H277" i="25"/>
  <c r="I277" i="25" s="1"/>
  <c r="H221" i="25"/>
  <c r="H219" i="25"/>
  <c r="H215" i="25"/>
  <c r="H213" i="25"/>
  <c r="I213" i="25" s="1"/>
  <c r="H209" i="25"/>
  <c r="I209" i="25" s="1"/>
  <c r="H207" i="25"/>
  <c r="I207" i="25" s="1"/>
  <c r="H203" i="25"/>
  <c r="H201" i="25"/>
  <c r="I201" i="25" s="1"/>
  <c r="H197" i="25"/>
  <c r="H195" i="25"/>
  <c r="I195" i="25" s="1"/>
  <c r="H191" i="25"/>
  <c r="H189" i="25"/>
  <c r="I189" i="25" s="1"/>
  <c r="H185" i="25"/>
  <c r="H183" i="25"/>
  <c r="H179" i="25"/>
  <c r="H177" i="25"/>
  <c r="I177" i="25" s="1"/>
  <c r="H173" i="25"/>
  <c r="I173" i="25" s="1"/>
  <c r="H171" i="25"/>
  <c r="I171" i="25" s="1"/>
  <c r="H165" i="25"/>
  <c r="H100" i="25"/>
  <c r="I544" i="25"/>
  <c r="I540" i="25"/>
  <c r="H538" i="25"/>
  <c r="I538" i="25" s="1"/>
  <c r="H534" i="25"/>
  <c r="H522" i="25"/>
  <c r="I522" i="25" s="1"/>
  <c r="H503" i="25"/>
  <c r="I503" i="25" s="1"/>
  <c r="H462" i="25"/>
  <c r="I462" i="25" s="1"/>
  <c r="H458" i="25"/>
  <c r="I458" i="25" s="1"/>
  <c r="H447" i="25"/>
  <c r="I447" i="25" s="1"/>
  <c r="H443" i="25"/>
  <c r="I443" i="25" s="1"/>
  <c r="H437" i="25"/>
  <c r="I437" i="25" s="1"/>
  <c r="H335" i="25"/>
  <c r="I316" i="25"/>
  <c r="H232" i="25"/>
  <c r="I221" i="25"/>
  <c r="I219" i="25"/>
  <c r="I215" i="25"/>
  <c r="I203" i="25"/>
  <c r="I197" i="25"/>
  <c r="I191" i="25"/>
  <c r="I185" i="25"/>
  <c r="I183" i="25"/>
  <c r="I179" i="25"/>
  <c r="I165" i="25"/>
  <c r="H122" i="25"/>
  <c r="I122" i="25" s="1"/>
  <c r="H121" i="25"/>
  <c r="H116" i="25"/>
  <c r="I116" i="25" s="1"/>
  <c r="H112" i="25"/>
  <c r="H108" i="25"/>
  <c r="I108" i="25" s="1"/>
  <c r="H104" i="25"/>
  <c r="I104" i="25" s="1"/>
  <c r="I81" i="25"/>
  <c r="H64" i="25"/>
  <c r="H62" i="25"/>
  <c r="I62" i="25" s="1"/>
  <c r="H42" i="25"/>
  <c r="G9" i="10"/>
  <c r="L52" i="6"/>
  <c r="L86" i="6" s="1"/>
  <c r="N54" i="6"/>
  <c r="H452" i="25"/>
  <c r="I452" i="25" s="1"/>
  <c r="H429" i="25"/>
  <c r="I429" i="25" s="1"/>
  <c r="H419" i="25"/>
  <c r="I419" i="25" s="1"/>
  <c r="H386" i="25"/>
  <c r="I386" i="25" s="1"/>
  <c r="I314" i="25"/>
  <c r="H302" i="25"/>
  <c r="H288" i="25"/>
  <c r="H258" i="25"/>
  <c r="H240" i="25"/>
  <c r="H154" i="25"/>
  <c r="H126" i="25"/>
  <c r="H106" i="25"/>
  <c r="H98" i="25"/>
  <c r="I98" i="25" s="1"/>
  <c r="H71" i="25"/>
  <c r="I71" i="25" s="1"/>
  <c r="H54" i="25"/>
  <c r="H48" i="25"/>
  <c r="H40" i="25"/>
  <c r="H36" i="25"/>
  <c r="H26" i="25"/>
  <c r="I26" i="25" s="1"/>
  <c r="H20" i="25"/>
  <c r="I20" i="25" s="1"/>
  <c r="H14" i="25"/>
  <c r="I14" i="25" s="1"/>
  <c r="H5" i="25"/>
  <c r="J51" i="6"/>
  <c r="K73" i="6" s="1"/>
  <c r="I353" i="25"/>
  <c r="I347" i="25"/>
  <c r="I322" i="25"/>
  <c r="H296" i="25"/>
  <c r="H220" i="25"/>
  <c r="H214" i="25"/>
  <c r="H208" i="25"/>
  <c r="H202" i="25"/>
  <c r="H196" i="25"/>
  <c r="H190" i="25"/>
  <c r="H184" i="25"/>
  <c r="H178" i="25"/>
  <c r="H172" i="25"/>
  <c r="H166" i="25"/>
  <c r="H160" i="25"/>
  <c r="I126" i="25"/>
  <c r="H124" i="25"/>
  <c r="H102" i="25"/>
  <c r="H90" i="25"/>
  <c r="I75" i="25"/>
  <c r="M16" i="6"/>
  <c r="M30" i="6" s="1"/>
  <c r="H513" i="25"/>
  <c r="I513" i="25" s="1"/>
  <c r="H501" i="25"/>
  <c r="I501" i="25" s="1"/>
  <c r="I489" i="25"/>
  <c r="I411" i="25"/>
  <c r="H409" i="25"/>
  <c r="I409" i="25" s="1"/>
  <c r="H405" i="25"/>
  <c r="H399" i="25"/>
  <c r="I399" i="25" s="1"/>
  <c r="H357" i="25"/>
  <c r="I357" i="25" s="1"/>
  <c r="H339" i="25"/>
  <c r="H323" i="25"/>
  <c r="H268" i="25"/>
  <c r="H264" i="25"/>
  <c r="H246" i="25"/>
  <c r="H228" i="25"/>
  <c r="H152" i="25"/>
  <c r="I152" i="25" s="1"/>
  <c r="H142" i="25"/>
  <c r="I142" i="25" s="1"/>
  <c r="H133" i="25"/>
  <c r="I133" i="25" s="1"/>
  <c r="I114" i="25"/>
  <c r="I60" i="25"/>
  <c r="I36" i="25"/>
  <c r="H30" i="25"/>
  <c r="I30" i="25" s="1"/>
  <c r="H24" i="25"/>
  <c r="I24" i="25" s="1"/>
  <c r="H18" i="25"/>
  <c r="I18" i="25" s="1"/>
  <c r="H12" i="25"/>
  <c r="I12" i="25" s="1"/>
  <c r="L87" i="6"/>
  <c r="N55" i="6"/>
  <c r="N89" i="6" s="1"/>
  <c r="E5" i="10"/>
  <c r="E63" i="10"/>
  <c r="F76" i="10"/>
  <c r="BR20" i="6"/>
  <c r="BR3" i="6"/>
  <c r="BR34" i="6" s="1"/>
  <c r="BV20" i="6"/>
  <c r="I210" i="5"/>
  <c r="D11" i="17"/>
  <c r="F51" i="7"/>
  <c r="F18" i="5"/>
  <c r="F47" i="5"/>
  <c r="G5" i="7"/>
  <c r="F42" i="7"/>
  <c r="G8" i="5"/>
  <c r="F144" i="5"/>
  <c r="F8" i="5"/>
  <c r="F27" i="5"/>
  <c r="F44" i="5"/>
  <c r="F31" i="7"/>
  <c r="F53" i="5"/>
  <c r="F146" i="5"/>
  <c r="F153" i="5"/>
  <c r="F10" i="5"/>
  <c r="F30" i="5"/>
  <c r="F149" i="5"/>
  <c r="F142" i="5"/>
  <c r="F43" i="7"/>
  <c r="F59" i="5"/>
  <c r="F60" i="7"/>
  <c r="CD3" i="6"/>
  <c r="CD34" i="6" s="1"/>
  <c r="CD20" i="6"/>
  <c r="K48" i="6"/>
  <c r="AN77" i="5"/>
  <c r="AN79" i="5"/>
  <c r="AN230" i="5"/>
  <c r="AN94" i="5"/>
  <c r="K129" i="6"/>
  <c r="AK94" i="5"/>
  <c r="AK79" i="5"/>
  <c r="X173" i="6"/>
  <c r="AU202" i="5"/>
  <c r="AU230" i="5"/>
  <c r="AU88" i="5"/>
  <c r="AU79" i="5"/>
  <c r="AU94" i="5"/>
  <c r="AU77" i="5"/>
  <c r="Q114" i="5"/>
  <c r="E230" i="5"/>
  <c r="E231" i="5" s="1"/>
  <c r="E77" i="5"/>
  <c r="E37" i="7"/>
  <c r="E79" i="5"/>
  <c r="F94" i="5"/>
  <c r="E89" i="5"/>
  <c r="AJ192" i="5"/>
  <c r="AJ246" i="5"/>
  <c r="AJ248" i="5" s="1"/>
  <c r="BI57" i="7"/>
  <c r="H868" i="25"/>
  <c r="I868" i="25" s="1"/>
  <c r="D869" i="25"/>
  <c r="AH40" i="5"/>
  <c r="G166" i="5"/>
  <c r="G109" i="5"/>
  <c r="G117" i="5" s="1"/>
  <c r="AB248" i="5"/>
  <c r="I1018" i="25"/>
  <c r="H779" i="25"/>
  <c r="I779" i="25" s="1"/>
  <c r="I806" i="25"/>
  <c r="H818" i="25"/>
  <c r="I818" i="25" s="1"/>
  <c r="C2" i="25"/>
  <c r="I880" i="25"/>
  <c r="I956" i="25"/>
  <c r="I1010" i="25"/>
  <c r="X177" i="6"/>
  <c r="BT32" i="6"/>
  <c r="BT39" i="6"/>
  <c r="BT38" i="6"/>
  <c r="BT41" i="6"/>
  <c r="BT34" i="6"/>
  <c r="BT40" i="6"/>
  <c r="I800" i="25"/>
  <c r="I812" i="25"/>
  <c r="I864" i="25"/>
  <c r="I866" i="25"/>
  <c r="J246" i="5"/>
  <c r="J248" i="5" s="1"/>
  <c r="I777" i="25"/>
  <c r="I828" i="25"/>
  <c r="I888" i="25"/>
  <c r="I909" i="25"/>
  <c r="I945" i="25"/>
  <c r="I980" i="25"/>
  <c r="I999" i="25"/>
  <c r="H795" i="25"/>
  <c r="I795" i="25" s="1"/>
  <c r="I783" i="25"/>
  <c r="H804" i="25"/>
  <c r="I804" i="25" s="1"/>
  <c r="D805" i="25"/>
  <c r="H805" i="25" s="1"/>
  <c r="I805" i="25" s="1"/>
  <c r="H838" i="25"/>
  <c r="I838" i="25" s="1"/>
  <c r="H861" i="25"/>
  <c r="I861" i="25" s="1"/>
  <c r="I894" i="25"/>
  <c r="I896" i="25"/>
  <c r="I974" i="25"/>
  <c r="I1005" i="25"/>
  <c r="G1012" i="25"/>
  <c r="H1012" i="25" s="1"/>
  <c r="I1012" i="25" s="1"/>
  <c r="H1011" i="25"/>
  <c r="I1011" i="25" s="1"/>
  <c r="I1017" i="25"/>
  <c r="I1019" i="25"/>
  <c r="D78" i="7"/>
  <c r="D74" i="7"/>
  <c r="D75" i="7" s="1"/>
  <c r="D143" i="5"/>
  <c r="B18" i="8"/>
  <c r="C46" i="4"/>
  <c r="V29" i="24"/>
  <c r="V30" i="24" s="1"/>
  <c r="V31" i="24" s="1"/>
  <c r="U29" i="24"/>
  <c r="I789" i="25"/>
  <c r="I797" i="25"/>
  <c r="H811" i="25"/>
  <c r="I811" i="25" s="1"/>
  <c r="I836" i="25"/>
  <c r="I857" i="25"/>
  <c r="B2" i="25"/>
  <c r="I936" i="25"/>
  <c r="H940" i="25"/>
  <c r="I940" i="25" s="1"/>
  <c r="H963" i="25"/>
  <c r="I963" i="25" s="1"/>
  <c r="I990" i="25"/>
  <c r="I1007" i="25"/>
  <c r="H1025" i="25"/>
  <c r="I1025" i="25" s="1"/>
  <c r="G119" i="5"/>
  <c r="G64" i="7"/>
  <c r="AK58" i="5"/>
  <c r="G277" i="6"/>
  <c r="G48" i="6"/>
  <c r="G276" i="6" s="1"/>
  <c r="I801" i="25"/>
  <c r="I803" i="25"/>
  <c r="H819" i="25"/>
  <c r="I819" i="25" s="1"/>
  <c r="I821" i="25"/>
  <c r="I823" i="25"/>
  <c r="I883" i="25"/>
  <c r="I906" i="25"/>
  <c r="H908" i="25"/>
  <c r="I908" i="25" s="1"/>
  <c r="I959" i="25"/>
  <c r="H981" i="25"/>
  <c r="I981" i="25" s="1"/>
  <c r="I996" i="25"/>
  <c r="AZ44" i="6"/>
  <c r="I815" i="25"/>
  <c r="I846" i="25"/>
  <c r="I927" i="25"/>
  <c r="I944" i="25"/>
  <c r="I969" i="25"/>
  <c r="I786" i="25"/>
  <c r="I794" i="25"/>
  <c r="I897" i="25"/>
  <c r="I933" i="25"/>
  <c r="I987" i="25"/>
  <c r="I1004" i="25"/>
  <c r="I1008" i="25"/>
  <c r="I899" i="25"/>
  <c r="H901" i="25"/>
  <c r="I901" i="25" s="1"/>
  <c r="I918" i="25"/>
  <c r="D968" i="25"/>
  <c r="H968" i="25" s="1"/>
  <c r="I968" i="25" s="1"/>
  <c r="H967" i="25"/>
  <c r="I967" i="25" s="1"/>
  <c r="I1016" i="25"/>
  <c r="I1022" i="25"/>
  <c r="M76" i="7"/>
  <c r="I1055" i="25"/>
  <c r="I1106" i="25"/>
  <c r="I1108" i="25"/>
  <c r="D1113" i="25"/>
  <c r="H1113" i="25" s="1"/>
  <c r="I1113" i="25" s="1"/>
  <c r="I1148" i="25"/>
  <c r="H1154" i="25"/>
  <c r="I1186" i="25"/>
  <c r="I1227" i="25"/>
  <c r="H1230" i="25"/>
  <c r="I1230" i="25" s="1"/>
  <c r="H1255" i="25"/>
  <c r="I1255" i="25" s="1"/>
  <c r="BZ5" i="5"/>
  <c r="P3" i="17"/>
  <c r="Q3" i="17" s="1"/>
  <c r="R3" i="17" s="1"/>
  <c r="S3" i="17" s="1"/>
  <c r="T3" i="17" s="1"/>
  <c r="U3" i="17" s="1"/>
  <c r="V3" i="17" s="1"/>
  <c r="H1097" i="25"/>
  <c r="H1111" i="25"/>
  <c r="H1115" i="25"/>
  <c r="I1115" i="25" s="1"/>
  <c r="H1139" i="25"/>
  <c r="I1139" i="25" s="1"/>
  <c r="H1163" i="25"/>
  <c r="H1172" i="25"/>
  <c r="I1172" i="25" s="1"/>
  <c r="I1177" i="25"/>
  <c r="E1191" i="25"/>
  <c r="H1191" i="25" s="1"/>
  <c r="I1191" i="25" s="1"/>
  <c r="H1220" i="25"/>
  <c r="I1220" i="25" s="1"/>
  <c r="I1253" i="25"/>
  <c r="BP43" i="5"/>
  <c r="BR7" i="5"/>
  <c r="I1111" i="25"/>
  <c r="I1154" i="25"/>
  <c r="I1163" i="25"/>
  <c r="I1198" i="25"/>
  <c r="H1211" i="25"/>
  <c r="I1211" i="25" s="1"/>
  <c r="I44" i="7"/>
  <c r="I7" i="5"/>
  <c r="I37" i="5" s="1"/>
  <c r="AZ171" i="5"/>
  <c r="N171" i="5" s="1"/>
  <c r="N172" i="5" s="1"/>
  <c r="H1038" i="25"/>
  <c r="I1038" i="25" s="1"/>
  <c r="I1041" i="25"/>
  <c r="I1043" i="25"/>
  <c r="H1063" i="25"/>
  <c r="I1063" i="25" s="1"/>
  <c r="H1082" i="25"/>
  <c r="I1082" i="25" s="1"/>
  <c r="I1097" i="25"/>
  <c r="H1103" i="25"/>
  <c r="I1103" i="25" s="1"/>
  <c r="H1109" i="25"/>
  <c r="H1122" i="25"/>
  <c r="I1122" i="25" s="1"/>
  <c r="E1123" i="25"/>
  <c r="H1123" i="25" s="1"/>
  <c r="I1123" i="25" s="1"/>
  <c r="H1132" i="25"/>
  <c r="I1132" i="25" s="1"/>
  <c r="I1181" i="25"/>
  <c r="I1034" i="25"/>
  <c r="I1052" i="25"/>
  <c r="I1061" i="25"/>
  <c r="H1067" i="25"/>
  <c r="I1067" i="25" s="1"/>
  <c r="H1088" i="25"/>
  <c r="I1109" i="25"/>
  <c r="H1141" i="25"/>
  <c r="I1141" i="25" s="1"/>
  <c r="H1160" i="25"/>
  <c r="I1160" i="25" s="1"/>
  <c r="I1183" i="25"/>
  <c r="H1213" i="25"/>
  <c r="I1213" i="25" s="1"/>
  <c r="AV8" i="5"/>
  <c r="CB5" i="5"/>
  <c r="V77" i="24"/>
  <c r="V78" i="24" s="1"/>
  <c r="H1121" i="25"/>
  <c r="I1121" i="25" s="1"/>
  <c r="H1136" i="25"/>
  <c r="I1136" i="25" s="1"/>
  <c r="H1145" i="25"/>
  <c r="I1145" i="25" s="1"/>
  <c r="H1169" i="25"/>
  <c r="I1169" i="25" s="1"/>
  <c r="I1174" i="25"/>
  <c r="H1178" i="25"/>
  <c r="I1178" i="25" s="1"/>
  <c r="I1187" i="25"/>
  <c r="I1189" i="25"/>
  <c r="I1202" i="25"/>
  <c r="I1222" i="25"/>
  <c r="I1228" i="25"/>
  <c r="I1088" i="25"/>
  <c r="H1073" i="25"/>
  <c r="I1073" i="25" s="1"/>
  <c r="H1110" i="25"/>
  <c r="I1110" i="25" s="1"/>
  <c r="I1151" i="25"/>
  <c r="H1153" i="25"/>
  <c r="I1153" i="25" s="1"/>
  <c r="I1252" i="25"/>
  <c r="AN7" i="5"/>
  <c r="BT5" i="5"/>
  <c r="AL37" i="5"/>
  <c r="I1040" i="25"/>
  <c r="I1049" i="25"/>
  <c r="I1058" i="25"/>
  <c r="H1064" i="25"/>
  <c r="I1064" i="25" s="1"/>
  <c r="I1094" i="25"/>
  <c r="H1100" i="25"/>
  <c r="I1100" i="25" s="1"/>
  <c r="I1114" i="25"/>
  <c r="H1118" i="25"/>
  <c r="I1118" i="25" s="1"/>
  <c r="H1133" i="25"/>
  <c r="I1133" i="25" s="1"/>
  <c r="I1147" i="25"/>
  <c r="I1149" i="25"/>
  <c r="H1157" i="25"/>
  <c r="H1171" i="25"/>
  <c r="I1171" i="25" s="1"/>
  <c r="I1208" i="25"/>
  <c r="H1219" i="25"/>
  <c r="I1219" i="25" s="1"/>
  <c r="I1229" i="25"/>
  <c r="H1235" i="25"/>
  <c r="I1235" i="25" s="1"/>
  <c r="I1044" i="25"/>
  <c r="I1081" i="25"/>
  <c r="I1142" i="25"/>
  <c r="I1157" i="25"/>
  <c r="I1166" i="25"/>
  <c r="I1190" i="25"/>
  <c r="H1214" i="25"/>
  <c r="I1214" i="25" s="1"/>
  <c r="H227" i="5"/>
  <c r="H125" i="5"/>
  <c r="H119" i="5" s="1"/>
  <c r="H1037" i="25"/>
  <c r="I1037" i="25" s="1"/>
  <c r="I1046" i="25"/>
  <c r="I1085" i="25"/>
  <c r="H1091" i="25"/>
  <c r="I1091" i="25" s="1"/>
  <c r="I1120" i="25"/>
  <c r="I1175" i="25"/>
  <c r="I1188" i="25"/>
  <c r="H1196" i="25"/>
  <c r="I1196" i="25" s="1"/>
  <c r="H1205" i="25"/>
  <c r="I1205" i="25" s="1"/>
  <c r="H1206" i="25"/>
  <c r="I1206" i="25" s="1"/>
  <c r="E1207" i="25"/>
  <c r="H1207" i="25" s="1"/>
  <c r="I1207" i="25" s="1"/>
  <c r="I1223" i="25"/>
  <c r="H1225" i="25"/>
  <c r="I1225" i="25" s="1"/>
  <c r="I1237" i="25"/>
  <c r="I46" i="6"/>
  <c r="I32" i="5"/>
  <c r="AS56" i="5"/>
  <c r="BX55" i="5"/>
  <c r="AW109" i="5"/>
  <c r="AW117" i="5" s="1"/>
  <c r="AW137" i="5" s="1"/>
  <c r="AS58" i="5"/>
  <c r="AM50" i="5"/>
  <c r="AM43" i="5"/>
  <c r="AM58" i="5" s="1"/>
  <c r="M208" i="5"/>
  <c r="G129" i="5"/>
  <c r="K169" i="5"/>
  <c r="J170" i="5"/>
  <c r="H107" i="14"/>
  <c r="P20" i="5"/>
  <c r="AL120" i="5"/>
  <c r="AL119" i="5" s="1"/>
  <c r="AL135" i="5" s="1"/>
  <c r="AM216" i="5"/>
  <c r="AM212" i="5" s="1"/>
  <c r="AB226" i="5"/>
  <c r="AB182" i="5"/>
  <c r="AU227" i="5"/>
  <c r="AV227" i="5"/>
  <c r="K170" i="5"/>
  <c r="L30" i="10"/>
  <c r="BQ13" i="5"/>
  <c r="BQ29" i="5"/>
  <c r="BN29" i="5"/>
  <c r="G102" i="6"/>
  <c r="G208" i="5"/>
  <c r="Q149" i="5"/>
  <c r="D44" i="7"/>
  <c r="M44" i="7"/>
  <c r="AG50" i="5"/>
  <c r="AG43" i="5"/>
  <c r="AG58" i="5" s="1"/>
  <c r="C193" i="5"/>
  <c r="C50" i="5"/>
  <c r="D50" i="5"/>
  <c r="D241" i="5" s="1"/>
  <c r="C120" i="5"/>
  <c r="C119" i="5" s="1"/>
  <c r="L170" i="5"/>
  <c r="D69" i="10"/>
  <c r="D55" i="10"/>
  <c r="G1183" i="25"/>
  <c r="H1183" i="25" s="1"/>
  <c r="CA5" i="5"/>
  <c r="BI6" i="5"/>
  <c r="BS6" i="5"/>
  <c r="BT6" i="5"/>
  <c r="AA218" i="5"/>
  <c r="BI55" i="5"/>
  <c r="AO208" i="5"/>
  <c r="BW69" i="5"/>
  <c r="BU6" i="5"/>
  <c r="AL32" i="5"/>
  <c r="BR13" i="5"/>
  <c r="AE9" i="5"/>
  <c r="AD9" i="5"/>
  <c r="AP9" i="5"/>
  <c r="AO9" i="5"/>
  <c r="BI5" i="5"/>
  <c r="BO5" i="5"/>
  <c r="BK6" i="5"/>
  <c r="BJ6" i="5"/>
  <c r="BV6" i="5"/>
  <c r="BS17" i="5"/>
  <c r="BR17" i="5"/>
  <c r="BZ43" i="5"/>
  <c r="H9" i="5"/>
  <c r="G9" i="5"/>
  <c r="H214" i="5"/>
  <c r="H212" i="5" s="1"/>
  <c r="AT109" i="5"/>
  <c r="AT117" i="5" s="1"/>
  <c r="AH129" i="5"/>
  <c r="BW6" i="5"/>
  <c r="BU76" i="5"/>
  <c r="BT76" i="5"/>
  <c r="AK166" i="5"/>
  <c r="AK109" i="5"/>
  <c r="I117" i="5"/>
  <c r="AS111" i="5"/>
  <c r="AS166" i="5" s="1"/>
  <c r="BX13" i="5"/>
  <c r="E50" i="5"/>
  <c r="E241" i="5" s="1"/>
  <c r="E242" i="5" s="1"/>
  <c r="F50" i="5"/>
  <c r="F241" i="5" s="1"/>
  <c r="F242" i="5" s="1"/>
  <c r="I50" i="5"/>
  <c r="I241" i="5" s="1"/>
  <c r="I242" i="5" s="1"/>
  <c r="H50" i="5"/>
  <c r="H241" i="5" s="1"/>
  <c r="H242" i="5" s="1"/>
  <c r="H101" i="5"/>
  <c r="AZ115" i="5"/>
  <c r="N115" i="5"/>
  <c r="AB109" i="5"/>
  <c r="AK228" i="5"/>
  <c r="AK129" i="5"/>
  <c r="F170" i="5"/>
  <c r="AP7" i="5"/>
  <c r="CB63" i="5"/>
  <c r="AZ63" i="5"/>
  <c r="N63" i="5" s="1"/>
  <c r="AV166" i="5"/>
  <c r="J50" i="6"/>
  <c r="J84" i="6" s="1"/>
  <c r="L211" i="10"/>
  <c r="M217" i="10"/>
  <c r="E147" i="14"/>
  <c r="U101" i="14"/>
  <c r="J32" i="5"/>
  <c r="J46" i="6"/>
  <c r="AN109" i="5"/>
  <c r="AN117" i="5" s="1"/>
  <c r="H212" i="10"/>
  <c r="H223" i="10"/>
  <c r="K10" i="20"/>
  <c r="K22" i="20" s="1"/>
  <c r="K11" i="20"/>
  <c r="K9" i="20"/>
  <c r="K21" i="20" s="1"/>
  <c r="K7" i="20"/>
  <c r="L18" i="20"/>
  <c r="K18" i="20"/>
  <c r="K8" i="20"/>
  <c r="K46" i="6"/>
  <c r="K32" i="5"/>
  <c r="AD56" i="5"/>
  <c r="AI208" i="5"/>
  <c r="AE228" i="5"/>
  <c r="AU228" i="5"/>
  <c r="AZ228" i="5" s="1"/>
  <c r="AN170" i="5"/>
  <c r="K21" i="10"/>
  <c r="F98" i="10"/>
  <c r="F116" i="10"/>
  <c r="E116" i="10" s="1"/>
  <c r="G53" i="14"/>
  <c r="G60" i="14" s="1"/>
  <c r="K107" i="14"/>
  <c r="G107" i="14"/>
  <c r="E144" i="14"/>
  <c r="U98" i="14"/>
  <c r="L46" i="6"/>
  <c r="AF56" i="5"/>
  <c r="BN56" i="5" s="1"/>
  <c r="BK69" i="5"/>
  <c r="C111" i="5"/>
  <c r="C166" i="5" s="1"/>
  <c r="E170" i="5"/>
  <c r="G97" i="10"/>
  <c r="G98" i="10" s="1"/>
  <c r="K229" i="10"/>
  <c r="F54" i="14"/>
  <c r="F61" i="14" s="1"/>
  <c r="H106" i="14"/>
  <c r="T97" i="14"/>
  <c r="M46" i="6"/>
  <c r="M32" i="5"/>
  <c r="AH58" i="5"/>
  <c r="BQ62" i="5"/>
  <c r="F164" i="5"/>
  <c r="AO164" i="5"/>
  <c r="AK39" i="6"/>
  <c r="J224" i="10"/>
  <c r="E55" i="14"/>
  <c r="H165" i="14"/>
  <c r="I102" i="14"/>
  <c r="M109" i="14"/>
  <c r="V100" i="14"/>
  <c r="E146" i="14"/>
  <c r="AP58" i="5"/>
  <c r="AP170" i="5"/>
  <c r="F50" i="10"/>
  <c r="L184" i="10"/>
  <c r="L236" i="10"/>
  <c r="G245" i="10"/>
  <c r="E53" i="14"/>
  <c r="E93" i="14"/>
  <c r="E101" i="14"/>
  <c r="D99" i="14"/>
  <c r="D101" i="14"/>
  <c r="D100" i="14"/>
  <c r="D96" i="14"/>
  <c r="G60" i="10"/>
  <c r="F161" i="14"/>
  <c r="BK52" i="5"/>
  <c r="AJ109" i="5"/>
  <c r="AJ117" i="5" s="1"/>
  <c r="AE164" i="5"/>
  <c r="AD170" i="5"/>
  <c r="AK40" i="6"/>
  <c r="G50" i="10"/>
  <c r="Y97" i="14"/>
  <c r="H143" i="14"/>
  <c r="O106" i="14"/>
  <c r="L22" i="10"/>
  <c r="D52" i="18" s="1" a="1"/>
  <c r="F110" i="14"/>
  <c r="AR58" i="5"/>
  <c r="AA43" i="5"/>
  <c r="BZ55" i="5"/>
  <c r="AI228" i="5"/>
  <c r="C34" i="10"/>
  <c r="C36" i="10" s="1"/>
  <c r="M186" i="10"/>
  <c r="O213" i="10"/>
  <c r="D229" i="10"/>
  <c r="M243" i="10"/>
  <c r="F56" i="8"/>
  <c r="G52" i="14"/>
  <c r="G59" i="14" s="1"/>
  <c r="G54" i="14"/>
  <c r="G61" i="14" s="1"/>
  <c r="G102" i="14"/>
  <c r="F83" i="10"/>
  <c r="F14" i="5"/>
  <c r="F32" i="5"/>
  <c r="I50" i="6"/>
  <c r="I84" i="6" s="1"/>
  <c r="M110" i="14"/>
  <c r="V101" i="14"/>
  <c r="C8" i="10"/>
  <c r="E184" i="10"/>
  <c r="E236" i="10"/>
  <c r="E54" i="14"/>
  <c r="F53" i="14"/>
  <c r="F60" i="14" s="1"/>
  <c r="E145" i="14"/>
  <c r="U99" i="14"/>
  <c r="K108" i="14"/>
  <c r="G108" i="14"/>
  <c r="K166" i="14"/>
  <c r="L162" i="14" s="1"/>
  <c r="D8" i="10"/>
  <c r="P244" i="10"/>
  <c r="O244" i="10"/>
  <c r="H51" i="14"/>
  <c r="H58" i="14" s="1"/>
  <c r="H60" i="14"/>
  <c r="I110" i="14"/>
  <c r="L111" i="14"/>
  <c r="F152" i="10"/>
  <c r="H202" i="10"/>
  <c r="I212" i="10"/>
  <c r="M220" i="10"/>
  <c r="F223" i="10"/>
  <c r="F224" i="10" s="1"/>
  <c r="M10" i="20"/>
  <c r="N10" i="20" s="1"/>
  <c r="O10" i="20" s="1"/>
  <c r="P10" i="20" s="1"/>
  <c r="Q10" i="20" s="1"/>
  <c r="R10" i="20" s="1"/>
  <c r="S10" i="20" s="1"/>
  <c r="O108" i="14"/>
  <c r="O110" i="14"/>
  <c r="E98" i="14"/>
  <c r="I107" i="14" s="1"/>
  <c r="P101" i="14"/>
  <c r="P99" i="14"/>
  <c r="K212" i="10"/>
  <c r="M8" i="20"/>
  <c r="N8" i="20" s="1"/>
  <c r="Y99" i="14"/>
  <c r="E100" i="14"/>
  <c r="I109" i="14" s="1"/>
  <c r="C96" i="14"/>
  <c r="M184" i="10"/>
  <c r="M236" i="10"/>
  <c r="I7" i="20"/>
  <c r="I9" i="20"/>
  <c r="I11" i="20"/>
  <c r="V98" i="14"/>
  <c r="F109" i="14"/>
  <c r="H145" i="14"/>
  <c r="B98" i="14"/>
  <c r="M229" i="10"/>
  <c r="W101" i="14"/>
  <c r="G106" i="14"/>
  <c r="F102" i="14"/>
  <c r="C100" i="14"/>
  <c r="S100" i="14" s="1"/>
  <c r="B96" i="14"/>
  <c r="F105" i="14" s="1"/>
  <c r="P98" i="14"/>
  <c r="F142" i="14"/>
  <c r="O206" i="10"/>
  <c r="M102" i="14"/>
  <c r="O98" i="14"/>
  <c r="M7" i="20"/>
  <c r="N7" i="20" s="1"/>
  <c r="M9" i="20"/>
  <c r="N9" i="20" s="1"/>
  <c r="O9" i="20" s="1"/>
  <c r="P9" i="20" s="1"/>
  <c r="Q9" i="20" s="1"/>
  <c r="R9" i="20" s="1"/>
  <c r="S9" i="20" s="1"/>
  <c r="M11" i="20"/>
  <c r="N11" i="20" s="1"/>
  <c r="E99" i="14"/>
  <c r="I108" i="14" s="1"/>
  <c r="C97" i="14"/>
  <c r="K102" i="14"/>
  <c r="P100" i="14"/>
  <c r="I10" i="20"/>
  <c r="K110" i="14"/>
  <c r="H102" i="14"/>
  <c r="B97" i="14"/>
  <c r="O100" i="14"/>
  <c r="M42" i="20"/>
  <c r="C101" i="14"/>
  <c r="G110" i="14" s="1"/>
  <c r="P97" i="14"/>
  <c r="I8" i="20"/>
  <c r="I18" i="20" s="1"/>
  <c r="B99" i="14"/>
  <c r="H766" i="25"/>
  <c r="H769" i="25"/>
  <c r="I769" i="25" s="1"/>
  <c r="H774" i="25"/>
  <c r="I774" i="25" s="1"/>
  <c r="I761" i="25"/>
  <c r="H759" i="25"/>
  <c r="I759" i="25" s="1"/>
  <c r="I752" i="25"/>
  <c r="H750" i="25"/>
  <c r="I750" i="25" s="1"/>
  <c r="H669" i="25"/>
  <c r="H639" i="25"/>
  <c r="H623" i="25"/>
  <c r="I623" i="25" s="1"/>
  <c r="H621" i="25"/>
  <c r="H617" i="25"/>
  <c r="I617" i="25" s="1"/>
  <c r="I694" i="25"/>
  <c r="I671" i="25"/>
  <c r="I598" i="25"/>
  <c r="I541" i="25"/>
  <c r="I381" i="25"/>
  <c r="I465" i="25"/>
  <c r="I746" i="25"/>
  <c r="I735" i="25"/>
  <c r="I719" i="25"/>
  <c r="I661" i="25"/>
  <c r="H640" i="25"/>
  <c r="I640" i="25" s="1"/>
  <c r="F641" i="25"/>
  <c r="F642" i="25" s="1"/>
  <c r="I611" i="25"/>
  <c r="H586" i="25"/>
  <c r="I586" i="25" s="1"/>
  <c r="H556" i="25"/>
  <c r="I766" i="25"/>
  <c r="H764" i="25"/>
  <c r="I764" i="25" s="1"/>
  <c r="I733" i="25"/>
  <c r="I715" i="25"/>
  <c r="I682" i="25"/>
  <c r="H672" i="25"/>
  <c r="H655" i="25"/>
  <c r="I655" i="25" s="1"/>
  <c r="I647" i="25"/>
  <c r="H603" i="25"/>
  <c r="I603" i="25" s="1"/>
  <c r="H572" i="25"/>
  <c r="I572" i="25" s="1"/>
  <c r="H569" i="25"/>
  <c r="I569" i="25" s="1"/>
  <c r="G570" i="25"/>
  <c r="H570" i="25" s="1"/>
  <c r="I570" i="25" s="1"/>
  <c r="I556" i="25"/>
  <c r="H758" i="25"/>
  <c r="I758" i="25" s="1"/>
  <c r="I755" i="25"/>
  <c r="H651" i="25"/>
  <c r="H624" i="25"/>
  <c r="D625" i="25"/>
  <c r="H625" i="25" s="1"/>
  <c r="I625" i="25" s="1"/>
  <c r="I605" i="25"/>
  <c r="I564" i="25"/>
  <c r="I562" i="25"/>
  <c r="H548" i="25"/>
  <c r="I548" i="25" s="1"/>
  <c r="I484" i="25"/>
  <c r="I420" i="25"/>
  <c r="I762" i="25"/>
  <c r="H760" i="25"/>
  <c r="H666" i="25"/>
  <c r="I622" i="25"/>
  <c r="I620" i="25"/>
  <c r="I595" i="25"/>
  <c r="H497" i="25"/>
  <c r="I497" i="25" s="1"/>
  <c r="H736" i="25"/>
  <c r="I736" i="25" s="1"/>
  <c r="H720" i="25"/>
  <c r="I720" i="25" s="1"/>
  <c r="H716" i="25"/>
  <c r="I716" i="25" s="1"/>
  <c r="H708" i="25"/>
  <c r="I708" i="25" s="1"/>
  <c r="I693" i="25"/>
  <c r="I691" i="25"/>
  <c r="H658" i="25"/>
  <c r="I658" i="25" s="1"/>
  <c r="H648" i="25"/>
  <c r="H628" i="25"/>
  <c r="I628" i="25" s="1"/>
  <c r="H606" i="25"/>
  <c r="I606" i="25" s="1"/>
  <c r="H589" i="25"/>
  <c r="I589" i="25" s="1"/>
  <c r="H559" i="25"/>
  <c r="I559" i="25" s="1"/>
  <c r="H551" i="25"/>
  <c r="I551" i="25" s="1"/>
  <c r="I534" i="25"/>
  <c r="I767" i="25"/>
  <c r="H765" i="25"/>
  <c r="I765" i="25" s="1"/>
  <c r="I760" i="25"/>
  <c r="I747" i="25"/>
  <c r="I734" i="25"/>
  <c r="I722" i="25"/>
  <c r="H706" i="25"/>
  <c r="I706" i="25" s="1"/>
  <c r="I683" i="25"/>
  <c r="I664" i="25"/>
  <c r="I616" i="25"/>
  <c r="I612" i="25"/>
  <c r="I610" i="25"/>
  <c r="H585" i="25"/>
  <c r="H510" i="25"/>
  <c r="I510" i="25" s="1"/>
  <c r="I745" i="25"/>
  <c r="H730" i="25"/>
  <c r="I730" i="25" s="1"/>
  <c r="H723" i="25"/>
  <c r="F724" i="25"/>
  <c r="F725" i="25" s="1"/>
  <c r="H725" i="25" s="1"/>
  <c r="I725" i="25" s="1"/>
  <c r="H702" i="25"/>
  <c r="I702" i="25" s="1"/>
  <c r="H675" i="25"/>
  <c r="I675" i="25" s="1"/>
  <c r="I660" i="25"/>
  <c r="H650" i="25"/>
  <c r="I650" i="25" s="1"/>
  <c r="I587" i="25"/>
  <c r="H571" i="25"/>
  <c r="I571" i="25" s="1"/>
  <c r="H563" i="25"/>
  <c r="I563" i="25" s="1"/>
  <c r="H763" i="25"/>
  <c r="I763" i="25" s="1"/>
  <c r="H709" i="25"/>
  <c r="I709" i="25" s="1"/>
  <c r="F710" i="25"/>
  <c r="H710" i="25" s="1"/>
  <c r="I710" i="25" s="1"/>
  <c r="I704" i="25"/>
  <c r="I677" i="25"/>
  <c r="H652" i="25"/>
  <c r="I652" i="25" s="1"/>
  <c r="I646" i="25"/>
  <c r="H573" i="25"/>
  <c r="I573" i="25" s="1"/>
  <c r="I565" i="25"/>
  <c r="I417" i="25"/>
  <c r="I756" i="25"/>
  <c r="I723" i="25"/>
  <c r="I654" i="25"/>
  <c r="I588" i="25"/>
  <c r="H500" i="25"/>
  <c r="I500" i="25" s="1"/>
  <c r="I726" i="25"/>
  <c r="I690" i="25"/>
  <c r="I657" i="25"/>
  <c r="I624" i="25"/>
  <c r="I591" i="25"/>
  <c r="H561" i="25"/>
  <c r="I561" i="25" s="1"/>
  <c r="H529" i="25"/>
  <c r="I529" i="25" s="1"/>
  <c r="H514" i="25"/>
  <c r="I514" i="25" s="1"/>
  <c r="I477" i="25"/>
  <c r="H460" i="25"/>
  <c r="I460" i="25" s="1"/>
  <c r="H413" i="25"/>
  <c r="I413" i="25" s="1"/>
  <c r="I408" i="25"/>
  <c r="H390" i="25"/>
  <c r="I732" i="25"/>
  <c r="I696" i="25"/>
  <c r="I663" i="25"/>
  <c r="I630" i="25"/>
  <c r="I597" i="25"/>
  <c r="H567" i="25"/>
  <c r="I567" i="25" s="1"/>
  <c r="H532" i="25"/>
  <c r="I532" i="25" s="1"/>
  <c r="H434" i="25"/>
  <c r="I434" i="25" s="1"/>
  <c r="H427" i="25"/>
  <c r="I427" i="25" s="1"/>
  <c r="I415" i="25"/>
  <c r="I390" i="25"/>
  <c r="I699" i="25"/>
  <c r="I666" i="25"/>
  <c r="I600" i="25"/>
  <c r="H512" i="25"/>
  <c r="I512" i="25" s="1"/>
  <c r="I507" i="25"/>
  <c r="H468" i="25"/>
  <c r="I468" i="25" s="1"/>
  <c r="H456" i="25"/>
  <c r="I456" i="25" s="1"/>
  <c r="H451" i="25"/>
  <c r="I451" i="25" s="1"/>
  <c r="H441" i="25"/>
  <c r="I441" i="25" s="1"/>
  <c r="H432" i="25"/>
  <c r="I432" i="25" s="1"/>
  <c r="I771" i="25"/>
  <c r="I738" i="25"/>
  <c r="I669" i="25"/>
  <c r="I633" i="25"/>
  <c r="H525" i="25"/>
  <c r="I525" i="25" s="1"/>
  <c r="H505" i="25"/>
  <c r="I505" i="25" s="1"/>
  <c r="H490" i="25"/>
  <c r="I490" i="25" s="1"/>
  <c r="H425" i="25"/>
  <c r="I425" i="25" s="1"/>
  <c r="H420" i="25"/>
  <c r="H394" i="25"/>
  <c r="I394" i="25" s="1"/>
  <c r="I366" i="25"/>
  <c r="I741" i="25"/>
  <c r="I705" i="25"/>
  <c r="I672" i="25"/>
  <c r="I636" i="25"/>
  <c r="H543" i="25"/>
  <c r="I543" i="25" s="1"/>
  <c r="H520" i="25"/>
  <c r="I520" i="25" s="1"/>
  <c r="H485" i="25"/>
  <c r="I485" i="25" s="1"/>
  <c r="H439" i="25"/>
  <c r="I439" i="25" s="1"/>
  <c r="H430" i="25"/>
  <c r="I430" i="25" s="1"/>
  <c r="I348" i="25"/>
  <c r="I744" i="25"/>
  <c r="I639" i="25"/>
  <c r="I609" i="25"/>
  <c r="H546" i="25"/>
  <c r="I546" i="25" s="1"/>
  <c r="H493" i="25"/>
  <c r="H464" i="25"/>
  <c r="I464" i="25" s="1"/>
  <c r="H454" i="25"/>
  <c r="I454" i="25" s="1"/>
  <c r="H416" i="25"/>
  <c r="I416" i="25" s="1"/>
  <c r="H401" i="25"/>
  <c r="I401" i="25" s="1"/>
  <c r="H523" i="25"/>
  <c r="I523" i="25" s="1"/>
  <c r="H508" i="25"/>
  <c r="I508" i="25" s="1"/>
  <c r="I493" i="25"/>
  <c r="I471" i="25"/>
  <c r="H428" i="25"/>
  <c r="I428" i="25" s="1"/>
  <c r="H423" i="25"/>
  <c r="I423" i="25" s="1"/>
  <c r="I405" i="25"/>
  <c r="H403" i="25"/>
  <c r="I403" i="25" s="1"/>
  <c r="H391" i="25"/>
  <c r="I391" i="25" s="1"/>
  <c r="I714" i="25"/>
  <c r="I681" i="25"/>
  <c r="I645" i="25"/>
  <c r="I615" i="25"/>
  <c r="I579" i="25"/>
  <c r="H552" i="25"/>
  <c r="I552" i="25" s="1"/>
  <c r="H541" i="25"/>
  <c r="I528" i="25"/>
  <c r="H518" i="25"/>
  <c r="I518" i="25" s="1"/>
  <c r="H474" i="25"/>
  <c r="I474" i="25" s="1"/>
  <c r="H469" i="25"/>
  <c r="I469" i="25" s="1"/>
  <c r="I459" i="25"/>
  <c r="H442" i="25"/>
  <c r="I442" i="25" s="1"/>
  <c r="H393" i="25"/>
  <c r="I393" i="25" s="1"/>
  <c r="I753" i="25"/>
  <c r="I717" i="25"/>
  <c r="I684" i="25"/>
  <c r="I648" i="25"/>
  <c r="I618" i="25"/>
  <c r="I582" i="25"/>
  <c r="H555" i="25"/>
  <c r="I555" i="25" s="1"/>
  <c r="H536" i="25"/>
  <c r="I536" i="25" s="1"/>
  <c r="H526" i="25"/>
  <c r="H496" i="25"/>
  <c r="I496" i="25" s="1"/>
  <c r="H481" i="25"/>
  <c r="I481" i="25" s="1"/>
  <c r="H467" i="25"/>
  <c r="I467" i="25" s="1"/>
  <c r="H457" i="25"/>
  <c r="I457" i="25" s="1"/>
  <c r="H440" i="25"/>
  <c r="I440" i="25" s="1"/>
  <c r="H433" i="25"/>
  <c r="H421" i="25"/>
  <c r="I421" i="25" s="1"/>
  <c r="H397" i="25"/>
  <c r="I397" i="25" s="1"/>
  <c r="I387" i="25"/>
  <c r="H375" i="25"/>
  <c r="I375" i="25" s="1"/>
  <c r="I687" i="25"/>
  <c r="I651" i="25"/>
  <c r="I621" i="25"/>
  <c r="I585" i="25"/>
  <c r="H558" i="25"/>
  <c r="I558" i="25" s="1"/>
  <c r="I526" i="25"/>
  <c r="H499" i="25"/>
  <c r="I499" i="25" s="1"/>
  <c r="H479" i="25"/>
  <c r="I479" i="25" s="1"/>
  <c r="H445" i="25"/>
  <c r="I445" i="25" s="1"/>
  <c r="I433" i="25"/>
  <c r="H385" i="25"/>
  <c r="I385" i="25" s="1"/>
  <c r="H381" i="25"/>
  <c r="H374" i="25"/>
  <c r="I374" i="25" s="1"/>
  <c r="H369" i="25"/>
  <c r="I369" i="25" s="1"/>
  <c r="H362" i="25"/>
  <c r="I362" i="25" s="1"/>
  <c r="H355" i="25"/>
  <c r="I355" i="25" s="1"/>
  <c r="H348" i="25"/>
  <c r="I326" i="25"/>
  <c r="H324" i="25"/>
  <c r="H297" i="25"/>
  <c r="I297" i="25" s="1"/>
  <c r="H346" i="25"/>
  <c r="I346" i="25" s="1"/>
  <c r="I339" i="25"/>
  <c r="H463" i="25"/>
  <c r="I463" i="25" s="1"/>
  <c r="H436" i="25"/>
  <c r="I436" i="25" s="1"/>
  <c r="H431" i="25"/>
  <c r="I431" i="25" s="1"/>
  <c r="H418" i="25"/>
  <c r="I418" i="25" s="1"/>
  <c r="H379" i="25"/>
  <c r="I379" i="25" s="1"/>
  <c r="H367" i="25"/>
  <c r="I367" i="25" s="1"/>
  <c r="H333" i="25"/>
  <c r="I272" i="25"/>
  <c r="H535" i="25"/>
  <c r="I535" i="25" s="1"/>
  <c r="H502" i="25"/>
  <c r="I502" i="25" s="1"/>
  <c r="H466" i="25"/>
  <c r="I466" i="25" s="1"/>
  <c r="H406" i="25"/>
  <c r="I406" i="25" s="1"/>
  <c r="H388" i="25"/>
  <c r="I388" i="25" s="1"/>
  <c r="H377" i="25"/>
  <c r="I377" i="25" s="1"/>
  <c r="H372" i="25"/>
  <c r="I372" i="25" s="1"/>
  <c r="H365" i="25"/>
  <c r="I365" i="25" s="1"/>
  <c r="H360" i="25"/>
  <c r="I360" i="25" s="1"/>
  <c r="H358" i="25"/>
  <c r="I358" i="25" s="1"/>
  <c r="I335" i="25"/>
  <c r="I310" i="25"/>
  <c r="I306" i="25"/>
  <c r="I289" i="25"/>
  <c r="H356" i="25"/>
  <c r="I356" i="25" s="1"/>
  <c r="H351" i="25"/>
  <c r="I351" i="25" s="1"/>
  <c r="H342" i="25"/>
  <c r="I342" i="25" s="1"/>
  <c r="I331" i="25"/>
  <c r="H329" i="25"/>
  <c r="I329" i="25" s="1"/>
  <c r="H327" i="25"/>
  <c r="I304" i="25"/>
  <c r="H283" i="25"/>
  <c r="I283" i="25" s="1"/>
  <c r="H395" i="25"/>
  <c r="I395" i="25" s="1"/>
  <c r="H370" i="25"/>
  <c r="I370" i="25" s="1"/>
  <c r="H349" i="25"/>
  <c r="I349" i="25" s="1"/>
  <c r="H307" i="25"/>
  <c r="I307" i="25" s="1"/>
  <c r="I302" i="25"/>
  <c r="I285" i="25"/>
  <c r="H368" i="25"/>
  <c r="I368" i="25" s="1"/>
  <c r="I340" i="25"/>
  <c r="I279" i="25"/>
  <c r="H511" i="25"/>
  <c r="I511" i="25" s="1"/>
  <c r="H478" i="25"/>
  <c r="I478" i="25" s="1"/>
  <c r="H414" i="25"/>
  <c r="I414" i="25" s="1"/>
  <c r="H407" i="25"/>
  <c r="I407" i="25" s="1"/>
  <c r="H402" i="25"/>
  <c r="I402" i="25" s="1"/>
  <c r="H389" i="25"/>
  <c r="I389" i="25" s="1"/>
  <c r="H384" i="25"/>
  <c r="I384" i="25" s="1"/>
  <c r="H359" i="25"/>
  <c r="I359" i="25" s="1"/>
  <c r="H354" i="25"/>
  <c r="I354" i="25" s="1"/>
  <c r="H336" i="25"/>
  <c r="I336" i="25" s="1"/>
  <c r="I323" i="25"/>
  <c r="H321" i="25"/>
  <c r="F319" i="25"/>
  <c r="H318" i="25"/>
  <c r="I318" i="25" s="1"/>
  <c r="I313" i="25"/>
  <c r="I298" i="25"/>
  <c r="I294" i="25"/>
  <c r="H398" i="25"/>
  <c r="I398" i="25" s="1"/>
  <c r="H382" i="25"/>
  <c r="I382" i="25" s="1"/>
  <c r="H373" i="25"/>
  <c r="I373" i="25" s="1"/>
  <c r="H361" i="25"/>
  <c r="I361" i="25" s="1"/>
  <c r="H345" i="25"/>
  <c r="I345" i="25" s="1"/>
  <c r="H334" i="25"/>
  <c r="I334" i="25" s="1"/>
  <c r="I321" i="25"/>
  <c r="H309" i="25"/>
  <c r="I309" i="25" s="1"/>
  <c r="I292" i="25"/>
  <c r="I273" i="25"/>
  <c r="H517" i="25"/>
  <c r="I517" i="25" s="1"/>
  <c r="H484" i="25"/>
  <c r="H448" i="25"/>
  <c r="I448" i="25" s="1"/>
  <c r="H412" i="25"/>
  <c r="I412" i="25" s="1"/>
  <c r="H400" i="25"/>
  <c r="I400" i="25" s="1"/>
  <c r="H378" i="25"/>
  <c r="I378" i="25" s="1"/>
  <c r="H371" i="25"/>
  <c r="I371" i="25" s="1"/>
  <c r="H366" i="25"/>
  <c r="H352" i="25"/>
  <c r="I352" i="25" s="1"/>
  <c r="H350" i="25"/>
  <c r="I350" i="25" s="1"/>
  <c r="H343" i="25"/>
  <c r="I343" i="25" s="1"/>
  <c r="H295" i="25"/>
  <c r="I295" i="25" s="1"/>
  <c r="I290" i="25"/>
  <c r="I264" i="25"/>
  <c r="I255" i="25"/>
  <c r="I246" i="25"/>
  <c r="I237" i="25"/>
  <c r="I262" i="25"/>
  <c r="H260" i="25"/>
  <c r="I253" i="25"/>
  <c r="H251" i="25"/>
  <c r="I251" i="25" s="1"/>
  <c r="I244" i="25"/>
  <c r="H242" i="25"/>
  <c r="I235" i="25"/>
  <c r="H233" i="25"/>
  <c r="I233" i="25" s="1"/>
  <c r="I156" i="25"/>
  <c r="H110" i="25"/>
  <c r="I110" i="25" s="1"/>
  <c r="D111" i="25"/>
  <c r="H281" i="25"/>
  <c r="I281" i="25" s="1"/>
  <c r="H269" i="25"/>
  <c r="I260" i="25"/>
  <c r="I242" i="25"/>
  <c r="I222" i="25"/>
  <c r="I220" i="25"/>
  <c r="I218" i="25"/>
  <c r="I216" i="25"/>
  <c r="I214" i="25"/>
  <c r="I212" i="25"/>
  <c r="I210" i="25"/>
  <c r="I208" i="25"/>
  <c r="I206" i="25"/>
  <c r="I204" i="25"/>
  <c r="I202" i="25"/>
  <c r="I200" i="25"/>
  <c r="I198" i="25"/>
  <c r="I196" i="25"/>
  <c r="I194" i="25"/>
  <c r="I192" i="25"/>
  <c r="I190" i="25"/>
  <c r="I188" i="25"/>
  <c r="I186" i="25"/>
  <c r="I184" i="25"/>
  <c r="I182" i="25"/>
  <c r="I180" i="25"/>
  <c r="I178" i="25"/>
  <c r="I176" i="25"/>
  <c r="I174" i="25"/>
  <c r="I172" i="25"/>
  <c r="I168" i="25"/>
  <c r="I166" i="25"/>
  <c r="I162" i="25"/>
  <c r="I160" i="25"/>
  <c r="I129" i="25"/>
  <c r="H380" i="25"/>
  <c r="I380" i="25" s="1"/>
  <c r="I324" i="25"/>
  <c r="H317" i="25"/>
  <c r="I317" i="25" s="1"/>
  <c r="H305" i="25"/>
  <c r="I305" i="25" s="1"/>
  <c r="H293" i="25"/>
  <c r="I276" i="25"/>
  <c r="I269" i="25"/>
  <c r="I332" i="25"/>
  <c r="I312" i="25"/>
  <c r="I300" i="25"/>
  <c r="I293" i="25"/>
  <c r="I288" i="25"/>
  <c r="I258" i="25"/>
  <c r="I249" i="25"/>
  <c r="I240" i="25"/>
  <c r="I231" i="25"/>
  <c r="I327" i="25"/>
  <c r="H284" i="25"/>
  <c r="I284" i="25" s="1"/>
  <c r="H272" i="25"/>
  <c r="I267" i="25"/>
  <c r="H263" i="25"/>
  <c r="I256" i="25"/>
  <c r="H254" i="25"/>
  <c r="I254" i="25" s="1"/>
  <c r="I247" i="25"/>
  <c r="H245" i="25"/>
  <c r="I245" i="25" s="1"/>
  <c r="I238" i="25"/>
  <c r="H236" i="25"/>
  <c r="I236" i="25" s="1"/>
  <c r="H143" i="25"/>
  <c r="I143" i="25" s="1"/>
  <c r="I123" i="25"/>
  <c r="I265" i="25"/>
  <c r="I263" i="25"/>
  <c r="I225" i="25"/>
  <c r="I338" i="25"/>
  <c r="I330" i="25"/>
  <c r="I315" i="25"/>
  <c r="I308" i="25"/>
  <c r="I303" i="25"/>
  <c r="I296" i="25"/>
  <c r="I291" i="25"/>
  <c r="H230" i="25"/>
  <c r="I230" i="25" s="1"/>
  <c r="I223" i="25"/>
  <c r="I159" i="25"/>
  <c r="I157" i="25"/>
  <c r="I153" i="25"/>
  <c r="I151" i="25"/>
  <c r="H135" i="25"/>
  <c r="I135" i="25" s="1"/>
  <c r="D136" i="25"/>
  <c r="I93" i="25"/>
  <c r="I341" i="25"/>
  <c r="H275" i="25"/>
  <c r="I261" i="25"/>
  <c r="I252" i="25"/>
  <c r="I243" i="25"/>
  <c r="I234" i="25"/>
  <c r="I217" i="25"/>
  <c r="I211" i="25"/>
  <c r="I205" i="25"/>
  <c r="I199" i="25"/>
  <c r="I193" i="25"/>
  <c r="I187" i="25"/>
  <c r="I181" i="25"/>
  <c r="I175" i="25"/>
  <c r="I169" i="25"/>
  <c r="I163" i="25"/>
  <c r="I333" i="25"/>
  <c r="H311" i="25"/>
  <c r="I311" i="25" s="1"/>
  <c r="H299" i="25"/>
  <c r="I299" i="25" s="1"/>
  <c r="H287" i="25"/>
  <c r="I287" i="25" s="1"/>
  <c r="I282" i="25"/>
  <c r="I275" i="25"/>
  <c r="I270" i="25"/>
  <c r="I259" i="25"/>
  <c r="I250" i="25"/>
  <c r="I241" i="25"/>
  <c r="I232" i="25"/>
  <c r="H229" i="25"/>
  <c r="I229" i="25" s="1"/>
  <c r="I268" i="25"/>
  <c r="H266" i="25"/>
  <c r="I266" i="25" s="1"/>
  <c r="I228" i="25"/>
  <c r="H278" i="25"/>
  <c r="I278" i="25" s="1"/>
  <c r="I226" i="25"/>
  <c r="H224" i="25"/>
  <c r="I224" i="25" s="1"/>
  <c r="I102" i="25"/>
  <c r="I90" i="25"/>
  <c r="I121" i="25"/>
  <c r="I66" i="25"/>
  <c r="I52" i="6"/>
  <c r="I86" i="6" s="1"/>
  <c r="I124" i="25"/>
  <c r="H76" i="25"/>
  <c r="H158" i="25"/>
  <c r="I158" i="25" s="1"/>
  <c r="H146" i="25"/>
  <c r="I146" i="25" s="1"/>
  <c r="H134" i="25"/>
  <c r="I134" i="25" s="1"/>
  <c r="I127" i="25"/>
  <c r="H120" i="25"/>
  <c r="I120" i="25" s="1"/>
  <c r="H109" i="25"/>
  <c r="I91" i="25"/>
  <c r="I76" i="25"/>
  <c r="I64" i="25"/>
  <c r="I48" i="25"/>
  <c r="H37" i="25"/>
  <c r="I53" i="6"/>
  <c r="I87" i="6" s="1"/>
  <c r="I130" i="25"/>
  <c r="I94" i="25"/>
  <c r="I69" i="25"/>
  <c r="I57" i="25"/>
  <c r="H55" i="25"/>
  <c r="H46" i="25"/>
  <c r="I46" i="25" s="1"/>
  <c r="I37" i="25"/>
  <c r="J52" i="6"/>
  <c r="I97" i="25"/>
  <c r="H79" i="25"/>
  <c r="H67" i="25"/>
  <c r="I67" i="25" s="1"/>
  <c r="I55" i="25"/>
  <c r="I100" i="25"/>
  <c r="I79" i="25"/>
  <c r="I42" i="25"/>
  <c r="I33" i="25"/>
  <c r="J53" i="6"/>
  <c r="J87" i="6" s="1"/>
  <c r="I106" i="25"/>
  <c r="I82" i="25"/>
  <c r="H70" i="25"/>
  <c r="H58" i="25"/>
  <c r="I58" i="25" s="1"/>
  <c r="H49" i="25"/>
  <c r="I49" i="25" s="1"/>
  <c r="I40" i="25"/>
  <c r="I31" i="25"/>
  <c r="I25" i="25"/>
  <c r="I23" i="25"/>
  <c r="I19" i="25"/>
  <c r="I17" i="25"/>
  <c r="I13" i="25"/>
  <c r="I11" i="25"/>
  <c r="M88" i="6"/>
  <c r="I109" i="25"/>
  <c r="H85" i="25"/>
  <c r="I70" i="25"/>
  <c r="K53" i="6"/>
  <c r="K87" i="6" s="1"/>
  <c r="I112" i="25"/>
  <c r="I85" i="25"/>
  <c r="O11" i="6"/>
  <c r="O16" i="6" s="1"/>
  <c r="O30" i="6" s="1"/>
  <c r="I115" i="25"/>
  <c r="H88" i="25"/>
  <c r="H73" i="25"/>
  <c r="I73" i="25" s="1"/>
  <c r="H61" i="25"/>
  <c r="I61" i="25" s="1"/>
  <c r="I54" i="25"/>
  <c r="I45" i="25"/>
  <c r="H43" i="25"/>
  <c r="H34" i="25"/>
  <c r="I5" i="25"/>
  <c r="I118" i="25"/>
  <c r="I88" i="25"/>
  <c r="H52" i="25"/>
  <c r="I52" i="25" s="1"/>
  <c r="I43" i="25"/>
  <c r="I34" i="25"/>
  <c r="I55" i="6"/>
  <c r="L54" i="6"/>
  <c r="L88" i="6" s="1"/>
  <c r="P99" i="6"/>
  <c r="K89" i="6"/>
  <c r="Q144" i="5"/>
  <c r="K85" i="6"/>
  <c r="I120" i="10"/>
  <c r="N30" i="6" l="1"/>
  <c r="BN40" i="6"/>
  <c r="BS38" i="6"/>
  <c r="BW18" i="6"/>
  <c r="L18" i="3"/>
  <c r="M18" i="3" s="1"/>
  <c r="M20" i="3" s="1"/>
  <c r="I241" i="6"/>
  <c r="I239" i="6"/>
  <c r="M135" i="5"/>
  <c r="M20" i="7"/>
  <c r="E20" i="7"/>
  <c r="E135" i="5"/>
  <c r="E143" i="5"/>
  <c r="E74" i="7"/>
  <c r="E75" i="7" s="1"/>
  <c r="E38" i="7"/>
  <c r="E49" i="7"/>
  <c r="E18" i="7"/>
  <c r="E40" i="7"/>
  <c r="E78" i="7"/>
  <c r="AJ211" i="5"/>
  <c r="AJ219" i="5" s="1"/>
  <c r="AU41" i="5"/>
  <c r="AT40" i="5"/>
  <c r="CA39" i="5"/>
  <c r="AT151" i="5"/>
  <c r="BQ18" i="6"/>
  <c r="BM38" i="6"/>
  <c r="AD192" i="5"/>
  <c r="BS34" i="6"/>
  <c r="BS40" i="6"/>
  <c r="AZ32" i="6"/>
  <c r="AS154" i="5"/>
  <c r="AU166" i="5"/>
  <c r="AV161" i="5" s="1"/>
  <c r="AU109" i="5"/>
  <c r="AU117" i="5" s="1"/>
  <c r="J60" i="7"/>
  <c r="J30" i="5"/>
  <c r="J85" i="7"/>
  <c r="J53" i="5"/>
  <c r="J37" i="5"/>
  <c r="J31" i="7"/>
  <c r="J10" i="5"/>
  <c r="J23" i="5"/>
  <c r="J27" i="5"/>
  <c r="J142" i="5"/>
  <c r="J51" i="7"/>
  <c r="J149" i="5"/>
  <c r="J144" i="5"/>
  <c r="J146" i="5"/>
  <c r="J43" i="7"/>
  <c r="J47" i="5"/>
  <c r="J153" i="5"/>
  <c r="AL166" i="5"/>
  <c r="AM161" i="5" s="1"/>
  <c r="AL109" i="5"/>
  <c r="AL117" i="5" s="1"/>
  <c r="L65" i="7"/>
  <c r="L66" i="7"/>
  <c r="G30" i="7"/>
  <c r="G206" i="5"/>
  <c r="AD34" i="5"/>
  <c r="AC206" i="5"/>
  <c r="AC209" i="5" s="1"/>
  <c r="BJ32" i="5"/>
  <c r="BJ34" i="5" s="1"/>
  <c r="BI32" i="5"/>
  <c r="AC34" i="5"/>
  <c r="BL15" i="5"/>
  <c r="BP15" i="5"/>
  <c r="L135" i="5"/>
  <c r="J42" i="7"/>
  <c r="H34" i="5"/>
  <c r="H189" i="5"/>
  <c r="G195" i="5"/>
  <c r="AD219" i="5"/>
  <c r="M65" i="7"/>
  <c r="M66" i="7"/>
  <c r="M64" i="7"/>
  <c r="AF200" i="5"/>
  <c r="AF202" i="5" s="1"/>
  <c r="AG195" i="5"/>
  <c r="AG189" i="5"/>
  <c r="AF195" i="5"/>
  <c r="AG200" i="5"/>
  <c r="AG202" i="5" s="1"/>
  <c r="AF192" i="5"/>
  <c r="AK88" i="5"/>
  <c r="AK73" i="5"/>
  <c r="AI209" i="5"/>
  <c r="AI211" i="5" s="1"/>
  <c r="AI219" i="5" s="1"/>
  <c r="AK117" i="5"/>
  <c r="BH49" i="7" s="1"/>
  <c r="BM34" i="6"/>
  <c r="AK230" i="5"/>
  <c r="AK231" i="5" s="1"/>
  <c r="F20" i="7"/>
  <c r="AF44" i="5"/>
  <c r="AK209" i="5"/>
  <c r="AK211" i="5" s="1"/>
  <c r="AK219" i="5" s="1"/>
  <c r="BW32" i="5"/>
  <c r="CA34" i="5" s="1"/>
  <c r="H202" i="5"/>
  <c r="BM32" i="6"/>
  <c r="BM41" i="6"/>
  <c r="AG141" i="5"/>
  <c r="AG154" i="5"/>
  <c r="M202" i="5"/>
  <c r="B24" i="8" s="1"/>
  <c r="B26" i="8" s="1"/>
  <c r="B10" i="8" s="1"/>
  <c r="C31" i="4" s="1"/>
  <c r="AO34" i="5"/>
  <c r="AO206" i="5"/>
  <c r="AO209" i="5" s="1"/>
  <c r="L20" i="7"/>
  <c r="H70" i="7"/>
  <c r="F159" i="10"/>
  <c r="BS39" i="6"/>
  <c r="AX43" i="6"/>
  <c r="BS41" i="6"/>
  <c r="J18" i="5"/>
  <c r="BO50" i="7"/>
  <c r="BO54" i="7" s="1"/>
  <c r="AS141" i="5"/>
  <c r="AM166" i="5"/>
  <c r="AN161" i="5" s="1"/>
  <c r="AN162" i="5" s="1"/>
  <c r="AN163" i="5" s="1"/>
  <c r="AM109" i="5"/>
  <c r="AM117" i="5" s="1"/>
  <c r="L10" i="5"/>
  <c r="L142" i="5"/>
  <c r="L153" i="5"/>
  <c r="L31" i="7"/>
  <c r="L146" i="5"/>
  <c r="G144" i="5"/>
  <c r="G51" i="7"/>
  <c r="G60" i="7"/>
  <c r="G31" i="7"/>
  <c r="G149" i="5"/>
  <c r="G14" i="5"/>
  <c r="G142" i="5"/>
  <c r="G30" i="5"/>
  <c r="L23" i="5"/>
  <c r="AD119" i="5"/>
  <c r="AS195" i="5"/>
  <c r="AR195" i="5"/>
  <c r="AS200" i="5"/>
  <c r="AS202" i="5" s="1"/>
  <c r="AR200" i="5"/>
  <c r="AR202" i="5" s="1"/>
  <c r="AS189" i="5"/>
  <c r="AR192" i="5"/>
  <c r="K66" i="7"/>
  <c r="K64" i="7"/>
  <c r="K65" i="7"/>
  <c r="AA219" i="5"/>
  <c r="AC137" i="5"/>
  <c r="L77" i="7"/>
  <c r="L73" i="7"/>
  <c r="L76" i="7"/>
  <c r="M19" i="7"/>
  <c r="AB180" i="5"/>
  <c r="AB165" i="5"/>
  <c r="AT148" i="5"/>
  <c r="AT155" i="5"/>
  <c r="D20" i="7"/>
  <c r="BX18" i="6"/>
  <c r="AN231" i="5"/>
  <c r="AE58" i="5"/>
  <c r="G209" i="5"/>
  <c r="G211" i="5" s="1"/>
  <c r="G219" i="5" s="1"/>
  <c r="AL137" i="5"/>
  <c r="E29" i="7"/>
  <c r="E24" i="7" s="1"/>
  <c r="AK74" i="5"/>
  <c r="K77" i="6"/>
  <c r="AO137" i="5"/>
  <c r="AB221" i="5"/>
  <c r="AB223" i="5" s="1"/>
  <c r="AE135" i="5"/>
  <c r="G200" i="5"/>
  <c r="G202" i="5" s="1"/>
  <c r="AV202" i="5"/>
  <c r="BT56" i="5"/>
  <c r="BM18" i="6"/>
  <c r="BD57" i="7"/>
  <c r="AG145" i="5"/>
  <c r="AG151" i="5" s="1"/>
  <c r="G192" i="5"/>
  <c r="E67" i="7"/>
  <c r="J23" i="6"/>
  <c r="G39" i="5"/>
  <c r="G40" i="5" s="1"/>
  <c r="AW41" i="5"/>
  <c r="AS11" i="5"/>
  <c r="J166" i="5"/>
  <c r="K161" i="5" s="1"/>
  <c r="J109" i="5"/>
  <c r="J117" i="5" s="1"/>
  <c r="AO27" i="5"/>
  <c r="BK51" i="7"/>
  <c r="BK55" i="7" s="1"/>
  <c r="AO14" i="5"/>
  <c r="AO149" i="5"/>
  <c r="AO47" i="5"/>
  <c r="AO146" i="5"/>
  <c r="AO153" i="5"/>
  <c r="AO144" i="5"/>
  <c r="AO10" i="5"/>
  <c r="AO30" i="5"/>
  <c r="J14" i="5"/>
  <c r="AK39" i="5"/>
  <c r="AK206" i="5"/>
  <c r="AK34" i="5"/>
  <c r="BC51" i="7"/>
  <c r="BC55" i="7" s="1"/>
  <c r="BC57" i="7" s="1"/>
  <c r="AG37" i="5"/>
  <c r="AG47" i="5"/>
  <c r="AG14" i="5"/>
  <c r="AG153" i="5"/>
  <c r="AG149" i="5"/>
  <c r="AM137" i="5"/>
  <c r="P228" i="5"/>
  <c r="Q130" i="5"/>
  <c r="H65" i="5"/>
  <c r="R176" i="6"/>
  <c r="X176" i="6" s="1"/>
  <c r="G45" i="7"/>
  <c r="E162" i="5"/>
  <c r="F161" i="5"/>
  <c r="F162" i="5" s="1"/>
  <c r="AH66" i="5"/>
  <c r="AH72" i="5"/>
  <c r="AH70" i="5"/>
  <c r="AS148" i="5"/>
  <c r="AS151" i="5" s="1"/>
  <c r="AS155" i="5"/>
  <c r="AS40" i="5"/>
  <c r="AT41" i="5"/>
  <c r="BP56" i="5"/>
  <c r="AF58" i="5"/>
  <c r="AF59" i="5" s="1"/>
  <c r="E163" i="5"/>
  <c r="BC49" i="7"/>
  <c r="AZ172" i="5"/>
  <c r="AX116" i="5"/>
  <c r="AZ116" i="5" s="1"/>
  <c r="I246" i="5"/>
  <c r="I248" i="5" s="1"/>
  <c r="I192" i="5"/>
  <c r="AK246" i="5"/>
  <c r="AK248" i="5" s="1"/>
  <c r="AK192" i="5"/>
  <c r="L109" i="5"/>
  <c r="L117" i="5" s="1"/>
  <c r="BO57" i="7"/>
  <c r="AV72" i="5"/>
  <c r="AV66" i="5"/>
  <c r="AB70" i="5"/>
  <c r="AB72" i="5"/>
  <c r="D137" i="5"/>
  <c r="AL154" i="5"/>
  <c r="BH52" i="7"/>
  <c r="BH56" i="7" s="1"/>
  <c r="AL11" i="5"/>
  <c r="BH50" i="7"/>
  <c r="BH54" i="7" s="1"/>
  <c r="AL141" i="5"/>
  <c r="AL145" i="5"/>
  <c r="AD154" i="5"/>
  <c r="AD11" i="5"/>
  <c r="AZ52" i="7"/>
  <c r="AZ56" i="7" s="1"/>
  <c r="AD141" i="5"/>
  <c r="AZ50" i="7"/>
  <c r="AZ54" i="7" s="1"/>
  <c r="AD145" i="5"/>
  <c r="AV41" i="5"/>
  <c r="AV40" i="5"/>
  <c r="J32" i="10"/>
  <c r="C50" i="10"/>
  <c r="D54" i="10"/>
  <c r="D50" i="10"/>
  <c r="C69" i="10"/>
  <c r="CA34" i="6"/>
  <c r="L30" i="6"/>
  <c r="BT18" i="6"/>
  <c r="N77" i="6"/>
  <c r="CA32" i="6"/>
  <c r="K3" i="6"/>
  <c r="K37" i="6" s="1"/>
  <c r="BW41" i="6"/>
  <c r="K19" i="20"/>
  <c r="O8" i="20"/>
  <c r="O7" i="20"/>
  <c r="P7" i="20" s="1"/>
  <c r="K20" i="20"/>
  <c r="K23" i="20"/>
  <c r="L20" i="20"/>
  <c r="O49" i="20"/>
  <c r="O11" i="20"/>
  <c r="P11" i="20" s="1"/>
  <c r="Q11" i="20" s="1"/>
  <c r="R11" i="20" s="1"/>
  <c r="S11" i="20" s="1"/>
  <c r="CA18" i="6"/>
  <c r="H238" i="6"/>
  <c r="H239" i="6" s="1"/>
  <c r="X239" i="6" s="1"/>
  <c r="BN32" i="6"/>
  <c r="BW32" i="6"/>
  <c r="BO32" i="6"/>
  <c r="BW40" i="6"/>
  <c r="AY44" i="6"/>
  <c r="CA38" i="6"/>
  <c r="CA39" i="6"/>
  <c r="AX44" i="6"/>
  <c r="BZ39" i="6"/>
  <c r="BN39" i="6"/>
  <c r="BZ34" i="6"/>
  <c r="BZ32" i="6"/>
  <c r="G279" i="6"/>
  <c r="BW34" i="6"/>
  <c r="O27" i="6"/>
  <c r="CA41" i="6"/>
  <c r="BW38" i="6"/>
  <c r="BZ41" i="6"/>
  <c r="BZ38" i="6"/>
  <c r="AZ57" i="6"/>
  <c r="AZ46" i="6" s="1"/>
  <c r="G239" i="6"/>
  <c r="BX41" i="6"/>
  <c r="BX39" i="6"/>
  <c r="BX32" i="6"/>
  <c r="BX38" i="6"/>
  <c r="H43" i="6"/>
  <c r="AZ43" i="6"/>
  <c r="H279" i="6"/>
  <c r="BZ18" i="6"/>
  <c r="BO39" i="6"/>
  <c r="BO34" i="6"/>
  <c r="BO40" i="6"/>
  <c r="BY34" i="6"/>
  <c r="BO38" i="6"/>
  <c r="BO18" i="6"/>
  <c r="BS18" i="6"/>
  <c r="M68" i="6"/>
  <c r="BA17" i="6"/>
  <c r="BN18" i="6"/>
  <c r="K241" i="6"/>
  <c r="BN34" i="6"/>
  <c r="BN41" i="6"/>
  <c r="H32" i="6"/>
  <c r="H44" i="6"/>
  <c r="M241" i="6"/>
  <c r="BL39" i="6"/>
  <c r="BL32" i="6"/>
  <c r="BL40" i="6"/>
  <c r="BL38" i="6"/>
  <c r="BL41" i="6"/>
  <c r="G43" i="6"/>
  <c r="G32" i="6"/>
  <c r="L241" i="6"/>
  <c r="L239" i="6"/>
  <c r="BQ32" i="6"/>
  <c r="BQ41" i="6"/>
  <c r="BQ39" i="6"/>
  <c r="BQ40" i="6"/>
  <c r="BQ34" i="6"/>
  <c r="BY40" i="6"/>
  <c r="BY39" i="6"/>
  <c r="BY41" i="6"/>
  <c r="BY32" i="6"/>
  <c r="BV32" i="6"/>
  <c r="BV38" i="6"/>
  <c r="BV40" i="6"/>
  <c r="BV41" i="6"/>
  <c r="BV39" i="6"/>
  <c r="J68" i="6"/>
  <c r="F157" i="10"/>
  <c r="C55" i="10"/>
  <c r="C56" i="10" s="1"/>
  <c r="D42" i="10"/>
  <c r="C10" i="10"/>
  <c r="H147" i="10"/>
  <c r="G159" i="10"/>
  <c r="I163" i="10"/>
  <c r="J163" i="10" s="1"/>
  <c r="H158" i="10"/>
  <c r="H159" i="10" s="1"/>
  <c r="D10" i="10"/>
  <c r="G157" i="10"/>
  <c r="M49" i="6"/>
  <c r="M71" i="6" s="1"/>
  <c r="H161" i="10"/>
  <c r="G162" i="10"/>
  <c r="G6" i="10"/>
  <c r="J73" i="6"/>
  <c r="J85" i="6"/>
  <c r="L73" i="6"/>
  <c r="K137" i="6"/>
  <c r="J137" i="6"/>
  <c r="L74" i="6"/>
  <c r="I274" i="6"/>
  <c r="I23" i="6"/>
  <c r="M21" i="6"/>
  <c r="L273" i="6"/>
  <c r="L286" i="6" s="1"/>
  <c r="F6" i="18"/>
  <c r="F40" i="18" s="1"/>
  <c r="AM219" i="5"/>
  <c r="N88" i="6"/>
  <c r="N76" i="6"/>
  <c r="K77" i="7"/>
  <c r="L19" i="7"/>
  <c r="K73" i="7"/>
  <c r="K197" i="5"/>
  <c r="K135" i="5"/>
  <c r="K76" i="7"/>
  <c r="K19" i="7"/>
  <c r="I65" i="7"/>
  <c r="I66" i="7"/>
  <c r="J44" i="5"/>
  <c r="J58" i="5"/>
  <c r="AC8" i="5"/>
  <c r="AC30" i="5"/>
  <c r="AY51" i="7"/>
  <c r="AY55" i="7" s="1"/>
  <c r="AC144" i="5"/>
  <c r="AC149" i="5"/>
  <c r="AC14" i="5"/>
  <c r="AC47" i="5"/>
  <c r="AC10" i="5"/>
  <c r="AC27" i="5"/>
  <c r="AC53" i="5"/>
  <c r="BK7" i="5"/>
  <c r="BK14" i="5" s="1"/>
  <c r="AC153" i="5"/>
  <c r="AC146" i="5"/>
  <c r="AC18" i="5"/>
  <c r="AC33" i="5"/>
  <c r="BG51" i="7"/>
  <c r="BG55" i="7" s="1"/>
  <c r="AK8" i="5"/>
  <c r="AK10" i="5"/>
  <c r="AK30" i="5"/>
  <c r="AK47" i="5"/>
  <c r="AK53" i="5"/>
  <c r="AK146" i="5"/>
  <c r="AK144" i="5"/>
  <c r="AK14" i="5"/>
  <c r="AK37" i="5"/>
  <c r="AK18" i="5"/>
  <c r="AK153" i="5"/>
  <c r="AK40" i="5"/>
  <c r="AK44" i="5"/>
  <c r="AK149" i="5"/>
  <c r="AK66" i="5"/>
  <c r="AL8" i="5"/>
  <c r="AK27" i="5"/>
  <c r="AK33" i="5"/>
  <c r="AJ67" i="5"/>
  <c r="AI66" i="5"/>
  <c r="AI70" i="5"/>
  <c r="BP65" i="5"/>
  <c r="BP70" i="5" s="1"/>
  <c r="AI72" i="5"/>
  <c r="AI67" i="5"/>
  <c r="AG161" i="5"/>
  <c r="AF162" i="5"/>
  <c r="BK56" i="5"/>
  <c r="BM56" i="5"/>
  <c r="J65" i="7"/>
  <c r="J66" i="7"/>
  <c r="J119" i="5"/>
  <c r="J64" i="7"/>
  <c r="AS65" i="5"/>
  <c r="CA43" i="5"/>
  <c r="AS44" i="5"/>
  <c r="M87" i="6"/>
  <c r="L143" i="5"/>
  <c r="L78" i="7"/>
  <c r="L137" i="5"/>
  <c r="L74" i="7"/>
  <c r="L75" i="7" s="1"/>
  <c r="AX51" i="7"/>
  <c r="AX55" i="7" s="1"/>
  <c r="AB14" i="5"/>
  <c r="AB144" i="5"/>
  <c r="AB10" i="5"/>
  <c r="BI10" i="5" s="1"/>
  <c r="BJ7" i="5"/>
  <c r="AB30" i="5"/>
  <c r="AB146" i="5"/>
  <c r="AB47" i="5"/>
  <c r="AB149" i="5"/>
  <c r="AB27" i="5"/>
  <c r="AB8" i="5"/>
  <c r="AB37" i="5"/>
  <c r="AB163" i="5"/>
  <c r="AB44" i="5"/>
  <c r="AB59" i="5"/>
  <c r="AB66" i="5"/>
  <c r="AB33" i="5"/>
  <c r="AB40" i="5"/>
  <c r="AB53" i="5"/>
  <c r="AB18" i="5"/>
  <c r="AB153" i="5"/>
  <c r="AG34" i="5"/>
  <c r="BM32" i="5"/>
  <c r="BK32" i="5"/>
  <c r="BL32" i="5"/>
  <c r="AF206" i="5"/>
  <c r="AF209" i="5" s="1"/>
  <c r="AF211" i="5" s="1"/>
  <c r="AF65" i="5"/>
  <c r="AF33" i="5"/>
  <c r="AF39" i="5"/>
  <c r="AF34" i="5"/>
  <c r="BN32" i="5"/>
  <c r="AM148" i="5"/>
  <c r="AM151" i="5" s="1"/>
  <c r="AM155" i="5"/>
  <c r="AG148" i="5"/>
  <c r="AG155" i="5"/>
  <c r="AH151" i="5"/>
  <c r="E137" i="5"/>
  <c r="E26" i="7"/>
  <c r="BY37" i="5"/>
  <c r="E40" i="5"/>
  <c r="M8" i="6"/>
  <c r="N23" i="6" s="1"/>
  <c r="H10" i="10"/>
  <c r="G10" i="10"/>
  <c r="AK161" i="5"/>
  <c r="AK162" i="5" s="1"/>
  <c r="H8" i="5"/>
  <c r="H10" i="5"/>
  <c r="H144" i="5"/>
  <c r="H53" i="5"/>
  <c r="H149" i="5"/>
  <c r="H47" i="5"/>
  <c r="H80" i="6" s="1"/>
  <c r="H43" i="7"/>
  <c r="H25" i="5"/>
  <c r="H18" i="5"/>
  <c r="H30" i="5"/>
  <c r="H153" i="5"/>
  <c r="H51" i="7"/>
  <c r="H31" i="7"/>
  <c r="H142" i="5"/>
  <c r="H60" i="7"/>
  <c r="H5" i="7"/>
  <c r="H23" i="5"/>
  <c r="H146" i="5"/>
  <c r="H59" i="5"/>
  <c r="H42" i="7"/>
  <c r="H14" i="5"/>
  <c r="H27" i="5"/>
  <c r="H30" i="7"/>
  <c r="AC174" i="5"/>
  <c r="AC36" i="5" s="1"/>
  <c r="AC162" i="5"/>
  <c r="AC165" i="5" s="1"/>
  <c r="AD8" i="5"/>
  <c r="AW44" i="5"/>
  <c r="AW65" i="5"/>
  <c r="CB65" i="5" s="1"/>
  <c r="AW58" i="5"/>
  <c r="CB43" i="5"/>
  <c r="AR155" i="5"/>
  <c r="AR148" i="5"/>
  <c r="AR151" i="5" s="1"/>
  <c r="AE137" i="5"/>
  <c r="AU60" i="5"/>
  <c r="M55" i="7"/>
  <c r="K229" i="7" s="1"/>
  <c r="M59" i="7"/>
  <c r="BR50" i="7"/>
  <c r="BR54" i="7" s="1"/>
  <c r="AV145" i="5"/>
  <c r="AV141" i="5"/>
  <c r="AV11" i="5"/>
  <c r="BR52" i="7"/>
  <c r="BR56" i="7" s="1"/>
  <c r="AV154" i="5"/>
  <c r="AS241" i="5"/>
  <c r="AS242" i="5" s="1"/>
  <c r="CA50" i="5"/>
  <c r="H33" i="5"/>
  <c r="BW50" i="5"/>
  <c r="AR241" i="5"/>
  <c r="AR242" i="5" s="1"/>
  <c r="BZ50" i="5"/>
  <c r="L89" i="6"/>
  <c r="L77" i="6"/>
  <c r="M77" i="6"/>
  <c r="K166" i="5"/>
  <c r="K109" i="5"/>
  <c r="K117" i="5" s="1"/>
  <c r="L18" i="7" s="1"/>
  <c r="AI166" i="5"/>
  <c r="AI109" i="5"/>
  <c r="AI117" i="5" s="1"/>
  <c r="BF49" i="7" s="1"/>
  <c r="AT241" i="5"/>
  <c r="AT242" i="5" s="1"/>
  <c r="CB50" i="5"/>
  <c r="AD44" i="5"/>
  <c r="AD65" i="5"/>
  <c r="BI7" i="5"/>
  <c r="O127" i="5"/>
  <c r="N227" i="5"/>
  <c r="F117" i="5"/>
  <c r="G18" i="7" s="1"/>
  <c r="AT66" i="5"/>
  <c r="AT72" i="5"/>
  <c r="AT70" i="5"/>
  <c r="AU67" i="5"/>
  <c r="AT67" i="5"/>
  <c r="BP7" i="5"/>
  <c r="AE66" i="5"/>
  <c r="H41" i="5"/>
  <c r="H40" i="5"/>
  <c r="K8" i="5"/>
  <c r="K43" i="7"/>
  <c r="K30" i="5"/>
  <c r="K25" i="5"/>
  <c r="K37" i="5"/>
  <c r="K47" i="5"/>
  <c r="K142" i="5"/>
  <c r="K149" i="5"/>
  <c r="K60" i="7"/>
  <c r="K153" i="5"/>
  <c r="K5" i="7"/>
  <c r="K31" i="7"/>
  <c r="K85" i="7"/>
  <c r="K144" i="5"/>
  <c r="K53" i="5"/>
  <c r="K146" i="5"/>
  <c r="K27" i="5"/>
  <c r="K10" i="5"/>
  <c r="K23" i="5"/>
  <c r="N23" i="5" s="1"/>
  <c r="O23" i="5" s="1"/>
  <c r="P23" i="5" s="1"/>
  <c r="K14" i="5"/>
  <c r="K51" i="7"/>
  <c r="E66" i="7"/>
  <c r="E39" i="7"/>
  <c r="E65" i="7"/>
  <c r="AS109" i="5"/>
  <c r="AS117" i="5" s="1"/>
  <c r="N51" i="6"/>
  <c r="C73" i="3"/>
  <c r="AH166" i="5"/>
  <c r="AI161" i="5" s="1"/>
  <c r="AH109" i="5"/>
  <c r="AH117" i="5" s="1"/>
  <c r="M15" i="7"/>
  <c r="L18" i="5"/>
  <c r="L58" i="5"/>
  <c r="L15" i="7"/>
  <c r="L42" i="7"/>
  <c r="L45" i="7" s="1"/>
  <c r="AT135" i="5"/>
  <c r="AT137" i="5" s="1"/>
  <c r="AV135" i="5"/>
  <c r="CC39" i="6"/>
  <c r="CC34" i="6"/>
  <c r="CC40" i="6"/>
  <c r="CC18" i="6"/>
  <c r="CC38" i="6"/>
  <c r="CC41" i="6"/>
  <c r="CC32" i="6"/>
  <c r="BQ56" i="5"/>
  <c r="G65" i="5"/>
  <c r="G58" i="5"/>
  <c r="AF60" i="5"/>
  <c r="AE59" i="5"/>
  <c r="AE60" i="5"/>
  <c r="AH161" i="5"/>
  <c r="AH162" i="5" s="1"/>
  <c r="AG162" i="5"/>
  <c r="H209" i="5"/>
  <c r="H211" i="5" s="1"/>
  <c r="H219" i="5" s="1"/>
  <c r="AH241" i="5"/>
  <c r="AH242" i="5" s="1"/>
  <c r="BP50" i="5"/>
  <c r="F73" i="7"/>
  <c r="F77" i="7"/>
  <c r="F19" i="7"/>
  <c r="F135" i="5"/>
  <c r="F197" i="5"/>
  <c r="F76" i="7"/>
  <c r="BQ50" i="5"/>
  <c r="AK241" i="5"/>
  <c r="AK242" i="5" s="1"/>
  <c r="AQ154" i="5"/>
  <c r="BM50" i="7"/>
  <c r="BM54" i="7" s="1"/>
  <c r="BM52" i="7"/>
  <c r="BM56" i="7" s="1"/>
  <c r="AQ141" i="5"/>
  <c r="BY10" i="5"/>
  <c r="BY11" i="5" s="1"/>
  <c r="AQ11" i="5"/>
  <c r="AQ145" i="5"/>
  <c r="AJ37" i="5"/>
  <c r="M61" i="7"/>
  <c r="M14" i="7"/>
  <c r="M50" i="7"/>
  <c r="M54" i="7" s="1"/>
  <c r="K228" i="7" s="1"/>
  <c r="M141" i="5"/>
  <c r="M145" i="5"/>
  <c r="M11" i="5"/>
  <c r="M196" i="5"/>
  <c r="M154" i="5"/>
  <c r="AQ241" i="5"/>
  <c r="AQ242" i="5" s="1"/>
  <c r="BY50" i="5"/>
  <c r="BX50" i="5"/>
  <c r="E142" i="5"/>
  <c r="AE94" i="5"/>
  <c r="AE230" i="5"/>
  <c r="AE77" i="5"/>
  <c r="AE73" i="5"/>
  <c r="AE88" i="5"/>
  <c r="AE79" i="5"/>
  <c r="AE80" i="5" s="1"/>
  <c r="AU135" i="5"/>
  <c r="AU137" i="5" s="1"/>
  <c r="AU197" i="5"/>
  <c r="H62" i="14"/>
  <c r="AI135" i="5"/>
  <c r="AI197" i="5"/>
  <c r="BV50" i="5"/>
  <c r="AO241" i="5"/>
  <c r="AO242" i="5" s="1"/>
  <c r="F66" i="7"/>
  <c r="C10" i="5"/>
  <c r="D30" i="7"/>
  <c r="D11" i="7"/>
  <c r="D206" i="5"/>
  <c r="D209" i="5" s="1"/>
  <c r="D211" i="5" s="1"/>
  <c r="D219" i="5" s="1"/>
  <c r="D65" i="5"/>
  <c r="D33" i="5"/>
  <c r="D34" i="5"/>
  <c r="E11" i="7"/>
  <c r="E70" i="7"/>
  <c r="D39" i="5"/>
  <c r="D67" i="7" s="1"/>
  <c r="E34" i="5"/>
  <c r="AV246" i="5"/>
  <c r="AV248" i="5" s="1"/>
  <c r="AV192" i="5"/>
  <c r="BO56" i="5"/>
  <c r="K24" i="10"/>
  <c r="J26" i="10"/>
  <c r="J27" i="10" s="1"/>
  <c r="J28" i="10" s="1"/>
  <c r="BN15" i="5"/>
  <c r="K42" i="7"/>
  <c r="K15" i="7"/>
  <c r="K18" i="5"/>
  <c r="K58" i="5"/>
  <c r="AU219" i="5"/>
  <c r="AE27" i="5"/>
  <c r="AE14" i="5"/>
  <c r="AE144" i="5"/>
  <c r="AE53" i="5"/>
  <c r="AE153" i="5"/>
  <c r="AE146" i="5"/>
  <c r="AE47" i="5"/>
  <c r="AE10" i="5"/>
  <c r="AE149" i="5"/>
  <c r="AE30" i="5"/>
  <c r="AE18" i="5"/>
  <c r="BA51" i="7"/>
  <c r="BA55" i="7" s="1"/>
  <c r="AE33" i="5"/>
  <c r="BL7" i="5"/>
  <c r="BL14" i="5" s="1"/>
  <c r="AE8" i="5"/>
  <c r="BM7" i="5"/>
  <c r="E60" i="5"/>
  <c r="D59" i="5"/>
  <c r="D60" i="5"/>
  <c r="AQ72" i="5"/>
  <c r="AQ70" i="5"/>
  <c r="AQ66" i="5"/>
  <c r="BP37" i="5"/>
  <c r="AJ40" i="5"/>
  <c r="S101" i="14"/>
  <c r="K30" i="6"/>
  <c r="J30" i="6"/>
  <c r="AD135" i="5"/>
  <c r="AD197" i="5"/>
  <c r="Q137" i="14"/>
  <c r="AC43" i="10"/>
  <c r="P96" i="14"/>
  <c r="P102" i="14" s="1"/>
  <c r="P111" i="14" s="1"/>
  <c r="AG135" i="5"/>
  <c r="AG137" i="5" s="1"/>
  <c r="AG197" i="5"/>
  <c r="CB39" i="6"/>
  <c r="CB40" i="6"/>
  <c r="CB18" i="6"/>
  <c r="CB41" i="6"/>
  <c r="CB34" i="6"/>
  <c r="CB38" i="6"/>
  <c r="CB32" i="6"/>
  <c r="D8" i="5"/>
  <c r="D47" i="5"/>
  <c r="D14" i="5"/>
  <c r="D31" i="7"/>
  <c r="D10" i="5"/>
  <c r="D142" i="5"/>
  <c r="D146" i="5"/>
  <c r="D53" i="5"/>
  <c r="D30" i="5"/>
  <c r="D60" i="7"/>
  <c r="D144" i="5"/>
  <c r="D27" i="5"/>
  <c r="D37" i="5"/>
  <c r="D44" i="5"/>
  <c r="D51" i="7"/>
  <c r="D5" i="7"/>
  <c r="D149" i="5"/>
  <c r="D43" i="7"/>
  <c r="D45" i="7" s="1"/>
  <c r="D153" i="5"/>
  <c r="C8" i="5"/>
  <c r="C30" i="5"/>
  <c r="C47" i="5"/>
  <c r="C144" i="5"/>
  <c r="C149" i="5"/>
  <c r="C27" i="5"/>
  <c r="C53" i="5"/>
  <c r="C153" i="5"/>
  <c r="C37" i="5"/>
  <c r="C18" i="5"/>
  <c r="C142" i="5"/>
  <c r="C59" i="5"/>
  <c r="C44" i="5"/>
  <c r="C146" i="5"/>
  <c r="D70" i="7"/>
  <c r="C39" i="5"/>
  <c r="C40" i="5" s="1"/>
  <c r="C65" i="5"/>
  <c r="C33" i="5"/>
  <c r="D18" i="5"/>
  <c r="AS34" i="5"/>
  <c r="AR206" i="5"/>
  <c r="AR209" i="5" s="1"/>
  <c r="AR211" i="5" s="1"/>
  <c r="AR219" i="5" s="1"/>
  <c r="AR65" i="5"/>
  <c r="BY65" i="5" s="1"/>
  <c r="AR33" i="5"/>
  <c r="AR39" i="5"/>
  <c r="AR34" i="5"/>
  <c r="BZ32" i="5"/>
  <c r="BZ34" i="5" s="1"/>
  <c r="AL44" i="5"/>
  <c r="AL58" i="5"/>
  <c r="AL59" i="5" s="1"/>
  <c r="AL246" i="5"/>
  <c r="AL248" i="5" s="1"/>
  <c r="AL192" i="5"/>
  <c r="AQ219" i="5"/>
  <c r="BU32" i="6"/>
  <c r="BU38" i="6"/>
  <c r="BU39" i="6"/>
  <c r="BU18" i="6"/>
  <c r="BY18" i="6"/>
  <c r="BU34" i="6"/>
  <c r="BU40" i="6"/>
  <c r="AF135" i="5"/>
  <c r="AF137" i="5" s="1"/>
  <c r="F246" i="5"/>
  <c r="F248" i="5" s="1"/>
  <c r="F192" i="5"/>
  <c r="H66" i="5"/>
  <c r="AP65" i="5"/>
  <c r="AQ67" i="5" s="1"/>
  <c r="BX43" i="5"/>
  <c r="I27" i="10"/>
  <c r="O26" i="10"/>
  <c r="AZ161" i="5"/>
  <c r="AU162" i="5"/>
  <c r="E47" i="5"/>
  <c r="E30" i="5"/>
  <c r="E8" i="5"/>
  <c r="E153" i="5"/>
  <c r="E27" i="5"/>
  <c r="E31" i="7"/>
  <c r="E18" i="5"/>
  <c r="E53" i="5"/>
  <c r="E10" i="5"/>
  <c r="F14" i="7" s="1"/>
  <c r="E43" i="7"/>
  <c r="E14" i="5"/>
  <c r="E144" i="5"/>
  <c r="E44" i="5"/>
  <c r="E59" i="5"/>
  <c r="E146" i="5"/>
  <c r="E149" i="5"/>
  <c r="E66" i="5"/>
  <c r="E37" i="5"/>
  <c r="E30" i="7"/>
  <c r="E51" i="7"/>
  <c r="E33" i="5"/>
  <c r="E5" i="7"/>
  <c r="E42" i="7"/>
  <c r="E73" i="5"/>
  <c r="E25" i="7"/>
  <c r="E60" i="7"/>
  <c r="AF219" i="5"/>
  <c r="AW52" i="7"/>
  <c r="AW56" i="7" s="1"/>
  <c r="AW50" i="7"/>
  <c r="AW54" i="7" s="1"/>
  <c r="AA11" i="5"/>
  <c r="AA141" i="5"/>
  <c r="AA137" i="5"/>
  <c r="BX32" i="5"/>
  <c r="CB34" i="5" s="1"/>
  <c r="BO39" i="5"/>
  <c r="AH41" i="5"/>
  <c r="AN246" i="5"/>
  <c r="AN248" i="5" s="1"/>
  <c r="AN192" i="5"/>
  <c r="BU41" i="6"/>
  <c r="D147" i="14"/>
  <c r="L19" i="20"/>
  <c r="BP44" i="5"/>
  <c r="BS56" i="5"/>
  <c r="BR56" i="5"/>
  <c r="AP166" i="5"/>
  <c r="AP109" i="5"/>
  <c r="AP117" i="5" s="1"/>
  <c r="BL49" i="7" s="1"/>
  <c r="M166" i="5"/>
  <c r="M109" i="5"/>
  <c r="M117" i="5" s="1"/>
  <c r="AD59" i="5"/>
  <c r="BP41" i="6"/>
  <c r="BP18" i="6"/>
  <c r="BP40" i="6"/>
  <c r="BP34" i="6"/>
  <c r="BP38" i="6"/>
  <c r="BP39" i="6"/>
  <c r="BP32" i="6"/>
  <c r="AS135" i="5"/>
  <c r="G141" i="5"/>
  <c r="G154" i="5"/>
  <c r="G61" i="7"/>
  <c r="G50" i="7"/>
  <c r="G54" i="7" s="1"/>
  <c r="G145" i="5"/>
  <c r="G11" i="5"/>
  <c r="G196" i="5"/>
  <c r="L59" i="7"/>
  <c r="L55" i="7"/>
  <c r="J229" i="7" s="1"/>
  <c r="M44" i="5"/>
  <c r="M58" i="5"/>
  <c r="BY32" i="5"/>
  <c r="AE231" i="5"/>
  <c r="AV137" i="5"/>
  <c r="M86" i="6"/>
  <c r="M74" i="6"/>
  <c r="M24" i="6"/>
  <c r="M7" i="7" s="1"/>
  <c r="AC44" i="5"/>
  <c r="BK43" i="5"/>
  <c r="BK44" i="5" s="1"/>
  <c r="AC58" i="5"/>
  <c r="AC65" i="5"/>
  <c r="BJ43" i="5"/>
  <c r="AD166" i="5"/>
  <c r="AD109" i="5"/>
  <c r="AD117" i="5" s="1"/>
  <c r="BA49" i="7" s="1"/>
  <c r="F147" i="14"/>
  <c r="F165" i="14" s="1"/>
  <c r="J110" i="14"/>
  <c r="J102" i="14"/>
  <c r="J111" i="14" s="1"/>
  <c r="AR135" i="5"/>
  <c r="AR137" i="5" s="1"/>
  <c r="AR197" i="5"/>
  <c r="BW43" i="5"/>
  <c r="AO44" i="5"/>
  <c r="BV43" i="5"/>
  <c r="AO58" i="5"/>
  <c r="BF51" i="7"/>
  <c r="BF55" i="7" s="1"/>
  <c r="AJ144" i="5"/>
  <c r="AJ8" i="5"/>
  <c r="AJ10" i="5"/>
  <c r="AJ149" i="5"/>
  <c r="AJ47" i="5"/>
  <c r="AJ18" i="5"/>
  <c r="AJ14" i="5"/>
  <c r="AJ33" i="5"/>
  <c r="BQ7" i="5"/>
  <c r="AJ146" i="5"/>
  <c r="AJ30" i="5"/>
  <c r="AJ153" i="5"/>
  <c r="AJ59" i="5"/>
  <c r="AJ44" i="5"/>
  <c r="AJ27" i="5"/>
  <c r="BO7" i="5"/>
  <c r="BO37" i="5" s="1"/>
  <c r="AJ73" i="5"/>
  <c r="AJ53" i="5"/>
  <c r="AJ66" i="5"/>
  <c r="AQ135" i="5"/>
  <c r="AQ137" i="5" s="1"/>
  <c r="AQ197" i="5"/>
  <c r="AF144" i="5"/>
  <c r="AF153" i="5"/>
  <c r="AF8" i="5"/>
  <c r="AF53" i="5"/>
  <c r="BN53" i="5" s="1"/>
  <c r="BB51" i="7"/>
  <c r="BB55" i="7" s="1"/>
  <c r="AG8" i="5"/>
  <c r="AF10" i="5"/>
  <c r="AF14" i="5"/>
  <c r="AF27" i="5"/>
  <c r="AF37" i="5"/>
  <c r="AF18" i="5"/>
  <c r="AF30" i="5"/>
  <c r="AF149" i="5"/>
  <c r="BB49" i="7"/>
  <c r="AF47" i="5"/>
  <c r="BN47" i="5" s="1"/>
  <c r="AF146" i="5"/>
  <c r="AJ135" i="5"/>
  <c r="AJ137" i="5" s="1"/>
  <c r="AW27" i="5"/>
  <c r="AW144" i="5"/>
  <c r="AW47" i="5"/>
  <c r="AW18" i="5"/>
  <c r="AW30" i="5"/>
  <c r="AW53" i="5"/>
  <c r="AW14" i="5"/>
  <c r="AW8" i="5"/>
  <c r="AW33" i="5"/>
  <c r="AW37" i="5"/>
  <c r="AW10" i="5"/>
  <c r="AW153" i="5"/>
  <c r="AW149" i="5"/>
  <c r="AX149" i="5" s="1"/>
  <c r="AW146" i="5"/>
  <c r="AX146" i="5" s="1"/>
  <c r="AW40" i="5"/>
  <c r="BN7" i="5"/>
  <c r="I180" i="5"/>
  <c r="I221" i="5" s="1"/>
  <c r="I223" i="5" s="1"/>
  <c r="D10" i="17"/>
  <c r="I165" i="5"/>
  <c r="AO65" i="5"/>
  <c r="AR165" i="5"/>
  <c r="AR180" i="5"/>
  <c r="AR221" i="5" s="1"/>
  <c r="AR223" i="5" s="1"/>
  <c r="AR163" i="5"/>
  <c r="H37" i="5"/>
  <c r="O169" i="5"/>
  <c r="N116" i="5"/>
  <c r="O171" i="5"/>
  <c r="AG60" i="5"/>
  <c r="BL58" i="5"/>
  <c r="AG59" i="5"/>
  <c r="BM58" i="5"/>
  <c r="BN58" i="5"/>
  <c r="BO58" i="5"/>
  <c r="H20" i="7"/>
  <c r="H135" i="5"/>
  <c r="I20" i="7"/>
  <c r="G72" i="10"/>
  <c r="O115" i="5"/>
  <c r="N222" i="5"/>
  <c r="Q20" i="5"/>
  <c r="O55" i="6"/>
  <c r="O77" i="6" s="1"/>
  <c r="D77" i="3"/>
  <c r="O54" i="6"/>
  <c r="O76" i="6" s="1"/>
  <c r="D76" i="3"/>
  <c r="O26" i="6"/>
  <c r="O9" i="7" s="1"/>
  <c r="D143" i="14"/>
  <c r="S97" i="14"/>
  <c r="F106" i="14"/>
  <c r="D60" i="18"/>
  <c r="E60" i="18" s="1"/>
  <c r="D59" i="18"/>
  <c r="E59" i="18" s="1"/>
  <c r="D57" i="18"/>
  <c r="E57" i="18" s="1"/>
  <c r="D56" i="18"/>
  <c r="E56" i="18" s="1"/>
  <c r="D55" i="18"/>
  <c r="E55" i="18" s="1"/>
  <c r="D54" i="18"/>
  <c r="E54" i="18" s="1"/>
  <c r="D52" i="18"/>
  <c r="E52" i="18" s="1"/>
  <c r="D58" i="18"/>
  <c r="E58" i="18" s="1"/>
  <c r="D53" i="18"/>
  <c r="E53" i="18" s="1"/>
  <c r="K20" i="10"/>
  <c r="L21" i="10"/>
  <c r="J65" i="5"/>
  <c r="J206" i="5"/>
  <c r="J209" i="5" s="1"/>
  <c r="J211" i="5" s="1"/>
  <c r="J219" i="5" s="1"/>
  <c r="K70" i="7"/>
  <c r="J33" i="5"/>
  <c r="E5" i="17"/>
  <c r="J40" i="7"/>
  <c r="J11" i="7"/>
  <c r="J34" i="5"/>
  <c r="J39" i="5"/>
  <c r="J30" i="7"/>
  <c r="AL161" i="5"/>
  <c r="BR18" i="5"/>
  <c r="AG241" i="5"/>
  <c r="AG242" i="5" s="1"/>
  <c r="BL50" i="5"/>
  <c r="BO50" i="5"/>
  <c r="BN50" i="5"/>
  <c r="BM50" i="5"/>
  <c r="AU144" i="5"/>
  <c r="AU47" i="5"/>
  <c r="AU27" i="5"/>
  <c r="AU14" i="5"/>
  <c r="AU44" i="5"/>
  <c r="AU18" i="5"/>
  <c r="AU10" i="5"/>
  <c r="AU37" i="5"/>
  <c r="AU146" i="5"/>
  <c r="BQ49" i="7"/>
  <c r="AU149" i="5"/>
  <c r="BQ51" i="7"/>
  <c r="BQ55" i="7" s="1"/>
  <c r="AU30" i="5"/>
  <c r="AU153" i="5"/>
  <c r="AU33" i="5"/>
  <c r="AU59" i="5"/>
  <c r="AU8" i="5"/>
  <c r="CB7" i="5"/>
  <c r="CA7" i="5"/>
  <c r="AU53" i="5"/>
  <c r="AU66" i="5"/>
  <c r="AU40" i="5"/>
  <c r="BZ7" i="5"/>
  <c r="BZ44" i="5" s="1"/>
  <c r="R114" i="5"/>
  <c r="I9" i="10"/>
  <c r="J120" i="10"/>
  <c r="P11" i="6"/>
  <c r="S99" i="14"/>
  <c r="F108" i="14"/>
  <c r="D145" i="14"/>
  <c r="V102" i="14"/>
  <c r="C102" i="14"/>
  <c r="G111" i="14" s="1"/>
  <c r="G105" i="14"/>
  <c r="E154" i="14"/>
  <c r="E148" i="14"/>
  <c r="H65" i="7"/>
  <c r="H66" i="7"/>
  <c r="AM60" i="5"/>
  <c r="AM59" i="5"/>
  <c r="BU58" i="5"/>
  <c r="AN60" i="5"/>
  <c r="BR15" i="5"/>
  <c r="BV15" i="5"/>
  <c r="BR14" i="5"/>
  <c r="C109" i="5"/>
  <c r="C117" i="5" s="1"/>
  <c r="E2" i="25"/>
  <c r="G143" i="5"/>
  <c r="G74" i="7"/>
  <c r="G75" i="7" s="1"/>
  <c r="G78" i="7"/>
  <c r="G49" i="7"/>
  <c r="I89" i="6"/>
  <c r="J77" i="6"/>
  <c r="G3" i="25"/>
  <c r="U12" i="24" s="1"/>
  <c r="G2" i="25"/>
  <c r="H144" i="14"/>
  <c r="O107" i="14"/>
  <c r="Y98" i="14"/>
  <c r="D144" i="14"/>
  <c r="F107" i="14"/>
  <c r="S98" i="14"/>
  <c r="E153" i="14"/>
  <c r="F162" i="14"/>
  <c r="AV162" i="5"/>
  <c r="AW161" i="5"/>
  <c r="AW162" i="5" s="1"/>
  <c r="AL34" i="5"/>
  <c r="AL206" i="5"/>
  <c r="AL209" i="5" s="1"/>
  <c r="AL211" i="5" s="1"/>
  <c r="AL219" i="5" s="1"/>
  <c r="AL65" i="5"/>
  <c r="AL39" i="5"/>
  <c r="BR32" i="5"/>
  <c r="AL33" i="5"/>
  <c r="BS32" i="5"/>
  <c r="AM34" i="5"/>
  <c r="BQ32" i="5"/>
  <c r="BT32" i="5"/>
  <c r="T98" i="14"/>
  <c r="G162" i="5"/>
  <c r="H161" i="5"/>
  <c r="H162" i="5" s="1"/>
  <c r="K276" i="6"/>
  <c r="K82" i="6"/>
  <c r="G66" i="10"/>
  <c r="H319" i="25"/>
  <c r="I319" i="25" s="1"/>
  <c r="F320" i="25"/>
  <c r="H320" i="25" s="1"/>
  <c r="I320" i="25" s="1"/>
  <c r="P106" i="14"/>
  <c r="M111" i="14"/>
  <c r="X102" i="14"/>
  <c r="X103" i="14" s="1"/>
  <c r="H163" i="14"/>
  <c r="M22" i="20"/>
  <c r="F100" i="10"/>
  <c r="AE174" i="5"/>
  <c r="AE36" i="5" s="1"/>
  <c r="T96" i="14"/>
  <c r="H105" i="14"/>
  <c r="D102" i="14"/>
  <c r="H111" i="14" s="1"/>
  <c r="D161" i="5"/>
  <c r="D162" i="5" s="1"/>
  <c r="C162" i="5"/>
  <c r="E156" i="14"/>
  <c r="E165" i="14"/>
  <c r="Q23" i="5"/>
  <c r="BR40" i="6"/>
  <c r="BV18" i="6"/>
  <c r="BR32" i="6"/>
  <c r="BR38" i="6"/>
  <c r="BR39" i="6"/>
  <c r="BR18" i="6"/>
  <c r="BR41" i="6"/>
  <c r="Y100" i="14"/>
  <c r="H146" i="14"/>
  <c r="O109" i="14"/>
  <c r="R98" i="6"/>
  <c r="H161" i="14"/>
  <c r="BG49" i="7"/>
  <c r="H109" i="14"/>
  <c r="T100" i="14"/>
  <c r="H224" i="10"/>
  <c r="I224" i="10"/>
  <c r="AH135" i="5"/>
  <c r="AH137" i="5" s="1"/>
  <c r="AH197" i="5"/>
  <c r="R149" i="5"/>
  <c r="BZ56" i="5"/>
  <c r="BY56" i="5"/>
  <c r="CA56" i="5"/>
  <c r="BX56" i="5"/>
  <c r="M19" i="20"/>
  <c r="K75" i="6"/>
  <c r="L75" i="6"/>
  <c r="H111" i="25"/>
  <c r="I111" i="25" s="1"/>
  <c r="H724" i="25"/>
  <c r="I724" i="25" s="1"/>
  <c r="M44" i="20"/>
  <c r="M45" i="20" s="1"/>
  <c r="M50" i="20" s="1"/>
  <c r="M46" i="20"/>
  <c r="M52" i="20" s="1"/>
  <c r="P109" i="14"/>
  <c r="G83" i="10"/>
  <c r="F160" i="14"/>
  <c r="F148" i="14"/>
  <c r="F151" i="14"/>
  <c r="M20" i="20"/>
  <c r="M221" i="10"/>
  <c r="P220" i="10"/>
  <c r="O220" i="10"/>
  <c r="L22" i="20"/>
  <c r="H110" i="14"/>
  <c r="T101" i="14"/>
  <c r="AP60" i="5"/>
  <c r="AP59" i="5"/>
  <c r="BX58" i="5"/>
  <c r="BW58" i="5"/>
  <c r="AQ60" i="5"/>
  <c r="L23" i="20"/>
  <c r="AP27" i="5"/>
  <c r="BL51" i="7"/>
  <c r="BL55" i="7" s="1"/>
  <c r="AP153" i="5"/>
  <c r="AP144" i="5"/>
  <c r="AP18" i="5"/>
  <c r="AP149" i="5"/>
  <c r="AP53" i="5"/>
  <c r="AP146" i="5"/>
  <c r="AP47" i="5"/>
  <c r="AP30" i="5"/>
  <c r="AP8" i="5"/>
  <c r="AP14" i="5"/>
  <c r="AP44" i="5"/>
  <c r="BX7" i="5"/>
  <c r="AQ8" i="5"/>
  <c r="AP37" i="5"/>
  <c r="AP10" i="5"/>
  <c r="BW7" i="5"/>
  <c r="AP33" i="5"/>
  <c r="AP66" i="5"/>
  <c r="AP40" i="5"/>
  <c r="AZ227" i="5"/>
  <c r="AU231" i="5"/>
  <c r="I65" i="5"/>
  <c r="D5" i="17"/>
  <c r="I11" i="7"/>
  <c r="I34" i="5"/>
  <c r="I30" i="7"/>
  <c r="I206" i="5"/>
  <c r="I209" i="5" s="1"/>
  <c r="I211" i="5" s="1"/>
  <c r="I219" i="5" s="1"/>
  <c r="I70" i="7"/>
  <c r="I39" i="5"/>
  <c r="I33" i="5"/>
  <c r="J70" i="7"/>
  <c r="AN8" i="5"/>
  <c r="AN10" i="5"/>
  <c r="AN53" i="5"/>
  <c r="AN30" i="5"/>
  <c r="AN47" i="5"/>
  <c r="AN146" i="5"/>
  <c r="AN37" i="5"/>
  <c r="AN149" i="5"/>
  <c r="AO8" i="5"/>
  <c r="BU7" i="5"/>
  <c r="AN18" i="5"/>
  <c r="BJ51" i="7"/>
  <c r="BJ55" i="7" s="1"/>
  <c r="AN144" i="5"/>
  <c r="AN153" i="5"/>
  <c r="AN27" i="5"/>
  <c r="AN14" i="5"/>
  <c r="AN33" i="5"/>
  <c r="BJ49" i="7"/>
  <c r="BT7" i="5"/>
  <c r="AN44" i="5"/>
  <c r="AN40" i="5"/>
  <c r="BV7" i="5"/>
  <c r="BS7" i="5"/>
  <c r="AN66" i="5"/>
  <c r="AN59" i="5"/>
  <c r="B21" i="8"/>
  <c r="B20" i="8"/>
  <c r="X170" i="6"/>
  <c r="H117" i="5"/>
  <c r="E80" i="5"/>
  <c r="F45" i="7"/>
  <c r="W102" i="14"/>
  <c r="W103" i="14" s="1"/>
  <c r="K111" i="14"/>
  <c r="M103" i="14"/>
  <c r="P107" i="14"/>
  <c r="T99" i="14"/>
  <c r="H108" i="14"/>
  <c r="E155" i="14"/>
  <c r="F60" i="10"/>
  <c r="G61" i="10" s="1"/>
  <c r="BI56" i="5"/>
  <c r="BL56" i="5"/>
  <c r="P217" i="10"/>
  <c r="O217" i="10"/>
  <c r="M211" i="10"/>
  <c r="BX15" i="5"/>
  <c r="CB15" i="5"/>
  <c r="AC184" i="5"/>
  <c r="AC185" i="5" s="1"/>
  <c r="AC201" i="5" s="1"/>
  <c r="AC202" i="5" s="1"/>
  <c r="AC179" i="5"/>
  <c r="AB184" i="5"/>
  <c r="AB185" i="5" s="1"/>
  <c r="AB201" i="5" s="1"/>
  <c r="AB202" i="5" s="1"/>
  <c r="AB197" i="5"/>
  <c r="AC181" i="5"/>
  <c r="G73" i="7"/>
  <c r="G19" i="7"/>
  <c r="G76" i="7"/>
  <c r="G135" i="5"/>
  <c r="G77" i="7"/>
  <c r="H19" i="7"/>
  <c r="G197" i="5"/>
  <c r="I53" i="5"/>
  <c r="I146" i="5"/>
  <c r="I47" i="5"/>
  <c r="I44" i="5"/>
  <c r="I43" i="7"/>
  <c r="I14" i="5"/>
  <c r="J8" i="5"/>
  <c r="I60" i="7"/>
  <c r="I8" i="5"/>
  <c r="I31" i="7"/>
  <c r="I5" i="7"/>
  <c r="I85" i="7"/>
  <c r="I30" i="5"/>
  <c r="I153" i="5"/>
  <c r="I144" i="5"/>
  <c r="I142" i="5"/>
  <c r="I149" i="5"/>
  <c r="I10" i="5"/>
  <c r="J5" i="7"/>
  <c r="I25" i="5"/>
  <c r="I23" i="5"/>
  <c r="I59" i="5"/>
  <c r="I51" i="7"/>
  <c r="I42" i="7"/>
  <c r="I27" i="5"/>
  <c r="I18" i="5"/>
  <c r="I25" i="7"/>
  <c r="I163" i="5"/>
  <c r="BS58" i="5"/>
  <c r="BQ58" i="5"/>
  <c r="AL60" i="5"/>
  <c r="AK60" i="5"/>
  <c r="AK59" i="5"/>
  <c r="BR58" i="5"/>
  <c r="AU73" i="5"/>
  <c r="F154" i="5"/>
  <c r="F141" i="5"/>
  <c r="F11" i="5"/>
  <c r="F196" i="5"/>
  <c r="F50" i="7"/>
  <c r="F54" i="7" s="1"/>
  <c r="G14" i="7"/>
  <c r="F61" i="7"/>
  <c r="F145" i="5"/>
  <c r="J91" i="6" s="1"/>
  <c r="BM43" i="5"/>
  <c r="BO43" i="5"/>
  <c r="BO44" i="5" s="1"/>
  <c r="AG44" i="5"/>
  <c r="AG65" i="5"/>
  <c r="Q99" i="6"/>
  <c r="H136" i="25"/>
  <c r="I136" i="25" s="1"/>
  <c r="D137" i="25"/>
  <c r="D142" i="14"/>
  <c r="B102" i="14"/>
  <c r="S96" i="14"/>
  <c r="AA44" i="5"/>
  <c r="AA65" i="5"/>
  <c r="BI43" i="5"/>
  <c r="O102" i="14"/>
  <c r="AO174" i="5"/>
  <c r="AO36" i="5" s="1"/>
  <c r="AO162" i="5"/>
  <c r="AO165" i="5" s="1"/>
  <c r="G116" i="10"/>
  <c r="K65" i="5"/>
  <c r="F5" i="17"/>
  <c r="L70" i="7"/>
  <c r="K40" i="7"/>
  <c r="K11" i="7"/>
  <c r="K34" i="5"/>
  <c r="K30" i="7"/>
  <c r="K206" i="5"/>
  <c r="K209" i="5" s="1"/>
  <c r="K211" i="5" s="1"/>
  <c r="K219" i="5" s="1"/>
  <c r="K33" i="5"/>
  <c r="K39" i="5"/>
  <c r="L212" i="10"/>
  <c r="L223" i="10"/>
  <c r="L224" i="10" s="1"/>
  <c r="C135" i="5"/>
  <c r="BR49" i="7"/>
  <c r="AU80" i="5"/>
  <c r="AK80" i="5"/>
  <c r="AN81" i="5"/>
  <c r="AN80" i="5"/>
  <c r="M76" i="6"/>
  <c r="L76" i="6"/>
  <c r="AS60" i="5"/>
  <c r="AS59" i="5"/>
  <c r="AT60" i="5"/>
  <c r="CA58" i="5"/>
  <c r="R96" i="6"/>
  <c r="J75" i="6"/>
  <c r="J74" i="6"/>
  <c r="K74" i="6"/>
  <c r="G109" i="14"/>
  <c r="D146" i="14"/>
  <c r="F57" i="8"/>
  <c r="B8" i="8" s="1"/>
  <c r="B7" i="8"/>
  <c r="C27" i="4" s="1"/>
  <c r="AR59" i="5"/>
  <c r="BZ58" i="5"/>
  <c r="BY58" i="5"/>
  <c r="AR60" i="5"/>
  <c r="F174" i="5"/>
  <c r="F36" i="5" s="1"/>
  <c r="F39" i="5" s="1"/>
  <c r="K68" i="6"/>
  <c r="BK49" i="7"/>
  <c r="AN137" i="5"/>
  <c r="AK135" i="5"/>
  <c r="AK137" i="5" s="1"/>
  <c r="AK197" i="5"/>
  <c r="BP49" i="7"/>
  <c r="BO49" i="7"/>
  <c r="BN43" i="5"/>
  <c r="H869" i="25"/>
  <c r="I869" i="25" s="1"/>
  <c r="D870" i="25"/>
  <c r="H870" i="25" s="1"/>
  <c r="I870" i="25" s="1"/>
  <c r="F64" i="10"/>
  <c r="G554" i="11"/>
  <c r="BQ15" i="5"/>
  <c r="BU15" i="5"/>
  <c r="BQ14" i="5"/>
  <c r="R144" i="5"/>
  <c r="Q55" i="7"/>
  <c r="J86" i="6"/>
  <c r="R97" i="6"/>
  <c r="M23" i="20"/>
  <c r="I103" i="14"/>
  <c r="F111" i="14"/>
  <c r="U102" i="14"/>
  <c r="F163" i="14"/>
  <c r="L161" i="14"/>
  <c r="L164" i="14"/>
  <c r="L160" i="14"/>
  <c r="L165" i="14"/>
  <c r="F33" i="5"/>
  <c r="F206" i="5"/>
  <c r="F209" i="5" s="1"/>
  <c r="G34" i="5"/>
  <c r="F65" i="5"/>
  <c r="F34" i="5"/>
  <c r="F30" i="7"/>
  <c r="G70" i="7"/>
  <c r="G11" i="7"/>
  <c r="F70" i="7"/>
  <c r="F11" i="7"/>
  <c r="L21" i="20"/>
  <c r="L163" i="14"/>
  <c r="F164" i="14"/>
  <c r="G224" i="10"/>
  <c r="L68" i="6"/>
  <c r="K72" i="6"/>
  <c r="J72" i="6"/>
  <c r="AS162" i="5"/>
  <c r="AT161" i="5"/>
  <c r="AT162" i="5" s="1"/>
  <c r="AA58" i="5"/>
  <c r="AM44" i="5"/>
  <c r="BT43" i="5"/>
  <c r="BR43" i="5"/>
  <c r="BR44" i="5" s="1"/>
  <c r="AM65" i="5"/>
  <c r="BU43" i="5"/>
  <c r="BU44" i="5" s="1"/>
  <c r="BS43" i="5"/>
  <c r="BS44" i="5" s="1"/>
  <c r="BJ56" i="5"/>
  <c r="G67" i="7"/>
  <c r="G20" i="7"/>
  <c r="H67" i="7"/>
  <c r="AN73" i="5"/>
  <c r="CD18" i="6"/>
  <c r="CD38" i="6"/>
  <c r="CD41" i="6"/>
  <c r="CD32" i="6"/>
  <c r="CD40" i="6"/>
  <c r="CD39" i="6"/>
  <c r="F59" i="7"/>
  <c r="F55" i="7"/>
  <c r="F6" i="10"/>
  <c r="K6" i="6"/>
  <c r="E3" i="10"/>
  <c r="E13" i="10" s="1"/>
  <c r="P110" i="14"/>
  <c r="M65" i="5"/>
  <c r="H5" i="17"/>
  <c r="M11" i="7"/>
  <c r="M30" i="7"/>
  <c r="M206" i="5"/>
  <c r="M209" i="5" s="1"/>
  <c r="M211" i="5" s="1"/>
  <c r="M219" i="5" s="1"/>
  <c r="M39" i="5"/>
  <c r="M34" i="5"/>
  <c r="M40" i="7"/>
  <c r="M33" i="5"/>
  <c r="C54" i="4" s="1"/>
  <c r="F643" i="25"/>
  <c r="H643" i="25" s="1"/>
  <c r="I643" i="25" s="1"/>
  <c r="H642" i="25"/>
  <c r="I642" i="25" s="1"/>
  <c r="H641" i="25"/>
  <c r="I641" i="25" s="1"/>
  <c r="M21" i="20"/>
  <c r="P108" i="14"/>
  <c r="E102" i="14"/>
  <c r="F103" i="14" s="1"/>
  <c r="BP58" i="5"/>
  <c r="AH60" i="5"/>
  <c r="AI60" i="5"/>
  <c r="AH59" i="5"/>
  <c r="L65" i="5"/>
  <c r="L206" i="5"/>
  <c r="L209" i="5" s="1"/>
  <c r="L211" i="5" s="1"/>
  <c r="L219" i="5" s="1"/>
  <c r="L39" i="5"/>
  <c r="M70" i="7"/>
  <c r="L33" i="5"/>
  <c r="G5" i="17"/>
  <c r="L40" i="7"/>
  <c r="L11" i="7"/>
  <c r="L34" i="5"/>
  <c r="L30" i="7"/>
  <c r="I143" i="5"/>
  <c r="I74" i="7"/>
  <c r="I75" i="7" s="1"/>
  <c r="I78" i="7"/>
  <c r="J49" i="7"/>
  <c r="I137" i="5"/>
  <c r="C195" i="5"/>
  <c r="C192" i="5"/>
  <c r="C196" i="5"/>
  <c r="C200" i="5"/>
  <c r="C202" i="5" s="1"/>
  <c r="C197" i="5"/>
  <c r="D195" i="5"/>
  <c r="D189" i="5"/>
  <c r="D200" i="5"/>
  <c r="D202" i="5" s="1"/>
  <c r="BL43" i="5"/>
  <c r="BL44" i="5" s="1"/>
  <c r="BR50" i="5"/>
  <c r="BT50" i="5"/>
  <c r="AM241" i="5"/>
  <c r="AM242" i="5" s="1"/>
  <c r="BU50" i="5"/>
  <c r="BS50" i="5"/>
  <c r="BR37" i="5"/>
  <c r="G59" i="7" l="1"/>
  <c r="G55" i="7"/>
  <c r="AM162" i="5"/>
  <c r="F40" i="7"/>
  <c r="G40" i="7"/>
  <c r="H241" i="6"/>
  <c r="X264" i="6" s="1"/>
  <c r="AI137" i="5"/>
  <c r="AL162" i="5"/>
  <c r="X238" i="6"/>
  <c r="H72" i="5"/>
  <c r="H70" i="5"/>
  <c r="H39" i="7" s="1"/>
  <c r="AO154" i="5"/>
  <c r="BK50" i="7"/>
  <c r="BK54" i="7" s="1"/>
  <c r="BK57" i="7" s="1"/>
  <c r="AO11" i="5"/>
  <c r="BK52" i="7"/>
  <c r="BK56" i="7" s="1"/>
  <c r="AO141" i="5"/>
  <c r="AO145" i="5"/>
  <c r="AS192" i="5"/>
  <c r="AS246" i="5"/>
  <c r="AS248" i="5" s="1"/>
  <c r="L61" i="7"/>
  <c r="L141" i="5"/>
  <c r="L50" i="7"/>
  <c r="L54" i="7" s="1"/>
  <c r="J228" i="7" s="1"/>
  <c r="L11" i="5"/>
  <c r="L196" i="5"/>
  <c r="L145" i="5"/>
  <c r="L154" i="5"/>
  <c r="AG246" i="5"/>
  <c r="AG248" i="5" s="1"/>
  <c r="AG192" i="5"/>
  <c r="H246" i="5"/>
  <c r="H248" i="5" s="1"/>
  <c r="H192" i="5"/>
  <c r="AN165" i="5"/>
  <c r="AN180" i="5"/>
  <c r="AN221" i="5" s="1"/>
  <c r="AN223" i="5" s="1"/>
  <c r="AN233" i="5" s="1"/>
  <c r="BT44" i="5"/>
  <c r="K45" i="7"/>
  <c r="O241" i="6"/>
  <c r="Q228" i="5"/>
  <c r="R130" i="5"/>
  <c r="BP39" i="5"/>
  <c r="BP40" i="5" s="1"/>
  <c r="AK41" i="5"/>
  <c r="J143" i="5"/>
  <c r="J74" i="7"/>
  <c r="J75" i="7" s="1"/>
  <c r="J78" i="7"/>
  <c r="J162" i="5"/>
  <c r="J18" i="7"/>
  <c r="M26" i="7"/>
  <c r="M25" i="7"/>
  <c r="BI49" i="7"/>
  <c r="J45" i="7"/>
  <c r="J59" i="7"/>
  <c r="J55" i="7"/>
  <c r="J154" i="5"/>
  <c r="J145" i="5"/>
  <c r="N91" i="6" s="1"/>
  <c r="J50" i="7"/>
  <c r="J54" i="7" s="1"/>
  <c r="J141" i="5"/>
  <c r="J61" i="7"/>
  <c r="J11" i="5"/>
  <c r="J196" i="5"/>
  <c r="M79" i="10"/>
  <c r="I78" i="10"/>
  <c r="AW57" i="7"/>
  <c r="AZ57" i="7"/>
  <c r="E23" i="7"/>
  <c r="AB77" i="5"/>
  <c r="AB88" i="5"/>
  <c r="AB79" i="5"/>
  <c r="AB80" i="5" s="1"/>
  <c r="AB230" i="5"/>
  <c r="AB231" i="5" s="1"/>
  <c r="AB233" i="5" s="1"/>
  <c r="AB94" i="5"/>
  <c r="AH94" i="5"/>
  <c r="AH77" i="5"/>
  <c r="AH230" i="5"/>
  <c r="AH231" i="5" s="1"/>
  <c r="AH88" i="5"/>
  <c r="AH79" i="5"/>
  <c r="AH80" i="5" s="1"/>
  <c r="AH73" i="5"/>
  <c r="BS55" i="7"/>
  <c r="BR57" i="7"/>
  <c r="AB73" i="5"/>
  <c r="AD155" i="5"/>
  <c r="AD148" i="5"/>
  <c r="AD151" i="5" s="1"/>
  <c r="BJ44" i="5"/>
  <c r="BI11" i="5"/>
  <c r="AL148" i="5"/>
  <c r="AL151" i="5" s="1"/>
  <c r="AL155" i="5"/>
  <c r="BN44" i="5"/>
  <c r="BI44" i="5"/>
  <c r="BM44" i="5"/>
  <c r="E45" i="7"/>
  <c r="H45" i="7"/>
  <c r="BH57" i="7"/>
  <c r="AV79" i="5"/>
  <c r="AV80" i="5" s="1"/>
  <c r="AV77" i="5"/>
  <c r="AV74" i="5"/>
  <c r="AV88" i="5"/>
  <c r="AV73" i="5"/>
  <c r="AV230" i="5"/>
  <c r="AV231" i="5" s="1"/>
  <c r="AV94" i="5"/>
  <c r="E165" i="5"/>
  <c r="E180" i="5"/>
  <c r="K80" i="6"/>
  <c r="K57" i="6"/>
  <c r="K34" i="6"/>
  <c r="K41" i="6"/>
  <c r="K3" i="20"/>
  <c r="K4" i="20" s="1"/>
  <c r="K40" i="6"/>
  <c r="K38" i="6"/>
  <c r="K39" i="6"/>
  <c r="K36" i="6"/>
  <c r="P8" i="20"/>
  <c r="P49" i="20"/>
  <c r="BA57" i="6"/>
  <c r="O89" i="6"/>
  <c r="D56" i="10"/>
  <c r="J147" i="10"/>
  <c r="J158" i="10"/>
  <c r="I147" i="10"/>
  <c r="I158" i="10"/>
  <c r="I159" i="10" s="1"/>
  <c r="H146" i="10"/>
  <c r="H145" i="10" s="1"/>
  <c r="H156" i="10"/>
  <c r="K163" i="10"/>
  <c r="F8" i="18"/>
  <c r="F51" i="18" s="1"/>
  <c r="F52" i="18" s="1"/>
  <c r="F53" i="18" s="1"/>
  <c r="F54" i="18" s="1"/>
  <c r="F55" i="18" s="1"/>
  <c r="F56" i="18" s="1"/>
  <c r="F57" i="18" s="1"/>
  <c r="F58" i="18" s="1"/>
  <c r="F59" i="18" s="1"/>
  <c r="F60" i="18" s="1"/>
  <c r="M83" i="6"/>
  <c r="I161" i="10"/>
  <c r="O274" i="6"/>
  <c r="I287" i="6"/>
  <c r="BY70" i="5"/>
  <c r="BY66" i="5"/>
  <c r="AO72" i="5"/>
  <c r="AO67" i="5"/>
  <c r="BV65" i="5"/>
  <c r="BV70" i="5" s="1"/>
  <c r="BW65" i="5"/>
  <c r="BW70" i="5" s="1"/>
  <c r="AO66" i="5"/>
  <c r="AO70" i="5"/>
  <c r="AO59" i="5"/>
  <c r="AO60" i="5"/>
  <c r="AC72" i="5"/>
  <c r="BJ65" i="5"/>
  <c r="BK65" i="5"/>
  <c r="AC67" i="5"/>
  <c r="AC70" i="5"/>
  <c r="AC66" i="5"/>
  <c r="K91" i="6"/>
  <c r="BM14" i="5"/>
  <c r="BM18" i="5"/>
  <c r="BM8" i="5"/>
  <c r="D41" i="5"/>
  <c r="D40" i="5"/>
  <c r="E41" i="5"/>
  <c r="N111" i="14"/>
  <c r="AW60" i="5"/>
  <c r="AW59" i="5"/>
  <c r="BJ53" i="5"/>
  <c r="AC59" i="5"/>
  <c r="BJ58" i="5"/>
  <c r="BK58" i="5"/>
  <c r="AC60" i="5"/>
  <c r="C66" i="5"/>
  <c r="C67" i="5"/>
  <c r="C72" i="5"/>
  <c r="C68" i="5"/>
  <c r="C70" i="5"/>
  <c r="Q96" i="14"/>
  <c r="AD43" i="10"/>
  <c r="Q98" i="14"/>
  <c r="Q100" i="14"/>
  <c r="Q101" i="14"/>
  <c r="Q99" i="14"/>
  <c r="Q97" i="14"/>
  <c r="BL53" i="5"/>
  <c r="BM53" i="5"/>
  <c r="L24" i="10"/>
  <c r="K26" i="10"/>
  <c r="K27" i="10" s="1"/>
  <c r="K28" i="10" s="1"/>
  <c r="K32" i="10"/>
  <c r="AG163" i="5"/>
  <c r="AG165" i="5"/>
  <c r="AG180" i="5"/>
  <c r="AG221" i="5" s="1"/>
  <c r="AG223" i="5" s="1"/>
  <c r="AT77" i="5"/>
  <c r="AT88" i="5"/>
  <c r="AT79" i="5"/>
  <c r="AT73" i="5"/>
  <c r="AT94" i="5"/>
  <c r="AU74" i="5"/>
  <c r="AT230" i="5"/>
  <c r="AT231" i="5" s="1"/>
  <c r="AV148" i="5"/>
  <c r="AV151" i="5" s="1"/>
  <c r="AV155" i="5"/>
  <c r="AW70" i="5"/>
  <c r="AW66" i="5"/>
  <c r="AW67" i="5"/>
  <c r="AW72" i="5"/>
  <c r="AG41" i="5"/>
  <c r="BN39" i="5"/>
  <c r="BN40" i="5" s="1"/>
  <c r="AF40" i="5"/>
  <c r="BI47" i="5"/>
  <c r="BJ47" i="5"/>
  <c r="J59" i="5"/>
  <c r="J60" i="5"/>
  <c r="BQ8" i="5"/>
  <c r="BQ37" i="5"/>
  <c r="BQ18" i="5"/>
  <c r="AD60" i="5"/>
  <c r="AQ73" i="5"/>
  <c r="AQ94" i="5"/>
  <c r="AQ79" i="5"/>
  <c r="AQ230" i="5"/>
  <c r="AQ231" i="5" s="1"/>
  <c r="AQ77" i="5"/>
  <c r="AQ88" i="5"/>
  <c r="AH165" i="5"/>
  <c r="AH180" i="5"/>
  <c r="AH221" i="5" s="1"/>
  <c r="AH223" i="5" s="1"/>
  <c r="AH233" i="5" s="1"/>
  <c r="AH163" i="5"/>
  <c r="BE49" i="7"/>
  <c r="BD49" i="7"/>
  <c r="AJ161" i="5"/>
  <c r="AJ162" i="5" s="1"/>
  <c r="AI162" i="5"/>
  <c r="M78" i="7"/>
  <c r="M74" i="7"/>
  <c r="M75" i="7" s="1"/>
  <c r="M18" i="7"/>
  <c r="M143" i="5"/>
  <c r="M137" i="5"/>
  <c r="AU165" i="5"/>
  <c r="AU180" i="5"/>
  <c r="BI53" i="5"/>
  <c r="F143" i="5"/>
  <c r="F78" i="7"/>
  <c r="F74" i="7"/>
  <c r="F75" i="7" s="1"/>
  <c r="F18" i="7"/>
  <c r="F49" i="7"/>
  <c r="K18" i="7"/>
  <c r="K74" i="7"/>
  <c r="K75" i="7" s="1"/>
  <c r="K143" i="5"/>
  <c r="L49" i="7"/>
  <c r="J233" i="7" s="1"/>
  <c r="J235" i="7" s="1"/>
  <c r="K78" i="7"/>
  <c r="AF66" i="5"/>
  <c r="AF67" i="5"/>
  <c r="AF70" i="5"/>
  <c r="AF72" i="5"/>
  <c r="AF180" i="5"/>
  <c r="AF221" i="5" s="1"/>
  <c r="AF223" i="5" s="1"/>
  <c r="AF163" i="5"/>
  <c r="AF165" i="5"/>
  <c r="BG50" i="7"/>
  <c r="BG54" i="7" s="1"/>
  <c r="AK154" i="5"/>
  <c r="AK145" i="5"/>
  <c r="AK141" i="5"/>
  <c r="AK11" i="5"/>
  <c r="BG52" i="7"/>
  <c r="BG56" i="7" s="1"/>
  <c r="BK53" i="5"/>
  <c r="BN8" i="5"/>
  <c r="BN37" i="5"/>
  <c r="G198" i="5"/>
  <c r="G155" i="5"/>
  <c r="G148" i="5"/>
  <c r="G151" i="5" s="1"/>
  <c r="G52" i="7"/>
  <c r="G56" i="7" s="1"/>
  <c r="G57" i="7" s="1"/>
  <c r="M162" i="5"/>
  <c r="N161" i="5"/>
  <c r="BO40" i="5"/>
  <c r="F137" i="5"/>
  <c r="F25" i="7"/>
  <c r="K59" i="7"/>
  <c r="K55" i="7"/>
  <c r="I229" i="7" s="1"/>
  <c r="CB58" i="5"/>
  <c r="CB59" i="5" s="1"/>
  <c r="L161" i="5"/>
  <c r="L162" i="5" s="1"/>
  <c r="K162" i="5"/>
  <c r="AC163" i="5"/>
  <c r="AC180" i="5"/>
  <c r="AC221" i="5" s="1"/>
  <c r="AC223" i="5" s="1"/>
  <c r="H154" i="5"/>
  <c r="H61" i="7"/>
  <c r="H14" i="7"/>
  <c r="H145" i="5"/>
  <c r="L91" i="6" s="1"/>
  <c r="H196" i="5"/>
  <c r="H50" i="7"/>
  <c r="H54" i="7" s="1"/>
  <c r="H141" i="5"/>
  <c r="H11" i="5"/>
  <c r="F26" i="7"/>
  <c r="BJ14" i="5"/>
  <c r="BJ33" i="5"/>
  <c r="BJ18" i="5"/>
  <c r="BN18" i="5"/>
  <c r="BP53" i="5"/>
  <c r="BQ53" i="5"/>
  <c r="BR53" i="5"/>
  <c r="BO53" i="5"/>
  <c r="BY33" i="5"/>
  <c r="BY34" i="5"/>
  <c r="AP137" i="5"/>
  <c r="BM49" i="7"/>
  <c r="AS41" i="5"/>
  <c r="AR41" i="5"/>
  <c r="BY39" i="5"/>
  <c r="BY40" i="5" s="1"/>
  <c r="AR40" i="5"/>
  <c r="BZ39" i="5"/>
  <c r="BX39" i="5"/>
  <c r="CB41" i="5" s="1"/>
  <c r="E67" i="5"/>
  <c r="D70" i="5"/>
  <c r="D39" i="7" s="1"/>
  <c r="D72" i="5"/>
  <c r="D66" i="5"/>
  <c r="D67" i="5"/>
  <c r="BP34" i="5"/>
  <c r="BL34" i="5"/>
  <c r="BL33" i="5"/>
  <c r="AB154" i="5"/>
  <c r="AX50" i="7"/>
  <c r="AX54" i="7" s="1"/>
  <c r="AX52" i="7"/>
  <c r="AX56" i="7" s="1"/>
  <c r="AB141" i="5"/>
  <c r="AB145" i="5"/>
  <c r="AB11" i="5"/>
  <c r="BJ10" i="5"/>
  <c r="BJ11" i="5" s="1"/>
  <c r="AC154" i="5"/>
  <c r="AY50" i="7"/>
  <c r="AY54" i="7" s="1"/>
  <c r="AY52" i="7"/>
  <c r="AY56" i="7" s="1"/>
  <c r="AC141" i="5"/>
  <c r="AC11" i="5"/>
  <c r="BK10" i="5"/>
  <c r="BK11" i="5" s="1"/>
  <c r="AC145" i="5"/>
  <c r="BQ47" i="5"/>
  <c r="BR47" i="5"/>
  <c r="BO47" i="5"/>
  <c r="BP47" i="5"/>
  <c r="M60" i="5"/>
  <c r="M59" i="5"/>
  <c r="AQ161" i="5"/>
  <c r="AQ162" i="5" s="1"/>
  <c r="AP162" i="5"/>
  <c r="E154" i="5"/>
  <c r="E141" i="5"/>
  <c r="E145" i="5"/>
  <c r="I91" i="6" s="1"/>
  <c r="E11" i="5"/>
  <c r="E50" i="7"/>
  <c r="E54" i="7" s="1"/>
  <c r="E61" i="7"/>
  <c r="E14" i="7"/>
  <c r="E196" i="5"/>
  <c r="I28" i="10"/>
  <c r="O28" i="10" s="1"/>
  <c r="O27" i="10"/>
  <c r="K60" i="5"/>
  <c r="K59" i="5"/>
  <c r="O227" i="5"/>
  <c r="P127" i="5"/>
  <c r="AC210" i="5"/>
  <c r="AC211" i="5" s="1"/>
  <c r="AC219" i="5" s="1"/>
  <c r="AC37" i="5"/>
  <c r="BI36" i="5"/>
  <c r="BI37" i="5" s="1"/>
  <c r="AC39" i="5"/>
  <c r="H59" i="7"/>
  <c r="H55" i="7"/>
  <c r="BK33" i="5"/>
  <c r="BO34" i="5"/>
  <c r="BK34" i="5"/>
  <c r="AI73" i="5"/>
  <c r="AJ74" i="5"/>
  <c r="AI77" i="5"/>
  <c r="BP72" i="5"/>
  <c r="AI230" i="5"/>
  <c r="AI231" i="5" s="1"/>
  <c r="AI88" i="5"/>
  <c r="AI79" i="5"/>
  <c r="AI74" i="5"/>
  <c r="AI94" i="5"/>
  <c r="BK18" i="5"/>
  <c r="BK47" i="5"/>
  <c r="BB52" i="7"/>
  <c r="BB56" i="7" s="1"/>
  <c r="AF154" i="5"/>
  <c r="BB50" i="7"/>
  <c r="BB54" i="7" s="1"/>
  <c r="AF145" i="5"/>
  <c r="AF141" i="5"/>
  <c r="BN10" i="5"/>
  <c r="BN11" i="5" s="1"/>
  <c r="AF11" i="5"/>
  <c r="BO14" i="5"/>
  <c r="BO18" i="5"/>
  <c r="BO8" i="5"/>
  <c r="BO33" i="5"/>
  <c r="E59" i="7"/>
  <c r="E55" i="7"/>
  <c r="AR67" i="5"/>
  <c r="AR70" i="5"/>
  <c r="BZ65" i="5"/>
  <c r="AR72" i="5"/>
  <c r="AR66" i="5"/>
  <c r="AQ148" i="5"/>
  <c r="AQ151" i="5" s="1"/>
  <c r="AQ155" i="5"/>
  <c r="N85" i="6"/>
  <c r="K61" i="7"/>
  <c r="K14" i="7"/>
  <c r="K50" i="7"/>
  <c r="K54" i="7" s="1"/>
  <c r="I228" i="7" s="1"/>
  <c r="K145" i="5"/>
  <c r="K141" i="5"/>
  <c r="K154" i="5"/>
  <c r="K11" i="5"/>
  <c r="L14" i="7"/>
  <c r="K196" i="5"/>
  <c r="X172" i="6"/>
  <c r="BI14" i="5"/>
  <c r="BI33" i="5"/>
  <c r="BI18" i="5"/>
  <c r="BM34" i="5"/>
  <c r="BM33" i="5"/>
  <c r="AS67" i="5"/>
  <c r="CA65" i="5"/>
  <c r="AS66" i="5"/>
  <c r="AS70" i="5"/>
  <c r="AS72" i="5"/>
  <c r="AT74" i="5" s="1"/>
  <c r="BP66" i="5"/>
  <c r="I181" i="5"/>
  <c r="AJ154" i="5"/>
  <c r="BQ10" i="5"/>
  <c r="BQ11" i="5" s="1"/>
  <c r="AJ11" i="5"/>
  <c r="BP10" i="5"/>
  <c r="BP11" i="5" s="1"/>
  <c r="BF50" i="7"/>
  <c r="BF54" i="7" s="1"/>
  <c r="BR10" i="5"/>
  <c r="BR11" i="5" s="1"/>
  <c r="BF52" i="7"/>
  <c r="BF56" i="7" s="1"/>
  <c r="AJ145" i="5"/>
  <c r="AJ141" i="5"/>
  <c r="BO10" i="5"/>
  <c r="BO11" i="5" s="1"/>
  <c r="BX65" i="5"/>
  <c r="BX70" i="5" s="1"/>
  <c r="AP72" i="5"/>
  <c r="AP70" i="5"/>
  <c r="AP67" i="5"/>
  <c r="D154" i="5"/>
  <c r="D14" i="7"/>
  <c r="D196" i="5"/>
  <c r="D50" i="7"/>
  <c r="D54" i="7" s="1"/>
  <c r="D61" i="7"/>
  <c r="D141" i="5"/>
  <c r="D145" i="5"/>
  <c r="D11" i="5"/>
  <c r="BQ44" i="5"/>
  <c r="BP14" i="5"/>
  <c r="BP33" i="5"/>
  <c r="BP8" i="5"/>
  <c r="BP18" i="5"/>
  <c r="AD66" i="5"/>
  <c r="AD67" i="5"/>
  <c r="AD70" i="5"/>
  <c r="AD72" i="5"/>
  <c r="AE67" i="5"/>
  <c r="X171" i="6"/>
  <c r="BX14" i="5"/>
  <c r="BV58" i="5"/>
  <c r="BT58" i="5"/>
  <c r="BT59" i="5" s="1"/>
  <c r="AD137" i="5"/>
  <c r="AZ49" i="7"/>
  <c r="AE154" i="5"/>
  <c r="AE141" i="5"/>
  <c r="AE145" i="5"/>
  <c r="AE11" i="5"/>
  <c r="BM10" i="5"/>
  <c r="BM11" i="5" s="1"/>
  <c r="BA50" i="7"/>
  <c r="BA54" i="7" s="1"/>
  <c r="BA52" i="7"/>
  <c r="BA56" i="7" s="1"/>
  <c r="BL10" i="5"/>
  <c r="BL11" i="5" s="1"/>
  <c r="C154" i="5"/>
  <c r="C141" i="5"/>
  <c r="C145" i="5"/>
  <c r="C11" i="5"/>
  <c r="BM57" i="7"/>
  <c r="G91" i="6"/>
  <c r="G60" i="5"/>
  <c r="G59" i="5"/>
  <c r="H60" i="5"/>
  <c r="AS137" i="5"/>
  <c r="M49" i="7"/>
  <c r="K233" i="7" s="1"/>
  <c r="K235" i="7" s="1"/>
  <c r="J20" i="7"/>
  <c r="J135" i="5"/>
  <c r="K20" i="7"/>
  <c r="L25" i="7"/>
  <c r="L26" i="7"/>
  <c r="K137" i="5"/>
  <c r="AW145" i="5"/>
  <c r="AW141" i="5"/>
  <c r="AW11" i="5"/>
  <c r="AW154" i="5"/>
  <c r="AE161" i="5"/>
  <c r="AE162" i="5" s="1"/>
  <c r="AE165" i="5" s="1"/>
  <c r="AD162" i="5"/>
  <c r="CB70" i="5"/>
  <c r="D59" i="7"/>
  <c r="D55" i="7"/>
  <c r="N139" i="14"/>
  <c r="BL47" i="5"/>
  <c r="BM47" i="5"/>
  <c r="G72" i="5"/>
  <c r="G70" i="5"/>
  <c r="G39" i="7" s="1"/>
  <c r="G66" i="5"/>
  <c r="H67" i="5"/>
  <c r="K49" i="7"/>
  <c r="I233" i="7" s="1"/>
  <c r="I235" i="7" s="1"/>
  <c r="BL18" i="5"/>
  <c r="M23" i="6"/>
  <c r="M274" i="6"/>
  <c r="M287" i="6" s="1"/>
  <c r="M51" i="6"/>
  <c r="I111" i="14"/>
  <c r="H103" i="14"/>
  <c r="BR8" i="5"/>
  <c r="AU163" i="5"/>
  <c r="P105" i="14"/>
  <c r="G142" i="14"/>
  <c r="G160" i="14" s="1"/>
  <c r="Z96" i="14"/>
  <c r="BN14" i="5"/>
  <c r="M52" i="7"/>
  <c r="M56" i="7" s="1"/>
  <c r="M57" i="7" s="1"/>
  <c r="K223" i="7" s="1"/>
  <c r="M148" i="5"/>
  <c r="M151" i="5" s="1"/>
  <c r="M155" i="5"/>
  <c r="M198" i="5"/>
  <c r="L59" i="5"/>
  <c r="L60" i="5"/>
  <c r="BN33" i="5"/>
  <c r="BN34" i="5"/>
  <c r="AS165" i="5"/>
  <c r="AS163" i="5"/>
  <c r="AS180" i="5"/>
  <c r="AS221" i="5" s="1"/>
  <c r="AS223" i="5" s="1"/>
  <c r="BW44" i="5"/>
  <c r="BW14" i="5"/>
  <c r="BW33" i="5"/>
  <c r="BW8" i="5"/>
  <c r="BW18" i="5"/>
  <c r="R23" i="5"/>
  <c r="BU60" i="5"/>
  <c r="BU59" i="5"/>
  <c r="CB18" i="5"/>
  <c r="CB33" i="5"/>
  <c r="CB14" i="5"/>
  <c r="CB40" i="5"/>
  <c r="CB8" i="5"/>
  <c r="CB66" i="5"/>
  <c r="CB37" i="5"/>
  <c r="CB44" i="5"/>
  <c r="BP60" i="5"/>
  <c r="BP59" i="5"/>
  <c r="M72" i="5"/>
  <c r="M66" i="5"/>
  <c r="M67" i="5"/>
  <c r="M70" i="5"/>
  <c r="M39" i="7" s="1"/>
  <c r="F210" i="5"/>
  <c r="F211" i="5" s="1"/>
  <c r="F219" i="5" s="1"/>
  <c r="F37" i="5"/>
  <c r="K67" i="7"/>
  <c r="K41" i="5"/>
  <c r="K40" i="5"/>
  <c r="D138" i="25"/>
  <c r="H137" i="25"/>
  <c r="I137" i="25" s="1"/>
  <c r="AN154" i="5"/>
  <c r="BJ52" i="7"/>
  <c r="BJ56" i="7" s="1"/>
  <c r="AN141" i="5"/>
  <c r="BS10" i="5"/>
  <c r="BS11" i="5" s="1"/>
  <c r="AN145" i="5"/>
  <c r="AN11" i="5"/>
  <c r="BJ50" i="7"/>
  <c r="BJ54" i="7" s="1"/>
  <c r="BT10" i="5"/>
  <c r="BT11" i="5" s="1"/>
  <c r="BV10" i="5"/>
  <c r="BV11" i="5" s="1"/>
  <c r="BU10" i="5"/>
  <c r="BU11" i="5" s="1"/>
  <c r="AP154" i="5"/>
  <c r="BL50" i="7"/>
  <c r="BL54" i="7" s="1"/>
  <c r="BL52" i="7"/>
  <c r="BL56" i="7" s="1"/>
  <c r="AP141" i="5"/>
  <c r="AP145" i="5"/>
  <c r="AP11" i="5"/>
  <c r="BX10" i="5"/>
  <c r="BX11" i="5" s="1"/>
  <c r="BW10" i="5"/>
  <c r="BW11" i="5" s="1"/>
  <c r="F153" i="14"/>
  <c r="G43" i="10"/>
  <c r="F157" i="14"/>
  <c r="F166" i="14"/>
  <c r="F155" i="14"/>
  <c r="F154" i="14"/>
  <c r="F152" i="14"/>
  <c r="F156" i="14"/>
  <c r="BR33" i="5"/>
  <c r="BR34" i="5"/>
  <c r="BV34" i="5"/>
  <c r="AL165" i="5"/>
  <c r="AL180" i="5"/>
  <c r="AL221" i="5" s="1"/>
  <c r="AL223" i="5" s="1"/>
  <c r="AL163" i="5"/>
  <c r="J66" i="5"/>
  <c r="J67" i="5"/>
  <c r="J72" i="5"/>
  <c r="J70" i="5"/>
  <c r="P115" i="5"/>
  <c r="O222" i="5"/>
  <c r="BM59" i="5"/>
  <c r="BU53" i="5"/>
  <c r="BV53" i="5"/>
  <c r="BT53" i="5"/>
  <c r="BS53" i="5"/>
  <c r="R55" i="7"/>
  <c r="AO180" i="5"/>
  <c r="AO221" i="5" s="1"/>
  <c r="AO223" i="5" s="1"/>
  <c r="AO163" i="5"/>
  <c r="BQ59" i="5"/>
  <c r="BQ60" i="5"/>
  <c r="H26" i="7"/>
  <c r="H25" i="7"/>
  <c r="G26" i="7"/>
  <c r="G137" i="5"/>
  <c r="G25" i="7"/>
  <c r="P211" i="10"/>
  <c r="O211" i="10"/>
  <c r="M212" i="10"/>
  <c r="I72" i="5"/>
  <c r="I67" i="5"/>
  <c r="I70" i="5"/>
  <c r="I39" i="7" s="1"/>
  <c r="I66" i="5"/>
  <c r="AE180" i="5"/>
  <c r="AE221" i="5" s="1"/>
  <c r="AE223" i="5" s="1"/>
  <c r="AL40" i="5"/>
  <c r="AL41" i="5"/>
  <c r="BQ39" i="5"/>
  <c r="BR39" i="5"/>
  <c r="AM41" i="5"/>
  <c r="BS39" i="5"/>
  <c r="AK163" i="5"/>
  <c r="AK165" i="5"/>
  <c r="AK180" i="5"/>
  <c r="AK221" i="5" s="1"/>
  <c r="AK223" i="5" s="1"/>
  <c r="AK233" i="5" s="1"/>
  <c r="L20" i="10"/>
  <c r="M21" i="10"/>
  <c r="M20" i="10" s="1"/>
  <c r="BY59" i="5"/>
  <c r="BY60" i="5"/>
  <c r="K81" i="7"/>
  <c r="K82" i="7"/>
  <c r="K83" i="7"/>
  <c r="BV36" i="5"/>
  <c r="BV37" i="5" s="1"/>
  <c r="BU36" i="5"/>
  <c r="BU37" i="5" s="1"/>
  <c r="BT36" i="5"/>
  <c r="BT37" i="5" s="1"/>
  <c r="AO39" i="5"/>
  <c r="AO210" i="5"/>
  <c r="AO211" i="5" s="1"/>
  <c r="AO219" i="5" s="1"/>
  <c r="AO37" i="5"/>
  <c r="BW36" i="5"/>
  <c r="BW37" i="5" s="1"/>
  <c r="R99" i="6"/>
  <c r="BS60" i="5"/>
  <c r="BS59" i="5"/>
  <c r="I154" i="5"/>
  <c r="I14" i="7"/>
  <c r="I50" i="7"/>
  <c r="I54" i="7" s="1"/>
  <c r="I145" i="5"/>
  <c r="M91" i="6" s="1"/>
  <c r="I141" i="5"/>
  <c r="I61" i="7"/>
  <c r="J14" i="7"/>
  <c r="I11" i="5"/>
  <c r="I196" i="5"/>
  <c r="BS37" i="5"/>
  <c r="BS14" i="5"/>
  <c r="BS8" i="5"/>
  <c r="I40" i="7"/>
  <c r="G100" i="10"/>
  <c r="G103" i="10"/>
  <c r="G84" i="10"/>
  <c r="AE39" i="5"/>
  <c r="AE37" i="5"/>
  <c r="BK36" i="5"/>
  <c r="BK37" i="5" s="1"/>
  <c r="BJ36" i="5"/>
  <c r="BJ37" i="5" s="1"/>
  <c r="BM36" i="5"/>
  <c r="BM37" i="5" s="1"/>
  <c r="BL36" i="5"/>
  <c r="BL37" i="5" s="1"/>
  <c r="AE210" i="5"/>
  <c r="AE211" i="5" s="1"/>
  <c r="AE219" i="5" s="1"/>
  <c r="AL70" i="5"/>
  <c r="AL66" i="5"/>
  <c r="BT65" i="5"/>
  <c r="BS65" i="5"/>
  <c r="AL67" i="5"/>
  <c r="BR65" i="5"/>
  <c r="AL72" i="5"/>
  <c r="BQ65" i="5"/>
  <c r="H49" i="7"/>
  <c r="BL60" i="5"/>
  <c r="BL59" i="5"/>
  <c r="F180" i="5"/>
  <c r="F163" i="5"/>
  <c r="D148" i="14"/>
  <c r="E83" i="10"/>
  <c r="E160" i="14"/>
  <c r="J83" i="7"/>
  <c r="J82" i="7"/>
  <c r="J81" i="7"/>
  <c r="BN59" i="5"/>
  <c r="BN60" i="5"/>
  <c r="I18" i="7"/>
  <c r="BZ59" i="5"/>
  <c r="BZ60" i="5"/>
  <c r="Y102" i="14"/>
  <c r="Y103" i="14" s="1"/>
  <c r="O111" i="14"/>
  <c r="H148" i="14"/>
  <c r="BV44" i="5"/>
  <c r="BV8" i="5"/>
  <c r="BV18" i="5"/>
  <c r="BV14" i="5"/>
  <c r="BV66" i="5"/>
  <c r="BV33" i="5"/>
  <c r="BX18" i="5"/>
  <c r="BX8" i="5"/>
  <c r="BX33" i="5"/>
  <c r="BX66" i="5"/>
  <c r="BX40" i="5"/>
  <c r="BX37" i="5"/>
  <c r="BX44" i="5"/>
  <c r="F2" i="25"/>
  <c r="S114" i="5"/>
  <c r="CA47" i="5"/>
  <c r="CB47" i="5"/>
  <c r="BZ47" i="5"/>
  <c r="AX47" i="5"/>
  <c r="BU33" i="5"/>
  <c r="BU18" i="5"/>
  <c r="BU8" i="5"/>
  <c r="BU14" i="5"/>
  <c r="BY8" i="5"/>
  <c r="F3" i="25"/>
  <c r="U11" i="24" s="1"/>
  <c r="H165" i="5"/>
  <c r="H180" i="5"/>
  <c r="H163" i="5"/>
  <c r="J41" i="5"/>
  <c r="J40" i="5"/>
  <c r="J67" i="7"/>
  <c r="AG66" i="5"/>
  <c r="BN65" i="5"/>
  <c r="AG67" i="5"/>
  <c r="AH67" i="5"/>
  <c r="BO65" i="5"/>
  <c r="BL65" i="5"/>
  <c r="AG72" i="5"/>
  <c r="BM65" i="5"/>
  <c r="AG70" i="5"/>
  <c r="F148" i="5"/>
  <c r="F151" i="5" s="1"/>
  <c r="F155" i="5"/>
  <c r="F52" i="7"/>
  <c r="F56" i="7" s="1"/>
  <c r="F57" i="7" s="1"/>
  <c r="F198" i="5"/>
  <c r="K273" i="6"/>
  <c r="K286" i="6" s="1"/>
  <c r="K279" i="6" s="1"/>
  <c r="K282" i="6" s="1"/>
  <c r="L21" i="6"/>
  <c r="K35" i="6"/>
  <c r="K49" i="6"/>
  <c r="L71" i="6" s="1"/>
  <c r="BU65" i="5"/>
  <c r="AM66" i="5"/>
  <c r="AM72" i="5"/>
  <c r="AM67" i="5"/>
  <c r="AN67" i="5"/>
  <c r="AM70" i="5"/>
  <c r="F70" i="5"/>
  <c r="F39" i="7" s="1"/>
  <c r="G67" i="5"/>
  <c r="F67" i="5"/>
  <c r="F66" i="5"/>
  <c r="F72" i="5"/>
  <c r="CA59" i="5"/>
  <c r="CA60" i="5"/>
  <c r="AB67" i="5"/>
  <c r="AA72" i="5"/>
  <c r="BI65" i="5"/>
  <c r="AA66" i="5"/>
  <c r="AA67" i="5"/>
  <c r="AA70" i="5"/>
  <c r="I49" i="7"/>
  <c r="B233" i="7" s="1"/>
  <c r="N57" i="20"/>
  <c r="N52" i="20"/>
  <c r="N53" i="20" s="1"/>
  <c r="N60" i="20"/>
  <c r="M60" i="20"/>
  <c r="M57" i="20"/>
  <c r="G165" i="5"/>
  <c r="G163" i="5"/>
  <c r="G180" i="5"/>
  <c r="BS18" i="5"/>
  <c r="D49" i="7"/>
  <c r="C143" i="5"/>
  <c r="D40" i="7"/>
  <c r="D18" i="7"/>
  <c r="D38" i="7"/>
  <c r="E157" i="14"/>
  <c r="F43" i="10"/>
  <c r="F69" i="10" s="1"/>
  <c r="E152" i="14"/>
  <c r="E151" i="14"/>
  <c r="BZ18" i="5"/>
  <c r="BZ33" i="5"/>
  <c r="BZ8" i="5"/>
  <c r="BZ14" i="5"/>
  <c r="BZ66" i="5"/>
  <c r="BZ40" i="5"/>
  <c r="BZ37" i="5"/>
  <c r="D152" i="14"/>
  <c r="E161" i="14"/>
  <c r="L40" i="5"/>
  <c r="L67" i="7"/>
  <c r="L41" i="5"/>
  <c r="C28" i="4"/>
  <c r="B9" i="8"/>
  <c r="F72" i="10"/>
  <c r="G73" i="10" s="1"/>
  <c r="F66" i="10"/>
  <c r="G67" i="10" s="1"/>
  <c r="S149" i="5"/>
  <c r="D153" i="14"/>
  <c r="D246" i="5"/>
  <c r="D248" i="5" s="1"/>
  <c r="D192" i="5"/>
  <c r="N149" i="6"/>
  <c r="D155" i="14"/>
  <c r="E60" i="10"/>
  <c r="E164" i="14"/>
  <c r="BT14" i="5"/>
  <c r="BT18" i="5"/>
  <c r="BT8" i="5"/>
  <c r="BV60" i="5"/>
  <c r="BV59" i="5"/>
  <c r="M223" i="10"/>
  <c r="N145" i="6"/>
  <c r="N14" i="20"/>
  <c r="H164" i="14"/>
  <c r="C180" i="5"/>
  <c r="C181" i="5" s="1"/>
  <c r="C165" i="5"/>
  <c r="C163" i="5"/>
  <c r="N148" i="6"/>
  <c r="BT34" i="5"/>
  <c r="BT33" i="5"/>
  <c r="BX34" i="5"/>
  <c r="AW180" i="5"/>
  <c r="AW163" i="5"/>
  <c r="AW165" i="5"/>
  <c r="E163" i="14"/>
  <c r="Q11" i="6"/>
  <c r="I26" i="7"/>
  <c r="H137" i="5"/>
  <c r="N147" i="6"/>
  <c r="L82" i="7"/>
  <c r="L81" i="7"/>
  <c r="L83" i="7"/>
  <c r="L66" i="5"/>
  <c r="L67" i="5"/>
  <c r="L72" i="5"/>
  <c r="L70" i="5"/>
  <c r="M82" i="7"/>
  <c r="M81" i="7"/>
  <c r="M83" i="7"/>
  <c r="D26" i="7"/>
  <c r="C137" i="5"/>
  <c r="D25" i="7"/>
  <c r="I45" i="7"/>
  <c r="I82" i="7"/>
  <c r="I83" i="7"/>
  <c r="I81" i="7"/>
  <c r="BX47" i="5"/>
  <c r="BW47" i="5"/>
  <c r="BW59" i="5"/>
  <c r="BW60" i="5"/>
  <c r="D165" i="5"/>
  <c r="D180" i="5"/>
  <c r="D163" i="5"/>
  <c r="BU34" i="5"/>
  <c r="BQ33" i="5"/>
  <c r="BQ34" i="5"/>
  <c r="AV165" i="5"/>
  <c r="AV163" i="5"/>
  <c r="AV180" i="5"/>
  <c r="P54" i="6"/>
  <c r="P76" i="6" s="1"/>
  <c r="E76" i="3"/>
  <c r="P26" i="6"/>
  <c r="P9" i="7" s="1"/>
  <c r="E14" i="10"/>
  <c r="E15" i="10"/>
  <c r="F67" i="7"/>
  <c r="F41" i="5"/>
  <c r="F40" i="5"/>
  <c r="G41" i="5"/>
  <c r="H143" i="5"/>
  <c r="H78" i="7"/>
  <c r="H18" i="7"/>
  <c r="H74" i="7"/>
  <c r="H75" i="7" s="1"/>
  <c r="I67" i="7"/>
  <c r="I41" i="5"/>
  <c r="I40" i="5"/>
  <c r="M53" i="20"/>
  <c r="F85" i="10"/>
  <c r="M40" i="5"/>
  <c r="M67" i="7"/>
  <c r="M41" i="5"/>
  <c r="AA60" i="5"/>
  <c r="AA59" i="5"/>
  <c r="BI58" i="5"/>
  <c r="BI59" i="5" s="1"/>
  <c r="AB60" i="5"/>
  <c r="K72" i="5"/>
  <c r="K66" i="5"/>
  <c r="K67" i="5"/>
  <c r="K70" i="5"/>
  <c r="K39" i="7" s="1"/>
  <c r="BR59" i="5"/>
  <c r="BR60" i="5"/>
  <c r="I59" i="7"/>
  <c r="I55" i="7"/>
  <c r="B229" i="7" s="1"/>
  <c r="BV47" i="5"/>
  <c r="BU47" i="5"/>
  <c r="BT47" i="5"/>
  <c r="BS47" i="5"/>
  <c r="BX59" i="5"/>
  <c r="BX60" i="5"/>
  <c r="N13" i="20"/>
  <c r="N146" i="6"/>
  <c r="N50" i="20"/>
  <c r="T102" i="14"/>
  <c r="H66" i="10"/>
  <c r="I66" i="10" s="1"/>
  <c r="E162" i="14"/>
  <c r="H162" i="14"/>
  <c r="H153" i="14"/>
  <c r="K120" i="10"/>
  <c r="J9" i="10"/>
  <c r="AX53" i="5"/>
  <c r="CB53" i="5"/>
  <c r="CA53" i="5"/>
  <c r="BZ53" i="5"/>
  <c r="R20" i="5"/>
  <c r="AT180" i="5"/>
  <c r="AT221" i="5" s="1"/>
  <c r="AT223" i="5" s="1"/>
  <c r="AT233" i="5" s="1"/>
  <c r="AT163" i="5"/>
  <c r="AT165" i="5"/>
  <c r="L166" i="14"/>
  <c r="F165" i="5"/>
  <c r="E103" i="14"/>
  <c r="S102" i="14"/>
  <c r="U103" i="14" s="1"/>
  <c r="BW53" i="5"/>
  <c r="BX53" i="5"/>
  <c r="BS33" i="5"/>
  <c r="BW34" i="5"/>
  <c r="BS34" i="5"/>
  <c r="H40" i="7"/>
  <c r="V103" i="14"/>
  <c r="O121" i="6"/>
  <c r="O8" i="6"/>
  <c r="I10" i="10"/>
  <c r="CA44" i="5"/>
  <c r="CA8" i="5"/>
  <c r="CA18" i="5"/>
  <c r="CA40" i="5"/>
  <c r="CA14" i="5"/>
  <c r="CA66" i="5"/>
  <c r="CA33" i="5"/>
  <c r="CA37" i="5"/>
  <c r="AU154" i="5"/>
  <c r="BZ10" i="5"/>
  <c r="BZ11" i="5" s="1"/>
  <c r="AU141" i="5"/>
  <c r="AU11" i="5"/>
  <c r="BQ52" i="7"/>
  <c r="BQ56" i="7" s="1"/>
  <c r="BQ50" i="7"/>
  <c r="BQ54" i="7" s="1"/>
  <c r="AU145" i="5"/>
  <c r="CB10" i="5"/>
  <c r="CB11" i="5" s="1"/>
  <c r="CA10" i="5"/>
  <c r="CA11" i="5" s="1"/>
  <c r="O88" i="6"/>
  <c r="O111" i="6" s="1"/>
  <c r="BO60" i="5"/>
  <c r="BO59" i="5"/>
  <c r="O172" i="5"/>
  <c r="I94" i="5" l="1"/>
  <c r="H77" i="5"/>
  <c r="H89" i="5"/>
  <c r="H79" i="5"/>
  <c r="H80" i="5" s="1"/>
  <c r="H230" i="5"/>
  <c r="H231" i="5" s="1"/>
  <c r="H37" i="7"/>
  <c r="H73" i="5"/>
  <c r="H29" i="7"/>
  <c r="H24" i="7" s="1"/>
  <c r="H23" i="7" s="1"/>
  <c r="BT60" i="5"/>
  <c r="CB60" i="5"/>
  <c r="AE163" i="5"/>
  <c r="S130" i="5"/>
  <c r="S228" i="5" s="1"/>
  <c r="R228" i="5"/>
  <c r="L198" i="5"/>
  <c r="L52" i="7"/>
  <c r="L56" i="7" s="1"/>
  <c r="L148" i="5"/>
  <c r="L151" i="5" s="1"/>
  <c r="L155" i="5"/>
  <c r="AM165" i="5"/>
  <c r="AM163" i="5"/>
  <c r="AM180" i="5"/>
  <c r="AM221" i="5" s="1"/>
  <c r="AM223" i="5" s="1"/>
  <c r="BW66" i="5"/>
  <c r="L57" i="7"/>
  <c r="J223" i="7" s="1"/>
  <c r="J163" i="5"/>
  <c r="E10" i="17"/>
  <c r="J165" i="5"/>
  <c r="J180" i="5"/>
  <c r="AN245" i="5"/>
  <c r="AN244" i="5" s="1"/>
  <c r="AN236" i="5"/>
  <c r="AN238" i="5" s="1"/>
  <c r="AO148" i="5"/>
  <c r="AO151" i="5" s="1"/>
  <c r="AO155" i="5"/>
  <c r="AE233" i="5"/>
  <c r="J148" i="5"/>
  <c r="J155" i="5"/>
  <c r="J52" i="7"/>
  <c r="J56" i="7" s="1"/>
  <c r="J57" i="7" s="1"/>
  <c r="J198" i="5"/>
  <c r="J151" i="5"/>
  <c r="H38" i="7"/>
  <c r="K44" i="6"/>
  <c r="J78" i="10"/>
  <c r="I79" i="10"/>
  <c r="AB236" i="5"/>
  <c r="AB245" i="5"/>
  <c r="AB244" i="5" s="1"/>
  <c r="AY57" i="7"/>
  <c r="BQ57" i="7"/>
  <c r="BB57" i="7"/>
  <c r="E181" i="5"/>
  <c r="E221" i="5"/>
  <c r="E223" i="5" s="1"/>
  <c r="E233" i="5" s="1"/>
  <c r="K43" i="6"/>
  <c r="K32" i="6"/>
  <c r="Q8" i="20"/>
  <c r="N46" i="20"/>
  <c r="Q49" i="20"/>
  <c r="J159" i="10"/>
  <c r="K147" i="10"/>
  <c r="K158" i="10"/>
  <c r="K159" i="10" s="1"/>
  <c r="I146" i="10"/>
  <c r="I145" i="10" s="1"/>
  <c r="I156" i="10"/>
  <c r="L163" i="10"/>
  <c r="J161" i="10"/>
  <c r="H157" i="10"/>
  <c r="K83" i="6"/>
  <c r="H94" i="5"/>
  <c r="G230" i="5"/>
  <c r="G231" i="5" s="1"/>
  <c r="G77" i="5"/>
  <c r="G79" i="5"/>
  <c r="G73" i="5"/>
  <c r="G29" i="7"/>
  <c r="G24" i="7" s="1"/>
  <c r="G89" i="5"/>
  <c r="H90" i="5" s="1"/>
  <c r="H74" i="5"/>
  <c r="H12" i="7"/>
  <c r="G38" i="7"/>
  <c r="G37" i="7"/>
  <c r="AD79" i="5"/>
  <c r="AD74" i="5"/>
  <c r="AD73" i="5"/>
  <c r="AD230" i="5"/>
  <c r="AD231" i="5" s="1"/>
  <c r="AD94" i="5"/>
  <c r="AD77" i="5"/>
  <c r="AD88" i="5"/>
  <c r="AE74" i="5"/>
  <c r="D198" i="5"/>
  <c r="D52" i="7"/>
  <c r="D56" i="7" s="1"/>
  <c r="D57" i="7" s="1"/>
  <c r="D155" i="5"/>
  <c r="D148" i="5"/>
  <c r="D151" i="5" s="1"/>
  <c r="BP79" i="5"/>
  <c r="BP80" i="5" s="1"/>
  <c r="AI81" i="5"/>
  <c r="AI80" i="5"/>
  <c r="AD41" i="5"/>
  <c r="AC40" i="5"/>
  <c r="AC41" i="5"/>
  <c r="BI39" i="5"/>
  <c r="BI40" i="5" s="1"/>
  <c r="AC74" i="5"/>
  <c r="AC73" i="5"/>
  <c r="AC94" i="5"/>
  <c r="BK72" i="5"/>
  <c r="AC88" i="5"/>
  <c r="AC230" i="5"/>
  <c r="AC231" i="5" s="1"/>
  <c r="AC233" i="5" s="1"/>
  <c r="AC245" i="5" s="1"/>
  <c r="AC77" i="5"/>
  <c r="AC79" i="5"/>
  <c r="BJ72" i="5"/>
  <c r="CA67" i="5"/>
  <c r="CA70" i="5"/>
  <c r="AB148" i="5"/>
  <c r="AB151" i="5" s="1"/>
  <c r="AB155" i="5"/>
  <c r="AU221" i="5"/>
  <c r="AU223" i="5" s="1"/>
  <c r="AU233" i="5" s="1"/>
  <c r="AU181" i="5"/>
  <c r="AW230" i="5"/>
  <c r="AW231" i="5" s="1"/>
  <c r="AW88" i="5"/>
  <c r="AW79" i="5"/>
  <c r="AW80" i="5" s="1"/>
  <c r="AW94" i="5"/>
  <c r="AW73" i="5"/>
  <c r="AW77" i="5"/>
  <c r="AX77" i="5" s="1"/>
  <c r="O77" i="5" s="1"/>
  <c r="P77" i="5" s="1"/>
  <c r="Q77" i="5" s="1"/>
  <c r="R77" i="5" s="1"/>
  <c r="S77" i="5" s="1"/>
  <c r="AW74" i="5"/>
  <c r="AT80" i="5"/>
  <c r="CB79" i="5"/>
  <c r="Q106" i="14"/>
  <c r="Z97" i="14"/>
  <c r="G143" i="14"/>
  <c r="AE148" i="5"/>
  <c r="AE151" i="5" s="1"/>
  <c r="AE155" i="5"/>
  <c r="AH236" i="5"/>
  <c r="AH238" i="5" s="1"/>
  <c r="AH245" i="5"/>
  <c r="AH244" i="5" s="1"/>
  <c r="Q108" i="14"/>
  <c r="Z99" i="14"/>
  <c r="G145" i="14"/>
  <c r="BK59" i="5"/>
  <c r="BK60" i="5"/>
  <c r="BF57" i="7"/>
  <c r="AR88" i="5"/>
  <c r="AR79" i="5"/>
  <c r="AR73" i="5"/>
  <c r="AR74" i="5"/>
  <c r="AR94" i="5"/>
  <c r="AR77" i="5"/>
  <c r="AR230" i="5"/>
  <c r="AR231" i="5" s="1"/>
  <c r="AR233" i="5" s="1"/>
  <c r="BZ72" i="5"/>
  <c r="AF148" i="5"/>
  <c r="AF151" i="5" s="1"/>
  <c r="AF155" i="5"/>
  <c r="BP77" i="5"/>
  <c r="BP73" i="5"/>
  <c r="AX57" i="7"/>
  <c r="AK148" i="5"/>
  <c r="AK151" i="5" s="1"/>
  <c r="AK155" i="5"/>
  <c r="Q110" i="14"/>
  <c r="G147" i="14"/>
  <c r="G165" i="14" s="1"/>
  <c r="Z101" i="14"/>
  <c r="BJ59" i="5"/>
  <c r="BJ60" i="5"/>
  <c r="M85" i="6"/>
  <c r="M73" i="6"/>
  <c r="BZ67" i="5"/>
  <c r="BZ70" i="5"/>
  <c r="Q127" i="5"/>
  <c r="P227" i="5"/>
  <c r="M180" i="5"/>
  <c r="M163" i="5"/>
  <c r="H10" i="17"/>
  <c r="M165" i="5"/>
  <c r="Q109" i="14"/>
  <c r="Z100" i="14"/>
  <c r="G146" i="14"/>
  <c r="K52" i="7"/>
  <c r="K56" i="7" s="1"/>
  <c r="K57" i="7" s="1"/>
  <c r="I223" i="7" s="1"/>
  <c r="K148" i="5"/>
  <c r="K151" i="5" s="1"/>
  <c r="K155" i="5"/>
  <c r="K198" i="5"/>
  <c r="E52" i="7"/>
  <c r="E56" i="7" s="1"/>
  <c r="E57" i="7" s="1"/>
  <c r="E148" i="5"/>
  <c r="E151" i="5" s="1"/>
  <c r="E155" i="5"/>
  <c r="E198" i="5"/>
  <c r="Q107" i="14"/>
  <c r="G144" i="14"/>
  <c r="G162" i="14" s="1"/>
  <c r="Z98" i="14"/>
  <c r="C148" i="5"/>
  <c r="C151" i="5" s="1"/>
  <c r="C155" i="5"/>
  <c r="C198" i="5"/>
  <c r="N73" i="6"/>
  <c r="AC148" i="5"/>
  <c r="AC151" i="5" s="1"/>
  <c r="AC155" i="5"/>
  <c r="BG57" i="7"/>
  <c r="AD180" i="5"/>
  <c r="AD221" i="5" s="1"/>
  <c r="AD223" i="5" s="1"/>
  <c r="AD233" i="5" s="1"/>
  <c r="AD163" i="5"/>
  <c r="AD165" i="5"/>
  <c r="J137" i="5"/>
  <c r="K26" i="7"/>
  <c r="K25" i="7"/>
  <c r="J26" i="7"/>
  <c r="J25" i="7"/>
  <c r="AP165" i="5"/>
  <c r="AP180" i="5"/>
  <c r="AP221" i="5" s="1"/>
  <c r="AP223" i="5" s="1"/>
  <c r="AP163" i="5"/>
  <c r="K165" i="5"/>
  <c r="F10" i="17"/>
  <c r="K180" i="5"/>
  <c r="K163" i="5"/>
  <c r="BY72" i="5"/>
  <c r="CB72" i="5"/>
  <c r="Q105" i="14"/>
  <c r="Q102" i="14"/>
  <c r="G23" i="7"/>
  <c r="AP88" i="5"/>
  <c r="BX72" i="5"/>
  <c r="AP79" i="5"/>
  <c r="AT81" i="5" s="1"/>
  <c r="AP94" i="5"/>
  <c r="AP74" i="5"/>
  <c r="AP77" i="5"/>
  <c r="AP230" i="5"/>
  <c r="AP231" i="5" s="1"/>
  <c r="AP73" i="5"/>
  <c r="AQ180" i="5"/>
  <c r="AQ221" i="5" s="1"/>
  <c r="AQ223" i="5" s="1"/>
  <c r="AQ233" i="5" s="1"/>
  <c r="AQ163" i="5"/>
  <c r="AQ165" i="5"/>
  <c r="L163" i="5"/>
  <c r="L180" i="5"/>
  <c r="G10" i="17"/>
  <c r="L165" i="5"/>
  <c r="AQ80" i="5"/>
  <c r="AU81" i="5"/>
  <c r="AO73" i="5"/>
  <c r="BW72" i="5"/>
  <c r="AO88" i="5"/>
  <c r="AO79" i="5"/>
  <c r="AO94" i="5"/>
  <c r="AO230" i="5"/>
  <c r="AO231" i="5" s="1"/>
  <c r="AO77" i="5"/>
  <c r="BV72" i="5"/>
  <c r="AO74" i="5"/>
  <c r="BL57" i="7"/>
  <c r="AI165" i="5"/>
  <c r="AI163" i="5"/>
  <c r="AI180" i="5"/>
  <c r="AI221" i="5" s="1"/>
  <c r="AI223" i="5" s="1"/>
  <c r="AI233" i="5" s="1"/>
  <c r="CB67" i="5"/>
  <c r="BA57" i="7"/>
  <c r="AS79" i="5"/>
  <c r="AS74" i="5"/>
  <c r="AS94" i="5"/>
  <c r="AS88" i="5"/>
  <c r="AS73" i="5"/>
  <c r="AS230" i="5"/>
  <c r="AS231" i="5" s="1"/>
  <c r="AS233" i="5" s="1"/>
  <c r="AS77" i="5"/>
  <c r="CA72" i="5"/>
  <c r="D79" i="5"/>
  <c r="D73" i="5"/>
  <c r="E12" i="7"/>
  <c r="D77" i="5"/>
  <c r="D89" i="5"/>
  <c r="D230" i="5"/>
  <c r="D231" i="5" s="1"/>
  <c r="D37" i="7"/>
  <c r="D12" i="7"/>
  <c r="E94" i="5"/>
  <c r="D29" i="7"/>
  <c r="D24" i="7" s="1"/>
  <c r="D23" i="7" s="1"/>
  <c r="E74" i="5"/>
  <c r="D74" i="5"/>
  <c r="H52" i="7"/>
  <c r="H56" i="7" s="1"/>
  <c r="H57" i="7" s="1"/>
  <c r="H155" i="5"/>
  <c r="H198" i="5"/>
  <c r="H148" i="5"/>
  <c r="H151" i="5" s="1"/>
  <c r="AF230" i="5"/>
  <c r="AF231" i="5" s="1"/>
  <c r="AF233" i="5" s="1"/>
  <c r="AF79" i="5"/>
  <c r="AF88" i="5"/>
  <c r="AF94" i="5"/>
  <c r="AF74" i="5"/>
  <c r="AF73" i="5"/>
  <c r="AF77" i="5"/>
  <c r="AJ165" i="5"/>
  <c r="AJ163" i="5"/>
  <c r="AJ180" i="5"/>
  <c r="AJ221" i="5" s="1"/>
  <c r="AJ223" i="5" s="1"/>
  <c r="AJ233" i="5" s="1"/>
  <c r="L26" i="10"/>
  <c r="L27" i="10" s="1"/>
  <c r="L28" i="10" s="1"/>
  <c r="M24" i="10"/>
  <c r="L32" i="10"/>
  <c r="C79" i="5"/>
  <c r="C74" i="5"/>
  <c r="C73" i="5"/>
  <c r="C89" i="5"/>
  <c r="C90" i="5" s="1"/>
  <c r="C94" i="5"/>
  <c r="C77" i="5"/>
  <c r="BK67" i="5"/>
  <c r="BK66" i="5"/>
  <c r="BK70" i="5"/>
  <c r="AW148" i="5"/>
  <c r="AW151" i="5" s="1"/>
  <c r="AW155" i="5"/>
  <c r="AJ148" i="5"/>
  <c r="AJ151" i="5" s="1"/>
  <c r="AJ155" i="5"/>
  <c r="AX70" i="5"/>
  <c r="AQ74" i="5"/>
  <c r="BJ70" i="5"/>
  <c r="BJ66" i="5"/>
  <c r="BJ67" i="5"/>
  <c r="BQ67" i="5"/>
  <c r="BQ70" i="5"/>
  <c r="BQ66" i="5"/>
  <c r="O13" i="20"/>
  <c r="O146" i="6"/>
  <c r="O50" i="20"/>
  <c r="L37" i="7"/>
  <c r="J237" i="7" s="1"/>
  <c r="L230" i="5"/>
  <c r="L231" i="5" s="1"/>
  <c r="M94" i="5"/>
  <c r="L77" i="5"/>
  <c r="L29" i="7"/>
  <c r="L24" i="7" s="1"/>
  <c r="L23" i="7" s="1"/>
  <c r="L73" i="5"/>
  <c r="L89" i="5"/>
  <c r="L79" i="5"/>
  <c r="L74" i="5"/>
  <c r="L38" i="7"/>
  <c r="J241" i="7" s="1"/>
  <c r="L12" i="7"/>
  <c r="E61" i="10"/>
  <c r="E72" i="10"/>
  <c r="E73" i="10" s="1"/>
  <c r="E66" i="10"/>
  <c r="E67" i="10" s="1"/>
  <c r="F41" i="10"/>
  <c r="F53" i="10"/>
  <c r="F103" i="10"/>
  <c r="H157" i="14"/>
  <c r="H151" i="14"/>
  <c r="H166" i="14"/>
  <c r="H156" i="14"/>
  <c r="H154" i="14"/>
  <c r="H152" i="14"/>
  <c r="BT70" i="5"/>
  <c r="BT66" i="5"/>
  <c r="BT67" i="5"/>
  <c r="BX67" i="5"/>
  <c r="J230" i="5"/>
  <c r="J231" i="5" s="1"/>
  <c r="J89" i="5"/>
  <c r="J79" i="5"/>
  <c r="K94" i="5"/>
  <c r="J37" i="7"/>
  <c r="J38" i="7"/>
  <c r="J73" i="5"/>
  <c r="J77" i="5"/>
  <c r="J12" i="7"/>
  <c r="J29" i="7"/>
  <c r="J24" i="7" s="1"/>
  <c r="J23" i="7" s="1"/>
  <c r="J74" i="5"/>
  <c r="BI66" i="5"/>
  <c r="BI70" i="5"/>
  <c r="F95" i="10"/>
  <c r="AV221" i="5"/>
  <c r="AV181" i="5"/>
  <c r="O14" i="20"/>
  <c r="O145" i="6"/>
  <c r="F61" i="10"/>
  <c r="AA79" i="5"/>
  <c r="AA74" i="5"/>
  <c r="BI72" i="5"/>
  <c r="AA88" i="5"/>
  <c r="AA77" i="5"/>
  <c r="AA94" i="5"/>
  <c r="AB74" i="5"/>
  <c r="AA230" i="5"/>
  <c r="AA231" i="5" s="1"/>
  <c r="AA233" i="5" s="1"/>
  <c r="AA73" i="5"/>
  <c r="AM77" i="5"/>
  <c r="AM94" i="5"/>
  <c r="AM79" i="5"/>
  <c r="AM73" i="5"/>
  <c r="BU72" i="5"/>
  <c r="AM88" i="5"/>
  <c r="AM74" i="5"/>
  <c r="AM230" i="5"/>
  <c r="AM231" i="5" s="1"/>
  <c r="AM233" i="5" s="1"/>
  <c r="AN74" i="5"/>
  <c r="F221" i="5"/>
  <c r="F223" i="5" s="1"/>
  <c r="F181" i="5"/>
  <c r="AP148" i="5"/>
  <c r="AP151" i="5" s="1"/>
  <c r="AP155" i="5"/>
  <c r="E100" i="10"/>
  <c r="E84" i="10"/>
  <c r="F84" i="10"/>
  <c r="AU148" i="5"/>
  <c r="AU151" i="5" s="1"/>
  <c r="AU155" i="5"/>
  <c r="AT245" i="5"/>
  <c r="AT244" i="5" s="1"/>
  <c r="AT236" i="5"/>
  <c r="AT238" i="5" s="1"/>
  <c r="N153" i="6"/>
  <c r="N157" i="6"/>
  <c r="BM67" i="5"/>
  <c r="BM70" i="5"/>
  <c r="BM66" i="5"/>
  <c r="AE236" i="5"/>
  <c r="AE238" i="5" s="1"/>
  <c r="AE245" i="5"/>
  <c r="AE244" i="5" s="1"/>
  <c r="AN155" i="5"/>
  <c r="AN148" i="5"/>
  <c r="AN151" i="5" s="1"/>
  <c r="S20" i="5"/>
  <c r="J66" i="10"/>
  <c r="K66" i="10" s="1"/>
  <c r="L66" i="10" s="1"/>
  <c r="M66" i="10" s="1"/>
  <c r="O66" i="10" s="1"/>
  <c r="K12" i="7"/>
  <c r="K37" i="7"/>
  <c r="I237" i="7" s="1"/>
  <c r="K79" i="5"/>
  <c r="K74" i="5"/>
  <c r="K38" i="7"/>
  <c r="I241" i="7" s="1"/>
  <c r="K230" i="5"/>
  <c r="K231" i="5" s="1"/>
  <c r="K77" i="5"/>
  <c r="L94" i="5"/>
  <c r="K29" i="7"/>
  <c r="K24" i="7" s="1"/>
  <c r="K23" i="7" s="1"/>
  <c r="K73" i="5"/>
  <c r="K89" i="5"/>
  <c r="K90" i="5" s="1"/>
  <c r="P223" i="10"/>
  <c r="O223" i="10"/>
  <c r="M224" i="10"/>
  <c r="O149" i="6"/>
  <c r="C25" i="4"/>
  <c r="BU67" i="5"/>
  <c r="BU70" i="5"/>
  <c r="BY67" i="5"/>
  <c r="BU66" i="5"/>
  <c r="AG77" i="5"/>
  <c r="AG88" i="5"/>
  <c r="BM72" i="5"/>
  <c r="AG79" i="5"/>
  <c r="AG74" i="5"/>
  <c r="AG73" i="5"/>
  <c r="AH74" i="5"/>
  <c r="AG94" i="5"/>
  <c r="BL72" i="5"/>
  <c r="AG230" i="5"/>
  <c r="AG231" i="5" s="1"/>
  <c r="AG233" i="5" s="1"/>
  <c r="BN72" i="5"/>
  <c r="BO72" i="5"/>
  <c r="H100" i="10"/>
  <c r="I100" i="10" s="1"/>
  <c r="G101" i="10"/>
  <c r="G85" i="10"/>
  <c r="BS41" i="5"/>
  <c r="BS40" i="5"/>
  <c r="BS56" i="7"/>
  <c r="N156" i="6"/>
  <c r="BL66" i="5"/>
  <c r="BP67" i="5"/>
  <c r="BL67" i="5"/>
  <c r="BL70" i="5"/>
  <c r="AO233" i="5"/>
  <c r="P171" i="5"/>
  <c r="O116" i="5"/>
  <c r="P169" i="5"/>
  <c r="O51" i="6"/>
  <c r="O73" i="6" s="1"/>
  <c r="D73" i="3"/>
  <c r="O23" i="6"/>
  <c r="O126" i="6"/>
  <c r="R11" i="6"/>
  <c r="X169" i="6"/>
  <c r="X186" i="6"/>
  <c r="X187" i="6"/>
  <c r="X185" i="6"/>
  <c r="O148" i="6"/>
  <c r="O52" i="20"/>
  <c r="O46" i="20" s="1"/>
  <c r="F29" i="7"/>
  <c r="F24" i="7" s="1"/>
  <c r="F23" i="7" s="1"/>
  <c r="F37" i="7"/>
  <c r="G74" i="5"/>
  <c r="F79" i="5"/>
  <c r="F74" i="5"/>
  <c r="F73" i="5"/>
  <c r="F89" i="5"/>
  <c r="G12" i="7"/>
  <c r="G94" i="5"/>
  <c r="F12" i="7"/>
  <c r="F77" i="5"/>
  <c r="F230" i="5"/>
  <c r="F231" i="5" s="1"/>
  <c r="F38" i="7"/>
  <c r="BO67" i="5"/>
  <c r="BO70" i="5"/>
  <c r="BO66" i="5"/>
  <c r="H221" i="5"/>
  <c r="H223" i="5" s="1"/>
  <c r="H233" i="5" s="1"/>
  <c r="H181" i="5"/>
  <c r="I198" i="5"/>
  <c r="I52" i="7"/>
  <c r="I56" i="7" s="1"/>
  <c r="I57" i="7" s="1"/>
  <c r="B223" i="7" s="1"/>
  <c r="I148" i="5"/>
  <c r="I151" i="5" s="1"/>
  <c r="I155" i="5"/>
  <c r="BV39" i="5"/>
  <c r="AP41" i="5"/>
  <c r="AO40" i="5"/>
  <c r="AO41" i="5"/>
  <c r="BW39" i="5"/>
  <c r="BU39" i="5"/>
  <c r="BR40" i="5"/>
  <c r="BR41" i="5"/>
  <c r="BQ40" i="5"/>
  <c r="BM60" i="5"/>
  <c r="N92" i="5"/>
  <c r="M38" i="7"/>
  <c r="K241" i="7" s="1"/>
  <c r="M74" i="5"/>
  <c r="M230" i="5"/>
  <c r="M231" i="5" s="1"/>
  <c r="M77" i="5"/>
  <c r="M29" i="7"/>
  <c r="M24" i="7" s="1"/>
  <c r="M23" i="7" s="1"/>
  <c r="M12" i="7"/>
  <c r="M37" i="7"/>
  <c r="K237" i="7" s="1"/>
  <c r="M89" i="5"/>
  <c r="M79" i="5"/>
  <c r="M73" i="5"/>
  <c r="C53" i="4" s="1"/>
  <c r="D157" i="14"/>
  <c r="E43" i="10"/>
  <c r="F44" i="10" s="1"/>
  <c r="D156" i="14"/>
  <c r="AL74" i="5"/>
  <c r="AL73" i="5"/>
  <c r="BT72" i="5"/>
  <c r="AL88" i="5"/>
  <c r="AL230" i="5"/>
  <c r="AL231" i="5" s="1"/>
  <c r="AL233" i="5" s="1"/>
  <c r="AL77" i="5"/>
  <c r="AL94" i="5"/>
  <c r="AL79" i="5"/>
  <c r="BS72" i="5"/>
  <c r="BR72" i="5"/>
  <c r="BQ72" i="5"/>
  <c r="AU236" i="5"/>
  <c r="AU238" i="5" s="1"/>
  <c r="AU245" i="5"/>
  <c r="AU244" i="5" s="1"/>
  <c r="B228" i="7"/>
  <c r="BT39" i="5"/>
  <c r="D154" i="14"/>
  <c r="G44" i="10"/>
  <c r="G41" i="10"/>
  <c r="G53" i="10"/>
  <c r="G69" i="10"/>
  <c r="Q54" i="6"/>
  <c r="Q76" i="6" s="1"/>
  <c r="F76" i="3"/>
  <c r="Q26" i="6"/>
  <c r="Q9" i="7" s="1"/>
  <c r="D221" i="5"/>
  <c r="D223" i="5" s="1"/>
  <c r="D233" i="5" s="1"/>
  <c r="D181" i="5"/>
  <c r="N155" i="6"/>
  <c r="BN70" i="5"/>
  <c r="BN66" i="5"/>
  <c r="BN67" i="5"/>
  <c r="D151" i="14"/>
  <c r="BR67" i="5"/>
  <c r="BV67" i="5"/>
  <c r="BR66" i="5"/>
  <c r="BR70" i="5"/>
  <c r="BK39" i="5"/>
  <c r="AE41" i="5"/>
  <c r="AF41" i="5"/>
  <c r="BJ39" i="5"/>
  <c r="BM39" i="5"/>
  <c r="BQ41" i="5" s="1"/>
  <c r="BL39" i="5"/>
  <c r="AE40" i="5"/>
  <c r="I38" i="7"/>
  <c r="B241" i="7" s="1"/>
  <c r="I12" i="7"/>
  <c r="I77" i="5"/>
  <c r="I89" i="5"/>
  <c r="I90" i="5" s="1"/>
  <c r="I29" i="7"/>
  <c r="I24" i="7" s="1"/>
  <c r="I23" i="7" s="1"/>
  <c r="I79" i="5"/>
  <c r="I74" i="5"/>
  <c r="I230" i="5"/>
  <c r="I231" i="5" s="1"/>
  <c r="I233" i="5" s="1"/>
  <c r="J94" i="5"/>
  <c r="I37" i="7"/>
  <c r="B237" i="7" s="1"/>
  <c r="I73" i="5"/>
  <c r="O147" i="6"/>
  <c r="G181" i="5"/>
  <c r="G221" i="5"/>
  <c r="G223" i="5" s="1"/>
  <c r="G233" i="5" s="1"/>
  <c r="Q115" i="5"/>
  <c r="P222" i="5"/>
  <c r="H138" i="25"/>
  <c r="D139" i="25"/>
  <c r="D3" i="25" s="1"/>
  <c r="U9" i="24" s="1"/>
  <c r="P8" i="6"/>
  <c r="P121" i="6"/>
  <c r="J10" i="10"/>
  <c r="K9" i="10"/>
  <c r="L120" i="10"/>
  <c r="N154" i="6"/>
  <c r="P88" i="6"/>
  <c r="P111" i="6" s="1"/>
  <c r="B11" i="8"/>
  <c r="L39" i="7"/>
  <c r="AW221" i="5"/>
  <c r="AW223" i="5" s="1"/>
  <c r="AW233" i="5" s="1"/>
  <c r="AW181" i="5"/>
  <c r="H155" i="14"/>
  <c r="N38" i="20" a="1"/>
  <c r="E166" i="14"/>
  <c r="BS70" i="5"/>
  <c r="BS67" i="5"/>
  <c r="BS66" i="5"/>
  <c r="BW67" i="5"/>
  <c r="AK236" i="5"/>
  <c r="AK238" i="5" s="1"/>
  <c r="AK245" i="5"/>
  <c r="AK244" i="5" s="1"/>
  <c r="J39" i="7"/>
  <c r="BJ57" i="7"/>
  <c r="BS54" i="7"/>
  <c r="BS57" i="7" l="1"/>
  <c r="J181" i="5"/>
  <c r="J221" i="5"/>
  <c r="J223" i="5" s="1"/>
  <c r="J233" i="5"/>
  <c r="J236" i="5" s="1"/>
  <c r="J238" i="5" s="1"/>
  <c r="K78" i="10"/>
  <c r="J79" i="10"/>
  <c r="E236" i="5"/>
  <c r="E238" i="5" s="1"/>
  <c r="E245" i="5"/>
  <c r="E244" i="5" s="1"/>
  <c r="AX163" i="5"/>
  <c r="R8" i="20"/>
  <c r="O53" i="20"/>
  <c r="R49" i="20"/>
  <c r="L158" i="10"/>
  <c r="L159" i="10" s="1"/>
  <c r="L147" i="10"/>
  <c r="J146" i="10"/>
  <c r="J145" i="10" s="1"/>
  <c r="J156" i="10"/>
  <c r="M163" i="10"/>
  <c r="N9" i="6"/>
  <c r="H148" i="10"/>
  <c r="N136" i="6"/>
  <c r="N137" i="6" s="1"/>
  <c r="I157" i="10"/>
  <c r="K161" i="10"/>
  <c r="F73" i="10"/>
  <c r="F67" i="10"/>
  <c r="AF236" i="5"/>
  <c r="AF238" i="5" s="1"/>
  <c r="AF245" i="5"/>
  <c r="AF244" i="5" s="1"/>
  <c r="AS236" i="5"/>
  <c r="AS238" i="5" s="1"/>
  <c r="AS245" i="5"/>
  <c r="AS244" i="5" s="1"/>
  <c r="E103" i="10"/>
  <c r="C80" i="5"/>
  <c r="C81" i="5"/>
  <c r="AJ81" i="5"/>
  <c r="AF81" i="5"/>
  <c r="AF80" i="5"/>
  <c r="AD236" i="5"/>
  <c r="AD238" i="5" s="1"/>
  <c r="AD245" i="5"/>
  <c r="AD244" i="5" s="1"/>
  <c r="E37" i="24"/>
  <c r="E38" i="24" s="1"/>
  <c r="CB80" i="5"/>
  <c r="D90" i="5"/>
  <c r="E90" i="5"/>
  <c r="AW81" i="5"/>
  <c r="AS81" i="5"/>
  <c r="AS80" i="5"/>
  <c r="CA79" i="5"/>
  <c r="AO80" i="5"/>
  <c r="BW79" i="5"/>
  <c r="BW80" i="5" s="1"/>
  <c r="BV79" i="5"/>
  <c r="AO81" i="5"/>
  <c r="BZ73" i="5"/>
  <c r="BZ77" i="5"/>
  <c r="BZ74" i="5"/>
  <c r="M32" i="10"/>
  <c r="M26" i="10"/>
  <c r="M27" i="10" s="1"/>
  <c r="M28" i="10" s="1"/>
  <c r="AQ245" i="5"/>
  <c r="AQ244" i="5" s="1"/>
  <c r="AQ236" i="5"/>
  <c r="AQ238" i="5" s="1"/>
  <c r="Q111" i="14"/>
  <c r="Z102" i="14"/>
  <c r="Z103" i="14" s="1"/>
  <c r="AR236" i="5"/>
  <c r="AR238" i="5" s="1"/>
  <c r="AR245" i="5"/>
  <c r="AR244" i="5" s="1"/>
  <c r="G163" i="14"/>
  <c r="BW77" i="5"/>
  <c r="BW73" i="5"/>
  <c r="G80" i="5"/>
  <c r="H81" i="5"/>
  <c r="AJ236" i="5"/>
  <c r="AJ238" i="5" s="1"/>
  <c r="AJ245" i="5"/>
  <c r="AJ244" i="5" s="1"/>
  <c r="AI245" i="5"/>
  <c r="AI244" i="5" s="1"/>
  <c r="AI236" i="5"/>
  <c r="AI238" i="5" s="1"/>
  <c r="CD73" i="5"/>
  <c r="CB74" i="5"/>
  <c r="CB77" i="5"/>
  <c r="CB73" i="5"/>
  <c r="BJ74" i="5"/>
  <c r="BJ73" i="5"/>
  <c r="BJ77" i="5"/>
  <c r="O85" i="6"/>
  <c r="O108" i="6" s="1"/>
  <c r="D80" i="5"/>
  <c r="D81" i="5"/>
  <c r="E81" i="5"/>
  <c r="BY73" i="5"/>
  <c r="BY77" i="5"/>
  <c r="M221" i="5"/>
  <c r="M223" i="5" s="1"/>
  <c r="M233" i="5" s="1"/>
  <c r="M181" i="5"/>
  <c r="AC81" i="5"/>
  <c r="AC80" i="5"/>
  <c r="BJ79" i="5"/>
  <c r="BK79" i="5"/>
  <c r="P172" i="5"/>
  <c r="Q169" i="5" s="1"/>
  <c r="F233" i="5"/>
  <c r="F245" i="5" s="1"/>
  <c r="F244" i="5" s="1"/>
  <c r="CA73" i="5"/>
  <c r="CA74" i="5"/>
  <c r="CA77" i="5"/>
  <c r="BY79" i="5"/>
  <c r="BY80" i="5" s="1"/>
  <c r="K181" i="5"/>
  <c r="K221" i="5"/>
  <c r="K223" i="5" s="1"/>
  <c r="K233" i="5" s="1"/>
  <c r="R127" i="5"/>
  <c r="Q227" i="5"/>
  <c r="BZ79" i="5"/>
  <c r="BZ80" i="5" s="1"/>
  <c r="AR81" i="5"/>
  <c r="AR80" i="5"/>
  <c r="AV81" i="5"/>
  <c r="AD80" i="5"/>
  <c r="AD81" i="5"/>
  <c r="AH81" i="5"/>
  <c r="BX79" i="5"/>
  <c r="BX80" i="5" s="1"/>
  <c r="AP80" i="5"/>
  <c r="BV77" i="5"/>
  <c r="BV73" i="5"/>
  <c r="BX77" i="5"/>
  <c r="BX73" i="5"/>
  <c r="G161" i="14"/>
  <c r="G152" i="14"/>
  <c r="G148" i="14"/>
  <c r="BK77" i="5"/>
  <c r="BK74" i="5"/>
  <c r="BK73" i="5"/>
  <c r="M90" i="5"/>
  <c r="L181" i="5"/>
  <c r="L221" i="5"/>
  <c r="L223" i="5" s="1"/>
  <c r="L233" i="5" s="1"/>
  <c r="AP233" i="5"/>
  <c r="G164" i="14"/>
  <c r="U16" i="24"/>
  <c r="U20" i="24"/>
  <c r="U15" i="24"/>
  <c r="U19" i="24"/>
  <c r="U18" i="24"/>
  <c r="U17" i="24"/>
  <c r="I138" i="25"/>
  <c r="BN41" i="5"/>
  <c r="BJ40" i="5"/>
  <c r="BJ41" i="5"/>
  <c r="AL245" i="5"/>
  <c r="AL244" i="5" s="1"/>
  <c r="AL236" i="5"/>
  <c r="AL238" i="5" s="1"/>
  <c r="AZ181" i="5"/>
  <c r="N181" i="5" s="1"/>
  <c r="O154" i="6"/>
  <c r="I245" i="5"/>
  <c r="I244" i="5" s="1"/>
  <c r="I236" i="5"/>
  <c r="I238" i="5" s="1"/>
  <c r="BU40" i="5"/>
  <c r="BU41" i="5"/>
  <c r="BY41" i="5"/>
  <c r="H245" i="5"/>
  <c r="H244" i="5" s="1"/>
  <c r="H236" i="5"/>
  <c r="H238" i="5" s="1"/>
  <c r="BO73" i="5"/>
  <c r="BO74" i="5"/>
  <c r="BO77" i="5"/>
  <c r="AM236" i="5"/>
  <c r="AM238" i="5" s="1"/>
  <c r="AM245" i="5"/>
  <c r="AM244" i="5" s="1"/>
  <c r="AV223" i="5"/>
  <c r="R115" i="5"/>
  <c r="Q222" i="5"/>
  <c r="BT73" i="5"/>
  <c r="BX74" i="5"/>
  <c r="BT74" i="5"/>
  <c r="BT77" i="5"/>
  <c r="CA41" i="5"/>
  <c r="BW40" i="5"/>
  <c r="BW41" i="5"/>
  <c r="F80" i="5"/>
  <c r="G81" i="5"/>
  <c r="F81" i="5"/>
  <c r="BN74" i="5"/>
  <c r="BN77" i="5"/>
  <c r="BN73" i="5"/>
  <c r="L80" i="5"/>
  <c r="L81" i="5"/>
  <c r="G245" i="5"/>
  <c r="G244" i="5" s="1"/>
  <c r="G236" i="5"/>
  <c r="G238" i="5" s="1"/>
  <c r="I81" i="5"/>
  <c r="I80" i="5"/>
  <c r="BK41" i="5"/>
  <c r="BK40" i="5"/>
  <c r="BO41" i="5"/>
  <c r="Q171" i="5"/>
  <c r="AG245" i="5"/>
  <c r="AG244" i="5" s="1"/>
  <c r="AG236" i="5"/>
  <c r="AG238" i="5" s="1"/>
  <c r="BI77" i="5"/>
  <c r="BI73" i="5"/>
  <c r="L90" i="5"/>
  <c r="L9" i="10"/>
  <c r="M120" i="10"/>
  <c r="H53" i="10"/>
  <c r="I53" i="10" s="1"/>
  <c r="G54" i="10"/>
  <c r="R54" i="6"/>
  <c r="G76" i="3"/>
  <c r="R26" i="6"/>
  <c r="R9" i="7" s="1"/>
  <c r="BL73" i="5"/>
  <c r="BL74" i="5"/>
  <c r="BL77" i="5"/>
  <c r="BP74" i="5"/>
  <c r="BU73" i="5"/>
  <c r="BU74" i="5"/>
  <c r="BY74" i="5"/>
  <c r="BU77" i="5"/>
  <c r="F40" i="10"/>
  <c r="F55" i="10"/>
  <c r="Q121" i="6"/>
  <c r="Q8" i="6"/>
  <c r="K10" i="10"/>
  <c r="D245" i="5"/>
  <c r="D244" i="5" s="1"/>
  <c r="D236" i="5"/>
  <c r="D238" i="5" s="1"/>
  <c r="G40" i="10"/>
  <c r="G42" i="10"/>
  <c r="G55" i="10"/>
  <c r="S11" i="6"/>
  <c r="AA81" i="5"/>
  <c r="AA80" i="5"/>
  <c r="BI79" i="5"/>
  <c r="BI80" i="5" s="1"/>
  <c r="AB81" i="5"/>
  <c r="AE81" i="5"/>
  <c r="P38" i="20"/>
  <c r="Q38" i="20"/>
  <c r="O38" i="20"/>
  <c r="S38" i="20"/>
  <c r="R38" i="20"/>
  <c r="N38" i="20"/>
  <c r="N39" i="20" s="1"/>
  <c r="O39" i="20" s="1"/>
  <c r="P39" i="20" s="1"/>
  <c r="Q39" i="20" s="1"/>
  <c r="R39" i="20" s="1"/>
  <c r="S39" i="20" s="1"/>
  <c r="O155" i="6"/>
  <c r="BQ73" i="5"/>
  <c r="BQ74" i="5"/>
  <c r="BQ77" i="5"/>
  <c r="E44" i="10"/>
  <c r="E41" i="10"/>
  <c r="F42" i="10" s="1"/>
  <c r="E53" i="10"/>
  <c r="E54" i="10" s="1"/>
  <c r="BZ41" i="5"/>
  <c r="BV40" i="5"/>
  <c r="BV41" i="5"/>
  <c r="O151" i="10"/>
  <c r="E106" i="10"/>
  <c r="E85" i="10"/>
  <c r="F101" i="10"/>
  <c r="AM81" i="5"/>
  <c r="AM80" i="5"/>
  <c r="BU79" i="5"/>
  <c r="AQ81" i="5"/>
  <c r="BR73" i="5"/>
  <c r="BR74" i="5"/>
  <c r="BR77" i="5"/>
  <c r="BV74" i="5"/>
  <c r="P52" i="20"/>
  <c r="P46" i="20" s="1"/>
  <c r="AO236" i="5"/>
  <c r="AO238" i="5" s="1"/>
  <c r="AO245" i="5"/>
  <c r="AO244" i="5" s="1"/>
  <c r="J80" i="5"/>
  <c r="J81" i="5"/>
  <c r="E69" i="10"/>
  <c r="P126" i="6"/>
  <c r="BS73" i="5"/>
  <c r="BW74" i="5"/>
  <c r="BS74" i="5"/>
  <c r="BS77" i="5"/>
  <c r="O157" i="6"/>
  <c r="J90" i="5"/>
  <c r="AW245" i="5"/>
  <c r="AW244" i="5" s="1"/>
  <c r="AW236" i="5"/>
  <c r="AW238" i="5" s="1"/>
  <c r="E73" i="3"/>
  <c r="P23" i="6"/>
  <c r="Q88" i="6"/>
  <c r="Q111" i="6" s="1"/>
  <c r="BT41" i="5"/>
  <c r="BX41" i="5"/>
  <c r="BT40" i="5"/>
  <c r="BT79" i="5"/>
  <c r="AL80" i="5"/>
  <c r="AP81" i="5"/>
  <c r="AL81" i="5"/>
  <c r="BS79" i="5"/>
  <c r="BR79" i="5"/>
  <c r="BQ79" i="5"/>
  <c r="N229" i="5"/>
  <c r="N93" i="5"/>
  <c r="AG81" i="5"/>
  <c r="AG80" i="5"/>
  <c r="BO79" i="5"/>
  <c r="BN79" i="5"/>
  <c r="BL79" i="5"/>
  <c r="BM79" i="5"/>
  <c r="AK81" i="5"/>
  <c r="K80" i="5"/>
  <c r="K81" i="5"/>
  <c r="O153" i="6"/>
  <c r="J245" i="5"/>
  <c r="J244" i="5" s="1"/>
  <c r="BL40" i="5"/>
  <c r="BL41" i="5"/>
  <c r="BP41" i="5"/>
  <c r="O156" i="6"/>
  <c r="G86" i="10"/>
  <c r="G95" i="10"/>
  <c r="BM74" i="5"/>
  <c r="BM73" i="5"/>
  <c r="BM77" i="5"/>
  <c r="AA236" i="5"/>
  <c r="AA245" i="5"/>
  <c r="AA244" i="5" s="1"/>
  <c r="C32" i="4"/>
  <c r="B12" i="8"/>
  <c r="G6" i="17"/>
  <c r="G7" i="17" s="1"/>
  <c r="G12" i="17" s="1"/>
  <c r="D6" i="17"/>
  <c r="D7" i="17" s="1"/>
  <c r="D12" i="17" s="1"/>
  <c r="D14" i="17" s="1"/>
  <c r="H6" i="17"/>
  <c r="H7" i="17" s="1"/>
  <c r="H12" i="17" s="1"/>
  <c r="E6" i="17"/>
  <c r="E7" i="17" s="1"/>
  <c r="E12" i="17" s="1"/>
  <c r="F6" i="17"/>
  <c r="F7" i="17" s="1"/>
  <c r="F12" i="17" s="1"/>
  <c r="F14" i="17" s="1"/>
  <c r="H139" i="25"/>
  <c r="I139" i="25" s="1"/>
  <c r="I3" i="25" s="1"/>
  <c r="D2" i="25"/>
  <c r="AF7" i="24" a="1"/>
  <c r="BM41" i="5"/>
  <c r="BM40" i="5"/>
  <c r="M81" i="5"/>
  <c r="M80" i="5"/>
  <c r="G90" i="5"/>
  <c r="F90" i="5"/>
  <c r="X184" i="6"/>
  <c r="X183" i="6"/>
  <c r="M9" i="10" l="1"/>
  <c r="O120" i="10"/>
  <c r="P116" i="5"/>
  <c r="F236" i="5"/>
  <c r="F238" i="5" s="1"/>
  <c r="L78" i="10"/>
  <c r="L79" i="10" s="1"/>
  <c r="K79" i="10"/>
  <c r="L236" i="5"/>
  <c r="L238" i="5" s="1"/>
  <c r="L245" i="5"/>
  <c r="L244" i="5" s="1"/>
  <c r="S8" i="20"/>
  <c r="S49" i="20"/>
  <c r="M147" i="10"/>
  <c r="O147" i="10" s="1"/>
  <c r="M158" i="10"/>
  <c r="O158" i="10" s="1"/>
  <c r="K146" i="10"/>
  <c r="K145" i="10" s="1"/>
  <c r="K156" i="10"/>
  <c r="O163" i="10"/>
  <c r="J157" i="10"/>
  <c r="L161" i="10"/>
  <c r="L146" i="10" s="1"/>
  <c r="O9" i="6"/>
  <c r="I148" i="10"/>
  <c r="O136" i="6"/>
  <c r="O137" i="6" s="1"/>
  <c r="C74" i="3"/>
  <c r="N52" i="6"/>
  <c r="N74" i="6" s="1"/>
  <c r="BC9" i="6"/>
  <c r="BA24" i="6" s="1"/>
  <c r="N24" i="6"/>
  <c r="N7" i="7" s="1"/>
  <c r="K245" i="5"/>
  <c r="K244" i="5" s="1"/>
  <c r="K236" i="5"/>
  <c r="K238" i="5" s="1"/>
  <c r="M236" i="5"/>
  <c r="M238" i="5" s="1"/>
  <c r="M245" i="5"/>
  <c r="M244" i="5" s="1"/>
  <c r="BJ81" i="5"/>
  <c r="BJ80" i="5"/>
  <c r="CA80" i="5"/>
  <c r="CA81" i="5"/>
  <c r="Q172" i="5"/>
  <c r="R171" i="5" s="1"/>
  <c r="G156" i="14"/>
  <c r="G153" i="14"/>
  <c r="G166" i="14"/>
  <c r="H44" i="10" s="1"/>
  <c r="H43" i="10" s="1"/>
  <c r="H49" i="10" s="1"/>
  <c r="G157" i="14"/>
  <c r="G151" i="14"/>
  <c r="G154" i="14"/>
  <c r="G155" i="14"/>
  <c r="H69" i="10" s="1"/>
  <c r="CB81" i="5"/>
  <c r="AP236" i="5"/>
  <c r="AP238" i="5" s="1"/>
  <c r="AP245" i="5"/>
  <c r="AP244" i="5" s="1"/>
  <c r="R227" i="5"/>
  <c r="S127" i="5"/>
  <c r="S227" i="5" s="1"/>
  <c r="BK80" i="5"/>
  <c r="BK81" i="5"/>
  <c r="BZ81" i="5"/>
  <c r="BV80" i="5"/>
  <c r="C30" i="4"/>
  <c r="B15" i="8"/>
  <c r="C24" i="4" s="1"/>
  <c r="G56" i="10"/>
  <c r="H55" i="10"/>
  <c r="I55" i="10" s="1"/>
  <c r="J55" i="10" s="1"/>
  <c r="K55" i="10" s="1"/>
  <c r="L55" i="10" s="1"/>
  <c r="M55" i="10" s="1"/>
  <c r="O55" i="10" s="1"/>
  <c r="BT81" i="5"/>
  <c r="BT80" i="5"/>
  <c r="BX81" i="5"/>
  <c r="Q52" i="20"/>
  <c r="Q46" i="20" s="1"/>
  <c r="R37" i="20"/>
  <c r="R16" i="20" s="1"/>
  <c r="R169" i="5"/>
  <c r="F54" i="10"/>
  <c r="BU80" i="5"/>
  <c r="BU81" i="5"/>
  <c r="BY81" i="5"/>
  <c r="S37" i="20"/>
  <c r="U38" i="20"/>
  <c r="O37" i="20"/>
  <c r="O16" i="20" s="1"/>
  <c r="AF12" i="24"/>
  <c r="AF13" i="24"/>
  <c r="AF7" i="24"/>
  <c r="AF8" i="24"/>
  <c r="AF9" i="24"/>
  <c r="AF10" i="24"/>
  <c r="AF11" i="24"/>
  <c r="Q37" i="20"/>
  <c r="Q16" i="20" s="1"/>
  <c r="R76" i="6"/>
  <c r="X54" i="6"/>
  <c r="M93" i="3"/>
  <c r="G40" i="4"/>
  <c r="G42" i="4" s="1"/>
  <c r="U23" i="24"/>
  <c r="E40" i="10"/>
  <c r="E55" i="10"/>
  <c r="E56" i="10" s="1"/>
  <c r="E42" i="10"/>
  <c r="P37" i="20"/>
  <c r="P16" i="20" s="1"/>
  <c r="R88" i="6"/>
  <c r="R111" i="6" s="1"/>
  <c r="J8" i="25"/>
  <c r="J20" i="25"/>
  <c r="J32" i="25"/>
  <c r="J44" i="25"/>
  <c r="J56" i="25"/>
  <c r="J68" i="25"/>
  <c r="J80" i="25"/>
  <c r="J92" i="25"/>
  <c r="J104" i="25"/>
  <c r="J116" i="25"/>
  <c r="J128" i="25"/>
  <c r="J140" i="25"/>
  <c r="J152" i="25"/>
  <c r="J164" i="25"/>
  <c r="J176" i="25"/>
  <c r="J188" i="25"/>
  <c r="J200" i="25"/>
  <c r="J212" i="25"/>
  <c r="J224" i="25"/>
  <c r="J236" i="25"/>
  <c r="J248" i="25"/>
  <c r="J260" i="25"/>
  <c r="J272" i="25"/>
  <c r="J284" i="25"/>
  <c r="J296" i="25"/>
  <c r="J308" i="25"/>
  <c r="J320" i="25"/>
  <c r="J332" i="25"/>
  <c r="J344" i="25"/>
  <c r="J356" i="25"/>
  <c r="J368" i="25"/>
  <c r="J380" i="25"/>
  <c r="J392" i="25"/>
  <c r="J404" i="25"/>
  <c r="J416" i="25"/>
  <c r="J428" i="25"/>
  <c r="J440" i="25"/>
  <c r="J452" i="25"/>
  <c r="J464" i="25"/>
  <c r="J476" i="25"/>
  <c r="J488" i="25"/>
  <c r="J500" i="25"/>
  <c r="J512" i="25"/>
  <c r="J524" i="25"/>
  <c r="J10" i="25"/>
  <c r="J23" i="25"/>
  <c r="J36" i="25"/>
  <c r="J49" i="25"/>
  <c r="J62" i="25"/>
  <c r="J75" i="25"/>
  <c r="J88" i="25"/>
  <c r="J101" i="25"/>
  <c r="J114" i="25"/>
  <c r="J127" i="25"/>
  <c r="J141" i="25"/>
  <c r="J154" i="25"/>
  <c r="J167" i="25"/>
  <c r="J180" i="25"/>
  <c r="J193" i="25"/>
  <c r="J206" i="25"/>
  <c r="J219" i="25"/>
  <c r="J232" i="25"/>
  <c r="J245" i="25"/>
  <c r="J258" i="25"/>
  <c r="J271" i="25"/>
  <c r="J285" i="25"/>
  <c r="J298" i="25"/>
  <c r="J311" i="25"/>
  <c r="J324" i="25"/>
  <c r="J337" i="25"/>
  <c r="J350" i="25"/>
  <c r="J363" i="25"/>
  <c r="J376" i="25"/>
  <c r="J389" i="25"/>
  <c r="J402" i="25"/>
  <c r="J415" i="25"/>
  <c r="J429" i="25"/>
  <c r="J442" i="25"/>
  <c r="J455" i="25"/>
  <c r="J468" i="25"/>
  <c r="J481" i="25"/>
  <c r="J494" i="25"/>
  <c r="J507" i="25"/>
  <c r="J520" i="25"/>
  <c r="J533" i="25"/>
  <c r="J545" i="25"/>
  <c r="J557" i="25"/>
  <c r="J569" i="25"/>
  <c r="J581" i="25"/>
  <c r="J593" i="25"/>
  <c r="J605" i="25"/>
  <c r="J617" i="25"/>
  <c r="J629" i="25"/>
  <c r="J641" i="25"/>
  <c r="J653" i="25"/>
  <c r="J665" i="25"/>
  <c r="J677" i="25"/>
  <c r="J689" i="25"/>
  <c r="J701" i="25"/>
  <c r="J713" i="25"/>
  <c r="J725" i="25"/>
  <c r="J737" i="25"/>
  <c r="J749" i="25"/>
  <c r="J761" i="25"/>
  <c r="J773" i="25"/>
  <c r="J786" i="25"/>
  <c r="J798" i="25"/>
  <c r="J810" i="25"/>
  <c r="J822" i="25"/>
  <c r="J834" i="25"/>
  <c r="J846" i="25"/>
  <c r="J858" i="25"/>
  <c r="J870" i="25"/>
  <c r="J882" i="25"/>
  <c r="J894" i="25"/>
  <c r="J906" i="25"/>
  <c r="J12" i="25"/>
  <c r="J25" i="25"/>
  <c r="J38" i="25"/>
  <c r="J51" i="25"/>
  <c r="J64" i="25"/>
  <c r="J77" i="25"/>
  <c r="J90" i="25"/>
  <c r="J103" i="25"/>
  <c r="J117" i="25"/>
  <c r="J130" i="25"/>
  <c r="J143" i="25"/>
  <c r="J156" i="25"/>
  <c r="J169" i="25"/>
  <c r="J182" i="25"/>
  <c r="J195" i="25"/>
  <c r="J208" i="25"/>
  <c r="J221" i="25"/>
  <c r="J234" i="25"/>
  <c r="J247" i="25"/>
  <c r="J261" i="25"/>
  <c r="J274" i="25"/>
  <c r="J287" i="25"/>
  <c r="J9" i="25"/>
  <c r="J26" i="25"/>
  <c r="J41" i="25"/>
  <c r="J57" i="25"/>
  <c r="J72" i="25"/>
  <c r="J87" i="25"/>
  <c r="J105" i="25"/>
  <c r="J120" i="25"/>
  <c r="J135" i="25"/>
  <c r="J150" i="25"/>
  <c r="J166" i="25"/>
  <c r="J183" i="25"/>
  <c r="J198" i="25"/>
  <c r="J214" i="25"/>
  <c r="J229" i="25"/>
  <c r="J244" i="25"/>
  <c r="J262" i="25"/>
  <c r="J277" i="25"/>
  <c r="J292" i="25"/>
  <c r="J306" i="25"/>
  <c r="J321" i="25"/>
  <c r="J335" i="25"/>
  <c r="J349" i="25"/>
  <c r="J364" i="25"/>
  <c r="J378" i="25"/>
  <c r="J393" i="25"/>
  <c r="J407" i="25"/>
  <c r="J421" i="25"/>
  <c r="J435" i="25"/>
  <c r="J449" i="25"/>
  <c r="J463" i="25"/>
  <c r="J478" i="25"/>
  <c r="J492" i="25"/>
  <c r="J506" i="25"/>
  <c r="J521" i="25"/>
  <c r="J535" i="25"/>
  <c r="J548" i="25"/>
  <c r="J561" i="25"/>
  <c r="J574" i="25"/>
  <c r="J587" i="25"/>
  <c r="J600" i="25"/>
  <c r="J613" i="25"/>
  <c r="J626" i="25"/>
  <c r="J639" i="25"/>
  <c r="J652" i="25"/>
  <c r="J666" i="25"/>
  <c r="J679" i="25"/>
  <c r="J692" i="25"/>
  <c r="J705" i="25"/>
  <c r="J718" i="25"/>
  <c r="J731" i="25"/>
  <c r="J744" i="25"/>
  <c r="J757" i="25"/>
  <c r="J770" i="25"/>
  <c r="J784" i="25"/>
  <c r="J797" i="25"/>
  <c r="J811" i="25"/>
  <c r="J824" i="25"/>
  <c r="J837" i="25"/>
  <c r="J850" i="25"/>
  <c r="J863" i="25"/>
  <c r="J876" i="25"/>
  <c r="J889" i="25"/>
  <c r="J902" i="25"/>
  <c r="J915" i="25"/>
  <c r="J927" i="25"/>
  <c r="J939" i="25"/>
  <c r="J951" i="25"/>
  <c r="J963" i="25"/>
  <c r="J975" i="25"/>
  <c r="J987" i="25"/>
  <c r="J999" i="25"/>
  <c r="J1011" i="25"/>
  <c r="J1023" i="25"/>
  <c r="J1035" i="25"/>
  <c r="J1047" i="25"/>
  <c r="J1059" i="25"/>
  <c r="J1071" i="25"/>
  <c r="J1083" i="25"/>
  <c r="J1095" i="25"/>
  <c r="J1107" i="25"/>
  <c r="J1119" i="25"/>
  <c r="J1131" i="25"/>
  <c r="J1143" i="25"/>
  <c r="J1155" i="25"/>
  <c r="J1167" i="25"/>
  <c r="J1179" i="25"/>
  <c r="J1191" i="25"/>
  <c r="J1203" i="25"/>
  <c r="J1215" i="25"/>
  <c r="J1227" i="25"/>
  <c r="J1239" i="25"/>
  <c r="J1251" i="25"/>
  <c r="J11" i="25"/>
  <c r="J27" i="25"/>
  <c r="J42" i="25"/>
  <c r="J58" i="25"/>
  <c r="J73" i="25"/>
  <c r="J89" i="25"/>
  <c r="J106" i="25"/>
  <c r="J121" i="25"/>
  <c r="J136" i="25"/>
  <c r="J151" i="25"/>
  <c r="J168" i="25"/>
  <c r="J184" i="25"/>
  <c r="J199" i="25"/>
  <c r="J215" i="25"/>
  <c r="J230" i="25"/>
  <c r="J246" i="25"/>
  <c r="J263" i="25"/>
  <c r="J278" i="25"/>
  <c r="J293" i="25"/>
  <c r="J307" i="25"/>
  <c r="J322" i="25"/>
  <c r="J336" i="25"/>
  <c r="J351" i="25"/>
  <c r="J365" i="25"/>
  <c r="J379" i="25"/>
  <c r="J394" i="25"/>
  <c r="J408" i="25"/>
  <c r="J422" i="25"/>
  <c r="J436" i="25"/>
  <c r="J450" i="25"/>
  <c r="J465" i="25"/>
  <c r="J479" i="25"/>
  <c r="J493" i="25"/>
  <c r="J508" i="25"/>
  <c r="J522" i="25"/>
  <c r="J536" i="25"/>
  <c r="J549" i="25"/>
  <c r="J562" i="25"/>
  <c r="J575" i="25"/>
  <c r="J588" i="25"/>
  <c r="J13" i="25"/>
  <c r="J28" i="25"/>
  <c r="J43" i="25"/>
  <c r="J59" i="25"/>
  <c r="J74" i="25"/>
  <c r="J91" i="25"/>
  <c r="J107" i="25"/>
  <c r="J122" i="25"/>
  <c r="J137" i="25"/>
  <c r="J153" i="25"/>
  <c r="J170" i="25"/>
  <c r="J185" i="25"/>
  <c r="J201" i="25"/>
  <c r="J216" i="25"/>
  <c r="J231" i="25"/>
  <c r="J249" i="25"/>
  <c r="J264" i="25"/>
  <c r="J279" i="25"/>
  <c r="J294" i="25"/>
  <c r="J309" i="25"/>
  <c r="J323" i="25"/>
  <c r="J338" i="25"/>
  <c r="J352" i="25"/>
  <c r="J366" i="25"/>
  <c r="J381" i="25"/>
  <c r="J395" i="25"/>
  <c r="J409" i="25"/>
  <c r="J423" i="25"/>
  <c r="J437" i="25"/>
  <c r="J451" i="25"/>
  <c r="J466" i="25"/>
  <c r="J480" i="25"/>
  <c r="J495" i="25"/>
  <c r="J509" i="25"/>
  <c r="J523" i="25"/>
  <c r="J537" i="25"/>
  <c r="J550" i="25"/>
  <c r="J563" i="25"/>
  <c r="J576" i="25"/>
  <c r="J589" i="25"/>
  <c r="J602" i="25"/>
  <c r="J615" i="25"/>
  <c r="J628" i="25"/>
  <c r="J642" i="25"/>
  <c r="J655" i="25"/>
  <c r="J668" i="25"/>
  <c r="J681" i="25"/>
  <c r="J694" i="25"/>
  <c r="J707" i="25"/>
  <c r="J720" i="25"/>
  <c r="J733" i="25"/>
  <c r="J746" i="25"/>
  <c r="J759" i="25"/>
  <c r="J772" i="25"/>
  <c r="J787" i="25"/>
  <c r="J800" i="25"/>
  <c r="J813" i="25"/>
  <c r="J826" i="25"/>
  <c r="J839" i="25"/>
  <c r="J852" i="25"/>
  <c r="J865" i="25"/>
  <c r="J878" i="25"/>
  <c r="J891" i="25"/>
  <c r="J904" i="25"/>
  <c r="J917" i="25"/>
  <c r="J929" i="25"/>
  <c r="J941" i="25"/>
  <c r="J953" i="25"/>
  <c r="J965" i="25"/>
  <c r="J977" i="25"/>
  <c r="J989" i="25"/>
  <c r="J1001" i="25"/>
  <c r="J1013" i="25"/>
  <c r="J1025" i="25"/>
  <c r="J1037" i="25"/>
  <c r="J1049" i="25"/>
  <c r="J1061" i="25"/>
  <c r="J1073" i="25"/>
  <c r="J1085" i="25"/>
  <c r="J1097" i="25"/>
  <c r="J1109" i="25"/>
  <c r="J1121" i="25"/>
  <c r="J1133" i="25"/>
  <c r="J1145" i="25"/>
  <c r="J1157" i="25"/>
  <c r="J1169" i="25"/>
  <c r="J1181" i="25"/>
  <c r="J1193" i="25"/>
  <c r="J1205" i="25"/>
  <c r="J1217" i="25"/>
  <c r="J1229" i="25"/>
  <c r="J1241" i="25"/>
  <c r="J1253" i="25"/>
  <c r="J14" i="25"/>
  <c r="J29" i="25"/>
  <c r="J45" i="25"/>
  <c r="J60" i="25"/>
  <c r="J76" i="25"/>
  <c r="J93" i="25"/>
  <c r="J108" i="25"/>
  <c r="J123" i="25"/>
  <c r="J138" i="25"/>
  <c r="J155" i="25"/>
  <c r="J171" i="25"/>
  <c r="J186" i="25"/>
  <c r="J202" i="25"/>
  <c r="J217" i="25"/>
  <c r="J233" i="25"/>
  <c r="J250" i="25"/>
  <c r="J265" i="25"/>
  <c r="J280" i="25"/>
  <c r="J295" i="25"/>
  <c r="J310" i="25"/>
  <c r="J325" i="25"/>
  <c r="J339" i="25"/>
  <c r="J353" i="25"/>
  <c r="J367" i="25"/>
  <c r="J382" i="25"/>
  <c r="J396" i="25"/>
  <c r="J410" i="25"/>
  <c r="J424" i="25"/>
  <c r="J438" i="25"/>
  <c r="J453" i="25"/>
  <c r="J467" i="25"/>
  <c r="J482" i="25"/>
  <c r="J496" i="25"/>
  <c r="J510" i="25"/>
  <c r="J525" i="25"/>
  <c r="J538" i="25"/>
  <c r="J551" i="25"/>
  <c r="J564" i="25"/>
  <c r="J577" i="25"/>
  <c r="J590" i="25"/>
  <c r="J603" i="25"/>
  <c r="J616" i="25"/>
  <c r="J630" i="25"/>
  <c r="J643" i="25"/>
  <c r="J656" i="25"/>
  <c r="J669" i="25"/>
  <c r="J682" i="25"/>
  <c r="J695" i="25"/>
  <c r="J708" i="25"/>
  <c r="J721" i="25"/>
  <c r="J734" i="25"/>
  <c r="J747" i="25"/>
  <c r="J760" i="25"/>
  <c r="J774" i="25"/>
  <c r="J788" i="25"/>
  <c r="J801" i="25"/>
  <c r="J814" i="25"/>
  <c r="J827" i="25"/>
  <c r="J840" i="25"/>
  <c r="J853" i="25"/>
  <c r="J866" i="25"/>
  <c r="J879" i="25"/>
  <c r="J892" i="25"/>
  <c r="J905" i="25"/>
  <c r="J918" i="25"/>
  <c r="J930" i="25"/>
  <c r="J17" i="25"/>
  <c r="J19" i="25"/>
  <c r="J35" i="25"/>
  <c r="J52" i="25"/>
  <c r="J67" i="25"/>
  <c r="J83" i="25"/>
  <c r="J98" i="25"/>
  <c r="J113" i="25"/>
  <c r="J131" i="25"/>
  <c r="J146" i="25"/>
  <c r="J161" i="25"/>
  <c r="J177" i="25"/>
  <c r="J192" i="25"/>
  <c r="J209" i="25"/>
  <c r="J225" i="25"/>
  <c r="J240" i="25"/>
  <c r="J255" i="25"/>
  <c r="J270" i="25"/>
  <c r="J288" i="25"/>
  <c r="J302" i="25"/>
  <c r="J316" i="25"/>
  <c r="J330" i="25"/>
  <c r="J345" i="25"/>
  <c r="J359" i="25"/>
  <c r="J373" i="25"/>
  <c r="J387" i="25"/>
  <c r="J401" i="25"/>
  <c r="J417" i="25"/>
  <c r="J431" i="25"/>
  <c r="J445" i="25"/>
  <c r="J459" i="25"/>
  <c r="J473" i="25"/>
  <c r="J487" i="25"/>
  <c r="J502" i="25"/>
  <c r="J516" i="25"/>
  <c r="J6" i="25"/>
  <c r="J22" i="25"/>
  <c r="J39" i="25"/>
  <c r="J54" i="25"/>
  <c r="J70" i="25"/>
  <c r="J85" i="25"/>
  <c r="J100" i="25"/>
  <c r="J118" i="25"/>
  <c r="J133" i="25"/>
  <c r="J148" i="25"/>
  <c r="J163" i="25"/>
  <c r="J179" i="25"/>
  <c r="J196" i="25"/>
  <c r="J211" i="25"/>
  <c r="J227" i="25"/>
  <c r="J242" i="25"/>
  <c r="J257" i="25"/>
  <c r="J275" i="25"/>
  <c r="J290" i="25"/>
  <c r="J304" i="25"/>
  <c r="J318" i="25"/>
  <c r="J333" i="25"/>
  <c r="J347" i="25"/>
  <c r="J361" i="25"/>
  <c r="J375" i="25"/>
  <c r="J390" i="25"/>
  <c r="J405" i="25"/>
  <c r="J419" i="25"/>
  <c r="J433" i="25"/>
  <c r="J447" i="25"/>
  <c r="J461" i="25"/>
  <c r="J475" i="25"/>
  <c r="J490" i="25"/>
  <c r="J504" i="25"/>
  <c r="J518" i="25"/>
  <c r="J532" i="25"/>
  <c r="J546" i="25"/>
  <c r="J559" i="25"/>
  <c r="J572" i="25"/>
  <c r="J585" i="25"/>
  <c r="J598" i="25"/>
  <c r="J611" i="25"/>
  <c r="J624" i="25"/>
  <c r="J7" i="25"/>
  <c r="J24" i="25"/>
  <c r="J40" i="25"/>
  <c r="J55" i="25"/>
  <c r="J71" i="25"/>
  <c r="J86" i="25"/>
  <c r="J102" i="25"/>
  <c r="J119" i="25"/>
  <c r="J134" i="25"/>
  <c r="J149" i="25"/>
  <c r="J165" i="25"/>
  <c r="J181" i="25"/>
  <c r="J197" i="25"/>
  <c r="J213" i="25"/>
  <c r="J228" i="25"/>
  <c r="J243" i="25"/>
  <c r="J259" i="25"/>
  <c r="J47" i="25"/>
  <c r="J82" i="25"/>
  <c r="J124" i="25"/>
  <c r="J159" i="25"/>
  <c r="J194" i="25"/>
  <c r="J237" i="25"/>
  <c r="J269" i="25"/>
  <c r="J301" i="25"/>
  <c r="J329" i="25"/>
  <c r="J358" i="25"/>
  <c r="J386" i="25"/>
  <c r="J414" i="25"/>
  <c r="J444" i="25"/>
  <c r="J472" i="25"/>
  <c r="J501" i="25"/>
  <c r="J529" i="25"/>
  <c r="J553" i="25"/>
  <c r="J573" i="25"/>
  <c r="J596" i="25"/>
  <c r="J618" i="25"/>
  <c r="J635" i="25"/>
  <c r="J651" i="25"/>
  <c r="J671" i="25"/>
  <c r="J687" i="25"/>
  <c r="J704" i="25"/>
  <c r="J723" i="25"/>
  <c r="J740" i="25"/>
  <c r="J756" i="25"/>
  <c r="J777" i="25"/>
  <c r="J793" i="25"/>
  <c r="J809" i="25"/>
  <c r="J829" i="25"/>
  <c r="J845" i="25"/>
  <c r="J862" i="25"/>
  <c r="J881" i="25"/>
  <c r="J898" i="25"/>
  <c r="J914" i="25"/>
  <c r="J932" i="25"/>
  <c r="J946" i="25"/>
  <c r="J960" i="25"/>
  <c r="J974" i="25"/>
  <c r="J990" i="25"/>
  <c r="J1004" i="25"/>
  <c r="J1018" i="25"/>
  <c r="J1032" i="25"/>
  <c r="J1046" i="25"/>
  <c r="J1062" i="25"/>
  <c r="J1076" i="25"/>
  <c r="J1090" i="25"/>
  <c r="J1104" i="25"/>
  <c r="J1118" i="25"/>
  <c r="J1134" i="25"/>
  <c r="J1148" i="25"/>
  <c r="J1162" i="25"/>
  <c r="J1176" i="25"/>
  <c r="J1190" i="25"/>
  <c r="J1206" i="25"/>
  <c r="J1220" i="25"/>
  <c r="J1234" i="25"/>
  <c r="J1248" i="25"/>
  <c r="J48" i="25"/>
  <c r="J84" i="25"/>
  <c r="J125" i="25"/>
  <c r="J160" i="25"/>
  <c r="J203" i="25"/>
  <c r="J238" i="25"/>
  <c r="J273" i="25"/>
  <c r="J303" i="25"/>
  <c r="J331" i="25"/>
  <c r="J360" i="25"/>
  <c r="J388" i="25"/>
  <c r="J418" i="25"/>
  <c r="J446" i="25"/>
  <c r="J474" i="25"/>
  <c r="J503" i="25"/>
  <c r="J530" i="25"/>
  <c r="J554" i="25"/>
  <c r="J578" i="25"/>
  <c r="J597" i="25"/>
  <c r="J619" i="25"/>
  <c r="J636" i="25"/>
  <c r="J654" i="25"/>
  <c r="J672" i="25"/>
  <c r="J688" i="25"/>
  <c r="J706" i="25"/>
  <c r="J724" i="25"/>
  <c r="J741" i="25"/>
  <c r="J758" i="25"/>
  <c r="J778" i="25"/>
  <c r="J794" i="25"/>
  <c r="J812" i="25"/>
  <c r="J830" i="25"/>
  <c r="J847" i="25"/>
  <c r="J864" i="25"/>
  <c r="J883" i="25"/>
  <c r="J899" i="25"/>
  <c r="J916" i="25"/>
  <c r="J933" i="25"/>
  <c r="J947" i="25"/>
  <c r="J961" i="25"/>
  <c r="J976" i="25"/>
  <c r="J991" i="25"/>
  <c r="J1005" i="25"/>
  <c r="J1019" i="25"/>
  <c r="J1033" i="25"/>
  <c r="J1048" i="25"/>
  <c r="J1063" i="25"/>
  <c r="J1077" i="25"/>
  <c r="J1091" i="25"/>
  <c r="J1105" i="25"/>
  <c r="J1120" i="25"/>
  <c r="J1135" i="25"/>
  <c r="J1149" i="25"/>
  <c r="J1163" i="25"/>
  <c r="J1177" i="25"/>
  <c r="J1192" i="25"/>
  <c r="J1207" i="25"/>
  <c r="J1221" i="25"/>
  <c r="J1235" i="25"/>
  <c r="J1249" i="25"/>
  <c r="J15" i="25"/>
  <c r="J50" i="25"/>
  <c r="J94" i="25"/>
  <c r="J126" i="25"/>
  <c r="J162" i="25"/>
  <c r="J204" i="25"/>
  <c r="J239" i="25"/>
  <c r="J276" i="25"/>
  <c r="J305" i="25"/>
  <c r="J334" i="25"/>
  <c r="J362" i="25"/>
  <c r="J391" i="25"/>
  <c r="J420" i="25"/>
  <c r="J448" i="25"/>
  <c r="J477" i="25"/>
  <c r="J505" i="25"/>
  <c r="J531" i="25"/>
  <c r="J555" i="25"/>
  <c r="J579" i="25"/>
  <c r="J599" i="25"/>
  <c r="J620" i="25"/>
  <c r="J637" i="25"/>
  <c r="J657" i="25"/>
  <c r="J673" i="25"/>
  <c r="J690" i="25"/>
  <c r="J709" i="25"/>
  <c r="J726" i="25"/>
  <c r="J742" i="25"/>
  <c r="J762" i="25"/>
  <c r="J779" i="25"/>
  <c r="J795" i="25"/>
  <c r="J815" i="25"/>
  <c r="J831" i="25"/>
  <c r="J848" i="25"/>
  <c r="J867" i="25"/>
  <c r="J884" i="25"/>
  <c r="J900" i="25"/>
  <c r="J919" i="25"/>
  <c r="J934" i="25"/>
  <c r="J948" i="25"/>
  <c r="J962" i="25"/>
  <c r="J978" i="25"/>
  <c r="J992" i="25"/>
  <c r="J1006" i="25"/>
  <c r="J1020" i="25"/>
  <c r="J1034" i="25"/>
  <c r="J1050" i="25"/>
  <c r="J1064" i="25"/>
  <c r="J1078" i="25"/>
  <c r="J1092" i="25"/>
  <c r="J1106" i="25"/>
  <c r="J1122" i="25"/>
  <c r="J1136" i="25"/>
  <c r="J1150" i="25"/>
  <c r="J1164" i="25"/>
  <c r="J1178" i="25"/>
  <c r="J1194" i="25"/>
  <c r="J1208" i="25"/>
  <c r="J1222" i="25"/>
  <c r="J1236" i="25"/>
  <c r="J1250" i="25"/>
  <c r="J16" i="25"/>
  <c r="J53" i="25"/>
  <c r="J95" i="25"/>
  <c r="J129" i="25"/>
  <c r="J172" i="25"/>
  <c r="J205" i="25"/>
  <c r="J241" i="25"/>
  <c r="J281" i="25"/>
  <c r="J312" i="25"/>
  <c r="J340" i="25"/>
  <c r="J369" i="25"/>
  <c r="J397" i="25"/>
  <c r="J425" i="25"/>
  <c r="J454" i="25"/>
  <c r="J483" i="25"/>
  <c r="J511" i="25"/>
  <c r="J534" i="25"/>
  <c r="J556" i="25"/>
  <c r="J580" i="25"/>
  <c r="J601" i="25"/>
  <c r="J621" i="25"/>
  <c r="J638" i="25"/>
  <c r="J658" i="25"/>
  <c r="J674" i="25"/>
  <c r="J691" i="25"/>
  <c r="J710" i="25"/>
  <c r="J727" i="25"/>
  <c r="J743" i="25"/>
  <c r="J763" i="25"/>
  <c r="J780" i="25"/>
  <c r="J796" i="25"/>
  <c r="J816" i="25"/>
  <c r="J832" i="25"/>
  <c r="J849" i="25"/>
  <c r="J868" i="25"/>
  <c r="J885" i="25"/>
  <c r="J901" i="25"/>
  <c r="J920" i="25"/>
  <c r="J935" i="25"/>
  <c r="J949" i="25"/>
  <c r="J964" i="25"/>
  <c r="J979" i="25"/>
  <c r="J993" i="25"/>
  <c r="J1007" i="25"/>
  <c r="J1021" i="25"/>
  <c r="J1036" i="25"/>
  <c r="J1051" i="25"/>
  <c r="J1065" i="25"/>
  <c r="J1079" i="25"/>
  <c r="J1093" i="25"/>
  <c r="J1108" i="25"/>
  <c r="J1123" i="25"/>
  <c r="J1137" i="25"/>
  <c r="J1151" i="25"/>
  <c r="J1165" i="25"/>
  <c r="J1180" i="25"/>
  <c r="J1195" i="25"/>
  <c r="J1209" i="25"/>
  <c r="J1223" i="25"/>
  <c r="J1237" i="25"/>
  <c r="J1252" i="25"/>
  <c r="J18" i="25"/>
  <c r="J61" i="25"/>
  <c r="J96" i="25"/>
  <c r="J132" i="25"/>
  <c r="J173" i="25"/>
  <c r="J207" i="25"/>
  <c r="J251" i="25"/>
  <c r="J282" i="25"/>
  <c r="J313" i="25"/>
  <c r="J341" i="25"/>
  <c r="J370" i="25"/>
  <c r="J398" i="25"/>
  <c r="J426" i="25"/>
  <c r="J456" i="25"/>
  <c r="J484" i="25"/>
  <c r="J513" i="25"/>
  <c r="J539" i="25"/>
  <c r="J558" i="25"/>
  <c r="J582" i="25"/>
  <c r="J604" i="25"/>
  <c r="J622" i="25"/>
  <c r="J640" i="25"/>
  <c r="J659" i="25"/>
  <c r="J675" i="25"/>
  <c r="J693" i="25"/>
  <c r="J711" i="25"/>
  <c r="J728" i="25"/>
  <c r="J745" i="25"/>
  <c r="J764" i="25"/>
  <c r="J781" i="25"/>
  <c r="J799" i="25"/>
  <c r="J817" i="25"/>
  <c r="J833" i="25"/>
  <c r="J851" i="25"/>
  <c r="J869" i="25"/>
  <c r="J886" i="25"/>
  <c r="J903" i="25"/>
  <c r="J921" i="25"/>
  <c r="J936" i="25"/>
  <c r="J950" i="25"/>
  <c r="J966" i="25"/>
  <c r="J980" i="25"/>
  <c r="J994" i="25"/>
  <c r="J1008" i="25"/>
  <c r="J1022" i="25"/>
  <c r="J1038" i="25"/>
  <c r="J1052" i="25"/>
  <c r="J1066" i="25"/>
  <c r="J1080" i="25"/>
  <c r="J1094" i="25"/>
  <c r="J1110" i="25"/>
  <c r="J1124" i="25"/>
  <c r="J1138" i="25"/>
  <c r="J1152" i="25"/>
  <c r="J1166" i="25"/>
  <c r="J1182" i="25"/>
  <c r="J1196" i="25"/>
  <c r="J1210" i="25"/>
  <c r="J1224" i="25"/>
  <c r="J1238" i="25"/>
  <c r="J1254" i="25"/>
  <c r="J21" i="25"/>
  <c r="J63" i="25"/>
  <c r="J97" i="25"/>
  <c r="J139" i="25"/>
  <c r="J174" i="25"/>
  <c r="J210" i="25"/>
  <c r="J252" i="25"/>
  <c r="J283" i="25"/>
  <c r="J314" i="25"/>
  <c r="J342" i="25"/>
  <c r="J371" i="25"/>
  <c r="J399" i="25"/>
  <c r="J427" i="25"/>
  <c r="J457" i="25"/>
  <c r="J485" i="25"/>
  <c r="J514" i="25"/>
  <c r="J540" i="25"/>
  <c r="J560" i="25"/>
  <c r="J583" i="25"/>
  <c r="J606" i="25"/>
  <c r="J623" i="25"/>
  <c r="J644" i="25"/>
  <c r="J660" i="25"/>
  <c r="J676" i="25"/>
  <c r="J696" i="25"/>
  <c r="J712" i="25"/>
  <c r="J729" i="25"/>
  <c r="J748" i="25"/>
  <c r="J765" i="25"/>
  <c r="J782" i="25"/>
  <c r="J802" i="25"/>
  <c r="J818" i="25"/>
  <c r="J835" i="25"/>
  <c r="J854" i="25"/>
  <c r="J871" i="25"/>
  <c r="J887" i="25"/>
  <c r="J907" i="25"/>
  <c r="J922" i="25"/>
  <c r="J937" i="25"/>
  <c r="J952" i="25"/>
  <c r="J967" i="25"/>
  <c r="J981" i="25"/>
  <c r="J995" i="25"/>
  <c r="J1009" i="25"/>
  <c r="J1024" i="25"/>
  <c r="J1039" i="25"/>
  <c r="J1053" i="25"/>
  <c r="J1067" i="25"/>
  <c r="J1081" i="25"/>
  <c r="J1096" i="25"/>
  <c r="J1111" i="25"/>
  <c r="J1125" i="25"/>
  <c r="J1139" i="25"/>
  <c r="J1153" i="25"/>
  <c r="J1168" i="25"/>
  <c r="J1183" i="25"/>
  <c r="J1197" i="25"/>
  <c r="J1211" i="25"/>
  <c r="J1225" i="25"/>
  <c r="J1240" i="25"/>
  <c r="J1255" i="25"/>
  <c r="J30" i="25"/>
  <c r="J65" i="25"/>
  <c r="J99" i="25"/>
  <c r="J142" i="25"/>
  <c r="J175" i="25"/>
  <c r="J218" i="25"/>
  <c r="J253" i="25"/>
  <c r="J286" i="25"/>
  <c r="J315" i="25"/>
  <c r="J343" i="25"/>
  <c r="J372" i="25"/>
  <c r="J400" i="25"/>
  <c r="J430" i="25"/>
  <c r="J458" i="25"/>
  <c r="J486" i="25"/>
  <c r="J515" i="25"/>
  <c r="J541" i="25"/>
  <c r="J565" i="25"/>
  <c r="J584" i="25"/>
  <c r="J607" i="25"/>
  <c r="J625" i="25"/>
  <c r="J645" i="25"/>
  <c r="J661" i="25"/>
  <c r="J678" i="25"/>
  <c r="J697" i="25"/>
  <c r="J714" i="25"/>
  <c r="J730" i="25"/>
  <c r="J750" i="25"/>
  <c r="J766" i="25"/>
  <c r="J783" i="25"/>
  <c r="J803" i="25"/>
  <c r="J819" i="25"/>
  <c r="J836" i="25"/>
  <c r="J855" i="25"/>
  <c r="J872" i="25"/>
  <c r="J888" i="25"/>
  <c r="J908" i="25"/>
  <c r="J923" i="25"/>
  <c r="J938" i="25"/>
  <c r="J954" i="25"/>
  <c r="J968" i="25"/>
  <c r="J982" i="25"/>
  <c r="J996" i="25"/>
  <c r="J1010" i="25"/>
  <c r="J1026" i="25"/>
  <c r="J1040" i="25"/>
  <c r="J1054" i="25"/>
  <c r="J1068" i="25"/>
  <c r="J1082" i="25"/>
  <c r="J1098" i="25"/>
  <c r="J1112" i="25"/>
  <c r="J1126" i="25"/>
  <c r="J1140" i="25"/>
  <c r="J1154" i="25"/>
  <c r="J1170" i="25"/>
  <c r="J1184" i="25"/>
  <c r="J1198" i="25"/>
  <c r="J1212" i="25"/>
  <c r="J1226" i="25"/>
  <c r="J1242" i="25"/>
  <c r="J5" i="25"/>
  <c r="J31" i="25"/>
  <c r="J66" i="25"/>
  <c r="J109" i="25"/>
  <c r="J144" i="25"/>
  <c r="J178" i="25"/>
  <c r="J220" i="25"/>
  <c r="J254" i="25"/>
  <c r="J289" i="25"/>
  <c r="J317" i="25"/>
  <c r="J346" i="25"/>
  <c r="J374" i="25"/>
  <c r="J403" i="25"/>
  <c r="J432" i="25"/>
  <c r="J460" i="25"/>
  <c r="J489" i="25"/>
  <c r="J517" i="25"/>
  <c r="J542" i="25"/>
  <c r="J566" i="25"/>
  <c r="J586" i="25"/>
  <c r="J608" i="25"/>
  <c r="J627" i="25"/>
  <c r="J646" i="25"/>
  <c r="J662" i="25"/>
  <c r="J680" i="25"/>
  <c r="J698" i="25"/>
  <c r="J715" i="25"/>
  <c r="J732" i="25"/>
  <c r="J751" i="25"/>
  <c r="J767" i="25"/>
  <c r="J785" i="25"/>
  <c r="J804" i="25"/>
  <c r="J820" i="25"/>
  <c r="J838" i="25"/>
  <c r="J856" i="25"/>
  <c r="J873" i="25"/>
  <c r="J890" i="25"/>
  <c r="J909" i="25"/>
  <c r="J924" i="25"/>
  <c r="J940" i="25"/>
  <c r="J955" i="25"/>
  <c r="J969" i="25"/>
  <c r="J983" i="25"/>
  <c r="J997" i="25"/>
  <c r="J1012" i="25"/>
  <c r="J1027" i="25"/>
  <c r="J1041" i="25"/>
  <c r="J1055" i="25"/>
  <c r="J1069" i="25"/>
  <c r="J1084" i="25"/>
  <c r="J1099" i="25"/>
  <c r="J1113" i="25"/>
  <c r="J1127" i="25"/>
  <c r="J1141" i="25"/>
  <c r="J1156" i="25"/>
  <c r="J1171" i="25"/>
  <c r="J1185" i="25"/>
  <c r="J1199" i="25"/>
  <c r="J1213" i="25"/>
  <c r="J1228" i="25"/>
  <c r="J1243" i="25"/>
  <c r="J33" i="25"/>
  <c r="J69" i="25"/>
  <c r="J110" i="25"/>
  <c r="J145" i="25"/>
  <c r="J187" i="25"/>
  <c r="J222" i="25"/>
  <c r="J256" i="25"/>
  <c r="J291" i="25"/>
  <c r="J319" i="25"/>
  <c r="J348" i="25"/>
  <c r="J377" i="25"/>
  <c r="J406" i="25"/>
  <c r="J434" i="25"/>
  <c r="J462" i="25"/>
  <c r="J491" i="25"/>
  <c r="J519" i="25"/>
  <c r="J543" i="25"/>
  <c r="J567" i="25"/>
  <c r="J591" i="25"/>
  <c r="J609" i="25"/>
  <c r="J631" i="25"/>
  <c r="J647" i="25"/>
  <c r="J663" i="25"/>
  <c r="J683" i="25"/>
  <c r="J699" i="25"/>
  <c r="J716" i="25"/>
  <c r="J735" i="25"/>
  <c r="J752" i="25"/>
  <c r="J768" i="25"/>
  <c r="J789" i="25"/>
  <c r="J805" i="25"/>
  <c r="J821" i="25"/>
  <c r="J841" i="25"/>
  <c r="J857" i="25"/>
  <c r="J874" i="25"/>
  <c r="J893" i="25"/>
  <c r="J910" i="25"/>
  <c r="J925" i="25"/>
  <c r="J942" i="25"/>
  <c r="J956" i="25"/>
  <c r="J970" i="25"/>
  <c r="J984" i="25"/>
  <c r="J998" i="25"/>
  <c r="J1014" i="25"/>
  <c r="J1028" i="25"/>
  <c r="J1042" i="25"/>
  <c r="J1056" i="25"/>
  <c r="J1070" i="25"/>
  <c r="J1086" i="25"/>
  <c r="J1100" i="25"/>
  <c r="J1114" i="25"/>
  <c r="J1128" i="25"/>
  <c r="J1142" i="25"/>
  <c r="J1158" i="25"/>
  <c r="J1172" i="25"/>
  <c r="J1186" i="25"/>
  <c r="J1200" i="25"/>
  <c r="J1214" i="25"/>
  <c r="J1230" i="25"/>
  <c r="J1244" i="25"/>
  <c r="J34" i="25"/>
  <c r="J78" i="25"/>
  <c r="J111" i="25"/>
  <c r="J147" i="25"/>
  <c r="J189" i="25"/>
  <c r="J223" i="25"/>
  <c r="J266" i="25"/>
  <c r="J297" i="25"/>
  <c r="J326" i="25"/>
  <c r="J354" i="25"/>
  <c r="J383" i="25"/>
  <c r="J411" i="25"/>
  <c r="J439" i="25"/>
  <c r="J469" i="25"/>
  <c r="J497" i="25"/>
  <c r="J526" i="25"/>
  <c r="J544" i="25"/>
  <c r="J568" i="25"/>
  <c r="J592" i="25"/>
  <c r="J610" i="25"/>
  <c r="J632" i="25"/>
  <c r="J648" i="25"/>
  <c r="J664" i="25"/>
  <c r="J684" i="25"/>
  <c r="J700" i="25"/>
  <c r="J717" i="25"/>
  <c r="J736" i="25"/>
  <c r="J753" i="25"/>
  <c r="J769" i="25"/>
  <c r="J790" i="25"/>
  <c r="J806" i="25"/>
  <c r="J823" i="25"/>
  <c r="J842" i="25"/>
  <c r="J859" i="25"/>
  <c r="J875" i="25"/>
  <c r="J895" i="25"/>
  <c r="J911" i="25"/>
  <c r="J926" i="25"/>
  <c r="J943" i="25"/>
  <c r="J957" i="25"/>
  <c r="J971" i="25"/>
  <c r="J985" i="25"/>
  <c r="J1000" i="25"/>
  <c r="J1015" i="25"/>
  <c r="J1029" i="25"/>
  <c r="J1043" i="25"/>
  <c r="J1057" i="25"/>
  <c r="J1072" i="25"/>
  <c r="J1087" i="25"/>
  <c r="J1101" i="25"/>
  <c r="J1115" i="25"/>
  <c r="J1129" i="25"/>
  <c r="J1144" i="25"/>
  <c r="J1159" i="25"/>
  <c r="J1173" i="25"/>
  <c r="J1187" i="25"/>
  <c r="J1201" i="25"/>
  <c r="J1216" i="25"/>
  <c r="J1231" i="25"/>
  <c r="J1245" i="25"/>
  <c r="J37" i="25"/>
  <c r="J79" i="25"/>
  <c r="J112" i="25"/>
  <c r="J157" i="25"/>
  <c r="J190" i="25"/>
  <c r="J226" i="25"/>
  <c r="J267" i="25"/>
  <c r="J299" i="25"/>
  <c r="J327" i="25"/>
  <c r="J355" i="25"/>
  <c r="J384" i="25"/>
  <c r="J412" i="25"/>
  <c r="J441" i="25"/>
  <c r="J470" i="25"/>
  <c r="J498" i="25"/>
  <c r="J527" i="25"/>
  <c r="J547" i="25"/>
  <c r="J570" i="25"/>
  <c r="J594" i="25"/>
  <c r="J612" i="25"/>
  <c r="J633" i="25"/>
  <c r="J649" i="25"/>
  <c r="J667" i="25"/>
  <c r="J685" i="25"/>
  <c r="J702" i="25"/>
  <c r="J719" i="25"/>
  <c r="J738" i="25"/>
  <c r="J754" i="25"/>
  <c r="J771" i="25"/>
  <c r="J791" i="25"/>
  <c r="J807" i="25"/>
  <c r="J825" i="25"/>
  <c r="J843" i="25"/>
  <c r="J860" i="25"/>
  <c r="J877" i="25"/>
  <c r="J896" i="25"/>
  <c r="J912" i="25"/>
  <c r="J928" i="25"/>
  <c r="J944" i="25"/>
  <c r="J958" i="25"/>
  <c r="J972" i="25"/>
  <c r="J986" i="25"/>
  <c r="J1002" i="25"/>
  <c r="J1016" i="25"/>
  <c r="J1030" i="25"/>
  <c r="J1044" i="25"/>
  <c r="J1058" i="25"/>
  <c r="J1074" i="25"/>
  <c r="J1088" i="25"/>
  <c r="J1102" i="25"/>
  <c r="J1116" i="25"/>
  <c r="J1130" i="25"/>
  <c r="J1146" i="25"/>
  <c r="J1160" i="25"/>
  <c r="J1174" i="25"/>
  <c r="J1188" i="25"/>
  <c r="J1202" i="25"/>
  <c r="J1218" i="25"/>
  <c r="J1232" i="25"/>
  <c r="J1246" i="25"/>
  <c r="J46" i="25"/>
  <c r="J81" i="25"/>
  <c r="J115" i="25"/>
  <c r="J158" i="25"/>
  <c r="J191" i="25"/>
  <c r="J235" i="25"/>
  <c r="J268" i="25"/>
  <c r="J300" i="25"/>
  <c r="J328" i="25"/>
  <c r="J357" i="25"/>
  <c r="J385" i="25"/>
  <c r="J413" i="25"/>
  <c r="J443" i="25"/>
  <c r="J471" i="25"/>
  <c r="J499" i="25"/>
  <c r="J528" i="25"/>
  <c r="J552" i="25"/>
  <c r="J571" i="25"/>
  <c r="J595" i="25"/>
  <c r="J614" i="25"/>
  <c r="J634" i="25"/>
  <c r="J650" i="25"/>
  <c r="J670" i="25"/>
  <c r="J686" i="25"/>
  <c r="J703" i="25"/>
  <c r="J722" i="25"/>
  <c r="J739" i="25"/>
  <c r="J755" i="25"/>
  <c r="J775" i="25"/>
  <c r="J792" i="25"/>
  <c r="J808" i="25"/>
  <c r="J828" i="25"/>
  <c r="J844" i="25"/>
  <c r="J861" i="25"/>
  <c r="J880" i="25"/>
  <c r="J897" i="25"/>
  <c r="J913" i="25"/>
  <c r="J931" i="25"/>
  <c r="J945" i="25"/>
  <c r="J959" i="25"/>
  <c r="J973" i="25"/>
  <c r="J988" i="25"/>
  <c r="J1003" i="25"/>
  <c r="J1017" i="25"/>
  <c r="J1031" i="25"/>
  <c r="J1045" i="25"/>
  <c r="J1060" i="25"/>
  <c r="J1075" i="25"/>
  <c r="J1089" i="25"/>
  <c r="J1103" i="25"/>
  <c r="J1117" i="25"/>
  <c r="J1132" i="25"/>
  <c r="J1147" i="25"/>
  <c r="J1161" i="25"/>
  <c r="J1175" i="25"/>
  <c r="J1189" i="25"/>
  <c r="J1204" i="25"/>
  <c r="J1219" i="25"/>
  <c r="J1233" i="25"/>
  <c r="J1247" i="25"/>
  <c r="E86" i="10"/>
  <c r="E95" i="10"/>
  <c r="E114" i="10" s="1"/>
  <c r="F86" i="10"/>
  <c r="F13" i="17"/>
  <c r="BQ80" i="5"/>
  <c r="BQ81" i="5"/>
  <c r="E107" i="10"/>
  <c r="E112" i="10"/>
  <c r="F73" i="3"/>
  <c r="Q23" i="6"/>
  <c r="AV233" i="5"/>
  <c r="E13" i="17"/>
  <c r="E14" i="17"/>
  <c r="H95" i="10"/>
  <c r="I95" i="10" s="1"/>
  <c r="J95" i="10" s="1"/>
  <c r="K95" i="10" s="1"/>
  <c r="L95" i="10" s="1"/>
  <c r="G96" i="10"/>
  <c r="BM80" i="5"/>
  <c r="BM81" i="5"/>
  <c r="BR80" i="5"/>
  <c r="BR81" i="5"/>
  <c r="BV81" i="5"/>
  <c r="Q126" i="6"/>
  <c r="S115" i="5"/>
  <c r="S222" i="5" s="1"/>
  <c r="R222" i="5"/>
  <c r="H2" i="25"/>
  <c r="H13" i="17"/>
  <c r="H14" i="17"/>
  <c r="BL80" i="5"/>
  <c r="BL81" i="5"/>
  <c r="BP81" i="5"/>
  <c r="BS80" i="5"/>
  <c r="BS81" i="5"/>
  <c r="BW81" i="5"/>
  <c r="H76" i="3"/>
  <c r="U11" i="6"/>
  <c r="S54" i="6"/>
  <c r="S76" i="6" s="1"/>
  <c r="X11" i="6"/>
  <c r="S26" i="6"/>
  <c r="S9" i="7" s="1"/>
  <c r="H3" i="25"/>
  <c r="BN80" i="5"/>
  <c r="BN81" i="5"/>
  <c r="S8" i="6"/>
  <c r="S121" i="6"/>
  <c r="O9" i="10"/>
  <c r="M10" i="10"/>
  <c r="I2" i="25"/>
  <c r="G13" i="17"/>
  <c r="G14" i="17"/>
  <c r="AA238" i="5"/>
  <c r="AB102" i="5"/>
  <c r="BO80" i="5"/>
  <c r="BO81" i="5"/>
  <c r="R121" i="6"/>
  <c r="R8" i="6"/>
  <c r="L10" i="10"/>
  <c r="M159" i="10" l="1"/>
  <c r="T49" i="20"/>
  <c r="S88" i="6"/>
  <c r="S111" i="6" s="1"/>
  <c r="L145" i="10"/>
  <c r="L156" i="10"/>
  <c r="M161" i="10"/>
  <c r="M146" i="10" s="1"/>
  <c r="O146" i="10" s="1"/>
  <c r="D74" i="3"/>
  <c r="O24" i="6"/>
  <c r="O7" i="7" s="1"/>
  <c r="P9" i="6"/>
  <c r="P136" i="6"/>
  <c r="P137" i="6" s="1"/>
  <c r="J148" i="10"/>
  <c r="N86" i="6"/>
  <c r="K157" i="10"/>
  <c r="I43" i="10"/>
  <c r="H60" i="10"/>
  <c r="H41" i="10"/>
  <c r="H47" i="10" s="1"/>
  <c r="H51" i="10" s="1"/>
  <c r="Q116" i="5"/>
  <c r="E39" i="24"/>
  <c r="R1212" i="25"/>
  <c r="R1238" i="25"/>
  <c r="R1179" i="25"/>
  <c r="R1205" i="25"/>
  <c r="R1168" i="25"/>
  <c r="R1156" i="25"/>
  <c r="R1144" i="25"/>
  <c r="R1132" i="25"/>
  <c r="R1120" i="25"/>
  <c r="R1108" i="25"/>
  <c r="R1200" i="25"/>
  <c r="R1226" i="25"/>
  <c r="R1252" i="25"/>
  <c r="R1193" i="25"/>
  <c r="R1167" i="25"/>
  <c r="R1155" i="25"/>
  <c r="R1143" i="25"/>
  <c r="R1131" i="25"/>
  <c r="R1119" i="25"/>
  <c r="R1107" i="25"/>
  <c r="R1198" i="25"/>
  <c r="R1245" i="25"/>
  <c r="R1088" i="25"/>
  <c r="R1031" i="25"/>
  <c r="R1019" i="25"/>
  <c r="R1007" i="25"/>
  <c r="R995" i="25"/>
  <c r="R1176" i="25"/>
  <c r="R1202" i="25"/>
  <c r="R1228" i="25"/>
  <c r="R1254" i="25"/>
  <c r="R1165" i="25"/>
  <c r="R1153" i="25"/>
  <c r="R1141" i="25"/>
  <c r="R1129" i="25"/>
  <c r="R1117" i="25"/>
  <c r="R1231" i="25"/>
  <c r="R1174" i="25"/>
  <c r="R1197" i="25"/>
  <c r="R1076" i="25"/>
  <c r="R1029" i="25"/>
  <c r="R1017" i="25"/>
  <c r="R1005" i="25"/>
  <c r="R993" i="25"/>
  <c r="R981" i="25"/>
  <c r="R969" i="25"/>
  <c r="R1050" i="25"/>
  <c r="R1060" i="25"/>
  <c r="R1067" i="25"/>
  <c r="R1249" i="25"/>
  <c r="R1190" i="25"/>
  <c r="R1216" i="25"/>
  <c r="R1242" i="25"/>
  <c r="R1164" i="25"/>
  <c r="R1152" i="25"/>
  <c r="R1140" i="25"/>
  <c r="R1128" i="25"/>
  <c r="R1116" i="25"/>
  <c r="R1219" i="25"/>
  <c r="R1220" i="25"/>
  <c r="R1175" i="25"/>
  <c r="R1070" i="25"/>
  <c r="R1028" i="25"/>
  <c r="R1016" i="25"/>
  <c r="R1004" i="25"/>
  <c r="R992" i="25"/>
  <c r="R980" i="25"/>
  <c r="R1237" i="25"/>
  <c r="R1178" i="25"/>
  <c r="R1204" i="25"/>
  <c r="R1230" i="25"/>
  <c r="R1163" i="25"/>
  <c r="R1151" i="25"/>
  <c r="R1139" i="25"/>
  <c r="R1127" i="25"/>
  <c r="R1115" i="25"/>
  <c r="R1207" i="25"/>
  <c r="R1172" i="25"/>
  <c r="R1235" i="25"/>
  <c r="R1064" i="25"/>
  <c r="R1027" i="25"/>
  <c r="R1225" i="25"/>
  <c r="R1251" i="25"/>
  <c r="R1192" i="25"/>
  <c r="R1218" i="25"/>
  <c r="R1162" i="25"/>
  <c r="R1150" i="25"/>
  <c r="R1138" i="25"/>
  <c r="R1126" i="25"/>
  <c r="R1213" i="25"/>
  <c r="R1239" i="25"/>
  <c r="R1180" i="25"/>
  <c r="R1206" i="25"/>
  <c r="R1161" i="25"/>
  <c r="R1149" i="25"/>
  <c r="R1137" i="25"/>
  <c r="R1125" i="25"/>
  <c r="R1113" i="25"/>
  <c r="R1183" i="25"/>
  <c r="R1221" i="25"/>
  <c r="R1187" i="25"/>
  <c r="R1048" i="25"/>
  <c r="R1025" i="25"/>
  <c r="R1013" i="25"/>
  <c r="R1001" i="25"/>
  <c r="R989" i="25"/>
  <c r="R977" i="25"/>
  <c r="R1101" i="25"/>
  <c r="R1039" i="25"/>
  <c r="R1041" i="25"/>
  <c r="R1055" i="25"/>
  <c r="R1046" i="25"/>
  <c r="R949" i="25"/>
  <c r="R1056" i="25"/>
  <c r="R1248" i="25"/>
  <c r="R1189" i="25"/>
  <c r="R1215" i="25"/>
  <c r="R1241" i="25"/>
  <c r="R1182" i="25"/>
  <c r="R1159" i="25"/>
  <c r="R1147" i="25"/>
  <c r="R1135" i="25"/>
  <c r="R1123" i="25"/>
  <c r="R1111" i="25"/>
  <c r="R1246" i="25"/>
  <c r="R1173" i="25"/>
  <c r="R1244" i="25"/>
  <c r="R1035" i="25"/>
  <c r="R1023" i="25"/>
  <c r="R1011" i="25"/>
  <c r="R999" i="25"/>
  <c r="R987" i="25"/>
  <c r="R975" i="25"/>
  <c r="R1089" i="25"/>
  <c r="R1096" i="25"/>
  <c r="R1103" i="25"/>
  <c r="R1236" i="25"/>
  <c r="R1177" i="25"/>
  <c r="R1203" i="25"/>
  <c r="R1229" i="25"/>
  <c r="R1170" i="25"/>
  <c r="R1158" i="25"/>
  <c r="R1146" i="25"/>
  <c r="R1134" i="25"/>
  <c r="R1122" i="25"/>
  <c r="R1110" i="25"/>
  <c r="R1234" i="25"/>
  <c r="R1233" i="25"/>
  <c r="R1224" i="25"/>
  <c r="R1250" i="25"/>
  <c r="R1191" i="25"/>
  <c r="R1217" i="25"/>
  <c r="R1169" i="25"/>
  <c r="R1157" i="25"/>
  <c r="R1145" i="25"/>
  <c r="R1133" i="25"/>
  <c r="R1121" i="25"/>
  <c r="R1109" i="25"/>
  <c r="R1222" i="25"/>
  <c r="R1211" i="25"/>
  <c r="R1100" i="25"/>
  <c r="R1033" i="25"/>
  <c r="R1021" i="25"/>
  <c r="R1009" i="25"/>
  <c r="R997" i="25"/>
  <c r="R985" i="25"/>
  <c r="R973" i="25"/>
  <c r="R1077" i="25"/>
  <c r="R1084" i="25"/>
  <c r="R1240" i="25"/>
  <c r="R1118" i="25"/>
  <c r="R1209" i="25"/>
  <c r="R1022" i="25"/>
  <c r="R998" i="25"/>
  <c r="R976" i="25"/>
  <c r="R1059" i="25"/>
  <c r="R1208" i="25"/>
  <c r="R1099" i="25"/>
  <c r="R1045" i="25"/>
  <c r="R913" i="25"/>
  <c r="R932" i="25"/>
  <c r="R939" i="25"/>
  <c r="R940" i="25"/>
  <c r="R886" i="25"/>
  <c r="R838" i="25"/>
  <c r="R790" i="25"/>
  <c r="R941" i="25"/>
  <c r="R879" i="25"/>
  <c r="R831" i="25"/>
  <c r="R783" i="25"/>
  <c r="R732" i="25"/>
  <c r="R720" i="25"/>
  <c r="R708" i="25"/>
  <c r="R696" i="25"/>
  <c r="R684" i="25"/>
  <c r="R672" i="25"/>
  <c r="R660" i="25"/>
  <c r="R917" i="25"/>
  <c r="R852" i="25"/>
  <c r="R804" i="25"/>
  <c r="R755" i="25"/>
  <c r="R877" i="25"/>
  <c r="R829" i="25"/>
  <c r="R781" i="25"/>
  <c r="R740" i="25"/>
  <c r="R639" i="25"/>
  <c r="R627" i="25"/>
  <c r="R615" i="25"/>
  <c r="R603" i="25"/>
  <c r="R591" i="25"/>
  <c r="R579" i="25"/>
  <c r="R567" i="25"/>
  <c r="R555" i="25"/>
  <c r="R543" i="25"/>
  <c r="R531" i="25"/>
  <c r="R519" i="25"/>
  <c r="R504" i="25"/>
  <c r="R492" i="25"/>
  <c r="R486" i="25"/>
  <c r="R474" i="25"/>
  <c r="R462" i="25"/>
  <c r="R450" i="25"/>
  <c r="R438" i="25"/>
  <c r="R426" i="25"/>
  <c r="R414" i="25"/>
  <c r="R389" i="25"/>
  <c r="R395" i="25"/>
  <c r="R281" i="25"/>
  <c r="R138" i="25"/>
  <c r="R103" i="25"/>
  <c r="R68" i="25"/>
  <c r="R34" i="25"/>
  <c r="R306" i="25"/>
  <c r="R217" i="25"/>
  <c r="R205" i="25"/>
  <c r="R193" i="25"/>
  <c r="R181" i="25"/>
  <c r="R169" i="25"/>
  <c r="R155" i="25"/>
  <c r="R124" i="25"/>
  <c r="R86" i="25"/>
  <c r="R46" i="25"/>
  <c r="R331" i="25"/>
  <c r="R387" i="25"/>
  <c r="R248" i="25"/>
  <c r="R273" i="25"/>
  <c r="R298" i="25"/>
  <c r="R323" i="25"/>
  <c r="R372" i="25"/>
  <c r="R228" i="25"/>
  <c r="R241" i="25"/>
  <c r="R256" i="25"/>
  <c r="R131" i="25"/>
  <c r="R96" i="25"/>
  <c r="R61" i="25"/>
  <c r="R27" i="25"/>
  <c r="R12" i="25"/>
  <c r="R230" i="25"/>
  <c r="R315" i="25"/>
  <c r="R1253" i="25"/>
  <c r="R1114" i="25"/>
  <c r="R1047" i="25"/>
  <c r="R1020" i="25"/>
  <c r="R996" i="25"/>
  <c r="R974" i="25"/>
  <c r="R1038" i="25"/>
  <c r="R1097" i="25"/>
  <c r="R1093" i="25"/>
  <c r="R1098" i="25"/>
  <c r="R907" i="25"/>
  <c r="R926" i="25"/>
  <c r="R933" i="25"/>
  <c r="R934" i="25"/>
  <c r="R882" i="25"/>
  <c r="R834" i="25"/>
  <c r="R786" i="25"/>
  <c r="R923" i="25"/>
  <c r="R875" i="25"/>
  <c r="R827" i="25"/>
  <c r="R779" i="25"/>
  <c r="R731" i="25"/>
  <c r="R719" i="25"/>
  <c r="R707" i="25"/>
  <c r="R695" i="25"/>
  <c r="R683" i="25"/>
  <c r="R671" i="25"/>
  <c r="R659" i="25"/>
  <c r="R747" i="25"/>
  <c r="R848" i="25"/>
  <c r="R800" i="25"/>
  <c r="R748" i="25"/>
  <c r="R873" i="25"/>
  <c r="R825" i="25"/>
  <c r="R777" i="25"/>
  <c r="R650" i="25"/>
  <c r="R638" i="25"/>
  <c r="R626" i="25"/>
  <c r="R614" i="25"/>
  <c r="R602" i="25"/>
  <c r="R590" i="25"/>
  <c r="R578" i="25"/>
  <c r="R566" i="25"/>
  <c r="R554" i="25"/>
  <c r="R542" i="25"/>
  <c r="R530" i="25"/>
  <c r="R518" i="25"/>
  <c r="R503" i="25"/>
  <c r="R491" i="25"/>
  <c r="R485" i="25"/>
  <c r="R473" i="25"/>
  <c r="R461" i="25"/>
  <c r="R449" i="25"/>
  <c r="R437" i="25"/>
  <c r="R425" i="25"/>
  <c r="R413" i="25"/>
  <c r="R402" i="25"/>
  <c r="R398" i="25"/>
  <c r="R269" i="25"/>
  <c r="R135" i="25"/>
  <c r="R100" i="25"/>
  <c r="R66" i="25"/>
  <c r="R31" i="25"/>
  <c r="R294" i="25"/>
  <c r="R216" i="25"/>
  <c r="R204" i="25"/>
  <c r="R192" i="25"/>
  <c r="R180" i="25"/>
  <c r="R167" i="25"/>
  <c r="R154" i="25"/>
  <c r="R121" i="25"/>
  <c r="R83" i="25"/>
  <c r="R43" i="25"/>
  <c r="R319" i="25"/>
  <c r="R380" i="25"/>
  <c r="R236" i="25"/>
  <c r="R261" i="25"/>
  <c r="R286" i="25"/>
  <c r="R311" i="25"/>
  <c r="R360" i="25"/>
  <c r="R373" i="25"/>
  <c r="R229" i="25"/>
  <c r="R244" i="25"/>
  <c r="R128" i="25"/>
  <c r="R93" i="25"/>
  <c r="R59" i="25"/>
  <c r="R24" i="25"/>
  <c r="R11" i="25"/>
  <c r="R397" i="25"/>
  <c r="R291" i="25"/>
  <c r="R1194" i="25"/>
  <c r="R1243" i="25"/>
  <c r="R1094" i="25"/>
  <c r="R1015" i="25"/>
  <c r="R991" i="25"/>
  <c r="R971" i="25"/>
  <c r="R1051" i="25"/>
  <c r="R1085" i="25"/>
  <c r="R1081" i="25"/>
  <c r="R1080" i="25"/>
  <c r="R888" i="25"/>
  <c r="R914" i="25"/>
  <c r="R921" i="25"/>
  <c r="R922" i="25"/>
  <c r="R874" i="25"/>
  <c r="R826" i="25"/>
  <c r="R778" i="25"/>
  <c r="R743" i="25"/>
  <c r="R867" i="25"/>
  <c r="R819" i="25"/>
  <c r="R770" i="25"/>
  <c r="R729" i="25"/>
  <c r="R717" i="25"/>
  <c r="R705" i="25"/>
  <c r="R693" i="25"/>
  <c r="R681" i="25"/>
  <c r="R669" i="25"/>
  <c r="R657" i="25"/>
  <c r="R1092" i="25"/>
  <c r="R840" i="25"/>
  <c r="R792" i="25"/>
  <c r="R896" i="25"/>
  <c r="R865" i="25"/>
  <c r="R817" i="25"/>
  <c r="R768" i="25"/>
  <c r="R648" i="25"/>
  <c r="R636" i="25"/>
  <c r="R624" i="25"/>
  <c r="R612" i="25"/>
  <c r="R600" i="25"/>
  <c r="R588" i="25"/>
  <c r="R576" i="25"/>
  <c r="R564" i="25"/>
  <c r="R552" i="25"/>
  <c r="R540" i="25"/>
  <c r="R528" i="25"/>
  <c r="R516" i="25"/>
  <c r="R501" i="25"/>
  <c r="R1086" i="25"/>
  <c r="R483" i="25"/>
  <c r="R471" i="25"/>
  <c r="R459" i="25"/>
  <c r="R447" i="25"/>
  <c r="R435" i="25"/>
  <c r="R423" i="25"/>
  <c r="R488" i="25"/>
  <c r="R410" i="25"/>
  <c r="R412" i="25"/>
  <c r="R245" i="25"/>
  <c r="R129" i="25"/>
  <c r="R94" i="25"/>
  <c r="R60" i="25"/>
  <c r="R25" i="25"/>
  <c r="R270" i="25"/>
  <c r="R214" i="25"/>
  <c r="R202" i="25"/>
  <c r="R190" i="25"/>
  <c r="R178" i="25"/>
  <c r="R164" i="25"/>
  <c r="R150" i="25"/>
  <c r="R115" i="25"/>
  <c r="R77" i="25"/>
  <c r="R36" i="25"/>
  <c r="R295" i="25"/>
  <c r="R356" i="25"/>
  <c r="R381" i="25"/>
  <c r="R237" i="25"/>
  <c r="R262" i="25"/>
  <c r="R287" i="25"/>
  <c r="R336" i="25"/>
  <c r="R349" i="25"/>
  <c r="R364" i="25"/>
  <c r="R168" i="25"/>
  <c r="R122" i="25"/>
  <c r="R87" i="25"/>
  <c r="R53" i="25"/>
  <c r="R19" i="25"/>
  <c r="R8" i="25"/>
  <c r="R243" i="25"/>
  <c r="R338" i="25"/>
  <c r="R1166" i="25"/>
  <c r="R1195" i="25"/>
  <c r="R1082" i="25"/>
  <c r="R1014" i="25"/>
  <c r="R990" i="25"/>
  <c r="R970" i="25"/>
  <c r="R1102" i="25"/>
  <c r="R1079" i="25"/>
  <c r="R1075" i="25"/>
  <c r="R967" i="25"/>
  <c r="R901" i="25"/>
  <c r="R908" i="25"/>
  <c r="R915" i="25"/>
  <c r="R916" i="25"/>
  <c r="R870" i="25"/>
  <c r="R822" i="25"/>
  <c r="R773" i="25"/>
  <c r="R744" i="25"/>
  <c r="R863" i="25"/>
  <c r="R815" i="25"/>
  <c r="R766" i="25"/>
  <c r="R728" i="25"/>
  <c r="R716" i="25"/>
  <c r="R704" i="25"/>
  <c r="R692" i="25"/>
  <c r="R680" i="25"/>
  <c r="R668" i="25"/>
  <c r="R656" i="25"/>
  <c r="R884" i="25"/>
  <c r="R836" i="25"/>
  <c r="R788" i="25"/>
  <c r="R750" i="25"/>
  <c r="R861" i="25"/>
  <c r="R813" i="25"/>
  <c r="R764" i="25"/>
  <c r="R647" i="25"/>
  <c r="R635" i="25"/>
  <c r="R623" i="25"/>
  <c r="R611" i="25"/>
  <c r="R599" i="25"/>
  <c r="R587" i="25"/>
  <c r="R575" i="25"/>
  <c r="R563" i="25"/>
  <c r="R551" i="25"/>
  <c r="R539" i="25"/>
  <c r="R527" i="25"/>
  <c r="R515" i="25"/>
  <c r="R500" i="25"/>
  <c r="R966" i="25"/>
  <c r="R482" i="25"/>
  <c r="R470" i="25"/>
  <c r="R458" i="25"/>
  <c r="R446" i="25"/>
  <c r="R434" i="25"/>
  <c r="R422" i="25"/>
  <c r="R749" i="25"/>
  <c r="R403" i="25"/>
  <c r="R377" i="25"/>
  <c r="R233" i="25"/>
  <c r="R126" i="25"/>
  <c r="R91" i="25"/>
  <c r="R57" i="25"/>
  <c r="R23" i="25"/>
  <c r="R258" i="25"/>
  <c r="R213" i="25"/>
  <c r="R201" i="25"/>
  <c r="R189" i="25"/>
  <c r="R177" i="25"/>
  <c r="R163" i="25"/>
  <c r="R148" i="25"/>
  <c r="R112" i="25"/>
  <c r="R73" i="25"/>
  <c r="R32" i="25"/>
  <c r="R283" i="25"/>
  <c r="R344" i="25"/>
  <c r="R369" i="25"/>
  <c r="R225" i="25"/>
  <c r="R250" i="25"/>
  <c r="R275" i="25"/>
  <c r="R324" i="25"/>
  <c r="R337" i="25"/>
  <c r="R352" i="25"/>
  <c r="R153" i="25"/>
  <c r="R119" i="25"/>
  <c r="R84" i="25"/>
  <c r="R50" i="25"/>
  <c r="R10" i="25"/>
  <c r="R7" i="25"/>
  <c r="R375" i="25"/>
  <c r="R314" i="25"/>
  <c r="R1160" i="25"/>
  <c r="R1171" i="25"/>
  <c r="R1058" i="25"/>
  <c r="R1012" i="25"/>
  <c r="R988" i="25"/>
  <c r="R1184" i="25"/>
  <c r="R1090" i="25"/>
  <c r="R1073" i="25"/>
  <c r="R1069" i="25"/>
  <c r="R961" i="25"/>
  <c r="R889" i="25"/>
  <c r="R902" i="25"/>
  <c r="R909" i="25"/>
  <c r="R910" i="25"/>
  <c r="R866" i="25"/>
  <c r="R818" i="25"/>
  <c r="R769" i="25"/>
  <c r="R960" i="25"/>
  <c r="R859" i="25"/>
  <c r="R811" i="25"/>
  <c r="R762" i="25"/>
  <c r="R727" i="25"/>
  <c r="R715" i="25"/>
  <c r="R703" i="25"/>
  <c r="R691" i="25"/>
  <c r="R679" i="25"/>
  <c r="R667" i="25"/>
  <c r="R655" i="25"/>
  <c r="R880" i="25"/>
  <c r="R832" i="25"/>
  <c r="R784" i="25"/>
  <c r="R738" i="25"/>
  <c r="R857" i="25"/>
  <c r="R809" i="25"/>
  <c r="R760" i="25"/>
  <c r="R646" i="25"/>
  <c r="R634" i="25"/>
  <c r="R622" i="25"/>
  <c r="R610" i="25"/>
  <c r="R598" i="25"/>
  <c r="R586" i="25"/>
  <c r="R574" i="25"/>
  <c r="R562" i="25"/>
  <c r="R550" i="25"/>
  <c r="R538" i="25"/>
  <c r="R526" i="25"/>
  <c r="R514" i="25"/>
  <c r="R499" i="25"/>
  <c r="R752" i="25"/>
  <c r="R481" i="25"/>
  <c r="R469" i="25"/>
  <c r="R457" i="25"/>
  <c r="R445" i="25"/>
  <c r="R433" i="25"/>
  <c r="R421" i="25"/>
  <c r="R513" i="25"/>
  <c r="R391" i="25"/>
  <c r="R365" i="25"/>
  <c r="U28" i="24"/>
  <c r="U30" i="24" s="1"/>
  <c r="U31" i="24" s="1"/>
  <c r="R123" i="25"/>
  <c r="R88" i="25"/>
  <c r="R54" i="25"/>
  <c r="R20" i="25"/>
  <c r="R246" i="25"/>
  <c r="R212" i="25"/>
  <c r="R200" i="25"/>
  <c r="R188" i="25"/>
  <c r="R176" i="25"/>
  <c r="R162" i="25"/>
  <c r="R145" i="25"/>
  <c r="R109" i="25"/>
  <c r="R69" i="25"/>
  <c r="R29" i="25"/>
  <c r="R271" i="25"/>
  <c r="R332" i="25"/>
  <c r="R357" i="25"/>
  <c r="R382" i="25"/>
  <c r="R238" i="25"/>
  <c r="R263" i="25"/>
  <c r="R312" i="25"/>
  <c r="R325" i="25"/>
  <c r="R340" i="25"/>
  <c r="R149" i="25"/>
  <c r="R116" i="25"/>
  <c r="R81" i="25"/>
  <c r="R47" i="25"/>
  <c r="R6" i="25"/>
  <c r="R5" i="25"/>
  <c r="R351" i="25"/>
  <c r="R290" i="25"/>
  <c r="R1154" i="25"/>
  <c r="R1210" i="25"/>
  <c r="R1036" i="25"/>
  <c r="R1010" i="25"/>
  <c r="R986" i="25"/>
  <c r="R1049" i="25"/>
  <c r="R1078" i="25"/>
  <c r="R1061" i="25"/>
  <c r="R1063" i="25"/>
  <c r="R955" i="25"/>
  <c r="R968" i="25"/>
  <c r="R890" i="25"/>
  <c r="R903" i="25"/>
  <c r="R904" i="25"/>
  <c r="R862" i="25"/>
  <c r="R814" i="25"/>
  <c r="R765" i="25"/>
  <c r="R942" i="25"/>
  <c r="R855" i="25"/>
  <c r="R807" i="25"/>
  <c r="R758" i="25"/>
  <c r="R726" i="25"/>
  <c r="R714" i="25"/>
  <c r="R702" i="25"/>
  <c r="R690" i="25"/>
  <c r="R678" i="25"/>
  <c r="R666" i="25"/>
  <c r="R654" i="25"/>
  <c r="R876" i="25"/>
  <c r="R828" i="25"/>
  <c r="R780" i="25"/>
  <c r="R965" i="25"/>
  <c r="R853" i="25"/>
  <c r="R805" i="25"/>
  <c r="R756" i="25"/>
  <c r="R645" i="25"/>
  <c r="R633" i="25"/>
  <c r="R621" i="25"/>
  <c r="R609" i="25"/>
  <c r="R597" i="25"/>
  <c r="R585" i="25"/>
  <c r="R573" i="25"/>
  <c r="R561" i="25"/>
  <c r="R549" i="25"/>
  <c r="R537" i="25"/>
  <c r="R525" i="25"/>
  <c r="R512" i="25"/>
  <c r="R498" i="25"/>
  <c r="R741" i="25"/>
  <c r="R480" i="25"/>
  <c r="R468" i="25"/>
  <c r="R456" i="25"/>
  <c r="R444" i="25"/>
  <c r="R432" i="25"/>
  <c r="R420" i="25"/>
  <c r="R489" i="25"/>
  <c r="R404" i="25"/>
  <c r="R353" i="25"/>
  <c r="R120" i="25"/>
  <c r="R85" i="25"/>
  <c r="R51" i="25"/>
  <c r="R378" i="25"/>
  <c r="R234" i="25"/>
  <c r="R211" i="25"/>
  <c r="R199" i="25"/>
  <c r="R187" i="25"/>
  <c r="R175" i="25"/>
  <c r="R161" i="25"/>
  <c r="R143" i="25"/>
  <c r="R106" i="25"/>
  <c r="R65" i="25"/>
  <c r="R26" i="25"/>
  <c r="R259" i="25"/>
  <c r="R320" i="25"/>
  <c r="R345" i="25"/>
  <c r="R370" i="25"/>
  <c r="R226" i="25"/>
  <c r="R251" i="25"/>
  <c r="R300" i="25"/>
  <c r="R313" i="25"/>
  <c r="R328" i="25"/>
  <c r="R147" i="25"/>
  <c r="R113" i="25"/>
  <c r="R78" i="25"/>
  <c r="R44" i="25"/>
  <c r="R18" i="25"/>
  <c r="R374" i="25"/>
  <c r="R327" i="25"/>
  <c r="R266" i="25"/>
  <c r="R1255" i="25"/>
  <c r="R1148" i="25"/>
  <c r="R1186" i="25"/>
  <c r="R1034" i="25"/>
  <c r="R1008" i="25"/>
  <c r="R984" i="25"/>
  <c r="R1037" i="25"/>
  <c r="R1072" i="25"/>
  <c r="R1054" i="25"/>
  <c r="R1057" i="25"/>
  <c r="R943" i="25"/>
  <c r="R962" i="25"/>
  <c r="R891" i="25"/>
  <c r="R892" i="25"/>
  <c r="R894" i="25"/>
  <c r="R858" i="25"/>
  <c r="R810" i="25"/>
  <c r="R761" i="25"/>
  <c r="R924" i="25"/>
  <c r="R851" i="25"/>
  <c r="R803" i="25"/>
  <c r="R754" i="25"/>
  <c r="R725" i="25"/>
  <c r="R713" i="25"/>
  <c r="R701" i="25"/>
  <c r="R689" i="25"/>
  <c r="R677" i="25"/>
  <c r="R665" i="25"/>
  <c r="R653" i="25"/>
  <c r="R872" i="25"/>
  <c r="R824" i="25"/>
  <c r="R775" i="25"/>
  <c r="R947" i="25"/>
  <c r="R849" i="25"/>
  <c r="R801" i="25"/>
  <c r="R751" i="25"/>
  <c r="R644" i="25"/>
  <c r="R632" i="25"/>
  <c r="R620" i="25"/>
  <c r="R608" i="25"/>
  <c r="R596" i="25"/>
  <c r="R584" i="25"/>
  <c r="R572" i="25"/>
  <c r="R560" i="25"/>
  <c r="R548" i="25"/>
  <c r="R536" i="25"/>
  <c r="R524" i="25"/>
  <c r="R509" i="25"/>
  <c r="R497" i="25"/>
  <c r="R954" i="25"/>
  <c r="R479" i="25"/>
  <c r="R467" i="25"/>
  <c r="R455" i="25"/>
  <c r="R443" i="25"/>
  <c r="R431" i="25"/>
  <c r="R419" i="25"/>
  <c r="R510" i="25"/>
  <c r="R392" i="25"/>
  <c r="R341" i="25"/>
  <c r="R117" i="25"/>
  <c r="R82" i="25"/>
  <c r="R48" i="25"/>
  <c r="R366" i="25"/>
  <c r="R222" i="25"/>
  <c r="R210" i="25"/>
  <c r="R198" i="25"/>
  <c r="R186" i="25"/>
  <c r="R174" i="25"/>
  <c r="R160" i="25"/>
  <c r="R140" i="25"/>
  <c r="R102" i="25"/>
  <c r="R62" i="25"/>
  <c r="R22" i="25"/>
  <c r="R247" i="25"/>
  <c r="R308" i="25"/>
  <c r="R333" i="25"/>
  <c r="R358" i="25"/>
  <c r="R383" i="25"/>
  <c r="R239" i="25"/>
  <c r="R288" i="25"/>
  <c r="R301" i="25"/>
  <c r="R316" i="25"/>
  <c r="R144" i="25"/>
  <c r="R110" i="25"/>
  <c r="R75" i="25"/>
  <c r="R41" i="25"/>
  <c r="R17" i="25"/>
  <c r="R350" i="25"/>
  <c r="R303" i="25"/>
  <c r="R242" i="25"/>
  <c r="R1188" i="25"/>
  <c r="R1142" i="25"/>
  <c r="R1247" i="25"/>
  <c r="R1032" i="25"/>
  <c r="R1006" i="25"/>
  <c r="R983" i="25"/>
  <c r="R1095" i="25"/>
  <c r="R1066" i="25"/>
  <c r="R1042" i="25"/>
  <c r="R1074" i="25"/>
  <c r="R937" i="25"/>
  <c r="R956" i="25"/>
  <c r="R963" i="25"/>
  <c r="R964" i="25"/>
  <c r="R895" i="25"/>
  <c r="R854" i="25"/>
  <c r="R806" i="25"/>
  <c r="R757" i="25"/>
  <c r="R906" i="25"/>
  <c r="R847" i="25"/>
  <c r="R799" i="25"/>
  <c r="R745" i="25"/>
  <c r="R724" i="25"/>
  <c r="R712" i="25"/>
  <c r="R700" i="25"/>
  <c r="R688" i="25"/>
  <c r="R676" i="25"/>
  <c r="R664" i="25"/>
  <c r="R652" i="25"/>
  <c r="R868" i="25"/>
  <c r="R820" i="25"/>
  <c r="R771" i="25"/>
  <c r="R929" i="25"/>
  <c r="R845" i="25"/>
  <c r="R797" i="25"/>
  <c r="R739" i="25"/>
  <c r="R643" i="25"/>
  <c r="R631" i="25"/>
  <c r="R619" i="25"/>
  <c r="R607" i="25"/>
  <c r="R595" i="25"/>
  <c r="R583" i="25"/>
  <c r="R571" i="25"/>
  <c r="R559" i="25"/>
  <c r="R547" i="25"/>
  <c r="R535" i="25"/>
  <c r="R523" i="25"/>
  <c r="R508" i="25"/>
  <c r="R496" i="25"/>
  <c r="R737" i="25"/>
  <c r="R478" i="25"/>
  <c r="R466" i="25"/>
  <c r="R454" i="25"/>
  <c r="R442" i="25"/>
  <c r="R430" i="25"/>
  <c r="R418" i="25"/>
  <c r="R400" i="25"/>
  <c r="R411" i="25"/>
  <c r="R329" i="25"/>
  <c r="R166" i="25"/>
  <c r="R114" i="25"/>
  <c r="R79" i="25"/>
  <c r="R45" i="25"/>
  <c r="R354" i="25"/>
  <c r="R221" i="25"/>
  <c r="R209" i="25"/>
  <c r="R197" i="25"/>
  <c r="R185" i="25"/>
  <c r="R173" i="25"/>
  <c r="R159" i="25"/>
  <c r="R137" i="25"/>
  <c r="R99" i="25"/>
  <c r="R58" i="25"/>
  <c r="R379" i="25"/>
  <c r="R235" i="25"/>
  <c r="R296" i="25"/>
  <c r="R321" i="25"/>
  <c r="R346" i="25"/>
  <c r="R371" i="25"/>
  <c r="R227" i="25"/>
  <c r="R276" i="25"/>
  <c r="R289" i="25"/>
  <c r="R304" i="25"/>
  <c r="R141" i="25"/>
  <c r="R107" i="25"/>
  <c r="R72" i="25"/>
  <c r="R38" i="25"/>
  <c r="R16" i="25"/>
  <c r="R326" i="25"/>
  <c r="R279" i="25"/>
  <c r="R408" i="25"/>
  <c r="R1201" i="25"/>
  <c r="R1136" i="25"/>
  <c r="R1199" i="25"/>
  <c r="R1030" i="25"/>
  <c r="R1003" i="25"/>
  <c r="R982" i="25"/>
  <c r="R1083" i="25"/>
  <c r="R1052" i="25"/>
  <c r="R1043" i="25"/>
  <c r="R1044" i="25"/>
  <c r="R931" i="25"/>
  <c r="R950" i="25"/>
  <c r="R957" i="25"/>
  <c r="R958" i="25"/>
  <c r="R897" i="25"/>
  <c r="R850" i="25"/>
  <c r="R802" i="25"/>
  <c r="R753" i="25"/>
  <c r="R899" i="25"/>
  <c r="R843" i="25"/>
  <c r="R795" i="25"/>
  <c r="R746" i="25"/>
  <c r="R723" i="25"/>
  <c r="R711" i="25"/>
  <c r="R699" i="25"/>
  <c r="R687" i="25"/>
  <c r="R675" i="25"/>
  <c r="R663" i="25"/>
  <c r="R651" i="25"/>
  <c r="R864" i="25"/>
  <c r="R816" i="25"/>
  <c r="R767" i="25"/>
  <c r="R911" i="25"/>
  <c r="R841" i="25"/>
  <c r="R793" i="25"/>
  <c r="R930" i="25"/>
  <c r="R642" i="25"/>
  <c r="R630" i="25"/>
  <c r="R618" i="25"/>
  <c r="R606" i="25"/>
  <c r="R594" i="25"/>
  <c r="R582" i="25"/>
  <c r="R570" i="25"/>
  <c r="R558" i="25"/>
  <c r="R546" i="25"/>
  <c r="R534" i="25"/>
  <c r="R522" i="25"/>
  <c r="R507" i="25"/>
  <c r="R495" i="25"/>
  <c r="R511" i="25"/>
  <c r="R477" i="25"/>
  <c r="R465" i="25"/>
  <c r="R453" i="25"/>
  <c r="R441" i="25"/>
  <c r="R429" i="25"/>
  <c r="R417" i="25"/>
  <c r="R388" i="25"/>
  <c r="R405" i="25"/>
  <c r="R317" i="25"/>
  <c r="R151" i="25"/>
  <c r="R111" i="25"/>
  <c r="R76" i="25"/>
  <c r="R42" i="25"/>
  <c r="R342" i="25"/>
  <c r="R220" i="25"/>
  <c r="R208" i="25"/>
  <c r="R196" i="25"/>
  <c r="R184" i="25"/>
  <c r="R172" i="25"/>
  <c r="R158" i="25"/>
  <c r="R134" i="25"/>
  <c r="R95" i="25"/>
  <c r="R55" i="25"/>
  <c r="R367" i="25"/>
  <c r="R223" i="25"/>
  <c r="R284" i="25"/>
  <c r="R309" i="25"/>
  <c r="R334" i="25"/>
  <c r="R359" i="25"/>
  <c r="R407" i="25"/>
  <c r="R264" i="25"/>
  <c r="R277" i="25"/>
  <c r="R292" i="25"/>
  <c r="R139" i="25"/>
  <c r="R104" i="25"/>
  <c r="R70" i="25"/>
  <c r="R35" i="25"/>
  <c r="R15" i="25"/>
  <c r="R302" i="25"/>
  <c r="R255" i="25"/>
  <c r="R339" i="25"/>
  <c r="R1214" i="25"/>
  <c r="R1130" i="25"/>
  <c r="R1185" i="25"/>
  <c r="R1026" i="25"/>
  <c r="R1002" i="25"/>
  <c r="R979" i="25"/>
  <c r="R1071" i="25"/>
  <c r="R1040" i="25"/>
  <c r="R1196" i="25"/>
  <c r="R1104" i="25"/>
  <c r="R925" i="25"/>
  <c r="R944" i="25"/>
  <c r="R951" i="25"/>
  <c r="R952" i="25"/>
  <c r="R898" i="25"/>
  <c r="R846" i="25"/>
  <c r="R798" i="25"/>
  <c r="R742" i="25"/>
  <c r="R887" i="25"/>
  <c r="R839" i="25"/>
  <c r="R791" i="25"/>
  <c r="R734" i="25"/>
  <c r="R722" i="25"/>
  <c r="R710" i="25"/>
  <c r="R698" i="25"/>
  <c r="R686" i="25"/>
  <c r="R674" i="25"/>
  <c r="R662" i="25"/>
  <c r="R953" i="25"/>
  <c r="R860" i="25"/>
  <c r="R812" i="25"/>
  <c r="R763" i="25"/>
  <c r="R885" i="25"/>
  <c r="R837" i="25"/>
  <c r="R789" i="25"/>
  <c r="R918" i="25"/>
  <c r="R641" i="25"/>
  <c r="R629" i="25"/>
  <c r="R617" i="25"/>
  <c r="R605" i="25"/>
  <c r="R593" i="25"/>
  <c r="R581" i="25"/>
  <c r="R569" i="25"/>
  <c r="R557" i="25"/>
  <c r="R545" i="25"/>
  <c r="R533" i="25"/>
  <c r="R521" i="25"/>
  <c r="R506" i="25"/>
  <c r="R494" i="25"/>
  <c r="R948" i="25"/>
  <c r="R476" i="25"/>
  <c r="R464" i="25"/>
  <c r="R452" i="25"/>
  <c r="R440" i="25"/>
  <c r="R428" i="25"/>
  <c r="R416" i="25"/>
  <c r="R409" i="25"/>
  <c r="R393" i="25"/>
  <c r="R305" i="25"/>
  <c r="R146" i="25"/>
  <c r="R108" i="25"/>
  <c r="R74" i="25"/>
  <c r="R39" i="25"/>
  <c r="R330" i="25"/>
  <c r="R219" i="25"/>
  <c r="R207" i="25"/>
  <c r="R195" i="25"/>
  <c r="R183" i="25"/>
  <c r="R171" i="25"/>
  <c r="R157" i="25"/>
  <c r="R130" i="25"/>
  <c r="R92" i="25"/>
  <c r="R52" i="25"/>
  <c r="R355" i="25"/>
  <c r="R399" i="25"/>
  <c r="R272" i="25"/>
  <c r="R297" i="25"/>
  <c r="R322" i="25"/>
  <c r="R347" i="25"/>
  <c r="R396" i="25"/>
  <c r="R252" i="25"/>
  <c r="R265" i="25"/>
  <c r="R280" i="25"/>
  <c r="R136" i="25"/>
  <c r="R101" i="25"/>
  <c r="R67" i="25"/>
  <c r="R33" i="25"/>
  <c r="R14" i="25"/>
  <c r="R278" i="25"/>
  <c r="R231" i="25"/>
  <c r="R267" i="25"/>
  <c r="R1227" i="25"/>
  <c r="R1124" i="25"/>
  <c r="R1223" i="25"/>
  <c r="R1024" i="25"/>
  <c r="R1000" i="25"/>
  <c r="R978" i="25"/>
  <c r="R1065" i="25"/>
  <c r="R1053" i="25"/>
  <c r="R1105" i="25"/>
  <c r="R1068" i="25"/>
  <c r="R919" i="25"/>
  <c r="R938" i="25"/>
  <c r="R945" i="25"/>
  <c r="R946" i="25"/>
  <c r="R893" i="25"/>
  <c r="R842" i="25"/>
  <c r="R794" i="25"/>
  <c r="R959" i="25"/>
  <c r="R883" i="25"/>
  <c r="R835" i="25"/>
  <c r="R787" i="25"/>
  <c r="R733" i="25"/>
  <c r="R721" i="25"/>
  <c r="R709" i="25"/>
  <c r="R697" i="25"/>
  <c r="R685" i="25"/>
  <c r="R673" i="25"/>
  <c r="R661" i="25"/>
  <c r="R935" i="25"/>
  <c r="R856" i="25"/>
  <c r="R808" i="25"/>
  <c r="R759" i="25"/>
  <c r="R881" i="25"/>
  <c r="R833" i="25"/>
  <c r="R785" i="25"/>
  <c r="R912" i="25"/>
  <c r="R640" i="25"/>
  <c r="R628" i="25"/>
  <c r="R616" i="25"/>
  <c r="R604" i="25"/>
  <c r="R592" i="25"/>
  <c r="R580" i="25"/>
  <c r="R568" i="25"/>
  <c r="R556" i="25"/>
  <c r="R544" i="25"/>
  <c r="R532" i="25"/>
  <c r="R520" i="25"/>
  <c r="R505" i="25"/>
  <c r="R493" i="25"/>
  <c r="R487" i="25"/>
  <c r="R475" i="25"/>
  <c r="R463" i="25"/>
  <c r="R451" i="25"/>
  <c r="R439" i="25"/>
  <c r="R427" i="25"/>
  <c r="R415" i="25"/>
  <c r="R401" i="25"/>
  <c r="R406" i="25"/>
  <c r="R293" i="25"/>
  <c r="R142" i="25"/>
  <c r="R105" i="25"/>
  <c r="R71" i="25"/>
  <c r="R37" i="25"/>
  <c r="R318" i="25"/>
  <c r="R218" i="25"/>
  <c r="R206" i="25"/>
  <c r="R194" i="25"/>
  <c r="R182" i="25"/>
  <c r="R170" i="25"/>
  <c r="R156" i="25"/>
  <c r="R127" i="25"/>
  <c r="R89" i="25"/>
  <c r="R49" i="25"/>
  <c r="R343" i="25"/>
  <c r="R394" i="25"/>
  <c r="R260" i="25"/>
  <c r="R285" i="25"/>
  <c r="R310" i="25"/>
  <c r="R335" i="25"/>
  <c r="R384" i="25"/>
  <c r="R240" i="25"/>
  <c r="R253" i="25"/>
  <c r="R268" i="25"/>
  <c r="R133" i="25"/>
  <c r="R98" i="25"/>
  <c r="R64" i="25"/>
  <c r="R30" i="25"/>
  <c r="R13" i="25"/>
  <c r="R254" i="25"/>
  <c r="R385" i="25"/>
  <c r="R1112" i="25"/>
  <c r="R928" i="25"/>
  <c r="R682" i="25"/>
  <c r="R625" i="25"/>
  <c r="R484" i="25"/>
  <c r="R63" i="25"/>
  <c r="R307" i="25"/>
  <c r="R56" i="25"/>
  <c r="R1106" i="25"/>
  <c r="R878" i="25"/>
  <c r="R670" i="25"/>
  <c r="R613" i="25"/>
  <c r="R472" i="25"/>
  <c r="R28" i="25"/>
  <c r="R368" i="25"/>
  <c r="R21" i="25"/>
  <c r="R994" i="25"/>
  <c r="R782" i="25"/>
  <c r="R735" i="25"/>
  <c r="R589" i="25"/>
  <c r="R448" i="25"/>
  <c r="R215" i="25"/>
  <c r="R249" i="25"/>
  <c r="R363" i="25"/>
  <c r="R972" i="25"/>
  <c r="R905" i="25"/>
  <c r="R844" i="25"/>
  <c r="R577" i="25"/>
  <c r="R436" i="25"/>
  <c r="R203" i="25"/>
  <c r="R274" i="25"/>
  <c r="R362" i="25"/>
  <c r="R1232" i="25"/>
  <c r="R871" i="25"/>
  <c r="R796" i="25"/>
  <c r="R565" i="25"/>
  <c r="R424" i="25"/>
  <c r="R191" i="25"/>
  <c r="R299" i="25"/>
  <c r="R1091" i="25"/>
  <c r="R823" i="25"/>
  <c r="R736" i="25"/>
  <c r="R553" i="25"/>
  <c r="R936" i="25"/>
  <c r="R179" i="25"/>
  <c r="R348" i="25"/>
  <c r="R1087" i="25"/>
  <c r="R774" i="25"/>
  <c r="R869" i="25"/>
  <c r="R541" i="25"/>
  <c r="R390" i="25"/>
  <c r="R165" i="25"/>
  <c r="R361" i="25"/>
  <c r="R1062" i="25"/>
  <c r="R730" i="25"/>
  <c r="R821" i="25"/>
  <c r="R529" i="25"/>
  <c r="R386" i="25"/>
  <c r="R152" i="25"/>
  <c r="R376" i="25"/>
  <c r="R900" i="25"/>
  <c r="R718" i="25"/>
  <c r="R772" i="25"/>
  <c r="R517" i="25"/>
  <c r="R257" i="25"/>
  <c r="R118" i="25"/>
  <c r="R232" i="25"/>
  <c r="R920" i="25"/>
  <c r="R706" i="25"/>
  <c r="R649" i="25"/>
  <c r="R502" i="25"/>
  <c r="R132" i="25"/>
  <c r="R80" i="25"/>
  <c r="R125" i="25"/>
  <c r="R1181" i="25"/>
  <c r="R927" i="25"/>
  <c r="R694" i="25"/>
  <c r="R637" i="25"/>
  <c r="R490" i="25"/>
  <c r="R97" i="25"/>
  <c r="R40" i="25"/>
  <c r="R90" i="25"/>
  <c r="R460" i="25"/>
  <c r="R282" i="25"/>
  <c r="R9" i="25"/>
  <c r="R1018" i="25"/>
  <c r="R830" i="25"/>
  <c r="R658" i="25"/>
  <c r="R601" i="25"/>
  <c r="R224" i="25"/>
  <c r="Q25" i="20"/>
  <c r="Q150" i="6"/>
  <c r="S126" i="6"/>
  <c r="I76" i="3"/>
  <c r="C124" i="4"/>
  <c r="H50" i="10"/>
  <c r="E96" i="10"/>
  <c r="F96" i="10"/>
  <c r="M95" i="3"/>
  <c r="E140" i="3"/>
  <c r="E141" i="3"/>
  <c r="E139" i="3"/>
  <c r="O25" i="20"/>
  <c r="O150" i="6"/>
  <c r="G73" i="3"/>
  <c r="R23" i="6"/>
  <c r="E93" i="10"/>
  <c r="H73" i="3"/>
  <c r="U8" i="6"/>
  <c r="S23" i="6"/>
  <c r="AB237" i="5"/>
  <c r="AC235" i="5"/>
  <c r="AB50" i="5"/>
  <c r="AB101" i="5"/>
  <c r="AB117" i="5" s="1"/>
  <c r="AC50" i="5"/>
  <c r="R126" i="6"/>
  <c r="AV245" i="5"/>
  <c r="AV244" i="5" s="1"/>
  <c r="AV236" i="5"/>
  <c r="AV238" i="5" s="1"/>
  <c r="P25" i="20"/>
  <c r="P150" i="6"/>
  <c r="R172" i="5"/>
  <c r="F56" i="10"/>
  <c r="R150" i="6"/>
  <c r="D110" i="4" s="1"/>
  <c r="R25" i="20"/>
  <c r="H85" i="10"/>
  <c r="H83" i="10" s="1"/>
  <c r="S16" i="20"/>
  <c r="U37" i="20"/>
  <c r="R52" i="20"/>
  <c r="R46" i="20" s="1"/>
  <c r="H84" i="10" l="1"/>
  <c r="H103" i="10"/>
  <c r="M156" i="10"/>
  <c r="O156" i="10" s="1"/>
  <c r="O161" i="10"/>
  <c r="Q9" i="6"/>
  <c r="K148" i="10"/>
  <c r="Q136" i="6"/>
  <c r="Q137" i="6" s="1"/>
  <c r="E74" i="3"/>
  <c r="P24" i="6"/>
  <c r="P7" i="7" s="1"/>
  <c r="L157" i="10"/>
  <c r="H42" i="10"/>
  <c r="H40" i="10"/>
  <c r="H72" i="10"/>
  <c r="H61" i="10"/>
  <c r="H63" i="10"/>
  <c r="H64" i="10" s="1"/>
  <c r="I60" i="10"/>
  <c r="I41" i="10"/>
  <c r="I49" i="10"/>
  <c r="S52" i="20"/>
  <c r="U16" i="20"/>
  <c r="S25" i="20"/>
  <c r="S150" i="6"/>
  <c r="H34" i="10"/>
  <c r="H36" i="10" s="1"/>
  <c r="H48" i="10"/>
  <c r="BK50" i="5"/>
  <c r="AC241" i="5"/>
  <c r="AX49" i="7"/>
  <c r="AB137" i="5"/>
  <c r="AY49" i="7"/>
  <c r="AB241" i="5"/>
  <c r="AB242" i="5" s="1"/>
  <c r="BJ50" i="5"/>
  <c r="BI50" i="5"/>
  <c r="H106" i="10"/>
  <c r="H88" i="10"/>
  <c r="H89" i="10" s="1"/>
  <c r="AC244" i="5"/>
  <c r="AC236" i="5"/>
  <c r="AC238" i="5" s="1"/>
  <c r="H86" i="10"/>
  <c r="H90" i="10"/>
  <c r="AC240" i="5"/>
  <c r="AB238" i="5"/>
  <c r="I85" i="10"/>
  <c r="I83" i="10" s="1"/>
  <c r="R116" i="5"/>
  <c r="S171" i="5"/>
  <c r="S169" i="5"/>
  <c r="I73" i="3"/>
  <c r="C119" i="4"/>
  <c r="S46" i="20" l="1"/>
  <c r="T52" i="20"/>
  <c r="S172" i="5"/>
  <c r="S116" i="5" s="1"/>
  <c r="M145" i="10"/>
  <c r="O145" i="10" s="1"/>
  <c r="M157" i="10"/>
  <c r="R9" i="6"/>
  <c r="L148" i="10"/>
  <c r="R136" i="6"/>
  <c r="R137" i="6" s="1"/>
  <c r="Q24" i="6"/>
  <c r="Q7" i="7" s="1"/>
  <c r="F74" i="3"/>
  <c r="I47" i="10"/>
  <c r="I50" i="10"/>
  <c r="O50" i="10" s="1"/>
  <c r="I40" i="10"/>
  <c r="I42" i="10"/>
  <c r="O42" i="10" s="1"/>
  <c r="I72" i="10"/>
  <c r="I63" i="10"/>
  <c r="I61" i="10"/>
  <c r="O61" i="10" s="1"/>
  <c r="H75" i="10"/>
  <c r="H73" i="10"/>
  <c r="H109" i="10"/>
  <c r="H7" i="10" s="1"/>
  <c r="H114" i="10"/>
  <c r="I88" i="10"/>
  <c r="I103" i="10"/>
  <c r="O103" i="10" s="1"/>
  <c r="I84" i="10"/>
  <c r="O84" i="10" s="1"/>
  <c r="AC242" i="5"/>
  <c r="I90" i="10"/>
  <c r="I86" i="10"/>
  <c r="O86" i="10" s="1"/>
  <c r="H97" i="10"/>
  <c r="H98" i="10" s="1"/>
  <c r="H91" i="10"/>
  <c r="J85" i="10"/>
  <c r="J83" i="10" s="1"/>
  <c r="S136" i="6" l="1"/>
  <c r="S137" i="6" s="1"/>
  <c r="M148" i="10"/>
  <c r="S9" i="6"/>
  <c r="G74" i="3"/>
  <c r="R24" i="6"/>
  <c r="R7" i="7" s="1"/>
  <c r="I64" i="10"/>
  <c r="O64" i="10" s="1"/>
  <c r="I73" i="10"/>
  <c r="O73" i="10" s="1"/>
  <c r="I75" i="10"/>
  <c r="I51" i="10"/>
  <c r="I34" i="10"/>
  <c r="I48" i="10"/>
  <c r="O48" i="10" s="1"/>
  <c r="H76" i="10"/>
  <c r="H5" i="10"/>
  <c r="J84" i="10"/>
  <c r="J86" i="10"/>
  <c r="AC88" i="10"/>
  <c r="I89" i="10"/>
  <c r="O89" i="10" s="1"/>
  <c r="I91" i="10"/>
  <c r="O91" i="10" s="1"/>
  <c r="I97" i="10"/>
  <c r="K85" i="10"/>
  <c r="N120" i="6"/>
  <c r="N7" i="6"/>
  <c r="X9" i="6" l="1"/>
  <c r="U9" i="6"/>
  <c r="I74" i="3" s="1"/>
  <c r="S24" i="6"/>
  <c r="S7" i="7" s="1"/>
  <c r="H74" i="3"/>
  <c r="N119" i="6"/>
  <c r="N6" i="6"/>
  <c r="N49" i="6" s="1"/>
  <c r="H3" i="10"/>
  <c r="H6" i="10"/>
  <c r="I36" i="10"/>
  <c r="O36" i="10" s="1"/>
  <c r="O34" i="10"/>
  <c r="I5" i="10"/>
  <c r="I76" i="10"/>
  <c r="O76" i="10" s="1"/>
  <c r="K86" i="10"/>
  <c r="I98" i="10"/>
  <c r="O98" i="10" s="1"/>
  <c r="N50" i="6"/>
  <c r="C72" i="3"/>
  <c r="M95" i="10"/>
  <c r="O95" i="10" s="1"/>
  <c r="L85" i="10"/>
  <c r="L83" i="10" s="1"/>
  <c r="K83" i="10"/>
  <c r="N84" i="6" l="1"/>
  <c r="P63" i="6"/>
  <c r="C120" i="4"/>
  <c r="I6" i="10"/>
  <c r="O119" i="6"/>
  <c r="O124" i="6" s="1"/>
  <c r="O6" i="6"/>
  <c r="H15" i="10"/>
  <c r="H14" i="10"/>
  <c r="H13" i="10"/>
  <c r="N71" i="6"/>
  <c r="C71" i="3"/>
  <c r="N21" i="6"/>
  <c r="N118" i="6"/>
  <c r="N124" i="6"/>
  <c r="L84" i="10"/>
  <c r="L86" i="10"/>
  <c r="M85" i="10"/>
  <c r="K84" i="10"/>
  <c r="M83" i="10" l="1"/>
  <c r="O83" i="10" s="1"/>
  <c r="O85" i="10"/>
  <c r="N129" i="6"/>
  <c r="N5" i="6"/>
  <c r="N128" i="6"/>
  <c r="N131" i="6"/>
  <c r="N130" i="6"/>
  <c r="N83" i="6"/>
  <c r="O49" i="6"/>
  <c r="O21" i="6"/>
  <c r="D71" i="3"/>
  <c r="M86" i="10"/>
  <c r="M106" i="10"/>
  <c r="M84" i="10"/>
  <c r="N14" i="6" l="1"/>
  <c r="N59" i="6"/>
  <c r="O71" i="6"/>
  <c r="O83" i="6"/>
  <c r="O106" i="6" s="1"/>
  <c r="C70" i="3"/>
  <c r="BC5" i="6"/>
  <c r="D116" i="4"/>
  <c r="M114" i="10"/>
  <c r="N48" i="6" l="1"/>
  <c r="BA20" i="6"/>
  <c r="N82" i="6" l="1"/>
  <c r="N125" i="6" l="1"/>
  <c r="G109" i="10"/>
  <c r="G7" i="10" s="1"/>
  <c r="G3" i="10" s="1"/>
  <c r="M118" i="6"/>
  <c r="M5" i="6" s="1"/>
  <c r="M2" i="6" s="1"/>
  <c r="M7" i="6" l="1"/>
  <c r="N22" i="6" s="1"/>
  <c r="H4" i="10"/>
  <c r="G14" i="10"/>
  <c r="G15" i="10"/>
  <c r="G13" i="10"/>
  <c r="M129" i="6"/>
  <c r="H8" i="10"/>
  <c r="M128" i="6"/>
  <c r="M131" i="6"/>
  <c r="N20" i="6"/>
  <c r="N6" i="7" s="1"/>
  <c r="N123" i="6"/>
  <c r="M130" i="6"/>
  <c r="G106" i="10"/>
  <c r="H110" i="10"/>
  <c r="M271" i="6"/>
  <c r="M48" i="6"/>
  <c r="M82" i="6" s="1"/>
  <c r="M14" i="6"/>
  <c r="M15" i="6"/>
  <c r="M50" i="6" l="1"/>
  <c r="M272" i="6"/>
  <c r="M285" i="6" s="1"/>
  <c r="M279" i="6" s="1"/>
  <c r="M3" i="6"/>
  <c r="N72" i="6"/>
  <c r="N70" i="6"/>
  <c r="M276" i="6"/>
  <c r="G114" i="10"/>
  <c r="G112" i="10"/>
  <c r="H107" i="10"/>
  <c r="M84" i="6"/>
  <c r="M282" i="6" l="1"/>
  <c r="M3" i="20"/>
  <c r="M4" i="20" s="1"/>
  <c r="M41" i="6"/>
  <c r="M40" i="6"/>
  <c r="M38" i="6"/>
  <c r="M57" i="6"/>
  <c r="M39" i="6"/>
  <c r="M80" i="6"/>
  <c r="M35" i="6"/>
  <c r="M37" i="6"/>
  <c r="M34" i="6"/>
  <c r="M36" i="6"/>
  <c r="M44" i="6" l="1"/>
  <c r="M32" i="6"/>
  <c r="M43" i="6"/>
  <c r="L125" i="6"/>
  <c r="M125" i="6"/>
  <c r="K124" i="6"/>
  <c r="J124" i="6"/>
  <c r="I124" i="6"/>
  <c r="F109" i="10"/>
  <c r="G110" i="10" s="1"/>
  <c r="I118" i="6"/>
  <c r="I5" i="6" s="1"/>
  <c r="C75" i="10"/>
  <c r="C76" i="10" s="1"/>
  <c r="J118" i="6"/>
  <c r="J5" i="6" s="1"/>
  <c r="D75" i="10"/>
  <c r="D5" i="10" s="1"/>
  <c r="D3" i="10" s="1"/>
  <c r="L118" i="6"/>
  <c r="L5" i="6" s="1"/>
  <c r="I123" i="6" l="1"/>
  <c r="I271" i="6"/>
  <c r="I48" i="6"/>
  <c r="I276" i="6" s="1"/>
  <c r="I131" i="6"/>
  <c r="I129" i="6"/>
  <c r="I128" i="6"/>
  <c r="I130" i="6"/>
  <c r="C63" i="10"/>
  <c r="C64" i="10" s="1"/>
  <c r="F7" i="10"/>
  <c r="L7" i="6" s="1"/>
  <c r="M22" i="6" s="1"/>
  <c r="F106" i="10"/>
  <c r="F112" i="10" s="1"/>
  <c r="J6" i="6"/>
  <c r="J273" i="6" s="1"/>
  <c r="J286" i="6" s="1"/>
  <c r="J279" i="6" s="1"/>
  <c r="C5" i="10"/>
  <c r="C3" i="10" s="1"/>
  <c r="D4" i="10" s="1"/>
  <c r="F110" i="10"/>
  <c r="D76" i="10"/>
  <c r="L20" i="6"/>
  <c r="L6" i="7" s="1"/>
  <c r="L14" i="6"/>
  <c r="L271" i="6"/>
  <c r="L15" i="6"/>
  <c r="L48" i="6"/>
  <c r="M20" i="6"/>
  <c r="M6" i="7" s="1"/>
  <c r="J20" i="6"/>
  <c r="J6" i="7" s="1"/>
  <c r="J271" i="6"/>
  <c r="J48" i="6"/>
  <c r="J15" i="6"/>
  <c r="K20" i="6"/>
  <c r="K6" i="7" s="1"/>
  <c r="J14" i="6"/>
  <c r="D14" i="10"/>
  <c r="I14" i="6"/>
  <c r="D13" i="10"/>
  <c r="D63" i="10"/>
  <c r="L128" i="6"/>
  <c r="L131" i="6"/>
  <c r="I20" i="6"/>
  <c r="F3" i="10"/>
  <c r="F14" i="10" s="1"/>
  <c r="E6" i="10"/>
  <c r="L123" i="6"/>
  <c r="K123" i="6"/>
  <c r="I15" i="6"/>
  <c r="L129" i="6"/>
  <c r="J130" i="6"/>
  <c r="E76" i="10"/>
  <c r="I82" i="6"/>
  <c r="J128" i="6"/>
  <c r="J131" i="6"/>
  <c r="L130" i="6"/>
  <c r="E4" i="10"/>
  <c r="D15" i="10"/>
  <c r="M123" i="6"/>
  <c r="J129" i="6"/>
  <c r="J123" i="6"/>
  <c r="F114" i="10" l="1"/>
  <c r="G8" i="10"/>
  <c r="L22" i="6"/>
  <c r="L272" i="6"/>
  <c r="L285" i="6" s="1"/>
  <c r="L279" i="6" s="1"/>
  <c r="L50" i="6"/>
  <c r="L84" i="6" s="1"/>
  <c r="F8" i="10"/>
  <c r="K21" i="6"/>
  <c r="F107" i="10"/>
  <c r="G107" i="10"/>
  <c r="I6" i="6"/>
  <c r="C6" i="10"/>
  <c r="D6" i="10"/>
  <c r="J49" i="6"/>
  <c r="J83" i="6" s="1"/>
  <c r="L3" i="6"/>
  <c r="L29" i="6"/>
  <c r="M29" i="6"/>
  <c r="M72" i="6"/>
  <c r="L72" i="6"/>
  <c r="D64" i="10"/>
  <c r="E64" i="10"/>
  <c r="F554" i="11"/>
  <c r="I29" i="6"/>
  <c r="I3" i="6"/>
  <c r="K70" i="6"/>
  <c r="J276" i="6"/>
  <c r="J282" i="6" s="1"/>
  <c r="J70" i="6"/>
  <c r="M70" i="6"/>
  <c r="L70" i="6"/>
  <c r="L276" i="6"/>
  <c r="L82" i="6"/>
  <c r="K29" i="6"/>
  <c r="J3" i="6"/>
  <c r="J29" i="6"/>
  <c r="J82" i="6"/>
  <c r="F13" i="10"/>
  <c r="G4" i="10"/>
  <c r="F15" i="10"/>
  <c r="F4" i="10"/>
  <c r="C13" i="10"/>
  <c r="C4" i="10"/>
  <c r="C14" i="10"/>
  <c r="C15" i="10"/>
  <c r="L282" i="6" l="1"/>
  <c r="K71" i="6"/>
  <c r="I273" i="6"/>
  <c r="J21" i="6"/>
  <c r="I49" i="6"/>
  <c r="J71" i="6" s="1"/>
  <c r="I40" i="6"/>
  <c r="I39" i="6"/>
  <c r="I80" i="6"/>
  <c r="I37" i="6"/>
  <c r="I18" i="6"/>
  <c r="I57" i="6"/>
  <c r="I74" i="6" s="1"/>
  <c r="I36" i="6"/>
  <c r="I38" i="6"/>
  <c r="I41" i="6"/>
  <c r="I3" i="20"/>
  <c r="I4" i="20" s="1"/>
  <c r="I35" i="6"/>
  <c r="I34" i="6"/>
  <c r="J39" i="6"/>
  <c r="J3" i="20"/>
  <c r="J4" i="20" s="1"/>
  <c r="J37" i="6"/>
  <c r="J36" i="6"/>
  <c r="J38" i="6"/>
  <c r="K18" i="6"/>
  <c r="J40" i="6"/>
  <c r="J41" i="6"/>
  <c r="J18" i="6"/>
  <c r="J80" i="6"/>
  <c r="J57" i="6"/>
  <c r="J35" i="6"/>
  <c r="J34" i="6"/>
  <c r="L80" i="6"/>
  <c r="L37" i="6"/>
  <c r="L41" i="6"/>
  <c r="L38" i="6"/>
  <c r="L57" i="6"/>
  <c r="L35" i="6"/>
  <c r="M18" i="6"/>
  <c r="L40" i="6"/>
  <c r="L18" i="6"/>
  <c r="L3" i="20"/>
  <c r="L4" i="20" s="1"/>
  <c r="L39" i="6"/>
  <c r="L34" i="6"/>
  <c r="L36" i="6"/>
  <c r="I83" i="6" l="1"/>
  <c r="O273" i="6"/>
  <c r="I286" i="6"/>
  <c r="I279" i="6" s="1"/>
  <c r="I282" i="6" s="1"/>
  <c r="O282" i="6" s="1"/>
  <c r="J43" i="6"/>
  <c r="J32" i="6"/>
  <c r="L43" i="6"/>
  <c r="L32" i="6"/>
  <c r="J44" i="6"/>
  <c r="I43" i="6"/>
  <c r="I32" i="6"/>
  <c r="L44" i="6"/>
  <c r="I44" i="6"/>
  <c r="J53" i="10"/>
  <c r="K53" i="10" s="1"/>
  <c r="L53" i="10" s="1"/>
  <c r="J100" i="10"/>
  <c r="J90" i="10" l="1"/>
  <c r="J88" i="10"/>
  <c r="J89" i="10" s="1"/>
  <c r="K100" i="10"/>
  <c r="M53" i="10"/>
  <c r="K90" i="10" l="1"/>
  <c r="K88" i="10"/>
  <c r="K89" i="10" s="1"/>
  <c r="L100" i="10"/>
  <c r="O53" i="10"/>
  <c r="J97" i="10"/>
  <c r="J98" i="10" s="1"/>
  <c r="J91" i="10"/>
  <c r="K97" i="10" l="1"/>
  <c r="K98" i="10" s="1"/>
  <c r="K91" i="10"/>
  <c r="L90" i="10"/>
  <c r="L88" i="10"/>
  <c r="L89" i="10" s="1"/>
  <c r="M100" i="10"/>
  <c r="O100" i="10" s="1"/>
  <c r="L91" i="10" l="1"/>
  <c r="L97" i="10"/>
  <c r="L98" i="10" s="1"/>
  <c r="M88" i="10"/>
  <c r="M90" i="10"/>
  <c r="O90" i="10" s="1"/>
  <c r="M109" i="10"/>
  <c r="M89" i="10" l="1"/>
  <c r="O88" i="10"/>
  <c r="M7" i="10"/>
  <c r="M97" i="10"/>
  <c r="M91" i="10"/>
  <c r="M98" i="10" l="1"/>
  <c r="O97" i="10"/>
  <c r="S7" i="6"/>
  <c r="S120" i="6"/>
  <c r="H72" i="3" l="1"/>
  <c r="J43" i="10" l="1"/>
  <c r="K43" i="10" s="1"/>
  <c r="K41" i="10" l="1"/>
  <c r="K103" i="10"/>
  <c r="K49" i="10"/>
  <c r="L43" i="10"/>
  <c r="K60" i="10"/>
  <c r="J103" i="10"/>
  <c r="J41" i="10"/>
  <c r="J60" i="10"/>
  <c r="J49" i="10"/>
  <c r="L41" i="10" l="1"/>
  <c r="L103" i="10"/>
  <c r="L49" i="10"/>
  <c r="L60" i="10"/>
  <c r="M43" i="10"/>
  <c r="J42" i="10"/>
  <c r="J40" i="10"/>
  <c r="J63" i="10"/>
  <c r="J64" i="10" s="1"/>
  <c r="J61" i="10"/>
  <c r="J72" i="10"/>
  <c r="K50" i="10"/>
  <c r="K47" i="10"/>
  <c r="J47" i="10"/>
  <c r="J50" i="10"/>
  <c r="K63" i="10"/>
  <c r="K61" i="10"/>
  <c r="K72" i="10"/>
  <c r="K40" i="10"/>
  <c r="K42" i="10"/>
  <c r="O43" i="10" l="1"/>
  <c r="M103" i="10"/>
  <c r="K73" i="10"/>
  <c r="K75" i="10"/>
  <c r="L50" i="10"/>
  <c r="L47" i="10"/>
  <c r="K48" i="10"/>
  <c r="K34" i="10"/>
  <c r="K36" i="10" s="1"/>
  <c r="L61" i="10"/>
  <c r="L63" i="10"/>
  <c r="L64" i="10" s="1"/>
  <c r="L72" i="10"/>
  <c r="J34" i="10"/>
  <c r="J36" i="10" s="1"/>
  <c r="J48" i="10"/>
  <c r="J51" i="10"/>
  <c r="J73" i="10"/>
  <c r="J75" i="10"/>
  <c r="K64" i="10"/>
  <c r="K51" i="10"/>
  <c r="M41" i="10"/>
  <c r="M49" i="10"/>
  <c r="M60" i="10"/>
  <c r="O60" i="10" s="1"/>
  <c r="L40" i="10"/>
  <c r="L42" i="10"/>
  <c r="J76" i="10" l="1"/>
  <c r="J5" i="10"/>
  <c r="L73" i="10"/>
  <c r="L75" i="10"/>
  <c r="M40" i="10"/>
  <c r="C132" i="10" s="1"/>
  <c r="C133" i="10" s="1"/>
  <c r="C135" i="10" s="1"/>
  <c r="C136" i="10" s="1"/>
  <c r="C137" i="10" s="1"/>
  <c r="C139" i="10" s="1"/>
  <c r="M42" i="10"/>
  <c r="O41" i="10"/>
  <c r="M61" i="10"/>
  <c r="M63" i="10"/>
  <c r="M72" i="10"/>
  <c r="O72" i="10" s="1"/>
  <c r="O49" i="10"/>
  <c r="M50" i="10"/>
  <c r="M47" i="10"/>
  <c r="L34" i="10"/>
  <c r="L36" i="10" s="1"/>
  <c r="L48" i="10"/>
  <c r="K76" i="10"/>
  <c r="K5" i="10"/>
  <c r="L51" i="10"/>
  <c r="M64" i="10" l="1"/>
  <c r="O63" i="10"/>
  <c r="K6" i="10"/>
  <c r="Q6" i="6"/>
  <c r="Q119" i="6"/>
  <c r="M73" i="10"/>
  <c r="M75" i="10"/>
  <c r="O75" i="10" s="1"/>
  <c r="P6" i="6"/>
  <c r="J6" i="10"/>
  <c r="P119" i="6"/>
  <c r="O47" i="10"/>
  <c r="M34" i="10"/>
  <c r="M36" i="10" s="1"/>
  <c r="M48" i="10"/>
  <c r="M51" i="10"/>
  <c r="L76" i="10"/>
  <c r="L5" i="10"/>
  <c r="M76" i="10" l="1"/>
  <c r="M5" i="10"/>
  <c r="L6" i="10"/>
  <c r="R6" i="6"/>
  <c r="R119" i="6"/>
  <c r="P124" i="6"/>
  <c r="Q21" i="6"/>
  <c r="F71" i="3"/>
  <c r="P21" i="6"/>
  <c r="E71" i="3"/>
  <c r="Q124" i="6"/>
  <c r="G71" i="3" l="1"/>
  <c r="R21" i="6"/>
  <c r="R124" i="6"/>
  <c r="O5" i="10"/>
  <c r="M3" i="10"/>
  <c r="M6" i="10"/>
  <c r="S6" i="6"/>
  <c r="U6" i="6" s="1"/>
  <c r="S119" i="6"/>
  <c r="M13" i="10" l="1"/>
  <c r="S124" i="6"/>
  <c r="S118" i="6"/>
  <c r="M15" i="10"/>
  <c r="M14" i="10"/>
  <c r="S21" i="6"/>
  <c r="H71" i="3"/>
  <c r="C118" i="4" l="1"/>
  <c r="I71" i="3"/>
  <c r="S130" i="6"/>
  <c r="S131" i="6"/>
  <c r="S128" i="6"/>
  <c r="S5" i="6"/>
  <c r="V21" i="6" s="1"/>
  <c r="S129" i="6"/>
  <c r="H70" i="3" l="1"/>
  <c r="N6" i="27" l="1"/>
  <c r="O47" i="27"/>
  <c r="O203" i="6" s="1"/>
  <c r="O46" i="27"/>
  <c r="O202" i="6" s="1"/>
  <c r="O45" i="27"/>
  <c r="O201" i="6" s="1"/>
  <c r="N47" i="27"/>
  <c r="N203" i="6" s="1"/>
  <c r="N46" i="27"/>
  <c r="N202" i="6" s="1"/>
  <c r="N45" i="27"/>
  <c r="N201" i="6" s="1"/>
  <c r="N3" i="27" l="1"/>
  <c r="O6" i="27"/>
  <c r="BC6" i="27"/>
  <c r="BC3" i="27" s="1"/>
  <c r="O3" i="27" l="1"/>
  <c r="P6" i="27"/>
  <c r="P46" i="27"/>
  <c r="P202" i="6" s="1"/>
  <c r="P45" i="27"/>
  <c r="P201" i="6" s="1"/>
  <c r="P47" i="27"/>
  <c r="P203" i="6" s="1"/>
  <c r="Q6" i="27" l="1"/>
  <c r="Q46" i="27"/>
  <c r="Q202" i="6" s="1"/>
  <c r="Q47" i="27"/>
  <c r="Q203" i="6" s="1"/>
  <c r="Q45" i="27"/>
  <c r="Q201" i="6" s="1"/>
  <c r="R47" i="27" l="1"/>
  <c r="R6" i="27"/>
  <c r="R46" i="27"/>
  <c r="R45" i="27"/>
  <c r="X45" i="27" l="1"/>
  <c r="R201" i="6"/>
  <c r="X201" i="6" s="1"/>
  <c r="X46" i="27"/>
  <c r="R202" i="6"/>
  <c r="X202" i="6" s="1"/>
  <c r="X47" i="27"/>
  <c r="R203" i="6"/>
  <c r="X203" i="6" s="1"/>
  <c r="S47" i="27"/>
  <c r="S203" i="6" s="1"/>
  <c r="S6" i="27"/>
  <c r="U6" i="27" s="1"/>
  <c r="S46" i="27"/>
  <c r="S202" i="6" s="1"/>
  <c r="S45" i="27"/>
  <c r="S201" i="6" s="1"/>
  <c r="X6" i="27" l="1"/>
  <c r="P57" i="27" l="1"/>
  <c r="P52" i="27" l="1"/>
  <c r="P209" i="6" s="1"/>
  <c r="P213" i="6"/>
  <c r="P51" i="27"/>
  <c r="Q57" i="27"/>
  <c r="R57" i="27" l="1"/>
  <c r="Q213" i="6"/>
  <c r="P61" i="27"/>
  <c r="P217" i="6" s="1"/>
  <c r="P208" i="6"/>
  <c r="P12" i="6" s="1"/>
  <c r="P16" i="6" s="1"/>
  <c r="P30" i="6" s="1"/>
  <c r="P60" i="27"/>
  <c r="P216" i="6" s="1"/>
  <c r="P62" i="27"/>
  <c r="P218" i="6" s="1"/>
  <c r="P7" i="27"/>
  <c r="P3" i="27" s="1"/>
  <c r="P56" i="27"/>
  <c r="P212" i="6" s="1"/>
  <c r="Q52" i="27"/>
  <c r="R52" i="27" l="1"/>
  <c r="R209" i="6" s="1"/>
  <c r="Q209" i="6"/>
  <c r="X57" i="27"/>
  <c r="R213" i="6"/>
  <c r="P27" i="6"/>
  <c r="P55" i="6"/>
  <c r="P77" i="6" s="1"/>
  <c r="E77" i="3"/>
  <c r="Q51" i="27"/>
  <c r="Q7" i="27" s="1"/>
  <c r="Q3" i="27" s="1"/>
  <c r="S52" i="27"/>
  <c r="S209" i="6" s="1"/>
  <c r="R51" i="27"/>
  <c r="X52" i="27"/>
  <c r="P89" i="6" l="1"/>
  <c r="R60" i="27"/>
  <c r="R216" i="6" s="1"/>
  <c r="X216" i="6" s="1"/>
  <c r="R61" i="27"/>
  <c r="R208" i="6"/>
  <c r="R12" i="6" s="1"/>
  <c r="R16" i="6" s="1"/>
  <c r="R62" i="27"/>
  <c r="Q56" i="27"/>
  <c r="Q212" i="6" s="1"/>
  <c r="Q61" i="27"/>
  <c r="Q217" i="6" s="1"/>
  <c r="Q208" i="6"/>
  <c r="Q12" i="6" s="1"/>
  <c r="Q16" i="6" s="1"/>
  <c r="Q30" i="6" s="1"/>
  <c r="Q60" i="27"/>
  <c r="Q216" i="6" s="1"/>
  <c r="Q62" i="27"/>
  <c r="Q218" i="6" s="1"/>
  <c r="R7" i="27"/>
  <c r="R3" i="27" s="1"/>
  <c r="R56" i="27"/>
  <c r="X51" i="27"/>
  <c r="X60" i="27"/>
  <c r="S51" i="27"/>
  <c r="U51" i="27" s="1"/>
  <c r="R30" i="6" l="1"/>
  <c r="G77" i="3"/>
  <c r="R27" i="6"/>
  <c r="R55" i="6"/>
  <c r="Q55" i="6"/>
  <c r="Q77" i="6" s="1"/>
  <c r="Q27" i="6"/>
  <c r="F77" i="3"/>
  <c r="R218" i="6"/>
  <c r="X218" i="6" s="1"/>
  <c r="X62" i="27"/>
  <c r="X56" i="27"/>
  <c r="R212" i="6"/>
  <c r="S61" i="27"/>
  <c r="S217" i="6" s="1"/>
  <c r="S208" i="6"/>
  <c r="S12" i="6" s="1"/>
  <c r="S16" i="6" s="1"/>
  <c r="S30" i="6" s="1"/>
  <c r="S60" i="27"/>
  <c r="S216" i="6" s="1"/>
  <c r="S62" i="27"/>
  <c r="S218" i="6" s="1"/>
  <c r="R217" i="6"/>
  <c r="X217" i="6" s="1"/>
  <c r="X61" i="27"/>
  <c r="S7" i="27"/>
  <c r="S56" i="27"/>
  <c r="S212" i="6" s="1"/>
  <c r="Q89" i="6" l="1"/>
  <c r="S27" i="6"/>
  <c r="H77" i="3"/>
  <c r="F150" i="3" s="1"/>
  <c r="X12" i="6"/>
  <c r="S55" i="6"/>
  <c r="S77" i="6" s="1"/>
  <c r="U12" i="6"/>
  <c r="X30" i="6"/>
  <c r="R89" i="6"/>
  <c r="R77" i="6"/>
  <c r="X55" i="6"/>
  <c r="S3" i="27"/>
  <c r="U7" i="27"/>
  <c r="S89" i="6" l="1"/>
  <c r="U16" i="6"/>
  <c r="C125" i="4"/>
  <c r="I77" i="3"/>
  <c r="U3" i="27"/>
  <c r="P149" i="6"/>
  <c r="Q148" i="6" l="1"/>
  <c r="P13" i="20"/>
  <c r="P157" i="6"/>
  <c r="P148" i="6"/>
  <c r="Q149" i="6"/>
  <c r="P146" i="6"/>
  <c r="P147" i="6"/>
  <c r="P50" i="20"/>
  <c r="R149" i="6" l="1"/>
  <c r="P155" i="6"/>
  <c r="P154" i="6"/>
  <c r="R148" i="6"/>
  <c r="Q147" i="6"/>
  <c r="Q157" i="6"/>
  <c r="Q156" i="6"/>
  <c r="P156" i="6"/>
  <c r="Q146" i="6"/>
  <c r="Q13" i="20"/>
  <c r="Q50" i="20"/>
  <c r="R13" i="20" l="1"/>
  <c r="R50" i="20"/>
  <c r="R146" i="6"/>
  <c r="Q154" i="6"/>
  <c r="Q155" i="6"/>
  <c r="U11" i="20"/>
  <c r="S149" i="6"/>
  <c r="D107" i="4"/>
  <c r="R156" i="6"/>
  <c r="D113" i="4" s="1"/>
  <c r="R147" i="6"/>
  <c r="S148" i="6"/>
  <c r="U10" i="20"/>
  <c r="R157" i="6"/>
  <c r="S147" i="6" l="1"/>
  <c r="U9" i="20"/>
  <c r="U8" i="20"/>
  <c r="S157" i="6"/>
  <c r="R154" i="6"/>
  <c r="D106" i="4"/>
  <c r="R155" i="6"/>
  <c r="S156" i="6"/>
  <c r="S50" i="20"/>
  <c r="S13" i="20"/>
  <c r="U13" i="20" s="1"/>
  <c r="C122" i="4" s="1"/>
  <c r="S146" i="6"/>
  <c r="S154" i="6" l="1"/>
  <c r="S155" i="6"/>
  <c r="Q19" i="20"/>
  <c r="P53" i="20"/>
  <c r="R19" i="20" l="1"/>
  <c r="Q7" i="20"/>
  <c r="P145" i="6"/>
  <c r="P14" i="20"/>
  <c r="R7" i="20" l="1"/>
  <c r="S7" i="20" s="1"/>
  <c r="Q145" i="6"/>
  <c r="Q153" i="6" s="1"/>
  <c r="Q53" i="20"/>
  <c r="Q14" i="20"/>
  <c r="R14" i="20"/>
  <c r="P153" i="6"/>
  <c r="R145" i="6" l="1"/>
  <c r="R153" i="6" s="1"/>
  <c r="R53" i="20"/>
  <c r="S145" i="6"/>
  <c r="S14" i="20"/>
  <c r="U14" i="20" s="1"/>
  <c r="C123" i="4" s="1"/>
  <c r="S53" i="20"/>
  <c r="U7" i="20"/>
  <c r="S153" i="6" l="1"/>
  <c r="G67" i="4" l="1"/>
  <c r="G66" i="4"/>
  <c r="S52" i="6"/>
  <c r="S50" i="6"/>
  <c r="S84" i="6" s="1"/>
  <c r="S107" i="6" s="1"/>
  <c r="S51" i="6"/>
  <c r="S85" i="6" s="1"/>
  <c r="S108" i="6" s="1"/>
  <c r="G65" i="4"/>
  <c r="G64" i="4"/>
  <c r="R51" i="6"/>
  <c r="R85" i="6" s="1"/>
  <c r="R108" i="6" s="1"/>
  <c r="S49" i="6"/>
  <c r="O52" i="6"/>
  <c r="P51" i="6" l="1"/>
  <c r="P73" i="6" s="1"/>
  <c r="S73" i="6"/>
  <c r="S59" i="6"/>
  <c r="S48" i="6" s="1"/>
  <c r="S82" i="6" s="1"/>
  <c r="S105" i="6" s="1"/>
  <c r="S83" i="6"/>
  <c r="S106" i="6" s="1"/>
  <c r="O86" i="6"/>
  <c r="O109" i="6" s="1"/>
  <c r="O74" i="6"/>
  <c r="S86" i="6"/>
  <c r="S109" i="6" s="1"/>
  <c r="Q51" i="6"/>
  <c r="P85" i="6" l="1"/>
  <c r="P108" i="6" s="1"/>
  <c r="P52" i="6"/>
  <c r="P74" i="6" s="1"/>
  <c r="Q85" i="6"/>
  <c r="Q108" i="6" s="1"/>
  <c r="Q73" i="6"/>
  <c r="Q52" i="6"/>
  <c r="R73" i="6"/>
  <c r="S104" i="6"/>
  <c r="P86" i="6" l="1"/>
  <c r="P109" i="6" s="1"/>
  <c r="Q74" i="6"/>
  <c r="Q86" i="6"/>
  <c r="Q109" i="6" s="1"/>
  <c r="X63" i="6"/>
  <c r="R52" i="6"/>
  <c r="R74" i="6" l="1"/>
  <c r="X52" i="6"/>
  <c r="R86" i="6"/>
  <c r="R109" i="6" s="1"/>
  <c r="S74" i="6"/>
  <c r="R49" i="6" l="1"/>
  <c r="P49" i="6"/>
  <c r="P83" i="6" s="1"/>
  <c r="P106" i="6" s="1"/>
  <c r="Q49" i="6"/>
  <c r="P71" i="6" l="1"/>
  <c r="S71" i="6"/>
  <c r="R83" i="6"/>
  <c r="R106" i="6" s="1"/>
  <c r="R71" i="6"/>
  <c r="Q71" i="6"/>
  <c r="Q83" i="6"/>
  <c r="Q106" i="6" s="1"/>
  <c r="I106" i="10"/>
  <c r="I109" i="10" s="1"/>
  <c r="O109" i="10" l="1"/>
  <c r="I110" i="10"/>
  <c r="I7" i="10"/>
  <c r="I114" i="10"/>
  <c r="I107" i="10"/>
  <c r="O107" i="10" s="1"/>
  <c r="O106" i="10"/>
  <c r="I8" i="10" l="1"/>
  <c r="O7" i="10"/>
  <c r="O120" i="6"/>
  <c r="I3" i="10"/>
  <c r="O7" i="6"/>
  <c r="O50" i="6" l="1"/>
  <c r="U7" i="6"/>
  <c r="D72" i="3"/>
  <c r="O22" i="6"/>
  <c r="I4" i="10"/>
  <c r="I15" i="10"/>
  <c r="O3" i="10"/>
  <c r="I13" i="10"/>
  <c r="O118" i="6"/>
  <c r="O125" i="6"/>
  <c r="I14" i="10"/>
  <c r="O84" i="6" l="1"/>
  <c r="O107" i="6" s="1"/>
  <c r="O128" i="6"/>
  <c r="O129" i="6"/>
  <c r="O131" i="6"/>
  <c r="O123" i="6"/>
  <c r="O5" i="6"/>
  <c r="O59" i="6" s="1"/>
  <c r="O130" i="6"/>
  <c r="C117" i="4"/>
  <c r="I72" i="3"/>
  <c r="O72" i="6"/>
  <c r="U14" i="6" l="1"/>
  <c r="D70" i="3"/>
  <c r="O48" i="6"/>
  <c r="O82" i="6" s="1"/>
  <c r="O105" i="6" s="1"/>
  <c r="O20" i="6"/>
  <c r="O6" i="7" s="1"/>
  <c r="U5" i="6"/>
  <c r="I70" i="3" l="1"/>
  <c r="C116" i="4"/>
  <c r="O104" i="6"/>
  <c r="O70" i="6"/>
  <c r="L106" i="10" l="1"/>
  <c r="M107" i="10" s="1"/>
  <c r="J106" i="10"/>
  <c r="J109" i="10" s="1"/>
  <c r="K106" i="10"/>
  <c r="K114" i="10" s="1"/>
  <c r="J110" i="10" l="1"/>
  <c r="J7" i="10"/>
  <c r="J3" i="10" s="1"/>
  <c r="J107" i="10"/>
  <c r="J114" i="10"/>
  <c r="K109" i="10"/>
  <c r="K7" i="10" s="1"/>
  <c r="K3" i="10" s="1"/>
  <c r="K14" i="10" s="1"/>
  <c r="L109" i="10"/>
  <c r="L7" i="10" s="1"/>
  <c r="K107" i="10"/>
  <c r="L107" i="10"/>
  <c r="L114" i="10"/>
  <c r="L8" i="10" l="1"/>
  <c r="P120" i="6"/>
  <c r="P118" i="6" s="1"/>
  <c r="L3" i="10"/>
  <c r="L14" i="10" s="1"/>
  <c r="R7" i="6"/>
  <c r="S22" i="6" s="1"/>
  <c r="R120" i="6"/>
  <c r="R118" i="6" s="1"/>
  <c r="R130" i="6" s="1"/>
  <c r="M110" i="10"/>
  <c r="M8" i="10"/>
  <c r="K110" i="10"/>
  <c r="L110" i="10"/>
  <c r="Q7" i="6"/>
  <c r="J8" i="10"/>
  <c r="P7" i="6"/>
  <c r="K8" i="10"/>
  <c r="Q120" i="6"/>
  <c r="J13" i="10"/>
  <c r="J4" i="10"/>
  <c r="J14" i="10"/>
  <c r="J15" i="10"/>
  <c r="K13" i="10"/>
  <c r="K4" i="10"/>
  <c r="K15" i="10"/>
  <c r="P125" i="6" l="1"/>
  <c r="G72" i="3"/>
  <c r="R50" i="6"/>
  <c r="R84" i="6" s="1"/>
  <c r="R107" i="6" s="1"/>
  <c r="L13" i="10"/>
  <c r="S125" i="6"/>
  <c r="M4" i="10"/>
  <c r="L4" i="10"/>
  <c r="R125" i="6"/>
  <c r="Q125" i="6"/>
  <c r="L15" i="10"/>
  <c r="Q22" i="6"/>
  <c r="R22" i="6"/>
  <c r="F72" i="3"/>
  <c r="Q50" i="6"/>
  <c r="Q84" i="6" s="1"/>
  <c r="Q107" i="6" s="1"/>
  <c r="E72" i="3"/>
  <c r="P22" i="6"/>
  <c r="P50" i="6"/>
  <c r="Q118" i="6"/>
  <c r="R123" i="6" s="1"/>
  <c r="P128" i="6"/>
  <c r="P131" i="6"/>
  <c r="P129" i="6"/>
  <c r="P123" i="6"/>
  <c r="P5" i="6"/>
  <c r="S72" i="6"/>
  <c r="P130" i="6"/>
  <c r="R129" i="6"/>
  <c r="R5" i="6"/>
  <c r="R131" i="6"/>
  <c r="R128" i="6"/>
  <c r="S123" i="6"/>
  <c r="Q72" i="6" l="1"/>
  <c r="Q123" i="6"/>
  <c r="Q130" i="6"/>
  <c r="R72" i="6"/>
  <c r="P72" i="6"/>
  <c r="P84" i="6"/>
  <c r="P107" i="6" s="1"/>
  <c r="Q128" i="6"/>
  <c r="Q131" i="6"/>
  <c r="Q5" i="6"/>
  <c r="Q20" i="6" s="1"/>
  <c r="Q6" i="7" s="1"/>
  <c r="Q129" i="6"/>
  <c r="P20" i="6"/>
  <c r="P6" i="7" s="1"/>
  <c r="E70" i="3"/>
  <c r="P59" i="6"/>
  <c r="P48" i="6" s="1"/>
  <c r="P82" i="6" s="1"/>
  <c r="P105" i="6" s="1"/>
  <c r="G70" i="3"/>
  <c r="S20" i="6"/>
  <c r="S6" i="7" s="1"/>
  <c r="R59" i="6"/>
  <c r="X59" i="6" s="1"/>
  <c r="R20" i="6" l="1"/>
  <c r="R6" i="7" s="1"/>
  <c r="F70" i="3"/>
  <c r="Q59" i="6"/>
  <c r="Q48" i="6" s="1"/>
  <c r="P70" i="6"/>
  <c r="P104" i="6"/>
  <c r="R48" i="6"/>
  <c r="Q82" i="6" l="1"/>
  <c r="Q105" i="6" s="1"/>
  <c r="Q70" i="6"/>
  <c r="R70" i="6"/>
  <c r="X70" i="6" s="1"/>
  <c r="X48" i="6"/>
  <c r="S70" i="6"/>
  <c r="R82" i="6"/>
  <c r="R105" i="6" s="1"/>
  <c r="Q104" i="6" l="1"/>
  <c r="R104" i="6"/>
  <c r="N6" i="20"/>
  <c r="O6" i="20" s="1"/>
  <c r="O29" i="20" l="1"/>
  <c r="P6" i="20"/>
  <c r="Q6" i="20" s="1"/>
  <c r="Q47" i="20" s="1"/>
  <c r="Q144" i="6"/>
  <c r="N28" i="20"/>
  <c r="N29" i="20"/>
  <c r="N30" i="20"/>
  <c r="N47" i="20"/>
  <c r="N34" i="20"/>
  <c r="N31" i="20"/>
  <c r="N32" i="20"/>
  <c r="N144" i="6"/>
  <c r="O32" i="20"/>
  <c r="O31" i="20"/>
  <c r="P144" i="6"/>
  <c r="O28" i="20"/>
  <c r="O47" i="20"/>
  <c r="O34" i="20"/>
  <c r="O144" i="6"/>
  <c r="O30" i="20"/>
  <c r="Q29" i="20" l="1"/>
  <c r="R6" i="20"/>
  <c r="R31" i="20" s="1"/>
  <c r="Q32" i="20"/>
  <c r="P29" i="20"/>
  <c r="P47" i="20"/>
  <c r="P28" i="20"/>
  <c r="P32" i="20"/>
  <c r="Q34" i="20"/>
  <c r="Q31" i="20"/>
  <c r="Q30" i="20"/>
  <c r="P34" i="20"/>
  <c r="P31" i="20"/>
  <c r="Q28" i="20"/>
  <c r="P30" i="20"/>
  <c r="N27" i="20"/>
  <c r="O27" i="20"/>
  <c r="P152" i="6"/>
  <c r="P163" i="6"/>
  <c r="P160" i="6"/>
  <c r="P161" i="6"/>
  <c r="P164" i="6"/>
  <c r="P162" i="6"/>
  <c r="P10" i="6"/>
  <c r="O160" i="6"/>
  <c r="O161" i="6"/>
  <c r="O152" i="6"/>
  <c r="O162" i="6"/>
  <c r="O163" i="6"/>
  <c r="O164" i="6"/>
  <c r="O10" i="6"/>
  <c r="R30" i="20"/>
  <c r="R47" i="20"/>
  <c r="R28" i="20"/>
  <c r="R144" i="6"/>
  <c r="S6" i="20"/>
  <c r="N160" i="6"/>
  <c r="N152" i="6"/>
  <c r="N161" i="6"/>
  <c r="N162" i="6"/>
  <c r="N164" i="6"/>
  <c r="N163" i="6"/>
  <c r="N10" i="6"/>
  <c r="N15" i="6" s="1"/>
  <c r="N3" i="6" s="1"/>
  <c r="Q160" i="6"/>
  <c r="Q162" i="6"/>
  <c r="Q164" i="6"/>
  <c r="Q163" i="6"/>
  <c r="Q152" i="6"/>
  <c r="Q161" i="6"/>
  <c r="Q10" i="6"/>
  <c r="R34" i="20" l="1"/>
  <c r="R29" i="20"/>
  <c r="R32" i="20"/>
  <c r="Q27" i="20"/>
  <c r="P27" i="20"/>
  <c r="P159" i="6"/>
  <c r="O159" i="6"/>
  <c r="P25" i="6"/>
  <c r="P8" i="7" s="1"/>
  <c r="E75" i="3"/>
  <c r="P53" i="6"/>
  <c r="N25" i="6"/>
  <c r="N8" i="7" s="1"/>
  <c r="C75" i="3"/>
  <c r="N53" i="6"/>
  <c r="BC10" i="6"/>
  <c r="Q159" i="6"/>
  <c r="D75" i="3"/>
  <c r="O25" i="6"/>
  <c r="O8" i="7" s="1"/>
  <c r="O3" i="6"/>
  <c r="O53" i="6"/>
  <c r="O87" i="6" s="1"/>
  <c r="O110" i="6" s="1"/>
  <c r="O102" i="6" s="1"/>
  <c r="Q25" i="6"/>
  <c r="Q8" i="7" s="1"/>
  <c r="F75" i="3"/>
  <c r="Q53" i="6"/>
  <c r="Q87" i="6" s="1"/>
  <c r="Q110" i="6" s="1"/>
  <c r="Q102" i="6" s="1"/>
  <c r="N159" i="6"/>
  <c r="S28" i="20"/>
  <c r="U6" i="20"/>
  <c r="S30" i="20"/>
  <c r="S34" i="20"/>
  <c r="S31" i="20"/>
  <c r="S32" i="20"/>
  <c r="S47" i="20"/>
  <c r="T46" i="20" s="1"/>
  <c r="S29" i="20"/>
  <c r="S144" i="6"/>
  <c r="R163" i="6"/>
  <c r="X163" i="6" s="1"/>
  <c r="R164" i="6"/>
  <c r="X164" i="6" s="1"/>
  <c r="R152" i="6"/>
  <c r="D112" i="4" s="1"/>
  <c r="R162" i="6"/>
  <c r="X162" i="6" s="1"/>
  <c r="R160" i="6"/>
  <c r="R10" i="6"/>
  <c r="R161" i="6"/>
  <c r="R27" i="20" l="1"/>
  <c r="N87" i="6"/>
  <c r="N46" i="6"/>
  <c r="N57" i="6" s="1"/>
  <c r="N29" i="6"/>
  <c r="X10" i="6"/>
  <c r="G75" i="3"/>
  <c r="R25" i="6"/>
  <c r="R8" i="7" s="1"/>
  <c r="R53" i="6"/>
  <c r="O29" i="6"/>
  <c r="P75" i="6"/>
  <c r="P46" i="6"/>
  <c r="S27" i="20"/>
  <c r="P87" i="6"/>
  <c r="P110" i="6" s="1"/>
  <c r="P102" i="6" s="1"/>
  <c r="R159" i="6"/>
  <c r="P29" i="6"/>
  <c r="P3" i="6"/>
  <c r="O75" i="6"/>
  <c r="O46" i="6"/>
  <c r="S160" i="6"/>
  <c r="S163" i="6"/>
  <c r="S162" i="6"/>
  <c r="S152" i="6"/>
  <c r="S161" i="6"/>
  <c r="S164" i="6"/>
  <c r="S10" i="6"/>
  <c r="BA25" i="6"/>
  <c r="BC3" i="6"/>
  <c r="Q75" i="6"/>
  <c r="Q46" i="6"/>
  <c r="Q13" i="5" s="1"/>
  <c r="Q29" i="6"/>
  <c r="Q3" i="6"/>
  <c r="Q7" i="5" s="1"/>
  <c r="N75" i="6"/>
  <c r="R75" i="6" l="1"/>
  <c r="D74" i="4" s="1"/>
  <c r="X53" i="6"/>
  <c r="R46" i="6"/>
  <c r="P34" i="6"/>
  <c r="P18" i="6"/>
  <c r="P40" i="6"/>
  <c r="P7" i="5"/>
  <c r="P3" i="20"/>
  <c r="P4" i="20" s="1"/>
  <c r="P80" i="6"/>
  <c r="P91" i="6" s="1"/>
  <c r="P145" i="5" s="1"/>
  <c r="P37" i="6"/>
  <c r="P36" i="6"/>
  <c r="P38" i="6"/>
  <c r="P41" i="6"/>
  <c r="E69" i="3"/>
  <c r="P35" i="6"/>
  <c r="P39" i="6"/>
  <c r="Q68" i="6"/>
  <c r="Q57" i="6"/>
  <c r="N38" i="6"/>
  <c r="C67" i="4" s="1"/>
  <c r="N35" i="6"/>
  <c r="C64" i="4" s="1"/>
  <c r="N37" i="6"/>
  <c r="C66" i="4" s="1"/>
  <c r="N36" i="6"/>
  <c r="C65" i="4" s="1"/>
  <c r="N40" i="6"/>
  <c r="N41" i="6"/>
  <c r="C70" i="4" s="1"/>
  <c r="N34" i="6"/>
  <c r="N3" i="20"/>
  <c r="N4" i="20" s="1"/>
  <c r="BC7" i="5"/>
  <c r="C69" i="3"/>
  <c r="N80" i="6"/>
  <c r="N18" i="6"/>
  <c r="N39" i="6"/>
  <c r="C68" i="4" s="1"/>
  <c r="O68" i="6"/>
  <c r="O57" i="6"/>
  <c r="O13" i="5"/>
  <c r="BA46" i="6"/>
  <c r="BD46" i="6" s="1"/>
  <c r="BD57" i="6" s="1"/>
  <c r="BA34" i="6"/>
  <c r="BA38" i="6"/>
  <c r="BA40" i="6"/>
  <c r="BA41" i="6"/>
  <c r="BA18" i="6"/>
  <c r="AX7" i="5"/>
  <c r="P68" i="6"/>
  <c r="P57" i="6"/>
  <c r="P13" i="5"/>
  <c r="R87" i="6"/>
  <c r="R110" i="6" s="1"/>
  <c r="R102" i="6" s="1"/>
  <c r="S25" i="6"/>
  <c r="S8" i="7" s="1"/>
  <c r="H75" i="3"/>
  <c r="F148" i="3" s="1"/>
  <c r="U10" i="6"/>
  <c r="U15" i="6"/>
  <c r="S53" i="6"/>
  <c r="BA39" i="6"/>
  <c r="BC13" i="5"/>
  <c r="N68" i="6"/>
  <c r="D115" i="4"/>
  <c r="O40" i="6"/>
  <c r="O80" i="6"/>
  <c r="O91" i="6" s="1"/>
  <c r="O145" i="5" s="1"/>
  <c r="O7" i="5"/>
  <c r="O34" i="6"/>
  <c r="D69" i="3"/>
  <c r="O41" i="6"/>
  <c r="O37" i="6"/>
  <c r="O3" i="20"/>
  <c r="O4" i="20" s="1"/>
  <c r="O18" i="6"/>
  <c r="O38" i="6"/>
  <c r="O35" i="6"/>
  <c r="O36" i="6"/>
  <c r="O39" i="6"/>
  <c r="Q40" i="6"/>
  <c r="F69" i="3"/>
  <c r="Q34" i="6"/>
  <c r="Q38" i="6"/>
  <c r="Q35" i="6"/>
  <c r="Q41" i="6"/>
  <c r="Q36" i="6"/>
  <c r="Q37" i="6"/>
  <c r="Q3" i="20"/>
  <c r="Q4" i="20" s="1"/>
  <c r="Q18" i="6"/>
  <c r="Q80" i="6"/>
  <c r="Q91" i="6" s="1"/>
  <c r="Q145" i="5" s="1"/>
  <c r="Q39" i="6"/>
  <c r="S159" i="6"/>
  <c r="R29" i="6"/>
  <c r="X29" i="6" s="1"/>
  <c r="R3" i="6"/>
  <c r="Q44" i="6" l="1"/>
  <c r="O44" i="6"/>
  <c r="BA44" i="6"/>
  <c r="C69" i="4"/>
  <c r="C71" i="4" s="1"/>
  <c r="N44" i="6"/>
  <c r="O10" i="5"/>
  <c r="O105" i="5" s="1"/>
  <c r="O31" i="7"/>
  <c r="Q54" i="7"/>
  <c r="Q57" i="7" s="1"/>
  <c r="Q92" i="6"/>
  <c r="Q151" i="5"/>
  <c r="F81" i="3" s="1"/>
  <c r="X102" i="6"/>
  <c r="O92" i="6"/>
  <c r="O54" i="7"/>
  <c r="O57" i="7" s="1"/>
  <c r="O151" i="5"/>
  <c r="D81" i="3" s="1"/>
  <c r="BA32" i="6"/>
  <c r="BA43" i="6"/>
  <c r="Q10" i="5"/>
  <c r="Q105" i="5" s="1"/>
  <c r="Q14" i="5"/>
  <c r="G55" i="4" s="1"/>
  <c r="Q15" i="5"/>
  <c r="Q10" i="7"/>
  <c r="Q31" i="7"/>
  <c r="P46" i="5"/>
  <c r="P52" i="5"/>
  <c r="P8" i="5"/>
  <c r="P29" i="5"/>
  <c r="P24" i="5"/>
  <c r="P26" i="5"/>
  <c r="P123" i="5"/>
  <c r="P22" i="5"/>
  <c r="P104" i="5"/>
  <c r="P5" i="7"/>
  <c r="P31" i="7"/>
  <c r="P15" i="5"/>
  <c r="P10" i="7"/>
  <c r="P10" i="5"/>
  <c r="P105" i="5" s="1"/>
  <c r="P54" i="7"/>
  <c r="P57" i="7" s="1"/>
  <c r="P151" i="5"/>
  <c r="E81" i="3" s="1"/>
  <c r="P92" i="6"/>
  <c r="AX8" i="5"/>
  <c r="AX106" i="5"/>
  <c r="AX29" i="5"/>
  <c r="AZ29" i="5" s="1"/>
  <c r="AX52" i="5"/>
  <c r="AZ52" i="5" s="1"/>
  <c r="AX123" i="5"/>
  <c r="AZ7" i="5"/>
  <c r="N7" i="5" s="1"/>
  <c r="AX17" i="5"/>
  <c r="AZ17" i="5" s="1"/>
  <c r="AX104" i="5"/>
  <c r="AX162" i="5"/>
  <c r="AX46" i="5"/>
  <c r="AX13" i="5"/>
  <c r="P44" i="6"/>
  <c r="S46" i="6"/>
  <c r="S75" i="6"/>
  <c r="R40" i="6"/>
  <c r="R80" i="6"/>
  <c r="X80" i="6" s="1"/>
  <c r="R41" i="6"/>
  <c r="X41" i="6" s="1"/>
  <c r="G69" i="3"/>
  <c r="R37" i="6"/>
  <c r="R18" i="6"/>
  <c r="R35" i="6"/>
  <c r="R3" i="20"/>
  <c r="R4" i="20" s="1"/>
  <c r="R36" i="6"/>
  <c r="R38" i="6"/>
  <c r="X38" i="6" s="1"/>
  <c r="R7" i="5"/>
  <c r="R34" i="6"/>
  <c r="R39" i="6"/>
  <c r="X39" i="6" s="1"/>
  <c r="S29" i="6"/>
  <c r="S3" i="6"/>
  <c r="U3" i="6" s="1"/>
  <c r="P43" i="6"/>
  <c r="P32" i="6"/>
  <c r="I75" i="3"/>
  <c r="C121" i="4"/>
  <c r="Q123" i="5"/>
  <c r="Q8" i="5"/>
  <c r="Q22" i="5"/>
  <c r="Q5" i="7"/>
  <c r="Q24" i="5"/>
  <c r="Q46" i="5"/>
  <c r="Q26" i="5"/>
  <c r="Q52" i="5"/>
  <c r="Q104" i="5"/>
  <c r="Q29" i="5"/>
  <c r="Q32" i="6"/>
  <c r="Q43" i="6"/>
  <c r="O43" i="6"/>
  <c r="O32" i="6"/>
  <c r="S87" i="6"/>
  <c r="S110" i="6" s="1"/>
  <c r="S102" i="6" s="1"/>
  <c r="R68" i="6"/>
  <c r="X68" i="6" s="1"/>
  <c r="X46" i="6"/>
  <c r="R57" i="6"/>
  <c r="X57" i="6" s="1"/>
  <c r="R13" i="5"/>
  <c r="O104" i="5"/>
  <c r="O22" i="5"/>
  <c r="O29" i="5"/>
  <c r="O46" i="5"/>
  <c r="O123" i="5"/>
  <c r="O52" i="5"/>
  <c r="O26" i="5"/>
  <c r="O24" i="5"/>
  <c r="N32" i="6"/>
  <c r="N43" i="6"/>
  <c r="S57" i="6" l="1"/>
  <c r="D71" i="4"/>
  <c r="C101" i="4" s="1"/>
  <c r="Q217" i="5"/>
  <c r="AZ53" i="5"/>
  <c r="N53" i="5" s="1"/>
  <c r="P51" i="7"/>
  <c r="P59" i="7" s="1"/>
  <c r="AZ30" i="5"/>
  <c r="N30" i="5" s="1"/>
  <c r="O17" i="5"/>
  <c r="O18" i="5" s="1"/>
  <c r="P217" i="5"/>
  <c r="AZ123" i="5"/>
  <c r="AZ149" i="5" s="1"/>
  <c r="AX217" i="5"/>
  <c r="AZ217" i="5" s="1"/>
  <c r="P16" i="7"/>
  <c r="P43" i="7"/>
  <c r="Q154" i="5"/>
  <c r="Q214" i="5"/>
  <c r="Q9" i="5"/>
  <c r="Q113" i="6"/>
  <c r="Q17" i="5"/>
  <c r="Q32" i="5" s="1"/>
  <c r="O154" i="5"/>
  <c r="O113" i="6"/>
  <c r="R44" i="6"/>
  <c r="X44" i="6" s="1"/>
  <c r="X40" i="6"/>
  <c r="R43" i="6"/>
  <c r="X43" i="6" s="1"/>
  <c r="R32" i="6"/>
  <c r="X32" i="6" s="1"/>
  <c r="AX215" i="5"/>
  <c r="AZ215" i="5" s="1"/>
  <c r="AZ106" i="5"/>
  <c r="AZ146" i="5" s="1"/>
  <c r="N146" i="5" s="1"/>
  <c r="O146" i="5" s="1"/>
  <c r="P14" i="5"/>
  <c r="F55" i="4" s="1"/>
  <c r="E55" i="4"/>
  <c r="O43" i="7"/>
  <c r="Q43" i="7"/>
  <c r="Q16" i="7"/>
  <c r="P214" i="5"/>
  <c r="P9" i="5"/>
  <c r="P154" i="5"/>
  <c r="P113" i="6"/>
  <c r="S68" i="6"/>
  <c r="S13" i="5"/>
  <c r="AX15" i="5"/>
  <c r="AX10" i="5"/>
  <c r="AZ13" i="5"/>
  <c r="AX207" i="5"/>
  <c r="AZ46" i="5"/>
  <c r="P213" i="5"/>
  <c r="P153" i="5"/>
  <c r="R10" i="5"/>
  <c r="R14" i="5"/>
  <c r="H55" i="4" s="1"/>
  <c r="R15" i="5"/>
  <c r="R31" i="7"/>
  <c r="R10" i="7"/>
  <c r="AX180" i="5"/>
  <c r="K10" i="17"/>
  <c r="AX164" i="5"/>
  <c r="AX166" i="5" s="1"/>
  <c r="AZ162" i="5"/>
  <c r="AZ163" i="5" s="1"/>
  <c r="N163" i="5" s="1"/>
  <c r="P17" i="5"/>
  <c r="O11" i="5"/>
  <c r="AX153" i="5"/>
  <c r="AZ104" i="5"/>
  <c r="AX213" i="5"/>
  <c r="R46" i="5"/>
  <c r="R29" i="5"/>
  <c r="R22" i="5"/>
  <c r="R123" i="5"/>
  <c r="R217" i="5" s="1"/>
  <c r="R24" i="5"/>
  <c r="R5" i="7"/>
  <c r="R8" i="5"/>
  <c r="R26" i="5"/>
  <c r="R52" i="5"/>
  <c r="R104" i="5"/>
  <c r="Q213" i="5"/>
  <c r="Q153" i="5"/>
  <c r="O153" i="5"/>
  <c r="N17" i="5"/>
  <c r="AZ18" i="5"/>
  <c r="R91" i="6"/>
  <c r="Q51" i="7"/>
  <c r="Q59" i="7" s="1"/>
  <c r="S34" i="6"/>
  <c r="S35" i="6"/>
  <c r="F64" i="4" s="1"/>
  <c r="S40" i="6"/>
  <c r="S36" i="6"/>
  <c r="F65" i="4" s="1"/>
  <c r="S3" i="20"/>
  <c r="S4" i="20" s="1"/>
  <c r="S38" i="6"/>
  <c r="F67" i="4" s="1"/>
  <c r="S37" i="6"/>
  <c r="F66" i="4" s="1"/>
  <c r="S41" i="6"/>
  <c r="F70" i="4" s="1"/>
  <c r="S80" i="6"/>
  <c r="S91" i="6" s="1"/>
  <c r="S145" i="5" s="1"/>
  <c r="S18" i="6"/>
  <c r="H69" i="3"/>
  <c r="S7" i="5"/>
  <c r="S39" i="6"/>
  <c r="F68" i="4" s="1"/>
  <c r="AZ8" i="5"/>
  <c r="P14" i="7"/>
  <c r="P11" i="5"/>
  <c r="P141" i="5"/>
  <c r="P50" i="7"/>
  <c r="Q141" i="5"/>
  <c r="Q50" i="7"/>
  <c r="Q11" i="5"/>
  <c r="Q14" i="7"/>
  <c r="O15" i="7" l="1"/>
  <c r="N29" i="5"/>
  <c r="N16" i="7" s="1"/>
  <c r="O32" i="5"/>
  <c r="O30" i="7" s="1"/>
  <c r="O42" i="7"/>
  <c r="O45" i="7" s="1"/>
  <c r="R17" i="5"/>
  <c r="R42" i="7" s="1"/>
  <c r="N43" i="7"/>
  <c r="O16" i="7"/>
  <c r="S151" i="5"/>
  <c r="H81" i="3" s="1"/>
  <c r="S54" i="7"/>
  <c r="S57" i="7" s="1"/>
  <c r="S92" i="6"/>
  <c r="S44" i="6"/>
  <c r="F69" i="4"/>
  <c r="F71" i="4" s="1"/>
  <c r="AX12" i="5"/>
  <c r="AX11" i="5"/>
  <c r="AX122" i="5"/>
  <c r="AZ10" i="5"/>
  <c r="AZ11" i="5" s="1"/>
  <c r="AX105" i="5"/>
  <c r="AX141" i="5" s="1"/>
  <c r="AZ141" i="5" s="1"/>
  <c r="N123" i="5"/>
  <c r="N8" i="5"/>
  <c r="N106" i="5"/>
  <c r="N215" i="5" s="1"/>
  <c r="N5" i="7"/>
  <c r="N24" i="5"/>
  <c r="N22" i="5"/>
  <c r="N26" i="5"/>
  <c r="O8" i="5"/>
  <c r="O5" i="7"/>
  <c r="S123" i="5"/>
  <c r="S217" i="5" s="1"/>
  <c r="S22" i="5"/>
  <c r="S29" i="5"/>
  <c r="S24" i="5"/>
  <c r="S5" i="7"/>
  <c r="S8" i="5"/>
  <c r="S52" i="5"/>
  <c r="S26" i="5"/>
  <c r="S104" i="5"/>
  <c r="S51" i="7" s="1"/>
  <c r="S59" i="7" s="1"/>
  <c r="S46" i="5"/>
  <c r="S43" i="6"/>
  <c r="S32" i="6"/>
  <c r="R153" i="5"/>
  <c r="R213" i="5"/>
  <c r="R16" i="7"/>
  <c r="R43" i="7"/>
  <c r="S14" i="5"/>
  <c r="I55" i="4" s="1"/>
  <c r="S15" i="5"/>
  <c r="S10" i="5"/>
  <c r="S31" i="7"/>
  <c r="S10" i="7"/>
  <c r="C77" i="4"/>
  <c r="D77" i="4"/>
  <c r="P15" i="7"/>
  <c r="P18" i="5"/>
  <c r="P42" i="7"/>
  <c r="P45" i="7" s="1"/>
  <c r="P32" i="5"/>
  <c r="R11" i="5"/>
  <c r="R14" i="7"/>
  <c r="C78" i="4"/>
  <c r="C103" i="4" s="1"/>
  <c r="D78" i="4"/>
  <c r="AZ166" i="5"/>
  <c r="AX111" i="5"/>
  <c r="AZ153" i="5"/>
  <c r="AZ144" i="5"/>
  <c r="N162" i="5"/>
  <c r="O163" i="5"/>
  <c r="Q122" i="5"/>
  <c r="C83" i="4"/>
  <c r="C108" i="4" s="1"/>
  <c r="D83" i="4"/>
  <c r="AX174" i="5"/>
  <c r="AX36" i="5" s="1"/>
  <c r="AZ164" i="5"/>
  <c r="C115" i="4"/>
  <c r="I69" i="3"/>
  <c r="R145" i="5"/>
  <c r="X91" i="6"/>
  <c r="AZ47" i="5"/>
  <c r="N47" i="5" s="1"/>
  <c r="N46" i="5" s="1"/>
  <c r="AZ207" i="5"/>
  <c r="P146" i="5"/>
  <c r="O106" i="5"/>
  <c r="D81" i="4"/>
  <c r="C81" i="4"/>
  <c r="D79" i="4"/>
  <c r="C79" i="4"/>
  <c r="C104" i="4" s="1"/>
  <c r="AZ180" i="5"/>
  <c r="AX221" i="5"/>
  <c r="AX182" i="5"/>
  <c r="N52" i="5"/>
  <c r="AZ213" i="5"/>
  <c r="P122" i="5"/>
  <c r="D80" i="4"/>
  <c r="C80" i="4"/>
  <c r="C105" i="4" s="1"/>
  <c r="N15" i="7"/>
  <c r="N18" i="5"/>
  <c r="N42" i="7"/>
  <c r="N45" i="7" s="1"/>
  <c r="R51" i="7"/>
  <c r="R59" i="7" s="1"/>
  <c r="Q42" i="7"/>
  <c r="Q45" i="7" s="1"/>
  <c r="Q15" i="7"/>
  <c r="Q18" i="5"/>
  <c r="AZ15" i="5"/>
  <c r="AZ14" i="5"/>
  <c r="N13" i="5"/>
  <c r="N14" i="5" s="1"/>
  <c r="O33" i="5" l="1"/>
  <c r="E54" i="4" s="1"/>
  <c r="O206" i="5"/>
  <c r="R32" i="5"/>
  <c r="R11" i="7" s="1"/>
  <c r="R15" i="7"/>
  <c r="R18" i="5"/>
  <c r="Q52" i="7"/>
  <c r="G71" i="4"/>
  <c r="C73" i="4" s="1"/>
  <c r="O215" i="5"/>
  <c r="E81" i="4"/>
  <c r="E78" i="4"/>
  <c r="E80" i="4"/>
  <c r="S17" i="5"/>
  <c r="S32" i="5" s="1"/>
  <c r="S33" i="5" s="1"/>
  <c r="R45" i="7"/>
  <c r="C89" i="4"/>
  <c r="C102" i="4"/>
  <c r="S43" i="7"/>
  <c r="S16" i="7"/>
  <c r="Q146" i="5"/>
  <c r="P106" i="5"/>
  <c r="P215" i="5" s="1"/>
  <c r="Q216" i="5"/>
  <c r="Q155" i="5"/>
  <c r="C82" i="4"/>
  <c r="C107" i="4" s="1"/>
  <c r="D82" i="4"/>
  <c r="D84" i="4" s="1"/>
  <c r="P155" i="5"/>
  <c r="P163" i="5"/>
  <c r="O162" i="5"/>
  <c r="I10" i="17"/>
  <c r="N180" i="5"/>
  <c r="P34" i="5"/>
  <c r="P206" i="5"/>
  <c r="P33" i="5"/>
  <c r="P11" i="7"/>
  <c r="P30" i="7"/>
  <c r="S213" i="5"/>
  <c r="S153" i="5"/>
  <c r="N144" i="5"/>
  <c r="AX184" i="5"/>
  <c r="AX185" i="5" s="1"/>
  <c r="AZ185" i="5" s="1"/>
  <c r="AZ182" i="5"/>
  <c r="AX126" i="5"/>
  <c r="AZ184" i="5"/>
  <c r="R54" i="7"/>
  <c r="R57" i="7" s="1"/>
  <c r="R92" i="6"/>
  <c r="R105" i="5"/>
  <c r="R151" i="5"/>
  <c r="G81" i="3" s="1"/>
  <c r="S11" i="5"/>
  <c r="S14" i="7"/>
  <c r="AX223" i="5"/>
  <c r="AZ223" i="5" s="1"/>
  <c r="AZ221" i="5"/>
  <c r="N217" i="5"/>
  <c r="O217" i="5"/>
  <c r="S105" i="5"/>
  <c r="Q34" i="5"/>
  <c r="Q11" i="7"/>
  <c r="Q30" i="7"/>
  <c r="Q33" i="5"/>
  <c r="Q206" i="5"/>
  <c r="AZ174" i="5"/>
  <c r="AZ165" i="5"/>
  <c r="N165" i="5" s="1"/>
  <c r="AX214" i="5"/>
  <c r="AX154" i="5"/>
  <c r="AX193" i="5"/>
  <c r="AZ105" i="5"/>
  <c r="AZ111" i="5"/>
  <c r="AX112" i="5"/>
  <c r="AZ112" i="5" s="1"/>
  <c r="AX113" i="5"/>
  <c r="AZ113" i="5" s="1"/>
  <c r="D55" i="4"/>
  <c r="N10" i="7"/>
  <c r="N15" i="5"/>
  <c r="N10" i="5"/>
  <c r="N32" i="5"/>
  <c r="N31" i="7"/>
  <c r="O15" i="5"/>
  <c r="O10" i="7"/>
  <c r="E79" i="4"/>
  <c r="AZ36" i="5"/>
  <c r="AZ37" i="5" s="1"/>
  <c r="K11" i="17"/>
  <c r="AX210" i="5"/>
  <c r="AZ210" i="5" s="1"/>
  <c r="AX37" i="5"/>
  <c r="C106" i="4"/>
  <c r="E83" i="4"/>
  <c r="E77" i="4"/>
  <c r="AZ122" i="5"/>
  <c r="AX155" i="5"/>
  <c r="AX216" i="5"/>
  <c r="AZ216" i="5" s="1"/>
  <c r="R30" i="7" l="1"/>
  <c r="R206" i="5"/>
  <c r="D82" i="3"/>
  <c r="R33" i="5"/>
  <c r="H54" i="4" s="1"/>
  <c r="R34" i="5"/>
  <c r="S50" i="7"/>
  <c r="S18" i="5"/>
  <c r="C92" i="4" s="1"/>
  <c r="S42" i="7"/>
  <c r="S45" i="7" s="1"/>
  <c r="S15" i="7"/>
  <c r="S11" i="7"/>
  <c r="S30" i="7"/>
  <c r="S206" i="5"/>
  <c r="S34" i="5"/>
  <c r="AZ186" i="5"/>
  <c r="N186" i="5" s="1"/>
  <c r="O186" i="5" s="1"/>
  <c r="P186" i="5" s="1"/>
  <c r="Q186" i="5" s="1"/>
  <c r="AX109" i="5"/>
  <c r="S141" i="5"/>
  <c r="S122" i="5" s="1"/>
  <c r="E82" i="4"/>
  <c r="E84" i="4" s="1"/>
  <c r="C90" i="4"/>
  <c r="N164" i="5"/>
  <c r="O165" i="5"/>
  <c r="P165" i="5" s="1"/>
  <c r="S9" i="5"/>
  <c r="S214" i="5"/>
  <c r="S154" i="5"/>
  <c r="S113" i="6"/>
  <c r="F54" i="4"/>
  <c r="E82" i="3"/>
  <c r="AX226" i="5"/>
  <c r="AZ226" i="5" s="1"/>
  <c r="AZ126" i="5"/>
  <c r="AZ125" i="5" s="1"/>
  <c r="AX125" i="5"/>
  <c r="F82" i="3"/>
  <c r="G54" i="4"/>
  <c r="O180" i="5"/>
  <c r="O221" i="5" s="1"/>
  <c r="O223" i="5" s="1"/>
  <c r="L10" i="17"/>
  <c r="R146" i="5"/>
  <c r="Q106" i="5"/>
  <c r="Q215" i="5" s="1"/>
  <c r="Q212" i="5" s="1"/>
  <c r="N9" i="17" s="1"/>
  <c r="Q163" i="5"/>
  <c r="P162" i="5"/>
  <c r="AZ214" i="5"/>
  <c r="AX212" i="5"/>
  <c r="N55" i="7"/>
  <c r="N104" i="5"/>
  <c r="N14" i="7"/>
  <c r="N11" i="5"/>
  <c r="O14" i="7"/>
  <c r="AZ155" i="5"/>
  <c r="AZ148" i="5"/>
  <c r="N148" i="5" s="1"/>
  <c r="N56" i="7" s="1"/>
  <c r="AZ109" i="5"/>
  <c r="AZ154" i="5"/>
  <c r="AZ145" i="5"/>
  <c r="H82" i="3"/>
  <c r="I54" i="4"/>
  <c r="C91" i="4"/>
  <c r="C109" i="4"/>
  <c r="C110" i="4" s="1"/>
  <c r="N221" i="5"/>
  <c r="N223" i="5" s="1"/>
  <c r="N182" i="5"/>
  <c r="C84" i="4"/>
  <c r="G73" i="4" s="1"/>
  <c r="AX192" i="5"/>
  <c r="AZ193" i="5"/>
  <c r="AZ200" i="5"/>
  <c r="AX121" i="5"/>
  <c r="AX200" i="5"/>
  <c r="AX201" i="5" s="1"/>
  <c r="N34" i="5"/>
  <c r="N206" i="5"/>
  <c r="N11" i="7"/>
  <c r="N33" i="5"/>
  <c r="N30" i="7"/>
  <c r="O34" i="5"/>
  <c r="O11" i="7"/>
  <c r="R214" i="5"/>
  <c r="R154" i="5"/>
  <c r="R9" i="5"/>
  <c r="R113" i="6"/>
  <c r="R141" i="5"/>
  <c r="R50" i="7"/>
  <c r="G82" i="3" l="1"/>
  <c r="N153" i="5"/>
  <c r="N213" i="5"/>
  <c r="O51" i="7"/>
  <c r="O59" i="7" s="1"/>
  <c r="O213" i="5"/>
  <c r="N51" i="7"/>
  <c r="N59" i="7" s="1"/>
  <c r="S146" i="5"/>
  <c r="S106" i="5" s="1"/>
  <c r="R106" i="5"/>
  <c r="R215" i="5" s="1"/>
  <c r="R122" i="5"/>
  <c r="R52" i="7" s="1"/>
  <c r="N145" i="5"/>
  <c r="AZ151" i="5"/>
  <c r="AZ121" i="5"/>
  <c r="AX225" i="5"/>
  <c r="AX120" i="5"/>
  <c r="AZ192" i="5"/>
  <c r="AZ195" i="5"/>
  <c r="N195" i="5" s="1"/>
  <c r="O195" i="5" s="1"/>
  <c r="P195" i="5" s="1"/>
  <c r="AZ212" i="5"/>
  <c r="K9" i="17"/>
  <c r="C88" i="4"/>
  <c r="C93" i="4" s="1"/>
  <c r="D54" i="4"/>
  <c r="C82" i="3"/>
  <c r="AZ201" i="5"/>
  <c r="AZ202" i="5" s="1"/>
  <c r="N202" i="5" s="1"/>
  <c r="P202" i="5" s="1"/>
  <c r="Q202" i="5" s="1"/>
  <c r="AX55" i="5"/>
  <c r="S155" i="5"/>
  <c r="N126" i="5"/>
  <c r="O181" i="5"/>
  <c r="N184" i="5"/>
  <c r="N185" i="5" s="1"/>
  <c r="O179" i="5"/>
  <c r="P180" i="5"/>
  <c r="P221" i="5" s="1"/>
  <c r="P223" i="5" s="1"/>
  <c r="M10" i="17"/>
  <c r="R163" i="5"/>
  <c r="Q162" i="5"/>
  <c r="Q165" i="5"/>
  <c r="R165" i="5" s="1"/>
  <c r="N174" i="5"/>
  <c r="N36" i="5" s="1"/>
  <c r="N166" i="5"/>
  <c r="I82" i="3" l="1"/>
  <c r="O182" i="5"/>
  <c r="P181" i="5" s="1"/>
  <c r="S215" i="5"/>
  <c r="N54" i="7"/>
  <c r="N57" i="7" s="1"/>
  <c r="N105" i="5"/>
  <c r="N151" i="5"/>
  <c r="C81" i="3" s="1"/>
  <c r="I81" i="3" s="1"/>
  <c r="R216" i="5"/>
  <c r="R212" i="5" s="1"/>
  <c r="O9" i="17" s="1"/>
  <c r="R155" i="5"/>
  <c r="S52" i="7"/>
  <c r="O161" i="5"/>
  <c r="N111" i="5"/>
  <c r="Q195" i="5"/>
  <c r="AZ225" i="5"/>
  <c r="AX247" i="5"/>
  <c r="AX248" i="5" s="1"/>
  <c r="N210" i="5"/>
  <c r="I11" i="17"/>
  <c r="N37" i="5"/>
  <c r="N39" i="5"/>
  <c r="N125" i="5"/>
  <c r="N226" i="5"/>
  <c r="S216" i="5"/>
  <c r="N10" i="17"/>
  <c r="Q180" i="5"/>
  <c r="Q221" i="5" s="1"/>
  <c r="Q223" i="5" s="1"/>
  <c r="AZ55" i="5"/>
  <c r="AZ56" i="5" s="1"/>
  <c r="AX218" i="5"/>
  <c r="AZ218" i="5" s="1"/>
  <c r="AX56" i="5"/>
  <c r="AX43" i="5"/>
  <c r="R162" i="5"/>
  <c r="S163" i="5"/>
  <c r="S162" i="5" s="1"/>
  <c r="S165" i="5"/>
  <c r="AZ120" i="5"/>
  <c r="AZ119" i="5" s="1"/>
  <c r="AX119" i="5"/>
  <c r="P179" i="5" l="1"/>
  <c r="P182" i="5" s="1"/>
  <c r="S212" i="5"/>
  <c r="P9" i="17" s="1"/>
  <c r="O126" i="5"/>
  <c r="O125" i="5" s="1"/>
  <c r="O184" i="5"/>
  <c r="O185" i="5" s="1"/>
  <c r="AX44" i="5"/>
  <c r="AZ43" i="5"/>
  <c r="AZ44" i="5" s="1"/>
  <c r="AX58" i="5"/>
  <c r="N113" i="5"/>
  <c r="N112" i="5"/>
  <c r="O164" i="5"/>
  <c r="O174" i="5" s="1"/>
  <c r="O36" i="5" s="1"/>
  <c r="N154" i="5"/>
  <c r="N9" i="5"/>
  <c r="N193" i="5"/>
  <c r="O193" i="5" s="1"/>
  <c r="N214" i="5"/>
  <c r="O9" i="5"/>
  <c r="O50" i="7"/>
  <c r="O214" i="5"/>
  <c r="O141" i="5"/>
  <c r="N50" i="7"/>
  <c r="N141" i="5"/>
  <c r="N40" i="5"/>
  <c r="N41" i="5"/>
  <c r="S180" i="5"/>
  <c r="S221" i="5" s="1"/>
  <c r="S223" i="5" s="1"/>
  <c r="P10" i="17"/>
  <c r="R180" i="5"/>
  <c r="R221" i="5" s="1"/>
  <c r="R223" i="5" s="1"/>
  <c r="O10" i="17"/>
  <c r="R195" i="5"/>
  <c r="O226" i="5" l="1"/>
  <c r="P126" i="5"/>
  <c r="Q179" i="5"/>
  <c r="Q181" i="5"/>
  <c r="P184" i="5"/>
  <c r="P185" i="5" s="1"/>
  <c r="N122" i="5"/>
  <c r="O122" i="5"/>
  <c r="O52" i="7" s="1"/>
  <c r="O37" i="5"/>
  <c r="O210" i="5"/>
  <c r="L11" i="17"/>
  <c r="O39" i="5"/>
  <c r="O166" i="5"/>
  <c r="N109" i="5"/>
  <c r="P189" i="5"/>
  <c r="P246" i="5" s="1"/>
  <c r="O196" i="5"/>
  <c r="O198" i="5"/>
  <c r="O121" i="5"/>
  <c r="P193" i="5"/>
  <c r="P200" i="5" s="1"/>
  <c r="P201" i="5" s="1"/>
  <c r="O200" i="5"/>
  <c r="O201" i="5" s="1"/>
  <c r="O55" i="5" s="1"/>
  <c r="N196" i="5"/>
  <c r="N198" i="5"/>
  <c r="N200" i="5"/>
  <c r="N201" i="5" s="1"/>
  <c r="N55" i="5" s="1"/>
  <c r="N121" i="5"/>
  <c r="N192" i="5"/>
  <c r="O189" i="5"/>
  <c r="O246" i="5" s="1"/>
  <c r="AZ58" i="5"/>
  <c r="AX60" i="5"/>
  <c r="AX59" i="5"/>
  <c r="AX65" i="5"/>
  <c r="P55" i="5" l="1"/>
  <c r="P70" i="7" s="1"/>
  <c r="Q182" i="5"/>
  <c r="Q126" i="5" s="1"/>
  <c r="O155" i="5"/>
  <c r="O216" i="5"/>
  <c r="O212" i="5" s="1"/>
  <c r="L9" i="17" s="1"/>
  <c r="P52" i="7"/>
  <c r="P216" i="5"/>
  <c r="P212" i="5" s="1"/>
  <c r="M9" i="17" s="1"/>
  <c r="N155" i="5"/>
  <c r="N216" i="5"/>
  <c r="N212" i="5" s="1"/>
  <c r="I9" i="17" s="1"/>
  <c r="AZ59" i="5"/>
  <c r="AZ60" i="5"/>
  <c r="N52" i="7"/>
  <c r="O192" i="5"/>
  <c r="N120" i="5"/>
  <c r="N119" i="5" s="1"/>
  <c r="N225" i="5"/>
  <c r="AX67" i="5"/>
  <c r="AX69" i="5"/>
  <c r="AX72" i="5" s="1"/>
  <c r="AX66" i="5"/>
  <c r="AZ65" i="5"/>
  <c r="AX32" i="5"/>
  <c r="Q184" i="5"/>
  <c r="Q185" i="5" s="1"/>
  <c r="N46" i="7"/>
  <c r="N56" i="5"/>
  <c r="N218" i="5"/>
  <c r="N70" i="7"/>
  <c r="B65" i="8" s="1"/>
  <c r="O46" i="7"/>
  <c r="O218" i="5"/>
  <c r="O56" i="5"/>
  <c r="O70" i="7"/>
  <c r="Q189" i="5"/>
  <c r="Q246" i="5" s="1"/>
  <c r="P198" i="5"/>
  <c r="P121" i="5"/>
  <c r="P196" i="5"/>
  <c r="P192" i="5"/>
  <c r="Q193" i="5"/>
  <c r="O120" i="5"/>
  <c r="O119" i="5" s="1"/>
  <c r="O225" i="5"/>
  <c r="O111" i="5"/>
  <c r="P161" i="5"/>
  <c r="O40" i="5"/>
  <c r="O41" i="5"/>
  <c r="P226" i="5"/>
  <c r="P125" i="5"/>
  <c r="P218" i="5" l="1"/>
  <c r="P56" i="5"/>
  <c r="R179" i="5"/>
  <c r="R181" i="5"/>
  <c r="O113" i="5"/>
  <c r="O112" i="5"/>
  <c r="P46" i="7"/>
  <c r="Q125" i="5"/>
  <c r="Q226" i="5"/>
  <c r="N247" i="5"/>
  <c r="N248" i="5" s="1"/>
  <c r="P164" i="5"/>
  <c r="P174" i="5" s="1"/>
  <c r="P36" i="5" s="1"/>
  <c r="N20" i="7"/>
  <c r="N67" i="7"/>
  <c r="O247" i="5"/>
  <c r="O248" i="5" s="1"/>
  <c r="O20" i="7"/>
  <c r="AX76" i="5"/>
  <c r="AX74" i="5"/>
  <c r="AX94" i="5"/>
  <c r="AZ72" i="5"/>
  <c r="AZ73" i="5" s="1"/>
  <c r="AX73" i="5"/>
  <c r="P225" i="5"/>
  <c r="P120" i="5"/>
  <c r="P119" i="5" s="1"/>
  <c r="P20" i="7" s="1"/>
  <c r="AX39" i="5"/>
  <c r="AX206" i="5"/>
  <c r="AX34" i="5"/>
  <c r="K5" i="17"/>
  <c r="AX33" i="5"/>
  <c r="AZ32" i="5"/>
  <c r="AZ67" i="5"/>
  <c r="AZ66" i="5"/>
  <c r="O67" i="7"/>
  <c r="Q196" i="5"/>
  <c r="R189" i="5"/>
  <c r="R246" i="5" s="1"/>
  <c r="Q198" i="5"/>
  <c r="Q192" i="5"/>
  <c r="Q121" i="5"/>
  <c r="R193" i="5"/>
  <c r="R200" i="5" s="1"/>
  <c r="R201" i="5" s="1"/>
  <c r="Q200" i="5"/>
  <c r="Q201" i="5" s="1"/>
  <c r="Q55" i="5" s="1"/>
  <c r="AZ69" i="5"/>
  <c r="AZ70" i="5" s="1"/>
  <c r="N70" i="5" s="1"/>
  <c r="AX208" i="5"/>
  <c r="AZ208" i="5" s="1"/>
  <c r="R182" i="5" l="1"/>
  <c r="S181" i="5" s="1"/>
  <c r="AZ206" i="5"/>
  <c r="AX209" i="5"/>
  <c r="AZ39" i="5"/>
  <c r="AX41" i="5"/>
  <c r="AX40" i="5"/>
  <c r="AZ76" i="5"/>
  <c r="AZ77" i="5" s="1"/>
  <c r="N77" i="5" s="1"/>
  <c r="K30" i="17"/>
  <c r="C44" i="4" s="1"/>
  <c r="O109" i="5"/>
  <c r="O70" i="5"/>
  <c r="AZ33" i="5"/>
  <c r="AZ34" i="5"/>
  <c r="P247" i="5"/>
  <c r="P248" i="5" s="1"/>
  <c r="P37" i="5"/>
  <c r="M11" i="17"/>
  <c r="P210" i="5"/>
  <c r="P39" i="5"/>
  <c r="Q46" i="7"/>
  <c r="Q56" i="5"/>
  <c r="Q218" i="5"/>
  <c r="Q70" i="7"/>
  <c r="S189" i="5"/>
  <c r="S246" i="5" s="1"/>
  <c r="R196" i="5"/>
  <c r="R198" i="5"/>
  <c r="R192" i="5"/>
  <c r="R121" i="5"/>
  <c r="S193" i="5"/>
  <c r="AX79" i="5"/>
  <c r="P166" i="5"/>
  <c r="Q120" i="5"/>
  <c r="Q119" i="5" s="1"/>
  <c r="Q20" i="7" s="1"/>
  <c r="Q225" i="5"/>
  <c r="K6" i="17"/>
  <c r="K7" i="17" s="1"/>
  <c r="K12" i="17" s="1"/>
  <c r="S179" i="5" l="1"/>
  <c r="S182" i="5" s="1"/>
  <c r="S126" i="5" s="1"/>
  <c r="R126" i="5"/>
  <c r="R125" i="5" s="1"/>
  <c r="R184" i="5"/>
  <c r="R185" i="5" s="1"/>
  <c r="R55" i="5" s="1"/>
  <c r="R70" i="7" s="1"/>
  <c r="K16" i="17"/>
  <c r="K14" i="17"/>
  <c r="Q247" i="5"/>
  <c r="Q248" i="5" s="1"/>
  <c r="P70" i="5"/>
  <c r="AZ79" i="5"/>
  <c r="AX81" i="5"/>
  <c r="AX80" i="5"/>
  <c r="AX131" i="5"/>
  <c r="S121" i="5"/>
  <c r="S196" i="5"/>
  <c r="S198" i="5"/>
  <c r="S192" i="5"/>
  <c r="S200" i="5"/>
  <c r="S201" i="5" s="1"/>
  <c r="AZ41" i="5"/>
  <c r="AZ40" i="5"/>
  <c r="P111" i="5"/>
  <c r="Q161" i="5"/>
  <c r="AZ209" i="5"/>
  <c r="AX211" i="5"/>
  <c r="R120" i="5"/>
  <c r="R225" i="5"/>
  <c r="P67" i="7"/>
  <c r="P40" i="5"/>
  <c r="P41" i="5"/>
  <c r="R46" i="7" l="1"/>
  <c r="R226" i="5"/>
  <c r="S184" i="5"/>
  <c r="S185" i="5" s="1"/>
  <c r="S55" i="5" s="1"/>
  <c r="R119" i="5"/>
  <c r="R20" i="7" s="1"/>
  <c r="R218" i="5"/>
  <c r="R56" i="5"/>
  <c r="S226" i="5"/>
  <c r="S125" i="5"/>
  <c r="AX129" i="5"/>
  <c r="AX230" i="5"/>
  <c r="AZ131" i="5"/>
  <c r="Q164" i="5"/>
  <c r="Q174" i="5" s="1"/>
  <c r="Q36" i="5" s="1"/>
  <c r="P112" i="5"/>
  <c r="P113" i="5"/>
  <c r="AZ80" i="5"/>
  <c r="AZ81" i="5"/>
  <c r="Q70" i="5"/>
  <c r="AZ211" i="5"/>
  <c r="AX219" i="5"/>
  <c r="R247" i="5"/>
  <c r="R248" i="5" s="1"/>
  <c r="S225" i="5"/>
  <c r="S120" i="5"/>
  <c r="S46" i="7" l="1"/>
  <c r="S70" i="7"/>
  <c r="S119" i="5"/>
  <c r="S20" i="7" s="1"/>
  <c r="S218" i="5"/>
  <c r="S56" i="5"/>
  <c r="P109" i="5"/>
  <c r="Q166" i="5"/>
  <c r="Q111" i="5" s="1"/>
  <c r="S247" i="5"/>
  <c r="S248" i="5" s="1"/>
  <c r="R70" i="5"/>
  <c r="Q37" i="5"/>
  <c r="Q210" i="5"/>
  <c r="N11" i="17"/>
  <c r="Q39" i="5"/>
  <c r="AZ94" i="5"/>
  <c r="AZ129" i="5"/>
  <c r="N131" i="5"/>
  <c r="AZ219" i="5"/>
  <c r="AZ230" i="5"/>
  <c r="AX231" i="5"/>
  <c r="AZ231" i="5" s="1"/>
  <c r="AX135" i="5"/>
  <c r="AX197" i="5"/>
  <c r="R161" i="5" l="1"/>
  <c r="R164" i="5" s="1"/>
  <c r="R174" i="5" s="1"/>
  <c r="R36" i="5" s="1"/>
  <c r="AX233" i="5"/>
  <c r="Q113" i="5"/>
  <c r="S70" i="5"/>
  <c r="Q41" i="5"/>
  <c r="Q67" i="7"/>
  <c r="Q40" i="5"/>
  <c r="AZ135" i="5"/>
  <c r="AZ197" i="5"/>
  <c r="Q112" i="5"/>
  <c r="N129" i="5"/>
  <c r="Q109" i="5" l="1"/>
  <c r="R210" i="5"/>
  <c r="R37" i="5"/>
  <c r="O11" i="17"/>
  <c r="R39" i="5"/>
  <c r="R166" i="5"/>
  <c r="N19" i="7"/>
  <c r="N135" i="5"/>
  <c r="N197" i="5"/>
  <c r="N76" i="7"/>
  <c r="N73" i="7"/>
  <c r="AZ233" i="5"/>
  <c r="AX245" i="5"/>
  <c r="AX244" i="5" s="1"/>
  <c r="AX236" i="5"/>
  <c r="R41" i="5" l="1"/>
  <c r="R40" i="5"/>
  <c r="R67" i="7"/>
  <c r="N26" i="7"/>
  <c r="N25" i="7"/>
  <c r="AZ236" i="5"/>
  <c r="AX102" i="5"/>
  <c r="R111" i="5"/>
  <c r="S161" i="5"/>
  <c r="R113" i="5" l="1"/>
  <c r="R112" i="5"/>
  <c r="AX237" i="5"/>
  <c r="AX238" i="5" s="1"/>
  <c r="AZ238" i="5" s="1"/>
  <c r="AX50" i="5"/>
  <c r="AZ102" i="5"/>
  <c r="AX101" i="5"/>
  <c r="AX117" i="5" s="1"/>
  <c r="AX137" i="5" s="1"/>
  <c r="S164" i="5"/>
  <c r="S174" i="5" s="1"/>
  <c r="S36" i="5" s="1"/>
  <c r="S166" i="5" l="1"/>
  <c r="S111" i="5" s="1"/>
  <c r="S112" i="5" s="1"/>
  <c r="S210" i="5"/>
  <c r="S37" i="5"/>
  <c r="P11" i="17"/>
  <c r="S39" i="5"/>
  <c r="AZ237" i="5"/>
  <c r="AZ240" i="5" s="1"/>
  <c r="AZ241" i="5" s="1"/>
  <c r="AZ101" i="5"/>
  <c r="AZ117" i="5" s="1"/>
  <c r="AZ137" i="5" s="1"/>
  <c r="AZ50" i="5"/>
  <c r="N241" i="5" s="1"/>
  <c r="R109" i="5"/>
  <c r="S113" i="5" l="1"/>
  <c r="S109" i="5" s="1"/>
  <c r="N242" i="5"/>
  <c r="N49" i="5" s="1"/>
  <c r="O241" i="5"/>
  <c r="S40" i="5"/>
  <c r="S41" i="5"/>
  <c r="S67" i="7"/>
  <c r="P241" i="5" l="1"/>
  <c r="N207" i="5"/>
  <c r="N43" i="5"/>
  <c r="N44" i="5" l="1"/>
  <c r="N58" i="5"/>
  <c r="N65" i="5"/>
  <c r="I5" i="17"/>
  <c r="Q241" i="5"/>
  <c r="N59" i="5" l="1"/>
  <c r="N60" i="5"/>
  <c r="I6" i="17"/>
  <c r="I7" i="17" s="1"/>
  <c r="I12" i="17" s="1"/>
  <c r="N69" i="5"/>
  <c r="N208" i="5" s="1"/>
  <c r="N209" i="5" s="1"/>
  <c r="N211" i="5" s="1"/>
  <c r="N219" i="5" s="1"/>
  <c r="N66" i="5"/>
  <c r="N67" i="5"/>
  <c r="N72" i="5" l="1"/>
  <c r="I14" i="17"/>
  <c r="I13" i="17"/>
  <c r="N73" i="5"/>
  <c r="D53" i="4" s="1"/>
  <c r="N29" i="7"/>
  <c r="N24" i="7" s="1"/>
  <c r="N23" i="7" s="1"/>
  <c r="O92" i="5"/>
  <c r="N37" i="7"/>
  <c r="C83" i="3" s="1"/>
  <c r="N12" i="7"/>
  <c r="C79" i="3"/>
  <c r="N74" i="5"/>
  <c r="N76" i="5"/>
  <c r="N79" i="5" s="1"/>
  <c r="N89" i="5"/>
  <c r="N230" i="5"/>
  <c r="N231" i="5" s="1"/>
  <c r="N233" i="5" s="1"/>
  <c r="N245" i="5" l="1"/>
  <c r="N244" i="5" s="1"/>
  <c r="N236" i="5"/>
  <c r="N80" i="5"/>
  <c r="N81" i="5"/>
  <c r="O93" i="5"/>
  <c r="O229" i="5"/>
  <c r="M96" i="3"/>
  <c r="G43" i="4"/>
  <c r="C80" i="3"/>
  <c r="F37" i="24"/>
  <c r="F38" i="24" l="1"/>
  <c r="F39" i="24"/>
  <c r="N102" i="5"/>
  <c r="N101" i="5" l="1"/>
  <c r="N64" i="7"/>
  <c r="N142" i="5"/>
  <c r="O235" i="5"/>
  <c r="N237" i="5"/>
  <c r="N77" i="7"/>
  <c r="L29" i="17"/>
  <c r="N50" i="5"/>
  <c r="O240" i="5" l="1"/>
  <c r="O242" i="5" s="1"/>
  <c r="O49" i="5" s="1"/>
  <c r="N238" i="5"/>
  <c r="N66" i="7"/>
  <c r="N65" i="7"/>
  <c r="N117" i="5"/>
  <c r="N39" i="7"/>
  <c r="N18" i="7" l="1"/>
  <c r="N49" i="7"/>
  <c r="N40" i="7"/>
  <c r="N74" i="7"/>
  <c r="N75" i="7" s="1"/>
  <c r="N137" i="5"/>
  <c r="N38" i="7"/>
  <c r="N143" i="5"/>
  <c r="N78" i="7"/>
  <c r="O207" i="5"/>
  <c r="O43" i="5"/>
  <c r="L5" i="17" l="1"/>
  <c r="O44" i="5"/>
  <c r="P44" i="5" s="1"/>
  <c r="O58" i="5"/>
  <c r="O65" i="5"/>
  <c r="O60" i="5" l="1"/>
  <c r="O59" i="5"/>
  <c r="O69" i="5"/>
  <c r="O208" i="5" s="1"/>
  <c r="O209" i="5" s="1"/>
  <c r="O211" i="5" s="1"/>
  <c r="O219" i="5" s="1"/>
  <c r="O67" i="5"/>
  <c r="O66" i="5"/>
  <c r="L6" i="17"/>
  <c r="L7" i="17" s="1"/>
  <c r="L12" i="17" s="1"/>
  <c r="O72" i="5" l="1"/>
  <c r="O73" i="5" s="1"/>
  <c r="E53" i="4" s="1"/>
  <c r="L16" i="17"/>
  <c r="L13" i="17"/>
  <c r="O12" i="7" l="1"/>
  <c r="O29" i="7"/>
  <c r="O24" i="7" s="1"/>
  <c r="O89" i="5"/>
  <c r="M97" i="3" s="1"/>
  <c r="M98" i="3" s="1"/>
  <c r="D79" i="3"/>
  <c r="P92" i="5"/>
  <c r="P93" i="5" s="1"/>
  <c r="O74" i="5"/>
  <c r="O76" i="5"/>
  <c r="O79" i="5" s="1"/>
  <c r="O131" i="5" s="1"/>
  <c r="G37" i="24" l="1"/>
  <c r="G39" i="24" s="1"/>
  <c r="P229" i="5"/>
  <c r="D80" i="3"/>
  <c r="G44" i="4"/>
  <c r="H45" i="4" s="1"/>
  <c r="D5" i="4" s="1"/>
  <c r="O81" i="5"/>
  <c r="O80" i="5"/>
  <c r="O230" i="5"/>
  <c r="O231" i="5" s="1"/>
  <c r="O233" i="5" s="1"/>
  <c r="O129" i="5"/>
  <c r="G38" i="24" l="1"/>
  <c r="G45" i="4"/>
  <c r="D14" i="4" s="1"/>
  <c r="F45" i="4"/>
  <c r="C5" i="4" s="1"/>
  <c r="O19" i="7"/>
  <c r="O135" i="5"/>
  <c r="O197" i="5"/>
  <c r="O73" i="7"/>
  <c r="O76" i="7"/>
  <c r="O37" i="7"/>
  <c r="O245" i="5"/>
  <c r="O244" i="5" s="1"/>
  <c r="O236" i="5"/>
  <c r="D83" i="3" l="1"/>
  <c r="O26" i="7"/>
  <c r="O25" i="7"/>
  <c r="O102" i="5"/>
  <c r="O237" i="5" l="1"/>
  <c r="P235" i="5"/>
  <c r="O101" i="5"/>
  <c r="O142" i="5"/>
  <c r="O64" i="7"/>
  <c r="M29" i="17"/>
  <c r="O77" i="7"/>
  <c r="O50" i="5"/>
  <c r="O23" i="7"/>
  <c r="O66" i="7" l="1"/>
  <c r="O65" i="7"/>
  <c r="O117" i="5"/>
  <c r="O39" i="7"/>
  <c r="P240" i="5"/>
  <c r="P242" i="5" s="1"/>
  <c r="P49" i="5" s="1"/>
  <c r="O238" i="5"/>
  <c r="P43" i="5" l="1"/>
  <c r="P207" i="5"/>
  <c r="O18" i="7"/>
  <c r="O74" i="7"/>
  <c r="O75" i="7" s="1"/>
  <c r="O49" i="7"/>
  <c r="O40" i="7"/>
  <c r="O38" i="7"/>
  <c r="O137" i="5"/>
  <c r="O143" i="5"/>
  <c r="O78" i="7"/>
  <c r="M5" i="17" l="1"/>
  <c r="P58" i="5"/>
  <c r="P65" i="5"/>
  <c r="P67" i="5" l="1"/>
  <c r="P69" i="5"/>
  <c r="P208" i="5" s="1"/>
  <c r="P209" i="5" s="1"/>
  <c r="P211" i="5" s="1"/>
  <c r="P219" i="5" s="1"/>
  <c r="P66" i="5"/>
  <c r="P59" i="5"/>
  <c r="P60" i="5"/>
  <c r="M6" i="17"/>
  <c r="M7" i="17" s="1"/>
  <c r="M12" i="17" s="1"/>
  <c r="P72" i="5" l="1"/>
  <c r="P29" i="7" s="1"/>
  <c r="P24" i="7" s="1"/>
  <c r="M13" i="17"/>
  <c r="M16" i="17"/>
  <c r="M14" i="17"/>
  <c r="Q92" i="5" l="1"/>
  <c r="Q229" i="5" s="1"/>
  <c r="P12" i="7"/>
  <c r="P76" i="5"/>
  <c r="P79" i="5" s="1"/>
  <c r="P131" i="5" s="1"/>
  <c r="P74" i="5"/>
  <c r="P89" i="5"/>
  <c r="P90" i="5" s="1"/>
  <c r="E79" i="3"/>
  <c r="P73" i="5"/>
  <c r="F53" i="4" s="1"/>
  <c r="Q93" i="5" l="1"/>
  <c r="P81" i="5"/>
  <c r="P80" i="5"/>
  <c r="E80" i="3"/>
  <c r="H37" i="24"/>
  <c r="H38" i="24" s="1"/>
  <c r="P129" i="5"/>
  <c r="P230" i="5"/>
  <c r="P231" i="5" s="1"/>
  <c r="P233" i="5" s="1"/>
  <c r="H39" i="24" l="1"/>
  <c r="E41" i="24" s="1"/>
  <c r="E42" i="24" s="1"/>
  <c r="P245" i="5"/>
  <c r="P244" i="5" s="1"/>
  <c r="P236" i="5"/>
  <c r="P19" i="7"/>
  <c r="P135" i="5"/>
  <c r="P197" i="5"/>
  <c r="P76" i="7"/>
  <c r="P73" i="7"/>
  <c r="P37" i="7"/>
  <c r="E83" i="3" l="1"/>
  <c r="P29" i="17"/>
  <c r="Q29" i="17" s="1"/>
  <c r="V95" i="6" s="1"/>
  <c r="P102" i="5"/>
  <c r="P26" i="7"/>
  <c r="P25" i="7"/>
  <c r="M87" i="3" l="1"/>
  <c r="N87" i="3" s="1"/>
  <c r="U95" i="6"/>
  <c r="P23" i="7"/>
  <c r="P237" i="5"/>
  <c r="P101" i="5"/>
  <c r="Q235" i="5"/>
  <c r="P64" i="7"/>
  <c r="P142" i="5"/>
  <c r="P77" i="7"/>
  <c r="P50" i="5"/>
  <c r="P65" i="7" l="1"/>
  <c r="P66" i="7"/>
  <c r="P39" i="7"/>
  <c r="P117" i="5"/>
  <c r="Q240" i="5"/>
  <c r="Q242" i="5" s="1"/>
  <c r="Q49" i="5" s="1"/>
  <c r="P238" i="5"/>
  <c r="Q207" i="5" l="1"/>
  <c r="Q43" i="5"/>
  <c r="P18" i="7"/>
  <c r="P74" i="7"/>
  <c r="P75" i="7" s="1"/>
  <c r="P49" i="7"/>
  <c r="P40" i="7"/>
  <c r="P38" i="7"/>
  <c r="P137" i="5"/>
  <c r="P143" i="5"/>
  <c r="P78" i="7"/>
  <c r="Q44" i="5" l="1"/>
  <c r="Q58" i="5"/>
  <c r="Q65" i="5"/>
  <c r="N5" i="17"/>
  <c r="N6" i="17" l="1"/>
  <c r="N7" i="17" s="1"/>
  <c r="N12" i="17" s="1"/>
  <c r="Q66" i="5"/>
  <c r="Q67" i="5"/>
  <c r="Q69" i="5"/>
  <c r="Q208" i="5" s="1"/>
  <c r="Q209" i="5" s="1"/>
  <c r="Q211" i="5" s="1"/>
  <c r="Q219" i="5" s="1"/>
  <c r="Q59" i="5"/>
  <c r="Q60" i="5"/>
  <c r="Q72" i="5" l="1"/>
  <c r="Q73" i="5" s="1"/>
  <c r="G53" i="4" s="1"/>
  <c r="N16" i="17"/>
  <c r="N14" i="17"/>
  <c r="N13" i="17"/>
  <c r="F79" i="3" l="1"/>
  <c r="Q74" i="5"/>
  <c r="Q12" i="7"/>
  <c r="Q76" i="5"/>
  <c r="Q79" i="5" s="1"/>
  <c r="Q131" i="5" s="1"/>
  <c r="Q89" i="5"/>
  <c r="F80" i="3" s="1"/>
  <c r="Q29" i="7"/>
  <c r="Q24" i="7" s="1"/>
  <c r="R92" i="5"/>
  <c r="R229" i="5" s="1"/>
  <c r="Q80" i="5" l="1"/>
  <c r="Q81" i="5"/>
  <c r="R93" i="5"/>
  <c r="P97" i="5"/>
  <c r="Q90" i="5"/>
  <c r="Q230" i="5"/>
  <c r="Q231" i="5" s="1"/>
  <c r="Q233" i="5" s="1"/>
  <c r="Q129" i="5"/>
  <c r="Q135" i="5" l="1"/>
  <c r="Q19" i="7"/>
  <c r="Q197" i="5"/>
  <c r="Q76" i="7"/>
  <c r="Q73" i="7"/>
  <c r="Q37" i="7"/>
  <c r="Q245" i="5"/>
  <c r="Q244" i="5" s="1"/>
  <c r="Q236" i="5"/>
  <c r="F83" i="3" l="1"/>
  <c r="Q102" i="5"/>
  <c r="Q26" i="7"/>
  <c r="Q25" i="7"/>
  <c r="Q23" i="7" l="1"/>
  <c r="Q142" i="5"/>
  <c r="Q101" i="5"/>
  <c r="Q237" i="5"/>
  <c r="R235" i="5"/>
  <c r="Q64" i="7"/>
  <c r="Q77" i="7"/>
  <c r="Q50" i="5"/>
  <c r="R240" i="5" l="1"/>
  <c r="R242" i="5" s="1"/>
  <c r="R49" i="5" s="1"/>
  <c r="Q238" i="5"/>
  <c r="Q65" i="7"/>
  <c r="Q66" i="7"/>
  <c r="Q39" i="7"/>
  <c r="Q117" i="5"/>
  <c r="Q18" i="7" l="1"/>
  <c r="Q74" i="7"/>
  <c r="Q75" i="7" s="1"/>
  <c r="Q49" i="7"/>
  <c r="Q40" i="7"/>
  <c r="Q38" i="7"/>
  <c r="Q137" i="5"/>
  <c r="Q78" i="7"/>
  <c r="Q143" i="5"/>
  <c r="R207" i="5"/>
  <c r="R43" i="5"/>
  <c r="O5" i="17" l="1"/>
  <c r="R44" i="5"/>
  <c r="R58" i="5"/>
  <c r="R65" i="5"/>
  <c r="R60" i="5" l="1"/>
  <c r="R59" i="5"/>
  <c r="R69" i="5"/>
  <c r="R208" i="5" s="1"/>
  <c r="R209" i="5" s="1"/>
  <c r="R211" i="5" s="1"/>
  <c r="R219" i="5" s="1"/>
  <c r="R67" i="5"/>
  <c r="R66" i="5"/>
  <c r="O6" i="17"/>
  <c r="O7" i="17" s="1"/>
  <c r="O12" i="17" s="1"/>
  <c r="R72" i="5" l="1"/>
  <c r="R29" i="7" s="1"/>
  <c r="R24" i="7" s="1"/>
  <c r="O14" i="17"/>
  <c r="O13" i="17"/>
  <c r="O16" i="17"/>
  <c r="R73" i="5" l="1"/>
  <c r="H53" i="4" s="1"/>
  <c r="R74" i="5"/>
  <c r="G79" i="3"/>
  <c r="R89" i="5"/>
  <c r="G80" i="3" s="1"/>
  <c r="R76" i="5"/>
  <c r="R79" i="5" s="1"/>
  <c r="R80" i="5" s="1"/>
  <c r="S92" i="5"/>
  <c r="S93" i="5" s="1"/>
  <c r="R12" i="7"/>
  <c r="R90" i="5" l="1"/>
  <c r="R131" i="5"/>
  <c r="R129" i="5" s="1"/>
  <c r="R81" i="5"/>
  <c r="S229" i="5"/>
  <c r="R230" i="5" l="1"/>
  <c r="R231" i="5" s="1"/>
  <c r="R233" i="5" s="1"/>
  <c r="R236" i="5" s="1"/>
  <c r="R135" i="5"/>
  <c r="R19" i="7"/>
  <c r="R197" i="5"/>
  <c r="R73" i="7"/>
  <c r="R76" i="7"/>
  <c r="R37" i="7"/>
  <c r="G83" i="3" l="1"/>
  <c r="R245" i="5"/>
  <c r="R244" i="5" s="1"/>
  <c r="R26" i="7"/>
  <c r="R25" i="7"/>
  <c r="R102" i="5"/>
  <c r="S235" i="5" l="1"/>
  <c r="R101" i="5"/>
  <c r="R237" i="5"/>
  <c r="R142" i="5"/>
  <c r="R64" i="7"/>
  <c r="R77" i="7"/>
  <c r="R50" i="5"/>
  <c r="R23" i="7"/>
  <c r="S240" i="5" l="1"/>
  <c r="S242" i="5" s="1"/>
  <c r="S49" i="5" s="1"/>
  <c r="R238" i="5"/>
  <c r="R66" i="7"/>
  <c r="R65" i="7"/>
  <c r="R39" i="7"/>
  <c r="R117" i="5"/>
  <c r="R18" i="7" l="1"/>
  <c r="R74" i="7"/>
  <c r="R75" i="7" s="1"/>
  <c r="R49" i="7"/>
  <c r="R40" i="7"/>
  <c r="R38" i="7"/>
  <c r="R137" i="5"/>
  <c r="R143" i="5"/>
  <c r="R78" i="7"/>
  <c r="S43" i="5"/>
  <c r="S207" i="5"/>
  <c r="S44" i="5" l="1"/>
  <c r="S65" i="5"/>
  <c r="S58" i="5"/>
  <c r="P5" i="17"/>
  <c r="S59" i="5" l="1"/>
  <c r="S60" i="5"/>
  <c r="S69" i="5"/>
  <c r="S208" i="5" s="1"/>
  <c r="S209" i="5" s="1"/>
  <c r="S211" i="5" s="1"/>
  <c r="S219" i="5" s="1"/>
  <c r="S67" i="5"/>
  <c r="S66" i="5"/>
  <c r="P6" i="17"/>
  <c r="P7" i="17" s="1"/>
  <c r="P12" i="17" s="1"/>
  <c r="Q12" i="17" s="1"/>
  <c r="R12" i="17" l="1"/>
  <c r="Q16" i="17"/>
  <c r="Q14" i="17"/>
  <c r="P13" i="17"/>
  <c r="P16" i="17"/>
  <c r="P14" i="17"/>
  <c r="K21" i="17" s="1"/>
  <c r="S72" i="5"/>
  <c r="S12" i="17" l="1"/>
  <c r="R16" i="17"/>
  <c r="R14" i="17"/>
  <c r="C41" i="4"/>
  <c r="S89" i="5"/>
  <c r="H79" i="3"/>
  <c r="I79" i="3" s="1"/>
  <c r="S73" i="5"/>
  <c r="I53" i="4" s="1"/>
  <c r="S29" i="7"/>
  <c r="S24" i="7" s="1"/>
  <c r="S12" i="7"/>
  <c r="S76" i="5"/>
  <c r="S79" i="5" s="1"/>
  <c r="S74" i="5"/>
  <c r="T12" i="17" l="1"/>
  <c r="S16" i="17"/>
  <c r="S14" i="17"/>
  <c r="S80" i="5"/>
  <c r="S81" i="5"/>
  <c r="S131" i="5"/>
  <c r="H80" i="3"/>
  <c r="I80" i="3" s="1"/>
  <c r="S90" i="5"/>
  <c r="O97" i="5"/>
  <c r="U12" i="17" l="1"/>
  <c r="T16" i="17"/>
  <c r="T14" i="17"/>
  <c r="S129" i="5"/>
  <c r="S230" i="5"/>
  <c r="S231" i="5" s="1"/>
  <c r="S233" i="5" s="1"/>
  <c r="V12" i="17" l="1"/>
  <c r="V14" i="17" s="1"/>
  <c r="U14" i="17"/>
  <c r="S245" i="5"/>
  <c r="S244" i="5" s="1"/>
  <c r="S236" i="5"/>
  <c r="S135" i="5"/>
  <c r="S19" i="7"/>
  <c r="S197" i="5"/>
  <c r="S73" i="7"/>
  <c r="S76" i="7"/>
  <c r="S37" i="7"/>
  <c r="K23" i="17" l="1"/>
  <c r="H83" i="3"/>
  <c r="I83" i="3" s="1"/>
  <c r="U16" i="17"/>
  <c r="S26" i="7"/>
  <c r="S25" i="7"/>
  <c r="S102" i="5"/>
  <c r="K22" i="17"/>
  <c r="S23" i="7" l="1"/>
  <c r="S64" i="7"/>
  <c r="S101" i="5"/>
  <c r="S237" i="5"/>
  <c r="S238" i="5" s="1"/>
  <c r="S142" i="5"/>
  <c r="S77" i="7"/>
  <c r="S50" i="5"/>
  <c r="L28" i="17" l="1"/>
  <c r="M28" i="17"/>
  <c r="S65" i="7"/>
  <c r="S66" i="7"/>
  <c r="S39" i="7"/>
  <c r="S117" i="5"/>
  <c r="K18" i="17"/>
  <c r="L18" i="17" l="1"/>
  <c r="K28" i="17"/>
  <c r="K31" i="17" s="1"/>
  <c r="K33" i="17" s="1"/>
  <c r="P28" i="17" s="1"/>
  <c r="P30" i="17" s="1"/>
  <c r="U31" i="6" s="1"/>
  <c r="L21" i="17"/>
  <c r="L22" i="17"/>
  <c r="S18" i="7"/>
  <c r="S74" i="7"/>
  <c r="S75" i="7" s="1"/>
  <c r="S49" i="7"/>
  <c r="S40" i="7"/>
  <c r="S38" i="7"/>
  <c r="S137" i="5"/>
  <c r="S78" i="7"/>
  <c r="S143" i="5"/>
  <c r="L23" i="17"/>
  <c r="C42" i="4"/>
  <c r="C43" i="4" s="1"/>
  <c r="C45" i="4" s="1"/>
  <c r="C47" i="4" s="1"/>
  <c r="C48" i="4" s="1"/>
  <c r="Q28" i="17" l="1"/>
  <c r="D13" i="4"/>
  <c r="D15" i="4" s="1"/>
  <c r="D17" i="4" s="1"/>
  <c r="K35" i="17"/>
  <c r="C7" i="3"/>
  <c r="C17" i="3" s="1"/>
  <c r="U94" i="6" l="1"/>
  <c r="V94" i="6"/>
  <c r="U54" i="27"/>
  <c r="U56" i="27" s="1"/>
  <c r="M86" i="3"/>
  <c r="M88" i="3" l="1"/>
  <c r="M89" i="3" s="1"/>
  <c r="N86" i="3"/>
  <c r="O96" i="5"/>
  <c r="P32" i="17"/>
  <c r="U98" i="6" s="1"/>
  <c r="U96" i="6"/>
  <c r="P98" i="5" l="1"/>
  <c r="O9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tc={0A85D84E-CBB3-43A4-AEA5-9684F3C31E67}</author>
  </authors>
  <commentList>
    <comment ref="U22" authorId="0" shapeId="0" xr:uid="{0A85D84E-CBB3-43A4-AEA5-9684F3C31E67}">
      <text>
        <t>[Threaded comment]
Your version of Excel allows you to read this threaded comment; however, any edits to it will get removed if the file is opened in a newer version of Excel. Learn more: https://go.microsoft.com/fwlink/?linkid=870924
Comment:
    Assign 15% premium due to superior financial performance, incl. margin, ROE and ROA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tc={EB4AC4B3-8466-4F77-B88B-7DE1406050BF}</author>
    <author>tc={B13053E4-89E8-4900-89AA-68EED1043C77}</author>
    <author>tc={FD544B5E-7A5F-40EB-AB30-643BD21B6803}</author>
    <author>tc={34EC1C0F-9F4E-44B3-B791-8D2C2500EE7C}</author>
    <author>tc={65470680-D4ED-413F-B02C-B5A07328624A}</author>
    <author>tc={A131C666-AF44-4C22-937A-54DAEAEF6494}</author>
    <author>tc={993430D7-F38D-423F-BAD5-57F3431C156C}</author>
    <author>tc={8802994E-A834-494E-85D6-CB47EE81D968}</author>
    <author>tc={ECF08410-466C-4BD3-AF44-04E3EB9EA127}</author>
    <author>tc={E912C3E5-9027-4F39-98CC-FC63D218EBF3}</author>
    <author>tc={C40C30BF-4993-4320-94B1-B4A3697B4E99}</author>
    <author>tc={E82E7DCE-3589-4F88-A280-2F2D03481072}</author>
    <author>tc={2460DDDE-887A-43B5-B993-822FB5066152}</author>
    <author>tc={22CCD3D8-7A9B-4195-BF30-5FE5A825E3BC}</author>
    <author>tc={8B85E0A5-65B0-4448-BAD9-891492EF0559}</author>
    <author>tc={F190AE2C-BCB4-415F-8B0A-625148CF390E}</author>
    <author>tc={DD400483-0B4A-4A96-BEAD-CCD6DF1862AC}</author>
    <author>tc={50687ED3-7017-4347-89E2-56A50A25517C}</author>
    <author>tc={0482E12D-7F4A-458E-9412-0DB19538AF37}</author>
    <author>tc={EFFAFD2F-CD82-42B5-AC62-FFB06771EE49}</author>
    <author>tc={60A2B992-4A07-4BD5-A354-7C9921CDCA51}</author>
    <author>tc={A3098B08-0C98-4BA2-8DF8-92BBECE1D7ED}</author>
    <author>tc={72B59652-9E51-4C15-ACEC-CCAE211784E0}</author>
  </authors>
  <commentList>
    <comment ref="AT14" authorId="0" shapeId="0" xr:uid="{EB4AC4B3-8466-4F77-B88B-7DE1406050BF}">
      <text>
        <t>[Threaded comment]
Your version of Excel allows you to read this threaded comment; however, any edits to it will get removed if the file is opened in a newer version of Excel. Learn more: https://go.microsoft.com/fwlink/?linkid=870924
Comment:
    Apple products recorded positive profit margin and an increase in the proportion of high margin product such as consumer goods and office equipment</t>
      </text>
    </comment>
    <comment ref="AV14" authorId="1" shapeId="0" xr:uid="{B13053E4-89E8-4900-89AA-68EED1043C77}">
      <text>
        <t>[Threaded comment]
Your version of Excel allows you to read this threaded comment; however, any edits to it will get removed if the file is opened in a newer version of Excel. Learn more: https://go.microsoft.com/fwlink/?linkid=870924
Comment:
    Increase portion of high margin product: consumer, appliance, industrial equipment from Achison</t>
      </text>
    </comment>
    <comment ref="CA14" authorId="2" shapeId="0" xr:uid="{FD544B5E-7A5F-40EB-AB30-643BD21B6803}">
      <text>
        <t>[Threaded comment]
Your version of Excel allows you to read this threaded comment; however, any edits to it will get removed if the file is opened in a newer version of Excel. Learn more: https://go.microsoft.com/fwlink/?linkid=870924
Comment:
    Increase portion of high margin product: consumer, appliance, industrial equipment from Achison</t>
      </text>
    </comment>
    <comment ref="AT18" authorId="3" shapeId="0" xr:uid="{34EC1C0F-9F4E-44B3-B791-8D2C2500EE7C}">
      <text>
        <t>[Threaded comment]
Your version of Excel allows you to read this threaded comment; however, any edits to it will get removed if the file is opened in a newer version of Excel. Learn more: https://go.microsoft.com/fwlink/?linkid=870924
Comment:
    Higher proportion of selling and administrative expense
&gt; not sure derived from that. This quarter Ip is shortage
Reply:
    There appear ABInbev in Q4</t>
      </text>
    </comment>
    <comment ref="AV18" authorId="4" shapeId="0" xr:uid="{65470680-D4ED-413F-B02C-B5A07328624A}">
      <text>
        <t>[Threaded comment]
Your version of Excel allows you to read this threaded comment; however, any edits to it will get removed if the file is opened in a newer version of Excel. Learn more: https://go.microsoft.com/fwlink/?linkid=870924
Comment:
    Price war of retailers causing DGW to increase cost of discount and promotions for dealers</t>
      </text>
    </comment>
    <comment ref="N36" authorId="5" shapeId="0" xr:uid="{A131C666-AF44-4C22-937A-54DAEAEF6494}">
      <text>
        <t>[Threaded comment]
Your version of Excel allows you to read this threaded comment; however, any edits to it will get removed if the file is opened in a newer version of Excel. Learn more: https://go.microsoft.com/fwlink/?linkid=870924
Comment:
    Partly from Achison and impairment of Goodwill from Achison acquisition</t>
      </text>
    </comment>
    <comment ref="AT44" authorId="6" shapeId="0" xr:uid="{993430D7-F38D-423F-BAD5-57F3431C156C}">
      <text>
        <t>[Threaded comment]
Your version of Excel allows you to read this threaded comment; however, any edits to it will get removed if the file is opened in a newer version of Excel. Learn more: https://go.microsoft.com/fwlink/?linkid=870924
Comment:
    Apple products recorded positive profit margin and an increase in the proportion of high margin product such as consumer goods and office equipment</t>
      </text>
    </comment>
    <comment ref="AV44" authorId="7" shapeId="0" xr:uid="{8802994E-A834-494E-85D6-CB47EE81D968}">
      <text>
        <t>[Threaded comment]
Your version of Excel allows you to read this threaded comment; however, any edits to it will get removed if the file is opened in a newer version of Excel. Learn more: https://go.microsoft.com/fwlink/?linkid=870924
Comment:
    Increase portion of high margin product: consumer, appliance, industrial equipment from Achison</t>
      </text>
    </comment>
    <comment ref="CA44" authorId="8" shapeId="0" xr:uid="{ECF08410-466C-4BD3-AF44-04E3EB9EA127}">
      <text>
        <t>[Threaded comment]
Your version of Excel allows you to read this threaded comment; however, any edits to it will get removed if the file is opened in a newer version of Excel. Learn more: https://go.microsoft.com/fwlink/?linkid=870924
Comment:
    Increase portion of high margin product: consumer, appliance, industrial equipment from Achison</t>
      </text>
    </comment>
    <comment ref="A46" authorId="9" shapeId="0" xr:uid="{E912C3E5-9027-4F39-98CC-FC63D218EBF3}">
      <text>
        <t>[Threaded comment]
Your version of Excel allows you to read this threaded comment; however, any edits to it will get removed if the file is opened in a newer version of Excel. Learn more: https://go.microsoft.com/fwlink/?linkid=870924
Comment:
    Mostly payment discount and FX unrealized gain/loss which are belongs to core business</t>
      </text>
    </comment>
    <comment ref="A52" authorId="10" shapeId="0" xr:uid="{C40C30BF-4993-4320-94B1-B4A3697B4E99}">
      <text>
        <t>[Threaded comment]
Your version of Excel allows you to read this threaded comment; however, any edits to it will get removed if the file is opened in a newer version of Excel. Learn more: https://go.microsoft.com/fwlink/?linkid=870924
Comment:
    Mainly FX loss</t>
      </text>
    </comment>
    <comment ref="M52" authorId="11" shapeId="0" xr:uid="{E82E7DCE-3589-4F88-A280-2F2D03481072}">
      <text>
        <t>[Threaded comment]
Your version of Excel allows you to read this threaded comment; however, any edits to it will get removed if the file is opened in a newer version of Excel. Learn more: https://go.microsoft.com/fwlink/?linkid=870924
Comment:
    FX loss
Reply:
    In 2022, US exchange rate was very volatile, this trend has not stopped 2023</t>
      </text>
    </comment>
    <comment ref="AV56" authorId="12" shapeId="0" xr:uid="{2460DDDE-887A-43B5-B993-822FB5066152}">
      <text>
        <t xml:space="preserve">[Threaded comment]
Your version of Excel allows you to read this threaded comment; however, any edits to it will get removed if the file is opened in a newer version of Excel. Learn more: https://go.microsoft.com/fwlink/?linkid=870924
Comment:
    Abnormal high interest expense in Q2.2023, maybe due to accumulated excessive inventory </t>
      </text>
    </comment>
    <comment ref="N93" authorId="13" shapeId="0" xr:uid="{22CCD3D8-7A9B-4195-BF30-5FE5A825E3BC}">
      <text>
        <t>[Threaded comment]
Your version of Excel allows you to read this threaded comment; however, any edits to it will get removed if the file is opened in a newer version of Excel. Learn more: https://go.microsoft.com/fwlink/?linkid=870924
Comment:
    Pay 10% dividend on par in late Oct, announced by the DGW</t>
      </text>
    </comment>
    <comment ref="M115" authorId="14" shapeId="0" xr:uid="{8B85E0A5-65B0-4448-BAD9-891492EF0559}">
      <text>
        <t>[Threaded comment]
Your version of Excel allows you to read this threaded comment; however, any edits to it will get removed if the file is opened in a newer version of Excel. Learn more: https://go.microsoft.com/fwlink/?linkid=870924
Comment:
    Good will
Reply:
    Archison first M&amp;A brand
Reply:
    277bil</t>
      </text>
    </comment>
    <comment ref="M130" authorId="15" shapeId="0" xr:uid="{F190AE2C-BCB4-415F-8B0A-625148CF390E}">
      <text>
        <t>[Threaded comment]
Your version of Excel allows you to read this threaded comment; however, any edits to it will get removed if the file is opened in a newer version of Excel. Learn more: https://go.microsoft.com/fwlink/?linkid=870924
Comment:
    Vốn điều lệ tăng</t>
      </text>
    </comment>
    <comment ref="N130" authorId="16" shapeId="0" xr:uid="{DD400483-0B4A-4A96-BEAD-CCD6DF1862AC}">
      <text>
        <t xml:space="preserve">[Threaded comment]
Your version of Excel allows you to read this threaded comment; however, any edits to it will get removed if the file is opened in a newer version of Excel. Learn more: https://go.microsoft.com/fwlink/?linkid=870924
Comment:
    Increase charter capital by ESOP in late Oct announced by DGW
</t>
      </text>
    </comment>
    <comment ref="P144" authorId="17" shapeId="0" xr:uid="{50687ED3-7017-4347-89E2-56A50A25517C}">
      <text>
        <t>[Threaded comment]
Your version of Excel allows you to read this threaded comment; however, any edits to it will get removed if the file is opened in a newer version of Excel. Learn more: https://go.microsoft.com/fwlink/?linkid=870924
Comment:
    15 days higher than 2020 level:
1. 2020 demand for phone started to move higher
2. 2020 we have apple
3. Now we have new brands which are harder to sell</t>
      </text>
    </comment>
    <comment ref="P145" authorId="18" shapeId="0" xr:uid="{0482E12D-7F4A-458E-9412-0DB19538AF37}">
      <text>
        <t>[Threaded comment]
Your version of Excel allows you to read this threaded comment; however, any edits to it will get removed if the file is opened in a newer version of Excel. Learn more: https://go.microsoft.com/fwlink/?linkid=870924
Comment:
    15 days higher than 2020 level:
1. 2020 demand for phone started to move higher
2. 2020 we have apple
3. Now we have new brands which are harder to sell</t>
      </text>
    </comment>
    <comment ref="S145" authorId="19" shapeId="0" xr:uid="{EFFAFD2F-CD82-42B5-AC62-FFB06771EE49}">
      <text>
        <t>[Threaded comment]
Your version of Excel allows you to read this threaded comment; however, any edits to it will get removed if the file is opened in a newer version of Excel. Learn more: https://go.microsoft.com/fwlink/?linkid=870924
Comment:
    Then decrease gradually as:
1. More contribution from Iphones
2. Brands that DGW served in 2023 gets more popular, so its overall portfolio is easier to sell --&gt; Less DOI</t>
      </text>
    </comment>
    <comment ref="AW145" authorId="20" shapeId="0" xr:uid="{60A2B992-4A07-4BD5-A354-7C9921CDCA51}">
      <text>
        <t>[Threaded comment]
Your version of Excel allows you to read this threaded comment; however, any edits to it will get removed if the file is opened in a newer version of Excel. Learn more: https://go.microsoft.com/fwlink/?linkid=870924
Comment:
    Sharp declined of Inventory in Q2 after effort to release dated ICT products</t>
      </text>
    </comment>
    <comment ref="P148" authorId="21" shapeId="0" xr:uid="{A3098B08-0C98-4BA2-8DF8-92BBECE1D7ED}">
      <text>
        <t>[Threaded comment]
Your version of Excel allows you to read this threaded comment; however, any edits to it will get removed if the file is opened in a newer version of Excel. Learn more: https://go.microsoft.com/fwlink/?linkid=870924
Comment:
    15 days higher than 2020 level:
1. 2020 demand for phone started to move higher
2. 2020 we have apple
3. Now we have new brands which are harder to sell</t>
      </text>
    </comment>
    <comment ref="AV186" authorId="22" shapeId="0" xr:uid="{72B59652-9E51-4C15-ACEC-CCAE211784E0}">
      <text>
        <t>[Threaded comment]
Your version of Excel allows you to read this threaded comment; however, any edits to it will get removed if the file is opened in a newer version of Excel. Learn more: https://go.microsoft.com/fwlink/?linkid=870924
Comment:
    SBV cut refinancing rates by 150bps in 2Q23</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tc={ABC7909B-44DF-46D5-B2FB-E69386DEF445}</author>
    <author>tc={3C6B778A-E84A-43C4-948C-9019207D6061}</author>
    <author>tc={5977D4F6-E99D-451E-A283-E3C9AD060519}</author>
    <author>tc={054A5442-7E33-449A-A2AE-26371A4FB298}</author>
    <author>tc={A981316A-885B-425D-8320-F2550DD2957B}</author>
    <author>tc={6D49DF0E-38B9-401F-B0C0-0C6324745F3B}</author>
    <author>tc={D7F06FB7-1EA9-4028-B930-200348D1897C}</author>
    <author>tc={EEE98C3E-455F-459A-965B-4023B205977E}</author>
    <author>tc={6EAB6199-D5DB-4B8A-834A-FFF1C44B1499}</author>
    <author>tc={98F0365E-33AE-4DDF-89FC-E7DB1151BA86}</author>
    <author>tc={3EE9399D-69EB-4A5D-8142-60FF8515AE1F}</author>
    <author>tc={EC1D834A-1533-4154-B609-DED612908D51}</author>
    <author>tc={DA3B66A0-A755-49BF-8FC3-B2A82D5203ED}</author>
    <author>tc={FFBAB712-E207-4167-8479-BDC94EB96198}</author>
    <author>tc={3D4A2206-491A-4FA6-8139-D4A85CE6667A}</author>
    <author>tc={E488F12C-9F1E-4F06-9818-EEE5DAA23B43}</author>
    <author>Viet Khai</author>
    <author>tc={BDC345D0-BB89-4213-99EF-E3C0FB08574C}</author>
    <author>ASUS</author>
  </authors>
  <commentList>
    <comment ref="L18" authorId="0" shapeId="0" xr:uid="{ABC7909B-44DF-46D5-B2FB-E69386DEF445}">
      <text>
        <t>[Threaded comment]
Your version of Excel allows you to read this threaded comment; however, any edits to it will get removed if the file is opened in a newer version of Excel. Learn more: https://go.microsoft.com/fwlink/?linkid=870924
Comment:
    Past: Excel in Covid wave</t>
      </text>
    </comment>
    <comment ref="M18" authorId="1" shapeId="0" xr:uid="{3C6B778A-E84A-43C4-948C-9019207D6061}">
      <text>
        <t>[Threaded comment]
Your version of Excel allows you to read this threaded comment; however, any edits to it will get removed if the file is opened in a newer version of Excel. Learn more: https://go.microsoft.com/fwlink/?linkid=870924
Comment:
    Macro volatility encouraged customer to cut expense
Reply:
    Replacement cycle reset in 2021</t>
      </text>
    </comment>
    <comment ref="L20" authorId="2" shapeId="0" xr:uid="{5977D4F6-E99D-451E-A283-E3C9AD060519}">
      <text>
        <t>[Threaded comment]
Your version of Excel allows you to read this threaded comment; however, any edits to it will get removed if the file is opened in a newer version of Excel. Learn more: https://go.microsoft.com/fwlink/?linkid=870924
Comment:
    Past: Growth driven specially by Xiaomi and Ip
Event: Global chip shortage no problem</t>
      </text>
    </comment>
    <comment ref="M20" authorId="3" shapeId="0" xr:uid="{054A5442-7E33-449A-A2AE-26371A4FB298}">
      <text>
        <t>[Threaded comment]
Your version of Excel allows you to read this threaded comment; however, any edits to it will get removed if the file is opened in a newer version of Excel. Learn more: https://go.microsoft.com/fwlink/?linkid=870924
Comment:
    Past:  do not meet target
_China supply chain disruption leading to Ip14 stock shortage
_Ip &amp; market share expansion drives growth
Event:
_Time to bring Ip to VN shortened
_Partner with TCL low cost phone
_Gain market shares
_TCL and Alcatel in sales?
Expectation: not mention</t>
      </text>
    </comment>
    <comment ref="L21" authorId="4" shapeId="0" xr:uid="{A981316A-885B-425D-8320-F2550DD2957B}">
      <text>
        <t>[Threaded comment]
Your version of Excel allows you to read this threaded comment; however, any edits to it will get removed if the file is opened in a newer version of Excel. Learn more: https://go.microsoft.com/fwlink/?linkid=870924
Comment:
    Past: Growth driven specially by Xiaomi and Ip
Event: Global chip shortage no problem</t>
      </text>
    </comment>
    <comment ref="M21" authorId="5" shapeId="0" xr:uid="{6D49DF0E-38B9-401F-B0C0-0C6324745F3B}">
      <text>
        <t>[Threaded comment]
Your version of Excel allows you to read this threaded comment; however, any edits to it will get removed if the file is opened in a newer version of Excel. Learn more: https://go.microsoft.com/fwlink/?linkid=870924
Comment:
    Past:  do not meet target
_China supply chain disruption leading to Ip14 stock shortage
_Ip &amp; market share expansion drives growth
Event:
_Time to bring Ip to VN shortened
_Partner with TCL low cost phone
_Gain market shares
_TCL and Alcatel in sales?
Expectation: not mention</t>
      </text>
    </comment>
    <comment ref="L22" authorId="6" shapeId="0" xr:uid="{D7F06FB7-1EA9-4028-B930-200348D1897C}">
      <text>
        <t>[Threaded comment]
Your version of Excel allows you to read this threaded comment; however, any edits to it will get removed if the file is opened in a newer version of Excel. Learn more: https://go.microsoft.com/fwlink/?linkid=870924
Comment:
    Past: Growth driven specially by Xiaomi and Ip
Event: Global chip shortage no problem</t>
      </text>
    </comment>
    <comment ref="M22" authorId="7" shapeId="0" xr:uid="{EEE98C3E-455F-459A-965B-4023B205977E}">
      <text>
        <t>[Threaded comment]
Your version of Excel allows you to read this threaded comment; however, any edits to it will get removed if the file is opened in a newer version of Excel. Learn more: https://go.microsoft.com/fwlink/?linkid=870924
Comment:
    Past:  do not meet target
_China supply chain disruption leading to Ip14 stock shortage
_Ip &amp; market share expansion drives growth
Event:
_Time to bring Ip to VN shortened
_Partner with TCL low cost phone
_Gain market shares
_TCL and Alcatel in sales?
Expectation: not mention</t>
      </text>
    </comment>
    <comment ref="L23" authorId="8" shapeId="0" xr:uid="{6EAB6199-D5DB-4B8A-834A-FFF1C44B1499}">
      <text>
        <t>[Threaded comment]
Your version of Excel allows you to read this threaded comment; however, any edits to it will get removed if the file is opened in a newer version of Excel. Learn more: https://go.microsoft.com/fwlink/?linkid=870924
Comment:
    Past: Growth driven specially by Xiaomi and Ip
Event: Global chip shortage no problem</t>
      </text>
    </comment>
    <comment ref="M23" authorId="9" shapeId="0" xr:uid="{98F0365E-33AE-4DDF-89FC-E7DB1151BA86}">
      <text>
        <t>[Threaded comment]
Your version of Excel allows you to read this threaded comment; however, any edits to it will get removed if the file is opened in a newer version of Excel. Learn more: https://go.microsoft.com/fwlink/?linkid=870924
Comment:
    Past:  do not meet target
_China supply chain disruption leading to Ip14 stock shortage
_Ip &amp; market share expansion drives growth
Event:
_Time to bring Ip to VN shortened
_Partner with TCL low cost phone
_Gain market shares
_TCL and Alcatel in sales?
Expectation: not mention</t>
      </text>
    </comment>
    <comment ref="M24" authorId="10" shapeId="0" xr:uid="{3EE9399D-69EB-4A5D-8142-60FF8515AE1F}">
      <text>
        <t>[Threaded comment]
Your version of Excel allows you to read this threaded comment; however, any edits to it will get removed if the file is opened in a newer version of Excel. Learn more: https://go.microsoft.com/fwlink/?linkid=870924
Comment:
    Past:
_High ground in 2021
_Indicated market saturation
_Cut expense in 2022
Expect: present a room for growth when economy gradually recover
+ new product
+ upgrade equipment
+ own many at the same time
+ price increase due to eco-recovery &amp; income 
_
Reply:
    In 2022 computers and peripherals recorded a significant drop in most categories in retail volume terms in 2022 as schools started to reopen while many consumers returned to the workplace</t>
      </text>
    </comment>
    <comment ref="M25" authorId="11" shapeId="0" xr:uid="{EC1D834A-1533-4154-B609-DED612908D51}">
      <text>
        <t>[Threaded comment]
Your version of Excel allows you to read this threaded comment; however, any edits to it will get removed if the file is opened in a newer version of Excel. Learn more: https://go.microsoft.com/fwlink/?linkid=870924
Comment:
    Past: 
Event:
_IoT increasingly diverse to meet more than 1 segment 
Expectation:
+ IoT contributed to large part of rev and continue to be growth dirverCo</t>
      </text>
    </comment>
    <comment ref="M26" authorId="12" shapeId="0" xr:uid="{DA3B66A0-A755-49BF-8FC3-B2A82D5203ED}">
      <text>
        <t>[Threaded comment]
Your version of Excel allows you to read this threaded comment; however, any edits to it will get removed if the file is opened in a newer version of Excel. Learn more: https://go.microsoft.com/fwlink/?linkid=870924
Comment:
    Event: 
_Starting Whirpool Q1, Xiaomi TV Q3
Expectation
Growth engine in the coming time</t>
      </text>
    </comment>
    <comment ref="N26" authorId="13" shapeId="0" xr:uid="{FFBAB712-E207-4167-8479-BDC94EB96198}">
      <text>
        <t>[Threaded comment]
Your version of Excel allows you to read this threaded comment; however, any edits to it will get removed if the file is opened in a newer version of Excel. Learn more: https://go.microsoft.com/fwlink/?linkid=870924
Comment:
    Add Westing House product</t>
      </text>
    </comment>
    <comment ref="M27" authorId="14" shapeId="0" xr:uid="{3D4A2206-491A-4FA6-8139-D4A85CE6667A}">
      <text>
        <t>[Threaded comment]
Your version of Excel allows you to read this threaded comment; however, any edits to it will get removed if the file is opened in a newer version of Excel. Learn more: https://go.microsoft.com/fwlink/?linkid=870924
Comment:
    Events: 
_Complete preparation and condition (permit &amp; warehouse) for goal in top3 pharma distributor
_Q4.22, be local distributor of international beer ABInbev
Expectation: Lot of room for growth in 2023</t>
      </text>
    </comment>
    <comment ref="A142" authorId="15" shapeId="0" xr:uid="{E488F12C-9F1E-4F06-9818-EEE5DAA23B43}">
      <text>
        <t>[Threaded comment]
Your version of Excel allows you to read this threaded comment; however, any edits to it will get removed if the file is opened in a newer version of Excel. Learn more: https://go.microsoft.com/fwlink/?linkid=870924
Comment:
    modified</t>
      </text>
    </comment>
    <comment ref="O177" authorId="16" shapeId="0" xr:uid="{6EA5438E-317C-427E-87DD-9492314D9F78}">
      <text>
        <r>
          <rPr>
            <b/>
            <sz val="9"/>
            <color indexed="81"/>
            <rFont val="Tahoma"/>
            <family val="2"/>
          </rPr>
          <t>Viet Khai:</t>
        </r>
        <r>
          <rPr>
            <sz val="9"/>
            <color indexed="81"/>
            <rFont val="Tahoma"/>
            <family val="2"/>
          </rPr>
          <t xml:space="preserve">
Add more Xiaomi refrigerators and air conditioners</t>
        </r>
      </text>
    </comment>
    <comment ref="Q177" authorId="17" shapeId="0" xr:uid="{BDC345D0-BB89-4213-99EF-E3C0FB08574C}">
      <text>
        <t>[Threaded comment]
Your version of Excel allows you to read this threaded comment; however, any edits to it will get removed if the file is opened in a newer version of Excel. Learn more: https://go.microsoft.com/fwlink/?linkid=870924
Comment:
    Wordcup</t>
      </text>
    </comment>
    <comment ref="B251" authorId="18" shapeId="0" xr:uid="{36A84F69-0A1E-42F6-9464-93D2F5867346}">
      <text>
        <r>
          <rPr>
            <b/>
            <sz val="9"/>
            <color indexed="81"/>
            <rFont val="Tahoma"/>
            <family val="2"/>
          </rPr>
          <t>ASUS:</t>
        </r>
        <r>
          <rPr>
            <sz val="9"/>
            <color indexed="81"/>
            <rFont val="Tahoma"/>
            <family val="2"/>
          </rPr>
          <t xml:space="preserve">
Based gross margin estimated by Excel Solver</t>
        </r>
      </text>
    </comment>
    <comment ref="L258" authorId="18" shapeId="0" xr:uid="{1F4CA2FF-2EFA-47B9-85C8-82E58A1DDA26}">
      <text>
        <r>
          <rPr>
            <b/>
            <sz val="9"/>
            <color indexed="81"/>
            <rFont val="Tahoma"/>
            <family val="2"/>
          </rPr>
          <t>ASUS:</t>
        </r>
        <r>
          <rPr>
            <sz val="9"/>
            <color indexed="81"/>
            <rFont val="Tahoma"/>
            <family val="2"/>
          </rPr>
          <t xml:space="preserve">
Affect of chip shortage in 2021</t>
        </r>
      </text>
    </comment>
    <comment ref="L259" authorId="18" shapeId="0" xr:uid="{F9F8EEC5-F2E7-46EF-8034-D257E20F299F}">
      <text>
        <r>
          <rPr>
            <b/>
            <sz val="9"/>
            <color indexed="81"/>
            <rFont val="Tahoma"/>
            <family val="2"/>
          </rPr>
          <t>ASUS:</t>
        </r>
        <r>
          <rPr>
            <sz val="9"/>
            <color indexed="81"/>
            <rFont val="Tahoma"/>
            <family val="2"/>
          </rPr>
          <t xml:space="preserve">
Heavier affect of chip shortage in 2021 as PC is more needed in the quarantine, and PC is more likely to be storage as inventory longer than phone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tc={E1410C3D-B0DC-4C0A-8D07-AB7D141CF9C8}</author>
    <author>tc={62435220-8E18-400B-A5C1-80227DB3B7A4}</author>
    <author>tc={9B4D706B-1B2C-4E6D-BE60-E4B7CFFB65F6}</author>
    <author>tc={69CB833E-44E1-49C1-AE60-E847B31E410E}</author>
    <author>tc={163B1C05-ED0F-4708-B865-456D521D0313}</author>
    <author>tc={FE1FAD2A-2A4B-496F-A5E3-FB359B3DBF55}</author>
    <author>tc={3932DE87-10C8-4506-A5B5-666B0F40DCD8}</author>
    <author>tc={145C6717-AEBF-42EB-81E3-90731B254F88}</author>
    <author>tc={62CD03FE-106A-4BF8-977C-46B4D1852FFA}</author>
    <author>tc={6DAC84DA-C087-40C0-82D9-AA92D63DEB94}</author>
    <author>tc={1798BA65-9474-49DE-8BC1-2963B5D99C18}</author>
    <author>tc={0B5A4F10-4F9D-4CE6-B97E-C26CA9220824}</author>
  </authors>
  <commentList>
    <comment ref="M34" authorId="0" shapeId="0" xr:uid="{E1410C3D-B0DC-4C0A-8D07-AB7D141CF9C8}">
      <text>
        <t xml:space="preserve">[Threaded comment]
Your version of Excel allows you to read this threaded comment; however, any edits to it will get removed if the file is opened in a newer version of Excel. Learn more: https://go.microsoft.com/fwlink/?linkid=870924
Comment:
    Equal to Thailand in 2022, but still low compared to Maylay, Korea, China,…
</t>
      </text>
    </comment>
    <comment ref="H43" authorId="1" shapeId="0" xr:uid="{62435220-8E18-400B-A5C1-80227DB3B7A4}">
      <text>
        <t>[Threaded comment]
Your version of Excel allows you to read this threaded comment; however, any edits to it will get removed if the file is opened in a newer version of Excel. Learn more: https://go.microsoft.com/fwlink/?linkid=870924
Comment:
    Shipment in Q1.23 drop 30% yoy (Counterpoint) due to lower demand and inventory built up from Q4.2022
https://www.counterpointresearch.com/insights_tag/vietnam/
Shipment in Q2.23 fell 24% yoy (Canalysis)  as it was highly exposed to the global economic slowdown.
https://www.canalys.com/newsroom/southeast-asian-smartphone-market-q2-2023
Reply:
    Assume in Q3 and Q4 each growth 15% QoQ thanks to its high season nature (back to school, festival) and improving demand (support macro policy), partly evidence by recovery in Q2 despite of low season</t>
      </text>
    </comment>
    <comment ref="M45" authorId="2" shapeId="0" xr:uid="{9B4D706B-1B2C-4E6D-BE60-E4B7CFFB65F6}">
      <text>
        <t>[Threaded comment]
Your version of Excel allows you to read this threaded comment; however, any edits to it will get removed if the file is opened in a newer version of Excel. Learn more: https://go.microsoft.com/fwlink/?linkid=870924
Comment:
    compared to Thailand of 97% 4 years after the 2G shutdown with the adjustment due to the higher penetration rate of feature phones in Vietnam</t>
      </text>
    </comment>
    <comment ref="M48" authorId="3" shapeId="0" xr:uid="{69CB833E-44E1-49C1-AE60-E847B31E410E}">
      <text>
        <t xml:space="preserve">[Threaded comment]
Your version of Excel allows you to read this threaded comment; however, any edits to it will get removed if the file is opened in a newer version of Excel. Learn more: https://go.microsoft.com/fwlink/?linkid=870924
Comment:
    Compared to Thailand in 2022, the phone market revenue per is capita of Vietnam in 2028 is relatively equal </t>
      </text>
    </comment>
    <comment ref="P53" authorId="4" shapeId="0" xr:uid="{163B1C05-ED0F-4708-B865-456D521D0313}">
      <text>
        <t>[Threaded comment]
Your version of Excel allows you to read this threaded comment; however, any edits to it will get removed if the file is opened in a newer version of Excel. Learn more: https://go.microsoft.com/fwlink/?linkid=870924
Comment:
    Researcher did not factor inflation</t>
      </text>
    </comment>
    <comment ref="H54" authorId="5" shapeId="0" xr:uid="{FE1FAD2A-2A4B-496F-A5E3-FB359B3DBF55}">
      <text>
        <t xml:space="preserve">[Threaded comment]
Your version of Excel allows you to read this threaded comment; however, any edits to it will get removed if the file is opened in a newer version of Excel. Learn more: https://go.microsoft.com/fwlink/?linkid=870924
Comment:
    Assume the Price level of phone increase 1.7% but phone ASP does not change much compared to 2022 since:
+In H1.2023, some smartphone price was heavily discounted to release inventory 
</t>
      </text>
    </comment>
    <comment ref="I54" authorId="6" shapeId="0" xr:uid="{3932DE87-10C8-4506-A5B5-666B0F40DCD8}">
      <text>
        <t>[Threaded comment]
Your version of Excel allows you to read this threaded comment; however, any edits to it will get removed if the file is opened in a newer version of Excel. Learn more: https://go.microsoft.com/fwlink/?linkid=870924
Comment:
    Phone Price level of plus premiumization trend commence when economic outlook gets better (greater proportion of mid/high phone segment)</t>
      </text>
    </comment>
    <comment ref="A63" authorId="7" shapeId="0" xr:uid="{145C6717-AEBF-42EB-81E3-90731B254F88}">
      <text>
        <t>[Threaded comment]
Your version of Excel allows you to read this threaded comment; however, any edits to it will get removed if the file is opened in a newer version of Excel. Learn more: https://go.microsoft.com/fwlink/?linkid=870924
Comment:
    source là gì vậy?
Reply:
    DGW sales is market size as DGW cover 100% sales in VN before 2022, In 2022, 80%</t>
      </text>
    </comment>
    <comment ref="H67" authorId="8" shapeId="0" xr:uid="{62CD03FE-106A-4BF8-977C-46B4D1852FFA}">
      <text>
        <t>[Threaded comment]
Your version of Excel allows you to read this threaded comment; however, any edits to it will get removed if the file is opened in a newer version of Excel. Learn more: https://go.microsoft.com/fwlink/?linkid=870924
Comment:
    concern #1</t>
      </text>
    </comment>
    <comment ref="H69" authorId="9" shapeId="0" xr:uid="{6DAC84DA-C087-40C0-82D9-AA92D63DEB94}">
      <text>
        <t>[Threaded comment]
Your version of Excel allows you to read this threaded comment; however, any edits to it will get removed if the file is opened in a newer version of Excel. Learn more: https://go.microsoft.com/fwlink/?linkid=870924
Comment:
    concern #3</t>
      </text>
    </comment>
    <comment ref="H78" authorId="10" shapeId="0" xr:uid="{1798BA65-9474-49DE-8BC1-2963B5D99C18}">
      <text>
        <t>[Threaded comment]
Your version of Excel allows you to read this threaded comment; however, any edits to it will get removed if the file is opened in a newer version of Excel. Learn more: https://go.microsoft.com/fwlink/?linkid=870924
Comment:
    According to Mr.Viet chairman</t>
      </text>
    </comment>
    <comment ref="H112" authorId="11" shapeId="0" xr:uid="{0B5A4F10-4F9D-4CE6-B97E-C26CA9220824}">
      <text>
        <t>[Threaded comment]
Your version of Excel allows you to read this threaded comment; however, any edits to it will get removed if the file is opened in a newer version of Excel. Learn more: https://go.microsoft.com/fwlink/?linkid=870924
Comment:
    According to the chairman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Hoàng Gia Huy</author>
  </authors>
  <commentList>
    <comment ref="N37" authorId="0" shapeId="0" xr:uid="{12559A72-3B55-4F16-8317-A2C8C1FEF844}">
      <text>
        <r>
          <rPr>
            <sz val="11"/>
            <color theme="1"/>
            <rFont val="Calibri"/>
            <family val="2"/>
            <scheme val="minor"/>
          </rPr>
          <t>Company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Viet Khai</author>
    <author>tc={24847292-7C11-472C-A1C2-329D9EA6A9BF}</author>
  </authors>
  <commentList>
    <comment ref="O21" authorId="0" shapeId="0" xr:uid="{9EF17515-5C60-4472-A710-1B05D0B9D0B8}">
      <text>
        <r>
          <rPr>
            <b/>
            <sz val="9"/>
            <color indexed="81"/>
            <rFont val="Tahoma"/>
            <family val="2"/>
          </rPr>
          <t>Viet Khai:</t>
        </r>
        <r>
          <rPr>
            <sz val="9"/>
            <color indexed="81"/>
            <rFont val="Tahoma"/>
            <family val="2"/>
          </rPr>
          <t xml:space="preserve">
Add more Xiaomi refrigerators and air conditioners</t>
        </r>
      </text>
    </comment>
    <comment ref="Q21" authorId="1" shapeId="0" xr:uid="{24847292-7C11-472C-A1C2-329D9EA6A9BF}">
      <text>
        <t>[Threaded comment]
Your version of Excel allows you to read this threaded comment; however, any edits to it will get removed if the file is opened in a newer version of Excel. Learn more: https://go.microsoft.com/fwlink/?linkid=870924
Comment:
    Wordcup</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tc={C5A5A2C1-D17A-4E65-AB1E-08C4A79609F8}</author>
    <author>tc={E084A02D-650D-4D83-A459-17A7AE49FB73}</author>
    <author>tc={9163676D-E5AD-45BD-B583-62175216E2C4}</author>
  </authors>
  <commentList>
    <comment ref="A39" authorId="0" shapeId="0" xr:uid="{C5A5A2C1-D17A-4E65-AB1E-08C4A79609F8}">
      <text>
        <t>[Threaded comment]
Your version of Excel allows you to read this threaded comment; however, any edits to it will get removed if the file is opened in a newer version of Excel. Learn more: https://go.microsoft.com/fwlink/?linkid=870924
Comment:
    EBIT(1-t)/(Fixed assets+ Intangible Assets+Current Assets - Current Liability - Cash)</t>
      </text>
    </comment>
    <comment ref="A40" authorId="1" shapeId="0" xr:uid="{E084A02D-650D-4D83-A459-17A7AE49FB73}">
      <text>
        <t>[Threaded comment]
Your version of Excel allows you to read this threaded comment; however, any edits to it will get removed if the file is opened in a newer version of Excel. Learn more: https://go.microsoft.com/fwlink/?linkid=870924
Comment:
    EBIT/(Total asset - current liabilities)</t>
      </text>
    </comment>
    <comment ref="A60" authorId="2" shapeId="0" xr:uid="{9163676D-E5AD-45BD-B583-62175216E2C4}">
      <text>
        <t>[Threaded comment]
Your version of Excel allows you to read this threaded comment; however, any edits to it will get removed if the file is opened in a newer version of Excel. Learn more: https://go.microsoft.com/fwlink/?linkid=870924
Comment:
    Revenue / Average(trade account receivable)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tc={A220EB6F-F53A-42C2-B8DD-D8366887B44C}</author>
    <author>tc={EE51EE00-2536-4894-8315-5118679263CA}</author>
    <author>tc={A884BC76-AC9B-4448-B97F-062885E17E5F}</author>
    <author>tc={41972C04-02D1-4A50-9BAF-CF176B711B43}</author>
  </authors>
  <commentList>
    <comment ref="O137" authorId="0" shapeId="0" xr:uid="{A220EB6F-F53A-42C2-B8DD-D8366887B44C}">
      <text>
        <t>[Threaded comment]
Your version of Excel allows you to read this threaded comment; however, any edits to it will get removed if the file is opened in a newer version of Excel. Learn more: https://go.microsoft.com/fwlink/?linkid=870924
Comment:
     Vietnam, being an export-driven economy, witnessed a shipment decline of 24% as it was highly exposed to the global economic slowdown. 
Reply:
    https://www.canalys.com/newsroom/southeast-asian-smartphone-market-q2-2023</t>
      </text>
    </comment>
    <comment ref="B184" authorId="1" shapeId="0" xr:uid="{EE51EE00-2536-4894-8315-5118679263CA}">
      <text>
        <t>[Threaded comment]
Your version of Excel allows you to read this threaded comment; however, any edits to it will get removed if the file is opened in a newer version of Excel. Learn more: https://go.microsoft.com/fwlink/?linkid=870924
Comment:
    Số này là sao ta =)) Sao smartphone grow có 0.8% CAGR ?</t>
      </text>
    </comment>
    <comment ref="B188" authorId="2" shapeId="0" xr:uid="{A884BC76-AC9B-4448-B97F-062885E17E5F}">
      <text>
        <t>[Threaded comment]
Your version of Excel allows you to read this threaded comment; however, any edits to it will get removed if the file is opened in a newer version of Excel. Learn more: https://go.microsoft.com/fwlink/?linkid=870924
Comment:
    Can check GSO
Reply:
    According to VND there are number in GSO</t>
      </text>
    </comment>
    <comment ref="B194" authorId="3" shapeId="0" xr:uid="{41972C04-02D1-4A50-9BAF-CF176B711B43}">
      <text>
        <t>[Threaded comment]
Your version of Excel allows you to read this threaded comment; however, any edits to it will get removed if the file is opened in a newer version of Excel. Learn more: https://go.microsoft.com/fwlink/?linkid=870924
Comment:
    Laptop grow chậm vậy á ? T thấy cái RMIT nó ghi laptop CAGR = 8.8% mà</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tc={F8D03DC7-422A-48D0-9030-EC6651CCA12F}</author>
    <author>Hoàng Gia Huy</author>
  </authors>
  <commentList>
    <comment ref="D19" authorId="0" shapeId="0" xr:uid="{F8D03DC7-422A-48D0-9030-EC6651CCA12F}">
      <text>
        <t>[Threaded comment]
Your version of Excel allows you to read this threaded comment; however, any edits to it will get removed if the file is opened in a newer version of Excel. Learn more: https://go.microsoft.com/fwlink/?linkid=870924
Comment:
    Assume only construction &amp; mining workers have helmets</t>
      </text>
    </comment>
    <comment ref="D24" authorId="1" shapeId="0" xr:uid="{6316210E-08DF-4C1B-AE2E-64BDCCEA3258}">
      <text>
        <r>
          <rPr>
            <b/>
            <sz val="9"/>
            <color indexed="81"/>
            <rFont val="Tahoma"/>
            <family val="2"/>
            <charset val="163"/>
          </rPr>
          <t>Hoàng Gia Huy:</t>
        </r>
        <r>
          <rPr>
            <sz val="9"/>
            <color indexed="81"/>
            <rFont val="Tahoma"/>
            <family val="2"/>
            <charset val="163"/>
          </rPr>
          <t xml:space="preserve">
Exclude công nhân may, assume chiếm 20% manufacturing (dựa theo % exports)</t>
        </r>
      </text>
    </comment>
    <comment ref="D25" authorId="1" shapeId="0" xr:uid="{151BBFC1-3197-4863-BCD5-8BE0A43FBF01}">
      <text>
        <r>
          <rPr>
            <b/>
            <sz val="9"/>
            <color indexed="81"/>
            <rFont val="Tahoma"/>
            <family val="2"/>
            <charset val="163"/>
          </rPr>
          <t>Hoàng Gia Huy:</t>
        </r>
        <r>
          <rPr>
            <sz val="9"/>
            <color indexed="81"/>
            <rFont val="Tahoma"/>
            <family val="2"/>
            <charset val="163"/>
          </rPr>
          <t xml:space="preserve">
Exclude công nhân may, assume chiếm 20% manufacturing (dựa theo % exports)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<sst xmlns="http://schemas.openxmlformats.org/spreadsheetml/2006/main" count="7507" uniqueCount="2696">
  <si>
    <t>Valuation summary</t>
  </si>
  <si>
    <t>Low</t>
  </si>
  <si>
    <t>High</t>
  </si>
  <si>
    <t>DCF</t>
  </si>
  <si>
    <t>Rel val</t>
  </si>
  <si>
    <t>52 Week</t>
  </si>
  <si>
    <t>Broker</t>
  </si>
  <si>
    <t>Valuation matrix</t>
  </si>
  <si>
    <t>Method</t>
  </si>
  <si>
    <t>Weight</t>
  </si>
  <si>
    <t>Price (vnd)</t>
  </si>
  <si>
    <t>Rel Val</t>
  </si>
  <si>
    <t>Target price</t>
  </si>
  <si>
    <t>Market price</t>
  </si>
  <si>
    <t>(7.11.2023)</t>
  </si>
  <si>
    <t>Upside</t>
  </si>
  <si>
    <t>WACC assumption</t>
  </si>
  <si>
    <t>WACC</t>
  </si>
  <si>
    <t>Cost of equity</t>
  </si>
  <si>
    <t>Risk free rate</t>
  </si>
  <si>
    <t>Beta</t>
  </si>
  <si>
    <t>Adjusted beta</t>
  </si>
  <si>
    <t>ERP</t>
  </si>
  <si>
    <t>After tax cost of debt</t>
  </si>
  <si>
    <t>Pre-tax cost of debt</t>
  </si>
  <si>
    <t>Effective tax rate</t>
  </si>
  <si>
    <t>Target % equity</t>
  </si>
  <si>
    <t>Target % debt</t>
  </si>
  <si>
    <t>DCF output</t>
  </si>
  <si>
    <t>Base case (bil VND)</t>
  </si>
  <si>
    <t>Bear case</t>
  </si>
  <si>
    <t>Base case</t>
  </si>
  <si>
    <t>Bull case</t>
  </si>
  <si>
    <t>Terminal growth rate</t>
  </si>
  <si>
    <t>Mean P/E</t>
  </si>
  <si>
    <t>PV of forecast period</t>
  </si>
  <si>
    <t>DGW's premium</t>
  </si>
  <si>
    <t>PV of terminal value</t>
  </si>
  <si>
    <t>DGW's implied P/E</t>
  </si>
  <si>
    <t>Enterprise value</t>
  </si>
  <si>
    <t>FY23E EPS (10%)</t>
  </si>
  <si>
    <t>(-) Less debt &amp; MI</t>
  </si>
  <si>
    <t>FY24E EPS (90%)</t>
  </si>
  <si>
    <t>Equity value</t>
  </si>
  <si>
    <t>Intrinsic value</t>
  </si>
  <si>
    <t>Outstanding shares (mil)</t>
  </si>
  <si>
    <t>Implied share price (kVND)</t>
  </si>
  <si>
    <t>22A</t>
  </si>
  <si>
    <t>23F</t>
  </si>
  <si>
    <t>24F</t>
  </si>
  <si>
    <t>25F</t>
  </si>
  <si>
    <t>26F</t>
  </si>
  <si>
    <t>27F</t>
  </si>
  <si>
    <t>28F</t>
  </si>
  <si>
    <t>Net margin</t>
  </si>
  <si>
    <t>EBIT margin</t>
  </si>
  <si>
    <t>Gross margin</t>
  </si>
  <si>
    <t xml:space="preserve">PROFIT MARGIN ATTRIBUTION ANALYSIS </t>
  </si>
  <si>
    <t>23E benchmark</t>
  </si>
  <si>
    <t>28E</t>
  </si>
  <si>
    <t>Segments</t>
  </si>
  <si>
    <t xml:space="preserve">Weight </t>
  </si>
  <si>
    <t>Margin</t>
  </si>
  <si>
    <t>Smartphone</t>
  </si>
  <si>
    <t>Xiaomi</t>
  </si>
  <si>
    <t>Iphone</t>
  </si>
  <si>
    <t>Others</t>
  </si>
  <si>
    <t>Laptop &amp; tablet</t>
  </si>
  <si>
    <t>Office equipment</t>
  </si>
  <si>
    <t>Home appliance</t>
  </si>
  <si>
    <t>Consumer goods</t>
  </si>
  <si>
    <t>Total</t>
  </si>
  <si>
    <t>Excess margin</t>
  </si>
  <si>
    <t>Check</t>
  </si>
  <si>
    <t>Brinson attribution model</t>
  </si>
  <si>
    <t>Allocation effect</t>
  </si>
  <si>
    <t>Selection effect</t>
  </si>
  <si>
    <t>Individual effect</t>
  </si>
  <si>
    <t>Total effect</t>
  </si>
  <si>
    <t>EBIT margin drivers</t>
  </si>
  <si>
    <t>23E EBIT margin</t>
  </si>
  <si>
    <t>S&amp;L mix's effect on GM</t>
  </si>
  <si>
    <t>Others mix's effect on GM</t>
  </si>
  <si>
    <t>Dec. GM of S&amp;L</t>
  </si>
  <si>
    <t>Dec. SG&amp;A margin</t>
  </si>
  <si>
    <t>28E EBIT margin</t>
  </si>
  <si>
    <t>Gross margin drivers</t>
  </si>
  <si>
    <t>23E GM</t>
  </si>
  <si>
    <t>More % Xiaomi</t>
  </si>
  <si>
    <t>More % Iphone</t>
  </si>
  <si>
    <t>More % others</t>
  </si>
  <si>
    <t>Less % Laptop</t>
  </si>
  <si>
    <t>More % OE</t>
  </si>
  <si>
    <t>More % HA</t>
  </si>
  <si>
    <t>More % CG</t>
  </si>
  <si>
    <t>GM all fall</t>
  </si>
  <si>
    <t>28E GM</t>
  </si>
  <si>
    <t>Segment</t>
  </si>
  <si>
    <t>CAGR FY24-FY28</t>
  </si>
  <si>
    <t xml:space="preserve">Estimated FY23 GM </t>
  </si>
  <si>
    <t>Total revenue</t>
  </si>
  <si>
    <t>Laptop &amp; Tablet</t>
  </si>
  <si>
    <t>OE</t>
  </si>
  <si>
    <t>Consumer Equip.</t>
  </si>
  <si>
    <t>n/a</t>
  </si>
  <si>
    <t>Corporate Equip.</t>
  </si>
  <si>
    <t>Home Appliance</t>
  </si>
  <si>
    <t>DISCOUNTED CASH FLOW</t>
  </si>
  <si>
    <t>Billion VND</t>
  </si>
  <si>
    <t>2018A</t>
  </si>
  <si>
    <t>2019A</t>
  </si>
  <si>
    <t>2020A</t>
  </si>
  <si>
    <t>2021A</t>
  </si>
  <si>
    <t>2022A</t>
  </si>
  <si>
    <t>2023E</t>
  </si>
  <si>
    <t>Q4.2023E</t>
  </si>
  <si>
    <t>2029E</t>
  </si>
  <si>
    <t>2030E</t>
  </si>
  <si>
    <t>2031E</t>
  </si>
  <si>
    <t>2032E</t>
  </si>
  <si>
    <t>2033E</t>
  </si>
  <si>
    <t>Terminal value</t>
  </si>
  <si>
    <t>EBIT</t>
  </si>
  <si>
    <t>Less: tax</t>
  </si>
  <si>
    <t>EBIT after tax</t>
  </si>
  <si>
    <t>Assume an intermediate growth of 5% in 2029E - 2033E, 
which is equal to Vietnam forecast real GDP growth after 2030</t>
  </si>
  <si>
    <t>Adjustments</t>
  </si>
  <si>
    <t>Less: Change in working cap</t>
  </si>
  <si>
    <t>Assume a terminal growth of 3%, considering an heavy saturation ICT market and expected inflation rate of 2.5% from 2033 onward</t>
  </si>
  <si>
    <t>Less: Capex</t>
  </si>
  <si>
    <t>Add: Depreciation</t>
  </si>
  <si>
    <t>FCFF</t>
  </si>
  <si>
    <t>% yoy</t>
  </si>
  <si>
    <t>PV of FCF (t = 0 at Q3.2023 ended)</t>
  </si>
  <si>
    <t>EV contribution by Stage</t>
  </si>
  <si>
    <t>Forecast period</t>
  </si>
  <si>
    <t>Stage 29E - 33E</t>
  </si>
  <si>
    <t>Terminal period</t>
  </si>
  <si>
    <t>VALUATION</t>
  </si>
  <si>
    <t xml:space="preserve">WACC  </t>
  </si>
  <si>
    <t>Upside (%)</t>
  </si>
  <si>
    <t>Enterprise value (bil vnd)</t>
  </si>
  <si>
    <t>Less: Net debt</t>
  </si>
  <si>
    <t>Less: Minority</t>
  </si>
  <si>
    <t>Equity intrinsic value (bil vnd)</t>
  </si>
  <si>
    <t>Equity value (bil vnd)</t>
  </si>
  <si>
    <t>(1.12.2023)</t>
  </si>
  <si>
    <t>No. of O/S shares (mn) - 1.12.2023</t>
  </si>
  <si>
    <t>Fair value per share (VNDk)</t>
  </si>
  <si>
    <t>Current Price (k)</t>
  </si>
  <si>
    <t>s</t>
  </si>
  <si>
    <t>Audit kĩ thuật định giá</t>
  </si>
  <si>
    <t>Tính FCFF cho riêng Quý 4</t>
  </si>
  <si>
    <t>x</t>
  </si>
  <si>
    <t>Debt reconsideration</t>
  </si>
  <si>
    <t>Cân cash và cash advance</t>
  </si>
  <si>
    <t>Cúc + working cap adjustment theo business sense =&gt; final ok price</t>
  </si>
  <si>
    <t>Assumption BL and CF</t>
  </si>
  <si>
    <t>Cúc giá</t>
  </si>
  <si>
    <t>Anh chị audit</t>
  </si>
  <si>
    <t>Pending</t>
  </si>
  <si>
    <t>WACC calculation</t>
  </si>
  <si>
    <t>Multiple valuation</t>
  </si>
  <si>
    <t xml:space="preserve">Scenario + sensitivity </t>
  </si>
  <si>
    <t>Sum of the part</t>
  </si>
  <si>
    <t>Monte carlo + others</t>
  </si>
  <si>
    <t>Cân nhắc multi stage forecast</t>
  </si>
  <si>
    <t>Cross check bằng FCFE xem chệch lệch nên nhỏ hơn +-15%</t>
  </si>
  <si>
    <t>Cross check bằng các chỉ số vĩ mô</t>
  </si>
  <si>
    <t>demographic</t>
  </si>
  <si>
    <t xml:space="preserve"> </t>
  </si>
  <si>
    <t>Lúc định giá DCF thì nhìn vô hạn, nhưng lúc khuyến nghị lại lấy giá đó là 1 year target, vậy thì dùng kĩ thuật gì để từ intrinsic value ra target price</t>
  </si>
  <si>
    <t>Mục đích của Multiple valuation, khi nào thì nên mix nó vào trong định giá DCF, cân nhắc gì khi xác định tỷ lệ mix</t>
  </si>
  <si>
    <t>Có thể đưa các yếu tố về mặt dòng tiền, thị trường vào multiple không</t>
  </si>
  <si>
    <t>Quan điểm của giới analysis khi nào dùng fcff và fcfe</t>
  </si>
  <si>
    <t>Thấy gì từ account receivable TDGĐ</t>
  </si>
  <si>
    <t>Thấy gì từ tỷ lệ merchandise, good in transit và việc 8 tuần order 1 lần</t>
  </si>
  <si>
    <t>Mô hình ít cố định phí vãi, thì nó sao nhỉ</t>
  </si>
  <si>
    <t>Foreign exchange gian phát sinh khi nào</t>
  </si>
  <si>
    <t>Forecast</t>
  </si>
  <si>
    <t>Với tính hình hiện tại, DGW kì vọng tăng trưởng cho các mảng OE, Appliance, PPE, FMCG và Healthcare là bao nhiêu cho 3 năm tới</t>
  </si>
  <si>
    <t>Data về sales của Xiaomi và Apple của công ty lấy ở đâu</t>
  </si>
  <si>
    <t>MEETING: ANH NAM VIETCAO</t>
  </si>
  <si>
    <t>Thị phần của Iphone phân phối</t>
  </si>
  <si>
    <t>Làm scenario ânlysis, nếu bull case upside cao hơn downside risk thì buy</t>
  </si>
  <si>
    <t>Market share của OE tăng từ 3-11% trong 2020 và 2021, trong khi doanh thu chỉ tăng 70% công ty giải thích gì về việc này</t>
  </si>
  <si>
    <t>Phải làm base case ra 1 giá có assumption thật hợp lý trước</t>
  </si>
  <si>
    <t>Thị phần phân phối đt Xiaomi và Apple của DGW có bị ảnh hưởng k trước sự lớn nhanh của FPT synnex</t>
  </si>
  <si>
    <t>Reference CAGR quá khứ nhưng loại ra những năm outlier như năm 2021</t>
  </si>
  <si>
    <t>S</t>
  </si>
  <si>
    <t>Việc sếp mua cổ phần CTR có ý nghĩa gì với công ty</t>
  </si>
  <si>
    <t>Bull case là Ip có innovation, các mảnh khác thành công</t>
  </si>
  <si>
    <t>Tại sao DGW k phân phối điện thoại Samsung</t>
  </si>
  <si>
    <t>Bear case nói ít nếu muốn cúc buy</t>
  </si>
  <si>
    <t>Thuận lợi và khó khăn nhất của DGW khi mở rộng sang mặt hàng FMCG so với kinh nghiệm làm ICT</t>
  </si>
  <si>
    <t>Mỗi assumption cần 3 ý giải thích tại sao</t>
  </si>
  <si>
    <t>Giá Iphone và các mặt hàng khác bán ra được xác định bởi hãng hay qua đàm phán giữa DGW với retialer</t>
  </si>
  <si>
    <t>Xem kịch bản tăng trưởng của kì họp chỉnh phú vừa rồi, các tổ chức quốc tế ADB đánh giá VN để làm bear bull case</t>
  </si>
  <si>
    <t>Chú ý lúc hỏi, mình có nhiều data non private</t>
  </si>
  <si>
    <t>Trend OEM</t>
  </si>
  <si>
    <t>Năm 2023 DGW trợ giá cho nhà bán lẻ đặc biệt là iPhone do demand yếu do đó năm 2024 khi demand phục hồi margin sẽ expand </t>
  </si>
  <si>
    <t>Bull case là factor hết các yếu tố vô</t>
  </si>
  <si>
    <t>Xem mấy thằng OEM trung quốc &gt; mình là early stage của nó</t>
  </si>
  <si>
    <t>Backup assumption &gt; 1 quá khứ, 2 peers 3 trung quốc</t>
  </si>
  <si>
    <t>Based case là dựa vào thực tế rất thực tế, phải defense đc chắc chắn</t>
  </si>
  <si>
    <t>So PE forward với các khoảng 1 2% stadev</t>
  </si>
  <si>
    <t>sau khi làm DCF thì phải quay lại PE, nó đơn giản hơn và phổ biến hơn</t>
  </si>
  <si>
    <t>Xem DOI CCC những giai đoạn dễ bán hàng và khó bán hàng</t>
  </si>
  <si>
    <t>Xem diễn biến lúc drop, hồi phục,…</t>
  </si>
  <si>
    <t>Based case thì mọi người H2.2024 sẽ pick up lại</t>
  </si>
  <si>
    <t>Khi trả lời: Assumpton support bởi 3 facts</t>
  </si>
  <si>
    <t>Những cái trong investment thesis cuối cùng cũng về growth &gt; profitability ROE ROA &gt; valuation chứ k mấy cái gián tiếp add in như lãnh đạo acb</t>
  </si>
  <si>
    <t>ESG là có hoặc k investable chứ k phải spectrum tốt bao nhiêu xấu bao nhiêu</t>
  </si>
  <si>
    <t>Có thể valuation bằng phương pháp IRR so với WACC</t>
  </si>
  <si>
    <t>Chọn Terminal year, dựa vào việc nó đầu tư capex, ví dụ nhà máy nó cần 10 năm để nhà máy vô guồng, CF ổn định, còn DGW</t>
  </si>
  <si>
    <t>DGW có những business quá mới, 5 năm chưa phản ảnh được hết thì phải kéo ra</t>
  </si>
  <si>
    <t>Terminal growth năm cuối và năm terminal k khác nhau mấy, nếu năm 5 vẫn khác thì làm multi stage</t>
  </si>
  <si>
    <t>Có thể xem dẫn số vàng, đến năm bao nhiêu thì hết, nên 5 năm sau k về được terminal growth rate đâu</t>
  </si>
  <si>
    <t>MULTIPLE VALUATION</t>
  </si>
  <si>
    <t>Company name</t>
  </si>
  <si>
    <t>Ticker</t>
  </si>
  <si>
    <t>Country</t>
  </si>
  <si>
    <t>Market data (28.10.2023)</t>
  </si>
  <si>
    <t>Financial data (LTM)</t>
  </si>
  <si>
    <t>Valuation metric (3Y)</t>
  </si>
  <si>
    <t>Mkt Cap 
(mil usd)</t>
  </si>
  <si>
    <t>Net debt 
(mil usd)</t>
  </si>
  <si>
    <t>EV
 (mil usd)</t>
  </si>
  <si>
    <t>Total equity 
(mil usd)</t>
  </si>
  <si>
    <t>Revenue 
(mil usd)</t>
  </si>
  <si>
    <t>EBITDA 
(mil usd)</t>
  </si>
  <si>
    <t>Net income 
(mil usd)</t>
  </si>
  <si>
    <t>Gross margin (%)</t>
  </si>
  <si>
    <t>Net margin (%)</t>
  </si>
  <si>
    <t>ROA (%)</t>
  </si>
  <si>
    <t>ROE (%)</t>
  </si>
  <si>
    <t>ROE 3Y (%)</t>
  </si>
  <si>
    <t>P/E</t>
  </si>
  <si>
    <t>P/B</t>
  </si>
  <si>
    <t>EV/EBITDA</t>
  </si>
  <si>
    <t>P/E 5Y</t>
  </si>
  <si>
    <t>ROE 5Y (%)</t>
  </si>
  <si>
    <t>Domestic peers</t>
  </si>
  <si>
    <t>Petrosetco</t>
  </si>
  <si>
    <t>PET VN EQUITY</t>
  </si>
  <si>
    <t>Vietnam</t>
  </si>
  <si>
    <t>N/A</t>
  </si>
  <si>
    <t>PET</t>
  </si>
  <si>
    <t>Regional peers</t>
  </si>
  <si>
    <t>PT Erajaya Swasembada Tbk</t>
  </si>
  <si>
    <t>ERAA</t>
  </si>
  <si>
    <t>PT Metrodata Electronics Tbk</t>
  </si>
  <si>
    <t>MTDL IJ EQUITY</t>
  </si>
  <si>
    <t>Indonesia</t>
  </si>
  <si>
    <t>MTDL</t>
  </si>
  <si>
    <t>VSTECS Berhad</t>
  </si>
  <si>
    <t>VST MK EQUITY</t>
  </si>
  <si>
    <t>Malaysia</t>
  </si>
  <si>
    <t>VST</t>
  </si>
  <si>
    <t>Synnex Thailand PCL</t>
  </si>
  <si>
    <t>SYNEX TB EQUITY</t>
  </si>
  <si>
    <t>Thailand</t>
  </si>
  <si>
    <t>SYNEX</t>
  </si>
  <si>
    <t xml:space="preserve">SiS Distribution </t>
  </si>
  <si>
    <t>SIS TB EQUITY</t>
  </si>
  <si>
    <t>SIS</t>
  </si>
  <si>
    <t>Digiworld</t>
  </si>
  <si>
    <t>DGW VN EQUITY</t>
  </si>
  <si>
    <t>DGW</t>
  </si>
  <si>
    <t>75th percentile</t>
  </si>
  <si>
    <t>Mean</t>
  </si>
  <si>
    <t>Median</t>
  </si>
  <si>
    <t>25 percentile</t>
  </si>
  <si>
    <t>DGW premium</t>
  </si>
  <si>
    <t>DGW 's implied multiples</t>
  </si>
  <si>
    <t>Digiworld valuation</t>
  </si>
  <si>
    <t>Implied EV</t>
  </si>
  <si>
    <t>mil usd</t>
  </si>
  <si>
    <t>Net debt</t>
  </si>
  <si>
    <t>Implied market value</t>
  </si>
  <si>
    <t>Shares outstanding</t>
  </si>
  <si>
    <t>mil shares</t>
  </si>
  <si>
    <t xml:space="preserve">Implied current value per shares </t>
  </si>
  <si>
    <t>usd</t>
  </si>
  <si>
    <t>vnd</t>
  </si>
  <si>
    <t>Exchange rate</t>
  </si>
  <si>
    <t>TTM</t>
  </si>
  <si>
    <t>2024E</t>
  </si>
  <si>
    <t>2025E</t>
  </si>
  <si>
    <t>Stock price 30.11.2023</t>
  </si>
  <si>
    <t>EPS</t>
  </si>
  <si>
    <t>P/E forward</t>
  </si>
  <si>
    <t>Intrinsic equity value per share</t>
  </si>
  <si>
    <t>1 year target price</t>
  </si>
  <si>
    <t>Upside %</t>
  </si>
  <si>
    <t>Working capital analysis</t>
  </si>
  <si>
    <t>DOI</t>
  </si>
  <si>
    <t>DOAR</t>
  </si>
  <si>
    <t>DOAP</t>
  </si>
  <si>
    <t>ICT &amp; OE DISTRIBUTOR</t>
  </si>
  <si>
    <t>Mktcap</t>
  </si>
  <si>
    <t>4Y avg</t>
  </si>
  <si>
    <t>Petroleum General Distribution</t>
  </si>
  <si>
    <t>HOME APPLIANCE</t>
  </si>
  <si>
    <t>FHB MK Equity</t>
  </si>
  <si>
    <t>FMCG</t>
  </si>
  <si>
    <t>DKSH SW Equity</t>
  </si>
  <si>
    <t>RETAILER</t>
  </si>
  <si>
    <t>MWG VN Equity</t>
  </si>
  <si>
    <t>FRT VN Equity</t>
  </si>
  <si>
    <t>Distributor average</t>
  </si>
  <si>
    <t>DGW differences</t>
  </si>
  <si>
    <t>Peers profile</t>
  </si>
  <si>
    <t>International peers</t>
  </si>
  <si>
    <t>Major</t>
  </si>
  <si>
    <t>Business Description</t>
  </si>
  <si>
    <t>SiS Distribution (Thailand) Public Company Limited</t>
  </si>
  <si>
    <t>https://sis.listedcompany.com/misc/PRESN/20230405-sis-oppday-fy2022.pdf</t>
  </si>
  <si>
    <t xml:space="preserve">SiS Distribution (Thailand) Public Company Limited, together with its subsidiaries, distributes computer components, smartphones, and office automation equipment in Thailand. The company operates through four segments: Commercial Products, Consumer Products, Value Added Products, and Phones. It is also involved in the servicing and rental of computers and accessories. </t>
  </si>
  <si>
    <t>VSTECS Berhad (KLSE:VSTECS)</t>
  </si>
  <si>
    <t>https://vstecs.listedcompany.com/misc/VSTECS_ar2022.pdf</t>
  </si>
  <si>
    <t>VSTECS Berhad, an investment holding company, engages in the distribution of information and communications technology (ICT) products in Malaysia and internationally. The company operates through three segments: ICT Distribution, Enterprise Systems, and ICT Services. It distributes notebooks, personal computers, smartphones, tablets, printers, wearables, network and communication infrastructure, servers, and enterprise software. The company provides value-added product support and technical services. In addition, it markets computers, peripherals, and software; and offers computer maintenance services. The company serves its customers through a network of resellers comprising retailers, system integrators, and corporate dealers.</t>
  </si>
  <si>
    <t>45-55% ict DISTRIBUTION, Others are Enterprise Sysstem</t>
  </si>
  <si>
    <t>PT Metrodata Electronics Tbk (IDX:MTDL)</t>
  </si>
  <si>
    <t xml:space="preserve">PT Metrodata Electronics Tbk, together with its subsidiaries, engages in the information and communication technology (ICT) business in Indonesia. It operates through two divisions, Distribution and Solution and Consultation. The Distribution division sells hardware and software, and basic peripherals, such as data storage devices, terminals, memory, and peripherals. The Solution and Consultation division provides maintenance services; sells hardware, system management software, middleware, serverware, and system level software; offers professional services for consultation, implementation, and training; and sells software products. It also offers assembly services in the computer field or wireless communication equipment; system integration services; and software consultancy, as well as distributes information technology products and sells personal computer products. </t>
  </si>
  <si>
    <t>https://www.synnex.co.th/th/pdf/ir/AnnualReport/AnnualSynnex2022_ENG.pdf</t>
  </si>
  <si>
    <t>P/E TTM</t>
  </si>
  <si>
    <t>5Y avg</t>
  </si>
  <si>
    <t>VSTECS BERHAD</t>
  </si>
  <si>
    <t>FIAMMA HOLDING</t>
  </si>
  <si>
    <t>SYNNEX TB</t>
  </si>
  <si>
    <t>BACK UP &gt;&gt;</t>
  </si>
  <si>
    <t>MWG</t>
  </si>
  <si>
    <t>FRT</t>
  </si>
  <si>
    <t>PSD VN EQUITY</t>
  </si>
  <si>
    <t>DKSH SWISS</t>
  </si>
  <si>
    <t>3Y avg</t>
  </si>
  <si>
    <t>&lt;&lt;</t>
  </si>
  <si>
    <t>Date</t>
  </si>
  <si>
    <t>Peer median</t>
  </si>
  <si>
    <t>Premium</t>
  </si>
  <si>
    <t>Avg Premium</t>
  </si>
  <si>
    <t>PE TTM</t>
  </si>
  <si>
    <t>Price to Book Ratio  (R1)</t>
  </si>
  <si>
    <t>Enterprise Value/EBITDA  (L1)</t>
  </si>
  <si>
    <t>Implied PE</t>
  </si>
  <si>
    <t>Price Earnings Ratio (P/E)  (R2)</t>
  </si>
  <si>
    <t>Last Price  (R1)</t>
  </si>
  <si>
    <t>Price Earnings Ratio (P/E)  (L1)</t>
  </si>
  <si>
    <t>Crystal Ball Data</t>
  </si>
  <si>
    <t>Workbook Variables</t>
  </si>
  <si>
    <t>Last Var Column</t>
  </si>
  <si>
    <t xml:space="preserve">    Name:</t>
  </si>
  <si>
    <t xml:space="preserve">    Value:</t>
  </si>
  <si>
    <t>Worksheet Data</t>
  </si>
  <si>
    <t>Last Data Column Used</t>
  </si>
  <si>
    <t>Sheet Ref</t>
  </si>
  <si>
    <t>Sheet Guid</t>
  </si>
  <si>
    <t>31368b15-7009-4241-bbb5-c3ea5f8782a6</t>
  </si>
  <si>
    <t>540e9466-d2bf-4d51-b5cc-1113dd046a13</t>
  </si>
  <si>
    <t>17095aa9-4e62-4d4b-9d6a-efd296a00f0e</t>
  </si>
  <si>
    <t>Deleted sheet count</t>
  </si>
  <si>
    <t>Last row used</t>
  </si>
  <si>
    <t>Data blocks</t>
  </si>
  <si>
    <t>CB_Block_0</t>
  </si>
  <si>
    <t>CB_Block_7.0.0.0:1</t>
  </si>
  <si>
    <t>㜸〱敤㕣㕢㙣ㅣ搵ㄹ摥ㄹ敦慥㜷搶㜶㙣攲〴〸㔷㜳扦㌸㕡攲㕣捡慤㈱昸ㄲ㈷㠱㕣㑣散㠴㈲㑡㤷昱敥ㄹ㝢㤲㥤ㄹ㌳㌳敢挴㤴㤶搰㔲㈸扤〸㐱ㅦ㕡㈸㙤ㄱ慡㄰㝤愹㐴ㅦ㄰㔰晡㠰㔴愹㔵〵㔵ㅦ㔰愵㍥㔴愲愸㙡ㅦ㕡㔵㤱晡挲〳ㄲ晤扥㌳㌳扢戳扢摥戱㔹愰㌵㤵㈷搹㍦㘷捥晤㥣晦㝡晥晦㑣㔲㑡㉡㤵晡㄰て晦攵㤳㘶攲愲改㈵捦ㄷ㔶㘱摣愹㔴㐴挹㌷ㅤ摢㉢㡣扡慥扥㜴搰昴晣㉥㔴挸ㄶ㑤㤴㝢㤹愲㘷㍥㈸㜲挵㐵攱㝡愸㤴㐹愵㜲㌹㑤㐵㌹㍢攱㙦㈰㝡搱搸慡㌷つ㌰㌳㍥㜶㘴昶〴㝡㥤昶ㅤ㔷㙣ㅤ㍡ㅥ戴摤㍤㌲㔲ㄸ㈹散摣戱㝤㐷㘱摢搶愱昱㙡挵慦扡㘲户㉤慡扥慢㔷戶づ㑤㔵㘷㉢㘶改㑥戱㌴攳㥣ㄴ昶㙥㌱扢㙤挷慣扥昳愶㤱㥤扢㜶ㄹ㌷摦㝣㔳㉦㠶㑥ㅤㅥㅦ㥢㜲㠵攱㝤㐲㝤㘶㌸攵㥤ㄳ愲㘴㜲㙤㐲戸愶㍤㔷ㄸㅦ挳摦搸晣昱㜶㘳㘱㝡㕥〸㥦㐳ぢ㔷搸㈵攱㘹㘸搸㘳㡤㝡㕥搵㕡攰收㘹搶㈴㤶㕡搲㍤㍦㘳㡤㡢㑡㐵戳愲㕥㜳搶ㄱ散㕤㐵㕦敡戵愶㠵敤㤹扥戹㘸晡㑢㔹㙢〶ㅤ㤵晢慣㘳㥥㌸慡摢㜳攲戰㙥㠹㡣戵慦㙡㤶搳挱㤳敡扡㈶敡㈲㍥㌱戹晣挲愸㘷㡤捦敢慥㥣㤱挷㡤㐹愸㍢改㤶ㅡ敢㕥搱扥㕦㑥㕤㡥挰㍥慦㙡㕦て㈵挷㜵户㔶㜳戸㝤捤㜰昱㡤㌳戸愱㝤晤搸ㅥ㌵戶戹慥㝤ㅢ戹㤵㡤戵㤵㥥㤰扥攵㡥㘲㌱㕡㤶愰㥢㈰㐷㐰〴㙡㜹㠲ㅥ㠲㕥〰㈵晤㙦㜰㐹扣㈱㡢搴愲慥ㄶ㘷搵㘲㐹㉤㤶搵愲㔰㡢㠶㕡㥣㔳㡢昳㙡搱㔴㡢㈷搴攲㐹搴㠹㥥㕣㜷户ㅡ㍥㑦づ摥攲摣戰㌵㍦昹摣收㤷收㕥㍦㝢摢㥢扤ㅢ㔰改慥㜰㔲ㄳ慥㝥ち愴㔶愷攲敤㠵㙤晣戳㌲㔷㠰㈹㡣㕤挶㡤挶挸㐸㜹搷㌶㝤㠷㥥攱戲ㄲ㤰摦㐰㈸〳愸摢㙢摣㙤摡㘵攷㤴挴摤㐵㘳扡㈷敡ㅢ㌷ㅣ㤶㡤㌹㔵扢散㕤戸㝣攱戴慦晢攲㠲收戲㝡㈷㉤捤愶挱㔶挲㤳攳㕤搲摣散戸㕥愹㡡搱搳㘶㔰㝣㜱㔳戱㌵攵㍡戳敤㑢㈷㕤昱㐰慤戴㘵㐶愳㄰㙡㡢戲敦㤶㔵〶㐵挱扣㠶挶攷ㅤ㑦搸㜲㝡挳搶㤴㔹㍡㈹摣㘹㐱㤱㈸捡㜲愹㥢㔹ㄴ㜲晤昰ㄱㅢぢ〵户㤶㉦㡦攷ㅡ㝢㑦晢㘰㘶㔱挶㝣ㄷ㠴敢㉦捤攸戳ㄵ㜱㙥㐳㤵㘰㑣ㄴ㙣㘹挸㥥㜴㑡㔵㙦摣戱㝤搷愹㌴㤶㡣㤶ㄷ㜵㐸㥡昲㈱愷㉣搲改㤴ㄴち㄰戸㕤㕤㡡㤲扡扥㍤㉦㐸㐴挴㔰㑣㐶㍥扦㤱散ち㐷戱㍡慣愲㈲㐸㤳敡㤵㉢㜴挶昹㑡ㄹ㤳挰㠱戱㌵㔱㝦㜰搰㙢㔷攸戶㠶戹㑦户戲慡づ㠶慢摦扢㈸㙣㝦扦㙥㤷㉢挲㑤搴㝥ち㘷愴昵〳㘴捥㐲㈰戴摤㍤慡㍡攵戴戲㤴㌹㘵㤶晤昹散扣㌰攷收㝤攴㐱㐳收㜲摣摡㤶㐷㍢〷㔹摡㐶㠲㐱㠰㝣㍥㤵摤挴㑡搹㍣㥥㔴㠶搲㈹㠱㤷ㅢ〴㌹摢㌵昰㜲慦㌱㘹㔶㝣ㄱ〸攵㝥〳ㄸ〹戴㥡㐴㕦ㅦ㐹搴搵㑢㠱挲搸㘴㡣㠳㑡㜵搳昶㤷敡㝣摢挲㈵〱ㄱ慤换㠲㌵㈷ぢ㈸ちㅡ攵㐱〲慦㠱㘸㥡愴㐱㜲攵ㄸㄱ㤱つㄲ㌴㍢㝡㙥㈴㌲搶㑦㤰ㄱ愸ㅦ㈷㐲搶摥搶㕥㐶㤰搸㕢㠹㤴㡤摡昲攳扡㌴㕢捥㤶て愴搹㘶㙣㥣㜶㉥挱㜹〴攷ㄳ㙣〱㔰晥〶〹㐷㈹㠷㜴攳愳㕤㠸㜷敤㈲㠲㡢〱㈰㥦㌴捡㥣㔰㔴搱㠶㕡㡤ㅤ挹㝡㝤戰㤳愵㔱ㅣ㠸㈲㕡挶㌵㍢戳捦㤲㠸づ慤捥戵愱㙢搳㔲挷㕥摤㥥㌶攳换㈱㐵㈶㔴㡤慦㜵㠵慡昱㡤㘰搵づ昵搶愵㘸慡つㄱ㕣〶㄰㈸ㄶㅡ扢慢戳收㘹㑥㝥㈶㑣愲挰㄰敡㔰戹㠷㐴㑣昳㍦㐱挰戵ㅣ㕤搶敤㘷㥡㠲挳挶㘷摥㝥摥摡㥥户㐳愴㌷改捣㜵㥤㐳㕦搱㐷戴愰㉦〷㝢㈹㝦㙥慢㕦慥㐴戱㜶ㄵ挱搵〰㑤晡㠵㈷敦㡦敡㈵㤰㈶戱ㄵ挳摣㐶㝡㕣愴㠵㍢戳戴㈰愴昶改㌵㘶㜴㜷㑥昸昰㕥ㅣ㤸㠰ㅤ散戸慥愸攰㐰㕢㤶ㄹ㍣扢㥣搷㤸改㑤扡㡥挵晣㜵晢搸晢㑣㈸㠶㜴㕡敤㑡㌵搹挷〹㜶㘶捣摦ㄴ愳ㅣ敡摦ㅤ敤㠵㐴慣㔱㈳㜹戱㕤昲搹㜲㕤㤲㜴㈰㐹慥挵戶㙡搷〱㐰㑡㈸㝦㙣㉢㔱㠶㔹㙤慢慣搶㘸慤搲扢㤷㜰㌲㘹昲ㅦ戶挸㤱㥥挰㔹㍢〶摦㠱搷㘷㑤㥢㔶㑤㔸昴㔸㔳挲㉤挱慦㘰㔶㐴㍥㜰挹㔲搴慣换㡡捦㠸慣攸敡㙡㌹㑢㈷昸搶㈴㥤㌴㐹㠹㐴㙥㑦㉣㑣㌸㠷搷㠹㡡㉥㐸ち㤵〴户㔰㑤〲㤱昲㔸㜷㕤挴㜴㈰㘲ち搸㌸敤〶㠲㙤〴㈳〰㤹摦㐳搲慣㜶攳ㄹち敢㕥愴㍢扢㔸㑣攵㠸〶改ㅥ㝣扢慤戰摡挹㘱㜶ㄱ㝣づ愰挹晣愱昳㌱㠱㄰㈵捡㘳㠴㐸㙢㐹㌳㡥㥢攲ㄴ㘹㘰㠳㠱愰搲㜸搵昳ㅤ㡢㔱愵㍥㘳挲㌹散昸ㄳ愶户㠰㈸搴愰ㄱ㈶敥㥥ㄷ㌶愸换㠵敤搳㤴攷㉣㉣㠸戲㘶㑣㍢㔵㠸戶〳ㄳ㙢攱㔰㡥昵挱㤶㤴攷㜲㔵挱搳搹搹ㄸ㕤㈸昲㐴っ㕦㉢㍤戱慢昲㝣昳搰搷㕦摦搱ㄹ搳慦㠸ㅥ㈳㘰㍡愶㜳〶㜶ㄱ㔱㠳㜲户㌱㌳敦ち㌱搱㘷散㜳捤㜲挵戴〵㤱〱ㅢ㤳㠱扡㠳㘲づㄱ㠲㈹㠷昱㍦挷敥㌳㘶㕣摤昶ㄶ㜴〶ㄳ㤷㌶㌶扣挹㤰㐸挶ㄸ㌳㙤て挳㐸㉣㌲摤㙦㑣捦㍢愷㄰慤慤㕡昶㍥㝤挱㕢ㄳ㔸㈱搱〷㡦㐴㡤愲㉡慡慡攴搴㕣愷昸攱㠱㍣㤵摡㡥㕦㥡㐰攲㉡㤵愱扦㍣㐱㝢搳慥て攳㌳戴搳㌹愷㕥㐴㡥㙡㤹㕤㠹㔲㤸㥣慡摤挴㌶㌷〳摣戱敦搸㠱㝡㔴敥㘳挵慢㌳昴昰㈷挸㜸㐹ㄶ戵㈰〸晤㜳ㅢ〲㔲㘱ㅥ㈹〷ㅣ〸㡣昳慤㤹晣昲㠶慣㐳敡摢㔰㑦㑥㈲㡡搴㙢ㅣ搴㘷㐵〵戱㘸㑢昷㌷〴㉦㌴㘳㉤扤攲㠵㘵攳㡥㘵改㈴㉤㤲攵㜴㐹㈷〵㡦㔶㝤攷㤰㘹㙢〶㠰愴扦㌰㑢㍦㡤㉣晤戴捣敡㌵㡥㌲㉣㈸搳散换㤹搳㕤搳㥦户捣㔲㡥㉦っ摤慤〹㥡〴㤳㔳昲㐶㑦㈴㌳㠶㥡慣昹㘳㌰搹扣〲搰㕤㠰ㅣ攵搶ㄱ晤愰㕣㔵挹攲㡦搲愱㘳〹〲㐶㝡㐹戵㕢搱㕢㐶摥㡣㠰挸㤱捦搹攸晥挵搹㠷㤱ㄳ昸攵㠸昵〴ㄲ㠱㐷㌰㈶攴改摥捥ㅡ挷㙣搳〷昶㠸戱㐹搳㥦昰㠰㜲〰㈴攵昱昶〲㠹搵㔸愳攱㥡㔶戸戴戵愸㐱㑤㕣搲㕡ㅥ搷ㅢ㔷㉥㔳ㅣ㘸㤴㤸㈲㔹愹㤲搴㉣换捣㜱㉤愹ㅡ㐵㉡敥㐸摢㈸㐹㙥搳晡扥㔳㡡㝣っ挵㈴㘹㈶愵敤㤶㠴㠲㈰㉦愹〳㍡㡡晥晡㘴昲㠸㐵㙢㘸〳攴愹愷㠲扣扥㌰ㅣ㜸〰㔷㑥捡㈲ㅦ扥㠱扦㌷㠴挹㈳㔵扦愱㐴㍦㍤ㄸ㤶㡣㔶㉡㐷㙣㔸〹㈵摤㉤慦ㄱ㤶挶摡〲つ㈳戹戳㔳敤ㅦ㙣㙦㡣ㄱ㐳㌶㘴㐸㈴挱てっ㌶〴㜳挵愲愹戴捥晡戸搵戵散ㅣ摦づ〹摤㤶ㄸ㤸昶换ㄳ㘲㔱㥡㘱㜵㑢㝥㔰㌶愸㥤ㄶ愵ㅣ搵㡣搱㔹て㉡摤愷ㅣて㔳㤲挱㌵攳㈸摤㔲戸挰〰戱ㅢ愶愶㑡㍥挲扡戵づ㜸㌲㔸㍢搸挱㡥〴㘱ㄳ㕡㘷㤴愰搹〴挲㙤㕣〴㜹愷㐳㡣㐲㤰ㅡ昲昹搷ㅥ攵搹㘷昸晣㙣㑦㉡㑡㠴㑣挴㔰㔷㠲昵〰攴挶愳㤲攴愲挱㈸㔸ㅥ㐸㌶㈹戴㝡愳㍣㥡ㄸ㝤㌴昹㕣ㅦ㌷㜸ㄸ挷敡㈷摢㔴㜰挷捤㌷愱㑤㉢㑢ㅢ㡣〳㜶愹㔲㉤ぢ愹㡡㈳㔹㉤㌵昲㥡挰㤷扣晥ㄷ㜰㔳挲扥㠴㥢㜲〰㐷㈹㉥㤹㐸敡摣敥搶㙥㐳㜳㈹攴搰㐷㈰摢ㄸ㝣㑣㜰换挹㘰㔸换ㅤ〵摡㠷ㅢ敢㤷ㄷ攴挵㌹㠸戴㤶㉣捡戲㠳戸㡢㔷㡢㈰㑢㙥㡢㔵㍢攸ㅣ㜴㘸戳挷戲昶㥢㐱搶㥡挰ㄱ搶ㄹ〸扣㙣ㄶ挶㐸㠷摣挱㑥㔲㘷挳挸敥搹㠷攵㙢敡散㥥搰昸㔰ㄸ摦攵㈹㈸㠵㕤〵㈳搱攰㔶敢㔶户挲挸㉦㉤㙦敤㜶〰㠵㈱㘰ㅡ戴愸ㄹㄸ㌸㘳㐸慦㙣攰㌰ㄸ㤹㄰ㅤ㡤〷㔲ㄹ愳ㅣ㠴挳ㅥ㐸〳㌷昱㈰㍤攳㐰〹昹㥢攴愵戰攸㕥攲戰㠵㈳㤰攳㥥摢㤴㌹愵晢戸晡㘲㙦㘹捡ㅥ㉤㤷㘹敥挲㍦户㈶戰㡡㙢ㅢ㠱㌹扡愹改㐲㤶㕣ㄳ敤扢㉢㥡ち挲㡢㠲摢㈷ち晢㜵扦㌴㍦敤㉦〵㤷戶㍡㈵㠹捣慦攰㡦㔸㜶㜴摡捣㘹㥢㤷㔰ㄷ戹昷昹㤳戶㜳捡㤶昳捡㜸扣昱㐷㉢㔶敢敥收㈴昳愹て昱㐷㍥㙡㉡昳〶㝡㕣捤戴搹㐱摤㐱挲㝥攴ㄳ㐸㠳㈱愴ㄳ攸〴戶㝢敤挶〰改㘴㔳ㄳ㥤㐸㐱戰㑥㈸昶摣㈷㐶㈸捡㉦㠱㔶ㄲ㑢㜰㈴挷㥥扦〸搶㔷㕥㐷づㄱ㡥昷㔰㡣㘴㉥㐳㉡〱㜵㔲㤰㠷搷㍢㜸ㄹ攴晦〷㑢ㄱ㌷㉦换㑥晦〵㘶㔶㕥㙢㐶搱㈵㐴搱慢慤㈸㘲㈰昶㈳㠵扣㌹晢昵愳收愷㝥慤昷㝦㜸搴扣〳ㄸ收㈳慤㌱〴搵ㄸ㡣慦ㄹ〳㕤㉤挶挰㔵㈸㤶挶挰㥤㙣挳㜸㝤㘰っ㠴摥㡥㐳挸㔸搹ㄸ㘰ㄴ㉦挱攴㡢〵㔵㘳づっ㥥戵捥戵攸〹摢㡦敢戵挲㐳攴ㅥ敡挹ㅢ㠷敦改扣搶散㈹摤搵慤㉤㌲㝦㥦㉢愰戶摣ㄹ摣搷㤶㑤搸攲㠲㘵㑢㘴愳㘵扣ㄲ㤱㍦㝤摤㜳戲扡㕢敡挰㔴昰〴㡥㝡㈵愷㘴㍦㠶㑦㐴攱〹㈱昵攵㑤㍦摦昷㤷〷ㅦ摤挳㝢㘹㈱慤㘶ㄸ〸敥㈴㌸㑦换〱攱摢搸㤵㤰捤晣晣收㄰㍥㐴㌲ㄷ㉡㘲㑣㜷愵扤攳㘹㔶㤴っ〸㉦㐶㤸〱昱慤〵㘳ㄲ㌷ㅣ〲㘳戲搰攴搸㤴㥦㉦㐹㘷㘰㈱㌶㜱改扤㡢〲㠴㑡㕢㤵搵愱㕤㤹昹〵㤴捥㐷㥣㐸愳㍤挸昳㈵ㅦ㐵㜹戹㔹慢敤愲㔶㤳㘶愲㌲㡣ㅡ㤱㤴㐲愴㠱ㄴㄲ㍦戲㌰昴㉦愵搴ㄴㄲ㤹〲㐰㐲っ慤㌹㤸换㤳晦扡㄰㄰戵敢㝤ㅤ㝥慡㠲㕤〴ㄶ㈳慦㝢愷㘷㔷㕡㥤㤱㙡㘲㔰㔶㥥㍥敥㐲㐲ㅥ㔳㤸挱㈸慤捣㍤㡡㐴昴㘴㐶㤰㕡戵攳㠹㠳昴㔹㐱㠸㉤㘰散㡣㐵慦㕡摥摡㙢㔷㜱挷〳㝡㈶㉢ㄵ㠶扤㤱搹㌸㝡捡㘸㕣㔰㌵ㅦ㘴ㄱ昶〷挹㕡愳㥥戰〸㍡换摥㠲昳㈷挲㝣晣ㅥ㠸攵挳昵慥㌷㌷㤷㔰挷搹摤㔸㈰㝦戰扦㉥㐹㘰㙣㡣㑡㡥㠱㠴㕤㔵慤㕣㜰〹㝣ㅡ㑤愴㍤慦㘸昵㈴挷㔲ㄴ㐶愳㈳捥敡㔲㕢昴㍦攳搴㤲戳㘶㔸㥢〱敢〶晤㝦ㅣㄹ㉢敡㝦㠵㔱㌶㠹戲扢挳〴㕦㌲㡣㤴慣ㄸ㥣攱㡥挰㠷㡤㌰㡤㍣〲㙢㌲挹攰㜶㤰㥡挶㈷慡㐱戱㤴攰昰㜰愵㥢㉦㐱搴摡搲戶敤㘹㉢〰ㄹ〵捡扣〴ㄱ搴戶㍤㈷摤㝡㡥捤摥㠳散㑤㠷捣㤲敢㜸㡥攱て㑤㈳扣㍢挴㉦捣っ搸㍣愳捡㡢捤㐲敤ち散㐴敦扤㘸㜳昸〸〴昶㘱攱㝦㔲㔱㐷挶㄰㔶ㄷ戳攰搷㐶〳戱㐰ㄲ戵㠳㜷㡥㜱㔷㔵慦攰〳搵㈳昰㙡晡捣㕡ㄳ捡㉥昰㉤㌷摦挵攰搶攱㌶搶㥤昰晣㠸㑡〱㘱㌰戹㠴㝢敦攳扥㌶敦㐱㘳摤㜰㙤ㅥ㙢㜶收㕤换㘷㝥ち㥣慥㙥㤴㐶㤲攱㤸晣敥㌸慦摤㐷㠸㌸て扤愳慢㜷挵戲户㐱搰㜹昸搹㌶㕤㕥挳ㄵ㌸捡㔶ㄱ攷晥ㄲ㥡㉡户ㄳ攰愷ㄵ挳〴㕦ㄴ晡昳㙥㘵攲㜹㉣㡢っ㠰㜴㉡慢〳戴愷敡ㅦ㉦㐷搵ち㡦ㄶ愴挲扣昲㈳㤴㜳㤷㠲搵㤶㤹㠷愳㠶㍣㐲㈰慤挵㈵户挲㈳㠴ㅣ晦㔹㌴愸㡤㍦㠷摣昶攳晦㘰搹昱愹晣攵晡攲晤て㐴捡㐳㍢挱愱㑦ㄲ㔴〸㉣㠰㠱愸㘶㍦挵㈲㘵㑤㌶〸㈲扣戶〷㘹㍣㝦〸晦㝤㜷捦摢㙦昱昹攷ㅥ㐵ち㐲ㄴ㌵慥㠲㠲㔰慥攲愹昸㉡ㄶ㤰摢㝥ㄵ㑦㉥户㡡〱捡㐸捥㐴㜳〱晡扡ㄴ搲㡡㕣㤵㠷〴㌷㤴㍦㐵㈲ㄴ㠹㠶㔹っ㄰戱戲㙤ㄵ〹戴攵捥换戶㡢㐸㐴㙤㌳摣㠸㠴㑦㜸愴㝤挴㉢㡦昴摡㘴〳户㙢㌶搰㡡㌹㉢昴户慥〹搹㠰㈵昱㥢搸戶㈲㍤摢㘱㉣㕦㜹㈲㐲捣晥晤搱昷㔱㙡ㄸ㕤〲㘱〴ㄶ㈹〹㠹ㅢ愹㝣㌳慡晣昲㉢㜵攷㈸ち昰㠰㝡㠲捡㈴㌸㔹昹昱愸昲㜶㝣㝢㈵敢愴㜸㔷㠰捦扢㔱㘵ㄲ愶慣晣㔸㔴昹ㅦ摢户搴㉡㐷㜴ㄸ昴㥣㈱㤱㈴搸扡搲晡㡦㝤㠷捤㐳㜵挶愰晥散㌱㠲㙣㑡㑥ㄹ㈴慥㐸つ摡㡢㙢ㅦ㉥扥㠴㍥㠸㕢㑣戸散〱㈱ㅢ晣㠷〸〷㜰扢㘹㐲昷㜵㝣攸扣㠸戰戲慢挹㌷㌶捥ㅡ㐷㕣㘴㜴ㅢ〷㍣㥣愹捡㙢㡡㐴㘰づ愴㠳晤㕤挱晤㥥㘰㍡搶昷㈳ち㠷愹扣㉤搲㤹昲㤰㈱㤴戴昲㘸㠴搹搴㤹㍡捤㘸㕦〱㜲㈰㈶〱㤹搰扥ちㄸ㠴㕣㌶㌱㘳㠰晣㉦㤹晢っㄲ摡㈳〴㕦〳挸㉢㘴㜶搲㐱昶敢〰晤搱㝦㐷㌱戴㈸晤㈵慡昲㔰㌴㔸㥣㡣戴㙦戰挱㘳〰㕤㜰搴㉡㈱ㄱ收戵挷㤱ㄳㅦ㤴㠲㐳づ晡〴ぢ扥㐵昰㙤㠰㝣㠶㤳㕤昵慥㜱㑤ㅤ㙡慥敦愰愹挲慤㤰㜲散扢㘱㠲㉦㤹㌳〰户戶户㤵㜹ㄴ㡥㍥摦㐷㔰戳攱㍢晤扤昸敥㝥㠹㡢敥挲㝦㍢㤲㤱㠶㝤㕡扤愵戳扥挸〴戴挹攵捦挵㘶㝦㡣㝥戸慥扡㡤挹ㅥ㍦㡦㕦㑥捤㉡㡦攰摦㌳昸㈹て㘰〴㡥㐲㑤㥢㠳㥢㠵㌴㈰ぢㄶ挲〲慡㉣敤㈹〰㠵㌸㈶㥥戴愷昹㐶搴戲㝦敤㝢㘱㠲㉦ち昱㝡㠶㠹㑡搸㍣ㅡ㤰戸㤶〵㈷㥢〶㈴晥㘵挱㠹昸㠰摦㐷慥㈲㤱㠵㐴愳㔶㈲搲搲捣㝤〶愰慦慢㥦㜳愳㤶㔳㑦㉢愵晢换昷摦晦㝥㝦㝡攸㠲昴ㄷ㙥敦㝤收摤摦扤昷昴㍢㕦摣晤昷て㥥㝢敥㥤扦㍥晤搶〷㙦捣敥晥捤ぢ㉦晣晡㡥㥦扣昵摥㐶攳㜹昵㤵昷て㍥晦搰挸挹㠷ㅥ㌰㡥㕤扦敦愱㝢㑥摣㌵㌲㜵捥㜰㔷㔷㜷昷㌵㠳扦㍤晦摡㠱㌳て扣慡扣昹愷昳㙣㐵㉥㤷〳ㅥ〵㠸㥥〱㉥㕢㑥攳㠷㐸㘰ㅡ㥣昱愷㍡つ㉥昷っ㝥㑡㌹摣愸㌱扣攴攰搳攰〴㘴㐱愹戱愰攷㍦愴㑡戰愲</t>
  </si>
  <si>
    <t>㜸〱捤㕢ぢ㤰㕣㔵㤹敥搳㌳㝤愷㑦捦㈴搳㄰㐲挰㄰ㄸ㑤㠲㥡㠴搹㝥㍦㘰㠷㘴ㅥ㜹っ㜹㤲ㄹ愰㉣㘱挷摢㝤敦捤㜴搲㡦搰摤ㄳㄲち㌵㈰㠸㔸㕢㉢㠵㤶㉢戵〵扥㜶㉤捣戲㔸ㄶ扡戸攵愲㈰敥慥㍣㝣攱慡搱ㄲ昱挹扡〲㡡敦㔵ㄴ昶晢捥扤户晢㑥昷㥤㐹㠲㔸挵㑤晡敦晦晣攷㍦慦晦晦捦戹摦㌹㝤㈶㈰〲㠱挰㡢㜸昸捤愷㤷捣㌹㔳㐷ㅡ㑤戳㌲㍣㕥㉢㤷捤㘲戳㔴慢㌶㠶㐷敢㜵晤挸㡥㔲愳搹〳〵㙤愶㠴晣㐶㘸愶㔱扡搶っ捦ㅣ㌲敢つ㈸㠵〲㠱㜰㔸〶㤹敦㝣愲㙥㐲戲㤴散㈵㠱㔶㐰㔲㐱昶㤱㠴㐱〶㈴挸昴昸搸敥挲㝥㌴㌷搵慣搵捤つ㐳㤷摢㤵㡥挴攳挳昱攱㔴㌲㤱ㅣ㡥㙤ㄸㅡ㥦㉢㌷攷敡收㐸搵㥣㙢搶昵昲㠶愱㍤㜳㠵㜲愹戸摤㍣㌲㕤㍢㘰㔶㐷捣㐲㉣㔹搰㔳戹㜸㉡㥤戶昲昹摣㐰〴㌵敦ㅡㅦ摢㔳㌷慤挶换㔵㘷㍦敢摣㍤㍥㌶扣换㙣扥㕣㜵づ愰㑥㔴㌹㔱慢攸愵敡换㔴㘹㠸㐶㑦㑦㤸挵ㄲ扤㘳㥡昵㔲㜵摦㌰扡㍤捦搰㐸㘵㠷㐷ㅢ㡤戹捡㐱㍡㝡摣㉣㤷昷㥡ㄶ扤㈲㉢ㄳ㡤收ㅥ扤㕥㘹っ㔴㘸㍦戳㙥㔶㡢㘶㘳㘹㘵昳攱愲㔹㜶ㄴㅢ攱捡攵㝡㝤㤷㕥㌱㝢挹っ㔶㙣ㅦ㑥ㅡ㘶戵㔹㙡ㅥ㔹㔲戹慣㘱敥搵慢晢㑣慡㠴㉡㕢攷㑡㠶攸敤挵晦㐰捦㙢晤㝡愶ㅣ㠵晥㔴挶㘷昵㝡㔳愵攸挲戸㥦慥㈷㕣搴㈸收昵㡢㈱㌵搴㔱㡡㍥㥢㉡㔵戶㥢昵慡㔹㘶㈳昴攴晡づ㈵㘵㈰摢て㉤㑢戹挳愱㤷㐴扦㌳㍢㌸ㄶ戶愲㉤〱㔹戱慢㔶慦㈰㈰㜷㥡㝡㜵㈴㤱搹㌰搵㌴㈶捣㐳㈳〹戹ㄴ㤹㜲㤰㙡㔱㤰摥㤱戱㘴㑡㥥㐶搹改㈰愲昷㔹捣㍤㙦㠵散㔱㜰㐶て捥ㄴ㠲㌳挵攰㡣ㄱ㥣㌱㠳㌳㔶㜰㘶㕦㜰㘶㌶㌸㔳ち捥散て捥ㅣ㠰㡥晢㠴晢晡㠲捥㜳㐹愵㜲㘳攴昷㜷㡤摥晤㡤㕢て㘶捦摦ㄸㄴ㥣㙥㙡戶㥥〱㘶㤵户㠳戱攱㔸搲敤㈲昸㔸㕣㉥㠷㡡㍣ㄳ㐴㕢〱挲㙥㈶攴㔹㤴㥤つ㈲挴㔳攸㈶扢ㅡ晦搲慦㕦㜸㝢改攸戶ㅢ㍦戵晢㥥㐷敦㍣昶愰攰㙣㔶㙤慣〴戳㘱㝥ㅢ昱㐴㈲㤵㑣攵搳挹㔴㍣㥥捣㈴攲㘹㙦㤳〹㜹づ慢㕦〵愲㥤ぢ挲㈶攳昲㍣捡㠶㐰㠴㜸搲㘹戲晦昸搷ㅦ㥣晤摢攸戶㘳捦昷㡤㥣㜱㙤晦昳㠲㙢㠷㙡昲㌵㘰搶㑥搷㑢〸慦戹戲㕥摦戰戳㔴ㅤ㐹㈵㌷散㈸ㅤ㌰换㈵戳搱ㅣ㐹挷㌶散搴て㡦愴搳㜲㌵㔴攵ㅡ㄰㙤㉤〸摢㑡捡昳㈹㝢㉤㠸㄰挷㥤戶晡㉥扡㙦摦㡤㉢㠳ㄳ昷ㅤ㜸昴㤶㑦慦㍢㤶ㄳ㕣愲㔴㕢慦〷㜳〲ㄳ慥㘳㝤敢㐱戴つ㈰㙣㈳㈳㉦愰㙣ㄸ㐴㠸慦㍡㙤散捥扥敡晣晢㍦㝥摥攴敤攳晢㡥慦晥敤㘳挷〵攷㥡㙡㈳〶㘶挱㌸㡡戳愶〴㠸㤶〴㘱敤㘹㤹愲㉣つ㈲挴㈳㑥敤㠷㍥㜸挱挴扡攸戹扢㙥晣挳㤵敦扤戸㝥戶㌱㤰㐵昶愵㑥挴㑥搴昵㙢戰〶戴㤷㤷挴㌰扣㝦㌲敢㉡㤶㔵㉢㙤㘵慤㜸摣㐸挷昴愴ㅥ㘲㔸㥦散〴㘶攰て㔸㔷㤴慡㐶敤ㅡ㌵愳捦ㄹ搳ㅢ㘶㝢㠲慦㜷昲挶㙡㜳㔵愳戱搲㍦㜳慡愹㌷捤㔷㜵收戵㉢改㉡㌶㠵昵捥㙣愸昶捥敤㉣㜶戹㕥㥥㌳㐷て㤷散散㔵ㅤ搹㔸敤㙡㠵㠵㜳户搴捤慢㕢戹㕤㍤ㅡ挵晢昲㤰慡扢㙢㤴㜶㤶摤慦愱昱搹㕡挳慣慡敥慤慦散㈹ㄵて㤸昵㈹㤳㙦㕢搳㔰㐳㕤捥㉣㘷挹㕤扦扢㡡㠱㘲ㄱ㌵㕥攳㤵㕡㥢て㌷捤慡㘱ㅡ攸敦㐱戳摥㍣㌲慤ㄷ捡收㤹昳㔴散㌶㤱㜱昶㍣昱㤶㕡㜱慥㌱㕥慢㌶敢戵昲晣㥣㔱攳㤰㡥㘵摥搸㔹㌳㑣慣搲扤㝣〲㈲搰搳㈳㐴㘰㥤摦㔲挹㝡ㅢ挳捡ㄱㅥㄷ㜳搱㍥㙢㝥搸つ敦挵攸㌰㡡戲挹㤸っ慥㌹㐱㘵慡㕥㔶昳晡㠵ㄵ㍤㘳㈲㌴愱昶敢ㄶ搶㔶㝤㙣㜹敥㉦慢ㅣっ㉥㜳㐶扦昹㄰㕥㠵摢昴慡㔱㌶敢㡢〲㉢挱ㅥ挹ㅣ㐸攸扦㌰㥢ㄷ戴ㅥ㤷㜵㜱㔸ㅣ〹㕤㔳㌲㥡戳摡慣㔹摡㌷摢㠴っ攰㉢ㅣ愶㘹扢ㅥ㜹㈱㐴昲㈲㤲扦〶㠹㐴〲摡〸㤵戴㠸扣搸㑥㠷昸㠶㍡昵㤷㉣攱㥤㔴㉦㜵㈰戰㐶愸戲愵㔶㙦昴昴昸㡤㜲㥢摥㤸㙤㌲㍣ㄷ捤攴敢㔴㙥㈴搹〴ㄲ攲㝢昲㠴敦㜰昶扣㤷㔰㘵㐹㘵挲戴㜴〰㐴㌵扢㠵ㅥ慡搸㤸㘳挲㙣ㄴ㈵挱挹㈴收捡㘱つㅣ㈶晦㐰㠵搱㙦ㅥ㙥㑥攸㑤扤慦〲㤸〳㉦㐹㈸慤㔷愵㙣㡥㈵㤷㈸㤹㕢㍡攲愴㔰㐳㔴戱㥥㕡晡㤵挰慥〹ㄳ〷昳㈵搰攳搰挵〷㠱扥昳戵慦㜵〶晡㝣戸〲ㄴ㘵㙣㌵慢搳㐷づ㥡つ慡㠷戵㐵㑤搹㌹扤㔸搹敥㘲攱戲㘶愹摣ㄸ㐶㑦户搶㙢㜳〷㕦捥㝡㔸㤷ㅣ〵㜱㥦搰㘷㄰挵㈷㍦㈶㙥㍣晡づ搱㌷㌳㌳㠱㌰㙢愳㐴昲攵㈱ㄹ慤愸散㐵㝣愹㐷㙥挶㔷㘴戱扣㄰攱搵愹㐰㍢〲㤹㠱ち㉣㌴㕤㌷ㄵ㔸つ慢〴慣扤愴㜲㐵慤㝥愰㔰慢ㅤ㘰㍣㉤㔵愹挶慣㘹㌶〹〰晢ㅤ挰慢㠰慤㄰㍤㍤昳挰㥣〷㈹ㄲ㍡㙡㤳㈰㑢㐶换攵㈱户挶㠶㜶〹㐴㍤㠰愲摡㜶㌰㉢户㤴慡㝡㜹愸㠲戵户㍣挴㡤㑦㝣㘸愲㘴ㅥㅣ㍥㕣㙥ㅣㄶ㥦㠰〱㠸挱慣昷㉣㥤晥散攳㤷敥晣攴㘳愷㉤㝢愲㜷晦㌲㜱慦㤳搱〵〰〹敡ㄴ晥摣〵㐶㝣ㅣ㙡㕣㔸挰捦㝦攴ㅥ愴攵愵㈴㝢㐱戰㍣㈸㠳㘳㜵㤸戶㤳㠲挰㤰昳㑣㕥㐶㜲㌹㠸㈰㌸㔴㌸昶ち㌰敥㈳敥㐲晤㜴扢㜲摤ち㠸扢㕤昷㐶㐸㈳㜲㤱㍣㐱挸㐹昷㐹㥡㑢搲㐰㤲挶ㄱ㜷愲㘲㕦〳摣攱㘴㜴愱㔳㐲㑣㘵〰㠳攵晦〱㙡晥〶戰搸挶㍥㤲㔹㄰㡦〱昶摢㐹㐱㤸慡っ㜰㠰㑡㘵㄰㐱愸慡っ㔰〱攳㍥攲㌶戴搱㌲〰㜱㙤户〱慥㠶㌴㈲ㄷ挹ㄳ㐳搰昰㌳挰㍢ㄶ㌲挰捤㑥㐶ㄷ㔶㈶敥㔵〶戸ㄶ㡣戸㘹㐱〳㕣㠷㙣昹㘶㤲户㠰㜸っ㜰搴㑥ち㘲㘷㘵㠰敢挱挸ㅢ㐰〴昱戳㌲挰摢挰戸㡦戸捥㙢〰㠲敤㙥〳摣っ㘹㐴㉥㤲㈷㠸捡晤っ㔰㕦挸〰㔷㍢ㄹ㕤〰㝥ㅤ㙡㔲〶戸ㄵ㡣愸㉤㘸㠰摢㤰㉤摦㑤昲ㅥ㄰㡦〱摥㙢㈷挵㝡㝣㉢〳晣㍤㤵摥〷㈲〸敥㤵〱㙥〷攳㍥挲昲ㅡ㠰㍢㠱㙥〳摣〱㘹㐴㉥㤲㈷㠶愱攱㘷㠰㉢ㄷ㌲挰ㅢ㥤㡣慥摤㐵ㅣ㌵㈹〳㝣〴㡣㜸挳㠲〶戸ぢ搹昲愳㈴挷㐰㍣〶戸摢㑥㡡〴扥㤵〱晥㠵㑡昷㠰〸敥㍦㤴〱㍥〶挶㝤挴ㅥ慦〱戸㔹改㌶挰扤㤰㐶攴㈲㜹㠲扢ㅡ㍦〳㙣㔹挸〰㥢㥤㡣捥つ㔰㠸㠰敡ㄴ㠰㙢㍦㍢㙣㕤㕥㌲慦攱㥢㜶愹㠵昳㡢昱戹㐶戳愶㘰挱ㄲ㙢愲戶慢搶㥣㈸㌵づ㤶昵㈳换㉣㠷戹㘲搶慣〲戴搷㠱摤㍢㘴戵㠳〷㑤㐳㕡㔳戵戹㝡搱㥣㥣㜸㈵㠰㝡㡣て慥㔳㜸㍥㈸昰扣㌴㥣㡡㉤愷㐰㤴攰〹㠴㠸㉥㍢攱㠶㍡㐵昱㙣つㄴ换㜷昹㘰摢愲搳愵㘶搹散户ㄴ㉣㔷㝣搸㠲ㄵ戱ㄳ㌲晡慣改㔹扣㠶㈷㤶㔸㕢敢㈵愳㕣慡㥡㜴挶ㄹ戶敡づ㜳ㅦ㜶㍤㝢㙡㡤ㄲて慣㤶㔸搳㜵扤摡㌸㐸〰㔷㍣㜲晡扣㤴㐲㝡㈱㙢慣㔴㙤愰ㄹ攵㐵昲㠳搶搴㙣敤ㅡㅣ㙥捥㔵慡㕢昵㠳㡤㔷㠴㔷昸挶戴ㅦ攵ㅡㄱㄴ挱愰〸〷挳㉦搵㍦摡扦愳戶㘵昶㠱っ㐰㐴愳㔹㉦ㄵ收㘸㌰搵〸㈷㜳㉦㠹昲㘱㈰挴扤㐱㈷㔴昳戸戰㘳㥦挵扥捥㍢ㄳ昴㠵晣慤ㄳ攳〸搴攵晤㉣昳ㄹ㤰㑢戶㕥㌶搹㍥㠱昸戳㑥㜷㐳摣捤㥣昴㠶㑦愱㈱㍢㠴戸〹㘴㐴㘱㘶㈲ㄲ㤸敡っ换㠸愵㜴ㄸ愱㑢摢散ㄶ散ㄹ〶慣ㅤ㝡挱㉣㘳慢㔳搱㥢㑢敤〴昷㥣㌸晤㙢㌸㜹攳戵㑡㐵㘷挸昱っ㜳慡愸㤷捤戰㌵㍡搷慣攱㠰㑡㕡㈰㉡㉥ㅤ㤱㝥ㄸ㈲晤戰扤㈹戱昶昲〸㐴昱慣慢戶㑦慦㤷㥡戳㤵㔲㌱捣〴㡦㈹㕥ㄱ戱㡡昵㠳㥢㔰昷㜱搷㤲捥㕤㡥扤搷㠰扢㠷㜱㌰㐰搳搱晤㠸攸愰搰昰㑦扣挴ㅤ㌲㔶ㅥ昵㐲㤱て愰戶㄰㜷愰㕣㡡搴昳㥣晢㌳挶㜳㙦㠵㐴㉤㑥攲㘲㉡攰㈳ㅦ㜴ㄸ㈶㝡戹挷㕣㜴晢挴㠳扦挸㡥㥡㙥㙣搱㡢昸㍤愲捦昹㌵㈲っ搷㜲愹愹㐷戹愱ㅤ〷㑥挷搹换愱㤲㘱搶挳ㄴ㑣攱攷㤰㕥㙥㠵㌵摢㠷㠰昶㍤㠱㔰愸㍦散搷搶愴㕢搷ㅡ㘷㥢攰晤戹㘵戲慢晥㘷㉥捤㙤攴〲ㅡ㠹戰㙦昲㜳㈴て㠱㠸㑤㈰ㅣ㑦㠷挲攷㈱㤲晦〱ㄲㅡ〵改昴捤晣扤㈵㜶愰摣㝡昷慡㜳㝣敥㝡挳搸㈱慡敤㜲㐸つ愴摦戳捤搵散ㅤ㙥搸晤㜱㐰㥢㐲㤴㥢㐶挴㕥㕦戹㥤愶㍢㠲挱㕥戸㕡敢㍣㈲散㙡ㄶ㤵㔵愶㑣戵晦ㄵ㝣昵㙡晦〹搲捦挹㠲晡㘷㈶ㄲ昹㉥昰㄰㠹挸㉦㐰㈷㄰ㄱ㥢㐱摤㠱戳晢㡥㘵ㅥ〶㉢ㅦ〱ㄱ扢㐰昸晡昷扣慣〴昷㍡㝣㘱〵戴㐷㐱㑥㜶㠱ㄴ㤷㐲㔹ㅤ愰㍣〶㐶散〵攱摡搳㡡挵㉦㠱㍦㜱㉣㜲㍢挵昰㤳㕦㜶ㄸ㈶〴昷㔴敥㌰〶挰㍢挳昸ち㔸昹㔵㉡㜰扦攵愳昰㌸ㄵ扥㐶〵㙥挱攸㘴敤扦㐱㍣挶换晡ㄹ敦ㅢ搰㠱昱戸つ㜳㉢昵ㄸ敦㥢㄰换攳㈰㠲㕢愶㑥攳㜱㥦㘴ㅢ敦㕢攰㑥摡㜸晢愰慣㡣昷㙤㌰㠲㕢慣㜹挶晢づ〴㈷㌶摥㝥㤶挵㐷㍥攱㌰捡㜸〷㤰㜰㠷愱㠱㜷㡣昷㕤㉡㍥㐹挵戲扦挲昷愸昰㝤㉡㜰晢愶㡣昷〳㌰换摣挸攳㕡㙢っㅤ攲㜱㠴㥦ㄱ㝦〴㕤ㄸ昱㙡㔰户㜵㡦ㄱ㝦っ戱㝣ち㐴㕣ぢ搲㘹挴敢㈰戳㡤昸㍦攰㔶戴㝦挰㌸攱㙢㕡㜰㠷愶っ昹ㄳ㌰攲㉤㈰昳っ昹㔳〸㑥㙣挸愳㉣㡢㡦㝣摡㘱㤴㈱慦㐷挲ㅤ捡㌲昰㡥㈱㥦愱攲戳㔴攴㥥捦㐷攱㘷㔴昸㌹ㄵ戸つ㔴㠶㝣づ㡣㈷ち㜳㝥〶晣㈵㜴㘰挰㥢㐱摤㑡㍤〶晣ㄵ挴昲搷㈰攲㔶㤰㑥〳摥〶㤹㙤挰摦㠰㍢改㈸㝣㌷㤴㤵昱㝥ぢ㐶扣〷㘴㥥昱晥て㠲ㄳㅢ㡦摢㐱㘵扣摦㍢㡣㌲ㅥ昷㠴敥㌰㤶㠲㜷㡣昷〷戰昲㜹㉡扥捦㕦攱㡦㔴昸ㄳㄵ戸㠵㔴挶㝢〱㑣摢㜸昸㐹㙣〴〲散㙤㕥挴㤷㝡戰晥愹ㅥ㐴挴ㅤ㐸扢慤ㄲ㘳㌹慤㜲昹㤵㐱㄰昱ㄱ〸㍢㡤挷㝤㥥㙤扣ㅥ愸㥣戴昱㍥㡡㘲捡㜸扣㈰㈰㡥㈱㌵捦㜸ㅡ愴㈷㌶摥摤㈸〶㐵晣昲捦㑡㥣㠴攰㝥搲ㅤ㐶ㄸ扣㌳㡣㌰ㄴ愴愴攲㍤晥ちㄱ㉡昴㔳㠱摢捦㔱㝣戴〱愴㍣挶㡢昹ㄹ㙦㈹㜴㄰㜹昷㝡㉡昵㐴摥㈰㜲㘵ㄴ㐴摣て〵慡捡搳㤸〲搳㠳㑦攸〱㤰捥㜷㘹ㄷ捥㈱㌸㡡㔸㐴㍣㔳捤㈳㘵愰㑣戲㝣户摡ㅣ㔱㠲㥤㡤㌷㝥慤づ㡢昶㜶ㅥ昶户捡㘶㔱㔵晦ㄹㅤ㍦愴愸㘲捣昹っ㍥愱㥦扤搰晤㘳㐱慢㍣㍢摥㍥㔵㘵ㄹ㍥摡㌲挸捦搸㔹㉡搶㙢㡤㥡搵ㅣ㥡挲づ㙡㠸㍦㑣㘱㠱㡦㡤㠶㥥㐱㡤扥㙤㜲㘰扤㔵晥㤲慦㔶挶挸㠱㙡敤㥡慡敡㑤愸挱摦攷搸㥡散敢㘳㌳っ㐸昵慣㠶昱愲て㠲㘵㘱戹ㅣ㉡㑢㝡愲㐴㉦戴愷㜶㈶搲㙢挷挷挶昷捥攴㡣㕣ㅡ扦ㄳㄷ㘲挵㔸㌱㔵㈸挴ち㝡㉣㔳㌴ㄳ愶〵㌶㤶㡡㘵戴ㄵ㉤搵㘴㌱㘳㔸改㝣慣㤸㉤㈶㔲昹㑣㉣㤷搶搳搹㘲㈶㥤捣愷㡣㝣㕡捦㙡㘷戵㔴ㄳ挵戴㤱㌵昳㠵㐲ㅣ搷㐲搲改㐴㈱㘵㤸挵㘲搶捡改昱㝣㍥ㅥ㌳愲て㌹㍤㤱㘷愳㡣㝣ㄵ挹㑡㤰攸攷㕤昹㌹ㄴ慤㈲㌹㤷㜲㈲㉡昶扣㐳㍦昴〵挸㑥ㄶ敤搰ㄲ愲㈰㡡挲㄰㘶㙦㕦㥦㔸摢昱㥢㔵ㄷ㑡㙡ㅤ晡㙢ㅡ㐱㔲攸扢㜰搰挹ㄵ㐲㤷㍤晥㘷㘱搵昹搵ㅣ捦ㅡ㤰㐸昴㘱挸搸㈱㙤㉤㤲愷㡦㡦捤攰㌰摡㍤㥥㘶捣㙡攷㐳㍥〰戹㐲㠲㝢昱㘳㥦昶㕡㐸㤶㐲攲搹ㄶ㙡慦㠳散㌴挸收摦晦㠸㍥攲搴慥㑥㜰搵㍤〸晢㐶挴〶愸㡢挷㤰㠹敦㠰扣㠰㈹㌰散㥢㈰㤶㝡㠰捣攳ㄸ㈵㠳ㅢ㝣㐰㌲㘲ㄹ㥣攲㉢㤰㌰㐰攷〷ㄸㄱ㤵ち戰㌸昴㄰㘰㐴㑦慣㑤㑢㈰㙤〷㤸㤹戴㘲㤹㑣㡥㘱㤵㑤挵戳㝡慥㤸挰ㄵ愱㤴㤱㡣㘵ち㤹㐴慡愸㈵㕢慡㝡㈲㤹㡡挵昳㌱㍤㤳换愴㔲〵㕤㑦㘵戳㔶㈱㤳㡥㘵㑣扤㤸捥㤸㕡慡愵㙡挵搳㠶㤹㡢攷搳㤶ㄱ㑢攵搲㘶ㅥ戵ㄵ搲㤹㙣㉥㤳㉦收㌲㠹㔸㤴㄰㑥搹㍣㡤㌲㌲㐳㤲〵㠹ㄲ扥㈹㜹㡥愲㍣挹㠵㤴㝦捤㤵㔳㑢戶ち〹攲㌶〶㤹昸ㅣ〶捦〰㔰㠵㌷㔲㘹ㄳ㐸㈴晡㑤㘴㉡ㄳ搰㤱㤲㕥㤳㜴㤴愴㘷愲挷摤捣敤㘰搴㐵て晢捡挷㌶㘴㡡㙦戳㕡捡㈷㤹〲挳慡挵㜷㐰ㅥ㈰昳慦㘸慣摢て㥦㠰戴摢て㑦愰㠰敡挴㑥搴〳㍦㄰㠸戱㐶㙤ㄷ愸敤㠷㑣愶㤰㑢㘶ぢㄶ收㘱㍣〵㥢攵捤㑣㉡㤱捦挵戳㜱㑣搶㔸戱㄰㝤搲㈹㈳㜷愳㑣昴㝢㙥㙡て㔳摦㜷㔳捣ㄳ㍦㐲㑡搹攴ㅥ慦㑤愶㤰㈵愷㐱㈲㔱㈲戱〵㙤昲㤴㥢愹㙣戲ち㈹晢㑥捡㤵慣晡㈷㐸攲㍢㈰慦㘲ち㡣戲挹㑦挱㍣㠰㡦昸㤰慦㑤㍥攰㙢㤳愷㔱㐰㜵㐲㐷㍤戰〹㌱ㄵ搳㕡〱㘹㘷昱搳㜵㌳㡦攵㉣㤹㌷㤳㈹搳㉣攴㔲㝡摣㑣挵ち㤹㐲㈲㘶挶㡣愴㔶㙣慢挶㌳㝡㐶㑦ㄵ搲㠵㜸っ㉢㥡㥥㌷ぢ挵㝣捡戲攲㌱㉢㥢㠸㘵つ捤㘸愹㥡㠸㔵〴愳㘱攴戲㤹㔴摡㌲ㄱ散㔹㔳挷㘲慡敢昱〴搶㕢㡤ぢ戶摤㠱㜸㈲㥦㌰搲挵㔴摡捣攴㔳改㝣㌲ㄷ挷㙦愹㐶ㅣ㜱㥤㡢㈵昴㑣㌶㑡っ愸〶㘱愱㡣摣㐷㌲㑢㔲〲㠹ㄲ〴慡捣晤ㄴㅤ㈰㈹㤳㔴㤸㐹㜰愸㌲㕢晡㜶㜱㔶㈴㠸〳㤵〷晦捥昱㘰㄰〲搹㘰攱㈶㐸㈴㑡㈸愸㑡晢㐵㌵㈱愲捡㔴ㅥ㕣挳愲慢㐹慥㘳搵ち收㌱昵㘶愶挰㈸てㄲ收㍤㠰㡦戸挱搷㠳㐷㝤㍤㐸戰愷摡戹ㅥ昵挰㠳〴㜶慣㑤扢〱㘹挷㠰㘶㕡㡦挵㡣㠴㙥㘴慣㤴㕥挸攵㘳〹ㄳ㑢㐷㈶愵ㄷ㡢昹㙣搶搴摥搶㔲㑤ㅡ愹㐴㉡㕥㑣ㅡ㔹㍤㤵捡㤹㠹㐲挶捣㘴㡤扣㘱挶昴㜴慥㤰㡦㘹㌷戶㔴昳㝡㍡㕤㈸㥡愹㕣搲挸愴攲〹㈳㡦㌶ㄲ㠹㔸摥挸㤸㜹㌳ㄷ㡢㐵㠹㉥搹ㄳ㜹ㄳ捡挸户㤳摣っㄲ㈵戲㔴昲㜷㔰㜴ぢ挹㍢㈹晦㤳㉢㔷晡㔴㔵㠵〴つ愴晣㔰㜷晣愰ち扦㡢昹户㠲㐴愲㐴㤵ぢ晡㠱㘸戳敤㠷昵散捦㍡㤲昷㐱㉥㠰㙦散㤹㜴扢挳攰㉢㠰〳㈰挷て㤶慦ㅦっ㕦㍦昴愱㤰㙡攷づ㌰昰㐳ㄸ㕦捡て㜷㠲戱晤㤰挵㌲㙤㘴ち㐶㉣㤱㡤愷㡡㤹㘲捥㡣攵攲㐶慥㘰㘵㔳搹㤸ㅥ㉢㘸敦㙦愹㘲㘶㤸㐵㑢㡦挷㌱㈹㔲戰㙡㉥愳攷㜳戹㑣㕡㑦㘴戳㔹㑣㐱敤〳㉤㔵㉣㔰〹扤㘸ㄹ㍡㌲㔰て㔶㉢慣㔹㍡㈶ㅣ㈶㈲㐸㉥㑡愰慡㑣昶㐱㌰昲㐳㈴ㅦ〶㠹ㄲ愴㉡昹㍦㔲昴㑦㈴ㅦ愱㥣戸㔵挹愹㘵敢戳愴㈰㍡㔵㝥戸摣敢㠷㝦愶搲摤㈰㤱㈸〱敡㠲㝥㈰㜰㙤晢㈱㐱ㄷ挴㐹㍥〱㜹㤴㌸㔶㘵㝥ㄲ捣㤲㥥㄰愱搸㐵ㅤ挸挳晦捣㜷㝤攷㐵愳捤戸㌸㜴㠴㌳戵〷㠷㕤昶ㄱ㔱㙦昰挲㤷㔶ㄷ戱つ摦攵晣㠴㉥挱愸晦㡣㝡㌰㈲て摡㘱㡤攷攱㈳敦㠳㍣㐴㝣ㄷ昳敢攲㘲搷㐸㌵ㄴ㕦㕥㤹㙣〰昶攰㍡昲㜴㙤戴㜵㤷昵㌴ㄷづ慤㜷敦扦慣㙤㑢㐶ぢつ晣扡搰㌴摤㘲扢敢慤㜲戸㑦㠲㌳〵㘴慣攷㙤㤹攵敤㤴攷㠸㙤㘵㕢㍡㔹㙤攰㘶㤷㘹戸㌵㌶㜰攴搴ㅢ散ㄱ扥愷摥捥慤㔵㥥愹戱㌶摣敤㥡㌴〶㌰㠲㤵㍥〷㡣㘳愵愶㍡愰攷摥㐷㐸挲㜰敤摦㐸㐶搶㙣㔹㤳㑣㠵戶挰ㄱ㈷摤〶捡㜹捣捥ㄶㄹ摡ㄱ昹㘹㘴〸㐲㙡摡㕥挸ㄵ愰摡晤㈴㈳㙢戶愲ㄱ㌱㠶㐶搸㄰㈳㈹㈲㍦㑢㈵㘲㙦㕢㥢ㄸ㕥㝢搰搶ㅥ㘳㤷㉥㠶愶敦て㜹捥戰㠱㕢㕤扢㙤慥捥昱搵搳搱㈹〸搰捣㐳挸㄰〴昵㙣㤹晤ㄴ慢㥣〴扢㈱〸昲搹ㄲ㤵〷㔷㈳ㄱ〲挳㌰昰㍣捦㙤㜴ㄲ㥢散敦戰昳ㅤ摤㌴戸挶㉤㜱㤵㜸昵㙤愳愱敦扤昵晤扦㌸㜶搱摡㍢㍥昶愲昳晤㔶扢挴㠵㑥㠹挰㈶㐱㈴㝣㍡愴㥤户ㅤ昲攸㠴敦㙤㠷㥣㤳搱㜹摤㈳㑡ㄴ慤㈶昸挳㘰㤶昴〸㐲㘱㑥㜲㤱㐱〹捥㉣㌵ㄹㅥ愵㠴戰搲㌶㌳昱戱昶㐵ㄲ攵㤴㠴㐸㐰戱敤㤴㉦㔳㥢愰搵搶㈶㐴搶扥㙡㙢挳㈹〹㌱っ㙤搷㕣ㄱ昹㌵㙡ㄳ户摡摡㐴挹摡搷㙤㙤㐴㔵㐲慣㜳敡戶挳攳㥢搴㈶晡㙤㜹㈲敦㈴㤴㈷㠸㠶摤慡〷㠹㜳㑦捤ㄳ㥢摣ㄲぢ㜹攲㔳攷摥昴昴愵㥦扡㜳攳ㅦ㍦晡㡢挷㜷ㄶ昶㙣ㄴ摢㔰挲捦ㄳ㙢搱㙢㕦㑦慣㜱㌲㍡敦㥤㐴㈷㔱㤳昲挴ㄳ㘰攰㠹㥤昸㔲㥥㜸つ㑡戴㍣昱㈴愴㠲㌸搶戶ㄶㄱ戲昶㝤㤲㤱㌵戰㙤㕣㥣ぢ㘵搷〰ㄱ昹㐳㙡ㄳ〳扢愲㐱攲摣㔳戳〹㐱戱㉡戱㤰㑤昶㡢㐷敥晡昱ㄵ㥦㜵㙣昲愶㡤㠲㔸搸捦㈶㘷㉦㘴㤳戳㥣㡣捥慢㈸搱慢㔰㤳戲挹晦㠲㠱㑤㜴㝣㈹㥢㥣改戵挹搳㤰ち㈲㐳摢㈶㐴挸摡戳㈴捡㈶㐹㜱晡㍣㥢晣㥣摡挴愲戶㜶㤱㡡扦戰戵ㄱ㙦㐹戱ㄴ摡敤㔸晥ㄵ戵〹㐲㙤㙤㠳㡡扦戱戵戱ㅣ㈵㐵挴搱㘶㉦㈳昲㜷搴㉥戵戴㑤㉡晥摥搶摥㐶㙤捤搱戶㘳昹㜹㙡ㄳ晤戲㌹㔶㈰づ㌸〹戵挴㄰つ扢ㅤㄱㄵ㈴㕡㑥㙣㈰挱攵攵愴㤷ㄸ攸攲㌹㘳搳㈰昱戱㉡戹㤰㌳㤵攲搱捤㥢搴㜷㘰搲晥㍥扡㝤㤳㈰㍣昶㜳慡㐰摦㝤〳㍤攰㘴㜴㕥慦㠹扥ㄹ㌵㈹愷ち㑣㔹㌸昵㝡愴㤵㔳㕦昸㤳㈷搰㝢㤰㈹〸㌸㙤挳ㄳ㌴㙢㍣㉤㠴㔳攱愶㡣昸〳㤴㘹ㅤ摢㤴㝤搴㈶㤲戵戵摦㐶㙤晥㔵㤱ㅤ〲ㄹ昱㕢㘸扢收㡢挸㝥㙡ㄳ挷摡摡㌷㔲㝢㠹慤つ愷㘶挴㉦㥤扡㈱㠲㔳〷愹㑤㐸散㌶㈷㙥㜱ㄲ捣ㄷ㠴挸㙥搵㠳敦㐲攲搴愶ㄷ㤱昲愲搳慢㙢挹㈱㐰昶昳挴戳攸戵慦㈷㥥㜱㌲㍡敦昹㐴㙦㐷㑤捡ㄳ换㌱ㄲ㜸攲づ愴㤵㈷㝥㡡ㄲ慤㈵㘷〵挷晦㐱㘴搹搶㈲㙣搶捥㠶捣戶㙤㕡㍣〵㘵搷〰ㄱ戹㤲摡挴戲戶㌶㤱戳戶捡搶㠶㙤搳攲〷搰㜶愳㍡㈲捦愳昶㠷㕢摡〴捦摡慢㙤㙤㜸㌹㉤扥敢㘸摢㕥㕥㑤㙤㠲攲㤶㈷〸㡥摤摡〴㐱戲摢㤱㐱挲摦㔳昳〴戱昲愲㥥戰攷㠴攷㌵㑣㠸散攷㠹㙦愱搷扥㥥㌸敥㘴㜴㕤㌸晡㈴㙡昲挵㈹㥥敢㌰㥥㍦㑥ㄸ㐴㔷㐲ㄶ㑦摡晡㉤㕢慣㄰戱戵愵㔴㉥慢愳搵〱摣て愸攳捦〳㜶攰ㅡっ㙥〵攰て㤸㥣㌳㌶㕣㡦攱捦慤敥㉦搰㔲愵㔸㔸戳㜶搷昱㤳㜴㥦㌵搹挰昵㈵㈳㡣敢捤捤㈶晥攸改㤵㜰㜹〰㠷摤扤㜰㍤ㅥ晢摡㠰敦㌹㌳て㤰㝤搱愷㙤挲戶㍤摣㕢晦㐱㕥㉢㜸㘹㌷㤹戴搷愳㍢敥敦㈰㠶攷愲㑣慦昸〶㕣㙣ㅦ㜱ㅤつ㈸㐰㠸摦戵昱㈷㍥搰㔷户㔲搵慥ㄶ㈴㈲㉦愰㘸〴㥤㔶㈴㄰扡て㈱搰㌹㌰㥥晡㙦攱挸㍢敥敤昷昷㜳戴敥搳㑢捣扣ㄸ㕥攷散改慢捣攸晣㜳捣㜰㘵愶㙣㔶昷㌵㘷㕢㝦㠲搹愷晥ち㐰晥ㄵ摡㘱㔳晣〸攲㙡搶㉡㘳㕥改㐳慥㌴敥㤵㍥っ㈹攳㔷㑢㐰敡㙦㤴㉦晡ㅡ㈵〵晤づ愳㘴㈸㙡ㅢ㐵㄰㜸搲㌰敥㈳㠸㉤㔵挷㜲摥㉥㄰㐳㉡㘹摥㉢㈵㔶㔴搲ぢ扤㔲挲㉢搵摤㡢㈰昵敦敥攷㝤扢㍢〲晤㡥敥㙥愴挸搳㕤愲戳㜹摤晤愱摢㠵㔱㙦ㄷ㠸㘶㔴ㄷ挶㈰昵晥㤸㍢㍦㤴敥昷敤挶㐴㜷㌷ㄸ㈲摥㙥㄰㄰捤敢〶㌱㡦戲挴㌶㙦㌷㠸㙤㤴㜴搲㉢晤㥤㉢扤挴㉢㝤摥㤵㙥昷㑡昹〶㔷〳搹〱挶摦㤶昷晡づ㘲ㄷ昴㍢㙣戹㠷㈲㡦㉤〹〰收つ㠲敦㜸搵摤扤㘰昰摦㡥㔴扥换㤵㜴捡㉢攵㍢㕢㐹愷扤㔲扥收㔴㜷㉦〳攳摦摤㘳扥摤扤〲晡ㅤ摤㝤〳㐵㥥敥昲㉤㌹慦扢㝣ㄱ慡㉥扣ㄱっ晥摢摤攵ぢ㑦㐹慦昴㑡昹㘲㔳搲慢㍣搲㄰ㄷ㡤㤳㕥搱攰㥦挰㌲慣晤捥ㅦ㕦昳㉥挲晡㌲晦昴摡敦ㅡ搱晣㙢㜶㝦㠳㜶〴㤷㈳搶㈱㘷ㅣ㠶㠹㐱㉥ち㘴挲㕣㐲〶戹ㄸ戴㔳㕣〴㕡㈹挱挹慣㔶戹㌷㔱捣㜹捣㍣愹㍢っㄳ㠳㥣戳慤ㄲ㠳㥣慢敤ㄴ攷㘸㉢㈵㌸搷㔴㙤〵㡡㌹捤㤸㈷㡢づ挳挴㈰愷㔴扢〴愷㠵㉡㘱㔰捣ㄹ愱㑡㤸づ愳㑡㌰晡㕢㈵〶ㄹ昵敤ㄴ愳扤㥤摡敥㑤〹㐶慢慡摢愲㤸㠱㑡㑤戹捦㘱㤸ㄸ㘴㔰戶换㌳ㄸ摢㈹〶㘱㉢㈵ㄸ㑣慡戶㔹㡡ㄹ㐷捣㤳㈵㠷㘱㘲㤰㌱搳㉡㌱挸㔸㘹愷ㄸ㈳慤㤴㔰捥㘳昹晤㄰扢㑦㤴㑥㔴挸敥〰ㄸ㈰㍢攵㤴㉥㉤㍡㐷㘹㔵㙣㉤㘵散㉥㉤ㅡ㕤㘹搵㙣㉤㘵攰㉥㉤ㅡ㕡㘹㕤㙤㙢㈹㔳㜵㘹搱㘴㑡慢㘱㙢㈹ㄳ㜴㘹搱ㄴ㑡㙢㑥㘹㐵摤愱〹㡥㘶㌹挶㉥摥㠹㘹㑡㠰㍡㠶戲㌸搰ㄵㅣ㠰捡戸愵㈳㠳㝤㔶ㄹ敦攸挸㘰㌷㔵挶捤ㅤㄹ散㤹捡㜸㝢㐷〶㍢愳㌲㙥㥡㥦搱晦晦戸㕦㤱㜳</t>
  </si>
  <si>
    <t>㜸〱捤㕡㕢㙣ㅣ搵ㄹ摥㤹摤ㄹ敦慣搷昶收挲㉤摣㤶㤶㄰挰改㉡㈶愴〴㘸㤴搸扢㜱攲挴㠹㤳搸㐹㝡愳换㜸昷㑣㍣挹散㡣㤹㤹㜵扣㌴㉡搰慡㔲摢〷㕡㈱㠱㐴ぢ㈵㐲㙤㈵㜸愹挴㐳㉦㠲㤷㔶㔵㑢㑢晡搰ち㠹㤶㈷㑡㉢㔵㔵㘹ぢ攲㠵〷搴昴晢捥捣摡扢敢戵ㄳ㑣㉡昹㐴晥昷摣攷㥣晦㜶扥昳㥦㈴㤴㐴㈲㜱ㄱ㠹扦㑣㈹㘶㙥㤸㙣〴愱愸ㄵ㡡㥥攳㠸㑡㘸㝢㙥㔰ㄸ昶㝤戳㌱㙥〷㘱ㄲㅤ昴戲㡤昶㐰㉢〷昶挳㈲㕤㥥ㄳ㝥㠰㑥㕡㈲㤱㑥ㅢ㉡摡㌹〹晦㜲捤㠲挱㔱搹ㄴ挸㔴㜱㘴㘲晡㌴㘶㥤っ㍤㕦㙣捤㥦㠸挶敥ㅡㅡ㉡っㄵ敥摥㝥搷昶挲戶慤昹㘲摤〹敢扥搸攵㡡㝡攸㥢捥搶晣㤱晡戴㘳㔷づ㡡挶㤴㜷㐶戸扢挴昴戶敤搳收摤㍢㠷敥摥戱挳扡昷摥㥤㔹㝣㍡㜱戸㌸㜲挴ㄷ㔶㜰愵收搴㌹攷㐴㜱愴㜰㔸㠴㔷㙡捥ㅥ捣㠹㈹㑢㕥捤戴摤㉢㌴愹㐶摥㙥㉦㠹㡡㑤㈱〸攱摢敥愹〲㤶摤挶㘸㤴敥㈹㡣㠲攳ㄵ㌳〸㡢挲㜱㡥〹㡢㡢挹搶挸㌳攱ぢ户㈲㠲晥摡摥昹㡡㜰攲收㈰㕤㍢㘱晡㠷捤㥡㐸㌱㌳㔰㡢攴㌶㔶ㄵ㙥㘸㠷㡤扥摡昱㐰ㅣ㌳摤㔳㠲㕤戴摡扥扡㕤㑤愵㤴㔴㉡㤱摣搲㙤㌱㔲㌶㠵㔱扦㔲㥣㌱晤㔰㤶㈸戵愱㙥㝤㕢㌴㐴㉥扣㙤㔹搴愲㝣挷㈸㡡㘹搲慥ㅤㄴ扥㉢ㅣ㝥㠴挲ㅢ散攸㈴㜹ㄲ戱㝥㠱㌹捤摤㤰ㄷ㑡㙦慣昷㜲㉢愸㌰搲㈴〶㠸㥥〱挹㑤㘲攵㈲挸捦㤹㑥㕤攴㑢挵㔱愳㤷敤㔹㄰㈵昵㍥㡣愸㜵㍣㥢搴戲愹㤶愷搵㜲㐵㉤㔷搵戲㔰换㤶㕡㍥愵㤶㘷搴戲慤㤶㑦慢攵㌳攸搳㑣改㥥ㅥ㌵㑥㙦〶㙦晤搶㝤昵戶㐳摦㜸攰愷㝦㜹晣慡㕦扦㤷敤㐷愷愳昱摡㑡扥㜹ㄶ〲㕥搴㥤扢ち摢昸敦搲㐶〳㥢戱㜶㔸昷㔸㐳㐳搵ㅤ摢捣敤愶挶摤㕤慥愸㌶愲㙦搶㍡㘹扢㔵敦慣㤴㕤搶ㅡ戵㥤㔰昸戲㌰㘰攱㈷搲㍦㔹敥戳昶捥挳㜰㉢㤱㤸㌷㕡㐵攱㠷㔰昸戰戱㈸晢ㅢ㐶捣㐰㉣ㄶ〷攳戹㐷扣扡㕢つ慥敦摥㌸ㄹ㥡愱搸搴搹戶㌸挹㤲㘱㤳㌰〶ㄱ挸㈵摤搴㌹散〴愵㌸㍣㙦㐷捤㌷㜶㌴挳㉣扣改攵㕢㐷㝤昱搰㐲敢㤲ㄵつ挳㘷捥挹戹㤷散㌲㙡㡡搶㤵㉦捥㜸㠱㜰攵昲〶㙢㐷散捡ㄹ攱㑦ち㝡㕣㔱㤵㕢扤㡡㑤戱㙤づ㑥戸搸㈸慣慤晡㠹搶㕡㌲㕡戸㔵㔱挵㝡㘷挱攵挶㤴㌹敤㠸慢摢扡㐴摦㐴挳㜵㙤搵愳㕥愵ㅥㄴ㍤㌷昴㍤愷扤㘵戸㍡㘷挲ㅦ㔴て㜹㔵㤱㤲㈹ㄱ㔱㈵㤱㑣㉡㑡攲昶㙥㠶挵戹〳㥡㕥㡢㤲搰挰㔷敥摣愲㐴散摣搵㘴ㄷ㘶㐶愶㐵挹搸晦㡥ㄵ㔷搲慡㠴散扤㙤挵摥㕤㤴㤴㠳慥㙤㌷扣挲㌱挸〷㜲㜰〴慤㔲扤㜵昹㈹ㄷ昵昲ㄲ㉢㙤㤱ちて㔸昶㕥㠱㘹㜲摡〵摤晢晦㜶㔶搵つ昱敥昷捥挱敢敦㌷摤慡㈳晣ㄵ攱㠱挲ㄵㄹ〳㈴㌹㤲㜵㈴敢㐹㌶㠰㘸敦挰㑤㉥换㔱㝡㜶㘵㕥㘹㘸㘷敤㙡㌸愳捦〸晢搴㑣㠸㍡挰㡡㜴㥡散晥㈶晥晥㡢扦㍡㜰挵㙢〴ㄸ挶㔵㈴㔷㤳㕣〳㤲挹㈴昴㙢昱㥢㠵ㅡ搲㐴敢㌸搶ㅡ㝡挶戸づ㜵晡㈶㜶㤰摣换㑦㌵㘶㐵㐶搱攸搹㍦晡昹㐳㑣㘳挸攳づ㜸㈴搰㙡㌸㔵㠳㘴戲ㅢ㔳昶㥢挱㑣㐸㝢㕣戱㤱扢㌶慥㈷戹〱㈴㝢㈳挸攱晤挲㠱㌵㕦㈹㈸愳昱㌰扡攴㤱㐹㈱㕤㕤㥢㙣戸㤵ㄹ摦㜳〱散㑡㘶㘸づ㔷㠰ぢ〲挵搴㙢攳㕥戱ㅥ敡戵晤㌶㝥戲戵㘳㘲㔶㤸㘱ㄱ摥㍡散慢㡤〳㔳㐸㜷㍡㔶㥤搷㙡ㄱㅣ㈸㠹愰㘲㄰㌷㡣挱㍢捤敢挸挱摤㘶㙢昴㌷㘲㍥攴搴㍤戵㈳㌸㑥摤搰㐰愷㐱㌹㉡捡㜱㘴㥦慣㙢㡥捥挴㈵捣㤰㤳搹㤶㔹㝡㘵㐵㌴㔳㠲慣㑣挰㐱㈵㤲愹㤸㜶ㅡ搲昱搰㜶㠲㐲捣摥㐲挹〳慥ㄴㄲ摡㤲敤扡づ㍤搳㔷ㄴ㔶愷扤ㄳ㜸㑣㔴愶愳㘹戱㤴㝤扥㔷㥦㈵昸戸㔲昳㜰慥㠴㜱ㄳ挸㜳敦扤㜸晦收㘷㝦㝣㌱晥㝤〴㤶㈴㤳㐱㙣愲攷㐱㈴㤲攷㉦㤳㜱ぢ㐸㐶㌶ㅡ㜹㘴搹ㄷ㍦㌲㐵㙤ㅡ㤱㑢㔷㡦扢っ㐸愲㘹㘷㙢搸敥㤴㉦㈴敡㑢换〲㡣愹慦㜶搲昳捦㑣㝢摥ㄹ㑡扦㕦㤶㠲ㄹ㈱㐲㐲愹摥ㄸ㌹㌲慦㈸㑡㌲搹㠶㤳㕡㌰ㄷ㐱㤸扥ㄹ愴㙦搸㜱昲捤ㄹ〳晤㌶㔴㈵〹敡戶㈰㜳晤愸敤㥡㑥扥㠶戳挹挹昳搶㌰㤴㉦搹㘲戶㌰敦〴昳捡㥦戰㐹㈲戱ㄷ㍥㙦㕣㌳㝤昸攰愱㘷㑦晦攷㡦㑦㥤ㅦ攸㔷摥㠸ㅢ㍡戱㤵㐶㑦搵愹㈴ㄲ㈸㉥㥣㍡㉤攷ㄹ㝤㤰㙥ㅤ㜷敤㌰攸戵㠶敢愱㌷㙡㠷愵㈰捣㕡㈰挸捡㈱㥢愴㡢㘹ㄹ㌴㘸㥤戰挵㔹扡㥣㥢㤷㌶〱㐳ㄷ敢㐱攸㐹晤扦㘹㘹㝢挹㍢散㠵㈵㍢㤸㜵捣挶慤㕤㥡愳㤶㤳㌳挲〵㘲昰〱ㅣ㉥搵挹㥢㥤ㄵ搵㉥㙢㥣昴敡㝥㐵㡣㤵搶〲收㔰㈲㐳㑥㐰㔵㘰挶捡收攵捦搸ㄶ扥㔳㌹㔵愸㤷戲捡㈳㉢㡦昱〹㘳㤰ㄴ摦挴㔱㘲㙣㐵ㄶ㈷㡡挶㜳㙣㘵ㄵ㘹㐱㌱㜴戵ㄹぢ㘲㡤敡晡㘲㤸㍣收〶㜶㔵㘴攲搲㈱摢敤㡦戳ㄳ昵戰慤挵㥣摦㄰户挰〶㈶㕣㠸扥㘲晡搵戵㈰ㄵ㙣っ㈹ㄲ㠹愲攳摦敡ㄸㅤ㑤㤳㐸扣摢㡣㌹扣晢〸摣搴愷㔰㑤㕥ㄳ㉥㜴㜵㐹ぢ收㠸㑣ぢ〸愴昹昶㤱摤ぢ搵㘹㤶づ〹搳㤵㔲㤸っ慢㈵㌱搷㉦㝢〸㈸㌸慥慥㡥搸搰㕥㤴㐷㤳㘱つ㑦〷㥥㔳て㐵晦㐲㑥ㅡ扡㘱ㅤㄳ㡥㐹㐰㥦㕤挸ㅤ愹㠴戸昲㉣捣㐷戰扥㜶㈴〴㡥愴㘲㈹㈹㔲㑥晡ち捡摢扥〹摡搰㉡愵㡡㐳搷㤲改摦扢㤵敦㍥捤昴挲敥㐴㌳㤳㘱㑡㘸㐴ㄸ㤷㡦搸㘹㐹ㅢ㥡ㄷ挹挸挳㐹攷㤵㙤搶ㄱ㉣昷㔹搲敦攱㐶捣愸挵〰㑤挷㐱㐸㈹戴㉢愶攳㌴晡慤㌱户攲搴慢㘲摣㥣ㄶ㑥搳㘷㝢㝥㙤㡤挸㑢㐶摢㈲㔹慤挰㤷昸ㅡ㌳㠶㤰㕢昳㝥戰㙡㌷㤷㌰ち㘰慢〴〴㤸㈳㘳㙣㐳㠹愲㈱㌸晦挸搷㈳〲㡦昵㡢㤷㝢ㄹっ㠲㙢㕢㔲㐵㥦㐶㡣戸㜰挳㤲ㄶ搷搲㙤摣ㅢ昷㜰晢慤戶㔴敤户愳慡㌵㘳㔷㔲㑣扡慥慦昶㠰〱慦㤰摥扤㤸晥搷㥢慦晣攸晤〳㝢摥㝣敡攵慦扦昱攴㕦㜷㈷㤴挸㌸㜸㤳改㐴㤷㉤㐰㐴㥥晤搲〹昲㌸ㅡ愰〷㡢㠰挳㤴ㅤ㍡愲搷㤲敤㌲㥦愶㐹㤰㥢㍤搶搴っ㠰㕡愹捦摡攷摢㔵挷㜶〵㐱〸愲㌱っ挰㡤㡢㔳㠸ㅢㅣ昱〲㥢昱摤㍥㙢捡㌷摤㘰㤶㠰扣搲㔸摦㔶㤲挲搲慣ㄱ摢㠵〱㐵摦㘴㝥挰㥡㥣昱捥㈲㐴㕣慦戹晢捣搹㘰㑤〸㡡㜷挲㈸㐵㔶愵㉡慡慡愴搵昴㙡捦㉡〹㥦攵㠴愳愰挹扢㤸㡤挴挵㍢攷ち㌶㑢㐹挵㤱ㅢ摡㉣搷搵ㄶ㙡敤㝡㕦㕣㠸戱搳てㅢ晣㔸㜶㍢挸㠱㝤挷挷ㄶ攳㝤ㅦ㉢㔰慥昱㤶扣挲㜱㈰㔵㘳㈱戸㐰㤵散㡦搴㠵㜵搴ㅥ㐳㑡㥤愵㑥ㄵ捣㔸戲て戵ㄱ㈷㈸扢㌳㍢㡡晢㕥ㄶ挶て昷㡢㝢㌲晣㙥㝦㔴㈰愴慢㤹㑥㄰户ㄵ扤㕡捤愴㝡㔱㌵㈷攱扢㐵㕡攲㙢㜸ㄳ挳〲㤱㍡ㄸ㔷㤹昳愸㌲攷㘵ㄵ㡥㘴〶っ㘵㥥㜳㜹愷㑣摦づ㘷㙡㜶㈵捤〲㠳㝡㙢㐲㉦ㄹ㈱〶㌳㥢㐹㉡㈷挰㙡攷㥤㍣扡㐶㐲摣〵摣ㅦ挸㍡㡡ㅦ摡慢捡㜳㕣㔹㘵㌴〶㘸㔶㍡㝣㘳〷㘶搳攴㤳っ㙦挷㑣㉤㈰っ㌵㔲戳ㄵ〶㑢搸㙣㝣㍡捥戰㤰㘲㠰㘲挵㥢㌱㉦㙦㤹㜱捦慣㡥㈲敥敢昹㍤昱挳㑥ㅡ愲愵㕢昱㜳㡣㠶ㄴ㜱㙢㐳愴㜲づ㔸搸㑦戳㘲ㄲ㜱㠶ㄴ攳㈸㝡㈴㐳〲捣㠴愶昵愶扢㝤㙢慣㌹搷慤昱愵戱昵㠱㙡㙣挹晣敦ㅣ摤戹ㅢ㡢挲戶昸㐲㘲摣㐳戲ㄳ㐴㘱㥣㠵晢改攸㜰㉦㍢摣〷愲昱扡摤㘹㈵换㐶づ㌸戹㔶㘳㐴㈳㕤攳㜶〰㌹㜴挴㌹㄰ㄹ〱㑢昴摥㌴㈳ぢ挶晤㈰扦扦㜰㘱ㄷ㝥ㄲ捡㉤㈰捤敦㌳〸㥦挹㤰㜹挶㘷㐸搸㐳攳㉤攴昲㙥㍤ㅣ㤸㙢戹㡡搲㐶㠳㜵搶搱扡改攰㡤㘶〲㜸㈸㘴搵㕡㌰㠲㔴㠴㑡㍢㕦ㅣ摡㥦㙥㜰愱㤳㕢昸挲〳っ㝣㜴昲愰扤㙦扣户㠰㍤㔷㠷㕡㌳摡㉦ㄱㄷ戸扣慦搰ち㝡收ㄸ挵㉡㤷ㄱ摤㐱㠹㠲捦ㄸ㔴㌱㈰㈸㠵户㐵㘹㌶㝢㤰㘱ㄳ晦ㄴ摥㙢㘴敤㌰㌲捤愴ㄱ㠳慤㜰㜸㜴〰㍥㡥摦戰愸敡㜴㙡㠳づ㕦㘲扢搹㐸晢ㄹ㌲㠲愱ち㌱摥㤲㌵㈸㍣㕥㘴㙤〹ㄹ㍡〵㝡㝢㡤㉥攲㤲㕥㠹慥っ㔷㔹昸愷挹戰攱攰㑣㘰㤶㠱㥦㈸㐷㈳㠸㥡戱㘸捦〷挸㑤㜵㠶㝣ㄷ挶㌲愲搲扢戱㈳挴㉥㠷戱㠵敥㑦㝢ㄹ㈲㕡㜶㍣㜷戰㈸ㄵ㡥㘱搲㜹㕡㙦㍣㘴㔷㝣㉦昰慣㌰㍦〹㙣㤳攷愳㡢〵㤴㍢慣晤ㅣ㌳㜶晤㈶㌷㤶㜲昹㥣㈹〵㥤㌹攳㝡㘷㕤戹ㅡ㉤攰摢㤳攴㔷㑦て㍦㐳散㉢搳㈷挱挵ㅣ㕤㈵〷ㅢ晢㐱晡㤲㌹晡ㅡ愶ㅣ晤つ㔳㡥捥㠵㈹㐷〷挳㌴㐰㤷㈰㐳㜷戲㜸〵㐹㡥㡥㠴摡愷㡦㠱昴ㄷ㐷捡㉤㘸㐴㍦㠰扡㉣敡愴扦㍤㠶㌷ㅢ晤㈰㙡搶愱愶晤㝤㌷㐷㑦挴㔹ㄶ㕦㐱㡤挳㈸㉡㔴㜸挹㠸㠹戸〳㍢攵昶㠰㐸づㅣ㐱挶㌸㑡㜲っ㈴㤳ㅢ〶㘵㔲愴㉥㈲㘳㌴㙢㔸㥢㉢㠱挸㜱㔳㙣㍡づ搲愷㙡攴攲晤换㐷㝤㕡戶㌳〸㕢㘹㝢晦摡㡢昷慣〶搵㌹㠹㔳㐵㤳㥢㑣愹昷慤㙥㉥㝡㈲㐲㌱昹昷㈲㤴收㘳捣㐳㡥㉤㉡㉡㘷扣ㄹ㝦挶㐹㄰㠵㙣㘵㉣搶搸㑣㜲ㅢ挹ㄶ㄰攵㠷昸㘴搷㘸收て攲㠶捥㘸㘶㡥㈲㤱摣㝣㠰㤳㝣㠹愴っ㤲㔱㈸ㄵ㜲㔵㌹㡦愱摣ち〳㉤㘹㌵愹㔰㔲戲攱戹戸攱㜶㌶攰㙥㐸改挹㠶敦挷つ㜷愰挲愸㠰㘸ㄴ搵㥤换戳㌴〲㜱㡢㑦慦㡣搱㘸ㄶ晤㐳慦ㄵ扤㝣㤲戱㌲ㄶ收㐸攳捡〲捦昹㜸晣ㅣ挷ㄵ〵㈸づて昹戱㉡攲敡挲㜳戵㠹ㄸっ㔹攲㘰摤㥡昰〱㈱㝡慣戱〰ㄷ愱㙡ㅡ㑦〹㈱ㅥ愳摤戵㜰捥挱摤愵愸㠰㔰㐱㠶㉦搵慥㥥㠶㉥愴ㄳ㘱戴摣昶ㄶ昹搱扣昱慢㠴㠱慢㍢攵昴㉡㍥㤶挱㘹㜹㕦㝥㥦〹㥣慤㈸摦㠳㐸改〴㌳㠹㐷ㄳㄷ戹㔲㥥〰〶㥣㘳㐲㍦〵挲㔸㝢ㄳ㈱㘶㡣ㄹ搴ㄸ昹㈶㐹㈸戴㔱㙡㠰㝥ㅡ㘴愰昹㝦㑡愲晦ㄵㄱ愸捡㤳捤戹㉦晥昳㡤挵戹ㅤ㡥愷㘶〳换㤲攲攰㜴㔹㤵㙦㤲㠴㐶㔳攸攴ㄵ㡦㤲㔱㌲戳攳㐹戰户㤷っ㝣㘱昷㍦昶㝣㘵捦户㠶ㄵ㙡扢搴搵敦挴扡㑡て㤸㔶㜵㠵ㄶ㈰ㅢ扥ㅤ㌷搰愹愵㠱扣㘹ㄵ戲攱昱戸㘱㌷㉡㡣〰㘴㠰㉡㑥㙢散昹〳㤶㕡㔷㕦㔳搶愷敡敡搳晡㙢㠹㤷攰攸㕥㈲㍣㈵愳㉥㕢㜸摣敥㉡㑦㙦扥㝤㉡㌳㈴昸㌳敡㜱㐶昲㡦晣攴㌲㡣㌹搶㤲㤵戲捦㔹㘴挸㉥晥つ㜰㌷㘴慡㍡慦㔴ㅥ慣㍥昸攰〷〳愹晣愶搴㘷昷㘴㥦㝥敢㜷㙦㍦昱晡ㄷ㜷晤晤挳㘷㥥㜹晤㙦㑦㕣昸昰㤵改㕤扦㜹晥昹㕦ㅤ㜸敥挲摢敢慤昳敡㑦㍥ㄸ㍦㝦㙥攸捣戹㠷慣攳㜷敥㍢昷戹搳㐷㠷㡥慣ㅢ㑣㈶㝢㝡戶㙣㜸昵摡摢㜳㡦㍥昴㌳攵ㄷ㝦扥挶㔵攴晡昰㠱㜶㡦捥㜵㑡ㅦ搴㐰愶㉦愹挸ㄵ戲搷挳㈰㑣㜴㝥㌹慥㔴昶晡㌲㌲挶㌹㤰㍥㔵攱〸㈹㤵慦挵㔲ㄹ㐱㐵ㅡ攷㉢㠷戲㜷㕦㑡㘱㝦搹攷慢敤㝤ㄴ捥㈱ㅢㅥ㡢ㅢㄸ㈸㌱ㅥ〵㔱㐸㈴户ㅥ㘳㐹ㄲ㘴ㄶ㤶㑤捦搶晢㍦㝣㌶挶愹</t>
  </si>
  <si>
    <t>Decisioneering:7.0.0.0</t>
  </si>
  <si>
    <t>㜸〱捤㔸㑤㙣ㅢ㐵ㄴ昶慥扤敢㕤摢㘹㐲㥡戴㑤㝦愸㐱愵戴㈴戸㜱㤳搰ㅦ㔴摡搸㙥㝥搴收愷戵㥢㑡㐸㘸戵昶捥挶摢散㡦㤹㔹㈷㜱愱㐸㈰㈴㄰㐸ㅣ戹㈱昵〴敡㠵ㅢ攲挰戱ㄲ㠲〳㈰㜱㐲〸㈴捡慤愸ㄲ㠲〳㔷㜸㙦搶㑥㙣挷愱㘹〸㔲愷捤㜸㘶摥捣㥢㌷㙦摥晢摥㥢つ〹愱㔰攸㙦㈸昸㡢㈵㠲㡤㠳昹ㅡ昳㠹㤳捡㝡戶㑤㑡扥攵戹㉣㌵㑥愹㕥扢㙣㌱㍦っㄳ㘴捤〲㍡㤳㌴㘶摤㈴㡡戶㑣㈸㠳㐹㔲㈸愴㈸慡〸㜴㘴㠲㝦㍤㡤㡥㡡慢ㄲㄱ愸ち搹捣㕣昱〶㜰捤晢ㅥ㈵㐳挹㠵㘰敤戹㜴㍡㤵㑥㡤㡥㥣ㅣ㐹つて㈵戳㔵摢慦㔲㜲捥㈵㔵㥦敡昶㔰㜲扥㕡戴慤搲㈵㔲㉢㜸㑢挴㍤㐷㡡挳㈳㐵㝤昴㜴㝡㜴㙣捣㍣㜳收㜴〲戶づ捤㘷㌳㔳挴慥〰扦㥤攲㉡〳搷搹㙣㘶㥥ㄲ㜳愷㜸㑡愸㠸㜴㡥㤴㉣搴ㄸ㈱搴㜲ㄷ㔳搹っ晣㙦搲ち昴㑥愵收昲㜹攲㌲换户㤶㉤扦㠶攷㔳㥤戹㔲㜱㐱户慢㐴㜶戸㐸㡡戳愰搳㔹摤㈱㕤捥㌵㐶慥敡敥㈲挱㥥攴㑣㔶㉤㈳〲㌷ㄹ㍥摥㘹愳扡㤲㔲㜳搹㑣戶慣㔳㥦戳挴つ㑥㜴㥡捤㜷㑡㌵㠹挲搷昰㔱㔴㡦㄰慦摢ち摦ㄳ愵㡣㘲愵㐰㈵慢㔰敤㙥㕡㤹攴㑢㤳㘹㈱昲ㄷ㔸㕣昳挲㌸捣ㄴ㌵㕤搴㡡愲㔶ㄲ㌵㐳搴㠸愸㤹愲戶㈸㙡㘵㔱戳㐴敤㠶愸㉤挱㥣㐶㔱愲㔱戱㕥敥扥㌹㘰㥦㝡昰攷攴㈷扤㉦㕤戹㜴敢㠷㕢〹攴㌵ぢ㘷㑢捤ㄲ㝦㠷っ㐱挲㌳㙤㕤㤷〹㤸㉤㌹挱㔵攴〸㉢愹㜸㑦搳慥㐱㔶㘵㘸挱晤㈵㥣慣攷晡㘴搵捦改扥ㅥ㜵收㜵㑡㕣㕦㠵㐹㠳㝣㔵搰挲㤵㕤㝣慣戱㍡㔶敦〱㠷ㅥ摥㙣攲ㄲ攷〳〱㈷〱㕣㉦ㅣ〹㙡㐵敥攴捣㔳㍡㉢晢㝡搱㈶㐷摡慥ㅣ昵〶㔶㜶捤户㙣㤶〲㤶㤳搴慢㔶㔰愳㍢挵㠷ㅢ㌲ㅡ㠶摣〵ㄵ㠷ㅥ晣㠵つ㉥愸扢攰㈷愶㈲㔱㐵㈲挲ㄲ晣㐰㘹搰ㄲ扤搰〱ㄱ㜳㥥愳㕢敥づ㕤㙥㘲㌷㌰扤㔲户攲ㅣ搵㔷挰㈳搷㔹㥦㑣つ攳扦㠷㐳ㄲ㈰㤲㌹㘶㥥㌲搳㘹㘳㙣㔸ㅦ搱㈵㜴㠱㐷昵愸㍥㔸㤳㜰慥㕢慥攱慤㜰ㄷ敢㜵挰㝦戸摢ㄴ㙡ㄵ挲㠷ㄲ㘶㐱愷㡢〴摣㤶㑥攷晡捣慣㐷㈹戱㜵㥦ㄸ㝣〰ㄱ㝡㙦敢㈰㥢愰㥥㠳攳〷㌳㍡㈳敢敥㍢㘸〶ㅢ㘵扣慡㙢戰〳㥤㠹㜹ㅦ㔸敦㙦愷慤㌳搹戰㉣て㤰㐶ㄸ㤷昴挹昶㘵摣昸挷㔷慤㠰㝣愸㡤っ愰收ㄵ㌷愷㑥㔰昲敡ㅡ㜵㠳㐴攳㄰愶㤶〹搲㌷㥣㌲㈰〵㜲〱〴㜹㡣戸㕣扣㐱㘷摥㉡㉤ㄱ㥡㈷ㄸ攴㠸挱㡦摡㡦㈴〲晥㔸㈲㙣㜰づ㔵て愸㙡㍣摤㍣㙡㕥㕣昵〹㜸戳〱昲㐲戴昱㙢〵昴愴㍤㉤㔳㠲㍤㠱㌰搰㌲㍣攱㤵慡っ扤㤶㝡㜶㉢㘵摣㔸搶㘱㑦㘳挶㌳㐸㈴㈲㠶㐳㤱㔰〴ぢ㠴搱㜰ㄸ㕣㜹戸捤㔱㜹挸㐰摥慣ㄹ㥢㥢㉣〷挱㜹㘴㑢㡢㕡捤ぢ搷㜵㠲㡣戵昸㉦散㙢昵㤵搴㔵搰ㅥ㘸挹㈶攸㐸㘲㍢愲㌴〹扡㙥㌵戸㐹㐷㍣つ㑥搴愴㌳戴㕢㥣㝤㙣昳愳㜰戶㙢㤶昱晦㑥ㄶ挵摤昵搳㕦㕣〶捣㥥搲㕤挳㈶昴摦昵㠵ㄲ愹攸搹㙡㍦㔶㝢愰㡡㠵愴晢㠰㙥㥢㙡ㄲㄳ㈵㘱㔵愸㐹㉢㤶攱㤷攵㌲戱ㄶ换㍥㡣㐱㝥愵㈸愸收摢㡤㍦㐸戰㕥挷㈴㑢摤㠷搵〰㔴戱㔸㉣挰㑦㌹愶ㅥ攰晤㔰〴㤱戵㤳㤰㙢㜱〰〳㕣散戲愷ㅢㄳ㝡〹昲戲㘸㍤㉢㔳戲㥥㔳㠱攸㐴㝢㜰㘶ㄶ㙣ㄳ㙣㝥搹㌲〸㔵㜰㈰て搹㕦〴㤲㌲㈶㜳捦㘶㄰㜶挲㈱㐹㡡㉢㥤昶㥡㙥昰㍡㔲搷㘰㜳㜶㌹扤㠱晦㠳㉢愷捦攳挱㘲㌱捣㤸搴㠳㔸ㅤ㠲㑡㐲㑤㍥戲㌷㜴挳愲㍤㑥扥散慤㑣㠱㉡〹ぢ㤲ㅥ㤶愵㤶扦㜷攳㌰㠴㔱摤ㄹ攰攳㤳㤴〰〰搲〲攰〰㍦㈳慥搸摦㤱挲ㄷ敤攷挶搸攴㠶㠳收㠲㐵㔶㄰扣て㙦㈴㐱搶㤶慤㌲摦攳㔱晦挹㡤昴㥣㌷敢昹㌹㡢㔵㙣扤㜶愴〳㌹愰㕣㉦ㄳㄷ戰㡢〲㠴㍤㙣㤲㔷愹㄰愳㠳㡣㜹慦㑡㑢㘴㍡昷㌸愰ㅦ摣㔴㔰〴づ㝣㠲㈲挸愲〰㘵㝢㡥㈷愰㑢㠴㕥敢晢㜴昲摥捤户捦㐷〱㑥〵㜰㄰㜰ㄱ〹㥤㜱㍢〰㠹昹㐹㔷㑢㔸敥挷昴㝢〶㥥㉣㔶挵㈶ㄹ㥤㠲㘱㝢㤴愹㑥愳ㄹㄸ㕥㔳㈲ㅣ㜸换攳愰㙣㠸㌲㐱㝣㐹㙤㡥慦㑤㠲㜳ㅢ㐴㘳㐶㑣ㄳ晡摡〲〱㍦㌷愲搳㌶敦㑡晡ㄵ㌰昱ㄱ〵挱㔷㘶㜴ㄹ㤳㙡㑤㠳㈴ㄵ㝡㔸〴改ㅥ戰敡㈸ㅦ㐲㙢挴挵㘷ㄲ㕦ㄵ㕢㜲扤ㄵ㤷㑢㉥㌱捣㜵㤰愱ㅡ㡤攲㌱㘲昰挷换㔸挳㙣㐲ㄲ愲昷㘰㈷㕤〵㌹改摡㍢㙥摡㠰昰㔰㝦戸㈵昰攱㔶愰㠴扦捥ㄴ摥〱ㄵ㜶㌹搷㍤扡㔴昴扣㈵㝣㈹散攲㍤㔶㈶挴挷㤷㔴摣〹㥥㠳搸〶摢て㠷㕢㕥㑢㜵扤㈳ㄱ㌳㘲㥥㉤换㑦㐱㉢㍣㐱㑢扣㈷晣っ攷挷㔷搶㥤㤷搵扤挵搹㑢㌳ㅦ摤昸晤晢て㙦㜷敦ㄲ㝥慡ㄳ㝥㘴扦㝣敤㝥㜵㜴收摤㔷㍥扦昷㐱晦㤷㝦㐸ㄸ㐰戶ㄴ扣㝢㘰㘲户戹㠶㕤〵换户㐹摣っ㑣〳摢㡡〹㘸〴㠹㤵ㄱ㌵ぢ㘵㌸㜵慥换㥣愴㤶㘱㕢㉥㐱搳㠱㤴ㄵ㕦㥤㤷挹㈲㈴㔱昳ㅥ扥㜰㍤户换㉣㔰摤㘵ㄸ㙢摣㔲慤户愵挷扤㐵㌲㌳㤶换㘰ㅢ㡥㤷搸敥㌶ㄱ捥攱收慡㡥㍢愹㔷搸攳攰㑥晣愳〷愸〷㑡〰㕥愲㈰㡡㠲㈲㉡摢昴㠸㤰晣っ戰㍡搴攴㠱㘷㤳㜹搰ㅥ㘱㐹㙥扤挹㕣㜶〲㜲㉥㤱愳㥣㜸ㄲ昷つ挰つ㔱㙦敢〹ㄶ摡㝣㠲㝦㔳愸㘷扥攱㑥〱㝣㉤〳攴〹捤㔱㔸㈳㘰㝥挱ㅤ收搹㝡〳㍢㍤ㄸ慢㌱㜴换挷愰㝡㈲㥢搱〲㕢㙥戸㠴㝣ㅣ㠶㜷挱㜰㔳㥡搷㠳愱㥤攷㌱捦㐱㠳㝦㍥㄰昸づ搸ㅢ㠲慡㔱㝡㜰㈷昴㘱昵㜹愸扡挲〲捥㐷愷㤴㔳搸ㅦ户敤㘴挳慤㤸㝣〲㠷㕡㍥㜳挸挳㌰㜴㘰挲㜲㜵㍢改㐰㍡㘳㈷昱扢㔳㍡㤹戳㐸㈵戵㙡戳㔵攱扢扡㝦昴扦晦㐲㕡慤㡣㘷扥昸散敥㙦摡㍢㙦㝤㉣㝣㕢㈷戴㝦㜰攸㘹㠸㈷愱㐴㉦㜶挲㠶つ㔹敤㘰晢ㄳ攲㈲㍣〹㙡㜸晥㌰愴㔳ㄲ户昸㠸㜸㜶㝢扣ㅡ昸㡣搷㈴㝤〳㔲晦〷㍥㜸㥦慤昰㝡ㄸ㐶搴㔱㘴㡤㔵㍢挴㘲㐶㌸㠱攷㘸换㕣攳㜱〴搴㍢攷敦㕦㜸攳挲㝢攳昱㝦〰敢晣㝢ㄷ</t>
  </si>
  <si>
    <t>㜸〱敤㕣㕢㙣ㅣ㔷ㄹ摥ㄹ敦慥㜷搶㜶散挶戹㌴改捤扤㕦ㅣ㙤攳㕣㘸㑢〹愹㉦㜱㤲㌶ㄷ㈷㜶搲㔶愵㙣挷扢㘷散㐹㜶㘶㥤㤹㔹㈷㉥〵㔲㈸㉤攵㈲搴昲〰㉤〵慡ち㔵昰㔲愹㍣㔴扤昱㠰㠴〴㐲㉤㐲愲㐲攲〱愹㔴ㄵ㝤〰愱㐸扣昴愱㔲昹扥㌳㌳扢戳扢摥戱戳㘹挱㐱㥥㘴晦㥣㌹昷㜳晥敢昹晦㌳㐹㈸㠹㐴攲㘳㍣晣㤷㑦㤲㠹换㈷ㄷ㕣㑦㔸戹搱㜲愹㈴ち㥥㔹戶摤摣戰攳攸ぢ〷㑣搷敢㐰㠵㜴摥㐴戹㥢捡扢收挳㈲㤳㥦ㄷ㡥㡢㑡愹㐴㈲㤳搱㔴㤴戳ㄳ晥晡挲ㄷ㡤慤扡㤳〰㔳愳㈳㠷愷㑦愰搷㐹慦散㠸㉤〳挷晤戶扢㠶㠶㜲㐳戹ㅤ摢户㙤捦㙤摤㌲㌰㕡㈹㜹ㄵ㐷散戲㐵挵㜳昴搲㤶㠱㠹捡㜴挹㉣摣㈳ㄶ愶捡㈷㠵扤㑢㑣㙦摤㍥慤敦戸㝤㘸挷捥㥤挶ㅤ㜷摣摥㡤愱ㄳ㠷㐶㐷㈶ㅣ㘱戸㥦㔰㥦㈹㑥㜹挷㤸㈸㤸㕣㥢㄰㡥㘹捦攴㐶㐷昰㌷㌲㝦扣摤㤶㥢㥣ㄵ挲攳搰挲ㄱ㜶㐱戸ㅡㅡ㜶㔹挳慥㕢戱收戸㜹㥡㌵㡥愵ㄶ㜴搷㑢㔹愳愲㔴搲慣戰搷㡣㜵ㄸ㝢㔷搲ㄷ扡慤㐹㘱扢愶㘷捥㥢摥㐲摡㥡㐲㐷挵ㅥ敢㤸㉢㡥敡昶㡣㌸愴㕢㈲㘵敤慤㤸挵愴晦㈴㍡㙥っ扢㠸㑥㑣㉥㍦㌷散㕡愳戳扡㈳㘷攴㜲㘳㘲敡㡥㍢㠵晡扡搷戶敥㤷㔳㤷㈳戰捦敢㕢搷㐳挹㜱摤愹搶ㅣ㙣㕤㌳㔸㝣晤っ㙥㙤㕤㍦戲㐷昵㙤㙥㙥摤㐶㙥㘵㝤㙤愵㉢愰㙦戹愳㔸㡣㤶㈶攸㈴挸㄰㄰㠱㕡㤶愰㡢愰ㅢ㐰㐹晥ㅢ㕣ㄲ㙤挸㈲㌵慦慢昹㘹㌵㕦㔰昳㐵㌵㉦搴扣愱收㘷搴晣慣㥡㌷搵晣〹㌵㝦ㄲ㜵挲㈷搳搹愹〶㑦攷昰㤳㉦晤㘹昷晢愳㙦扣㜹摦挷慦㥢攳ㅦ㜴慦㐱愵㈳挱愴挶ㅣ晤㌴㐸慤㐶挵摢㜲㕢昹㘷㘹慥〰㔳ㄸ㍢㡤摢㡣愱愱攲捥慤晡㜶㍤挵㘵挵㈰扦㡥㔰晡㔰户摢戸搷戴㡢攵搳ㄲ㜷㤷㡦攸慥愸㙤摣㘰㔰㌶㔲慥搸㐵昷戲挵ぢ㈷㍤摤ㄳ㥢ㅢ换㙡㥤㌴㌵㥢〴㕢〹㔷㡥㜷㘵㘳戳攳㝡愹㈲㠶捦㤸㝥昱ㄵつ挵搶㠴㔳㥥㙥㕤㍡敥㠸㔳搵搲愶ㄹつ㐳愸捤换扥㥢㔶改ㄷ昹昳ㅡㄸ㥤㉤扢挲㤶搳ㅢ戴㈶捣挲㐹攱㑣ち㡡㐴㔱㤴㑢㕤捦愲㠰敢〷て摢㔸㈸戸戵㜸㑤㌴搷搸㜳挶〳㌳㡢㈲收㍢㈷ㅣ㙦㘱㑡㥦㉥㠹つ㜵㔵晣㌱㔱戰愹㉥㝢扣㕣愸戸愳㘵摢㜳捡愵晡㤲攱攲扣づ㐹㔳㍣㔸㉥㡡㘴㌲㈱㠵〲〴㙥㐷㠷愲㈴㙥㘹捤ぢㄲㄱㄱㄴ㤳㤱㉦慤㈷扢摣㔱慣づ慢㈸〹搲愴㝡摤ㄲ㥤㜱扥㔲挶挴㜰㘰㘴㑤搴ㅦㅣ昴愶㈵扡慤㘲敥搳慤慣慡晤挱敡昷捣ぢ摢摢愷摢挵㤲㜰㘲戵㥦挲ㄹ㘹扤〰愹㜳㄰〸㉤㜷㡦慡㑥㌹愳㉣愴㑥㥢㐵㙦㌶㍤㉢捣㤹㔹て㜹搰㤰㤹っ户戶改搱㉥㐱㤶戶㤶愰ㅦ㈰㥢㑤愴搷戱㔲㍡㡢㈷㤱愲㜴㡡攱攵㍡㐱捥㜶㜵扣摣㙤㡣㥢㈵㑦昸㐲戹搷〰㐶㝣慤㈶搱搷㐳ㄲ㜵昴㠲慦㌰搶ㄹ愳愰㔲摤戴扤㠵ㅡ摦㌶㜱㠹㑦㐴慢戲㘰挵挹〲㡡㠲㝡㜹㄰挳㙢㈰㥡〶㘹㄰㕦㌹㐲㐴㘴㠳ㄸ捤㡥㥥敢㠹㡣昵㘳㘴〴敡㐷㠹㤰戵户戶㤶ㄱ㈴昶㘶㈲㘵愳㤶晣戸㉡捤ㄶ戳攵㝤㘹戶ㅥㅢ愷㙤㈰搸㐸㜰㈹挱㈶〰攵敦㤰㜰㤴㜲㐸搷㍦摡㘵㜸搷㉥㈷戸〲〰昲㐹愳捣〹㐴ㄵ㙤愸攵搸㤱慣搷〳㍢㔹ㅡ挵扥㈸愲㘵㕣戵㌳㝢㉣㠹攸挰敡㕣ㄹ扡㌶㈹㜵散つ慤㘹㌳扡ㅣ㔲㘴㑣搵攸㕡㤷愸ㅡ摤〸㔶㙤㔳㙦㕤㠵愶摡〰挱搵〰扥㘲愱戱扢㍣㙢㥥收攴㐵㘱ㄲ昹㠶㔰㥢捡㍤㈰㘲㥡晦㌱〲慥改攸戲㙡㍦搳ㄴㅣ㌴㉥㝡晢㜹㑢㙢摥づ㤰摥愰㌳㔷㜵づ㝤㐵攷㘹㐱㕦〳昶㔲晥摡㔲扦㕣㠷㘲敤㝡㠲ㅢ〰ㅡ昴ぢ㑦摥攷敢㈵㤰㈶戱ㄵ挱摣㕡㝡㕣愴㠵㍢戵㌰㈷愴昶改㌶愶㜴㘷㐶㜸昰㕥散ㅦ㠳ㅤ㕣㜶ㅣ㔱挲㠱戶㈸㌳㜸㜶搹㔸㥦改㡥㍢㘵㡢昹慢昶戱㝢㔱㈸㠶㘴㔲敤㐸㌴搸挷㌱㜶㘶挴摦ㄴ愱ㅣ敡摦敤慤㠵㐴愴㔱㍤㜹戱㕤晣搹㜲㔵㤲戴㈱㐹㙥挲戶㙡㌷〳㐰㑡㈸㝦㙥㈹㔱〶㔹㙤㡢慣㔶㙦慤搲扢ㄷ㜳㌲㘹昰ㅦ㌶挹㤱㉥摦㔹㍢〲摦㠱摢㘳㑤㥡㔶㔵㔸㜴㔹ㄳ挲㈹挰慦㘰㤶㐴搶㜷挹㔲搴慣捡㡡㡢㐴㔶㜴㜴㌴㥤愵㘳㝣㙢㤲㑥ㅡ愴㐴㉣户挷ㄶ挶㥣挳㙢㐴㐵ㄷ㈴㠵㑡㡣㕢愸㉡㠱㐸㜹慣扢㉡㘲摡㄰㌱㌹㙣㥣㜶㉢挱㔶㠲㈱㠰搴ㅦ㈰㘹㤶扢昱っ㠵㜵捥搳㥤㥤捦㈷㌲㐴㠳㜴て扥摤㔲㔸敤攰㌰㍢〹㍥〳搰㘰晥搰昹ㄸ㐳㠸ㄲ攵ㄱ㐲愴戵愴ㄹ挷㑤㜱㥡㌴戰挶㐰㔰㘹戴攲㝡㘵㡢㔱愵ㅥ㘳慣㝣愸散㡤㤹敥ㅣ愲㔰晤㐶㤰戸㜷㔶搸愰㉥〷戶㑦㐳㕥㜹㙥㑥ㄴ㌵㘳戲㕣㠱㘸摢㍦戶ㄲづ攵㔸ㅦ㙣㐹㜹㉥㔷ㄵ㍣敤㥤㡤搱㠵㈲㑦挴昰戵搲ㄳ扢㉣捦㌷て㝤扤戵ㅤ㥤㌲扤㤲攸㌲㝣愶㘳㍡㘳㘰ㄷㄱ㌵㈸㜶ㅡ㔳戳㡥㄰㘳㍤挶㕥挷㉣㤶㑣㕢㄰ㄹ戰㌱ㄹ愸㍢㈰㘶㄰㈱㤸㈸㌳晥㔷戶㝢㡣㈹㐷户摤㌹㥤挱挴㠵戵㜵㙦㌲㈴㤲㌲㐶㑣摢挵㌰ㄲ㡢㑣昷ㅡ㤳戳攵搳㠸搶㔶㉣㝢慦㍥攷慥〸慣㤰攸晤㐷愲㐶㔱ㄵ㔵㔵㌲㙡愶㕤晣昰㐰㥥㐸㙣挳㉦㐹㈰㜱㤵㐸搱㕦ㅥ愳扤㘹搷〷昱ㄹ摡改㥣㔳㌷㈲㐷搵捣㡥㔸㈹㑣㑥搵㙥㘷㥢㍢〰敥摥㝢㙣㝦㉤㉡㜷㐱昱敡ㄴ㍤晣㌱㌲㕥㤲㐵㌵〸㐲晦摣ㅡ㥦㔴㤸㐷捡〱〷〲攳㝣㙢㈴扦慣㈱敢㤰晡搶搴㤲攳㠸㈲㜵ㅢ〷昴㘹㔱㐲㉣摡搲扤㌵晥ぢ捤㔸㑢㉦戹㐱搹㘸搹戲㜴㤲ㄶ挹㜲戲愰㤳㠲㠷㉢㕥昹愰㘹㙢〶㠰愴扦㈰㑢㍦㠳㉣晤㡣捣敡㌶㡥㌲㉣㈸搳散慢㍣愳㍢愶㌷㙢㤹㠵っ㕦ㄸ扡㕢ㄱ㌴〹㈶愷攴つ㥦㔰㘶っ㌴㔸昳挷㘰戲戹㌹愰㍢〷㌹捡慤㈳晡㐱戹慡㤲挶ㅦ愵㑤挷ㄲ〴㡣昴㤲㙡㜷愲户㤴扣ㄹ〱㤱㈳㥦㜳攱晤㡢㜳㕦㐵㡥敦㤷㈳搶㘳㐸〴ㅥ挱㠸㤰愷㝢㍢㙤ㅣ戳㑤て搸㈳挶挶㑤㙦捣〵捡〱㤰㤴挷摢捤ㄲ慢㤱㐶㠳㔵慤㜰㔵㜳㔱㥤㥡戸戲戹㍣慡㌷慥㕢愴搸搷㈸ㄱ㐵戲㔴㈵愹㔹ㄶ㤹攳㑡㔲㌵㡡㔴摣愱戶㔱攲摣愶戵㝤愷ㄴ戹〰挵㈴㘹㈶愱敤㤲㠴㠲㈰㉦愹〳㍡㡡晥晡㜸昲㠸㐴㙢㘸〳㘴愹愷晣扣㥥㈰ㅣ戸ㅦ㔷㑥㡡㈲ㅢ扣㠱扦搷〴挹挳ㄵ慦慥㐴㍦搳ㅦ㤴っ㤷㑡㠷㙤㔸〹〵摤㈹慥㄰㤶挶摡㝣つ㈳戹戳㕤敤敦㙦㙦㠴ㄱ〳㌶㘴㐸㈴挶てっ㌶〴㜳㐵愲愹戴捥㝡戸搵搵散っ摦づち摤㤶ㄸ㤸昴㡡㘳㘲㕥㥡㘱㌵㑢扥㕦㌶愸㥥ㄶ愵ㅣ搵㡣攱㘹ㄷ㉡摤愳ㅣて㔲㤲挱㌵攳㈸摤㔲戸挰〰戱ㅢ愴㈶ちㅥ挲扡搵づ㜸㌲㔸㌹搸挱㡥昸㘱ㄳ㕡㘷㤴愰改ㄸ挲慤㕦〴㜹愷㑤㡣㐲㤰ㅡ昲昹搷㙥攵搹㘷昸晣㘲㜷㈲㑣〴㑣挴㔰㔷㡣昵〰攴㐶愳㤲攴愲晥㌰㔸敥㑢㌶㈹戴扡挳㍣㥡ㄸ㍤㌴昹ㅣて㌷㜸ㄸ挷敡㈵摢㤴㜰挷捤㌳愱㑤㑢ぢ㙢㡣晤㜶愱㔴㈹ち愹㡡㐳㔹㉤㌵昲㡡挰㤷扣晥攷㜳㔳捣扥〴㥢戲ㅦ㐷㈹㉥㤹㐸㙡摦敥搶㍥㡦收㔲挸愱て㕦戶㌱昸ㄸ攳㤶㤳挱戰愶㍢ち戴て搷搶㉥㉦挸㡢㜳㄰㘹㑤㔹㤴㘵〷㜰ㄷ慦ㅡ㐱㤶摣ㄶ愹㜶愰㝣愰㑣㥢㍤㤲戵捦昴戳㔶〴㡥戰㑥㕦攰愵搳㌰㐶摡攴づ㜶㤲㌸ㄷ㐴㜶捦㝤㔵扥㈶捥敤づ㡣て㠵昱㕤㥥㠲ㄲ搸㔵㌰ㄲつ㙥戵㘶㜵㉢㡣晣搲昲搶敥〲㔰ㄸ〲愶㐱㡢㥡扥㠱㌳㠲昴搲〶づ㠳㤱㌱搱搱㘸㈰㤵㌱捡㝥㌸散㠱㌴㜰ㄳて搲㔳㘵㈸㈱㙦㥤扣ㄴㄶ摥㑢ㅣ戴㜰〴㉡㍢ㅢㅡ㌲㈷㜴て㔷㕦散㑤つ搹挳挵㈲捤㕤昸攷㔶〴㔶㜱㙤挳㌷㐷搷㌵㕣挸㤲㙢愲㝤㜷㙤㐳㐱㜰㔱㜰摢㔸㙥㥦敥ㄵ㘶㈷扤〵晦搲㔶扢㈴㤱晡ㄵ晣ㄱ㡢㡥㑥㥢㌹㘹昳ㄲ敡㍣昷㍥㝢搲㉥㥦戶攵扣㔲㉥㙦晣搱㡡搵㍡㍢㌹挹㙣攲㘳晣㤱㡦㥡㐸扤㠹ㅥ㤷㌳㙤㜶㔰㜳㤰戰ㅦ昹昸搲㘰〰改ㄸ㍡㠱敤㕥扤㌱㐰㍡㔹搷㐰㈷㔲㄰慣ㄲ㡡㍤昳㠹ㄱ㡡昲〶搰㑡㘲昱㡦攴搸昳ㄷ挱晡捡敢挸㈱挲昱ㅥ㠸㤱搴搵㐸挵愰㑥ち昲攰㝡〷㉦㠳晣晦㘰㈹攴收㐵搹改扦挰捣捡㙢㡤㈸扡㤲㈸㝡戵ㄹ㐵っ挴㥥㔷挸㥢戳㕦㍤㙡㝥敡搷㝡晦㠷㐷捤扢㠱㘱㍥搲ㅡ㐳㔰㡤挱昸慡㌱搰搱㘴っ㕣㡦㘲㘹っ摣挳㌶㡣搷晢挶㐰攰敤㌸㠸㡣愵㡤〱㐶昱㘲㑣扥㐸㔰㌵攲挰攰㔹㙢㠳㐵㑦搸㍥㕣慦ㄵ㉥㈲昷㔰㑦敥㈸㝣㑦ㅢ㥢戳㈷㜴㐷户㌶挹晣扤㡥㠰摡㜲愶㜰㕦㕢㌶㘱㡢捤㡢㤶挸㐶㡢㜸㈵㐲㝦晡慡攷㘴㜹户搴㠱㈹晦昱ㅤ昵㑡㐶㐹㕦㠰㑦㐴攱〹㈱昱愵㜵㉦敤晤摢挳㡦敤收扤戴㠰㔶㔳っ〴户ㄳ㥣愷攵㠰昰㙤攴㑡挸㝡㝥㝥㜳㄰ㅦ㈲㤹㜳㈵㌱愲㍢搲摥㜱㌵㉢㑣晡㠴ㄷ㈱㑣㥦昸㔶㠲㌱㠹ㅢづ扥㌱㤹㙢㜰㙣捡捦㤷愴㌳㌰ㄷ㤹戸昴摥㠵〱㐲愵愵捡㙡搳慥㑣晤ㄲ㑡攷㍣㈷㔲㙦て昲㝣挹㐷㔱㕥㙥搴㙡㍢愹搵愴㤹愸っ愲㐶㈸愵㄰㘹㈰㠵㐴㡦㉣っ晤㑢㈹㌵㠱㐴㉡〷㄰ㄳ㐳㙢っ收昲攴扦㉡〴㐴昵㝡㕦㥢㥦慡㘰ㄷ㠱挵搰敢摥敥搹㤵㔶㘷愸㥡ㄸ㤴㤵愷㡦㈳㐸挸㘳ち㌳ㄸ愵㤵戹㐷㤱〸㥦搴㄰㔲换㜶㍣㜱㤰ㅥ换て戱昹㡣㥤戲攸㔵换㕡㝢散ち敥㜸㐰捦愴愵挲戰搷㌲ㅢ㐷㑦ㄹ㡤昳慢㘶晤㉣挲㕥㍦㔹㙤搴ㄵㄴ㐱㘷搹㥢㜰晥㐴㤸㡦摦〳戱㝣戰搶昵晡挶ㄲ敡㌸扢ㄳぢ攴て昶搷㤵㌱㡣㡤㔱挹㌱㤰戰换慡㤵昱㉦㠱㑦愲㠹戴攷ㄵ慤㤶攴㔸㡡挲㘸㜴挸㔹ㅤ㙡㤳晥㘷㥣㕡㜲搶ㄴ㙢㌳㘰㕤愷晦㡦㈳㘳㐹晤慦㌰捡㈶㔱㜶㙦㤰攰㑢㡡㤱㤲㈵㠳㌳摣ㄱ昸戰ㄱ愶㤱㐷㘰㑤㈶ㄹ摣昶㔳㤳昸㐴搵㉦㤶ㄲㅣㅥ慥㘴攳㈵㠸㙡㕢摡戶㕤㉤〵㈰愳㐰愹㥦㐳〴戵㙣捦㐹㌷㥦㘳搳昷㈳㝢摤㐱戳攰㤴摤戲攱つ㑣㈲扣㍢挰㉦捣っ搸㍣挳捡㡢㡤㐲敤㕡散㐴昷〳㘸㜳攸㌰〴昶㈱攱㝤㔲㔱㐷挶㄰㤶ㄷ戳攰搷㐶㝤㤱㐰ㄲ戵㠳㝢㠹㜱愴愲㤷昰㠱敡㘱㜸㌵㍤㘶慤〸㘵攷晢㤶ㅢ敦㘲㜰敢㜰ㅢ敢ㅥ㜸㝥㐴㈹㠷㌰㤸㕣挲〳て㜲㕦ㅢ昷愰扥㙥戰㌶㤷㌵摢昳慥㘵㔳㍦〳㑥㤷㌷㑡㍤挹㜰㑣㝥㜷㥣搵ㅥ㈴㐴㥣㠷摥搱攵扢㘲搹㕢㍦攸㍣昸㙣㥢㉥慦挱ㄲㅣ㘵换㠸㜳㝦ㄱ㑤㤵扢〸昰搳昲㐱㠲㉦ち晤㜹㜷㌲昱㍣㤶㐵〶㐰㍡㤱搶〱㕡㔳昵㑦ㄶ愳㙡㠵㐷ぢ㔲㘱㔶昹㌱捡戹㑢晥㙡㡢捣挳㔱㐳ㅥ㈱㤰搶愲㤲㕢攱ㄱ㐲㡥晦㉣ㅡ㔴挷㥦㐱㙥敢昱㝦戸攸昸㔴晥㜲㝤搱晥晢㐲攵愱㥤攰搰㈷〹㑡〴ㄶ㐰㕦㔸戳㤷㘲㤱戲㈶敤〷ㄱ㕥摢㡤㌴㥥㍦〶晦扥扢晢敤户昸晣㜳户㈲〵㈱㡡敡㔷㐱㐱㈸㔷昱㔴㜴ㄵ㜳挸㙤扤㡡敦㉤戶㡡㍥捡㐸捥㐴㜳〰㝡㍡ㄴ搲㡡㕣㤵㡢〴㌷㤴㍦㐵㈲ㄴ㠹扡㔹昴ㄱ戱戲㙤〵〹戴攵捥换戶昳㐸㠴㙤㔳摣㠸㤸㑦㜸愴㝤挴㉢㡦昴摡愴㝤户㙢摡搷㡡ㄹ㉢昰户慥〸搹㠰㈵昱㥢搸㤶㈲㍤摤㘶㉣㕦㜹㌲㐴捣扥㝤攱昷㔱㙡㄰㕤〲㘱昸ㄶ㈹〹㠹ㅢ愹㝣㌳慣晣昲㉢㌵攷㈸ち昰㠰㝡晣捡㈴㌸㔹昹㠹戰昲㌶㝣㝢㈵敢㈴㜸㔷㠰捦扢㘱㘵ㄲ愶慣晣㜸㔸昹ㅦ摢㌶㔵㉢㠷㜴攸昷㥣㈲㤱挴搸扡搲晡㡦㝣㠷捤㐳㜵捡愰晥散㌲晣㙣㑡㑥ㄹ㈴㉥㐹つ摡㡤㙢ㅦづ扥㠴㍥㠰㕢㑣戸散〱㈱敢晦㠷〸晢㜱扢㘹㑣昷㜴㝣攸㍣㡦戰戲愳挹㌷㌶㑥ㅢ㠷ㅤ㘴㜴ㅡ晢㕤㥣愹㡡㉢㡡㐴㘰づ㈴晤晤㕤挲晤ㅥ㘳㍡搶昶㈳っ㠷愹扣㉤搲㥥昲㤰㈱㤴愴昲㔸㠸搹挴搹ㅡ捤㘸㕦〶㜲㈰㈶〱㤹搰扥〲攸㠷㕣搶㌱愳㡦晣㉦㤹晢㉣ㄲ摡愳〴㕦〳挸㉡㘴㜶搲㐱晡敢〰扤攱㝦㐷㌱㌰㉦晤㈵慡昲㐸㌸㔸㤴㡣戴㙦戰挱攳〰ㅤ㜰搴㉡〱ㄱ㘶戵㈷㤰ㄳㅤ㤴㠲㐳づ晡㈴ぢ扥㐵昰㙤㠰㙣㡡㤳㕤昶慥㜱㑤㙤㙡慥敦愰愹挲慤㤰㜲散扢㐱㠲㉦愹戳〰㜷戶戶㤵㜹ㄴづ㍦摦㐷㔰戳敥㍢晤㍤昸敥㝥㠱㡢敥挰㝦㍢㤲㤲㠶㝤㔲晤㙣㝢㝤㤱〹㘸㤳换㥦㠳捤扥㠰㝥戸慥㥡㡤挹ㅥ㍦㠷㕦㐶㑤㉢㡦攲摦戳昸㈹愷㌰〲㐷愱愶捤挰捤㐲ㅡ㤰〵㜳㐱〱㔵㤶昶ㄴ㠰㐲ㅣㄳ㑦摡搳㝣㈳㙡搹扦昶晤㈰挱ㄷ㠵㜸㍤换㐴㈹㘸ㅥづ㐸㕣换㠲㤳つ〳ㄲ晦戲攰㐴㜴挰ㅦ㈰㔷㤱挸㐲愲㕥㉢ㄱ㘹㐹收㍥〳搰搳搱换戹㔱换愹㘷㤴挲㐳挵㠷ㅥ晡戰㌷㌹戰㌹㜹摦㕤摤捦扣晢晢昷㥥㝥攷ぢ扢㍥昸攸戹攷摥㜹晦改户㍥㝡㜳㝡搷㙦㕦㜸攱㌷㜷晦昴慤昷搶ㅡ捦慢慦㝣㜸攰昹㐷㠶㑥㍥㜲捡㌸㜶换摥㐷敥㍦㜱㘴㘸攲㤲挱㡥㡥捥捥ㅢ晢㝦㜷改㑤㝤㘷㑦扤慡晣晡㉦ㅢ㙤㐵㉥㤷〳ㅥ〵〸㥦㍥㉥㕢㑥攳㐷㐸㘰ㅡ㥣昱愷㍡つ㉥昷㉣㝥㑡㌱搸愸ㄱ扣㘴攰搳攰〴㘴㐱愱扥愰敢㍦捥㜹戳ㄹ</t>
  </si>
  <si>
    <t>㜸〱敤㕣㕢㙣ㅣ㔷ㄹ摥ㄹ敦慥㜷搶㜶散挶戹㌴扤扡昷㡢愳㙤㥣ぢ㙤㈹㈱昵㈵户㌶ㄷ㈷㜶㔲慡㔲戶攳摤㌳昶㈴㌳戳敥捣慣ㄳ㤷〲㈹㤴㤶ㄶ㄰㙡㜹㠰㤶〲㔵㠵㉡㜸㐱㉡ㄲ㔵ぢ攵〱〹〹㠴㕡挴㐳㠵挴〳㔲愹㄰㍣㠰㔰㄰㉦㝤愸㔴扥敦捣捣敥散慥㜷散㙣㕢㜰㤱㈷搹㍦㘷捥晤㥣晦㝡晥晦㑣㔲㑡㉡㤵㝡てて晦攵㤳㘶攲戲愹㐵捦ㄷ㜶㘱扣㘲㔹愲攴㥢ㄵ挷㉢㡣扡慥扥㜸挸昴晣㉥㔴挸ㄶ㑤㤴㝢㤹愲㘷㍥㈴㜲挵〵攱㝡愸㤴㐹愵㜲㌹㑤㐵㌹㍢攱㙦㈰㝡搱搸慡㌷つ㌰㍤㍥㜶㜴收ㄴ㝡㥤昲㉢慥搸㍡㜴㌲㘸扢㝢㘴愴㌰㔲搸戹㘳晢㡥挲戶慤㐳攳㔵换慦扡㘲户㈳慡扥慢㕢㕢㠷㈶慢㌳㤶㔹扡㕢㉣㑥㔷㑥ぢ㘷户㤸搹戶㘳㐶摦㜹摢挸捥㕤扢㡣摢㙦扦慤ㄷ㐳愷㡥㡣㡦㑤扡挲昰㍥愰㍥㌳㥣昲捥〹㔱㌲戹㌶㈱㕣搳㤹㉤㡣㡦攱㙦㙣晥㜸扢戵㌰㌵㈷㠴捦愱㠵㉢㥣㤲昰㌴㌴散戱㐷㍤慦㙡捦㜳昳㌴㝢ㅦ㤶㕡搲㍤㍦㘳㡦ぢ换搲散愸搷㥣㝤ㄴ㝢㘷改㡢扤昶㤴㜰㍣搳㌷ㄷ㑣㝦㌱㙢㑦愳愳㜲㥦㝤挲ㄳ挷㜵㘷㔶ㅣ搱㙤㤱戱昷㔷捤㜲㍡㜸㔲㕤㌷㐴㕤挴㈷㈶㤷㕦ㄸ昵散昱㌹摤㤵㌳昲戸㌱〹㜵昷戹愵挶扡搷戴敦㤷㔳㤷㈳戰捦敢摡搷㐳挹㐹摤慤搵ㅣ㙥㕦㌳㕣㝣攳っ㙥㘹㕦㍦戶㐷㡤㙤㙥㙡摦㐶㙥㘵㘳㙤愵㈷愴㙦戹愳㔸㡣㤶㈵攸㈶挸ㄱ㄰㠱㕡㥥愰㠷愰ㄷ㐰㐹晦ㅢ㕣ㄲ㙦挸㈲戵愸慢挵ㄹ戵㔸㔲㡢㘵戵㈸搴愲愱ㄶ㘷搵攲㥣㕡㌴搵攲㈹戵㜸ㅡ㜵愲㈷搷摤慤㠶㡦㜵敢㑦㝢戶㙣扤㜷攲攵㙤晦扡戴扣改㐹愵㜷ㅤ㉡ㅤぢ㈷㌵攱敡㘷㐰㙡㜵㉡摥㕥搸挶㍦换㜳〵㤸挲搸㘵摣㙡㡣㡣㤴㜷㙤搳㜷攸ㄹ㉥㉢〱昹つ㠴㌲㠰扡扤挶㍤愶㔳慥㥣㤱戸扢㙣㑣昷㐴㝤攳㠶挳戲戱㑡搵㈹㝢㤷㉥㕤㌸攵敢扥戸愴戹慣摥㐹㑢戳㈹戰㤵昰攴㜸㔷㌴㌷㍢愹㕢㔵㌱㝡搶っ㡡㉦㙦㉡戶㈷摤捡㑣晢搲㝤慥㜸戰㔶摡㌲愳㔱〸戵〵搹㜷换㉡㠳愲㘰㕥㐳攳㜳ㄵ㑦㌸㜲㝡挳昶愴㔹㍡㉤摣㈹㐱㤱㈸捡㜲愹ㅢ㔹ㄴ㜲晤昰㔱〷ぢ〵户㤶慦㡥攷ㅡ㝢捦晡㘰㘶㔱挶㝣攷㠵敢㉦㑥敢㌳㤶搸搴㔰㈵ㄸㄳ〵㕢ㅡ戲昷㔵㑡㔵㙦扣攲昸㙥挵㙡㉣ㄹ㉤㉦攸㤰㌴攵挳㤵戲㐸愷㔳㔲㈸㐰攰㜶㜵㈹㑡敡收昶扣㈰ㄱㄱ㐳㌱ㄹ昹攲㐶戲㉢ㅣ挷敡戰ち㑢㤰㈶搵㙢㤷改㡣昳㤵㌲㈶㠱〳㘳㙢愲晥攰愰㌷㉥搳㙤つ㜳ㅦ㙥㘵㔵ㅤっ㔷扦㜷㐱㌸晥〱摤㈹㕢挲㑤搴㝥ち㘷愴昵〳㘴捥㐳㈰戴摤㍤慡㍡攵慣戲㤸㌹㘳㤶晤戹散㥣㌰㘷攷㝣攴㐱㐳收㜲摣摡㤶㐷扢〸㔹摡㝡㠲㐱㠰㝣㍥㤵摤挰㑡搹㍣㥥㔴㠶搲㈹㠱㤷ㅢ〴㌹摢㌵昰㜲慦戱捦戴㝣ㄱ〸攵㝥〳ㄸ〹戴㥡㐴㕦ㅦ㐹搴搵㑢㠱挲搸㘰㡣㠳㑡㜵搳昱ㄷ敢㝣摢挲㈵〱ㄱ慤挹㠲㔵㈷ぢ㈸ちㅡ攵㐱〲慦㠱㘸㥡愴㐱㜲攵ㄸㄱ㤱つㄲ㌴㍢㝡㙥㈴㌲搶㑦㤰ㄱ愸ㅦ㈷㐲搶摥搶㕥㐶㤰搸㕢㠹㤴㡤摡昲攳㥡㌴㕢捡㤶て愴搹㐶㙣㥣戶㠹㘰㌳挱挵〴㕢〰㤴扦㐲挲㔱捡㈱摤昸㘸㤷攲㕤扢㡣攰㜲〰挸㈷㡤㌲㈷ㄴ㔵戴愱㔶㘲㐷戲㕥ㅦ散㘴㘹ㄴ〷愲㠸㤶㜱捤捥散戳㈵愲㐳慢㜳㜵攸摡戴搴戱搷户愷捤昸㜲㐸㤱〹㔵攳㙢㕤愶㙡㝣㈳㔸戵㐳扤㜵㈵㥡㙡㐳〴㔷〱〴㡡㠵挶敥捡慣㜹㥡㤳ㅦ〹㤳㈸㌰㠴㍡㔴敥㈱ㄱ搳晣㑦㄰㜰㉤㐷㤷㌵晢㤹愶攰戰昱㤱户㥦户戶攷敤㄰改㑤㍡㜳㑤攷搰㔷㜴㠱ㄶ昴搵㘰㉦攵㑦㙤昵换戵㈸搶慥㈳戸ㅥ愰㐹扦昰攴㝤愱㕥〲㘹ㄲ摢㌱捣慤愷挷㐵㕡戸搳㡢昳㐲㙡㥦㕥㘳㕡㜷㘷㠵て敦挵挱〹搸挱ㄵ搷ㄵㄶづ戴㘵㤹挱戳换收挶㑣㙦㥦㕢戱㤹扦㘶ㅦ㝢ㅦ〹挵㤰㑥慢㕤愹㈶晢㌸挱捥㡣昹㥢㘲㤴㐳晤扢愳扤㤰㠸㌵㙡㈴㉦戶㑢㍥㕢慥㐹㤲づ㈴挹㡤搸㔶敤㈶〰㐸〹攵て㙤㈵捡㌰慢㙤㤵搵ㅡ慤㔵㝡昷ㄲ㑥㈶㑤晥挳ㄶ㌹搲ㄳ㌸㙢挷攰㍢昰晡散㈹搳慥〹㡢ㅥ㝢㔲戸㈵昸ㄵ㑣㑢攴〳㤷㉣㐵捤㥡慣昸㠸挸㡡慥慥㤶戳㜴㠲㙦㑤搲㐹㤳㤴㐸攴昶挴挲㠴㜳㜸㥤愸攸㠲愴㔰㐹㜰ぢ搵㈴㄰㈹㡦㜵搷㐴㑣〷㈲愶㠰㡤搳㙥㈱搸㐶㌰〲㤰昹ㅤ㈴捤㑡㌷㥥愱戰敥〵扡戳㡢挵㔴㡥㘸㤰敥挱㌷摡ち慢㥤ㅣ㘶ㄷ挱挷〰㥡捣ㅦ㍡ㅦㄳ〸㔱愲㍣㐶㠸戴㤶㌴攳愴㈹捥㤰〶搶ㄹ〸㉡㡤㔷㍤扦㘲㌳慡搴㘷㑣㔴㡥㔴晣〹搳㥢㐷ㄴ㙡搰〸ㄳ昷捣〹〷搴攵挲昶㘹捡慢捣捦㡢戲㘶㑣㔵慡㄰㙤〷㈷㔶挳愱ㅣ敢㠳㉤㈹捦攵慡㠲愷戳戳㌱扡㔰攴㠹ㄸ扥㔶㝡㘲㔷攴昹收愱慦扦扥愳搳愶㙦㠹ㅥ㈳㘰㍡愶㜳〶㜶ㄱ㔱㠳㜲户㌱㍤攷ち㌱搱㘷散㜷捤戲㘵㍡㠲挸㠰㡤挹㐰摤㈱㌱㡢〸挱㘴㠵昱扦㡡搳㘷㑣扢扡攳捤敢っ㈶㉥慥㙦㜸㤳㈱㤱㡣㌱㘶㍡ㅥ㠶㤱㔸㘴扡摦㤸㥡慢㥣㐱戴戶㙡㍢晢昵㜹㙦㔵㘰㠵㐴ㅦ㍣ㄲ㌵㡡慡愸慡㤲㔳㜳㥤攲㠷〷昲㔴㙡㍢㝥㘹〲㠹慢㔴㠶晥昲〴敤㑤扢㍥㡣捦搰㑥攷㥣㝡ㄱ㌹慡㘵㜶㈵㑡㘱㜲慡㜶ㅢ摢摣づ㜰搷晥ㄳ〷敢㔱戹昷ㄵ慦捥搰挳㥦㈰攳㈵㔹搴㠲㈰昴捦慤ぢ㐸㠵㜹愴ㅣ㜰㈰㌰捥户㘶昲换ㅢ戲づ愹㙦㕤㍤戹て㔱愴㕥攳㤰㍥㈳㉣挴愲㙤摤㕦ㄷ扣搰㡣戵㜵换ぢ换挶㉢戶慤㤳戴㐸㤶㔳㈵㥤ㄴ㍣㕡昵㉢㠷㑤㐷㌳〰㈴晤㠵㔹晡㔹㘴改㘷㘵㔶慦㜱㥣㘱㐱㤹㘶㕦㤵㔹摤㌵晤㌹摢㉣攵昸挲搰摤慡愰㐹㌰㌹㈵㙦昴㐴㌲㘳愸挹㥡㍦〱㤳捤㉢〰摤〵挸㔱㙥ㅤ搱て捡㔵㤵㉣晥㈸ㅤ㍡㤶㈰㘰愴㤷㔴扢〳扤㘵攴捤〸㠸ㅣ昹㥣㡦敥㕦㥣晦〲㜲〲扦ㅣ戱㥥㐰㈲昰〸挶㠴㍣摤摢㔹攳㠴㘳晡挰ㅥ㌱戶捦昴㈷㍣愰ㅣ〰㐹㜹扣扤㐴㘲㌵搶㘸戸愶ㄵ慥㙣㉤㙡㔰ㄳ㔷戴㤶挷昵挶戵㑢ㄴ〷ㅡ㈵愶㐸㤶慢㈴㌵换ㄲ㜳㕣㑤慡㐶㤱㡡㍢搲㌶㑡㤲摢戴扥敦㤴㈲敦㐳㌱㐹㥡㐹㘹扢㈵愱㈰挸㑢敡㠰㡥愲扦㍥㤹㍣㘲搱ㅡ摡〰㜹敡愹㈰慦㉦っ〷ㅥ挴㤵㤳戲挸㠷㙦攰敦㜵㘱昲㘸搵㙦㈸搱捦づ㠶㈵愳㤶㜵搴㠱㤵㔰搲摤昲㉡㘱㘹慣㉤搰㌰㤲㍢㍢搵晥挱昶挶ㄸ㌱㘴㐳㠶㐴ㄲ晣挰㘰㐳㌰㔷㉣㥡㑡敢慣㡦㕢㕤换捥昱敤戰搰ㅤ㠹㠱㈹扦㍣㈱ㄶ愴ㄹ㔶户攴〷㘵㠳摡㘹㔱捡㔱捤ㄸ㥤昱愰搲㝤捡昱㌰㈵ㄹ㕣㌳㡥搳㉤㠵ぢっ㄰扢㘱㙡戲攴㈳慣㕢敢㠰㈷㠳搵㠳ㅤ散㐸㄰㌶愱㜵㐶〹㥡㑤㈰摣挶㐵㤰㜷㍡挴㈸〴愹㈱㥦㝦敥㔱㥥㝤㠶捦㡦昶愴愲㐴挸㐴っ㜵㈵㔸て㐰㙥㍣㉡㐹㉥ㅡ㡣㠲攵㠱㘴㤳㐲慢㌷捡愳㠹搱㐷㤳捦昵㜱㠳㠷㜱慣㝥戲㡤㠵㍢㙥扥〹㙤㙡㉤慥㌳づ㍡㈵慢㕡ㄶ㔲ㄵ㐷戲㕡㙡攴㔵㠱㉦㜹晤㉦攰愶㠴㝤〹㌷攵㈰㡥㔲㕣㌲㤱搴戹摤慤㝤ㄲ捤愵㤰㐳ㅦ㠱㙣㘳昰㌱挱㉤㈷㠳㘱㉤㜷ㄴ㘸ㅦ慥慦㕦㕥㤰ㄷ攷㈰搲㕡戲㈸换づ攱㉥㕥㉤㠲㉣戹㉤㔶敤㔰攵㔰㠵㌶㝢㉣敢㠰ㄹ㘴慤ちㅣ㘱㥤㠱挰换㘶㘱㡣㜴挸ㅤ散㈴㜵㍥㡣散㥥晦㠲㝣㑤㥤摦ㄳㅡㅦち攳扢㍣〵愵戰慢㘰㈴ㅡ摣㙡摤敡㔶ㄸ昹愵攵慤摤〹愰㌰〴㑣㠳ㄶ㌵〳〳㘷っ改攵つㅣ〶㈳ㄳ愲愳昱㐰㉡㘳㤴㠳㜰搸〳㘹攰㈶ㅥ愴愷㉢㔰㐲晥〶㜹㈹㉣扡㤷㌸㙣攳〸㔴㜱㌷㌵㘵㑥敡㍥慥扥㌸㕢㥡戲㐷换㘵㥡扢昰捦慤ち慣攲摡㐶㘰㡥㙥㘸扡㤰㈵搷㐴晢敥㥡愶㠲昰愲攰昶㠹挲〱摤㉦捤㑤昹㡢挱愵慤㑥㐹㈲昳ぢ昸㈳㤶ㅣ㥤㌶㜳摡攱㈵搴〵敥㝤晥戴㔳㌹攳挸㜹㘵㍣摥昸愳ㄵ慢㜵㜷㜳㤲昹搴㝢昸㈳ㅦ㌵㤵㜹つ㍤慥㘴摡散愰敥㈰㘱㍦昲〹愴挱㄰搲〹㜴〲摢扤㜶㘳㠰㜴戲愱㠹㑥愴㈰㔸㈳ㄴ㘷昶〳㈳ㄴ攵攷㐰㉢㠹㈵㌸㤲㘳捦㕦〴敢㉢㍦㐳づㄱ㡥昷㔰㡣㘴慥㐲㉡〱㜵㔲㤰㠷搷㍢㜸ㄹ攴晦〷㑢ㄱ㌷㉦挹㑥晦〵㘶㔶㕥㙤㐶搱ㄵ㐴搱㉢慤㈸㘲㈰昶㠲㐲摥㥣晤摡㔱昳㐳扦搶晢㍦㍣㙡摥〵っ昳㤱搶ㄸ㠲㙡っ挶搷㡣㠱慥ㄶ㘳攰㍡ㄴ㑢㘳攰㙥戶㘱扣㍥㌰〶㐲㙦挷㘱㘴㉣㙦っ㌰㡡㤷㘰昲挵㠲慡㌱〷〶捦㕡㥢㙣㝡挲づ攰㝡慤昰㄰戹㠷㝡昲挶攱㝢摡摣㥡㍤愹扢扡扤㐵收敦㜷〵搴㤶㍢㡤晢摡戲〹㕢㕣戲㘴㠹㙣戴㠴㔷㈲昲愷慦㜹㑥㔶㜶㑢ㅤ㤸ち㥥挰㔱慦攴㤴散晢昰㠹㈸㍣㈱愴㍥扢攱挷晢晦晣搰愳㝢㜸㉦㉤愴搵っ〳挱㥤〴攷㘹㌹㈰㝣ㅢ扢ㄲ戲㤱㥦摦ㅣ挶㠷㐸收扣㈵挶㜴㔷摡㍢㥥㘶㐷挹㠰昰㘲㠴ㄹ㄰摦㙡㌰㈶㜱挳㈱㌰㈶ぢ㑤㡥㑤昹昹㤲㜴〶ㄶ㘲ㄳ㤷摥扢㈸㐰愸戴㔵㔹ㅤ摡㤵㤹㥦㐰改㕣攰㐴ㅡ敤㐱㥥㉦昹㈸捡㑢捤㕡㙤ㄷ戵㥡㌴ㄳ㤵㘱搴㠸愴ㄴ㈲つ愴㤰昸㤱㠵愱㝦㈹愵㈶㤱挸ㄴ〰ㄲ㘲㘸捤挱㕣㥥晣搷㠴㠰愸㕤敦敢昰㔳ㄵ散㈲戰ㄸ㜹摤㍢㍤扢搲敡㡣㔴ㄳ㠳戲昲昴㜱っ〹㜹㑣㘱〶愳戴㌲昷㌸ㄲ搱㤳ㄹ㐱㙡挵㡥㈷づ搲㘷〷㈱戶㠰戱㌳㌶扤㙡㜹㝢慦㔳挵ㅤて攸㤹慣㔴ㄸ捥㝡㘶攳攸㈹愳㜱㐱搵㝣㤰㐵搸ㅦ㈴㙢㡤㝡挲㈲攸㉣㘷ぢ捥㥦〸昳昱㝢㈰㤶て搷扢摥搸㕣㐲ㅤ攷㜴㘳㠱晣挱晥扡㈲㠱戱㌱㉡㌹〶ㄲ㜶㐵戵㜲挱㈵昰㈹㌴㤱昶扣愲搵㤳ㅣ㑢㔱ㄸ㡤㡥㌸慢㑢㙤搱晦㡣㔳㑢捥㥡㘶㙤〶慣ㅢ昴晦㐹㘴㉣慢晦ㄵ㐶搹㈴捡敥〹ㄳ㝣挹㌰㔲戲㙣㜰㠶㍢〲ㅦ㌶挲㌴昲〸慣挹㈴㠳摢㐱㙡ち㥦愸〶挵㔲㠲挳挳㤵㙥扥〴㔱㙢㑢摢戶愷慤〰㘴ㄴ㈸昳㐳㠸愰戶敤㌹改搶㜳㙣昶㕥㘴㙦㌸㙣㤶摣㡡㔷㌱晣愱㈹㠴㜷㠷昸㠵㤹〱㥢㘷㔴㜹戱㔹愸㕤㠳㥤攸扤て㙤㡥ㅣ㠵挰㍥㈲晣て㉡敡挸ㄸ挲捡㘲ㄶ晣摡㘸㈰ㄶ㐸愲㜶昰㉥㌲㡥㔵㜵ぢㅦ愸ㅥ㠵㔷搳㘷搶慡㔰㜶㠱㙦戹昹㉥〶户づ户戱敥㠶攷㐷㔸〵㠴挱攴ㄲ敥扢㥦晢摡扣〷㡤㜵挳戵㜹慣搹㤹㜷㉤㥦昹〱㜰扡戲㔱ㅡ㐹㠶㘳昲扢攳扣㜶㍦㈱攲㍣昴㡥慥摣ㄵ换摥〶㐱攷攱㘷摢㜴㜹つ㕢㜰㤴慤㈰捥晤ㄹ㌴㔵敥㈴挰㑦㉢㠶〹扥㈸昴攷摤挱挴昳㔸ㄶㄹ〰改㔴㔶〷㘸㑦搵摦㕢㡡慡ㄵㅥ㉤㐸㠵㜹攵扢㈸攷㉥〵慢㉤㌳て㐷つ㜹㠴㐰㕡㡢㑢㙥㠵㐷〸㌹晥戳㘸㔰ㅢ㝦ㄶ戹敤挷晦昶㤲攳㔳昹换昵挵晢ㅦ㠸㤴㠷㜶㡡㐳㥦㈶戰〸㙣㠰㠱愸㘶㍦挵㈲㘵㑤㌶〸㈲扣扡〷㘹㍣扦て晦㝤㙢捦ㅢ慦昳昹挷ㅥ㐵ち㐲ㄴ㌵慥㠲㠲㔰慥攲愹昸㉡收㤱摢㝥ㄵ摦㔸㙡ㄵ〳㤴㤱㥣㠹收〲昴㜵㈹愴ㄵ戹㉡て〹㙥㈸㝦㡡㐴㈸ㄲつ戳ㄸ㈰㘲㘵摢㉡ㄲ㘸换㥤㤷㙤ㄷ㤰㠸摡㘶戸ㄱ〹㥦昰㐸晢㠸㔷ㅥ改戵挹〶㙥搷㙣愰ㄵ㜳㜶攸㙦㕤ㄵ戲〱㑢攲㌷戱㙤㐵㝡戶挳㔸扥昲㐴㠴㤸〳〷愲敦愳搴㌰扡〴挲〸㉣㔲ㄲㄲ㌷㔲昹㑡㔴昹愵㤷敢捥㔱ㄴ攰〱昵〴㤵㐹㜰戲昲攳㔱攵敤昸昶㑡搶㐹昱慥〰㥦户愲捡㈴㑣㔹昹戱愸昲摦户㙦愹㔵㡥攸㌰攸㌹㐳㈲㐹戰㜵愵昵ㅦ晢づ㥢㠷敡㡣㐱晤搹㘳〴搹㤴㥣㌲㐸㙣㐹つ摡㡢㙢ㅦ㉥扥㠴㍥㠴㕢㑣戸散〱㈱ㅢ晣㠷〸〷㜱扢㘹㐲昷㜵㝣攸扣㠰戰戲慢挹㌷㌶捥ㅡ㐷㕤㘴㜴ㅢ〷㍤㥣愹捡慢㡡㐴㘰づ愴㠳晤㕤挶晤㥥㘰㍡搶昷㈳ち㠷愹扣㉤搲㤹昲㤰㈱㤴戴昲㘸㠴搹搴戹㍡捤㘸㥦〳㜲㈰㈶〱㤹搰㍥てㄸ㠴㕣㌶㌰㘳㠰晣㉦㤹晢ㅣㄲ摡㈳〴㕦〴挸㉢㘴㜶搲㐱昶㑢〰晤搱㝦㐷㌱戴㈰晤㈵慡昲㜰㌴㔸㥣㡣戴㉦戳挱㘳〰㕤㜰搴㉡㈱ㄱ收戵挷㤱ㄳㅦ㤴㠲㐳づ晡〴ぢ㥥㈴昸㉡㐰㍥挳挹慥㜸搷戸愶づ㌵搷搷搰㔴攱㔶㐸㌹昶昵㌰挱㤷捣㌹㠰㍢摡摢捡㍣ち㐷㥦敦㈳愸搹昰㥤晥㕥㝣㜷扦挸㐵㜷攱扦ㅤ挹㐸挳㍥慤㝥扣戳扥挸〴戴挹攵捦挵㘶扦㡦㝥戸慥扡㡤挹ㅥ㍦㠱㕦㑥捤㉡㡦攰摦㜳昸㈹て㘲〴㡥㐲㑤㥢㠳㥢㠵㌴㈰ぢ收挳〲慡㉣敤㈹〰㠵㌸㈶㥥戴愷昹㐶搴戲㝦敤㥢㘱㠲㉦ち昱㝡㡥〹㉢㙣ㅥつ㐸㕣换㠲搳㑤〳ㄲ晦戲攰㔴㝣挰㙦㈱㔷㤱挸㐲愲㔱㉢ㄱ㘹㘹收㍥〳搰搷搵捦戹㔱换愹㘷㤵搲〳攵〷ㅥ㜸愷㍦㍤㜴㐹晡㔳㜷昶㍥昳搶㙦摦㝥晡捤㑦敦晥摢扢捦㍤昷收㕦㥥㝥晤摤搷㘶㜶晦晡㠵ㄷ㝥㜵搷昷㕦㝦㝢扤昱扣晡昲㍢㠷㥥㝦㜸攴昴挳てㅡ㈷㙥摥晦昰扤愷㡥㡤㑣㕥㌴摣搵搵摤㝤挳攰㙦㉥扥㜱攰摣㠳慦㈸扦晣攳㘶㐷㤱换攵㠰挷〱愲㘷㠰换㤶搳昸づㄲ㤸〶㘷晣愱㑥㠳换㍤㠷㥦㔲づ㌷㙡っ㉦㌹昸㌴㌸〱㔹㔰㙡㉣攸昹て㈳ち慦㝦</t>
  </si>
  <si>
    <t>SENSITIVITY ANALYSIS</t>
  </si>
  <si>
    <t>OUTPUT</t>
  </si>
  <si>
    <t xml:space="preserve">Analysis 1: WACC &amp; Terminal growth </t>
  </si>
  <si>
    <t>Recommendation</t>
  </si>
  <si>
    <t>Threshold</t>
  </si>
  <si>
    <t>Terminal growth</t>
  </si>
  <si>
    <t>Based price</t>
  </si>
  <si>
    <t>BUY if &gt;</t>
  </si>
  <si>
    <t>SELL if &lt;</t>
  </si>
  <si>
    <t>Else HOLD</t>
  </si>
  <si>
    <t>Best case</t>
  </si>
  <si>
    <t>Analysis 2: DOI vs DOS</t>
  </si>
  <si>
    <t>DOS</t>
  </si>
  <si>
    <t>MONTE CARLO SIMULATION</t>
  </si>
  <si>
    <t>Variables table</t>
  </si>
  <si>
    <t>Based value</t>
  </si>
  <si>
    <t>Distribution</t>
  </si>
  <si>
    <t>Stdev / Min</t>
  </si>
  <si>
    <t>Mean / Max</t>
  </si>
  <si>
    <t>Height</t>
  </si>
  <si>
    <t>Normal</t>
  </si>
  <si>
    <t>BUY</t>
  </si>
  <si>
    <t>Triangular</t>
  </si>
  <si>
    <t>SELL</t>
  </si>
  <si>
    <t>HOLD</t>
  </si>
  <si>
    <t>DOP</t>
  </si>
  <si>
    <t>SG&amp;A</t>
  </si>
  <si>
    <t>SCENARIO ANALYSIS</t>
  </si>
  <si>
    <t>Choose scenario</t>
  </si>
  <si>
    <t>&gt;&gt;</t>
  </si>
  <si>
    <t>BULL CASE - 1</t>
  </si>
  <si>
    <t>BASE CASE - 2</t>
  </si>
  <si>
    <t>BEAR CASE - 3</t>
  </si>
  <si>
    <t>Bil vnd</t>
  </si>
  <si>
    <t>CAGR (FY24 - FY28)</t>
  </si>
  <si>
    <t>Metric</t>
  </si>
  <si>
    <t>NPAT</t>
  </si>
  <si>
    <t>EPS (k vn)</t>
  </si>
  <si>
    <t>CCC (days)</t>
  </si>
  <si>
    <t>ROE</t>
  </si>
  <si>
    <t>2026E</t>
  </si>
  <si>
    <t>2027E</t>
  </si>
  <si>
    <t>2028E</t>
  </si>
  <si>
    <t>1. Phone assumption</t>
  </si>
  <si>
    <t>Xiaomi shares</t>
  </si>
  <si>
    <t>Bearcase</t>
  </si>
  <si>
    <t>Iphone shares</t>
  </si>
  <si>
    <t>Bull</t>
  </si>
  <si>
    <t>Base</t>
  </si>
  <si>
    <t>Bear</t>
  </si>
  <si>
    <t>Implied P/E</t>
  </si>
  <si>
    <t>2. Laptop assumption</t>
  </si>
  <si>
    <t>Laptop shares</t>
  </si>
  <si>
    <t>Tablet shares</t>
  </si>
  <si>
    <t>3. OE assumption</t>
  </si>
  <si>
    <t>Growth rate</t>
  </si>
  <si>
    <t>4. Home appliance</t>
  </si>
  <si>
    <t>~ 1 brand added a year</t>
  </si>
  <si>
    <t>5. Consumer goods</t>
  </si>
  <si>
    <t>P/E multiple premium</t>
  </si>
  <si>
    <t>ELEMENT</t>
  </si>
  <si>
    <t>BULL CASE</t>
  </si>
  <si>
    <t>BASE CASE</t>
  </si>
  <si>
    <t>BEAR CASE</t>
  </si>
  <si>
    <t>ICT</t>
  </si>
  <si>
    <t>Revenue CAGR</t>
  </si>
  <si>
    <t>Non ICT</t>
  </si>
  <si>
    <t>CCC</t>
  </si>
  <si>
    <t>Up/down side</t>
  </si>
  <si>
    <t>Rating</t>
  </si>
  <si>
    <t>FINANCIAL STATEMENT</t>
  </si>
  <si>
    <t>2017A</t>
  </si>
  <si>
    <t>CAGR 23-28</t>
  </si>
  <si>
    <t>Q1/2018</t>
  </si>
  <si>
    <t>Q2/2018</t>
  </si>
  <si>
    <t>Q3/2018</t>
  </si>
  <si>
    <t>Q4/2018</t>
  </si>
  <si>
    <t>Q1/2019</t>
  </si>
  <si>
    <t>Q2/2019</t>
  </si>
  <si>
    <t>Q3/2019</t>
  </si>
  <si>
    <t>Q4/2019</t>
  </si>
  <si>
    <t>Q1/2020</t>
  </si>
  <si>
    <t>Q2/2020</t>
  </si>
  <si>
    <t>Q3/2020</t>
  </si>
  <si>
    <t>Q4/2020</t>
  </si>
  <si>
    <t>Q1/2021</t>
  </si>
  <si>
    <t>Q2/2021</t>
  </si>
  <si>
    <t>Q3/2021</t>
  </si>
  <si>
    <t>Q4/2021</t>
  </si>
  <si>
    <t>Q1/2022</t>
  </si>
  <si>
    <t>Q2/2022</t>
  </si>
  <si>
    <t>Q3/2022</t>
  </si>
  <si>
    <t>Q4/2022</t>
  </si>
  <si>
    <t>Q1/2023</t>
  </si>
  <si>
    <t>Q2/2023</t>
  </si>
  <si>
    <t>Q3/2023</t>
  </si>
  <si>
    <t>Q4/2023F</t>
  </si>
  <si>
    <t>2023F</t>
  </si>
  <si>
    <t>TTM &gt;</t>
  </si>
  <si>
    <t>INCOME STATEMENT  (bil VND)</t>
  </si>
  <si>
    <t>Revenue</t>
  </si>
  <si>
    <t>Deduction</t>
  </si>
  <si>
    <t>Net revenue</t>
  </si>
  <si>
    <t>Cross check</t>
  </si>
  <si>
    <t xml:space="preserve">  % yoy</t>
  </si>
  <si>
    <t>COGS</t>
  </si>
  <si>
    <t xml:space="preserve">  % negative sales</t>
  </si>
  <si>
    <t>COSG</t>
  </si>
  <si>
    <t>Gross profit</t>
  </si>
  <si>
    <t>&lt; Gross profit margin is expected to stay flat at 2022's high level due to
   _The continuingly higher sales portion of high margin segment from 2023 onward, that offsets
   _smartphone and laptop margin getting back to normal level after abnormally high in 2021-2022</t>
  </si>
  <si>
    <t>% Gross margin</t>
  </si>
  <si>
    <t>Selling expense</t>
  </si>
  <si>
    <t>&lt; Selling expense in 2023 is expected to be relatively high compared to sales as wholesaler &amp; retailer pay greatly for advertising, marketing to release dated inventory
&lt; Selling expense margin from 24-28 assumed to stay as historical average level, mostly driven by advertising expense</t>
  </si>
  <si>
    <t xml:space="preserve">   Labour cost (fixed cost)</t>
  </si>
  <si>
    <t>% YoY</t>
  </si>
  <si>
    <t xml:space="preserve">   Expense for external service</t>
  </si>
  <si>
    <t xml:space="preserve">   Advertising, promotion, sales</t>
  </si>
  <si>
    <t>Advertising chỉ cao khi có brand mới thôi, các năm sau có brand mới khum mà cao vậy?</t>
  </si>
  <si>
    <t xml:space="preserve">   Others</t>
  </si>
  <si>
    <t>Qúa khứ có năm ads còn 0%</t>
  </si>
  <si>
    <t>Admin expense</t>
  </si>
  <si>
    <t>%sales</t>
  </si>
  <si>
    <t>% EBIT margin</t>
  </si>
  <si>
    <t>DA</t>
  </si>
  <si>
    <t>&lt;&lt; Verfify sự kiện khiến DA cao, khấu hao cao thì chưa thể thấp hẳn được</t>
  </si>
  <si>
    <t>% sales</t>
  </si>
  <si>
    <t>EBITDA</t>
  </si>
  <si>
    <t>% EBITDA margin</t>
  </si>
  <si>
    <t>Financial income</t>
  </si>
  <si>
    <t>Non-interest financial revenue</t>
  </si>
  <si>
    <t>In which: FX gains</t>
  </si>
  <si>
    <t>Interest revenue</t>
  </si>
  <si>
    <t>% total cash &amp; shorterm investment</t>
  </si>
  <si>
    <t>Non-interest financial expense</t>
  </si>
  <si>
    <t>In which: FX loss</t>
  </si>
  <si>
    <t xml:space="preserve">   Interest expense</t>
  </si>
  <si>
    <t>% debt</t>
  </si>
  <si>
    <t>Operating profit</t>
  </si>
  <si>
    <t>% OPM</t>
  </si>
  <si>
    <t>Net other income/expenses</t>
  </si>
  <si>
    <t>Income from affiliates &amp; joint ventures</t>
  </si>
  <si>
    <t>PBT</t>
  </si>
  <si>
    <t>% PBT margin</t>
  </si>
  <si>
    <t>CIT</t>
  </si>
  <si>
    <t>% negative PBT</t>
  </si>
  <si>
    <t>&lt;&lt; Using average effective tax rate in two recent year</t>
  </si>
  <si>
    <t>% net margin</t>
  </si>
  <si>
    <t>Minority interest</t>
  </si>
  <si>
    <t>&lt; Abnormaly high MI in 23 comes from 25% MI of Achison appears since Q1.2023 and quite signifincant NPAT contributed by Achison
&lt; From 24 onward, assumed NPAT contributed by Achison and DGW % ownership in Achison stay unchanged compared to Q3.23</t>
  </si>
  <si>
    <t xml:space="preserve">  % NPAT</t>
  </si>
  <si>
    <t>NPAT-MI</t>
  </si>
  <si>
    <t xml:space="preserve">  % Sales</t>
  </si>
  <si>
    <t>Bonus and welfare</t>
  </si>
  <si>
    <t xml:space="preserve">&lt;&lt; Check bonus &amp; welware </t>
  </si>
  <si>
    <t xml:space="preserve"> % NPAT</t>
  </si>
  <si>
    <t>NPAT to shareholders</t>
  </si>
  <si>
    <t xml:space="preserve"> % yoy</t>
  </si>
  <si>
    <t xml:space="preserve">Dividend </t>
  </si>
  <si>
    <t xml:space="preserve">  % Payout (on par)</t>
  </si>
  <si>
    <t xml:space="preserve">  % Payout (on NPAT-MI)</t>
  </si>
  <si>
    <t>BALANCE SHEET (bil VND)</t>
  </si>
  <si>
    <t>Current assets</t>
  </si>
  <si>
    <t>Cash &amp; Cash Equivalents</t>
  </si>
  <si>
    <t>Short-term investment</t>
  </si>
  <si>
    <t>Account receivable</t>
  </si>
  <si>
    <t>Inventories</t>
  </si>
  <si>
    <t>(Provision)</t>
  </si>
  <si>
    <t>Non-current assets</t>
  </si>
  <si>
    <t>&lt; Based on company strategy against investment in long term assets</t>
  </si>
  <si>
    <t>Long-term receivables</t>
  </si>
  <si>
    <t>Fixed assets</t>
  </si>
  <si>
    <t>&lt;&lt; Fixed assets n</t>
  </si>
  <si>
    <t xml:space="preserve">   + Tangible FA</t>
  </si>
  <si>
    <t xml:space="preserve">   + Intangible FA</t>
  </si>
  <si>
    <t>Long-term investments</t>
  </si>
  <si>
    <t>Other non-current assests (exlcude goodwill)</t>
  </si>
  <si>
    <t>Goodwills</t>
  </si>
  <si>
    <t>TOTAL ASSETS</t>
  </si>
  <si>
    <t>LIABILITIES</t>
  </si>
  <si>
    <t>Short-term liabilities</t>
  </si>
  <si>
    <t>Short-term borrowings</t>
  </si>
  <si>
    <t>Account payable</t>
  </si>
  <si>
    <t>Other</t>
  </si>
  <si>
    <t>Long-term liabilites</t>
  </si>
  <si>
    <t>Loan</t>
  </si>
  <si>
    <t>EQUITY</t>
  </si>
  <si>
    <t>Chartered capital</t>
  </si>
  <si>
    <t>&lt;&lt; Trong tháng 10, DGW tăng vốn điều lệ DGW Venture, vậy có ảnh hưởng đến vốn điều lệ cty k, có ảnh hưởng đến định giá k</t>
  </si>
  <si>
    <t>Retained earning</t>
  </si>
  <si>
    <t xml:space="preserve">&lt;&lt; Trong tháng 10, DGW tăng vốn điều lệ qua ESOP, </t>
  </si>
  <si>
    <t>MI</t>
  </si>
  <si>
    <t>TOTAL FUNDING RESOURCES</t>
  </si>
  <si>
    <t>BALANCE SHEET ASSUMPTION</t>
  </si>
  <si>
    <t>Purchase</t>
  </si>
  <si>
    <t>Cash sales</t>
  </si>
  <si>
    <t>Cash / total assets</t>
  </si>
  <si>
    <t>Days of account receivable</t>
  </si>
  <si>
    <t>&lt; In 2023, AR maintains quite high thourough out the years due to abnormally high AR accumumation to support B2B customer finance operation (bị chiếm dụng vốn từ MWG, FRT,...)  in tough time from Q1-Q3. From 24, DOAR getting back to around 30 days as its historical average level thanks to better business environment</t>
  </si>
  <si>
    <t>Days of inventories</t>
  </si>
  <si>
    <t>&lt; In 2023, demand fell more than expected to set an end for the "easy money" period in 2021 &amp; 2022, DOI was very high in H1 and just decrease a bit after inventory release and prudence in slow economic growth. DOI is assumed to stay around 60 days as historical average level</t>
  </si>
  <si>
    <t>Other current assets/sales</t>
  </si>
  <si>
    <t>Days of account payable</t>
  </si>
  <si>
    <t xml:space="preserve"> &lt; As things go normal, supplier also stops support DGW cash flow, DOAP is assumed to decreasing back to its historical average level around 26 days</t>
  </si>
  <si>
    <t>Other short term liabilities/sales</t>
  </si>
  <si>
    <t>Cash conversion cycle</t>
  </si>
  <si>
    <t>AR/sales</t>
  </si>
  <si>
    <t>Inventory/COGS</t>
  </si>
  <si>
    <t>AP/purchase</t>
  </si>
  <si>
    <t>FIXED ASSETS &amp; DA</t>
  </si>
  <si>
    <t>Fixed Assets</t>
  </si>
  <si>
    <t>Beginning value</t>
  </si>
  <si>
    <t>CAPEX</t>
  </si>
  <si>
    <t>Fixed assets DA</t>
  </si>
  <si>
    <t>% capex + begining value</t>
  </si>
  <si>
    <t>Ending value</t>
  </si>
  <si>
    <t>Begining</t>
  </si>
  <si>
    <t>Increase / (decrease)</t>
  </si>
  <si>
    <t>Amortization</t>
  </si>
  <si>
    <t>Ending</t>
  </si>
  <si>
    <t>DEBT PROJECTION</t>
  </si>
  <si>
    <t>Long term debt</t>
  </si>
  <si>
    <t xml:space="preserve">Increase </t>
  </si>
  <si>
    <t>Pay</t>
  </si>
  <si>
    <t>Average</t>
  </si>
  <si>
    <t>Interest expense</t>
  </si>
  <si>
    <t>Average interest rate</t>
  </si>
  <si>
    <t>Short term debt</t>
  </si>
  <si>
    <t xml:space="preserve">     Beginning value</t>
  </si>
  <si>
    <t>Borrowing proceed</t>
  </si>
  <si>
    <t>Debt repayment</t>
  </si>
  <si>
    <t>Net change</t>
  </si>
  <si>
    <t>Shorterm debt / inventory</t>
  </si>
  <si>
    <t>&lt;&lt; Base on valuation, the company generate enough cash to finance operating and does not need to borrow shorterm debt. 
_We assumed cash/sales does not change so borrowing and debt/equity is decreasing over time. Is the assumption / technique appropriate?</t>
  </si>
  <si>
    <t>Shorterm debt/COGS</t>
  </si>
  <si>
    <t>Debt / equity</t>
  </si>
  <si>
    <t>Shorterm / Purchase</t>
  </si>
  <si>
    <t xml:space="preserve">Average </t>
  </si>
  <si>
    <t>Cut rates to support growth, then rates increase as econ recovers</t>
  </si>
  <si>
    <t>CASHFLOW STATEMENT (bil VND)</t>
  </si>
  <si>
    <t xml:space="preserve">EBIT </t>
  </si>
  <si>
    <t>Other financial income / (expenses)</t>
  </si>
  <si>
    <t>Tax paid</t>
  </si>
  <si>
    <t>EBIAT</t>
  </si>
  <si>
    <t>Cash Flow Before Change in Working Capital</t>
  </si>
  <si>
    <t>Change in Working Capital</t>
  </si>
  <si>
    <t>(Inc)/Dec in A/R</t>
  </si>
  <si>
    <t>(Inc)/Dec in Inventory</t>
  </si>
  <si>
    <t>(Inc)/Dec in Other CA</t>
  </si>
  <si>
    <t>Inc/(Dec) in A/P</t>
  </si>
  <si>
    <t>Inc/(Dec) in other CL</t>
  </si>
  <si>
    <t>CFO</t>
  </si>
  <si>
    <t>CapEx</t>
  </si>
  <si>
    <t>Other LT investments</t>
  </si>
  <si>
    <t>CFI</t>
  </si>
  <si>
    <t>Increase / (Pay-off) of ST loans</t>
  </si>
  <si>
    <t>Increase / (Pay-off) of LT loans</t>
  </si>
  <si>
    <t>Changes in other LT liabilities</t>
  </si>
  <si>
    <t>&lt; Công ty tăng vốn bằng phat hành cổ phiếu 8.2022 nhưng k phát sính dòng tiền, cty cũng bảo k gọi thêm vốn?</t>
  </si>
  <si>
    <t>Changes in Charterd Capital</t>
  </si>
  <si>
    <t>https://s.cafef.vn/dgw-404543/dgw-3182022-giao-dich-72477918-cp-niem-yet-bo-sung.chn</t>
  </si>
  <si>
    <t>Dividend Payment</t>
  </si>
  <si>
    <t>Changes in other Equity accounts</t>
  </si>
  <si>
    <t>CFF</t>
  </si>
  <si>
    <t>NET CASH FLOW IN YEAR</t>
  </si>
  <si>
    <t>Cash - Beginning</t>
  </si>
  <si>
    <t>Cash - Ending</t>
  </si>
  <si>
    <t>Cash on Balance Sheet</t>
  </si>
  <si>
    <t>Difference</t>
  </si>
  <si>
    <t>Average cash</t>
  </si>
  <si>
    <t>Deposit interest rate</t>
  </si>
  <si>
    <t>Cash on hand before short term debt</t>
  </si>
  <si>
    <t>Cash flow before short term debt</t>
  </si>
  <si>
    <t>Beginning short term debt</t>
  </si>
  <si>
    <t>Change short term debt</t>
  </si>
  <si>
    <t>Ending debt</t>
  </si>
  <si>
    <t>CAGR 24-28</t>
  </si>
  <si>
    <t>Q3.2023</t>
  </si>
  <si>
    <t>Q4.2023F</t>
  </si>
  <si>
    <t>HSC</t>
  </si>
  <si>
    <t>Net revenue (bil vnd)</t>
  </si>
  <si>
    <t>4000</t>
  </si>
  <si>
    <t>4100</t>
  </si>
  <si>
    <t>5400</t>
  </si>
  <si>
    <t>6200</t>
  </si>
  <si>
    <t>Office equipment (including Achison)</t>
  </si>
  <si>
    <t>Consumers-Health</t>
  </si>
  <si>
    <t>S&amp;L</t>
  </si>
  <si>
    <t>Non-ICT</t>
  </si>
  <si>
    <t>Change %</t>
  </si>
  <si>
    <t>Contribution %</t>
  </si>
  <si>
    <t>Phone</t>
  </si>
  <si>
    <t>-</t>
  </si>
  <si>
    <r>
      <rPr>
        <b/>
        <sz val="11"/>
        <color theme="1"/>
        <rFont val="Calibri"/>
        <family val="2"/>
        <scheme val="minor"/>
      </rPr>
      <t>&lt; Slightly shrinking profit margin cause by deeper penetration of Apple &amp; Xiaomi in VN market</t>
    </r>
    <r>
      <rPr>
        <sz val="11"/>
        <color theme="1"/>
        <rFont val="Calibri"/>
        <family val="2"/>
        <scheme val="minor"/>
      </rPr>
      <t xml:space="preserve">
   + OEM getting better brand recognition / in house value chain in VN leading to small margin for both retailer and wholesaler. Ex:
      _Xiaomi GPM now &lt; past due to Xiaomi diversify distributor network as Xiaomi phone is now more easier to sell
      _Ip GPM &lt; Xiaomi as Ip is more popular and easier to sell
      _Samsung GPM &lt; Apple as it has it own factory, marketing, selling force in VN and very understanding this market
   + Retailer better manage demand forecast, inventory management &gt; shrinking demand for wholesaler
</t>
    </r>
    <r>
      <rPr>
        <b/>
        <sz val="11"/>
        <color theme="1"/>
        <rFont val="Calibri"/>
        <family val="2"/>
        <scheme val="minor"/>
      </rPr>
      <t xml:space="preserve">
&lt; At the end of chip shortage and surplus phenomena, laptop margin get back to normal level
&lt; Others segment margin assumed stay unchanged</t>
    </r>
  </si>
  <si>
    <t>Gross profit % yoy</t>
  </si>
  <si>
    <t>Assumed DOI</t>
  </si>
  <si>
    <t>FS</t>
  </si>
  <si>
    <t>=O95-($O95-$S95)/4</t>
  </si>
  <si>
    <t>=O96-($O96-$S96)/4</t>
  </si>
  <si>
    <t>Ending Inventory</t>
  </si>
  <si>
    <t>1.  Phone segment (bil vnd)</t>
  </si>
  <si>
    <t>Net sales (bil vnd)</t>
  </si>
  <si>
    <t>Apple</t>
  </si>
  <si>
    <t>% contribution</t>
  </si>
  <si>
    <t>2. Laptop &amp; table sales (bil vnd)</t>
  </si>
  <si>
    <t>% market share</t>
  </si>
  <si>
    <t>3.  Office equipment sales (bil vnd)</t>
  </si>
  <si>
    <t>Server, PC, &amp; Storage</t>
  </si>
  <si>
    <t>IoT</t>
  </si>
  <si>
    <t>Energy solutions</t>
  </si>
  <si>
    <t>Security solutions</t>
  </si>
  <si>
    <t>Others (incl. Achison)</t>
  </si>
  <si>
    <t>% growth</t>
  </si>
  <si>
    <t>4. Home appliance sales (bil vnd)</t>
  </si>
  <si>
    <t xml:space="preserve">Xiaomi </t>
  </si>
  <si>
    <t>Whirlpool</t>
  </si>
  <si>
    <t>Joyoung</t>
  </si>
  <si>
    <t>Westing House</t>
  </si>
  <si>
    <t>New Brands</t>
  </si>
  <si>
    <t>5. Consumer goods (bil vnd)</t>
  </si>
  <si>
    <t>Current brands</t>
  </si>
  <si>
    <t>New brands</t>
  </si>
  <si>
    <t>%yoy</t>
  </si>
  <si>
    <t>%contribution</t>
  </si>
  <si>
    <t>5. Health cares (bil vnd)</t>
  </si>
  <si>
    <t>GROSS MARGIN ESTIMATION</t>
  </si>
  <si>
    <t xml:space="preserve">SEGMENTS' GROSS MARGIN </t>
  </si>
  <si>
    <t>Total gross profit (Actual)</t>
  </si>
  <si>
    <t>Gross profit (base on estimate)</t>
  </si>
  <si>
    <t>Minimizing differences</t>
  </si>
  <si>
    <t>&gt;&gt; Differences</t>
  </si>
  <si>
    <t xml:space="preserve">Estimated segments' gross profit </t>
  </si>
  <si>
    <t>Estimated segments' gross margin</t>
  </si>
  <si>
    <t>y</t>
  </si>
  <si>
    <t>z</t>
  </si>
  <si>
    <t>m</t>
  </si>
  <si>
    <t>n</t>
  </si>
  <si>
    <t>Deviation from based gross margin over time</t>
  </si>
  <si>
    <t>Constraints</t>
  </si>
  <si>
    <t>Global chip shortage make phone price higher, OEM revenue yet increase margin across value chain</t>
  </si>
  <si>
    <t>https://www.androidauthority.com/q3-2021-global-smartphones-3048426/</t>
  </si>
  <si>
    <t>Samsung</t>
  </si>
  <si>
    <t>https://www.gartner.com/en/newsroom/press-releases/2023-02-02-navigating-the-dynamics-of-the-chip-market-cyclicality-is-back</t>
  </si>
  <si>
    <t>SMARTPHONE &amp; LAPTOP</t>
  </si>
  <si>
    <t>Q1.23</t>
  </si>
  <si>
    <t>Q2.23</t>
  </si>
  <si>
    <t>Q3.23</t>
  </si>
  <si>
    <t>Q4.23</t>
  </si>
  <si>
    <t>https://baotintuc.vn/kinh-te/huong-den-muc-tieu-85-nguoi-truong-thanh-co-dien-thoai-thong-minh-20220417160212797.htm#:~:text=Theo%20th%E1%BB%91ng%20k%C3%AA,%20Vi%E1%BB%87t%20Nam,85%25%20v%C3%A0o%20cu%E1%BB%91i%20n%C4%83m%202022</t>
  </si>
  <si>
    <t>Net sales from mobile phone segment</t>
  </si>
  <si>
    <r>
      <t xml:space="preserve">Late 2023: Revenue still maintain positive growth (4%) ahead of the's market partly recovery
</t>
    </r>
    <r>
      <rPr>
        <sz val="11"/>
        <color rgb="FF000000"/>
        <rFont val="Calibri"/>
        <family val="2"/>
        <scheme val="minor"/>
      </rPr>
      <t xml:space="preserve">+ Phone shipment did bottomed in Q1 and Q2.2023 and recovered, yearly sales expected to decrease 18%
+ Xiaomi which is sensitive to economic situation is rebounding stronger to than the market to end the year +7%, however DGW loss 10% shares so rev from Xiaomi </t>
    </r>
    <r>
      <rPr>
        <b/>
        <sz val="11"/>
        <color rgb="FF000000"/>
        <rFont val="Calibri"/>
        <family val="2"/>
        <scheme val="minor"/>
      </rPr>
      <t xml:space="preserve">declined 6% in 2023
</t>
    </r>
    <r>
      <rPr>
        <sz val="11"/>
        <color rgb="FF000000"/>
        <rFont val="Calibri"/>
        <family val="2"/>
        <scheme val="minor"/>
      </rPr>
      <t xml:space="preserve">+ Iphone sales in VN was strong and is the only brand remain positive growth in H1.2023, Ip15 launch boost sales in late year. Ip sales in the whole market in 2023: +7% (very high ground last year, and unchange ASP this year). Ip for DGW +25% (gain market share in distribution as well as Apple gain shares)
</t>
    </r>
    <r>
      <rPr>
        <b/>
        <sz val="11"/>
        <color rgb="FF000000"/>
        <rFont val="Calibri"/>
        <family val="2"/>
        <scheme val="minor"/>
      </rPr>
      <t xml:space="preserve">
 30% growth in 2024, outpaced the market thanks (14%) to phone replacement cycle and low ground
</t>
    </r>
  </si>
  <si>
    <t>VIEW DÀI</t>
  </si>
  <si>
    <t xml:space="preserve">    %yoy</t>
  </si>
  <si>
    <t>Xiaomi phone</t>
  </si>
  <si>
    <t>Apple phone</t>
  </si>
  <si>
    <t>VIEW NGẮN</t>
  </si>
  <si>
    <t>% total phone sales</t>
  </si>
  <si>
    <t xml:space="preserve">MACRO </t>
  </si>
  <si>
    <r>
      <rPr>
        <b/>
        <u/>
        <sz val="11"/>
        <color theme="1"/>
        <rFont val="Calibri"/>
        <family val="2"/>
        <scheme val="minor"/>
      </rPr>
      <t xml:space="preserve">2023
</t>
    </r>
    <r>
      <rPr>
        <b/>
        <sz val="11"/>
        <color theme="1"/>
        <rFont val="Calibri"/>
        <family val="2"/>
        <scheme val="minor"/>
      </rPr>
      <t>Ngành điện thoại tụt lùi 18% trước diễn biến kinh tế xấu và tạo đáy trong quý 1</t>
    </r>
    <r>
      <rPr>
        <sz val="11"/>
        <color theme="1"/>
        <rFont val="Calibri"/>
        <family val="2"/>
        <scheme val="minor"/>
      </rPr>
      <t xml:space="preserve">
1. Nền 2023 thấp do ảm đạm về lượng, có nhiều chiết khấu nên thấp về giá trị nhất là nửa đầu năm
2. Chỉ phục hồi dần nhưng k quá khởi sắc về cuối năm với nhiều mẫu mã ra đời phục vụ nhu cầu lễ tết, tựu trường 
</t>
    </r>
    <r>
      <rPr>
        <b/>
        <u/>
        <sz val="11"/>
        <color theme="1"/>
        <rFont val="Calibri"/>
        <family val="2"/>
        <scheme val="minor"/>
      </rPr>
      <t>2024</t>
    </r>
    <r>
      <rPr>
        <sz val="11"/>
        <color theme="1"/>
        <rFont val="Calibri"/>
        <family val="2"/>
        <scheme val="minor"/>
      </rPr>
      <t xml:space="preserve">
1. Nửa cuối 2024 sẽ rất khởi sắc nhờ chu kì thay thế điện thoại 3 năm, đem so với 2021
</t>
    </r>
    <r>
      <rPr>
        <b/>
        <sz val="11"/>
        <color rgb="FF00B0F0"/>
        <rFont val="Calibri"/>
        <family val="2"/>
        <scheme val="minor"/>
      </rPr>
      <t>2. 5G commericalized broadly in 2024</t>
    </r>
    <r>
      <rPr>
        <sz val="11"/>
        <color theme="1"/>
        <rFont val="Calibri"/>
        <family val="2"/>
        <scheme val="minor"/>
      </rPr>
      <t xml:space="preserve">
3. New design (folding), upgrade quality (screen, OLED, AMOLED)
3. kinh tế phục hồi, nhiều người trẻ mua điện thoại mới
4. Nhu cầu content creation, chơi game, dịch vụ trực tuyến</t>
    </r>
  </si>
  <si>
    <t>Firgure: DGW, MWG, FRT, PET ICT sales per quarter Q1.2022-Q3.2023</t>
  </si>
  <si>
    <r>
      <rPr>
        <b/>
        <sz val="11"/>
        <color theme="1"/>
        <rFont val="Calibri"/>
        <family val="2"/>
        <scheme val="minor"/>
      </rPr>
      <t>1. Giai đoạn 2023-2027 Fitch Solutions dự báo doanh thu CAGR 6%-7%</t>
    </r>
    <r>
      <rPr>
        <sz val="11"/>
        <color theme="1"/>
        <rFont val="Calibri"/>
        <family val="2"/>
        <scheme val="minor"/>
      </rPr>
      <t xml:space="preserve">
+ Dân mua điện thoại dất tiền hơn và thay đổi nhanh hơn &gt; Iphone, cao cấp
+ Nhu cầu trò chơi và dịch vụ trực tuyến &gt; Oppo, Samsung 6-20tr
</t>
    </r>
    <r>
      <rPr>
        <b/>
        <sz val="11"/>
        <color theme="1"/>
        <rFont val="Calibri"/>
        <family val="2"/>
        <scheme val="minor"/>
      </rPr>
      <t>2. Euromonitor forecast vol mobile phone growth 2.6% in 2023, 2.3% in 2024, 1.9% CAGR 2023-2028</t>
    </r>
    <r>
      <rPr>
        <sz val="11"/>
        <color theme="1"/>
        <rFont val="Calibri"/>
        <family val="2"/>
        <scheme val="minor"/>
      </rPr>
      <t xml:space="preserve">
+ kinh tế phục hồi, nhiều người trẻ mua điện thoại mới
+ Nhu cầu content creation, chơi game, dịch vụ trực tuyến
+ Suppotive demogrphic with average XX% population in working age, and rising disposal income
+ Smartphone manufactoring center</t>
    </r>
  </si>
  <si>
    <t>Macroeconomics</t>
  </si>
  <si>
    <t>Nominal GDP (trn vnd)</t>
  </si>
  <si>
    <t xml:space="preserve">   Nominal GDP growth (yoy)</t>
  </si>
  <si>
    <t xml:space="preserve">   Real GDP growth (yoy)</t>
  </si>
  <si>
    <t xml:space="preserve">  CPI growth rate</t>
  </si>
  <si>
    <t>Population (mil people) - GSO (past) &amp; UN (future)</t>
  </si>
  <si>
    <t>Nominal GDP capita (dollar/capita)</t>
  </si>
  <si>
    <t>Purchasing power %yoy</t>
  </si>
  <si>
    <t>Number of smartphone users in Vietnam - Insder Intelligence</t>
  </si>
  <si>
    <t>Percentage of smartphone users in Vietnam</t>
  </si>
  <si>
    <t>Smartphone revenue / capita (dollar/capita)</t>
  </si>
  <si>
    <t>Exchange rate: 23.500 VND/USD</t>
  </si>
  <si>
    <t xml:space="preserve"> SMARTPHONE</t>
  </si>
  <si>
    <t>Mobile phone industry - OEM shipment</t>
  </si>
  <si>
    <t>Phone market size (Volume - ths unit) - Counterpoint source</t>
  </si>
  <si>
    <t>Smartphone market size (Volume - ths unit)</t>
  </si>
  <si>
    <t xml:space="preserve">   Smartphone proportion (Euromonitor)</t>
  </si>
  <si>
    <t>https://www.counterpointresearch.com/insights/made-vietnam-smartphone-2023-q1/</t>
  </si>
  <si>
    <t>Phone market size (Value - bil VND) - DGW source</t>
  </si>
  <si>
    <t>&lt;&lt; Cross check CAGR market size (value) tương đương forecast của Euromitor, năm 2024 tăng rất mạnh vì nền thấp + replacement cycle, năm 2025 tiếp tục cao nhờ replacement cycle nhưng nền 2024 cao nên Growth rate thấp hơn, kể từ 2026 trở đi, size tăng theo real GDP growth rate
+ Driven by</t>
  </si>
  <si>
    <t>Smartphone market size (Value - bil VND)</t>
  </si>
  <si>
    <t>Avg. smartphone price (mil vnd - retail price)</t>
  </si>
  <si>
    <t>&lt;&lt; According to Euromonitor: Inflation and higher proportion of Mid &amp; premium phone range</t>
  </si>
  <si>
    <t>Average feature phone price (mil vnd - retail price)</t>
  </si>
  <si>
    <t>https://www.counterpointresearch.com/insights_tag/vietnam-competition/</t>
  </si>
  <si>
    <t>&lt;&lt; 2G cut off and inflation, people change to 4G feature phone which is a bit more expensive</t>
  </si>
  <si>
    <t>XIAOMI</t>
  </si>
  <si>
    <t>Xiaomi sales in Vietnam (Volume - thousand unit)</t>
  </si>
  <si>
    <t>Xiaomi sales Vietnam (Value - bil vnd - Wholesales)</t>
  </si>
  <si>
    <r>
      <rPr>
        <b/>
        <u/>
        <sz val="11"/>
        <color theme="1"/>
        <rFont val="Calibri"/>
        <family val="2"/>
        <scheme val="minor"/>
      </rPr>
      <t xml:space="preserve">2023
</t>
    </r>
    <r>
      <rPr>
        <b/>
        <sz val="11"/>
        <color theme="1"/>
        <rFont val="Calibri"/>
        <family val="2"/>
        <scheme val="minor"/>
      </rPr>
      <t>Doanh số Xiaomi thị trường tăng nhẹ 7%, nhưng DGW mất bớt thị phần nên doanh thu từ Xiaomi chạy ngang</t>
    </r>
    <r>
      <rPr>
        <sz val="11"/>
        <color theme="1"/>
        <rFont val="Calibri"/>
        <family val="2"/>
        <scheme val="minor"/>
      </rPr>
      <t xml:space="preserve">
+ Doanh số nửa đầu của Xiaomi thấp, do phân khúc giá rẻ nhạy cảm với diễn biến kinh tế
+ Doanh thu phục hồi dần về dịp cuối năm, nhưng 1 phần thị phần của DGW đã rơi vào tay FPT Synnex
</t>
    </r>
    <r>
      <rPr>
        <b/>
        <u/>
        <sz val="11"/>
        <color theme="1"/>
        <rFont val="Calibri"/>
        <family val="2"/>
        <scheme val="minor"/>
      </rPr>
      <t>2024</t>
    </r>
    <r>
      <rPr>
        <sz val="11"/>
        <color theme="1"/>
        <rFont val="Calibri"/>
        <family val="2"/>
        <scheme val="minor"/>
      </rPr>
      <t xml:space="preserve">
1. Xiaomi phân khúc bình dần được hưởng lợi nhiều hơn từ chu kì 3 năm (nửa cuối 2024)
2. Feature phone lên 5G
3. Xiaomi is digging deeply into VN market with assembly factory in mid 2022 (Some low-mid end smartphone, plan to make headphone, smartwatch) - July 2022. Xiaomi VN is the one of the core strategies market in SEA, nearly XIaomi has goods expansion to other SEAs</t>
    </r>
  </si>
  <si>
    <t>Average Xiaomi phone price (mil vnd - Wholesales)</t>
  </si>
  <si>
    <t>Xiaomi FDI</t>
  </si>
  <si>
    <t>Xiaomi market share (by vol)</t>
  </si>
  <si>
    <t>DGW's Xiaomi segment</t>
  </si>
  <si>
    <t>Xiaomi sales (Volume - thousand unit)</t>
  </si>
  <si>
    <t>Xiaomi sales (Value - bil vnd)</t>
  </si>
  <si>
    <t xml:space="preserve">DGW's share  </t>
  </si>
  <si>
    <t>&lt;&lt; Sensitivity</t>
  </si>
  <si>
    <t>&lt;&lt; FPT Synnex</t>
  </si>
  <si>
    <t>Synnex's share</t>
  </si>
  <si>
    <t>APPLE</t>
  </si>
  <si>
    <t>Ip sales in Q2</t>
  </si>
  <si>
    <t>Iphone official imported (thousand unit)</t>
  </si>
  <si>
    <r>
      <rPr>
        <b/>
        <u/>
        <sz val="11"/>
        <color theme="1"/>
        <rFont val="Calibri"/>
        <family val="2"/>
        <scheme val="minor"/>
      </rPr>
      <t>2023</t>
    </r>
    <r>
      <rPr>
        <sz val="11"/>
        <color theme="1"/>
        <rFont val="Calibri"/>
        <family val="2"/>
        <scheme val="minor"/>
      </rPr>
      <t xml:space="preserve">
</t>
    </r>
    <r>
      <rPr>
        <b/>
        <sz val="11"/>
        <color theme="1"/>
        <rFont val="Calibri"/>
        <family val="2"/>
        <scheme val="minor"/>
      </rPr>
      <t>Iphone liên túc mở rộng và chiếm thị phần trong 3 năm gần đây từ chỉ 4% năm 2020 lên 16% trong nửa đầu 2023</t>
    </r>
    <r>
      <rPr>
        <sz val="11"/>
        <color theme="1"/>
        <rFont val="Calibri"/>
        <family val="2"/>
        <scheme val="minor"/>
      </rPr>
      <t xml:space="preserve">
+ Iphone được đón nhận tốt ở VN trong nửa đầu năm với Ip là thương hiệu duy nhất có sản lượng xuất xưởng tăng trưởng yoy.
+ Xả hàng khiến Ip bán ra giảm giá nhưng giá vẫn rất cao bất chấp kì thấp điểm ở Quý 2 
</t>
    </r>
    <r>
      <rPr>
        <b/>
        <u/>
        <sz val="11"/>
        <color theme="1"/>
        <rFont val="Calibri"/>
        <family val="2"/>
        <scheme val="minor"/>
      </rPr>
      <t>2024</t>
    </r>
  </si>
  <si>
    <t>Iphone unofficial imported (thousand unit)</t>
  </si>
  <si>
    <t>Iphone official imported (bil VND)</t>
  </si>
  <si>
    <t>Iphone unofficial imported (bil VND)</t>
  </si>
  <si>
    <t>Shares of unofficial</t>
  </si>
  <si>
    <t>&lt;&lt; Giảm hàng xách tay</t>
  </si>
  <si>
    <t>Total iphone sales in VN (thousand unit) - official + unofficial</t>
  </si>
  <si>
    <t>Total iphone sales in VN (bil VND) - official + unofficial</t>
  </si>
  <si>
    <t>Average Iphone price (Imported price - mil VND)??</t>
  </si>
  <si>
    <t xml:space="preserve">Premiumization trend thanks to: Increase income, better configeration phone, camera
</t>
  </si>
  <si>
    <t>Iphone market share (by vol) - official</t>
  </si>
  <si>
    <r>
      <rPr>
        <b/>
        <u/>
        <sz val="11"/>
        <color theme="1"/>
        <rFont val="Calibri"/>
        <family val="2"/>
        <scheme val="minor"/>
      </rPr>
      <t>2023</t>
    </r>
    <r>
      <rPr>
        <sz val="11"/>
        <color theme="1"/>
        <rFont val="Calibri"/>
        <family val="2"/>
        <scheme val="minor"/>
      </rPr>
      <t xml:space="preserve">
</t>
    </r>
    <r>
      <rPr>
        <b/>
        <sz val="11"/>
        <color theme="1"/>
        <rFont val="Calibri"/>
        <family val="2"/>
        <scheme val="minor"/>
      </rPr>
      <t>Kì vọng trong nửa cuối năm, Apple giữ vững thị phần 16% tại VN nối đà nửa đầu năm</t>
    </r>
    <r>
      <rPr>
        <sz val="11"/>
        <color theme="1"/>
        <rFont val="Calibri"/>
        <family val="2"/>
        <scheme val="minor"/>
      </rPr>
      <t xml:space="preserve">
+ Ip15 ra mắt vào tháng 9, boost sales trong dịp cao điểm quý 4
+ Apples trở nên gần gũi hơn với khách hàng Việt qua việc mở cửa hàng trực tuyến đầu tiên vào tháng 5.2023
+ Các chuỗi cửa hàng chuyên Iphone đang mở rộng rất nhanh
</t>
    </r>
    <r>
      <rPr>
        <b/>
        <sz val="11"/>
        <color theme="1"/>
        <rFont val="Calibri"/>
        <family val="2"/>
        <scheme val="minor"/>
      </rPr>
      <t xml:space="preserve">&gt; Doanh số Ip că năm tăng chạy tăng 7%, DGW tăng thị phần phân phối IP từ 10 lên 12% giúp doanh thu Ip tăng 25% yoy outperform ngành
</t>
    </r>
    <r>
      <rPr>
        <b/>
        <u/>
        <sz val="11"/>
        <color theme="1"/>
        <rFont val="Calibri"/>
        <family val="2"/>
        <scheme val="minor"/>
      </rPr>
      <t>2024</t>
    </r>
    <r>
      <rPr>
        <b/>
        <sz val="11"/>
        <color theme="1"/>
        <rFont val="Calibri"/>
        <family val="2"/>
        <scheme val="minor"/>
      </rPr>
      <t xml:space="preserve">
Dự phóng tăng trưởng</t>
    </r>
  </si>
  <si>
    <t>Figure: Số cửa hàng ủy quyền Apple store qua các năm + expected from FRT MGW</t>
  </si>
  <si>
    <t>DGW's Iphone segment</t>
  </si>
  <si>
    <t>Iphone sales (Volume - thousand unit)</t>
  </si>
  <si>
    <t>Iphone sales  (Value - bil vnd)</t>
  </si>
  <si>
    <t xml:space="preserve">DGW's share in official </t>
  </si>
  <si>
    <t>&lt;&lt; Thị phần từ phần từ kênh xách tay</t>
  </si>
  <si>
    <t>DGW's share in total (official + unofficial)</t>
  </si>
  <si>
    <t>MWG (bil vnd retail price)</t>
  </si>
  <si>
    <t>OTHER BRANDS</t>
  </si>
  <si>
    <r>
      <rPr>
        <b/>
        <u/>
        <sz val="11"/>
        <color theme="1"/>
        <rFont val="Calibri"/>
        <family val="2"/>
        <scheme val="minor"/>
      </rPr>
      <t>2023-2024</t>
    </r>
    <r>
      <rPr>
        <sz val="11"/>
        <color theme="1"/>
        <rFont val="Calibri"/>
        <family val="2"/>
        <scheme val="minor"/>
      </rPr>
      <t xml:space="preserve">
+ Sóng 2G đã được tắt ở 1 số địa phương, đồng loạt tắt vào tháng 12/2023 mục tiêu sẽ tắt hết 100% 2G trễ nhất 9/2024
+ Cả nước còn 22tr thuê bao 2G, cục Viễn thông lên phương án hỗ trợ hỗ ngèo/cận nghèo chuyển đổi lên smartphone với 500k/điện thoại
+ ZTE and TCL, Nokia are benefited from parts of feature phone users switching to smartphone low-mid end segment from 2023 onward
+ Thống kê, đầu năm 2023, số thuê bao 2G là 26tr/126tr tổng thuê bao, đến tháng 8 còn 23tr thuê bao 2G</t>
    </r>
  </si>
  <si>
    <t>Potential market size estimation</t>
  </si>
  <si>
    <t># of Smartphone subscription 9.2022</t>
  </si>
  <si>
    <t>(mil)</t>
  </si>
  <si>
    <t># of smartphone users</t>
  </si>
  <si>
    <t>Smartphone subscription / user</t>
  </si>
  <si>
    <t>(subscription/user)</t>
  </si>
  <si>
    <t># of feature phone subscription 9.2022</t>
  </si>
  <si>
    <t># of feature phone users</t>
  </si>
  <si>
    <t>Feature phone subscription / user</t>
  </si>
  <si>
    <t># of feature phone users 9.2023</t>
  </si>
  <si>
    <t>Feature phone sold in the next 4 years</t>
  </si>
  <si>
    <t>&lt;&lt; base on mobile phone market size forecast of CAGR 4.5% FY24-FY28, and assumption that Vietnam would replicate Thailand to have 3% of feature phone sold after 4 year of 2G cut-off, as feature phone is suitable to workers in in field that require tough phone to avoid damage like farming, construction, mining,.. or criminal preventing tracking</t>
  </si>
  <si>
    <t xml:space="preserve">Equivalent to </t>
  </si>
  <si>
    <t>(mil users)</t>
  </si>
  <si>
    <t># of user will convert to smartphone (target customer)</t>
  </si>
  <si>
    <t>(mil user)</t>
  </si>
  <si>
    <t>Potential # of smartphone sales in 4 years</t>
  </si>
  <si>
    <t>(mil subscription)</t>
  </si>
  <si>
    <t>Potential market size</t>
  </si>
  <si>
    <t>(mil unit / year)</t>
  </si>
  <si>
    <t>Average selling price (low end)</t>
  </si>
  <si>
    <t>(mil VND)</t>
  </si>
  <si>
    <t>Potential market value</t>
  </si>
  <si>
    <t>(trillion VND / year)</t>
  </si>
  <si>
    <t>LAPTOP &amp; TABLET</t>
  </si>
  <si>
    <t>24-28 CAGR</t>
  </si>
  <si>
    <t>Net sales from laptop and tablet segment (bil vnd)</t>
  </si>
  <si>
    <t>Laptop</t>
  </si>
  <si>
    <t>Laptop further research</t>
  </si>
  <si>
    <t>Tablet</t>
  </si>
  <si>
    <r>
      <t>LAPTOP INDUSTRY
2020-2022: 
H1: 2023 -</t>
    </r>
    <r>
      <rPr>
        <b/>
        <sz val="11"/>
        <color theme="1"/>
        <rFont val="Calibri"/>
        <family val="2"/>
        <scheme val="minor"/>
      </rPr>
      <t xml:space="preserve"> VN Laptop market experience hard fall parrallelly with global market, and just start to reverse in Q2.23</t>
    </r>
    <r>
      <rPr>
        <b/>
        <u/>
        <sz val="11"/>
        <color theme="1"/>
        <rFont val="Calibri"/>
        <family val="2"/>
        <scheme val="minor"/>
      </rPr>
      <t xml:space="preserve">
</t>
    </r>
    <r>
      <rPr>
        <sz val="11"/>
        <color theme="1"/>
        <rFont val="Calibri"/>
        <family val="2"/>
        <scheme val="minor"/>
      </rPr>
      <t xml:space="preserve">+ Số liệu từ các chuỗi bán lẻ máy tính tại Việt Nam cho thấy, trong quý IV/2022, tổng quy mô thị trường đã giảm tới 50% svck, con số này được dữ nguyên trong 5 tháng đầu 2023 (GfK). Nhiều nhà bán lẻ thực hiện giảm giá sâu với nhiều dòng sản phẩm để xả lượng hàng tồn kho lớn, nhưng doanh số vẫn không tăng trưởng nhiều.
+ DGW &amp; VN laptop market goes parallelly with global market, as shipment for fall due to overall demand weaker than expectation worldwhile (-13.4 yoy decline in shipment in Q2, setting 6 consecutive quarter of declining), then followed by inventory build up across the value chain
</t>
    </r>
    <r>
      <rPr>
        <b/>
        <u/>
        <sz val="11"/>
        <color theme="1"/>
        <rFont val="Calibri"/>
        <family val="2"/>
        <scheme val="minor"/>
      </rPr>
      <t xml:space="preserve">H2: 2023 - </t>
    </r>
    <r>
      <rPr>
        <b/>
        <sz val="11"/>
        <color theme="1"/>
        <rFont val="Calibri"/>
        <family val="2"/>
        <scheme val="minor"/>
      </rPr>
      <t xml:space="preserve"> Improving market thanks to back-to-school season is not enough to make a significant surge</t>
    </r>
    <r>
      <rPr>
        <sz val="11"/>
        <color theme="1"/>
        <rFont val="Calibri"/>
        <family val="2"/>
        <scheme val="minor"/>
      </rPr>
      <t xml:space="preserve">
+ Sau giai đoạn xả hàng, tồn kho của các chuỗi bán lẻ MWG, FRT đang ở mức thấp nhất, các chuỗi bán lẻ đã bắt đầu nhập hàng mới và tung ra các chiến dịch bán hàng để chuẩn bị cho mùa cao điểm là quý 3, 4 trong năm (mùa tựu trường và các dịp lễ), đơn cử như FPT Shop, Dell và Technologies Việt Nam đã ký kết hợp tác chiến lược để chuẩn bị bước vào mùa tựu trường với nhiều ưu đãi về bảo hành, trả góp lãi suất 0% vào quý 3 hàng năm
+ Doanh thu nửa cuối năm 2023 dự kiến sẽ hồi phục so với đầu năm và thậm chí tăng trưởng dương trong quý 4 nhưng tổng kết lại năm 2023, chúng tôi cho rằng doanh số vẫn sẽ giảm 25% vì
1. Sau giai đoạn doanh số đạt đỉnh trong mùa covid 2021 và 2022 khách hàng đã reset lại replacement cycle; 
2. Tuy nhiên mức nền doanh số laptop cuối năm 2022 khá cao, mức suy giảm trong nửa đầu năm lại lớn
3. Thị trường laptop VN và toàn cầu đã được cho là bão hòa trước giai đoạn dịch bệnh, và tiêu dùng nhìn chung phục hồi rất chậm trong năm 2023
</t>
    </r>
    <r>
      <rPr>
        <b/>
        <sz val="11"/>
        <color theme="1"/>
        <rFont val="Calibri"/>
        <family val="2"/>
        <scheme val="minor"/>
      </rPr>
      <t xml:space="preserve">
</t>
    </r>
    <r>
      <rPr>
        <b/>
        <u/>
        <sz val="11"/>
        <color theme="1"/>
        <rFont val="Calibri"/>
        <family val="2"/>
        <scheme val="minor"/>
      </rPr>
      <t xml:space="preserve">DGW: </t>
    </r>
    <r>
      <rPr>
        <b/>
        <sz val="11"/>
        <color theme="1"/>
        <rFont val="Calibri"/>
        <family val="2"/>
        <scheme val="minor"/>
      </rPr>
      <t xml:space="preserve">
</t>
    </r>
    <r>
      <rPr>
        <b/>
        <u/>
        <sz val="11"/>
        <color theme="1"/>
        <rFont val="Calibri"/>
        <family val="2"/>
        <scheme val="minor"/>
      </rPr>
      <t>H2.2023:</t>
    </r>
    <r>
      <rPr>
        <b/>
        <sz val="11"/>
        <color theme="1"/>
        <rFont val="Calibri"/>
        <family val="2"/>
        <scheme val="minor"/>
      </rPr>
      <t xml:space="preserve"> Tăng trưởng dương trong quý 4, nhưng giảm mạnh trong cả năm</t>
    </r>
    <r>
      <rPr>
        <sz val="11"/>
        <color theme="1"/>
        <rFont val="Calibri"/>
        <family val="2"/>
        <scheme val="minor"/>
      </rPr>
      <t xml:space="preserve">
+ DGW laptop sales decrease 64% in Q4.22 and 51% in Q1.23, but have sign of recovery with 22% QoQ growth despite of low season
+ Chúng tôi kì vọng doanh số laptop năm 2023 của DGW sẽ giảm 23% yoy, dựa trên thực tế doanh số quý 1 giảm một nửa svck và mức nền doanh thu cao trong năm ngoái</t>
    </r>
    <r>
      <rPr>
        <b/>
        <sz val="11"/>
        <color theme="1"/>
        <rFont val="Calibri"/>
        <family val="2"/>
        <scheme val="minor"/>
      </rPr>
      <t xml:space="preserve">
</t>
    </r>
    <r>
      <rPr>
        <sz val="11"/>
        <color theme="1"/>
        <rFont val="Calibri"/>
        <family val="2"/>
        <scheme val="minor"/>
      </rPr>
      <t>+ Tuy vậy, doanh thu quý 4 dự kiến sẽ tăng nhẹ nhờ XX%, đến từ mức nền thấp hồi quý 4 năm ngoái khi triển biến kinh tế ngắn hạn bắt đầu bi quan</t>
    </r>
  </si>
  <si>
    <r>
      <rPr>
        <b/>
        <u/>
        <sz val="11"/>
        <color rgb="FF333333"/>
        <rFont val="Calibri"/>
        <family val="2"/>
      </rPr>
      <t xml:space="preserve">2024 - 2028: INDUSTRY
</t>
    </r>
    <r>
      <rPr>
        <b/>
        <sz val="11"/>
        <color rgb="FF333333"/>
        <rFont val="Calibri"/>
        <family val="2"/>
      </rPr>
      <t xml:space="preserve">Thị trường máy tính cá nhân, bao gồm laptop và tablet không còn động lực tăng trưởng mạnh mẽ
</t>
    </r>
    <r>
      <rPr>
        <sz val="11"/>
        <color rgb="FF333333"/>
        <rFont val="Calibri"/>
        <family val="2"/>
      </rPr>
      <t>+ Trước giai đoạn 2020-2022 khi covid 19 xảy ra, thị trường laptop vn và thế giới được cho là đã bão hòa với doanh thu tăng trưởng âm hằng năm, kể từ năm 201X. Điều này lại 1 lần nữa được phản ánh khi doanh số laptop VN và toàn cầu ngay lập tức trở về mức 2019 ngay khi Covid kết thúc. Điều này cho thấy việc laptop tăng mạnh năm 2021 2022 phần lớn đến từ xu hướng làm việc tại nhà bất khả kháng vì giản các xã hội. Thêm vào đó bản thân sản phẩm laptop chưa có sự đột phá công nghệ tạo các cuộc cách mạng thay đổi hành vi người dùng kể từ năm 200X
+ Trong khi đó, xét về khía cạnh phục vụ nhu cầu giải trí, người VN và các thị trường cận biên lại thường ưu tiên mua điện thoại đầu tiền vì tính linh hoạt, giá rẻ hơn, và tiện lợi hơn. Dựa trên thực tế rằng hầu hết laptop được bán trong đợt dịch đến từ những khách hàng mua mới lần đầu vì nhu cầu làm việc bất khả kháng. Cũng vì vậy, tablet k phải là sản phẩm có quy mô và tăng trưởng mạnh ở VN (dựa trên thực tế tablet là mặt hàng xa xỉ, thường k tiện lợi để communicate, taking photo portable,.. như phone và k hiệu quả làm việc như Laptop mà phù hợp hơn để consuming media such as movie, TV show and books, and shopping, Tablet CAGR in Vietnam would be 3.5-4% according to Fitch Solutions)
+ Penetration rate laptop ở VN rất cao, đạt 28%, cao hơn cả những peer thu nhập cao như Thailand, Indo,.... Chính vì vậy, tăng trưởng đều đặn 2 con số ở mảng này rất khó xảy ra</t>
    </r>
    <r>
      <rPr>
        <b/>
        <sz val="11"/>
        <color rgb="FF333333"/>
        <rFont val="Calibri"/>
        <family val="2"/>
      </rPr>
      <t xml:space="preserve">
</t>
    </r>
    <r>
      <rPr>
        <sz val="11"/>
        <color rgb="FF333333"/>
        <rFont val="Calibri"/>
        <family val="2"/>
      </rPr>
      <t xml:space="preserve">
</t>
    </r>
    <r>
      <rPr>
        <b/>
        <sz val="11"/>
        <color rgb="FF333333"/>
        <rFont val="Calibri"/>
        <family val="2"/>
      </rPr>
      <t xml:space="preserve">Thay vào đó, mảng laptop chỉ sex chỉ tăng trưởng trung hình dưới 10%/năm
</t>
    </r>
    <r>
      <rPr>
        <sz val="11"/>
        <color rgb="FF333333"/>
        <rFont val="Calibri"/>
        <family val="2"/>
      </rPr>
      <t xml:space="preserve">
</t>
    </r>
    <r>
      <rPr>
        <u/>
        <sz val="11"/>
        <color rgb="FF333333"/>
        <rFont val="Calibri"/>
        <family val="2"/>
      </rPr>
      <t xml:space="preserve">2024-2025: tích cực nhờ chu kì thay mới laptop </t>
    </r>
    <r>
      <rPr>
        <sz val="11"/>
        <color rgb="FF333333"/>
        <rFont val="Calibri"/>
        <family val="2"/>
      </rPr>
      <t xml:space="preserve">
+ Với việc (1) chu kì đổi mới laptop trung bình 3 năm, (2) doanh thu laptop ở VN đạt đỉnh năm 2021 và 2022, và (3) kinh tế đang phục hồi từ đáy đi lên, chúng tôi kì vọng thị trường laptop sẽ đạt mức tăng trưởng cao hơn trong năm 2024 và 2025 lần lượt là X% và X%
</t>
    </r>
    <r>
      <rPr>
        <u/>
        <sz val="11"/>
        <color rgb="FF333333"/>
        <rFont val="Calibri"/>
        <family val="2"/>
      </rPr>
      <t xml:space="preserve">2025 onward: Duy trì được mức tăng trưởng dương từ 5-6%/năm in value trong điều kiện bão hòa (According to Euro &amp; Fitch Solutions)
</t>
    </r>
    <r>
      <rPr>
        <sz val="11"/>
        <color rgb="FF333333"/>
        <rFont val="Calibri"/>
        <family val="2"/>
      </rPr>
      <t>+ Mặc dù pepentration rate cao nhưng so với các nước phát triển thì còn thấp, VN còn nhiều dư địa phát triển nên việc tầng lớp trí óc nhiều hơn và sử dụng laptop nhiều hơn như Trung, Hàn, Sin về dài hạn là điều tất yếu</t>
    </r>
    <r>
      <rPr>
        <b/>
        <sz val="11"/>
        <color rgb="FF333333"/>
        <rFont val="Calibri"/>
        <family val="2"/>
      </rPr>
      <t xml:space="preserve">
</t>
    </r>
    <r>
      <rPr>
        <sz val="11"/>
        <color rgb="FF333333"/>
        <rFont val="Calibri"/>
        <family val="2"/>
      </rPr>
      <t xml:space="preserve">+ Thị trường laptop vốn rất cạnh tranh với 5 hãng lớn giữ thị phần không quá khác biệt, chính vì vậy, họ luôn đưa ra nhiều nâng cấp mới ở hầu hết các phân khúc và đối tượng khách hàng để cạnh tranh. Nhờ đó khác hàng luôn được hưởng lợi và sẽ willing hơn để "lên đời" laptop phục vụ tiện lợi/linh hoạt hơn cho nhu cầu giải trí và làm việc ngày càng phức tạp. Ví dụ:
(1) Laptops for office workers and students focused on elite/thin/light designs that are easily transportable and with a long lasting battery, stable cooling system, vibrant screen display (OLED), better camera, and 360 degree flip
(2) Ngay cả trong năm 22/23 khi nhu cầu giảm mạnh, hàng loạt các mẫu mới ra đời từ ASUS, Dell, và đặc biệt là MSI với các laptop tích hợp các công nghệ và thiết kế mới nhất nhưng giá cả phải chăng hơn các hãng lâu đời, đã nhận được phản hồi tích cực từ cả sinh viên, nhân viên văn phòng hay game thủ Việt Nam; và cả Apple với Macbook đình đám đang phổ biến hơn cùng IPhone
(3) Điển hình nhất phải kể đến các mẫu gaming laptop đang ngày càng được ưa thích bởi giới trẻ nhờ cấu hình mạnh mẽ. GfK data also indicates that gaming laptops achieves a record growth: an increase of 217% in 2021 (which means nearly 3 times higher than that in the same period in 2020), accounting for 20% of laptop revenue,
Chúng tối kì vọng giá laptop trung bình chỉ tăng X% vì tính cạnh tranh của thị trường từ nhà sản xuất đến hệ thống bán lẻ, và bản thân laptop vốn đã có giá cao
</t>
    </r>
    <r>
      <rPr>
        <b/>
        <u/>
        <sz val="11"/>
        <color rgb="FF333333"/>
        <rFont val="Calibri"/>
        <family val="2"/>
      </rPr>
      <t>DGW: Chúng tối kì vọng DGW vẫn dữ được thị phần cao và đạt mức tăng trưởng tương đương ngành nhờ</t>
    </r>
    <r>
      <rPr>
        <sz val="11"/>
        <color rgb="FF333333"/>
        <rFont val="Calibri"/>
        <family val="2"/>
      </rPr>
      <t xml:space="preserve">
_ quy mô lớn cùng mối quan hệ tốt với các đối tác phân phối lâu năm
_năng lực tài chính tốt để hỗ trợ khách hàng là các nhà bán lẻ trong bối cảnh thị trường ảm đạm, và laptop trở nên khó bán hơn
_khả năng dự đoán tốt thị trường nhờ vào kinh nghiệm phân phối hơn 20 năm, chứng minh bởi doanh số Laptop tăng trưởng nhanh hơn thị trường
</t>
    </r>
    <r>
      <rPr>
        <b/>
        <u/>
        <sz val="11"/>
        <color rgb="FF333333"/>
        <rFont val="Calibri"/>
        <family val="2"/>
      </rPr>
      <t>DGW: Chúng tối kì vọng doanh thu Laptop DGW sẽ tăng trưởng nhanh hơn thị trường 0.5-1.5% nhờ chiến lược ưu tiên tập trung vào phân khúc laptop trendy hơn là gamer, Macbook, khách hàng doanh nghiệp</t>
    </r>
  </si>
  <si>
    <t>Deloitte consumer purchase behavior after Covis</t>
  </si>
  <si>
    <t>Q1.2023 global laptop demand</t>
  </si>
  <si>
    <t>https://www.idc.com/getdoc.jsp?containerId=prUS50565723</t>
  </si>
  <si>
    <t>Laptop &amp; Tablet market</t>
  </si>
  <si>
    <t>Laptop market volume (ths unit) - Fitch Solutions</t>
  </si>
  <si>
    <t>Tablet market volume (ths unit) - Fitch Solutions</t>
  </si>
  <si>
    <t>Laptop market value (bil VND)</t>
  </si>
  <si>
    <t>Tablet market value (bil VND)</t>
  </si>
  <si>
    <t>Laptop average price (mil vnd) - Euromonitor</t>
  </si>
  <si>
    <t>Tablet average price (mil vnd) - Euromonitor</t>
  </si>
  <si>
    <t xml:space="preserve">DGW laptop market shares </t>
  </si>
  <si>
    <t>DGW tablet market share</t>
  </si>
  <si>
    <t>REFERENCES</t>
  </si>
  <si>
    <t>CAGR</t>
  </si>
  <si>
    <t>PHONE</t>
  </si>
  <si>
    <t>(Sources: Euromonitor)</t>
  </si>
  <si>
    <t>Mobilephone market (bil vnd)</t>
  </si>
  <si>
    <t>Mobile phone market (thounsand vol)</t>
  </si>
  <si>
    <t xml:space="preserve">Smartphone </t>
  </si>
  <si>
    <t>Mobile phone ASP (mil vnd)</t>
  </si>
  <si>
    <t>Smartphone ASP (mil vnd)</t>
  </si>
  <si>
    <t>Vol % yoy</t>
  </si>
  <si>
    <t>Mobile phone</t>
  </si>
  <si>
    <t>Value % yoy</t>
  </si>
  <si>
    <t>(Sources: Fitch Solutions Q4.2022)</t>
  </si>
  <si>
    <t>Volume</t>
  </si>
  <si>
    <t>CAGR 23-26</t>
  </si>
  <si>
    <t>Vietnam is high price sensitive, so why Apple is win in sales?</t>
  </si>
  <si>
    <t>Question: How ecommerce trend affected</t>
  </si>
  <si>
    <t>Samsung, Xiaomi, and Apple open factory in vietnam thì ảnh hưởng gì đến sales brand đó</t>
  </si>
  <si>
    <t>Smartphone proportion</t>
  </si>
  <si>
    <t>Credit financing phone and laptop purrchase in not city area?</t>
  </si>
  <si>
    <t>Value</t>
  </si>
  <si>
    <t>Imported phone vs domestic assembly phone? What is the different</t>
  </si>
  <si>
    <t>Tax for imported product</t>
  </si>
  <si>
    <t>Expansion of middle class boost sales in smart wathc, fitness tracker, dual screen smartphone, AR VR devices</t>
  </si>
  <si>
    <t>Supply chain rural area</t>
  </si>
  <si>
    <t>LAPTOP</t>
  </si>
  <si>
    <t>PC market size (thousand unit)</t>
  </si>
  <si>
    <t xml:space="preserve">Laptop </t>
  </si>
  <si>
    <t>Desktop</t>
  </si>
  <si>
    <t>PC market size (bil vnd) - Fitch solution</t>
  </si>
  <si>
    <t>PC average selling price</t>
  </si>
  <si>
    <t>Portable computer market size (thousand unit)</t>
  </si>
  <si>
    <t>Portable computer market size (bil vnd)</t>
  </si>
  <si>
    <t>Laptop average price</t>
  </si>
  <si>
    <t>Tablet average price</t>
  </si>
  <si>
    <t>All three device segments will benefit from the rebound in consumer sentiment and economic growth in 2022. Mobile segment performance will again be driven by the flow of smartphone first-time buyers and the low end of the price spectrum, alongside a small but lucrative pool of higher value upgrades clustered in and around the major urban areas. Meanwhile, audiovisual segment performance will be based on the increased flow of first-time flat-panel TV set upgrades, as well as smartphone complimentary audio such as headphones and wireless speakers, with additional volume to be much more price sensitive than the pool of affluent households making replacement device purchases.</t>
  </si>
  <si>
    <t>OFFFICE EQUIPMENT</t>
  </si>
  <si>
    <t>DGW's net sales (bil vnd)</t>
  </si>
  <si>
    <t>Consumer equipment</t>
  </si>
  <si>
    <t>Corporate equipment</t>
  </si>
  <si>
    <t>Achison</t>
  </si>
  <si>
    <t>Others (inc.Achison)</t>
  </si>
  <si>
    <t>Industrial Equipment - Achison (bil VND)</t>
  </si>
  <si>
    <t>Achison's revenue (do 75% ownership revenue của DGW)</t>
  </si>
  <si>
    <t>Industrial equipment market size</t>
  </si>
  <si>
    <t>Achison's market share</t>
  </si>
  <si>
    <t xml:space="preserve"> &lt; Gain MS by expanding to the North + fragmented market</t>
  </si>
  <si>
    <t>Office Equipment - Digiworld (bil VND)</t>
  </si>
  <si>
    <t>Segment revenue</t>
  </si>
  <si>
    <t>Market share</t>
  </si>
  <si>
    <t>Office equipment revenue (exclude IoT)</t>
  </si>
  <si>
    <t>IoT revenue</t>
  </si>
  <si>
    <t>Total market size</t>
  </si>
  <si>
    <t>DGW's office market share</t>
  </si>
  <si>
    <t>Consumer equipment market size (wearable tech &amp; smarthome appliance) - Lumi &amp; Euro</t>
  </si>
  <si>
    <t>DGW's consumer market share</t>
  </si>
  <si>
    <t>yoy%</t>
  </si>
  <si>
    <t>Corporate equipment market size (infrastructure &amp; solutions)</t>
  </si>
  <si>
    <t>DGW's corporate market share</t>
  </si>
  <si>
    <t>FPT Synnex's segment revenue</t>
  </si>
  <si>
    <t>FPT Synnex's market share</t>
  </si>
  <si>
    <t>Petrosetco's segment revenue</t>
  </si>
  <si>
    <t>Software &amp; Cloud</t>
  </si>
  <si>
    <t>NON-ICT</t>
  </si>
  <si>
    <t>Health cares</t>
  </si>
  <si>
    <t>Home appliance (bil vnd)</t>
  </si>
  <si>
    <t>Westinghouse</t>
  </si>
  <si>
    <t>New brands first year's revenue</t>
  </si>
  <si>
    <t>45-55</t>
  </si>
  <si>
    <t>Existing</t>
  </si>
  <si>
    <t>New</t>
  </si>
  <si>
    <t>Consumer goods (bil vnd)</t>
  </si>
  <si>
    <t>35-45</t>
  </si>
  <si>
    <t>Health cares (bil vnd)</t>
  </si>
  <si>
    <t>30-40</t>
  </si>
  <si>
    <t>DISCOUNT RATE</t>
  </si>
  <si>
    <t>Vietnam 10 year government bond</t>
  </si>
  <si>
    <t>Vietnam 1 year government bill</t>
  </si>
  <si>
    <t>%</t>
  </si>
  <si>
    <t>Sources / Comments</t>
  </si>
  <si>
    <t>Close</t>
  </si>
  <si>
    <t>Ngày</t>
  </si>
  <si>
    <t>Lần cuối</t>
  </si>
  <si>
    <t>Risk free</t>
  </si>
  <si>
    <t>Vietnam 10 year government bond yield 7.11.2023 (3Y average)</t>
  </si>
  <si>
    <t>Risk premium</t>
  </si>
  <si>
    <t>Source: Professor Damodaran's database - July 2023</t>
  </si>
  <si>
    <t>Unlevered beta (peers)</t>
  </si>
  <si>
    <t>Calculation from a list of 15 regional peers base on 2Y weekly raw levered beta. Unlevered Equity Beta = Levered Equity Beta / [1 + (1-Tax Rate) × Debt-to-Equity]</t>
  </si>
  <si>
    <t>Re-levered beta</t>
  </si>
  <si>
    <t>Re-levered Equity Beta = Unlevered Equity Beta × [1 + (1-Tax Rate) × Debt-to-Equity]</t>
  </si>
  <si>
    <t>Cost of equity (%)</t>
  </si>
  <si>
    <t>Cost of equity range between 12% - 16% as norm</t>
  </si>
  <si>
    <r>
      <t>We expect</t>
    </r>
    <r>
      <rPr>
        <sz val="11"/>
        <color theme="1"/>
        <rFont val="Arial"/>
        <family val="2"/>
      </rPr>
      <t xml:space="preserve"> DGW can borrow at quite low rate on future average thanks to advantage in using many international payment service at the bank</t>
    </r>
  </si>
  <si>
    <t>31/10/2023</t>
  </si>
  <si>
    <t>30/10/2023</t>
  </si>
  <si>
    <t>After-tax cost of debt (%)</t>
  </si>
  <si>
    <t>27/10/2023</t>
  </si>
  <si>
    <t>Target equity weight</t>
  </si>
  <si>
    <t>Refered to the current book value of debt and the forecast D/E</t>
  </si>
  <si>
    <t>26/10/2023</t>
  </si>
  <si>
    <t>Target debt weight</t>
  </si>
  <si>
    <t>Refered to D/E check</t>
  </si>
  <si>
    <t xml:space="preserve">&gt;&gt; </t>
  </si>
  <si>
    <t>25/10/2023</t>
  </si>
  <si>
    <t>WACC (%)</t>
  </si>
  <si>
    <t>24/10/2023</t>
  </si>
  <si>
    <t>23/10/2023</t>
  </si>
  <si>
    <t xml:space="preserve">CURRENT  </t>
  </si>
  <si>
    <t>20/10/2023</t>
  </si>
  <si>
    <t>Market Value of Equity (VNDbn)</t>
  </si>
  <si>
    <t>19/10/2023</t>
  </si>
  <si>
    <t>Market Value of Debt (VNDbn)</t>
  </si>
  <si>
    <t>18/10/2023</t>
  </si>
  <si>
    <t>E/V</t>
  </si>
  <si>
    <t>17/10/2023</t>
  </si>
  <si>
    <t>D/V</t>
  </si>
  <si>
    <t>16/10/2023</t>
  </si>
  <si>
    <t>13/10/2023</t>
  </si>
  <si>
    <t>5Y average shorterm borrowing rate</t>
  </si>
  <si>
    <t>Synthetic rating (Damodaran)</t>
  </si>
  <si>
    <t>29/09/2023</t>
  </si>
  <si>
    <t>28/09/2023</t>
  </si>
  <si>
    <t>BOTTOM-UP BETA</t>
  </si>
  <si>
    <t>27/09/2023</t>
  </si>
  <si>
    <t>26/09/2023</t>
  </si>
  <si>
    <t>Regional peers for beta calculation</t>
  </si>
  <si>
    <t>2Y raw beta (weekly return)</t>
  </si>
  <si>
    <t>D/E 2Y Avg (%)</t>
  </si>
  <si>
    <t>2Y Effective tax rate Avg (%)</t>
  </si>
  <si>
    <t>Unlevered beta</t>
  </si>
  <si>
    <t>25/09/2023</t>
  </si>
  <si>
    <t>DGW VN Equity</t>
  </si>
  <si>
    <t>DGW VN</t>
  </si>
  <si>
    <t>22/09/2023</t>
  </si>
  <si>
    <t>PET VN Equity</t>
  </si>
  <si>
    <t>PET VN</t>
  </si>
  <si>
    <t>21/09/2023</t>
  </si>
  <si>
    <t>MTDL IJ Equity</t>
  </si>
  <si>
    <t>MTDL IJ</t>
  </si>
  <si>
    <t>20/09/2023</t>
  </si>
  <si>
    <t>VST MK Equity</t>
  </si>
  <si>
    <t>VST MK</t>
  </si>
  <si>
    <t>19/09/2023</t>
  </si>
  <si>
    <t>SIS TB Equity</t>
  </si>
  <si>
    <t>SIS TB</t>
  </si>
  <si>
    <t>18/09/2023</t>
  </si>
  <si>
    <t>SYNEX TB Equity</t>
  </si>
  <si>
    <t>SYNEX TB</t>
  </si>
  <si>
    <t>15/09/2023</t>
  </si>
  <si>
    <t>MWG VN</t>
  </si>
  <si>
    <t>14/09/2023</t>
  </si>
  <si>
    <t>COM7 TB Equity</t>
  </si>
  <si>
    <t>COM7 TB</t>
  </si>
  <si>
    <t>13/09/2023</t>
  </si>
  <si>
    <t>SYRMA IN Equity</t>
  </si>
  <si>
    <t>SYRMA IN</t>
  </si>
  <si>
    <t>FRT VN</t>
  </si>
  <si>
    <t>000851 CH Equity</t>
  </si>
  <si>
    <t>000851 CH</t>
  </si>
  <si>
    <t>000034 CH Equity</t>
  </si>
  <si>
    <t>000034 CH</t>
  </si>
  <si>
    <t>002598 CH Equity</t>
  </si>
  <si>
    <t>002598 CH</t>
  </si>
  <si>
    <t>PSD VN Equity</t>
  </si>
  <si>
    <t>PSD VN</t>
  </si>
  <si>
    <t>TIE VN Equity</t>
  </si>
  <si>
    <t>TIE VN</t>
  </si>
  <si>
    <t>300397 CH Equity</t>
  </si>
  <si>
    <t>300397 CH</t>
  </si>
  <si>
    <t>INGRM TI Equity</t>
  </si>
  <si>
    <t>INGRM TI</t>
  </si>
  <si>
    <t>DCXINDIA IN Equity</t>
  </si>
  <si>
    <t>DCXINDIA IN</t>
  </si>
  <si>
    <t>ERAA IJ Equity</t>
  </si>
  <si>
    <t>ERAA IJ</t>
  </si>
  <si>
    <t>31/08/2023</t>
  </si>
  <si>
    <t>30/08/2023</t>
  </si>
  <si>
    <t>DGW re-levered beta</t>
  </si>
  <si>
    <t>Current D/E &gt;&gt;</t>
  </si>
  <si>
    <t>29/08/2023</t>
  </si>
  <si>
    <t>28/08/2023</t>
  </si>
  <si>
    <t>*Bloomberg 7/11/2023</t>
  </si>
  <si>
    <t>25/08/2023</t>
  </si>
  <si>
    <t>24/08/2023</t>
  </si>
  <si>
    <t>23/08/2023</t>
  </si>
  <si>
    <t>SYNTHETIC RATING FOR DGW: Damodaran's simple methodology to evaluate credit rating and estimate cost of debt</t>
  </si>
  <si>
    <t>22/08/2023</t>
  </si>
  <si>
    <t>&gt;</t>
  </si>
  <si>
    <t>≤ to</t>
  </si>
  <si>
    <t>Rating is</t>
  </si>
  <si>
    <t>Spread is</t>
  </si>
  <si>
    <t>21/08/2023</t>
  </si>
  <si>
    <t>Vietnam 1 year government bond yield 7.11.2023 (3Y average)</t>
  </si>
  <si>
    <t>D2/D</t>
  </si>
  <si>
    <t>18/08/2023</t>
  </si>
  <si>
    <t>FY23E interest coverage ratio</t>
  </si>
  <si>
    <t>Average EBIT / interest expense</t>
  </si>
  <si>
    <t>C2/C</t>
  </si>
  <si>
    <t>17/08/2023</t>
  </si>
  <si>
    <t>Credit rating</t>
  </si>
  <si>
    <t>A2/A</t>
  </si>
  <si>
    <t>Sources:  Damodaran January 2023</t>
  </si>
  <si>
    <t>Ca2/CC</t>
  </si>
  <si>
    <t>16/08/2023</t>
  </si>
  <si>
    <t>Company default spread</t>
  </si>
  <si>
    <t>DGW credit rating is A2/A based on Damodaran, Moody rating</t>
  </si>
  <si>
    <t>Caa/CCC</t>
  </si>
  <si>
    <t>15/08/2023</t>
  </si>
  <si>
    <t>Country default spread</t>
  </si>
  <si>
    <t>DGW's is generated 100% domestically and exposes to country default risk, sources Damodaran July 2023</t>
  </si>
  <si>
    <t>B3/B-</t>
  </si>
  <si>
    <t>14/08/2023</t>
  </si>
  <si>
    <t>Implied pre-tax cost of debt</t>
  </si>
  <si>
    <t>B2/B</t>
  </si>
  <si>
    <t>B1/B+</t>
  </si>
  <si>
    <t>Ba2/BB</t>
  </si>
  <si>
    <t>Ba1/BB+</t>
  </si>
  <si>
    <t>Baa2/BBB</t>
  </si>
  <si>
    <t>A3/A-</t>
  </si>
  <si>
    <t>A1/A+</t>
  </si>
  <si>
    <t>Aa2/AA</t>
  </si>
  <si>
    <t>Aaa/AAA</t>
  </si>
  <si>
    <t>31/07/2023</t>
  </si>
  <si>
    <t>Date of Analysis: Data used is as of January 2023</t>
  </si>
  <si>
    <t>28/07/2023</t>
  </si>
  <si>
    <t>Sources: Damodaran</t>
  </si>
  <si>
    <t>27/07/2023</t>
  </si>
  <si>
    <t>https://pages.stern.nyu.edu/~adamodar/New_Home_Page/datafile/ratings.html</t>
  </si>
  <si>
    <t>26/07/2023</t>
  </si>
  <si>
    <t>25/07/2023</t>
  </si>
  <si>
    <t>24/07/2023</t>
  </si>
  <si>
    <t>21/07/2023</t>
  </si>
  <si>
    <t>20/07/2023</t>
  </si>
  <si>
    <t>19/07/2023</t>
  </si>
  <si>
    <t>18/07/2023</t>
  </si>
  <si>
    <t>17/07/2023</t>
  </si>
  <si>
    <t>14/07/2023</t>
  </si>
  <si>
    <t>13/07/2023</t>
  </si>
  <si>
    <t>30/06/2023</t>
  </si>
  <si>
    <t>29/06/2023</t>
  </si>
  <si>
    <t>28/06/2023</t>
  </si>
  <si>
    <t>27/06/2023</t>
  </si>
  <si>
    <t>26/06/2023</t>
  </si>
  <si>
    <t>23/06/2023</t>
  </si>
  <si>
    <t>22/06/2023</t>
  </si>
  <si>
    <t>21/06/2023</t>
  </si>
  <si>
    <t>20/06/2023</t>
  </si>
  <si>
    <t>19/06/2023</t>
  </si>
  <si>
    <t>16/06/2023</t>
  </si>
  <si>
    <t>15/06/2023</t>
  </si>
  <si>
    <t>14/06/2023</t>
  </si>
  <si>
    <t>13/06/2023</t>
  </si>
  <si>
    <t>31/05/2023</t>
  </si>
  <si>
    <t>30/05/2023</t>
  </si>
  <si>
    <t>29/05/2023</t>
  </si>
  <si>
    <t>26/05/2023</t>
  </si>
  <si>
    <t>25/05/2023</t>
  </si>
  <si>
    <t>24/05/2023</t>
  </si>
  <si>
    <t>23/05/2023</t>
  </si>
  <si>
    <t>22/05/2023</t>
  </si>
  <si>
    <t>19/05/2023</t>
  </si>
  <si>
    <t>18/05/2023</t>
  </si>
  <si>
    <t>17/05/2023</t>
  </si>
  <si>
    <t>16/05/2023</t>
  </si>
  <si>
    <t>15/05/2023</t>
  </si>
  <si>
    <t>28/04/2023</t>
  </si>
  <si>
    <t>27/04/2023</t>
  </si>
  <si>
    <t>26/04/2023</t>
  </si>
  <si>
    <t>25/04/2023</t>
  </si>
  <si>
    <t>24/04/2023</t>
  </si>
  <si>
    <t>21/04/2023</t>
  </si>
  <si>
    <t>20/04/2023</t>
  </si>
  <si>
    <t>19/04/2023</t>
  </si>
  <si>
    <t>18/04/2023</t>
  </si>
  <si>
    <t>17/04/2023</t>
  </si>
  <si>
    <t>14/04/2023</t>
  </si>
  <si>
    <t>13/04/2023</t>
  </si>
  <si>
    <t>31/03/2023</t>
  </si>
  <si>
    <t>30/03/2023</t>
  </si>
  <si>
    <t>29/03/2023</t>
  </si>
  <si>
    <t>28/03/2023</t>
  </si>
  <si>
    <t>27/03/2023</t>
  </si>
  <si>
    <t>24/03/2023</t>
  </si>
  <si>
    <t>23/03/2023</t>
  </si>
  <si>
    <t>22/03/2023</t>
  </si>
  <si>
    <t>21/03/2023</t>
  </si>
  <si>
    <t>20/03/2023</t>
  </si>
  <si>
    <t>17/03/2023</t>
  </si>
  <si>
    <t>16/03/2023</t>
  </si>
  <si>
    <t>15/03/2023</t>
  </si>
  <si>
    <t>14/03/2023</t>
  </si>
  <si>
    <t>13/03/2023</t>
  </si>
  <si>
    <t>28/02/2023</t>
  </si>
  <si>
    <t>27/02/2023</t>
  </si>
  <si>
    <t>24/02/2023</t>
  </si>
  <si>
    <t>23/02/2023</t>
  </si>
  <si>
    <t>22/02/2023</t>
  </si>
  <si>
    <t>21/02/2023</t>
  </si>
  <si>
    <t>20/02/2023</t>
  </si>
  <si>
    <t>17/02/2023</t>
  </si>
  <si>
    <t>16/02/2023</t>
  </si>
  <si>
    <t>15/02/2023</t>
  </si>
  <si>
    <t>14/02/2023</t>
  </si>
  <si>
    <t>13/02/2023</t>
  </si>
  <si>
    <t>31/01/2023</t>
  </si>
  <si>
    <t>30/01/2023</t>
  </si>
  <si>
    <t>27/01/2023</t>
  </si>
  <si>
    <t>26/01/2023</t>
  </si>
  <si>
    <t>25/01/2023</t>
  </si>
  <si>
    <t>24/01/2023</t>
  </si>
  <si>
    <t>23/01/2023</t>
  </si>
  <si>
    <t>20/01/2023</t>
  </si>
  <si>
    <t>19/01/2023</t>
  </si>
  <si>
    <t>18/01/2023</t>
  </si>
  <si>
    <t>17/01/2023</t>
  </si>
  <si>
    <t>16/01/2023</t>
  </si>
  <si>
    <t>13/01/2023</t>
  </si>
  <si>
    <t>30/12/2022</t>
  </si>
  <si>
    <t>29/12/2022</t>
  </si>
  <si>
    <t>28/12/2022</t>
  </si>
  <si>
    <t>27/12/2022</t>
  </si>
  <si>
    <t>26/12/2022</t>
  </si>
  <si>
    <t>23/12/2022</t>
  </si>
  <si>
    <t>22/12/2022</t>
  </si>
  <si>
    <t>21/12/2022</t>
  </si>
  <si>
    <t>20/12/2022</t>
  </si>
  <si>
    <t>19/12/2022</t>
  </si>
  <si>
    <t>16/12/2022</t>
  </si>
  <si>
    <t>15/12/2022</t>
  </si>
  <si>
    <t>14/12/2022</t>
  </si>
  <si>
    <t>13/12/2022</t>
  </si>
  <si>
    <t>30/11/2022</t>
  </si>
  <si>
    <t>29/11/2022</t>
  </si>
  <si>
    <t>28/11/2022</t>
  </si>
  <si>
    <t>25/11/2022</t>
  </si>
  <si>
    <t>24/11/2022</t>
  </si>
  <si>
    <t>23/11/2022</t>
  </si>
  <si>
    <t>22/11/2022</t>
  </si>
  <si>
    <t>21/11/2022</t>
  </si>
  <si>
    <t>18/11/2022</t>
  </si>
  <si>
    <t>17/11/2022</t>
  </si>
  <si>
    <t>16/11/2022</t>
  </si>
  <si>
    <t>15/11/2022</t>
  </si>
  <si>
    <t>14/11/2022</t>
  </si>
  <si>
    <t>31/10/2022</t>
  </si>
  <si>
    <t>28/10/2022</t>
  </si>
  <si>
    <t>27/10/2022</t>
  </si>
  <si>
    <t>26/10/2022</t>
  </si>
  <si>
    <t>25/10/2022</t>
  </si>
  <si>
    <t>24/10/2022</t>
  </si>
  <si>
    <t>21/10/2022</t>
  </si>
  <si>
    <t>20/10/2022</t>
  </si>
  <si>
    <t>19/10/2022</t>
  </si>
  <si>
    <t>18/10/2022</t>
  </si>
  <si>
    <t>17/10/2022</t>
  </si>
  <si>
    <t>14/10/2022</t>
  </si>
  <si>
    <t>13/10/2022</t>
  </si>
  <si>
    <t>30/09/2022</t>
  </si>
  <si>
    <t>29/09/2022</t>
  </si>
  <si>
    <t>28/09/2022</t>
  </si>
  <si>
    <t>27/09/2022</t>
  </si>
  <si>
    <t>26/09/2022</t>
  </si>
  <si>
    <t>23/09/2022</t>
  </si>
  <si>
    <t>22/09/2022</t>
  </si>
  <si>
    <t>21/09/2022</t>
  </si>
  <si>
    <t>20/09/2022</t>
  </si>
  <si>
    <t>19/09/2022</t>
  </si>
  <si>
    <t>16/09/2022</t>
  </si>
  <si>
    <t>15/09/2022</t>
  </si>
  <si>
    <t>14/09/2022</t>
  </si>
  <si>
    <t>13/09/2022</t>
  </si>
  <si>
    <t>31/08/2022</t>
  </si>
  <si>
    <t>30/08/2022</t>
  </si>
  <si>
    <t>29/08/2022</t>
  </si>
  <si>
    <t>26/08/2022</t>
  </si>
  <si>
    <t>25/08/2022</t>
  </si>
  <si>
    <t>24/08/2022</t>
  </si>
  <si>
    <t>23/08/2022</t>
  </si>
  <si>
    <t>22/08/2022</t>
  </si>
  <si>
    <t>19/08/2022</t>
  </si>
  <si>
    <t>18/08/2022</t>
  </si>
  <si>
    <t>17/08/2022</t>
  </si>
  <si>
    <t>16/08/2022</t>
  </si>
  <si>
    <t>15/08/2022</t>
  </si>
  <si>
    <t>29/07/2022</t>
  </si>
  <si>
    <t>28/07/2022</t>
  </si>
  <si>
    <t>27/07/2022</t>
  </si>
  <si>
    <t>26/07/2022</t>
  </si>
  <si>
    <t>25/07/2022</t>
  </si>
  <si>
    <t>22/07/2022</t>
  </si>
  <si>
    <t>21/07/2022</t>
  </si>
  <si>
    <t>20/07/2022</t>
  </si>
  <si>
    <t>19/07/2022</t>
  </si>
  <si>
    <t>18/07/2022</t>
  </si>
  <si>
    <t>15/07/2022</t>
  </si>
  <si>
    <t>14/07/2022</t>
  </si>
  <si>
    <t>13/07/2022</t>
  </si>
  <si>
    <t>30/06/2022</t>
  </si>
  <si>
    <t>29/06/2022</t>
  </si>
  <si>
    <t>28/06/2022</t>
  </si>
  <si>
    <t>27/06/2022</t>
  </si>
  <si>
    <t>24/06/2022</t>
  </si>
  <si>
    <t>23/06/2022</t>
  </si>
  <si>
    <t>22/06/2022</t>
  </si>
  <si>
    <t>21/06/2022</t>
  </si>
  <si>
    <t>20/06/2022</t>
  </si>
  <si>
    <t>17/06/2022</t>
  </si>
  <si>
    <t>16/06/2022</t>
  </si>
  <si>
    <t>15/06/2022</t>
  </si>
  <si>
    <t>14/06/2022</t>
  </si>
  <si>
    <t>13/06/2022</t>
  </si>
  <si>
    <t>31/05/2022</t>
  </si>
  <si>
    <t>30/05/2022</t>
  </si>
  <si>
    <t>27/05/2022</t>
  </si>
  <si>
    <t>26/05/2022</t>
  </si>
  <si>
    <t>25/05/2022</t>
  </si>
  <si>
    <t>24/05/2022</t>
  </si>
  <si>
    <t>23/05/2022</t>
  </si>
  <si>
    <t>20/05/2022</t>
  </si>
  <si>
    <t>19/05/2022</t>
  </si>
  <si>
    <t>18/05/2022</t>
  </si>
  <si>
    <t>17/05/2022</t>
  </si>
  <si>
    <t>16/05/2022</t>
  </si>
  <si>
    <t>13/05/2022</t>
  </si>
  <si>
    <t>29/04/2022</t>
  </si>
  <si>
    <t>28/04/2022</t>
  </si>
  <si>
    <t>27/04/2022</t>
  </si>
  <si>
    <t>26/04/2022</t>
  </si>
  <si>
    <t>25/04/2022</t>
  </si>
  <si>
    <t>22/04/2022</t>
  </si>
  <si>
    <t>21/04/2022</t>
  </si>
  <si>
    <t>20/04/2022</t>
  </si>
  <si>
    <t>19/04/2022</t>
  </si>
  <si>
    <t>18/04/2022</t>
  </si>
  <si>
    <t>15/04/2022</t>
  </si>
  <si>
    <t>14/04/2022</t>
  </si>
  <si>
    <t>13/04/2022</t>
  </si>
  <si>
    <t>31/03/2022</t>
  </si>
  <si>
    <t>30/03/2022</t>
  </si>
  <si>
    <t>29/03/2022</t>
  </si>
  <si>
    <t>28/03/2022</t>
  </si>
  <si>
    <t>25/03/2022</t>
  </si>
  <si>
    <t>24/03/2022</t>
  </si>
  <si>
    <t>23/03/2022</t>
  </si>
  <si>
    <t>22/03/2022</t>
  </si>
  <si>
    <t>21/03/2022</t>
  </si>
  <si>
    <t>18/03/2022</t>
  </si>
  <si>
    <t>17/03/2022</t>
  </si>
  <si>
    <t>16/03/2022</t>
  </si>
  <si>
    <t>15/03/2022</t>
  </si>
  <si>
    <t>14/03/2022</t>
  </si>
  <si>
    <t>28/02/2022</t>
  </si>
  <si>
    <t>25/02/2022</t>
  </si>
  <si>
    <t>24/02/2022</t>
  </si>
  <si>
    <t>23/02/2022</t>
  </si>
  <si>
    <t>22/02/2022</t>
  </si>
  <si>
    <t>21/02/2022</t>
  </si>
  <si>
    <t>18/02/2022</t>
  </si>
  <si>
    <t>17/02/2022</t>
  </si>
  <si>
    <t>16/02/2022</t>
  </si>
  <si>
    <t>15/02/2022</t>
  </si>
  <si>
    <t>14/02/2022</t>
  </si>
  <si>
    <t>31/01/2022</t>
  </si>
  <si>
    <t>28/01/2022</t>
  </si>
  <si>
    <t>27/01/2022</t>
  </si>
  <si>
    <t>26/01/2022</t>
  </si>
  <si>
    <t>25/01/2022</t>
  </si>
  <si>
    <t>24/01/2022</t>
  </si>
  <si>
    <t>21/01/2022</t>
  </si>
  <si>
    <t>20/01/2022</t>
  </si>
  <si>
    <t>19/01/2022</t>
  </si>
  <si>
    <t>18/01/2022</t>
  </si>
  <si>
    <t>17/01/2022</t>
  </si>
  <si>
    <t>14/01/2022</t>
  </si>
  <si>
    <t>13/01/2022</t>
  </si>
  <si>
    <t>31/12/2021</t>
  </si>
  <si>
    <t>30/12/2021</t>
  </si>
  <si>
    <t>29/12/2021</t>
  </si>
  <si>
    <t>28/12/2021</t>
  </si>
  <si>
    <t>27/12/2021</t>
  </si>
  <si>
    <t>24/12/2021</t>
  </si>
  <si>
    <t>23/12/2021</t>
  </si>
  <si>
    <t>22/12/2021</t>
  </si>
  <si>
    <t>21/12/2021</t>
  </si>
  <si>
    <t>20/12/2021</t>
  </si>
  <si>
    <t>17/12/2021</t>
  </si>
  <si>
    <t>16/12/2021</t>
  </si>
  <si>
    <t>15/12/2021</t>
  </si>
  <si>
    <t>14/12/2021</t>
  </si>
  <si>
    <t>13/12/2021</t>
  </si>
  <si>
    <t>30/11/2021</t>
  </si>
  <si>
    <t>29/11/2021</t>
  </si>
  <si>
    <t>26/11/2021</t>
  </si>
  <si>
    <t>25/11/2021</t>
  </si>
  <si>
    <t>24/11/2021</t>
  </si>
  <si>
    <t>23/11/2021</t>
  </si>
  <si>
    <t>22/11/2021</t>
  </si>
  <si>
    <t>19/11/2021</t>
  </si>
  <si>
    <t>18/11/2021</t>
  </si>
  <si>
    <t>17/11/2021</t>
  </si>
  <si>
    <t>16/11/2021</t>
  </si>
  <si>
    <t>15/11/2021</t>
  </si>
  <si>
    <t>29/10/2021</t>
  </si>
  <si>
    <t>28/10/2021</t>
  </si>
  <si>
    <t>27/10/2021</t>
  </si>
  <si>
    <t>26/10/2021</t>
  </si>
  <si>
    <t>25/10/2021</t>
  </si>
  <si>
    <t>22/10/2021</t>
  </si>
  <si>
    <t>21/10/2021</t>
  </si>
  <si>
    <t>20/10/2021</t>
  </si>
  <si>
    <t>19/10/2021</t>
  </si>
  <si>
    <t>18/10/2021</t>
  </si>
  <si>
    <t>15/10/2021</t>
  </si>
  <si>
    <t>14/10/2021</t>
  </si>
  <si>
    <t>13/10/2021</t>
  </si>
  <si>
    <t>30/09/2021</t>
  </si>
  <si>
    <t>29/09/2021</t>
  </si>
  <si>
    <t>28/09/2021</t>
  </si>
  <si>
    <t>27/09/2021</t>
  </si>
  <si>
    <t>24/09/2021</t>
  </si>
  <si>
    <t>23/09/2021</t>
  </si>
  <si>
    <t>22/09/2021</t>
  </si>
  <si>
    <t>21/09/2021</t>
  </si>
  <si>
    <t>20/09/2021</t>
  </si>
  <si>
    <t>17/09/2021</t>
  </si>
  <si>
    <t>16/09/2021</t>
  </si>
  <si>
    <t>15/09/2021</t>
  </si>
  <si>
    <t>14/09/2021</t>
  </si>
  <si>
    <t>13/09/2021</t>
  </si>
  <si>
    <t>31/08/2021</t>
  </si>
  <si>
    <t>30/08/2021</t>
  </si>
  <si>
    <t>27/08/2021</t>
  </si>
  <si>
    <t>26/08/2021</t>
  </si>
  <si>
    <t>25/08/2021</t>
  </si>
  <si>
    <t>24/08/2021</t>
  </si>
  <si>
    <t>23/08/2021</t>
  </si>
  <si>
    <t>20/08/2021</t>
  </si>
  <si>
    <t>19/08/2021</t>
  </si>
  <si>
    <t>18/08/2021</t>
  </si>
  <si>
    <t>17/08/2021</t>
  </si>
  <si>
    <t>16/08/2021</t>
  </si>
  <si>
    <t>13/08/2021</t>
  </si>
  <si>
    <t>30/07/2021</t>
  </si>
  <si>
    <t>29/07/2021</t>
  </si>
  <si>
    <t>28/07/2021</t>
  </si>
  <si>
    <t>27/07/2021</t>
  </si>
  <si>
    <t>26/07/2021</t>
  </si>
  <si>
    <t>23/07/2021</t>
  </si>
  <si>
    <t>22/07/2021</t>
  </si>
  <si>
    <t>21/07/2021</t>
  </si>
  <si>
    <t>20/07/2021</t>
  </si>
  <si>
    <t>19/07/2021</t>
  </si>
  <si>
    <t>16/07/2021</t>
  </si>
  <si>
    <t>15/07/2021</t>
  </si>
  <si>
    <t>14/07/2021</t>
  </si>
  <si>
    <t>13/07/2021</t>
  </si>
  <si>
    <t>30/06/2021</t>
  </si>
  <si>
    <t>29/06/2021</t>
  </si>
  <si>
    <t>28/06/2021</t>
  </si>
  <si>
    <t>25/06/2021</t>
  </si>
  <si>
    <t>24/06/2021</t>
  </si>
  <si>
    <t>23/06/2021</t>
  </si>
  <si>
    <t>22/06/2021</t>
  </si>
  <si>
    <t>21/06/2021</t>
  </si>
  <si>
    <t>18/06/2021</t>
  </si>
  <si>
    <t>17/06/2021</t>
  </si>
  <si>
    <t>16/06/2021</t>
  </si>
  <si>
    <t>15/06/2021</t>
  </si>
  <si>
    <t>14/06/2021</t>
  </si>
  <si>
    <t>31/05/2021</t>
  </si>
  <si>
    <t>28/05/2021</t>
  </si>
  <si>
    <t>27/05/2021</t>
  </si>
  <si>
    <t>26/05/2021</t>
  </si>
  <si>
    <t>25/05/2021</t>
  </si>
  <si>
    <t>24/05/2021</t>
  </si>
  <si>
    <t>21/05/2021</t>
  </si>
  <si>
    <t>20/05/2021</t>
  </si>
  <si>
    <t>19/05/2021</t>
  </si>
  <si>
    <t>18/05/2021</t>
  </si>
  <si>
    <t>17/05/2021</t>
  </si>
  <si>
    <t>14/05/2021</t>
  </si>
  <si>
    <t>13/05/2021</t>
  </si>
  <si>
    <t>30/04/2021</t>
  </si>
  <si>
    <t>29/04/2021</t>
  </si>
  <si>
    <t>28/04/2021</t>
  </si>
  <si>
    <t>27/04/2021</t>
  </si>
  <si>
    <t>26/04/2021</t>
  </si>
  <si>
    <t>23/04/2021</t>
  </si>
  <si>
    <t>22/04/2021</t>
  </si>
  <si>
    <t>21/04/2021</t>
  </si>
  <si>
    <t>20/04/2021</t>
  </si>
  <si>
    <t>19/04/2021</t>
  </si>
  <si>
    <t>16/04/2021</t>
  </si>
  <si>
    <t>15/04/2021</t>
  </si>
  <si>
    <t>14/04/2021</t>
  </si>
  <si>
    <t>13/04/2021</t>
  </si>
  <si>
    <t>31/03/2021</t>
  </si>
  <si>
    <t>30/03/2021</t>
  </si>
  <si>
    <t>29/03/2021</t>
  </si>
  <si>
    <t>26/03/2021</t>
  </si>
  <si>
    <t>25/03/2021</t>
  </si>
  <si>
    <t>24/03/2021</t>
  </si>
  <si>
    <t>23/03/2021</t>
  </si>
  <si>
    <t>22/03/2021</t>
  </si>
  <si>
    <t>19/03/2021</t>
  </si>
  <si>
    <t>18/03/2021</t>
  </si>
  <si>
    <t>17/03/2021</t>
  </si>
  <si>
    <t>16/03/2021</t>
  </si>
  <si>
    <t>15/03/2021</t>
  </si>
  <si>
    <t>26/02/2021</t>
  </si>
  <si>
    <t>25/02/2021</t>
  </si>
  <si>
    <t>24/02/2021</t>
  </si>
  <si>
    <t>23/02/2021</t>
  </si>
  <si>
    <t>22/02/2021</t>
  </si>
  <si>
    <t>19/02/2021</t>
  </si>
  <si>
    <t>18/02/2021</t>
  </si>
  <si>
    <t>17/02/2021</t>
  </si>
  <si>
    <t>16/02/2021</t>
  </si>
  <si>
    <t>15/02/2021</t>
  </si>
  <si>
    <t>29/01/2021</t>
  </si>
  <si>
    <t>28/01/2021</t>
  </si>
  <si>
    <t>27/01/2021</t>
  </si>
  <si>
    <t>26/01/2021</t>
  </si>
  <si>
    <t>25/01/2021</t>
  </si>
  <si>
    <t>22/01/2021</t>
  </si>
  <si>
    <t>21/01/2021</t>
  </si>
  <si>
    <t>20/01/2021</t>
  </si>
  <si>
    <t>19/01/2021</t>
  </si>
  <si>
    <t>18/01/2021</t>
  </si>
  <si>
    <t>15/01/2021</t>
  </si>
  <si>
    <t>14/01/2021</t>
  </si>
  <si>
    <t>13/01/2021</t>
  </si>
  <si>
    <t>31/12/2020</t>
  </si>
  <si>
    <t>30/12/2020</t>
  </si>
  <si>
    <t>29/12/2020</t>
  </si>
  <si>
    <t>28/12/2020</t>
  </si>
  <si>
    <t>25/12/2020</t>
  </si>
  <si>
    <t>24/12/2020</t>
  </si>
  <si>
    <t>23/12/2020</t>
  </si>
  <si>
    <t>22/12/2020</t>
  </si>
  <si>
    <t>21/12/2020</t>
  </si>
  <si>
    <t>18/12/2020</t>
  </si>
  <si>
    <t>17/12/2020</t>
  </si>
  <si>
    <t>16/12/2020</t>
  </si>
  <si>
    <t>15/12/2020</t>
  </si>
  <si>
    <t>14/12/2020</t>
  </si>
  <si>
    <t>30/11/2020</t>
  </si>
  <si>
    <t>27/11/2020</t>
  </si>
  <si>
    <t>26/11/2020</t>
  </si>
  <si>
    <t>25/11/2020</t>
  </si>
  <si>
    <t>24/11/2020</t>
  </si>
  <si>
    <t>23/11/2020</t>
  </si>
  <si>
    <t>20/11/2020</t>
  </si>
  <si>
    <t>19/11/2020</t>
  </si>
  <si>
    <t>18/11/2020</t>
  </si>
  <si>
    <t>17/11/2020</t>
  </si>
  <si>
    <t>16/11/2020</t>
  </si>
  <si>
    <t>13/11/2020</t>
  </si>
  <si>
    <t>FINANCIAL ANALYSIS</t>
  </si>
  <si>
    <t>DGW &gt;&gt;</t>
  </si>
  <si>
    <t>PET &gt;&gt;</t>
  </si>
  <si>
    <t>GROWTH RATE</t>
  </si>
  <si>
    <t xml:space="preserve">   Phone</t>
  </si>
  <si>
    <t xml:space="preserve">   Laptop</t>
  </si>
  <si>
    <t xml:space="preserve">   Office Equipment</t>
  </si>
  <si>
    <t>Net profit</t>
  </si>
  <si>
    <t>G&amp;A expense</t>
  </si>
  <si>
    <t>Assets growth</t>
  </si>
  <si>
    <t>Equity growth</t>
  </si>
  <si>
    <t>Liabilities growth</t>
  </si>
  <si>
    <t>DUPONT ANALYSIS</t>
  </si>
  <si>
    <t>Assets turnover</t>
  </si>
  <si>
    <t>Assets / Equity</t>
  </si>
  <si>
    <t>PROFITABILITIES</t>
  </si>
  <si>
    <t>Net profit margin</t>
  </si>
  <si>
    <t>Gross profit margin</t>
  </si>
  <si>
    <t xml:space="preserve">    Phone</t>
  </si>
  <si>
    <t xml:space="preserve">    Laptop</t>
  </si>
  <si>
    <t xml:space="preserve">    Office equipement</t>
  </si>
  <si>
    <t xml:space="preserve">    Others</t>
  </si>
  <si>
    <t>ROAE</t>
  </si>
  <si>
    <t>ROAA</t>
  </si>
  <si>
    <t>ROIC</t>
  </si>
  <si>
    <t>ROCE</t>
  </si>
  <si>
    <t>Selling expense / sales</t>
  </si>
  <si>
    <t>Interest expense / total debt</t>
  </si>
  <si>
    <t>G&amp;A expense / sales</t>
  </si>
  <si>
    <t>Deduction / Sales</t>
  </si>
  <si>
    <t>SG&amp;A / sales</t>
  </si>
  <si>
    <t>ACTIVITIES</t>
  </si>
  <si>
    <t>Inventory turnover</t>
  </si>
  <si>
    <t>Receivable turnover</t>
  </si>
  <si>
    <t>Payable turnover</t>
  </si>
  <si>
    <t>Days of inventory</t>
  </si>
  <si>
    <t>Days of receivable</t>
  </si>
  <si>
    <t>Days of payable</t>
  </si>
  <si>
    <t>Account receivable / sales</t>
  </si>
  <si>
    <t>Commercial receivable turnover</t>
  </si>
  <si>
    <t>Commerical payable turnover</t>
  </si>
  <si>
    <t>SHORT TERM LIQUIDITY</t>
  </si>
  <si>
    <t>Cash ratio</t>
  </si>
  <si>
    <t>Quick ratio</t>
  </si>
  <si>
    <t>Current ratio</t>
  </si>
  <si>
    <t>EBITDA / total liabilities</t>
  </si>
  <si>
    <t>SOLVENCY</t>
  </si>
  <si>
    <t>EBIT / interest expense</t>
  </si>
  <si>
    <t>CAPITAL STRUCTURE</t>
  </si>
  <si>
    <t>D/E</t>
  </si>
  <si>
    <t>D/A</t>
  </si>
  <si>
    <t>E/A</t>
  </si>
  <si>
    <t>Short term liabities / Equity</t>
  </si>
  <si>
    <t>Net debt / Equity</t>
  </si>
  <si>
    <t>Net debt / Assets</t>
  </si>
  <si>
    <t>CF RATIO</t>
  </si>
  <si>
    <t>CFO / Assets</t>
  </si>
  <si>
    <t>CFO / Total debt</t>
  </si>
  <si>
    <t>CFO / Capex</t>
  </si>
  <si>
    <t>CFO + Interest paid / Interest paid</t>
  </si>
  <si>
    <t>CFO / Revenue</t>
  </si>
  <si>
    <t>Lợi nhuận chững lại 1 nhịp sau giai đoạn tăng trưởng thần tốc, chuẩn bị cho bước tiến tiếp theo… (&gt; Forecast)</t>
  </si>
  <si>
    <t xml:space="preserve">Tăng trưởng doanh thu + Biên lợi nhuận tăng </t>
  </si>
  <si>
    <r>
      <t xml:space="preserve">1. Tăng trưởng mạnh mẽ doanh thu giai đoạn 18-21 với CAGR 53.0%, outperform ngành </t>
    </r>
    <r>
      <rPr>
        <b/>
        <sz val="11"/>
        <color rgb="FF00B0F0"/>
        <rFont val="Calibri"/>
        <family val="2"/>
        <scheme val="minor"/>
      </rPr>
      <t>(XXX %)</t>
    </r>
    <r>
      <rPr>
        <b/>
        <sz val="11"/>
        <color theme="1"/>
        <rFont val="Calibri"/>
        <family val="2"/>
        <scheme val="minor"/>
      </rPr>
      <t xml:space="preserve"> thúc đẩy bởi
</t>
    </r>
    <r>
      <rPr>
        <sz val="11"/>
        <color theme="1"/>
        <rFont val="Calibri"/>
        <family val="2"/>
        <scheme val="minor"/>
      </rPr>
      <t xml:space="preserve">+ Mảng điện thoại tăng trưởng mạnh nhất </t>
    </r>
    <r>
      <rPr>
        <b/>
        <sz val="11"/>
        <color rgb="FF00B0F0"/>
        <rFont val="Calibri"/>
        <family val="2"/>
        <scheme val="minor"/>
      </rPr>
      <t>(XXX CAGR)</t>
    </r>
    <r>
      <rPr>
        <sz val="11"/>
        <color theme="1"/>
        <rFont val="Calibri"/>
        <family val="2"/>
        <scheme val="minor"/>
      </rPr>
      <t>, Xiaomi mở rộng từ 2018 (</t>
    </r>
    <r>
      <rPr>
        <b/>
        <sz val="11"/>
        <color rgb="FF00B0F0"/>
        <rFont val="Calibri"/>
        <family val="2"/>
        <scheme val="minor"/>
      </rPr>
      <t>XXX CAGR)</t>
    </r>
    <r>
      <rPr>
        <sz val="11"/>
        <color theme="1"/>
        <rFont val="Calibri"/>
        <family val="2"/>
        <scheme val="minor"/>
      </rPr>
      <t xml:space="preserve"> , DGW phân phối Ip từ 2020 
+ Mảng laptop mở rộng trong xu hướng làm việc từ xa</t>
    </r>
    <r>
      <rPr>
        <b/>
        <sz val="11"/>
        <color rgb="FF00B0F0"/>
        <rFont val="Calibri"/>
        <family val="2"/>
        <scheme val="minor"/>
      </rPr>
      <t xml:space="preserve"> (XXX CAGR)</t>
    </r>
    <r>
      <rPr>
        <sz val="11"/>
        <color theme="1"/>
        <rFont val="Calibri"/>
        <family val="2"/>
        <scheme val="minor"/>
      </rPr>
      <t xml:space="preserve">
+ Thời kì kinh tế tăng nóng 2018 và trend Covid 21-22
</t>
    </r>
    <r>
      <rPr>
        <b/>
        <sz val="11"/>
        <color theme="1"/>
        <rFont val="Calibri"/>
        <family val="2"/>
        <scheme val="minor"/>
      </rPr>
      <t>&gt; Lợi nhuận cũng tăng trưởng thần tốc đạt 70%/năm do biên lợi nhuận gộp tăng</t>
    </r>
    <r>
      <rPr>
        <b/>
        <sz val="11"/>
        <color rgb="FFFF0000"/>
        <rFont val="Calibri"/>
        <family val="2"/>
        <scheme val="minor"/>
      </rPr>
      <t xml:space="preserve"> (năm 2021 laptop + chip shortage khiến mặt hàng khan hiếm nên chi phí bán hàng giảm, DGW restructure SG&amp;A nên cũng giảm), còn 2022 chưa rõ, maybe vì mớ OE, consumer goods)
</t>
    </r>
    <r>
      <rPr>
        <sz val="11"/>
        <color theme="1"/>
        <rFont val="Calibri"/>
        <family val="2"/>
        <scheme val="minor"/>
      </rPr>
      <t xml:space="preserve">
</t>
    </r>
    <r>
      <rPr>
        <b/>
        <sz val="11"/>
        <color theme="1"/>
        <rFont val="Calibri"/>
        <family val="2"/>
        <scheme val="minor"/>
      </rPr>
      <t>2. Điểm sáng tăng trưởng mặc dù bé trong tình hình chung 2022 tệ
-</t>
    </r>
    <r>
      <rPr>
        <sz val="11"/>
        <color theme="1"/>
        <rFont val="Calibri"/>
        <family val="2"/>
        <scheme val="minor"/>
      </rPr>
      <t xml:space="preserve"> Trend 21 kết thúc, nền cao thị trường phản ảnh sự bão hòa
- Vĩ mô 2022 bất ổn, dân cắt giảm chi tiêu</t>
    </r>
    <r>
      <rPr>
        <b/>
        <sz val="11"/>
        <color theme="1"/>
        <rFont val="Calibri"/>
        <family val="2"/>
        <scheme val="minor"/>
      </rPr>
      <t xml:space="preserve">
-</t>
    </r>
    <r>
      <rPr>
        <sz val="11"/>
        <color theme="1"/>
        <rFont val="Calibri"/>
        <family val="2"/>
        <scheme val="minor"/>
      </rPr>
      <t xml:space="preserve"> Gián đoạn chuỗi cung ứng nên bị Ip14 shortage vào cuối năm
+ Vẫn tăng trưởng (Rev +5.3% yoy vs </t>
    </r>
    <r>
      <rPr>
        <b/>
        <sz val="11"/>
        <color rgb="FF00B0F0"/>
        <rFont val="Calibri"/>
        <family val="2"/>
        <scheme val="minor"/>
      </rPr>
      <t>XX của XXX</t>
    </r>
    <r>
      <rPr>
        <sz val="11"/>
        <color theme="1"/>
        <rFont val="Calibri"/>
        <family val="2"/>
        <scheme val="minor"/>
      </rPr>
      <t xml:space="preserve">) nhờ chiếm thị phần, nhất là từ IP
+ Các mảng home appliance vẫn tăng trưởng nhẹ </t>
    </r>
    <r>
      <rPr>
        <b/>
        <sz val="11"/>
        <color rgb="FF00B0F0"/>
        <rFont val="Calibri"/>
        <family val="2"/>
        <scheme val="minor"/>
      </rPr>
      <t>(XXX%)</t>
    </r>
    <r>
      <rPr>
        <sz val="11"/>
        <color theme="1"/>
        <rFont val="Calibri"/>
        <family val="2"/>
        <scheme val="minor"/>
      </rPr>
      <t>, mở rộng thêm các nhãn hàng và ngành hàng điển hình từ Whirpool</t>
    </r>
    <r>
      <rPr>
        <b/>
        <sz val="11"/>
        <color theme="1"/>
        <rFont val="Calibri"/>
        <family val="2"/>
        <scheme val="minor"/>
      </rPr>
      <t xml:space="preserve"> </t>
    </r>
    <r>
      <rPr>
        <sz val="11"/>
        <color theme="1"/>
        <rFont val="Calibri"/>
        <family val="2"/>
        <scheme val="minor"/>
      </rPr>
      <t>và Xiaomi TV</t>
    </r>
  </si>
  <si>
    <r>
      <t xml:space="preserve">H1.2023: Kết quả kinh doanh kém khả quan trước diễn biến thị trường chung
</t>
    </r>
    <r>
      <rPr>
        <sz val="11"/>
        <color theme="1"/>
        <rFont val="Calibri"/>
        <family val="2"/>
        <scheme val="minor"/>
      </rPr>
      <t xml:space="preserve">+ Doanh số H1.2023 đạt 8556 tỷ, giảm 28% yoy, lợi nhuận đạt 169 tỷ, giảm 51.4% yoy là mức giảm mạnh sau giai đoạn tăng trưởng
+ Nguyên nhân doanh thu giảm do sức mua yếu của thị trường chung, thu nhập người dân chưa cải thiện trong bổi cảnh lãi suất trong nước đạt đỉnh, thị trường BĐS đóng băng và thương mại toàn cầu chậm chạp...
+ Nguyên nhân lợi nhuận giảm rất mạnh do chi phí bán hàng Q2 tăng mạnh (Ip bị gián đoạn chuỗi cung ứng hồi Q4.22, khiến hàng đặt về giao trễ vào Q1.23 và phải tăng chi phí bán hàng, hỗ trợ B2B client để xả hàng tồn kho vì sales tệ hơn dự báo) và chi phí lãi vay trong H1.2023 cao hơn đáng kể so với quá khứ vì mặt bằng lãi suất cao (Refer Cell BM18 BM36 sheet FS forecast)
</t>
    </r>
    <r>
      <rPr>
        <b/>
        <sz val="11"/>
        <color theme="1"/>
        <rFont val="Calibri"/>
        <family val="2"/>
        <scheme val="minor"/>
      </rPr>
      <t xml:space="preserve">Tuy vậy, thời kì khó khăn nhất được kì vọng đã qua
</t>
    </r>
    <r>
      <rPr>
        <sz val="11"/>
        <color theme="1"/>
        <rFont val="Calibri"/>
        <family val="2"/>
        <scheme val="minor"/>
      </rPr>
      <t xml:space="preserve">+ Doanh số bán hàng các mảng và </t>
    </r>
    <r>
      <rPr>
        <b/>
        <sz val="11"/>
        <color theme="1"/>
        <rFont val="Calibri"/>
        <family val="2"/>
        <scheme val="minor"/>
      </rPr>
      <t>lợi nhuận đã tạo đáy trong quý 1</t>
    </r>
    <r>
      <rPr>
        <sz val="11"/>
        <color theme="1"/>
        <rFont val="Calibri"/>
        <family val="2"/>
        <scheme val="minor"/>
      </rPr>
      <t xml:space="preserve"> và bắt đầu phục hồi mạnh mẽ hơn vào quý 2, ngay cả khi Q2 là quý thấp điểm (Rev +16.1% QoQ và NPAT +6.1% QoQ) (ngoại trừ mảng điện thoại sales tạo đáy ở Q4.22 do gian đoạn chuỗi cung ứng Iphone Zero Covid)
+ Lợi nhuận phục hồi chậm hơn do tăng chi phí bán hàng, hỗ trợ khách hàng trong bối cảnh cuộc chiến về giá để xả hàng tồn kho
+ Kể từ Q2, cầu bắt đầu phục hồi: lãi suất giảm, đại lý nhập hàng chuẩn bị cho mùa tựu trường</t>
    </r>
    <r>
      <rPr>
        <b/>
        <sz val="11"/>
        <color theme="1"/>
        <rFont val="Calibri"/>
        <family val="2"/>
        <scheme val="minor"/>
      </rPr>
      <t xml:space="preserve">
Chất lượng lợi nhuận rất ok nhờ mô hình kinh doanh tinh gọn, linh hoạt, phần lớn lợi nhuận đến từ hưởng chênh lệch giá mua bán sản phẩm với biên chênh lệch ổn định</t>
    </r>
  </si>
  <si>
    <r>
      <t xml:space="preserve">Hiệu suất hoạt động nhìn trên số vòng quay tiền cải thiện gấp 4 lần trong giai đoạn 18-21 nhờ
</t>
    </r>
    <r>
      <rPr>
        <sz val="11"/>
        <color theme="1"/>
        <rFont val="Calibri"/>
        <family val="2"/>
        <scheme val="minor"/>
      </rPr>
      <t xml:space="preserve">+ Hàng tồn kho xoay nhanh gấp đôi
+ Khả năng chiếm dụng vốn nhà cung cấp của DGW: 
+ Số ngày phải thu giữ ổn định: 
</t>
    </r>
    <r>
      <rPr>
        <b/>
        <sz val="11"/>
        <color theme="1"/>
        <rFont val="Calibri"/>
        <family val="2"/>
        <scheme val="minor"/>
      </rPr>
      <t>Đơn giản vì cầu thị trường cao, hấp thu nhanh, đạt đỉnh năm 2021</t>
    </r>
  </si>
  <si>
    <r>
      <rPr>
        <b/>
        <sz val="11"/>
        <color theme="1"/>
        <rFont val="Calibri"/>
        <family val="2"/>
        <scheme val="minor"/>
      </rPr>
      <t>Năm 2022, số ngày quay tiền bắt đầu tăng rở lại đến từ bối cảnh vĩ mô toàn cầu nhiều sự bất ổn</t>
    </r>
    <r>
      <rPr>
        <sz val="11"/>
        <color theme="1"/>
        <rFont val="Calibri"/>
        <family val="2"/>
        <scheme val="minor"/>
      </rPr>
      <t xml:space="preserve">
+ việc giải phóng hàng tồn kho chậm lại: (1) DGW thường xuyên phải tăng hàng nhập khẩu tồn kho để đáp ứng nhu cầu khi chính sách Zero Covid k chắc chắn (2) Phí ship cao (3) Cầu thị trường giảm (4) các mặt hàng Whirpool, Xiaomi TV mới bắt đầu
+ Số ngày phải thu tăng: Tình hình bán hàng khó khăn, DGW hỗ trợ customer nhất là small dealer dãn nợ
</t>
    </r>
    <r>
      <rPr>
        <b/>
        <sz val="11"/>
        <color theme="1"/>
        <rFont val="Calibri"/>
        <family val="2"/>
        <scheme val="minor"/>
      </rPr>
      <t xml:space="preserve">
Kể từ quý 2.2023, hiệu suất hoạt đồng bắt đầu cải thiện trở lại</t>
    </r>
  </si>
  <si>
    <r>
      <rPr>
        <b/>
        <sz val="11"/>
        <color theme="1"/>
        <rFont val="Calibri"/>
        <family val="2"/>
        <scheme val="minor"/>
      </rPr>
      <t>ROE khá cao, tăng ấn tượng trong giai đoạn 18-21 nhờ:</t>
    </r>
    <r>
      <rPr>
        <sz val="11"/>
        <color theme="1"/>
        <rFont val="Calibri"/>
        <family val="2"/>
        <scheme val="minor"/>
      </rPr>
      <t xml:space="preserve">
+ Hoạt động hiệu quả hơn, Assets turnover tăng mạnh
+ Net profit margin tăng nhẹ từ các sản phẩm có lợi nhuận gộp cao hơn và công ty kiểm soát khá tốt chi phí
+ Cơ cấu nợ - vốn chủ k có sự thay đổi quá lớn trong giai đó, nợ vay được kiểm soát tốt phù hợp với tình hình hoạt động và bối cảnh thị trường
</t>
    </r>
    <r>
      <rPr>
        <b/>
        <sz val="11"/>
        <color theme="1"/>
        <rFont val="Calibri"/>
        <family val="2"/>
        <scheme val="minor"/>
      </rPr>
      <t xml:space="preserve">Trong năm 2022: ROE vẫn cao </t>
    </r>
    <r>
      <rPr>
        <sz val="11"/>
        <color theme="1"/>
        <rFont val="Calibri"/>
        <family val="2"/>
        <scheme val="minor"/>
      </rPr>
      <t xml:space="preserve">
+ Mặc dù kinh doanh chậm lại về mức 2019-2020
+ Nhưng biên lợi nhuận cao hơn và sử dụng nợ vay nhiều hơn</t>
    </r>
  </si>
  <si>
    <t>Deposit rate</t>
  </si>
  <si>
    <t>Thanh khoản và thanh toán luôn ở mức tốt</t>
  </si>
  <si>
    <t xml:space="preserve">Chi phí vốn vay thấp gần bằng lãi suất huy động =&gt; Funding profile ổn, cơ cấu tài sản ổn </t>
  </si>
  <si>
    <t>chưa thấy gì bất thường ảnh hưởng tới hoạt động bình thường của công ty về dài hạn</t>
  </si>
  <si>
    <r>
      <rPr>
        <b/>
        <sz val="11"/>
        <color theme="1"/>
        <rFont val="Calibri"/>
        <family val="2"/>
        <scheme val="minor"/>
      </rPr>
      <t xml:space="preserve">Rủi ro chỉ xuất hiện trong ngắn hạn ở năm 2022, khi dự đoán k đúng về demand, khiến hàng tồn kho tăng và chi phí lãi vay tăng
</t>
    </r>
    <r>
      <rPr>
        <sz val="11"/>
        <color theme="1"/>
        <rFont val="Calibri"/>
        <family val="2"/>
        <scheme val="minor"/>
      </rPr>
      <t>+ Do năm 2022 vốn bất ổn vĩ mô toàn cầu
+ Đỉnh điểm là cuối năm 2022, đầu năm 23 khi forecast đề man k chuẩn, Zero Covid khiến hàng tồn kho cao và cuộc chiến xả hàng</t>
    </r>
  </si>
  <si>
    <r>
      <t>Việc dòng tiền thuần và CFO âm bất thường trong 2022 cũng k có vấn đề gì</t>
    </r>
    <r>
      <rPr>
        <sz val="11"/>
        <color theme="1"/>
        <rFont val="Calibri"/>
        <family val="2"/>
        <scheme val="minor"/>
      </rPr>
      <t xml:space="preserve">
Chỉ</t>
    </r>
    <r>
      <rPr>
        <b/>
        <sz val="11"/>
        <color theme="1"/>
        <rFont val="Calibri"/>
        <family val="2"/>
        <scheme val="minor"/>
      </rPr>
      <t xml:space="preserve"> </t>
    </r>
    <r>
      <rPr>
        <sz val="11"/>
        <color theme="1"/>
        <rFont val="Calibri"/>
        <family val="2"/>
        <scheme val="minor"/>
      </rPr>
      <t xml:space="preserve">là do cuối quý 4 Payable cao do sales quý đó cao so, còn trong Q4.2022 sales chậm lại nên payable giảm thì thấy CFO âm, nhưng k có ảnh hưởng gì do tiền mặt tích trữ cuối năm 2021 rất cao nhờ kinh doanh tốt
</t>
    </r>
    <r>
      <rPr>
        <b/>
        <sz val="11"/>
        <color theme="1"/>
        <rFont val="Calibri"/>
        <family val="2"/>
        <scheme val="minor"/>
      </rPr>
      <t>Quan trọng là cash ratio luôn ở mức tốt và khả năng huy động vốn tín dụng tốt</t>
    </r>
  </si>
  <si>
    <t>COMPARE</t>
  </si>
  <si>
    <t>Rev size</t>
  </si>
  <si>
    <t>FPT Synnex</t>
  </si>
  <si>
    <t>Day of inventories</t>
  </si>
  <si>
    <t>ROA</t>
  </si>
  <si>
    <t>Merit</t>
  </si>
  <si>
    <t>High profitability driven by superio margin and management efficiency</t>
  </si>
  <si>
    <t>Continuously discovering many sources of revenue thanks to strategic MES &amp; M&amp;A strategy</t>
  </si>
  <si>
    <t>Concern</t>
  </si>
  <si>
    <t>No more extraordinary growth from ICT segment to drive the business</t>
  </si>
  <si>
    <t>New segment is still early to judge</t>
  </si>
  <si>
    <t>Expectation on recovery has been refected in market price</t>
  </si>
  <si>
    <t>2012A</t>
  </si>
  <si>
    <t>2013A</t>
  </si>
  <si>
    <t>2014A</t>
  </si>
  <si>
    <t>2015A</t>
  </si>
  <si>
    <t>2016A</t>
  </si>
  <si>
    <t>Ngày xuất dữ liệu</t>
  </si>
  <si>
    <t>09/15/2023</t>
  </si>
  <si>
    <t>Mã CK</t>
  </si>
  <si>
    <t xml:space="preserve">DGW </t>
  </si>
  <si>
    <t>Xem theo</t>
  </si>
  <si>
    <t>Năm</t>
  </si>
  <si>
    <t>2022</t>
  </si>
  <si>
    <t>Loại</t>
  </si>
  <si>
    <t>Hợp nhất</t>
  </si>
  <si>
    <t>Tiền tệ</t>
  </si>
  <si>
    <t>VNĐ</t>
  </si>
  <si>
    <t>Tỷ VNĐ</t>
  </si>
  <si>
    <t>PnL</t>
  </si>
  <si>
    <t>YEAR&gt;</t>
  </si>
  <si>
    <t>QUARTER&gt;</t>
  </si>
  <si>
    <t>English</t>
  </si>
  <si>
    <t>Vietnamese</t>
  </si>
  <si>
    <t>2017</t>
  </si>
  <si>
    <t>2018</t>
  </si>
  <si>
    <t>2019</t>
  </si>
  <si>
    <t>2020</t>
  </si>
  <si>
    <t>2021</t>
  </si>
  <si>
    <t>Trạng thái kiểm toán</t>
  </si>
  <si>
    <t>Đã kiểm toán</t>
  </si>
  <si>
    <t>Chưa kiểm toán</t>
  </si>
  <si>
    <t>Công ty Kiểm toán</t>
  </si>
  <si>
    <t>EY Vietnam</t>
  </si>
  <si>
    <t>Loại Ý kiến Kiểm toán</t>
  </si>
  <si>
    <t>Chấp nhận toàn phần</t>
  </si>
  <si>
    <t>Sales</t>
  </si>
  <si>
    <t>Doanh số</t>
  </si>
  <si>
    <t>Mobile phone market size (bil VND)</t>
  </si>
  <si>
    <t>Sales deductions</t>
  </si>
  <si>
    <t>Các khoản giảm trừ</t>
  </si>
  <si>
    <t>Net sales</t>
  </si>
  <si>
    <t>Doanh số thuần</t>
  </si>
  <si>
    <t>Euromonitor</t>
  </si>
  <si>
    <t>Cost of sales</t>
  </si>
  <si>
    <t>Giá vốn hàng bán</t>
  </si>
  <si>
    <t>GfK</t>
  </si>
  <si>
    <t>Gross Profit</t>
  </si>
  <si>
    <t>Lãi gộp</t>
  </si>
  <si>
    <t>Thu nhập tài chính</t>
  </si>
  <si>
    <t>Market size (Vol)</t>
  </si>
  <si>
    <t>Financial expenses</t>
  </si>
  <si>
    <t>Chi phí tài chính</t>
  </si>
  <si>
    <t xml:space="preserve">    of which: interest expenses</t>
  </si>
  <si>
    <t xml:space="preserve">     Trong đó: Chi phí lãi vay</t>
  </si>
  <si>
    <t>Euro</t>
  </si>
  <si>
    <t>Gain/(loss) from joint ventures (from 2015)</t>
  </si>
  <si>
    <t>Lãi/(lỗ) từ công ty liên doanh (từ năm 2015)</t>
  </si>
  <si>
    <t>Selling expenses</t>
  </si>
  <si>
    <t>Chi phí bán hàng</t>
  </si>
  <si>
    <t>IDC</t>
  </si>
  <si>
    <t>G&amp;A expenses</t>
  </si>
  <si>
    <t>Chi phí quản lý doanh  nghiệp</t>
  </si>
  <si>
    <t>Counterpoint</t>
  </si>
  <si>
    <t>Operating profit/(loss)</t>
  </si>
  <si>
    <t>Lãi/(lỗ) từ hoạt động kinh doanh</t>
  </si>
  <si>
    <t>Other incomes</t>
  </si>
  <si>
    <t xml:space="preserve">     Thu nhập khác</t>
  </si>
  <si>
    <t>Other expenses</t>
  </si>
  <si>
    <t xml:space="preserve">     Chi phí khác</t>
  </si>
  <si>
    <t>Thu nhập khác, ròng</t>
  </si>
  <si>
    <t>Income from investments in other entities (before 2015)</t>
  </si>
  <si>
    <t>Lãi/(lỗ) từ công ty liên doanh</t>
  </si>
  <si>
    <t>Net accounting profit/(loss) before tax</t>
  </si>
  <si>
    <t>Lãi/(lỗ) ròng trước thuế</t>
  </si>
  <si>
    <t>Business income tax - current</t>
  </si>
  <si>
    <t xml:space="preserve">     Thuế thu nhập doanh nghiệp – hiện thời</t>
  </si>
  <si>
    <t>Business income tax - deferred</t>
  </si>
  <si>
    <t xml:space="preserve">     Thuế thu nhập doanh nghiệp – hoãn lại</t>
  </si>
  <si>
    <t>Business income tax expenses</t>
  </si>
  <si>
    <t>Chi phí thuế thu nhập doanh nghiệp</t>
  </si>
  <si>
    <t>Net profit/(loss) after tax</t>
  </si>
  <si>
    <t>Lãi/(lỗ) thuần sau thuế</t>
  </si>
  <si>
    <t>Minority interests</t>
  </si>
  <si>
    <t>Lợi ích của cổ đông thiểu số</t>
  </si>
  <si>
    <t>Attributable to parent company</t>
  </si>
  <si>
    <t>Lợi nhuận của Cổ đông của Công ty mẹ</t>
  </si>
  <si>
    <t>EPS_basis</t>
  </si>
  <si>
    <t>Lãi cơ bản trên cổ phiếu (VND)</t>
  </si>
  <si>
    <t>EPS_diluted</t>
  </si>
  <si>
    <t>Lãi trên cổ phiếu pha loãng (VND)</t>
  </si>
  <si>
    <t>Depreciation and amortization</t>
  </si>
  <si>
    <t>CURRENT ASSETS</t>
  </si>
  <si>
    <t>TÀI SẢN NGẮN HẠN</t>
  </si>
  <si>
    <t>Cash and cash equivalents</t>
  </si>
  <si>
    <t>Tiền và tương đương tiền</t>
  </si>
  <si>
    <t xml:space="preserve">    Cash </t>
  </si>
  <si>
    <t xml:space="preserve">     Tiền</t>
  </si>
  <si>
    <t xml:space="preserve">    Cash equivalents</t>
  </si>
  <si>
    <t xml:space="preserve">     Các khoản tương đương tiền</t>
  </si>
  <si>
    <t>Short-term investments</t>
  </si>
  <si>
    <t>Giá trị thuần đầu tư ngắn hạn</t>
  </si>
  <si>
    <t xml:space="preserve">    Short-term investments</t>
  </si>
  <si>
    <t xml:space="preserve">     Đầu tư ngắn hạn</t>
  </si>
  <si>
    <t xml:space="preserve">    Provision for diminution</t>
  </si>
  <si>
    <t xml:space="preserve">     Dự phòng đầu tư ngắn hạn</t>
  </si>
  <si>
    <t xml:space="preserve">    Held-to-maturity investment</t>
  </si>
  <si>
    <t xml:space="preserve">     Đầu tư nắm giữ đến ngày đáo hạn</t>
  </si>
  <si>
    <t>Accounts receivable</t>
  </si>
  <si>
    <t>Các khoản phải thu</t>
  </si>
  <si>
    <t xml:space="preserve">    Trade accounts receivable</t>
  </si>
  <si>
    <t xml:space="preserve">     Phải thu khách hàng</t>
  </si>
  <si>
    <t xml:space="preserve">    Prepayments to suppliers</t>
  </si>
  <si>
    <t xml:space="preserve">     Trả trước người bán</t>
  </si>
  <si>
    <t xml:space="preserve">    Intercompany receivables</t>
  </si>
  <si>
    <t xml:space="preserve">     Phải thu nội bộ</t>
  </si>
  <si>
    <t xml:space="preserve">    Construction contract in progress receivables</t>
  </si>
  <si>
    <t xml:space="preserve">     Phải thu về XDCB</t>
  </si>
  <si>
    <t xml:space="preserve">    Short-term loans receivables</t>
  </si>
  <si>
    <t xml:space="preserve">     Phải thu về cho vay ngắn hạn</t>
  </si>
  <si>
    <t xml:space="preserve">    Other receivables</t>
  </si>
  <si>
    <t xml:space="preserve">     Phải thu khác</t>
  </si>
  <si>
    <t xml:space="preserve">    Provision for doubtful debts</t>
  </si>
  <si>
    <t xml:space="preserve">     Dự phòng nợ khó đòi</t>
  </si>
  <si>
    <t xml:space="preserve">    Shortage of current assets waiting for solution</t>
  </si>
  <si>
    <t xml:space="preserve">     Tài sản thiếu chờ xử lý</t>
  </si>
  <si>
    <t>Hàng tồn kho, ròng</t>
  </si>
  <si>
    <t xml:space="preserve">    Inventories</t>
  </si>
  <si>
    <t xml:space="preserve">     Hàng tồn kho</t>
  </si>
  <si>
    <t xml:space="preserve">    Provision for decline in inventories</t>
  </si>
  <si>
    <t xml:space="preserve">     Dự phòng giảm giá HTK</t>
  </si>
  <si>
    <t>Other current assets</t>
  </si>
  <si>
    <t>Tài sản lưu động khác</t>
  </si>
  <si>
    <t xml:space="preserve">    Short-term prepayments</t>
  </si>
  <si>
    <t xml:space="preserve">     Trả trước ngắn hạn</t>
  </si>
  <si>
    <t xml:space="preserve">    VAT to be claimed</t>
  </si>
  <si>
    <t xml:space="preserve">     Thuế VAT phải thu</t>
  </si>
  <si>
    <t xml:space="preserve">    Other taxes receivable</t>
  </si>
  <si>
    <t xml:space="preserve">     Phải thu thuế khác</t>
  </si>
  <si>
    <t xml:space="preserve">    Government bonds purchased for resale</t>
  </si>
  <si>
    <t xml:space="preserve">     Giao dịch mua bán lại trái phiếu chính phủ</t>
  </si>
  <si>
    <t xml:space="preserve">    Other current assets</t>
  </si>
  <si>
    <t xml:space="preserve">     Tài sản lưu động khác</t>
  </si>
  <si>
    <t>LONG-TERM ASSETS</t>
  </si>
  <si>
    <t>TÀI SẢN DÀI HẠN</t>
  </si>
  <si>
    <t>Long-term trade receivables</t>
  </si>
  <si>
    <t>Phải thu dài hạn</t>
  </si>
  <si>
    <t xml:space="preserve">    Long-term trade receivables from customers</t>
  </si>
  <si>
    <t xml:space="preserve">     Phải thu khách hàng dài hạn</t>
  </si>
  <si>
    <t xml:space="preserve">    Long-term prepayments to suppliers</t>
  </si>
  <si>
    <t xml:space="preserve">     Trả trước người bán dài hạn</t>
  </si>
  <si>
    <t xml:space="preserve">    Paid-in capital in wholly-owned subsidiaries</t>
  </si>
  <si>
    <t xml:space="preserve">     Vốn kinh doanh ở các đơn vị trực thuộc</t>
  </si>
  <si>
    <t xml:space="preserve">    Long-term intercompany receivables</t>
  </si>
  <si>
    <t xml:space="preserve">     Phải thu nội bộ dài hạn</t>
  </si>
  <si>
    <t xml:space="preserve">    Long-term loans receivables</t>
  </si>
  <si>
    <t xml:space="preserve">     Phải thu về cho vay dài hạn</t>
  </si>
  <si>
    <t xml:space="preserve">    Other long-term receivables</t>
  </si>
  <si>
    <t xml:space="preserve">     Phải thu dài hạn khác</t>
  </si>
  <si>
    <t xml:space="preserve">    Provision for doubtful LT receivable</t>
  </si>
  <si>
    <t xml:space="preserve">     Dự phòng phải thu dài hạn</t>
  </si>
  <si>
    <t>Tài sản cố định</t>
  </si>
  <si>
    <t xml:space="preserve">    Tangible fixed assets</t>
  </si>
  <si>
    <t xml:space="preserve">     GTCL TSCĐ hữu hình</t>
  </si>
  <si>
    <t xml:space="preserve">        Cost</t>
  </si>
  <si>
    <t xml:space="preserve">          Nguyên giá TSCĐ hữu hình</t>
  </si>
  <si>
    <t xml:space="preserve">        Accumulated depreciation</t>
  </si>
  <si>
    <t xml:space="preserve">          Khấu hao lũy kế TSCĐ hữu hình</t>
  </si>
  <si>
    <t xml:space="preserve">    Finance lease assets</t>
  </si>
  <si>
    <t xml:space="preserve">     GTCL Tài sản thuê tài chính</t>
  </si>
  <si>
    <t xml:space="preserve">          Nguyên giá tài sản thuê tài chính</t>
  </si>
  <si>
    <t xml:space="preserve">          Khấu hao lũy kế tài sản thuê tài chính</t>
  </si>
  <si>
    <t xml:space="preserve">    Intangible fixed assets</t>
  </si>
  <si>
    <t xml:space="preserve">     GTCL tài sản cố định vô hình</t>
  </si>
  <si>
    <t xml:space="preserve">          Nguyên giá TSCĐ vô hình</t>
  </si>
  <si>
    <t xml:space="preserve">          Khấu khao lũy kế TSCĐ vô hình</t>
  </si>
  <si>
    <t xml:space="preserve">    Construction in progress (before 2015)</t>
  </si>
  <si>
    <t xml:space="preserve">     Xây dựng cơ bản dở dang (trước 2015)</t>
  </si>
  <si>
    <t>Investment properties</t>
  </si>
  <si>
    <t>Giá trị ròng tài sản đầu tư</t>
  </si>
  <si>
    <t xml:space="preserve">    Cost</t>
  </si>
  <si>
    <t xml:space="preserve">     Nguyên giá tài sản đầu tư</t>
  </si>
  <si>
    <t xml:space="preserve">    Accumulated depreciation</t>
  </si>
  <si>
    <t xml:space="preserve">     Khấu hao lũy kế tài sản đầu tư</t>
  </si>
  <si>
    <t>Long-term incomplete assets</t>
  </si>
  <si>
    <t>Tài sản dở dang dài hạn</t>
  </si>
  <si>
    <t xml:space="preserve">    Long-term cost of work in progress</t>
  </si>
  <si>
    <t xml:space="preserve">     Chi phí sản xuất, kinh doanh dở dang dài hạn</t>
  </si>
  <si>
    <t xml:space="preserve">    Construction in progress (after 2015)</t>
  </si>
  <si>
    <t xml:space="preserve">     Xây dựng cơ bản dở dang</t>
  </si>
  <si>
    <t>Đầu tư dài hạn</t>
  </si>
  <si>
    <t xml:space="preserve">    Investments in subsidiaries</t>
  </si>
  <si>
    <t xml:space="preserve">     Đầu tư vào các công ty con</t>
  </si>
  <si>
    <t xml:space="preserve">    Investments in associates</t>
  </si>
  <si>
    <t xml:space="preserve">     Đầu tư vào các công ty liên kết</t>
  </si>
  <si>
    <t xml:space="preserve">    Other long-term investments</t>
  </si>
  <si>
    <t xml:space="preserve">     Đầu tư dài hạn khác</t>
  </si>
  <si>
    <t xml:space="preserve">    Provision for long-term investments</t>
  </si>
  <si>
    <t xml:space="preserve">     Dự phòng giảm giá đầu tư dài hạn</t>
  </si>
  <si>
    <t>Good will (before 2015)</t>
  </si>
  <si>
    <t>Lợi thế thương mại (trước 2015)</t>
  </si>
  <si>
    <t>Other long-term assets</t>
  </si>
  <si>
    <t>Tài sản dài hạn khác</t>
  </si>
  <si>
    <t xml:space="preserve">    Long-term prepayments</t>
  </si>
  <si>
    <t xml:space="preserve">     Trả trước dài hạn</t>
  </si>
  <si>
    <t xml:space="preserve">    Deferred income tax assets</t>
  </si>
  <si>
    <t xml:space="preserve">     Thuế thu nhập hoãn lại phải thu</t>
  </si>
  <si>
    <t xml:space="preserve">    Long-term equipment, material and spare parts</t>
  </si>
  <si>
    <t xml:space="preserve">     Thiết bị, vật tư, phụ tùng thay thế dài hạn</t>
  </si>
  <si>
    <t xml:space="preserve">    Other long-term assets</t>
  </si>
  <si>
    <t xml:space="preserve">     Các tài sản dài hạn khác</t>
  </si>
  <si>
    <t xml:space="preserve">    Good will (after 2015)</t>
  </si>
  <si>
    <t xml:space="preserve">     Lợi thế thương mại</t>
  </si>
  <si>
    <t>TỔNG CỘNG TÀI SẢN</t>
  </si>
  <si>
    <t>NỢ PHẢI TRẢ</t>
  </si>
  <si>
    <t>Current liabilities</t>
  </si>
  <si>
    <t>Nợ ngắn hạn</t>
  </si>
  <si>
    <t xml:space="preserve">    Trade accounts payable</t>
  </si>
  <si>
    <t xml:space="preserve">     Phải trả người bán</t>
  </si>
  <si>
    <t xml:space="preserve">    Advances from customers</t>
  </si>
  <si>
    <t xml:space="preserve">     Người mua trả tiền trước</t>
  </si>
  <si>
    <t xml:space="preserve">    Taxes and other payable to State Budget</t>
  </si>
  <si>
    <t xml:space="preserve">     Thuế và các khoản phải trả Nhà nước</t>
  </si>
  <si>
    <t xml:space="preserve">    Payable to employees</t>
  </si>
  <si>
    <t xml:space="preserve">     Phải trả người lao động</t>
  </si>
  <si>
    <t xml:space="preserve">    Accrued expenses</t>
  </si>
  <si>
    <t xml:space="preserve">     Chi phí phải trả</t>
  </si>
  <si>
    <t xml:space="preserve">    Intercompany payables</t>
  </si>
  <si>
    <t xml:space="preserve">     Phải trả nội bộ</t>
  </si>
  <si>
    <t xml:space="preserve">    Construction contract in progress payables</t>
  </si>
  <si>
    <t xml:space="preserve">     Phải trả về xây dựng cơ bản</t>
  </si>
  <si>
    <t xml:space="preserve">    Short-term unrealized revenue</t>
  </si>
  <si>
    <t xml:space="preserve">     Doanh thu chưa thực hiện ngắn hạn</t>
  </si>
  <si>
    <t xml:space="preserve">    Other payables</t>
  </si>
  <si>
    <t xml:space="preserve">     Phải trả khác</t>
  </si>
  <si>
    <t xml:space="preserve">     Vay ngắn hạn</t>
  </si>
  <si>
    <t xml:space="preserve">    Provision for ST liabilities</t>
  </si>
  <si>
    <t xml:space="preserve">     Dự phòng các khoản phải trả ngắn hạn</t>
  </si>
  <si>
    <t xml:space="preserve">    Bonus and welfare funds (after 2015)</t>
  </si>
  <si>
    <t xml:space="preserve">     Quỹ khen thưởng, phúc lợi</t>
  </si>
  <si>
    <t xml:space="preserve">    Price stabilization fund</t>
  </si>
  <si>
    <t xml:space="preserve">     Quỹ bình ổn giá</t>
  </si>
  <si>
    <t>Long-term liabilities</t>
  </si>
  <si>
    <t>Nợ dài hạn</t>
  </si>
  <si>
    <t>Long-term trade payables</t>
  </si>
  <si>
    <t xml:space="preserve">     Phải trả nhà cung cấp dài hạn</t>
  </si>
  <si>
    <t>Long-term advances from customers</t>
  </si>
  <si>
    <t xml:space="preserve">     Người mua trả tiền trước dài hạn</t>
  </si>
  <si>
    <t>Long-term accrued expenses</t>
  </si>
  <si>
    <t xml:space="preserve">     Chi phí phải trả dài hạn</t>
  </si>
  <si>
    <t>Intra-company payables for operating capital received</t>
  </si>
  <si>
    <t xml:space="preserve">     Phải trả nội bộ về vốn kinh doanh</t>
  </si>
  <si>
    <t>Long-term intercompany payables</t>
  </si>
  <si>
    <t xml:space="preserve">     Phải trả nội bộ dài hạn</t>
  </si>
  <si>
    <t>Unrealized revenue</t>
  </si>
  <si>
    <t xml:space="preserve">     Doanh thu chưa thực hiên</t>
  </si>
  <si>
    <t>Other long-term payables</t>
  </si>
  <si>
    <t xml:space="preserve">     Phải trả dài hạn khác</t>
  </si>
  <si>
    <t>Long-term borrowings</t>
  </si>
  <si>
    <t xml:space="preserve">     Vay dài hạn</t>
  </si>
  <si>
    <t>Convertible bonds</t>
  </si>
  <si>
    <t xml:space="preserve">     Trái phiếu chuyển đổi</t>
  </si>
  <si>
    <t>Preferred shares</t>
  </si>
  <si>
    <t xml:space="preserve">     Cổ phiếu ưu đãi</t>
  </si>
  <si>
    <t>Deferred income tax liabilities</t>
  </si>
  <si>
    <t xml:space="preserve">     Thuế thu nhập hoãn lại phải trả</t>
  </si>
  <si>
    <t>Provision for severance allowances</t>
  </si>
  <si>
    <t xml:space="preserve">     Dự phòng trợ cấp thôi việc</t>
  </si>
  <si>
    <t>Provision for long-term liabilities</t>
  </si>
  <si>
    <t xml:space="preserve">     Dự phòng các khoản công nợ dài hạn</t>
  </si>
  <si>
    <t>Technology-science development fund</t>
  </si>
  <si>
    <t xml:space="preserve">     Quỹ phát triển khoa học công nghệ</t>
  </si>
  <si>
    <t>OWNER'S EQUITY</t>
  </si>
  <si>
    <t>VỐN CHỦ SỞ HỮU</t>
  </si>
  <si>
    <t>Capital and reserves</t>
  </si>
  <si>
    <t>Vốn và các quỹ</t>
  </si>
  <si>
    <t>Paid-in capital</t>
  </si>
  <si>
    <t xml:space="preserve">     Vốn góp</t>
  </si>
  <si>
    <t xml:space="preserve">        Common shares</t>
  </si>
  <si>
    <t xml:space="preserve">          Cổ phiếu phổ thông</t>
  </si>
  <si>
    <t xml:space="preserve">        Preferred shares</t>
  </si>
  <si>
    <t xml:space="preserve">          Cổ phiếu ưu đãi</t>
  </si>
  <si>
    <t xml:space="preserve">        Share premium</t>
  </si>
  <si>
    <t xml:space="preserve">     Thặng dư vốn cổ phần</t>
  </si>
  <si>
    <t xml:space="preserve">    Conversion options on convertible bonds</t>
  </si>
  <si>
    <t xml:space="preserve">     Quyền chọn chuyển đổi trái phiếu</t>
  </si>
  <si>
    <t xml:space="preserve">        Owner's other capital</t>
  </si>
  <si>
    <t xml:space="preserve">     Vốn khác</t>
  </si>
  <si>
    <t>Treasury shares</t>
  </si>
  <si>
    <t xml:space="preserve">     Cổ phiếu quỹ</t>
  </si>
  <si>
    <t xml:space="preserve">    Differences upon asset revaluation</t>
  </si>
  <si>
    <t xml:space="preserve">     Chênh lệch đánh giá lại tài sản</t>
  </si>
  <si>
    <t xml:space="preserve">    Foreign exchange differences</t>
  </si>
  <si>
    <t xml:space="preserve">     Chênh lệch tỷ giá</t>
  </si>
  <si>
    <t xml:space="preserve">    Investment and development funds</t>
  </si>
  <si>
    <t xml:space="preserve">     Quỹ đầu tư và phát triển</t>
  </si>
  <si>
    <t xml:space="preserve">    Enterprise arrangement fund</t>
  </si>
  <si>
    <t xml:space="preserve">     Quỹ hỗ trợ sắp xếp doanh nghiệp</t>
  </si>
  <si>
    <t xml:space="preserve">    Financial reserve funds (before 2015)</t>
  </si>
  <si>
    <t xml:space="preserve">     Quỹ dự phòng tài chính</t>
  </si>
  <si>
    <t xml:space="preserve">    Other funds</t>
  </si>
  <si>
    <t xml:space="preserve">     Quỹ khác</t>
  </si>
  <si>
    <t>Undistributed earnings</t>
  </si>
  <si>
    <t xml:space="preserve">     Lãi chưa phân phối</t>
  </si>
  <si>
    <t xml:space="preserve">        Beginning accumulated undistributed earnings</t>
  </si>
  <si>
    <t xml:space="preserve">          LNST chưa phân phối lũy kế đến cuối kỳ trước</t>
  </si>
  <si>
    <t xml:space="preserve">        Current period undistributed earnings</t>
  </si>
  <si>
    <t xml:space="preserve">          LNST chưa phân phối kỳ này</t>
  </si>
  <si>
    <t>Minority interests (after 2015)</t>
  </si>
  <si>
    <t xml:space="preserve">     Lợi ích cổ đông không kiểm soát</t>
  </si>
  <si>
    <t>Budget sources and other funds</t>
  </si>
  <si>
    <t>Vốn Ngân sách nhà nước và quỹ khác</t>
  </si>
  <si>
    <t xml:space="preserve">    Bonus and welfare funds (Before 2015)</t>
  </si>
  <si>
    <t xml:space="preserve">     Quỹ khen thưởng, phúc lợi (trước 2010)</t>
  </si>
  <si>
    <t xml:space="preserve">    Budget sources and other funds</t>
  </si>
  <si>
    <t xml:space="preserve">     Vốn ngân sách nhà nước</t>
  </si>
  <si>
    <t xml:space="preserve">    Funds used for fixed asset acquisitions</t>
  </si>
  <si>
    <t xml:space="preserve">     Nguồn kinh phí đã hình thành TSCĐ</t>
  </si>
  <si>
    <t>MINORITY INTERESTS (before 2015)</t>
  </si>
  <si>
    <t>LỢI ÍCH CỦA CỔ ĐÔNG THIỂU SỐ</t>
  </si>
  <si>
    <t>TOTAL RESOURCES</t>
  </si>
  <si>
    <t>TỔNG CỘNG NGUỒN VỐN</t>
  </si>
  <si>
    <t>CF</t>
  </si>
  <si>
    <t xml:space="preserve">Gián tiếp </t>
  </si>
  <si>
    <t>Net profit/(loss) before tax</t>
  </si>
  <si>
    <t xml:space="preserve">     Lãi trước thuế</t>
  </si>
  <si>
    <t xml:space="preserve">    Depreciation and amortisation</t>
  </si>
  <si>
    <t xml:space="preserve">     Khấu hao TSCĐ</t>
  </si>
  <si>
    <t xml:space="preserve">    Amortisation of goodwill</t>
  </si>
  <si>
    <t xml:space="preserve">     Phân bổ lợi thế thương mại</t>
  </si>
  <si>
    <t xml:space="preserve">    Provisions</t>
  </si>
  <si>
    <t xml:space="preserve">     Chi phí dự phòng</t>
  </si>
  <si>
    <t xml:space="preserve">    Unrealised foreign exchange gain/(loss)</t>
  </si>
  <si>
    <t xml:space="preserve">     Lãi/(lỗ) chênh lệch tỷ giá chưa thực hiện</t>
  </si>
  <si>
    <t xml:space="preserve">    Profit/(loss) from liquidating fixed assets</t>
  </si>
  <si>
    <t xml:space="preserve">     Lãi/(lỗ) từ thanh lý tài sản cố định</t>
  </si>
  <si>
    <t xml:space="preserve">    Profit/(loss) from investing activities</t>
  </si>
  <si>
    <t xml:space="preserve">     Lãi/(lỗ) từ hoạt động đầu tư</t>
  </si>
  <si>
    <t xml:space="preserve">    Interest expense</t>
  </si>
  <si>
    <t xml:space="preserve">     Chi phí lãi vay</t>
  </si>
  <si>
    <t xml:space="preserve">    Interest income and dividend</t>
  </si>
  <si>
    <t xml:space="preserve">     Thu lãi và cổ tức</t>
  </si>
  <si>
    <t>Other adjustments</t>
  </si>
  <si>
    <t xml:space="preserve">     Các khoản điều chỉnh khác</t>
  </si>
  <si>
    <t>Operating profit/(loss) before changes in Working Capital</t>
  </si>
  <si>
    <t>Lãi/(lỗ) trước những thay đổi vốn lưu động</t>
  </si>
  <si>
    <t xml:space="preserve">    Increase/(decrease) in receivables</t>
  </si>
  <si>
    <t xml:space="preserve">     (Tăng)/giảm các khoản phải thu</t>
  </si>
  <si>
    <t xml:space="preserve">    increase/(decrease) in inventories</t>
  </si>
  <si>
    <t xml:space="preserve">     (Tăng)/giảm hàng tồn kho</t>
  </si>
  <si>
    <t xml:space="preserve">    (Increase)/decrease in payables</t>
  </si>
  <si>
    <t xml:space="preserve">     Tăng/(giảm) các khoản phải trả</t>
  </si>
  <si>
    <t xml:space="preserve">    Increase/(decrease) in prepaid expenses</t>
  </si>
  <si>
    <t xml:space="preserve">     (Tăng)/giảm chi phí trả trước</t>
  </si>
  <si>
    <t xml:space="preserve">    Increase/(decrease)  in trading securities</t>
  </si>
  <si>
    <t xml:space="preserve">     (Tăng)/giảm chứng khoán kinh doanh</t>
  </si>
  <si>
    <t xml:space="preserve">    Interest paid</t>
  </si>
  <si>
    <t xml:space="preserve">     Chi phí lãi vay đã trả</t>
  </si>
  <si>
    <t xml:space="preserve">    Business Income Tax paid</t>
  </si>
  <si>
    <t xml:space="preserve">     Thuế thu nhập doanh nghiệp đã trả</t>
  </si>
  <si>
    <t xml:space="preserve">    Other receipts from operating activities</t>
  </si>
  <si>
    <t xml:space="preserve">     Tiền thu khác từ các hoạt động kinh doanh</t>
  </si>
  <si>
    <t xml:space="preserve">    Other payments on operating activities</t>
  </si>
  <si>
    <t xml:space="preserve">     Tiền chi khác từ các hoạt động kinh doanh</t>
  </si>
  <si>
    <t>Lưu chuyển tiền tệ ròng từ các hoạt động sản xuất kinh doanh</t>
  </si>
  <si>
    <t xml:space="preserve">    Purchases of fixed assets and other long term assets</t>
  </si>
  <si>
    <t xml:space="preserve">     Tiền mua tài sản cố định và các tài sản dài hạn khác</t>
  </si>
  <si>
    <t xml:space="preserve">    Proceeds from disposal of fixed assets</t>
  </si>
  <si>
    <t xml:space="preserve">     Tiền thu được từ thanh lý tài sản cố định</t>
  </si>
  <si>
    <t xml:space="preserve">    Loans granted, purchases of debt instruments</t>
  </si>
  <si>
    <t xml:space="preserve">     Tiền cho vay hoặc mua công cụ nợ</t>
  </si>
  <si>
    <t xml:space="preserve">    Collection of loans, proceeds from sales of debts instruments</t>
  </si>
  <si>
    <t xml:space="preserve">     Tiền thu từ cho vay hoặc thu từ phát hành công cụ nợ</t>
  </si>
  <si>
    <t xml:space="preserve">    Investments in other entities</t>
  </si>
  <si>
    <t xml:space="preserve">     Đầu tư vào các doanh nghiệp khác</t>
  </si>
  <si>
    <t xml:space="preserve">    Proceeds from divestment in other entities</t>
  </si>
  <si>
    <t xml:space="preserve">     Tiền thu từ việc bán các khoản đầu tư vào các doanh nghiệp khác</t>
  </si>
  <si>
    <t xml:space="preserve">    Dividends and interest received</t>
  </si>
  <si>
    <t xml:space="preserve">     Cổ tức và tiền lãi nhận được</t>
  </si>
  <si>
    <t>Lưu chuyển tiền tệ ròng từ hoạt động đầu tư</t>
  </si>
  <si>
    <t xml:space="preserve">    Proceeds from issue of shares</t>
  </si>
  <si>
    <t xml:space="preserve">     Tiền thu từ phát hành cổ phiếu và vốn góp</t>
  </si>
  <si>
    <t xml:space="preserve">    Payments for share returns and repurchases</t>
  </si>
  <si>
    <t xml:space="preserve">     Chi trả cho việc mua lại, trả lại cổ phiếu</t>
  </si>
  <si>
    <t xml:space="preserve">    Proceeds from borrowings</t>
  </si>
  <si>
    <t xml:space="preserve">     Tiền thu được các khoản đi vay</t>
  </si>
  <si>
    <t xml:space="preserve">    Repayment of borrowings</t>
  </si>
  <si>
    <t xml:space="preserve">     Tiển trả các khoản đi vay</t>
  </si>
  <si>
    <t xml:space="preserve">    Finance lease principal payments</t>
  </si>
  <si>
    <t xml:space="preserve">     Tiền thanh toán vốn gốc đi thuê tài chính</t>
  </si>
  <si>
    <t xml:space="preserve">    Dividends paid</t>
  </si>
  <si>
    <t xml:space="preserve">     Cổ tức đã trả</t>
  </si>
  <si>
    <t xml:space="preserve">    Interests, dividends, profits received</t>
  </si>
  <si>
    <t xml:space="preserve">     Tiền lãi đã nhận</t>
  </si>
  <si>
    <t>Lưu chuyển tiền tệ từ hoạt động tài chính</t>
  </si>
  <si>
    <t>Net increase in cash and cash equivalents</t>
  </si>
  <si>
    <t>Lưu chuyển tiền thuần trong kỳ</t>
  </si>
  <si>
    <t>Cash and cash equivalents at the beginning o period</t>
  </si>
  <si>
    <t>Tiền và tương đương tiền đầu kỳ</t>
  </si>
  <si>
    <t>Effect of foreign exchange differences</t>
  </si>
  <si>
    <t>Ảnh hưởng của chênh lệch tỷ giá</t>
  </si>
  <si>
    <t>Ending Cash</t>
  </si>
  <si>
    <t>Tiền và tương đương tiền cuối kỳ</t>
  </si>
  <si>
    <t>NOTES</t>
  </si>
  <si>
    <t>Tiền</t>
  </si>
  <si>
    <t xml:space="preserve">    Cash on hand</t>
  </si>
  <si>
    <t xml:space="preserve">     Tiền mặt</t>
  </si>
  <si>
    <t xml:space="preserve">    Cash in banks</t>
  </si>
  <si>
    <t xml:space="preserve">     Tiền gửi Ngân hàng</t>
  </si>
  <si>
    <t xml:space="preserve">    Cash in transit</t>
  </si>
  <si>
    <t xml:space="preserve">     Tiền đang chuyển</t>
  </si>
  <si>
    <t xml:space="preserve">     Tiền và tương đương tiền</t>
  </si>
  <si>
    <t>Đầu tư tài chính NH</t>
  </si>
  <si>
    <t xml:space="preserve">    Short-term securities investments  </t>
  </si>
  <si>
    <t xml:space="preserve">     Chứng khoán đầu tư ngắn hạn</t>
  </si>
  <si>
    <t xml:space="preserve">        - Short-term</t>
  </si>
  <si>
    <t xml:space="preserve">          Ngắn hạn</t>
  </si>
  <si>
    <t xml:space="preserve">        - Long-term</t>
  </si>
  <si>
    <t xml:space="preserve">          Dài hạn</t>
  </si>
  <si>
    <t xml:space="preserve">    Other short-term investments</t>
  </si>
  <si>
    <t xml:space="preserve">     Đầu tư NH khác</t>
  </si>
  <si>
    <t xml:space="preserve">    Provision for diminution in value of short-term investments</t>
  </si>
  <si>
    <t xml:space="preserve">     Dự phòng giảm giá ĐTNH</t>
  </si>
  <si>
    <t>Other Receivables</t>
  </si>
  <si>
    <t>Phải thu ngắn hạn khác</t>
  </si>
  <si>
    <t xml:space="preserve">    Receivables from equitization</t>
  </si>
  <si>
    <t xml:space="preserve">     Phải thu về cổ phần hóa</t>
  </si>
  <si>
    <t xml:space="preserve">    Interest income</t>
  </si>
  <si>
    <t xml:space="preserve">     Phải thu về cổ tức và lợi nhuận được chia</t>
  </si>
  <si>
    <t xml:space="preserve">    Receivable from employees </t>
  </si>
  <si>
    <t xml:space="preserve">     Phải thu người lao động</t>
  </si>
  <si>
    <t>INVENTORIES</t>
  </si>
  <si>
    <t>Hàng tồn kho</t>
  </si>
  <si>
    <t xml:space="preserve">    Goods in transit</t>
  </si>
  <si>
    <t xml:space="preserve">     Hàng mua đang đi đường</t>
  </si>
  <si>
    <t xml:space="preserve">    Raw materials</t>
  </si>
  <si>
    <t xml:space="preserve">     Nguyên liệu, vật liệu</t>
  </si>
  <si>
    <t xml:space="preserve">    Tools and supplies</t>
  </si>
  <si>
    <t xml:space="preserve">     Công cụ, dụng cụ</t>
  </si>
  <si>
    <t xml:space="preserve">    Work in progress</t>
  </si>
  <si>
    <t xml:space="preserve">     Chi phí SX, KD dở dang</t>
  </si>
  <si>
    <t xml:space="preserve">    Finished goods</t>
  </si>
  <si>
    <t xml:space="preserve">     Thành phẩm</t>
  </si>
  <si>
    <t xml:space="preserve">    Merchandise inventories</t>
  </si>
  <si>
    <t xml:space="preserve">     Hàng hóa</t>
  </si>
  <si>
    <t xml:space="preserve">    Goods on consignment</t>
  </si>
  <si>
    <t xml:space="preserve">     Hàng gửi đi bán</t>
  </si>
  <si>
    <t xml:space="preserve">    Goods in bonded warehouses</t>
  </si>
  <si>
    <t xml:space="preserve">     Hàng hoá kho bảo thuế</t>
  </si>
  <si>
    <t xml:space="preserve">    Property</t>
  </si>
  <si>
    <t xml:space="preserve">     Hàng hoá bất động sản</t>
  </si>
  <si>
    <t>Tài sản ngắn hạn khác</t>
  </si>
  <si>
    <t xml:space="preserve">    Advances</t>
  </si>
  <si>
    <t xml:space="preserve">     Tạm ứng</t>
  </si>
  <si>
    <t xml:space="preserve">    Lack of assets awaiting handling</t>
  </si>
  <si>
    <t xml:space="preserve">    Short-term deposits or collateral</t>
  </si>
  <si>
    <t xml:space="preserve">     Cầm cố, ký quỹ, ký cược NH</t>
  </si>
  <si>
    <t xml:space="preserve">    Other</t>
  </si>
  <si>
    <t xml:space="preserve">     Khác</t>
  </si>
  <si>
    <t>Other long-term receivables</t>
  </si>
  <si>
    <t>Phải thu dài hạn khác</t>
  </si>
  <si>
    <t xml:space="preserve">    Long-term deposits or collateral</t>
  </si>
  <si>
    <t xml:space="preserve">     Ký quỹ, ký cược dài hạn</t>
  </si>
  <si>
    <t xml:space="preserve">    Sums received in Trust</t>
  </si>
  <si>
    <t xml:space="preserve">     Các khoản tiền nhận ủy thác</t>
  </si>
  <si>
    <t xml:space="preserve">    Loans without interest</t>
  </si>
  <si>
    <t xml:space="preserve">     Cho vay không có lãi</t>
  </si>
  <si>
    <t>Tangible fixed assets - Historical Cost</t>
  </si>
  <si>
    <t>Nguyên giá TSCĐHH</t>
  </si>
  <si>
    <t xml:space="preserve">    Opening Balance</t>
  </si>
  <si>
    <t xml:space="preserve">     Nguyên giá đầu kỳ</t>
  </si>
  <si>
    <t xml:space="preserve">    Additions</t>
  </si>
  <si>
    <t xml:space="preserve">     Tăng trong kỳ</t>
  </si>
  <si>
    <t xml:space="preserve">    Decreases</t>
  </si>
  <si>
    <t xml:space="preserve">     Giảm trong kỳ</t>
  </si>
  <si>
    <t>Tangible fixed assets - Accumulated depreciation</t>
  </si>
  <si>
    <t>Hao mòn TSCĐHH</t>
  </si>
  <si>
    <t xml:space="preserve">     Đầu kỳ</t>
  </si>
  <si>
    <t>Finance lease assets - Historical Cost</t>
  </si>
  <si>
    <t>Nguyên giá TSCĐ TTC</t>
  </si>
  <si>
    <t>Finance lease assets - Accumulated depreciation</t>
  </si>
  <si>
    <t>Hao mòn TSCĐ TTC</t>
  </si>
  <si>
    <t>Intangible fixed assets - Historical Cost</t>
  </si>
  <si>
    <t>Nguyên giá TSCĐVH</t>
  </si>
  <si>
    <t>Intangible fixed assets - Accumulated depreciation</t>
  </si>
  <si>
    <t>Hao mòn TSCĐVH</t>
  </si>
  <si>
    <t>Other long-term investments</t>
  </si>
  <si>
    <t>Đầu tư dài hạn khác</t>
  </si>
  <si>
    <t>Investment in securities</t>
  </si>
  <si>
    <t xml:space="preserve">     Đầu tư cổ phiếu</t>
  </si>
  <si>
    <t>Investment in bond</t>
  </si>
  <si>
    <t xml:space="preserve">     Đầu tư trái phiếu</t>
  </si>
  <si>
    <t xml:space="preserve">Investments in bills of exchange, treasury bonds </t>
  </si>
  <si>
    <t xml:space="preserve">     Đầu tư tín phiếu, kỳ phiếu</t>
  </si>
  <si>
    <t>Long-term loans</t>
  </si>
  <si>
    <t xml:space="preserve">     Cho vay dài hạn</t>
  </si>
  <si>
    <t xml:space="preserve">Short-term loans and liabilities </t>
  </si>
  <si>
    <t>Vay và nợ ngắn hạn</t>
  </si>
  <si>
    <t xml:space="preserve">Short-term loans </t>
  </si>
  <si>
    <t xml:space="preserve">Long-term liabilities falling due </t>
  </si>
  <si>
    <t xml:space="preserve">     Vay dài hạn đến hạn trả</t>
  </si>
  <si>
    <t>Good will - Historical Cost</t>
  </si>
  <si>
    <t>Giá gốc Lợi thế thương mại</t>
  </si>
  <si>
    <t xml:space="preserve">     Số dư đầu kỳ</t>
  </si>
  <si>
    <t>Additions of goodwill</t>
  </si>
  <si>
    <t>Good will - Accumulated depreciation</t>
  </si>
  <si>
    <t>Phân bổ Lũy kế</t>
  </si>
  <si>
    <t xml:space="preserve">     Số dư dầu kỳ</t>
  </si>
  <si>
    <t>Taxes payable</t>
  </si>
  <si>
    <t>Các khoản phải trả về Thuế</t>
  </si>
  <si>
    <t xml:space="preserve">    Value added tax</t>
  </si>
  <si>
    <t xml:space="preserve">     Thuế GTGT</t>
  </si>
  <si>
    <t xml:space="preserve">    Special Sales Tax (SST) </t>
  </si>
  <si>
    <t xml:space="preserve">     Thuế TTĐB</t>
  </si>
  <si>
    <t xml:space="preserve">    Import-Export tax</t>
  </si>
  <si>
    <t xml:space="preserve">     Thuế XNK</t>
  </si>
  <si>
    <t xml:space="preserve">    Corporate income Tax</t>
  </si>
  <si>
    <t xml:space="preserve">     Thuế TNDN</t>
  </si>
  <si>
    <t xml:space="preserve">    Personal Income Tax</t>
  </si>
  <si>
    <t xml:space="preserve">     Thuế TNCN</t>
  </si>
  <si>
    <t xml:space="preserve">    Natural Resources Tax </t>
  </si>
  <si>
    <t xml:space="preserve">     Thuế Tài nguyên</t>
  </si>
  <si>
    <t xml:space="preserve">    Housing and land Tax, and land rental</t>
  </si>
  <si>
    <t xml:space="preserve">     Thuế nhà đất và tiền thuê đất</t>
  </si>
  <si>
    <t xml:space="preserve">    Other taxes</t>
  </si>
  <si>
    <t xml:space="preserve">     Các loại thuế khác</t>
  </si>
  <si>
    <t xml:space="preserve">    Other fees, charges</t>
  </si>
  <si>
    <t xml:space="preserve">     Các khoản phí, lệ phí khác</t>
  </si>
  <si>
    <t>Expenses payable</t>
  </si>
  <si>
    <t>Chi phí phải trả</t>
  </si>
  <si>
    <t xml:space="preserve">    Advances on salary during the period of taking leave</t>
  </si>
  <si>
    <t xml:space="preserve">     Trích trước CF lương nghỉ phép</t>
  </si>
  <si>
    <t xml:space="preserve">    Expenses for major repair to fixed assets</t>
  </si>
  <si>
    <t xml:space="preserve">     Chi phí SCL TSCĐ</t>
  </si>
  <si>
    <t xml:space="preserve">    Expenses during the period of cessation of business activities</t>
  </si>
  <si>
    <t xml:space="preserve">     Chi phí trongthời gian ngừng KD</t>
  </si>
  <si>
    <t xml:space="preserve">    Other Payables</t>
  </si>
  <si>
    <t>Phải trả phải nộp khác</t>
  </si>
  <si>
    <t xml:space="preserve">    Surplus assets awaiting handling</t>
  </si>
  <si>
    <t xml:space="preserve">     Tài sản thừa chờ XL</t>
  </si>
  <si>
    <t xml:space="preserve">    Trade Union fees</t>
  </si>
  <si>
    <t xml:space="preserve">     Kinh phí công đoàn</t>
  </si>
  <si>
    <t xml:space="preserve">    Social insurance</t>
  </si>
  <si>
    <t xml:space="preserve">     BH XH</t>
  </si>
  <si>
    <t xml:space="preserve">    Medical Insurance</t>
  </si>
  <si>
    <t xml:space="preserve">     BHYT</t>
  </si>
  <si>
    <t xml:space="preserve">    Unemployment insurance</t>
  </si>
  <si>
    <t xml:space="preserve">     Bảo hiểm thất nghiệp</t>
  </si>
  <si>
    <t xml:space="preserve">    Payables regarding equitization</t>
  </si>
  <si>
    <t xml:space="preserve">     Phải trả về CPH</t>
  </si>
  <si>
    <t xml:space="preserve">    Receipt of short-term deposits or collateral</t>
  </si>
  <si>
    <t xml:space="preserve">     Nhận ký quỹ, ký cược NH</t>
  </si>
  <si>
    <t xml:space="preserve">    Unrealized revenue</t>
  </si>
  <si>
    <t xml:space="preserve">     Doanh thu chưa thực hiện</t>
  </si>
  <si>
    <t>Vay Dài hạn</t>
  </si>
  <si>
    <t>Bank loans</t>
  </si>
  <si>
    <t xml:space="preserve">     Vay ngân hàng</t>
  </si>
  <si>
    <t>Loans from other lenders</t>
  </si>
  <si>
    <t xml:space="preserve">     Vay đối tượng khác</t>
  </si>
  <si>
    <t>Issued bonds</t>
  </si>
  <si>
    <t xml:space="preserve">     Trái phiếu phát hành</t>
  </si>
  <si>
    <t>Financially leased liabilities</t>
  </si>
  <si>
    <t xml:space="preserve">     Thuê tài chính</t>
  </si>
  <si>
    <t>Other long-term liabilities</t>
  </si>
  <si>
    <t xml:space="preserve">     Nợ dài hạn khác</t>
  </si>
  <si>
    <t>Vốn chủ sở hữu</t>
  </si>
  <si>
    <t xml:space="preserve">    Capital contributed by the State </t>
  </si>
  <si>
    <t xml:space="preserve">     Vốn góp của nhà nước</t>
  </si>
  <si>
    <t xml:space="preserve">    Capital contributed by other entities </t>
  </si>
  <si>
    <t xml:space="preserve">     Vốn đầu tư của đối tượng khác</t>
  </si>
  <si>
    <t>Doanh thu</t>
  </si>
  <si>
    <t xml:space="preserve">    Sales of merchandise goods</t>
  </si>
  <si>
    <t xml:space="preserve">     Doanh thu bán hàng</t>
  </si>
  <si>
    <t xml:space="preserve">    Sale from services</t>
  </si>
  <si>
    <t xml:space="preserve">     Doanh thu cung cấp dịch vụ</t>
  </si>
  <si>
    <t xml:space="preserve">    Sale from construction contracts</t>
  </si>
  <si>
    <t xml:space="preserve">     Doanh thu hợp đồng xây dựng</t>
  </si>
  <si>
    <t>Sales of merchandise goods</t>
  </si>
  <si>
    <t>Giảm trừ doanh thu</t>
  </si>
  <si>
    <t xml:space="preserve">    Trade discounts</t>
  </si>
  <si>
    <t xml:space="preserve">     Chiết khấu thương mại</t>
  </si>
  <si>
    <t xml:space="preserve">    Reductions in prices of goods sold </t>
  </si>
  <si>
    <t xml:space="preserve">     Giảm giá hàng bán</t>
  </si>
  <si>
    <t xml:space="preserve">    Sales returns</t>
  </si>
  <si>
    <t xml:space="preserve">     Hàng bán bị trả lại</t>
  </si>
  <si>
    <t xml:space="preserve">    VAT payable </t>
  </si>
  <si>
    <t xml:space="preserve">     Thuế GTGT phải nộp</t>
  </si>
  <si>
    <t xml:space="preserve">    Special sales tax </t>
  </si>
  <si>
    <t xml:space="preserve">     Thuế tiêu thụ đặc biệt</t>
  </si>
  <si>
    <t xml:space="preserve">    Export Duty</t>
  </si>
  <si>
    <t xml:space="preserve">     Thuế xuất khẩu</t>
  </si>
  <si>
    <t>Giá vốn</t>
  </si>
  <si>
    <t xml:space="preserve">    Merchandise goods sold</t>
  </si>
  <si>
    <t xml:space="preserve">     Giá vốn hàng hóa đã bán</t>
  </si>
  <si>
    <t xml:space="preserve">    Finished goods sold</t>
  </si>
  <si>
    <t xml:space="preserve">     Giá vốn thành phẩm đã bán</t>
  </si>
  <si>
    <t xml:space="preserve">    Other services provided</t>
  </si>
  <si>
    <t xml:space="preserve">     Giá vốn của dịch vụ cung cấp</t>
  </si>
  <si>
    <t xml:space="preserve">    Real estate services provided</t>
  </si>
  <si>
    <t xml:space="preserve">     Giá trị còn lại, chi phí nhượng bán, Thanh lý BĐS đầu tư đã bán</t>
  </si>
  <si>
    <t xml:space="preserve">    Trade expenses of invested properties</t>
  </si>
  <si>
    <t xml:space="preserve">     Chi phí kinh doanh BĐS đầu tư</t>
  </si>
  <si>
    <t xml:space="preserve">    Inventories deficiencies</t>
  </si>
  <si>
    <t xml:space="preserve">     Hao hụt, mất mát hàng tồn kho</t>
  </si>
  <si>
    <t xml:space="preserve">    Expenses in excess of normal value</t>
  </si>
  <si>
    <t xml:space="preserve">     Các khoản chi phí vượt mức bình thường</t>
  </si>
  <si>
    <t xml:space="preserve">    Provision/(reversal of provision) for the decline in value of inventory</t>
  </si>
  <si>
    <t xml:space="preserve">     Dự phòng</t>
  </si>
  <si>
    <t>Doanh thu tài chính</t>
  </si>
  <si>
    <t>Interest income on loans and Deposits granted</t>
  </si>
  <si>
    <t xml:space="preserve">     Lãi tiền gửi, tiền cho vay</t>
  </si>
  <si>
    <t>Gain on disposal of securities</t>
  </si>
  <si>
    <t xml:space="preserve">     Lãi đầu tư trái phiếu, kỳ phiếu, tín phiếu</t>
  </si>
  <si>
    <t>Dividends income</t>
  </si>
  <si>
    <t xml:space="preserve">     Cổ tức, lợi nhuận được chia</t>
  </si>
  <si>
    <t>Gain from disposal of Short-term or long-term investments</t>
  </si>
  <si>
    <t xml:space="preserve">     Lãi từ bán, thanh lý các khoản đầu tư</t>
  </si>
  <si>
    <t>Gains from sale of foreign currency</t>
  </si>
  <si>
    <t xml:space="preserve">     Lãi bán ngoại tệ</t>
  </si>
  <si>
    <t>Realized foreign exchange gains</t>
  </si>
  <si>
    <t xml:space="preserve">     Lãi chênh lệch tỷ giá đã thực hiện</t>
  </si>
  <si>
    <t>Unrealized foreign exchange gains</t>
  </si>
  <si>
    <t xml:space="preserve">     Lãi chênh lệch tỷ giá chưa thực hiện</t>
  </si>
  <si>
    <t>Gains from sale of deferred payments goods</t>
  </si>
  <si>
    <t xml:space="preserve">     Lãi bán hàng trả chậm</t>
  </si>
  <si>
    <t xml:space="preserve">     Doanh thu hoạt động tài chính khác</t>
  </si>
  <si>
    <t>Interest expenses on loans</t>
  </si>
  <si>
    <t xml:space="preserve">     Lãi tiền vay</t>
  </si>
  <si>
    <t>Payments disscount, gains from sale of deferrend payments goods</t>
  </si>
  <si>
    <t xml:space="preserve">     Chiết khấu thanh toán, lãi bán hàng trả chậm</t>
  </si>
  <si>
    <t>Loss from disposal of Short-term or long-term investments</t>
  </si>
  <si>
    <t xml:space="preserve">     Lỗ do thanh lý các khoản đầu tư ngắn hạn, dài hạn</t>
  </si>
  <si>
    <t>Loss from sale of foreign currency</t>
  </si>
  <si>
    <t xml:space="preserve">     Lỗ bán ngoại tệ</t>
  </si>
  <si>
    <t>Realized foreign exchange losses</t>
  </si>
  <si>
    <t xml:space="preserve">     Lỗ chênh lệch tỷ giá đã thực hiện</t>
  </si>
  <si>
    <t>Unrealized foreign exchange losses</t>
  </si>
  <si>
    <t xml:space="preserve">     Lỗ chênh lệch tỷ giá chưa thực hiện</t>
  </si>
  <si>
    <t>Provisions for reduction in price of short-term or long-term investments</t>
  </si>
  <si>
    <t xml:space="preserve">     Dự phòng giảm giá các khoản đầu tư ngắn hạn, dài hạn</t>
  </si>
  <si>
    <t xml:space="preserve">     Chi phí tài chính khác</t>
  </si>
  <si>
    <t>Cost of goods manufactured by factors</t>
  </si>
  <si>
    <t>Chi phí sản xuất theo yếu tố</t>
  </si>
  <si>
    <t xml:space="preserve">     Chi phí nguyên liệu, vật liệu</t>
  </si>
  <si>
    <t xml:space="preserve">    Labour costs</t>
  </si>
  <si>
    <t xml:space="preserve">     Chi phí nhân công</t>
  </si>
  <si>
    <t xml:space="preserve">    Depreciation expense</t>
  </si>
  <si>
    <t xml:space="preserve">     Chi phí khấu hao tài sản cố định</t>
  </si>
  <si>
    <t xml:space="preserve">    Outside service expenses</t>
  </si>
  <si>
    <t xml:space="preserve">     Chi phí dịch vụ mua ngoài</t>
  </si>
  <si>
    <t xml:space="preserve">    Other cash expenses</t>
  </si>
  <si>
    <t xml:space="preserve">     Chi phí khác bằng tiền</t>
  </si>
  <si>
    <t xml:space="preserve">   Labour cost</t>
  </si>
  <si>
    <t xml:space="preserve">     Labour</t>
  </si>
  <si>
    <t xml:space="preserve">     External service</t>
  </si>
  <si>
    <t xml:space="preserve">     Others</t>
  </si>
  <si>
    <t>Retail Indicator (Yearly) Unit: Billion VND</t>
  </si>
  <si>
    <t>Retail Indicator (Monthly) Unit: Billion VND</t>
  </si>
  <si>
    <t xml:space="preserve">Total </t>
  </si>
  <si>
    <t xml:space="preserve">  Growth YoY</t>
  </si>
  <si>
    <t xml:space="preserve"> Retail</t>
  </si>
  <si>
    <t>Accommodation and catering</t>
  </si>
  <si>
    <t xml:space="preserve"> Accommodation and catering</t>
  </si>
  <si>
    <t>Traveling service</t>
  </si>
  <si>
    <t>Other services</t>
  </si>
  <si>
    <t xml:space="preserve"> Other services</t>
  </si>
  <si>
    <t>2024-2030</t>
  </si>
  <si>
    <t>Average GDP growth: 6.5%</t>
  </si>
  <si>
    <t>GDP growth</t>
  </si>
  <si>
    <t>Average retail growth: 10%</t>
  </si>
  <si>
    <t>Q1.2022</t>
  </si>
  <si>
    <t>Q2.2022</t>
  </si>
  <si>
    <t>Q3.2022</t>
  </si>
  <si>
    <t>Q4.2022</t>
  </si>
  <si>
    <t>Q1.2023</t>
  </si>
  <si>
    <t>Q2.2023</t>
  </si>
  <si>
    <t>% total yoy</t>
  </si>
  <si>
    <t>Retail YoY</t>
  </si>
  <si>
    <t>Mobile phone market</t>
  </si>
  <si>
    <t>SMARTPHONE MARKET</t>
  </si>
  <si>
    <t>Sources: Counterpoint</t>
  </si>
  <si>
    <t>Link</t>
  </si>
  <si>
    <t>Canalys</t>
  </si>
  <si>
    <t>Shipment unit (% share)</t>
  </si>
  <si>
    <t>Q1.2020</t>
  </si>
  <si>
    <t>Q2.2020</t>
  </si>
  <si>
    <t>Q3.2020</t>
  </si>
  <si>
    <t>Q4.2020</t>
  </si>
  <si>
    <t>Q1.2021</t>
  </si>
  <si>
    <t>Q2.2021</t>
  </si>
  <si>
    <t>Q3.2021</t>
  </si>
  <si>
    <t>Q4.2021</t>
  </si>
  <si>
    <t>Q3.2023F</t>
  </si>
  <si>
    <t>Oppo</t>
  </si>
  <si>
    <t xml:space="preserve">Samsung </t>
  </si>
  <si>
    <t>Vivo</t>
  </si>
  <si>
    <t>Lockdown</t>
  </si>
  <si>
    <t>Revenge shop</t>
  </si>
  <si>
    <t>Shipment unit (thousand)</t>
  </si>
  <si>
    <t>Q4.2023</t>
  </si>
  <si>
    <t>H1.2020</t>
  </si>
  <si>
    <t>H2.2020</t>
  </si>
  <si>
    <t>H1.2021</t>
  </si>
  <si>
    <t>H2.2021</t>
  </si>
  <si>
    <t>H1.2022</t>
  </si>
  <si>
    <t>H2.2022</t>
  </si>
  <si>
    <t>H1.2023</t>
  </si>
  <si>
    <t>H2.2023F</t>
  </si>
  <si>
    <t>Shipment unit (%yoy)</t>
  </si>
  <si>
    <t>Segment shares</t>
  </si>
  <si>
    <t>&lt;200$</t>
  </si>
  <si>
    <t>200$-400$</t>
  </si>
  <si>
    <t xml:space="preserve">400$-600$ </t>
  </si>
  <si>
    <t xml:space="preserve">&gt;600$ </t>
  </si>
  <si>
    <t>5G smart phone</t>
  </si>
  <si>
    <t>Yoy</t>
  </si>
  <si>
    <t>5G &lt;200$</t>
  </si>
  <si>
    <t>5G 200$-400$</t>
  </si>
  <si>
    <t>Philipines</t>
  </si>
  <si>
    <t>% yoy Vietnam</t>
  </si>
  <si>
    <t>Industry vol (mil unit)</t>
  </si>
  <si>
    <t>Minor</t>
  </si>
  <si>
    <t>Popular with Galaxy A04</t>
  </si>
  <si>
    <t>Account for 71% shipment in Q1.2023</t>
  </si>
  <si>
    <t>Industry market share</t>
  </si>
  <si>
    <t>Market shares</t>
  </si>
  <si>
    <t>Brands</t>
  </si>
  <si>
    <t>Price range</t>
  </si>
  <si>
    <t>FY20 - H1.23</t>
  </si>
  <si>
    <t>H1.23</t>
  </si>
  <si>
    <t>Wide range of product segment, competitive models</t>
  </si>
  <si>
    <t>Tại sao samsung mất thị phần ghê z</t>
  </si>
  <si>
    <t>Other data</t>
  </si>
  <si>
    <t>Thuê bao Smartphone</t>
  </si>
  <si>
    <t>Số người dùng feature phone</t>
  </si>
  <si>
    <t>Số máy 2G</t>
  </si>
  <si>
    <t>&lt;KBS</t>
  </si>
  <si>
    <t>Tỷ lệ người trưởng thành dùng Smartphone</t>
  </si>
  <si>
    <t>5G smartphone</t>
  </si>
  <si>
    <t>Smartphone (Statista)</t>
  </si>
  <si>
    <t>Phillipines</t>
  </si>
  <si>
    <t>Singapore</t>
  </si>
  <si>
    <t>Korea</t>
  </si>
  <si>
    <t>China</t>
  </si>
  <si>
    <t>India</t>
  </si>
  <si>
    <t xml:space="preserve">Penetration </t>
  </si>
  <si>
    <t>2022 shipment (mil unit)</t>
  </si>
  <si>
    <t>Rev (bil usd) - 2023</t>
  </si>
  <si>
    <t>population (mil)</t>
  </si>
  <si>
    <t>Rev / capita $</t>
  </si>
  <si>
    <t>2023-2028 CAGR</t>
  </si>
  <si>
    <t>Sales vol year 2022 / capita</t>
  </si>
  <si>
    <t>Laptop only (Statista)</t>
  </si>
  <si>
    <t>Household possession (RMIT team)</t>
  </si>
  <si>
    <t>Rev (bil usd) - 2022</t>
  </si>
  <si>
    <t>Rev / capita $ 2023</t>
  </si>
  <si>
    <t>GDP capita</t>
  </si>
  <si>
    <t>Rev / capital</t>
  </si>
  <si>
    <t>Rev (bil $)</t>
  </si>
  <si>
    <t>Rev % yoy</t>
  </si>
  <si>
    <t>Vol (mil pieces)</t>
  </si>
  <si>
    <t>Price (thousand $)</t>
  </si>
  <si>
    <t>Gaming Share %</t>
  </si>
  <si>
    <t>Market size of PPE market in Vietnam (Estimation)</t>
  </si>
  <si>
    <t>PPE Market size = Number of workers * Items used / worker * Annual Frequency * Average wholesale price / item</t>
  </si>
  <si>
    <t>Market size (2023, VNDbn)</t>
  </si>
  <si>
    <t>USD/VND exchange rate</t>
  </si>
  <si>
    <t>Market size (2023, USDbn)</t>
  </si>
  <si>
    <t>= Xanh * Xanh</t>
  </si>
  <si>
    <t>Number of workers (2022, persons)</t>
  </si>
  <si>
    <t>Tổng worker 3 ngành Mining, Manufacturing và Construction. Source: GSO</t>
  </si>
  <si>
    <t>% managers &amp; professionals</t>
  </si>
  <si>
    <t>% leader, high and mid level professionals as % of total work force -2% as these 3 industries have more workers than average. Source: GSO</t>
  </si>
  <si>
    <t>Law violation rate</t>
  </si>
  <si>
    <t>Asssume 10% biz violate the law and don't equip their workers</t>
  </si>
  <si>
    <t>Total number of well-equipped workers</t>
  </si>
  <si>
    <t>Annual growth in number of workers</t>
  </si>
  <si>
    <t>Assume equals to industry &amp; Construction employment growth 9M23 + 0.1% due to exports recovery in 4Q23)</t>
  </si>
  <si>
    <t>Workers who need PPE (2023, persons)</t>
  </si>
  <si>
    <t>240 workdays/year</t>
  </si>
  <si>
    <t>Retail</t>
  </si>
  <si>
    <t>Item</t>
  </si>
  <si>
    <t>Annual frequency</t>
  </si>
  <si>
    <t>% workers who need</t>
  </si>
  <si>
    <t>Price/item (VND)</t>
  </si>
  <si>
    <t>Weighted price</t>
  </si>
  <si>
    <t>Helmet</t>
  </si>
  <si>
    <t>Face shield</t>
  </si>
  <si>
    <t>Glasses</t>
  </si>
  <si>
    <t>Normal facemasks</t>
  </si>
  <si>
    <t>Specialized masks</t>
  </si>
  <si>
    <t>Gloves</t>
  </si>
  <si>
    <t>Shoes</t>
  </si>
  <si>
    <t>Clothes</t>
  </si>
  <si>
    <t>Lifeline</t>
  </si>
  <si>
    <t>Other Equipments (Handheld, barriers, etc.)</t>
  </si>
  <si>
    <t>Not PPE, but Achison sells these, so I include it in the estimation as well</t>
  </si>
  <si>
    <t>Average annual spending on PPE / worker (retail, VND)</t>
  </si>
  <si>
    <t>Bulk purchase discount</t>
  </si>
  <si>
    <t>Average annual spending on PPE / worker (wholesale, VND)</t>
  </si>
  <si>
    <t>Double check: Calculate PPE spending / Total revenue</t>
  </si>
  <si>
    <t>Rev mining companies (2020)</t>
  </si>
  <si>
    <t>Rev manufacturing companies (2020)</t>
  </si>
  <si>
    <t>Rev construction companies (2020)</t>
  </si>
  <si>
    <t>Total rev (2020, VNDbn)</t>
  </si>
  <si>
    <t>2022/2020 rev growth (assume equals to 2023F/2020 exports growth)</t>
  </si>
  <si>
    <t>Total rev (2023, VNDbn)</t>
  </si>
  <si>
    <t>PPE spending / Total rev (2023)</t>
  </si>
  <si>
    <t>Quite reasonable, it's not too large</t>
  </si>
  <si>
    <t>Double check: PPE Spending in Indonesia</t>
  </si>
  <si>
    <t>Market size (USDbn)</t>
  </si>
  <si>
    <t xml:space="preserve">This figure does not include "Other Equipments". Source: Grandview Research. </t>
  </si>
  <si>
    <t>Market size (VNDbn)</t>
  </si>
  <si>
    <t>https://www.grandviewresearch.com/industry-analysis/southeast-asia-personal-protective-equipment-ppe-market#:~:text=b.-,The%20Southeast%20Asia%20personal%20protective%20equipment%20market%20size%20was%20estimated,USD%204.43%20billion%20in%202023.</t>
  </si>
  <si>
    <t>Number of worker (persons)</t>
  </si>
  <si>
    <t>Annual PPE spending / worker (VND)</t>
  </si>
  <si>
    <t>Quite comparable to Vietnam --&gt; Reasonable estimate</t>
  </si>
  <si>
    <t>CAGR estimates</t>
  </si>
  <si>
    <t>Faster due to more FDI</t>
  </si>
  <si>
    <t>Expected inflation rate</t>
  </si>
  <si>
    <t>Year</t>
  </si>
  <si>
    <t>Growth in # workers</t>
  </si>
  <si>
    <t>Growth in price</t>
  </si>
  <si>
    <t>Total growth</t>
  </si>
  <si>
    <t>1. Nhận diện chu kì tăng trưởng bao nhiêu năm nửa là về 1 chữ số / bão hòa, cho DGW để xác định số năm forecast: Quan sát quá khứ, đối thủ cạnh tranh, bản chất ngành</t>
  </si>
  <si>
    <t>báo cáo ngành của cty chứng khoán, của hiệp hội ngành, mua của researcher, và báo cáo thường niên công ty (mảng kinh doanh mới,..)</t>
  </si>
  <si>
    <t>Skill</t>
  </si>
  <si>
    <t>2. Terminal value, những công ty sản xuất thường lấy 3-5%, chủ ý tăng trưởng về giá do công suất đã max k mở rộng (trường hợp terminal)</t>
  </si>
  <si>
    <t>Industry</t>
  </si>
  <si>
    <t>còn đối với bán lẻ thì phải tăng theo gdp/đầu người/dân số trẻ, MWG PNJ,… thì phải 5-10%, thường là 8%</t>
  </si>
  <si>
    <t>CAGR of VN vs peers and forecast</t>
  </si>
  <si>
    <t>tăng trưởng trước terminal growth phải cao hơn terminal growth</t>
  </si>
  <si>
    <t>Supply &amp; demand perspective</t>
  </si>
  <si>
    <t>3. Net revenue cần phải chậm dần về 8%, mà 5 năm chưa đủ, cho multistage 23-25, 25-30. vì 23-25 là lúc kinh tế phục hồi, các mảng mới thì cần</t>
  </si>
  <si>
    <t>thời gian tăng mạnh trước khi giảm đều</t>
  </si>
  <si>
    <t>4. Cần hạn chế các số chết và smooth cái trend ra để ít biến đầu vào khi phân tích sensitivity</t>
  </si>
  <si>
    <t>Competive</t>
  </si>
  <si>
    <t>5. Dự báo có thể dùng trung bình động (chứa đựng sự ngẫu nhiên), hoặc trung bình cố định</t>
  </si>
  <si>
    <t>6.Chỉ nên dùng max 6 năm quá khư để tham khảo định giá, khi bình quân thì max 3 năm, xã hội thay đổi nhanh rồi</t>
  </si>
  <si>
    <t>Financial</t>
  </si>
  <si>
    <t>ROIC compared to WACC</t>
  </si>
  <si>
    <t>Valuation</t>
  </si>
  <si>
    <t>PEG</t>
  </si>
  <si>
    <t>Sum of the part valuation, terminal growth and contribution for each segment</t>
  </si>
  <si>
    <t>Multi stage valuation, 2 stage Terminal value</t>
  </si>
  <si>
    <t>Risk</t>
  </si>
  <si>
    <t>Upside and downside risk</t>
  </si>
  <si>
    <t>https://vietnaminsider.vn/vi/apple-ceo-appreciates-vietnamese-market-heres-why/</t>
  </si>
  <si>
    <t>https://vietnamnet.vn/en/apple-jumps-to-second-highest-seller-of-smartphones-in-vietnam-for-first-time-2085693.html</t>
  </si>
  <si>
    <t>https://vir.com.vn/digiworld-unable-to-grasp-market-78464.html</t>
  </si>
  <si>
    <t>https://www.counterpointresearch.com/insights/apple-iphone-market-share-quarter/</t>
  </si>
  <si>
    <t>https://vatvostudio.vn/thi-phan-iphone-tai-viet-nam-dang-giam-dan/?fbclid=IwAR2Kj1AfiGe-3M312IcaUfd4VZC4WrdFpVOVOMbIjQVZHFm5NINoIT7vrn8</t>
  </si>
  <si>
    <t>https://vietnamnet.vn/nguoi-viet-chi-1-6-ty-usd-nhap-dien-thoai-iphone-2137618.html#:~:text=Kim%20ng%E1%BA%A1ch%20nh%E1%BA%ADp%20kh%E1%BA%A9u%20%C4%91i%E1%BB%87n,linh%20ki%E1%BB%87n%20c%E1%BB%A7a%20Vi%E1%BB%87t%20Nam.&amp;text=%C4%90i%E1%BB%87n%20tho%E1%BA%A1i%20iPhone%2C%20Samsung%2C%20Oppo,%2C%20chi%E1%BA%BFm%2093%2C43%25.</t>
  </si>
  <si>
    <t>https://www.thegioididong.com/tin-tuc/nhap-khau-dien-thoai-viet-nam-trong-nam-2022-1531135</t>
  </si>
  <si>
    <t>https://trungtamwto.vn/file/22356/bao-cao-xuat-nhap-khau-viet-nam-nam-2022.pdf</t>
  </si>
  <si>
    <t>https://trungtamwto.vn/file/21599/baocaoxnk2021.pdf</t>
  </si>
  <si>
    <t>https://cafebiz.vn/apple-lam-an-ra-sao-sau-8-nam-co-mat-tai-viet-nam-176230911070111895.chn#:~:text=Cu%E1%BB%91i%20n%C4%83m%202020%2C%20MWG%2C%20FRT,t%C6%B0%C6%A1ng%20%E1%BB%A9ng%20t%C4%83ng%20h%C6%A1n%20100%25.</t>
  </si>
  <si>
    <t>https://www.brandsvietnam.com/22463-The-Gioi-Di-Dong-chiem-1-3-thi-phan-Apple-muc-tieu-nam-2022-len-45</t>
  </si>
  <si>
    <t>https://vietnamnet.vn/iphone-xach-tay-ngac-ngoai-mot-ong-lon-tu-tin-dat-doanh-thu-ty-usd-821394.html</t>
  </si>
  <si>
    <t>Xiaomi imported (value - mil USD)</t>
  </si>
  <si>
    <t>Samsung imported (value - mil USD)</t>
  </si>
  <si>
    <t>Total imported phone (value - mil USD)</t>
  </si>
  <si>
    <t>Xiaomi wholesales profit margin</t>
  </si>
  <si>
    <t>https://s.cafef.vn/mwg-1801213/vcbs-the-gioi-di-dong-da-chiem-toi-45-thi-phan-apple-tai-viet-nam-sau-chien-luoc-canh-tranh-gia-re.chn</t>
  </si>
  <si>
    <t>Thuế nhập khẩu</t>
  </si>
  <si>
    <t>Khi nào Xiaomi mở nhà máy sản xuất ở Việt Nam, t6.2022</t>
  </si>
  <si>
    <t>2G &gt; 5G và ZTE, có significant không</t>
  </si>
  <si>
    <t xml:space="preserve"> bắt cơ hội mới cũng như đi đúng xu hướng chuyển đổi số của Chính phủ.”</t>
  </si>
  <si>
    <t>Story</t>
  </si>
  <si>
    <t>Xiaomi đã kết hợp cùng Digiworld mở cửa hàng chuyên bán sản phẩm chính hãng tại Vạn Hạnh Mall (TP.HCM). Trong kế hoạch năm 2022, Xiaomi dự định xây dựng 1.000 cửa hàng bán đồ chính hãng tại khu vực Đông Nam Á trong đó có Việt Nam và Digiworld vẫn đồng hành trong các dự án chiến lược này.</t>
  </si>
  <si>
    <t>, công ty dự kiến sẽ bắt đầu phân phối cho hãng điện thoại di động mới như ZTE, các hãng phân khúc giá rẻ khác vào cuối quý 3/2023. Lãnh đạo công ty cũng cho biết thêm rằng Việt Nam đang dần ngắt sóng 2G theo từng giai đoạn cho đến khi cắt hẳn vào cuối năm 2024. Người tiêu dùng sẽ chuyển từ điện thoại phổ thông sang điện thoại thông minh phân khúc giá rẻ, từ đó thúc đẩy doanh thu điện thoại di động ZTE và các mẫu điện thoại di động Xiaomi phân khúc giá rẻ.</t>
  </si>
  <si>
    <t>Chuỗi cung ứng smartphone toàn cầu sẽ chịu biến động. Trước khó khăn của Huawei-nhà sản xuất điện thoại di động lớn thứ 2 thế giới với 14% thị phần toàn cầu trong năm 2018, các nhà sản xuất điện thoại khác có thể tận dụng cơ hội và giành thị phần tại các thị trường nước ngoài của Huawei.
Với công nghệ tương tự và cùng phân khúc giá, Xiaomi và Oppo là những ứng viên thay thế cho các sản phẩm của Huawei. Trong dòng sản phẩm cao cấp hơn, Samsung và Apple cũng có thể hưởng lợi từ sự kiện này.'
Digiworld (DGW) có thể được hưởng lợi từ biến cố của Huawei. Câu chuyện trở nên khác biệt với DGW vì nhà phân phối này không phân phối sản phẩm của Huawei mà chủ yếu độc quyền Nokia cũng như các sản phẩm của Xiaomi. Do vậy, sự sụt giảm trong tiêu thụ sản phẩm Huawei tại thị trường Việt Nam có thể thúc đẩy doanh số phân phối Nokia và Xiaomi, 2 sản phẩm thay thế.</t>
  </si>
  <si>
    <t>https://tuyendung.digiworld.com.vn/tin-tuc/tin-tuc-noi-bo/khi-tgdd-fpt-shop-nhap-hang-truc-tiep-tu-nha-san-xuat-so-phan-cac-nha-ban-buon-dien-thoai-nhu-digiworld-se-di-ve-dau-.35a53f87/vi</t>
  </si>
  <si>
    <t>https://tuyendung.digiworld.com.vn/tin-tuc/tin-tuc-noi-bo/tai-sao-vai-tro-nha-phan-phoi-khong-bi-thay-the-.35a53f7e/vi</t>
  </si>
  <si>
    <t>Acer đạt 40% thị phần laptop ở Việt Nam</t>
  </si>
  <si>
    <t>link</t>
  </si>
  <si>
    <t>đó, nhóm ngành điện thoại tăng trưởng 96%, máy tính xách tay tăng trưởng gần 70%. Ðược biết, trên thị trường, cứ 3 laptop được bán ra thì có 1 laptop do DGW phân phối.</t>
  </si>
  <si>
    <t xml:space="preserve">máy tính bảng Alcatel; thiết bị văn phòng AnkerWork, Nebula; thiết bị chăm sóc sức khỏe DisgoGel; thiết bị hàng gia dụng của Whirlpool, Joyoung và Eufy. </t>
  </si>
  <si>
    <t>Tại dự thảo, đề án “Chuyển đổi số Quốc gia” đang được Bộ Thông tin và Truyền thông lấy ý kiến, đưa ra mục tiêu chung đến năm 2025, Việt Nam thuộc top 4 ASEAN về xếp hạng số hóa quốc gia. Mục tiêu cụ thể của đề án đến năm 2025 là chỉ số năng lực cạnh tranh quốc gia (World Competitiveness Scoreboard) theo WEF thuộc top 40 (đến năm 2020 đạt top 50); 50% doanh nghiệp SME chuyển dịch lên nền tảng số (đến 2020 đạt 10%); công nghiệp số đạt ít nhất 25% GDP (đến 2020 đạt 15%); phát triển ít nhất 80 ngàn doanh nghiệp công nghệ số Việt Nam (đến 2020 đạt 35 ngàn doanh nghiệp số).
Theo đánh giá của Ngân hàng Thế Giới (World Bank), Việt Nam đã tận dụng hiệu quả ưu thế về mức độ người dân sử dụng điện thoại di động (150%) và mạng Internet (70%).
Xu hướng chuyển đổi số sẽ thúc đẩy đầu tư cả 3 mảng là phần cứng, phần mềm và dịch vụ. Trong đó, chi phí đầu tư cho phần cứng và dịch vụ chiếm hơn 75% chi phí đầu tư chuyển đổi số trong năm 2019.</t>
  </si>
  <si>
    <t>Quy mô thị trường TV: 40k tỷ, ước chính được 5-10% thị phần</t>
  </si>
  <si>
    <r>
      <t xml:space="preserve">Thông tin đối tác sản xuất, lắp ráp các sản phẩm của Xiaomi đang mở nhà máy tại Hải Phòng và dự kiến đi vào hoạt động từ nửa cuối năm nay được Ban lãnh đạo Digiworld chia sẻ với các công ty chứng khoán 2 tháng trước.
 Nếu thông tin trên là chính xác, thì có thể ví, đó chính là chiếc chìa khóa mở ra thị trường có quy mô ít nhất 2,4 tỷ USD cho Digiworld. Ngành hàng điện tử gia dụng với các sản phẩm tivi, tủ lạnh, máy giặt, máy sấy, lò nướng… là “lãnh địa” mà từ trước tới nay, Digiworld chưa thâm nhập
</t>
    </r>
    <r>
      <rPr>
        <b/>
        <sz val="10"/>
        <color rgb="FF333333"/>
        <rFont val="Roboto"/>
      </rPr>
      <t xml:space="preserve">“Nếu có nhà máy lắp ráp sản phẩm Xiaomi ở Việt Nam, rào cản về thuế suất sẽ được gỡ bỏ, khoảng cách giữa hàng chính hãng với hàng xách tay được thu hẹp và chúng tôi sẽ tấn công vào thị trường mới là điện tử gia dụng. </t>
    </r>
    <r>
      <rPr>
        <sz val="10"/>
        <color rgb="FF333333"/>
        <rFont val="Roboto"/>
      </rPr>
      <t>Đây là câu trả lời cho câu hỏi, làm thế nào để Digiworld duy trì đà tăng trưởng bình quân mỗi năm 25% trong một thập kỷ tới”, ông Việt nói</t>
    </r>
    <r>
      <rPr>
        <b/>
        <sz val="10"/>
        <color rgb="FF333333"/>
        <rFont val="Roboto"/>
      </rPr>
      <t>.
&gt; Mục tiêu, bán nhiều hàng của XIaomi nhất, đặc biệt hàng gia dụng, hiện tại đang phân phối TV rồi</t>
    </r>
    <r>
      <rPr>
        <sz val="10"/>
        <color rgb="FF333333"/>
        <rFont val="Roboto"/>
      </rPr>
      <t xml:space="preserve">
ổng giám đốc Digiworld nhìn nhận, việc FPT Retail bán thêm các sản phẩm gia dụng của Xiaomi sẽ giúp Digiworld… có thêm khách hàng</t>
    </r>
  </si>
  <si>
    <t>Vụ Thị trường trong nước (Bộ Công thương), quy mô thị trường ngành hàng gia dụng nội địa ước khoảng 12,5 - 13 tỷ USD. Nhu cầu mua sắm các thiết bị điện gia dụng, thiết bị nhà bếp sẽ tiếp tục tăng cao cho đến năm 2025.
Riêng 3 nhóm sản phẩm quạt điện, máy lọc nước và nồi cơm điện đã mang về hơn 3.500 tỷ đồng cho Thế giới Di động trong năm vừa qua và đóng góp gần 50% doanh số trong ngành hàng gia dụng của doanh nghiệp này.</t>
  </si>
  <si>
    <t>Cuối năm 2021, Digiworld đã hoàn tất ký kết với Whirlpool, mở ra vùng đất mới cho Digiworld chinh phục mảng thiết bị gia dụng có giá trị ước tính lên đến 2,4 tỷ USD.</t>
  </si>
  <si>
    <t xml:space="preserve"> Tivi của Xaomi không chịu thuế nhập khẩu do có nhà máy sản xuất tại Việt Nam đồng thời có lợi thế cạnh tranh do giá thành rẻ, chất lượng ổn định.</t>
  </si>
  <si>
    <t>Tài chính cầm đồ</t>
  </si>
  <si>
    <t>Khác</t>
  </si>
  <si>
    <t xml:space="preserve"> Đầu tư vào chuỗi cầm đồ Vietmoney có thể là một ví dụ. Digiworld đang sử dụng các điểm giao dịch của hệ thống này làm đòn bẩy cho hoạt động kinh doanh.</t>
  </si>
  <si>
    <t>Công ty</t>
  </si>
  <si>
    <t>Năm 2022: trong đó có 3,000 tỷ đến từ các đối tác độc quyền chiến lược mới, đều là những tên tuổi uy tín và được yêu thích trên toàn thế giới.</t>
  </si>
  <si>
    <t>Ngành phân phối hàng công nghệ (ICT) vốn là hoạt động kinh doanh có tỷ suất lợi nhuận thấp, việc quản lý hiệu quả các chi phí đã giúp DGW cải thiện đáng kể khả năng sinh lời của doanh nghiệp. ERP =&gt; ổn định
Sự minh bạch này cũng mang lại cho DGW nhiều lợi thế. “Đối với các ngân hàng thì đây là điểm cộng. Các doanh nghiệp sở hữu hệ thống ERP được các ngân hàng đánh giá tính minh bạch hồ sơ cao, qua đó tạo dựng được sự tin cậy và nhận được sự đồng ý từ ngân hàng”.</t>
  </si>
  <si>
    <t xml:space="preserve">Đại diện của Digworld cho biết  tác động của cuộc chiến giá đối với công ty ít nghiêm trọng hơn so với các doanh nghiệp bán lẻ khác Như FPT Retail và MWG. Nguyên nhân là do các công ty này phải chịu chi phí cố định (tiền thuê và các chi phí khác tại cửa hàng) cao hơn. 
Điện thoại di động, máy tính xách tay và thiết bị gia dụng sẽ phục hồi so với quý trước trong từ quý 3 và quý 4/2023 do mức tồn kho của các doanh nghiệp bán lẻ đã giảm xuống.
Ngoài ra, chi phí đi vay của Digiworld đã giảm đáng kể từ  quý 2/2023 nhờ dòng tiền mạnh.
Apple và Xiaomi là những sản phẩm đóng góp chính cho Digiworld. Mùa cao điểm sắp tới (máy tính xách tay cho mùa tựu trường, iPhone mới)
Khi đang căng mình trong cuộc chiến về giá, MWG đã ghi nhận lợi nhuận quý 2/2023 "bốc hơi" đến 98% còn 17 tỷ đồng. Thậm chí FPT Retail còn báo lỗ. Digiworld nổi lên là doanh nghiệp khả quan nhất khi ghi nhận lợi nhuận quý 2/2023 giảm ít nhất với mức 39% còn 84 tỷ đồng. Thậm chí, kết quả này còn tăng trưởng 6% so với quý đầu năm.
</t>
  </si>
  <si>
    <t>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t>
  </si>
  <si>
    <t>Thị phần phân phối hàng công nghệ của Digiworld chiếm khoảng 40% thị phần trên thị trường Việt Nam.</t>
  </si>
  <si>
    <t>Tăng trưởng mảng điện thoại chủ yếu đến từ xu hướng cao cấp hoá. ảnh hưởng của lạm phát tới phân khúc điện thoại cao cấp dường như không đáng kể bởi người tiêu dùng Việt Nam ngày càng ưa chuộng các dòng điện thoại thông minh và nhu cầu của nhóm khách hang này cũng ít co giãn với giá. Năm 2022, Xiaomi, Samsung, Apple đều đã tăng giá sản phẩm từ 5-10%, đồng thời cho ra mắt nhiều model mới để bắt kịp xu hướng này. Đây cũng sẽ là động lực tăng trưởng chủ yếu cho ngành hàng này trong 2 năm.
ảng thiết bị văn phòng và gia dụng kì vọng tăng trưởng 30%/năm. DGW đã thể hiện tham vọng lớn với ngành hàng này qua việc trở thành đối tác độc quyền của Whirlpool và Joyoung, sự kiện M&amp;A công ty Achison trong quý 3 vừa qua. Lợi nhuận từ Achison dự kiến sẽ đóng góp 7-8% vào tăng trưởng LNST của DGW trong 2023, giúp doanh nghiệp đạt mục tiêu tăng trưởng tổng LNST 25%/năm. Về mảng gia dụng, DGW sẽ tập trung phân phối cho Whirlpool để đạt mục tiêu 10% thị phần; bên cạnh đó cũng sẽ hưởng lợi từ gia tăng doanh số bán nhờ việc Xiaomi mở nhà máy lắp ráp tại Việt Nam từ T6.22</t>
  </si>
  <si>
    <t>Dược</t>
  </si>
  <si>
    <t xml:space="preserve">Hiện DWG đang nắm giữ 36% cổ phần tại CTCP Dược phẩm Đại Tín (Đại Tín Pharma), đây là doanh nghiệp có quan hệ tốt trong ngành dược, tốt trong khâu lựa chọn sản phẩm và bán hàng. Mục tiêu đến năm 2025, DWG sẽ đứng thứ 3 trên thị trường phân phối dược. </t>
  </si>
  <si>
    <t>Thiết bị công nghiệp</t>
  </si>
  <si>
    <t>Dự kiến lợi nhuận từ Achison sẽ được ghi nhận dưới dạng lợi nhuận liên kết từ Q4.22, sau đó chính thức hợp nhất với BCTC của DGW từ 2023 khi nâng tỷ lệ sở hữu từ 49% lên 75%</t>
  </si>
  <si>
    <t>https://tuyendung.digiworld.com.vn/tin-tuc/tin-tuc-noi-bo/digiworld-bong-dang-dksh-thu-2-tai-viet-nam.35a53fb8/vi</t>
  </si>
  <si>
    <t>https://www.brandsvietnam.com/15963-MES-Tim-ngach-tu-thi-truong-12-6-ti-USD</t>
  </si>
  <si>
    <t>Digiworld cũng có trong tay hợp đồng với các đối tác lớn trong hai lĩnh vực mới, đó là PNKids-một thương hiệu kẹo dẻo (gummy) cung cấp vitamin của Incontech, đồng thời hợp tác chiến lược với Nestlé Việt Nam, đã ký hợp tác chiến lược phát triển thị trường cho sản phẩm dinh dưỡng y học (quy mô thị trường khoảng 7.000 tỷ đồng năm 2018).
Năm 2018, giới đầu tư vẫn chưa thực sự tin tưởng vào “lối rẽ” của Digiworld, nhưng kết quả kinh doanh cải thiện mạnh qua từng quý đến nay đã phần nào chứng minh sự lựa chọn của Digiworld là đúng đắn và phát huy hiệu quả.</t>
  </si>
  <si>
    <t>Souces: IDC</t>
  </si>
  <si>
    <t> </t>
  </si>
  <si>
    <t>Moody's rating</t>
  </si>
  <si>
    <t>Default Spread</t>
  </si>
  <si>
    <t>Country Risk Premium</t>
  </si>
  <si>
    <t>Equity Risk Premium</t>
  </si>
  <si>
    <t>Corporate Tax Rate</t>
  </si>
  <si>
    <t>Abu Dhabi</t>
  </si>
  <si>
    <t>Aa2</t>
  </si>
  <si>
    <t>Albania</t>
  </si>
  <si>
    <t>B1</t>
  </si>
  <si>
    <t>Algeria</t>
  </si>
  <si>
    <t>NR</t>
  </si>
  <si>
    <t>Andorra (Principality of)</t>
  </si>
  <si>
    <t>Baa2</t>
  </si>
  <si>
    <t>Angola</t>
  </si>
  <si>
    <t>B3</t>
  </si>
  <si>
    <t>Argentina</t>
  </si>
  <si>
    <t>Ca</t>
  </si>
  <si>
    <t>Armenia</t>
  </si>
  <si>
    <t>Ba3</t>
  </si>
  <si>
    <t>Aruba</t>
  </si>
  <si>
    <t>Australia</t>
  </si>
  <si>
    <t>Aaa</t>
  </si>
  <si>
    <t>Austria</t>
  </si>
  <si>
    <t>Aa1</t>
  </si>
  <si>
    <t>Azerbaijan</t>
  </si>
  <si>
    <t>Ba1</t>
  </si>
  <si>
    <t>Bahamas</t>
  </si>
  <si>
    <t>Bahrain</t>
  </si>
  <si>
    <t>B2</t>
  </si>
  <si>
    <t>Bangladesh</t>
  </si>
  <si>
    <t>Barbados</t>
  </si>
  <si>
    <t>Caa1</t>
  </si>
  <si>
    <t>Belarus</t>
  </si>
  <si>
    <t>C</t>
  </si>
  <si>
    <t>Belgium</t>
  </si>
  <si>
    <t>Aa3</t>
  </si>
  <si>
    <t>Belize</t>
  </si>
  <si>
    <t>Caa2</t>
  </si>
  <si>
    <t>Benin</t>
  </si>
  <si>
    <t>Bermuda</t>
  </si>
  <si>
    <t>A2</t>
  </si>
  <si>
    <t>Bolivia</t>
  </si>
  <si>
    <t>Bosnia and Herzegovina</t>
  </si>
  <si>
    <t>Botswana</t>
  </si>
  <si>
    <t>A3</t>
  </si>
  <si>
    <t>Brazil</t>
  </si>
  <si>
    <t>Ba2</t>
  </si>
  <si>
    <t>Brunei</t>
  </si>
  <si>
    <t>Bulgaria</t>
  </si>
  <si>
    <t>Baa1</t>
  </si>
  <si>
    <t>Burkina Faso</t>
  </si>
  <si>
    <t>Cambodia</t>
  </si>
  <si>
    <t>Cameroon</t>
  </si>
  <si>
    <t>Canada</t>
  </si>
  <si>
    <t>Cape Verde</t>
  </si>
  <si>
    <t>Cayman Islands</t>
  </si>
  <si>
    <t>Chile</t>
  </si>
  <si>
    <t>A1</t>
  </si>
  <si>
    <t>Colombia</t>
  </si>
  <si>
    <t>Congo (Democratic Republic of)</t>
  </si>
  <si>
    <t>Congo (Republic of)</t>
  </si>
  <si>
    <t>Cook Islands</t>
  </si>
  <si>
    <t>Costa Rica</t>
  </si>
  <si>
    <t>Côte d'Ivoire</t>
  </si>
  <si>
    <t>Croatia</t>
  </si>
  <si>
    <t>Cuba</t>
  </si>
  <si>
    <t>Curacao</t>
  </si>
  <si>
    <t>Cyprus</t>
  </si>
  <si>
    <t>Czech Republic</t>
  </si>
  <si>
    <t>Denmark</t>
  </si>
  <si>
    <t>Dominican Republic</t>
  </si>
  <si>
    <t>Ecuador</t>
  </si>
  <si>
    <t>Caa3</t>
  </si>
  <si>
    <t>Egypt</t>
  </si>
  <si>
    <t>El Salvador</t>
  </si>
  <si>
    <t>Estonia</t>
  </si>
  <si>
    <t>Ethiopia</t>
  </si>
  <si>
    <t>Fiji</t>
  </si>
  <si>
    <t>Finland</t>
  </si>
  <si>
    <t>France</t>
  </si>
  <si>
    <t>Gabon</t>
  </si>
  <si>
    <t>Gambia</t>
  </si>
  <si>
    <t>Georgia</t>
  </si>
  <si>
    <t>Germany</t>
  </si>
  <si>
    <t>Ghana</t>
  </si>
  <si>
    <t>Greece</t>
  </si>
  <si>
    <t>Guatemala</t>
  </si>
  <si>
    <t>Guernsey (States of)</t>
  </si>
  <si>
    <t>Guinea</t>
  </si>
  <si>
    <t>Guinea-Bissau</t>
  </si>
  <si>
    <t>Guyana</t>
  </si>
  <si>
    <t>Haiti</t>
  </si>
  <si>
    <t>Honduras</t>
  </si>
  <si>
    <t>Hong Kong</t>
  </si>
  <si>
    <t>Hungary</t>
  </si>
  <si>
    <t>Iceland</t>
  </si>
  <si>
    <t>Baa3</t>
  </si>
  <si>
    <t>Iran</t>
  </si>
  <si>
    <t>Iraq</t>
  </si>
  <si>
    <t>Ireland</t>
  </si>
  <si>
    <t>Isle of Man</t>
  </si>
  <si>
    <t>Israel</t>
  </si>
  <si>
    <t>Italy</t>
  </si>
  <si>
    <t>Jamaica</t>
  </si>
  <si>
    <t>Japan</t>
  </si>
  <si>
    <t>Jersey (States of)</t>
  </si>
  <si>
    <t>Jordan</t>
  </si>
  <si>
    <t>Kazakhstan</t>
  </si>
  <si>
    <t>Kenya</t>
  </si>
  <si>
    <t>Korea, D.P.R.</t>
  </si>
  <si>
    <t>Kuwait</t>
  </si>
  <si>
    <t>Kyrgyzstan</t>
  </si>
  <si>
    <t>Laos</t>
  </si>
  <si>
    <t>Latvia</t>
  </si>
  <si>
    <t>Lebanon</t>
  </si>
  <si>
    <t>Liberia</t>
  </si>
  <si>
    <t>Libya</t>
  </si>
  <si>
    <t>Liechtenstein</t>
  </si>
  <si>
    <t>Lithuania</t>
  </si>
  <si>
    <t>Luxembourg</t>
  </si>
  <si>
    <t>Macao</t>
  </si>
  <si>
    <t>Macedonia</t>
  </si>
  <si>
    <t>Madagascar</t>
  </si>
  <si>
    <t>Malawi</t>
  </si>
  <si>
    <t>Maldives</t>
  </si>
  <si>
    <t>Mali</t>
  </si>
  <si>
    <t>Malta</t>
  </si>
  <si>
    <t>Mauritius</t>
  </si>
  <si>
    <t>Mexico</t>
  </si>
  <si>
    <t>Moldova</t>
  </si>
  <si>
    <t>Mongolia</t>
  </si>
  <si>
    <t>Montenegro</t>
  </si>
  <si>
    <t>Montserrat</t>
  </si>
  <si>
    <t>Morocco</t>
  </si>
  <si>
    <t>Mozambique</t>
  </si>
  <si>
    <t>Myanmar</t>
  </si>
  <si>
    <t>Namibia</t>
  </si>
  <si>
    <t>Netherlands</t>
  </si>
  <si>
    <t>New Zealand</t>
  </si>
  <si>
    <t>Nicaragua</t>
  </si>
  <si>
    <t>Niger</t>
  </si>
  <si>
    <t>Nigeria</t>
  </si>
  <si>
    <t>Norway</t>
  </si>
  <si>
    <t>Oman</t>
  </si>
  <si>
    <t>Pakistan</t>
  </si>
  <si>
    <t>Panama</t>
  </si>
  <si>
    <t>Papua New Guinea</t>
  </si>
  <si>
    <t>Paraguay</t>
  </si>
  <si>
    <t>Peru</t>
  </si>
  <si>
    <t>Philippines</t>
  </si>
  <si>
    <t>Poland</t>
  </si>
  <si>
    <t>Portugal</t>
  </si>
  <si>
    <t>Qatar</t>
  </si>
  <si>
    <t>Ras Al Khaimah (Emirate of)</t>
  </si>
  <si>
    <t>Romania</t>
  </si>
  <si>
    <t>Russia</t>
  </si>
  <si>
    <t>Rwanda</t>
  </si>
  <si>
    <t>Saudi Arabia</t>
  </si>
  <si>
    <t>Senegal</t>
  </si>
  <si>
    <t>Serbia</t>
  </si>
  <si>
    <t>Sharjah</t>
  </si>
  <si>
    <t>Sierra Leone</t>
  </si>
  <si>
    <t>Slovakia</t>
  </si>
  <si>
    <t>Slovenia</t>
  </si>
  <si>
    <t>Solomon Islands</t>
  </si>
  <si>
    <t>Somalia</t>
  </si>
  <si>
    <t>South Africa</t>
  </si>
  <si>
    <t>Spain</t>
  </si>
  <si>
    <t>Sri Lanka</t>
  </si>
  <si>
    <t>St. Maarten</t>
  </si>
  <si>
    <t>St. Vincent &amp; the Grenadines</t>
  </si>
  <si>
    <t>Sudan</t>
  </si>
  <si>
    <t>Suriname</t>
  </si>
  <si>
    <t>Swaziland</t>
  </si>
  <si>
    <t>Sweden</t>
  </si>
  <si>
    <t>Switzerland</t>
  </si>
  <si>
    <t>Syria</t>
  </si>
  <si>
    <t>Taiwan</t>
  </si>
  <si>
    <t>Tajikistan</t>
  </si>
  <si>
    <t>Tanzania</t>
  </si>
  <si>
    <t>Togo</t>
  </si>
  <si>
    <t>Trinidad and Tobago</t>
  </si>
  <si>
    <t>Tunisia</t>
  </si>
  <si>
    <t>Turkey</t>
  </si>
  <si>
    <t>Turks and Caicos Islands</t>
  </si>
  <si>
    <t>Uganda</t>
  </si>
  <si>
    <t>Ukraine</t>
  </si>
  <si>
    <t>United Arab Emirates</t>
  </si>
  <si>
    <t>United Kingdom</t>
  </si>
  <si>
    <t>United States</t>
  </si>
  <si>
    <t>Uruguay</t>
  </si>
  <si>
    <t>Uzbekistan</t>
  </si>
  <si>
    <t>Venezuela</t>
  </si>
  <si>
    <t>Yemen, Republic</t>
  </si>
  <si>
    <t>Zambia</t>
  </si>
  <si>
    <t>Zimbabwe</t>
  </si>
  <si>
    <t>Last updated: July 2023</t>
  </si>
  <si>
    <t>Aswath Damodaran</t>
  </si>
  <si>
    <t>Price</t>
  </si>
  <si>
    <t>Weekly return</t>
  </si>
  <si>
    <t>Order</t>
  </si>
  <si>
    <t>Weekday</t>
  </si>
  <si>
    <t>VN-Index</t>
  </si>
  <si>
    <t>Beta (daily)</t>
  </si>
  <si>
    <t>VNIndex</t>
  </si>
  <si>
    <t>DGW price</t>
  </si>
  <si>
    <t>VNIndex return</t>
  </si>
  <si>
    <t>DGW return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</si>
</sst>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8" formatCode="&quot;$&quot;#,##0.00_);[Red]\(&quot;$&quot;#,##0.00\)"/>
    <numFmt numFmtId="43" formatCode="_(* #,##0.00_);_(* \(#,##0.00\);_(* &quot;-&quot;??_);_(@_)"/>
    <numFmt numFmtId="164" formatCode="_(* #,##0_);_(* \(#,##0\);_(* &quot;-&quot;??_);_(@_)"/>
    <numFmt numFmtId="165" formatCode="0.0%"/>
    <numFmt numFmtId="166" formatCode="_(* #,##0.0_);_(* \(#,##0.0\);_(* &quot;-&quot;??_);_(@_)"/>
    <numFmt numFmtId="167" formatCode="0.0"/>
    <numFmt numFmtId="168" formatCode="#,##0.0"/>
    <numFmt numFmtId="169" formatCode="#,###\x"/>
    <numFmt numFmtId="170" formatCode="#,###.0\x"/>
    <numFmt numFmtId="171" formatCode="_(* #,##0.000_);_(* \(#,##0.000\);_(* &quot;-&quot;???_);_(@_)"/>
    <numFmt numFmtId="172" formatCode="[$-F400]h:mm:ss\ AM/PM"/>
    <numFmt numFmtId="173" formatCode="_(* #,##0.000_);_(* \(#,##0.000\);_(* &quot;-&quot;??_);_(@_)"/>
    <numFmt numFmtId="174" formatCode="#,###.00\x"/>
    <numFmt numFmtId="175" formatCode="_(* #,##0.0000_);_(* \(#,##0.0000\);_(* &quot;-&quot;??_);_(@_)"/>
  </numFmts>
  <fonts count="122">
    <font>
      <sz val="11"/>
      <color theme="1"/>
      <name val="Calibri"/>
      <family val="2"/>
      <scheme val="minor"/>
    </font>
    <font>
      <sz val="11"/>
      <color theme="1"/>
      <name val="Arial"/>
      <family val="2"/>
    </font>
    <font>
      <sz val="11"/>
      <color theme="1"/>
      <name val="Calibri"/>
      <family val="2"/>
      <scheme val="minor"/>
    </font>
    <font>
      <b/>
      <sz val="11"/>
      <color theme="1"/>
      <name val="Calibri"/>
      <family val="2"/>
      <scheme val="minor"/>
    </font>
    <font>
      <b/>
      <sz val="11"/>
      <color rgb="FFFFFFFF"/>
      <name val="Calibri"/>
      <family val="2"/>
    </font>
    <font>
      <sz val="8"/>
      <color theme="1"/>
      <name val="Trebuchet MS"/>
      <family val="2"/>
    </font>
    <font>
      <sz val="8"/>
      <color theme="0" tint="-0.499984740745262"/>
      <name val="Trebuchet MS"/>
      <family val="2"/>
    </font>
    <font>
      <b/>
      <sz val="12"/>
      <color theme="0"/>
      <name val="Calibri"/>
      <family val="2"/>
      <scheme val="minor"/>
    </font>
    <font>
      <i/>
      <sz val="11"/>
      <color theme="1"/>
      <name val="Calibri"/>
      <family val="2"/>
      <scheme val="minor"/>
    </font>
    <font>
      <i/>
      <sz val="11"/>
      <color rgb="FF0070C0"/>
      <name val="Calibri"/>
      <family val="2"/>
      <scheme val="minor"/>
    </font>
    <font>
      <b/>
      <u/>
      <sz val="11"/>
      <color theme="1"/>
      <name val="Calibri"/>
      <family val="2"/>
      <scheme val="minor"/>
    </font>
    <font>
      <b/>
      <sz val="11"/>
      <color rgb="FF0070C0"/>
      <name val="Calibri"/>
      <family val="2"/>
      <scheme val="minor"/>
    </font>
    <font>
      <sz val="11"/>
      <color rgb="FFFF0000"/>
      <name val="Calibri"/>
      <family val="2"/>
      <scheme val="minor"/>
    </font>
    <font>
      <sz val="11"/>
      <color rgb="FF0070C0"/>
      <name val="Calibri"/>
      <family val="2"/>
      <scheme val="minor"/>
    </font>
    <font>
      <b/>
      <sz val="11"/>
      <color theme="0"/>
      <name val="Calibri"/>
      <family val="2"/>
      <scheme val="minor"/>
    </font>
    <font>
      <sz val="9"/>
      <color rgb="FF000000"/>
      <name val="Arial"/>
      <family val="2"/>
    </font>
    <font>
      <b/>
      <sz val="9"/>
      <color rgb="FF000000"/>
      <name val="Arial"/>
      <family val="2"/>
    </font>
    <font>
      <b/>
      <i/>
      <sz val="11"/>
      <color theme="1"/>
      <name val="Calibri"/>
      <family val="2"/>
      <scheme val="minor"/>
    </font>
    <font>
      <b/>
      <sz val="11"/>
      <color rgb="FFFF0000"/>
      <name val="Calibri"/>
      <family val="2"/>
      <scheme val="minor"/>
    </font>
    <font>
      <sz val="11"/>
      <color theme="8" tint="-0.249977111117893"/>
      <name val="Calibri"/>
      <family val="2"/>
      <scheme val="minor"/>
    </font>
    <font>
      <b/>
      <sz val="11"/>
      <color rgb="FF00B0F0"/>
      <name val="Calibri"/>
      <family val="2"/>
      <scheme val="minor"/>
    </font>
    <font>
      <i/>
      <sz val="11"/>
      <color rgb="FFFF0000"/>
      <name val="Calibri"/>
      <family val="2"/>
      <scheme val="minor"/>
    </font>
    <font>
      <sz val="7"/>
      <color rgb="FF2C2C2C"/>
      <name val="Var(--inter)"/>
    </font>
    <font>
      <u/>
      <sz val="11"/>
      <color theme="10"/>
      <name val="Calibri"/>
      <family val="2"/>
      <scheme val="minor"/>
    </font>
    <font>
      <sz val="10"/>
      <name val="Arial"/>
      <family val="2"/>
    </font>
    <font>
      <sz val="10"/>
      <color rgb="FF333333"/>
      <name val="Roboto"/>
    </font>
    <font>
      <b/>
      <sz val="10"/>
      <color rgb="FF333333"/>
      <name val="Roboto"/>
    </font>
    <font>
      <sz val="10"/>
      <color rgb="FF000000"/>
      <name val="Times New Roman"/>
      <family val="1"/>
    </font>
    <font>
      <sz val="11"/>
      <name val="Calibri"/>
      <family val="2"/>
      <scheme val="minor"/>
    </font>
    <font>
      <b/>
      <sz val="11"/>
      <color rgb="FFFFFFFF"/>
      <name val="Calibri"/>
      <family val="2"/>
      <scheme val="minor"/>
    </font>
    <font>
      <sz val="11"/>
      <color rgb="FF000000"/>
      <name val="Calibri"/>
      <family val="2"/>
      <scheme val="minor"/>
    </font>
    <font>
      <i/>
      <sz val="11"/>
      <color rgb="FF000000"/>
      <name val="Calibri"/>
      <family val="2"/>
      <scheme val="minor"/>
    </font>
    <font>
      <b/>
      <sz val="10"/>
      <name val="Arial"/>
      <family val="2"/>
    </font>
    <font>
      <sz val="8"/>
      <name val="Calibri"/>
      <family val="2"/>
      <scheme val="minor"/>
    </font>
    <font>
      <b/>
      <u/>
      <sz val="11"/>
      <color theme="0"/>
      <name val="Calibri"/>
      <family val="2"/>
      <scheme val="minor"/>
    </font>
    <font>
      <u/>
      <sz val="11"/>
      <color theme="1"/>
      <name val="Calibri"/>
      <family val="2"/>
      <scheme val="minor"/>
    </font>
    <font>
      <b/>
      <sz val="8"/>
      <color rgb="FF455F7C"/>
      <name val="Arial"/>
      <family val="2"/>
    </font>
    <font>
      <sz val="8"/>
      <color rgb="FF455F7C"/>
      <name val="Arial"/>
      <family val="2"/>
    </font>
    <font>
      <b/>
      <sz val="8"/>
      <color rgb="FF455F7C"/>
      <name val="Calibri"/>
      <family val="2"/>
      <scheme val="minor"/>
    </font>
    <font>
      <sz val="8"/>
      <color rgb="FF455F7C"/>
      <name val="Calibri"/>
      <family val="2"/>
      <scheme val="minor"/>
    </font>
    <font>
      <sz val="11"/>
      <color theme="8" tint="-0.499984740745262"/>
      <name val="Calibri"/>
      <family val="2"/>
      <scheme val="minor"/>
    </font>
    <font>
      <sz val="9"/>
      <color theme="1"/>
      <name val="Arial"/>
      <family val="2"/>
    </font>
    <font>
      <sz val="10"/>
      <color theme="1"/>
      <name val="Arial"/>
      <family val="2"/>
    </font>
    <font>
      <b/>
      <sz val="10"/>
      <color theme="1"/>
      <name val="Arial"/>
      <family val="2"/>
    </font>
    <font>
      <b/>
      <sz val="16"/>
      <name val="Calibri"/>
      <family val="2"/>
      <scheme val="minor"/>
    </font>
    <font>
      <b/>
      <sz val="11"/>
      <color theme="8" tint="-0.499984740745262"/>
      <name val="Calibri"/>
      <family val="2"/>
      <scheme val="minor"/>
    </font>
    <font>
      <b/>
      <i/>
      <sz val="11"/>
      <color theme="0"/>
      <name val="Calibri"/>
      <family val="2"/>
      <scheme val="minor"/>
    </font>
    <font>
      <sz val="11"/>
      <color theme="0"/>
      <name val="Calibri"/>
      <family val="2"/>
      <scheme val="minor"/>
    </font>
    <font>
      <i/>
      <sz val="11"/>
      <color rgb="FF00B0F0"/>
      <name val="Calibri"/>
      <family val="2"/>
      <scheme val="minor"/>
    </font>
    <font>
      <sz val="11"/>
      <color rgb="FF00B0F0"/>
      <name val="Calibri"/>
      <family val="2"/>
      <scheme val="minor"/>
    </font>
    <font>
      <b/>
      <sz val="11"/>
      <color theme="1"/>
      <name val="Calibri"/>
      <family val="2"/>
      <charset val="163"/>
      <scheme val="minor"/>
    </font>
    <font>
      <b/>
      <sz val="11"/>
      <color rgb="FFFF0000"/>
      <name val="Calibri"/>
      <family val="2"/>
      <charset val="163"/>
      <scheme val="minor"/>
    </font>
    <font>
      <sz val="9"/>
      <color indexed="81"/>
      <name val="Tahoma"/>
      <family val="2"/>
      <charset val="163"/>
    </font>
    <font>
      <sz val="11"/>
      <color theme="1"/>
      <name val="Calibri"/>
      <family val="2"/>
      <charset val="163"/>
      <scheme val="minor"/>
    </font>
    <font>
      <i/>
      <sz val="11"/>
      <color rgb="FF0070C0"/>
      <name val="Calibri"/>
      <family val="2"/>
      <charset val="163"/>
      <scheme val="minor"/>
    </font>
    <font>
      <i/>
      <sz val="11"/>
      <color rgb="FFFF0000"/>
      <name val="Calibri"/>
      <family val="2"/>
      <charset val="163"/>
      <scheme val="minor"/>
    </font>
    <font>
      <i/>
      <sz val="11"/>
      <color theme="1"/>
      <name val="Calibri"/>
      <family val="2"/>
      <charset val="163"/>
      <scheme val="minor"/>
    </font>
    <font>
      <b/>
      <sz val="11"/>
      <color rgb="FF00B0F0"/>
      <name val="Calibri"/>
      <family val="2"/>
      <charset val="163"/>
      <scheme val="minor"/>
    </font>
    <font>
      <b/>
      <sz val="9"/>
      <color indexed="81"/>
      <name val="Tahoma"/>
      <family val="2"/>
      <charset val="163"/>
    </font>
    <font>
      <b/>
      <sz val="16"/>
      <color theme="1"/>
      <name val="Calibri"/>
      <family val="2"/>
      <charset val="163"/>
      <scheme val="minor"/>
    </font>
    <font>
      <b/>
      <sz val="11"/>
      <color theme="0"/>
      <name val="Calibri"/>
      <family val="2"/>
      <charset val="163"/>
      <scheme val="minor"/>
    </font>
    <font>
      <u/>
      <sz val="11"/>
      <color theme="10"/>
      <name val="Calibri"/>
      <family val="2"/>
      <charset val="163"/>
      <scheme val="minor"/>
    </font>
    <font>
      <i/>
      <sz val="11"/>
      <name val="Calibri"/>
      <family val="2"/>
      <charset val="163"/>
      <scheme val="minor"/>
    </font>
    <font>
      <b/>
      <sz val="11"/>
      <name val="Calibri"/>
      <family val="2"/>
      <charset val="163"/>
      <scheme val="minor"/>
    </font>
    <font>
      <b/>
      <u/>
      <sz val="11"/>
      <color rgb="FFC00000"/>
      <name val="Calibri"/>
      <family val="2"/>
      <charset val="163"/>
      <scheme val="minor"/>
    </font>
    <font>
      <b/>
      <u/>
      <sz val="11"/>
      <color rgb="FF002060"/>
      <name val="Calibri"/>
      <family val="2"/>
      <charset val="163"/>
      <scheme val="minor"/>
    </font>
    <font>
      <b/>
      <sz val="11"/>
      <color rgb="FF000000"/>
      <name val="Calibri"/>
      <family val="2"/>
    </font>
    <font>
      <b/>
      <sz val="11"/>
      <color theme="8" tint="-0.249977111117893"/>
      <name val="Calibri"/>
      <family val="2"/>
      <scheme val="minor"/>
    </font>
    <font>
      <b/>
      <i/>
      <sz val="11"/>
      <color rgb="FFFF0000"/>
      <name val="Calibri"/>
      <family val="2"/>
      <charset val="163"/>
      <scheme val="minor"/>
    </font>
    <font>
      <b/>
      <sz val="11"/>
      <color theme="1"/>
      <name val="Arial"/>
      <family val="2"/>
    </font>
    <font>
      <b/>
      <sz val="11"/>
      <color theme="1"/>
      <name val="Calibri"/>
      <family val="2"/>
    </font>
    <font>
      <sz val="11"/>
      <color rgb="FFFF0000"/>
      <name val="Calibri Light"/>
      <family val="2"/>
      <scheme val="major"/>
    </font>
    <font>
      <b/>
      <u/>
      <sz val="10"/>
      <color theme="1"/>
      <name val="Arial"/>
      <family val="2"/>
    </font>
    <font>
      <b/>
      <i/>
      <sz val="11"/>
      <color theme="1"/>
      <name val="Calibri"/>
      <family val="2"/>
      <charset val="163"/>
      <scheme val="minor"/>
    </font>
    <font>
      <i/>
      <sz val="11"/>
      <color theme="0"/>
      <name val="Calibri"/>
      <family val="2"/>
      <scheme val="minor"/>
    </font>
    <font>
      <sz val="11"/>
      <color rgb="FF000000"/>
      <name val="Calibri"/>
      <family val="2"/>
    </font>
    <font>
      <b/>
      <sz val="11"/>
      <color rgb="FF000000"/>
      <name val="Calibri"/>
      <family val="2"/>
      <scheme val="minor"/>
    </font>
    <font>
      <sz val="9"/>
      <color indexed="81"/>
      <name val="Tahoma"/>
      <family val="2"/>
    </font>
    <font>
      <b/>
      <i/>
      <sz val="11"/>
      <color rgb="FF0070C0"/>
      <name val="Calibri"/>
      <family val="2"/>
      <scheme val="minor"/>
    </font>
    <font>
      <b/>
      <sz val="9"/>
      <color indexed="81"/>
      <name val="Tahoma"/>
      <family val="2"/>
    </font>
    <font>
      <b/>
      <sz val="11"/>
      <color theme="0"/>
      <name val="Arial"/>
      <family val="2"/>
      <charset val="163"/>
    </font>
    <font>
      <b/>
      <u/>
      <sz val="11"/>
      <color rgb="FF000000"/>
      <name val="Calibri"/>
      <family val="2"/>
      <scheme val="minor"/>
    </font>
    <font>
      <sz val="11"/>
      <color rgb="FFFF0000"/>
      <name val="Calibri"/>
      <family val="2"/>
      <charset val="163"/>
      <scheme val="minor"/>
    </font>
    <font>
      <i/>
      <sz val="11"/>
      <color theme="8" tint="-0.249977111117893"/>
      <name val="Calibri"/>
      <family val="2"/>
      <scheme val="minor"/>
    </font>
    <font>
      <b/>
      <sz val="11"/>
      <name val="Calibri"/>
      <family val="2"/>
      <scheme val="minor"/>
    </font>
    <font>
      <b/>
      <i/>
      <sz val="11"/>
      <color rgb="FF0070C0"/>
      <name val="Calibri"/>
      <family val="2"/>
      <charset val="163"/>
      <scheme val="minor"/>
    </font>
    <font>
      <sz val="11"/>
      <color theme="1"/>
      <name val="Calibri"/>
      <family val="2"/>
    </font>
    <font>
      <sz val="11"/>
      <color rgb="FF444444"/>
      <name val="Calibri"/>
      <family val="2"/>
      <charset val="1"/>
    </font>
    <font>
      <b/>
      <i/>
      <u/>
      <sz val="11"/>
      <color theme="1"/>
      <name val="Calibri"/>
      <family val="2"/>
      <scheme val="minor"/>
    </font>
    <font>
      <i/>
      <sz val="11"/>
      <name val="Calibri"/>
      <family val="2"/>
      <scheme val="minor"/>
    </font>
    <font>
      <b/>
      <sz val="11"/>
      <name val="Calibri"/>
      <family val="2"/>
    </font>
    <font>
      <sz val="11"/>
      <color rgb="FF000000"/>
      <name val="Arial"/>
      <family val="2"/>
    </font>
    <font>
      <i/>
      <sz val="11"/>
      <color rgb="FF000000"/>
      <name val="Arial"/>
      <family val="2"/>
    </font>
    <font>
      <b/>
      <sz val="11"/>
      <color rgb="FF000000"/>
      <name val="Arial"/>
      <family val="2"/>
    </font>
    <font>
      <sz val="11"/>
      <color rgb="FF2C2C2C"/>
      <name val="Var(--inter)"/>
    </font>
    <font>
      <sz val="11"/>
      <color theme="0"/>
      <name val="Arial"/>
      <family val="2"/>
    </font>
    <font>
      <b/>
      <sz val="11"/>
      <color rgb="FF000000"/>
      <name val="Arial"/>
      <family val="2"/>
      <charset val="163"/>
    </font>
    <font>
      <i/>
      <sz val="11"/>
      <color rgb="FF808080"/>
      <name val="Arial"/>
      <family val="2"/>
    </font>
    <font>
      <b/>
      <i/>
      <sz val="11"/>
      <color rgb="FF000000"/>
      <name val="Arial"/>
      <family val="2"/>
    </font>
    <font>
      <b/>
      <i/>
      <sz val="11"/>
      <color rgb="FF808080"/>
      <name val="Arial"/>
      <family val="2"/>
    </font>
    <font>
      <i/>
      <sz val="11"/>
      <color rgb="FF808080"/>
      <name val="Calibri"/>
      <family val="2"/>
    </font>
    <font>
      <b/>
      <u/>
      <sz val="11"/>
      <color rgb="FF000000"/>
      <name val="Calibri"/>
      <family val="2"/>
    </font>
    <font>
      <sz val="11"/>
      <color rgb="FF333333"/>
      <name val="Calibri"/>
      <family val="2"/>
    </font>
    <font>
      <b/>
      <u/>
      <sz val="11"/>
      <color rgb="FF333333"/>
      <name val="Calibri"/>
      <family val="2"/>
    </font>
    <font>
      <b/>
      <sz val="11"/>
      <color rgb="FF333333"/>
      <name val="Calibri"/>
      <family val="2"/>
    </font>
    <font>
      <u/>
      <sz val="11"/>
      <color rgb="FF333333"/>
      <name val="Calibri"/>
      <family val="2"/>
    </font>
    <font>
      <sz val="11"/>
      <color rgb="FF808080"/>
      <name val="Calibri"/>
      <family val="2"/>
    </font>
    <font>
      <b/>
      <i/>
      <sz val="11"/>
      <color rgb="FF000000"/>
      <name val="Calibri"/>
      <family val="2"/>
    </font>
    <font>
      <i/>
      <sz val="11"/>
      <color rgb="FF000000"/>
      <name val="Calibri"/>
      <family val="2"/>
    </font>
    <font>
      <sz val="11"/>
      <color rgb="FF57585A"/>
      <name val="Calibri"/>
      <family val="2"/>
    </font>
    <font>
      <b/>
      <u/>
      <sz val="11"/>
      <color theme="1"/>
      <name val="Arial"/>
      <family val="2"/>
    </font>
    <font>
      <sz val="11"/>
      <color rgb="FF000000"/>
      <name val="Arial"/>
      <family val="2"/>
      <charset val="163"/>
    </font>
    <font>
      <sz val="11"/>
      <color theme="1"/>
      <name val="Arial"/>
      <family val="2"/>
      <charset val="163"/>
    </font>
    <font>
      <sz val="11"/>
      <color rgb="FFFF0000"/>
      <name val="Open Sans"/>
      <family val="2"/>
    </font>
    <font>
      <b/>
      <sz val="11"/>
      <color theme="8" tint="-0.499984740745262"/>
      <name val="Arial"/>
      <family val="2"/>
      <charset val="163"/>
    </font>
    <font>
      <sz val="11"/>
      <name val="Arial"/>
      <family val="2"/>
      <charset val="163"/>
    </font>
    <font>
      <b/>
      <sz val="11"/>
      <name val="Arial"/>
      <family val="2"/>
      <charset val="163"/>
    </font>
    <font>
      <b/>
      <sz val="16"/>
      <color theme="8" tint="-0.499984740745262"/>
      <name val="Calibri"/>
      <family val="2"/>
      <scheme val="minor"/>
    </font>
    <font>
      <i/>
      <sz val="11"/>
      <color theme="2" tint="-0.499984740745262"/>
      <name val="Calibri"/>
      <family val="2"/>
      <scheme val="minor"/>
    </font>
    <font>
      <b/>
      <sz val="11"/>
      <color rgb="FF00B050"/>
      <name val="Calibri"/>
      <family val="2"/>
      <scheme val="minor"/>
    </font>
    <font>
      <b/>
      <sz val="11"/>
      <color theme="5"/>
      <name val="Calibri"/>
      <family val="2"/>
      <scheme val="minor"/>
    </font>
    <font>
      <b/>
      <sz val="11"/>
      <color rgb="FFC00000"/>
      <name val="Calibri"/>
      <family val="2"/>
      <scheme val="minor"/>
    </font>
  </fonts>
  <fills count="22">
    <fill>
      <patternFill patternType="none"/>
    </fill>
    <fill>
      <patternFill patternType="gray125"/>
    </fill>
    <fill>
      <patternFill patternType="solid">
        <fgColor theme="0"/>
        <bgColor indexed="64"/>
      </patternFill>
    </fill>
    <fill>
      <patternFill patternType="solid">
        <fgColor theme="5"/>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0"/>
        <bgColor rgb="FF0070C0"/>
      </patternFill>
    </fill>
    <fill>
      <patternFill patternType="solid">
        <fgColor rgb="FFFFFFFF"/>
        <bgColor indexed="64"/>
      </patternFill>
    </fill>
    <fill>
      <patternFill patternType="solid">
        <fgColor rgb="FFFFFF00"/>
        <bgColor indexed="64"/>
      </patternFill>
    </fill>
    <fill>
      <patternFill patternType="solid">
        <fgColor rgb="FF0070C0"/>
        <bgColor rgb="FF000000"/>
      </patternFill>
    </fill>
    <fill>
      <patternFill patternType="solid">
        <fgColor theme="3" tint="0.79998168889431442"/>
        <bgColor indexed="64"/>
      </patternFill>
    </fill>
    <fill>
      <patternFill patternType="solid">
        <fgColor theme="0"/>
        <bgColor rgb="FF000000"/>
      </patternFill>
    </fill>
    <fill>
      <patternFill patternType="solid">
        <fgColor rgb="FFFFC000"/>
        <bgColor indexed="64"/>
      </patternFill>
    </fill>
    <fill>
      <patternFill patternType="solid">
        <fgColor rgb="FF002060"/>
        <bgColor indexed="64"/>
      </patternFill>
    </fill>
    <fill>
      <patternFill patternType="solid">
        <fgColor rgb="FFC00000"/>
        <bgColor indexed="64"/>
      </patternFill>
    </fill>
    <fill>
      <patternFill patternType="solid">
        <fgColor rgb="FFFFFFFF"/>
        <bgColor rgb="FF000000"/>
      </patternFill>
    </fill>
    <fill>
      <patternFill patternType="solid">
        <fgColor rgb="FFF2F2F2"/>
        <bgColor rgb="FF000000"/>
      </patternFill>
    </fill>
    <fill>
      <patternFill patternType="solid">
        <fgColor theme="0" tint="-0.14999847407452621"/>
        <bgColor indexed="64"/>
      </patternFill>
    </fill>
    <fill>
      <patternFill patternType="solid">
        <fgColor rgb="FF00FF00"/>
        <bgColor indexed="64"/>
      </patternFill>
    </fill>
    <fill>
      <patternFill patternType="solid">
        <fgColor theme="4" tint="0.79998168889431442"/>
        <bgColor indexed="64"/>
      </patternFill>
    </fill>
  </fills>
  <borders count="4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rgb="FFCCCCCC"/>
      </bottom>
      <diagonal/>
    </border>
    <border>
      <left/>
      <right style="medium">
        <color rgb="FFFFFFFF"/>
      </right>
      <top/>
      <bottom style="medium">
        <color rgb="FFBFBFBF"/>
      </bottom>
      <diagonal/>
    </border>
    <border>
      <left/>
      <right/>
      <top/>
      <bottom style="medium">
        <color rgb="FFBFBFBF"/>
      </bottom>
      <diagonal/>
    </border>
    <border>
      <left/>
      <right style="medium">
        <color rgb="FFFFFFFF"/>
      </right>
      <top/>
      <bottom/>
      <diagonal/>
    </border>
    <border>
      <left/>
      <right style="thin">
        <color theme="2" tint="-0.499984740745262"/>
      </right>
      <top/>
      <bottom style="medium">
        <color rgb="FFBFBFBF"/>
      </bottom>
      <diagonal/>
    </border>
    <border>
      <left/>
      <right style="thin">
        <color theme="2" tint="-0.499984740745262"/>
      </right>
      <top/>
      <bottom/>
      <diagonal/>
    </border>
    <border>
      <left style="medium">
        <color rgb="FFFFFFFF"/>
      </left>
      <right/>
      <top/>
      <bottom/>
      <diagonal/>
    </border>
    <border>
      <left style="medium">
        <color rgb="FFFFFFFF"/>
      </left>
      <right/>
      <top/>
      <bottom style="medium">
        <color rgb="FFBFBFBF"/>
      </bottom>
      <diagonal/>
    </border>
    <border>
      <left/>
      <right/>
      <top/>
      <bottom style="medium">
        <color theme="8" tint="-0.499984740745262"/>
      </bottom>
      <diagonal/>
    </border>
    <border>
      <left style="medium">
        <color rgb="FFFFFFFF"/>
      </left>
      <right/>
      <top/>
      <bottom style="medium">
        <color theme="8" tint="-0.499984740745262"/>
      </bottom>
      <diagonal/>
    </border>
    <border>
      <left/>
      <right style="medium">
        <color rgb="FFFFFFFF"/>
      </right>
      <top/>
      <bottom style="medium">
        <color theme="8" tint="-0.4999847407452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rgb="FF000000"/>
      </right>
      <top/>
      <bottom/>
      <diagonal/>
    </border>
    <border>
      <left/>
      <right style="thin">
        <color indexed="64"/>
      </right>
      <top/>
      <bottom style="medium">
        <color rgb="FFBFBFBF"/>
      </bottom>
      <diagonal/>
    </border>
    <border>
      <left/>
      <right/>
      <top/>
      <bottom style="medium">
        <color theme="0"/>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rgb="FFFFFFFF"/>
      </left>
      <right/>
      <top style="medium">
        <color theme="8" tint="-0.499984740745262"/>
      </top>
      <bottom style="medium">
        <color theme="8" tint="-0.499984740745262"/>
      </bottom>
      <diagonal/>
    </border>
    <border>
      <left/>
      <right/>
      <top style="medium">
        <color theme="8" tint="-0.499984740745262"/>
      </top>
      <bottom style="medium">
        <color theme="8" tint="-0.499984740745262"/>
      </bottom>
      <diagonal/>
    </border>
    <border>
      <left/>
      <right/>
      <top/>
      <bottom style="medium">
        <color theme="0" tint="-0.249977111117893"/>
      </bottom>
      <diagonal/>
    </border>
    <border>
      <left/>
      <right style="thin">
        <color theme="0" tint="-0.249977111117893"/>
      </right>
      <top/>
      <bottom/>
      <diagonal/>
    </border>
    <border>
      <left/>
      <right/>
      <top/>
      <bottom style="medium">
        <color rgb="FF000000"/>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top style="thin">
        <color theme="0" tint="-0.249977111117893"/>
      </top>
      <bottom style="thin">
        <color theme="0" tint="-0.249977111117893"/>
      </bottom>
      <diagonal/>
    </border>
    <border>
      <left/>
      <right/>
      <top style="thin">
        <color theme="0" tint="-0.249977111117893"/>
      </top>
      <bottom/>
      <diagonal/>
    </border>
    <border>
      <left/>
      <right/>
      <top/>
      <bottom style="thin">
        <color theme="0" tint="-0.249977111117893"/>
      </bottom>
      <diagonal/>
    </border>
    <border>
      <left/>
      <right style="medium">
        <color theme="0"/>
      </right>
      <top/>
      <bottom style="thin">
        <color theme="0" tint="-0.249977111117893"/>
      </bottom>
      <diagonal/>
    </border>
    <border>
      <left/>
      <right style="medium">
        <color theme="0"/>
      </right>
      <top/>
      <bottom/>
      <diagonal/>
    </border>
    <border>
      <left style="medium">
        <color theme="0"/>
      </left>
      <right/>
      <top/>
      <bottom/>
      <diagonal/>
    </border>
    <border>
      <left style="medium">
        <color theme="0"/>
      </left>
      <right/>
      <top/>
      <bottom style="thin">
        <color theme="0" tint="-0.249977111117893"/>
      </bottom>
      <diagonal/>
    </border>
    <border>
      <left style="thin">
        <color theme="0"/>
      </left>
      <right style="thin">
        <color theme="0"/>
      </right>
      <top style="thin">
        <color theme="0"/>
      </top>
      <bottom style="thin">
        <color theme="0"/>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23" fillId="0" borderId="0" applyNumberFormat="0" applyFill="0" applyBorder="0" applyAlignment="0" applyProtection="0"/>
    <xf numFmtId="43" fontId="24" fillId="0" borderId="0" applyFont="0" applyFill="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2" fillId="0" borderId="0" applyFont="0" applyFill="0" applyBorder="0" applyAlignment="0" applyProtection="0"/>
    <xf numFmtId="0" fontId="2" fillId="0" borderId="0"/>
    <xf numFmtId="0" fontId="28" fillId="0" borderId="0"/>
  </cellStyleXfs>
  <cellXfs count="1641">
    <xf numFmtId="0" fontId="0" fillId="0" borderId="0" xfId="0"/>
    <xf numFmtId="0" fontId="0" fillId="2" borderId="0" xfId="0" applyFill="1"/>
    <xf numFmtId="0" fontId="3" fillId="2" borderId="0" xfId="0" applyFont="1" applyFill="1"/>
    <xf numFmtId="164" fontId="0" fillId="2" borderId="0" xfId="1" applyNumberFormat="1" applyFont="1" applyFill="1"/>
    <xf numFmtId="164" fontId="0" fillId="2" borderId="0" xfId="0" applyNumberFormat="1" applyFill="1"/>
    <xf numFmtId="43" fontId="0" fillId="2" borderId="0" xfId="0" applyNumberFormat="1" applyFill="1"/>
    <xf numFmtId="0" fontId="8" fillId="2" borderId="0" xfId="0" applyFont="1" applyFill="1"/>
    <xf numFmtId="164" fontId="3" fillId="2" borderId="0" xfId="1" applyNumberFormat="1" applyFont="1" applyFill="1"/>
    <xf numFmtId="164" fontId="3" fillId="2" borderId="0" xfId="0" applyNumberFormat="1" applyFont="1" applyFill="1"/>
    <xf numFmtId="0" fontId="3" fillId="2" borderId="0" xfId="0" applyFont="1" applyFill="1" applyAlignment="1">
      <alignment horizontal="left" indent="2"/>
    </xf>
    <xf numFmtId="164" fontId="0" fillId="2" borderId="1" xfId="1" applyNumberFormat="1" applyFont="1" applyFill="1" applyBorder="1"/>
    <xf numFmtId="164" fontId="3" fillId="2" borderId="1" xfId="1" applyNumberFormat="1" applyFont="1" applyFill="1" applyBorder="1"/>
    <xf numFmtId="9" fontId="8" fillId="2" borderId="0" xfId="2" applyFont="1" applyFill="1"/>
    <xf numFmtId="0" fontId="8" fillId="2" borderId="1" xfId="0" applyFont="1" applyFill="1" applyBorder="1"/>
    <xf numFmtId="9" fontId="9" fillId="2" borderId="0" xfId="2" applyFont="1" applyFill="1"/>
    <xf numFmtId="165" fontId="9" fillId="2" borderId="0" xfId="2" applyNumberFormat="1" applyFont="1" applyFill="1"/>
    <xf numFmtId="43" fontId="0" fillId="2" borderId="0" xfId="1" applyFont="1" applyFill="1"/>
    <xf numFmtId="165" fontId="0" fillId="2" borderId="0" xfId="2" applyNumberFormat="1" applyFont="1" applyFill="1"/>
    <xf numFmtId="9" fontId="0" fillId="2" borderId="0" xfId="2" applyFont="1" applyFill="1"/>
    <xf numFmtId="9" fontId="13" fillId="2" borderId="0" xfId="0" applyNumberFormat="1" applyFont="1" applyFill="1"/>
    <xf numFmtId="166" fontId="0" fillId="2" borderId="0" xfId="1" applyNumberFormat="1" applyFont="1" applyFill="1"/>
    <xf numFmtId="0" fontId="11" fillId="2" borderId="0" xfId="0" applyFont="1" applyFill="1"/>
    <xf numFmtId="164" fontId="0" fillId="4" borderId="0" xfId="1" applyNumberFormat="1" applyFont="1" applyFill="1"/>
    <xf numFmtId="0" fontId="12" fillId="2" borderId="0" xfId="0" applyFont="1" applyFill="1"/>
    <xf numFmtId="0" fontId="3" fillId="4" borderId="0" xfId="0" applyFont="1" applyFill="1"/>
    <xf numFmtId="9" fontId="0" fillId="4" borderId="0" xfId="2" applyFont="1" applyFill="1"/>
    <xf numFmtId="164" fontId="0" fillId="6" borderId="0" xfId="1" applyNumberFormat="1" applyFont="1" applyFill="1"/>
    <xf numFmtId="9" fontId="17" fillId="4" borderId="0" xfId="2" applyFont="1" applyFill="1"/>
    <xf numFmtId="9" fontId="17" fillId="2" borderId="0" xfId="2" applyFont="1" applyFill="1"/>
    <xf numFmtId="9" fontId="17" fillId="4" borderId="0" xfId="2" applyFont="1" applyFill="1" applyBorder="1"/>
    <xf numFmtId="9" fontId="8" fillId="2" borderId="0" xfId="2" applyFont="1" applyFill="1" applyBorder="1"/>
    <xf numFmtId="164" fontId="14" fillId="7" borderId="0" xfId="1" applyNumberFormat="1" applyFont="1" applyFill="1"/>
    <xf numFmtId="164" fontId="4" fillId="8" borderId="0" xfId="1" applyNumberFormat="1" applyFont="1" applyFill="1" applyBorder="1" applyAlignment="1">
      <alignment horizontal="left" vertical="center" wrapText="1" indent="2"/>
    </xf>
    <xf numFmtId="164" fontId="0" fillId="2" borderId="0" xfId="1" applyNumberFormat="1" applyFont="1" applyFill="1" applyBorder="1" applyAlignment="1">
      <alignment horizontal="left" indent="2"/>
    </xf>
    <xf numFmtId="164" fontId="0" fillId="2" borderId="0" xfId="1" applyNumberFormat="1" applyFont="1" applyFill="1" applyBorder="1"/>
    <xf numFmtId="164" fontId="5" fillId="2" borderId="0" xfId="1" applyNumberFormat="1" applyFont="1" applyFill="1" applyBorder="1"/>
    <xf numFmtId="164" fontId="5" fillId="2" borderId="0" xfId="1" applyNumberFormat="1" applyFont="1" applyFill="1" applyBorder="1" applyAlignment="1">
      <alignment horizontal="left" indent="2"/>
    </xf>
    <xf numFmtId="164" fontId="6" fillId="2" borderId="0" xfId="1" applyNumberFormat="1" applyFont="1" applyFill="1" applyBorder="1" applyAlignment="1">
      <alignment horizontal="left"/>
    </xf>
    <xf numFmtId="164" fontId="4" fillId="8" borderId="0" xfId="1" applyNumberFormat="1" applyFont="1" applyFill="1" applyBorder="1" applyAlignment="1">
      <alignment vertical="center" wrapText="1"/>
    </xf>
    <xf numFmtId="164" fontId="4" fillId="8" borderId="0" xfId="1" applyNumberFormat="1" applyFont="1" applyFill="1" applyBorder="1" applyAlignment="1">
      <alignment horizontal="center" vertical="center" wrapText="1"/>
    </xf>
    <xf numFmtId="164" fontId="3" fillId="2" borderId="0" xfId="1" applyNumberFormat="1" applyFont="1" applyFill="1" applyBorder="1" applyAlignment="1">
      <alignment horizontal="left" indent="2"/>
    </xf>
    <xf numFmtId="164" fontId="3" fillId="2" borderId="0" xfId="1" applyNumberFormat="1" applyFont="1" applyFill="1" applyBorder="1"/>
    <xf numFmtId="0" fontId="0" fillId="2" borderId="0" xfId="0" applyFill="1" applyAlignment="1">
      <alignment vertical="center" wrapText="1"/>
    </xf>
    <xf numFmtId="0" fontId="0" fillId="2" borderId="0" xfId="0" applyFill="1" applyAlignment="1">
      <alignment vertical="center"/>
    </xf>
    <xf numFmtId="0" fontId="3" fillId="4" borderId="0" xfId="0" applyFont="1" applyFill="1" applyAlignment="1">
      <alignment horizontal="left" indent="2"/>
    </xf>
    <xf numFmtId="9" fontId="0" fillId="2" borderId="0" xfId="2" applyFont="1" applyFill="1" applyBorder="1"/>
    <xf numFmtId="43" fontId="3" fillId="2" borderId="0" xfId="1" applyFont="1" applyFill="1" applyBorder="1" applyAlignment="1">
      <alignment horizontal="left" indent="2"/>
    </xf>
    <xf numFmtId="43" fontId="3" fillId="2" borderId="0" xfId="1" applyFont="1" applyFill="1" applyBorder="1"/>
    <xf numFmtId="43" fontId="0" fillId="2" borderId="0" xfId="1" applyFont="1" applyFill="1" applyBorder="1" applyAlignment="1">
      <alignment horizontal="left" indent="2"/>
    </xf>
    <xf numFmtId="43" fontId="0" fillId="2" borderId="0" xfId="1" applyFont="1" applyFill="1" applyBorder="1"/>
    <xf numFmtId="164" fontId="2" fillId="2" borderId="0" xfId="1" applyNumberFormat="1" applyFont="1" applyFill="1" applyBorder="1"/>
    <xf numFmtId="166" fontId="3" fillId="2" borderId="0" xfId="1" applyNumberFormat="1" applyFont="1" applyFill="1" applyBorder="1" applyAlignment="1">
      <alignment horizontal="left" indent="2"/>
    </xf>
    <xf numFmtId="166" fontId="0" fillId="2" borderId="0" xfId="1" applyNumberFormat="1" applyFont="1" applyFill="1" applyBorder="1" applyAlignment="1">
      <alignment horizontal="left" indent="2"/>
    </xf>
    <xf numFmtId="166" fontId="0" fillId="2" borderId="0" xfId="1" applyNumberFormat="1" applyFont="1" applyFill="1" applyBorder="1"/>
    <xf numFmtId="166" fontId="19" fillId="2" borderId="0" xfId="1" applyNumberFormat="1" applyFont="1" applyFill="1" applyBorder="1"/>
    <xf numFmtId="166" fontId="3" fillId="2" borderId="0" xfId="1" applyNumberFormat="1" applyFont="1" applyFill="1" applyBorder="1"/>
    <xf numFmtId="9" fontId="3" fillId="2" borderId="0" xfId="2" applyFont="1" applyFill="1" applyBorder="1"/>
    <xf numFmtId="9" fontId="0" fillId="2" borderId="0" xfId="2" applyFont="1" applyFill="1" applyAlignment="1">
      <alignment vertical="center"/>
    </xf>
    <xf numFmtId="43" fontId="0" fillId="2" borderId="0" xfId="1" applyFont="1" applyFill="1" applyAlignment="1">
      <alignment vertical="center"/>
    </xf>
    <xf numFmtId="165" fontId="8" fillId="2" borderId="0" xfId="2" applyNumberFormat="1" applyFont="1" applyFill="1"/>
    <xf numFmtId="0" fontId="0" fillId="2" borderId="0" xfId="0" applyFill="1" applyAlignment="1">
      <alignment horizontal="left"/>
    </xf>
    <xf numFmtId="9" fontId="3" fillId="2" borderId="0" xfId="2" applyFont="1" applyFill="1"/>
    <xf numFmtId="0" fontId="7" fillId="2" borderId="0" xfId="0" applyFont="1" applyFill="1"/>
    <xf numFmtId="164" fontId="0" fillId="5" borderId="0" xfId="1" applyNumberFormat="1" applyFont="1" applyFill="1"/>
    <xf numFmtId="0" fontId="0" fillId="2" borderId="0" xfId="0" applyFill="1" applyAlignment="1">
      <alignment horizontal="left" indent="1"/>
    </xf>
    <xf numFmtId="0" fontId="14" fillId="7" borderId="0" xfId="0" applyFont="1" applyFill="1" applyAlignment="1">
      <alignment horizontal="left" indent="1"/>
    </xf>
    <xf numFmtId="0" fontId="17" fillId="4" borderId="0" xfId="0" applyFont="1" applyFill="1" applyAlignment="1">
      <alignment horizontal="left" indent="1"/>
    </xf>
    <xf numFmtId="0" fontId="8" fillId="2" borderId="0" xfId="0" applyFont="1" applyFill="1" applyAlignment="1">
      <alignment horizontal="left" indent="1"/>
    </xf>
    <xf numFmtId="0" fontId="3" fillId="4" borderId="0" xfId="0" applyFont="1" applyFill="1" applyAlignment="1">
      <alignment horizontal="left" indent="1"/>
    </xf>
    <xf numFmtId="164" fontId="3" fillId="4" borderId="0" xfId="2" applyNumberFormat="1" applyFont="1" applyFill="1"/>
    <xf numFmtId="9" fontId="13" fillId="2" borderId="0" xfId="2" applyFont="1" applyFill="1"/>
    <xf numFmtId="165" fontId="0" fillId="2" borderId="0" xfId="2" applyNumberFormat="1" applyFont="1" applyFill="1" applyBorder="1"/>
    <xf numFmtId="0" fontId="17" fillId="2" borderId="0" xfId="0" applyFont="1" applyFill="1" applyAlignment="1">
      <alignment horizontal="left"/>
    </xf>
    <xf numFmtId="166" fontId="3" fillId="2" borderId="0" xfId="1" applyNumberFormat="1" applyFont="1" applyFill="1"/>
    <xf numFmtId="43" fontId="3" fillId="2" borderId="0" xfId="1" applyFont="1" applyFill="1"/>
    <xf numFmtId="0" fontId="19" fillId="2" borderId="0" xfId="0" applyFont="1" applyFill="1"/>
    <xf numFmtId="165" fontId="19" fillId="2" borderId="0" xfId="2" applyNumberFormat="1" applyFont="1" applyFill="1"/>
    <xf numFmtId="9" fontId="19" fillId="2" borderId="0" xfId="0" applyNumberFormat="1" applyFont="1" applyFill="1"/>
    <xf numFmtId="0" fontId="0" fillId="2" borderId="0" xfId="0" applyFill="1" applyAlignment="1">
      <alignment horizontal="left" indent="3"/>
    </xf>
    <xf numFmtId="0" fontId="3" fillId="2" borderId="0" xfId="0" applyFont="1" applyFill="1" applyAlignment="1">
      <alignment horizontal="left" indent="3"/>
    </xf>
    <xf numFmtId="0" fontId="8" fillId="2" borderId="0" xfId="0" applyFont="1" applyFill="1" applyAlignment="1">
      <alignment horizontal="left" indent="4"/>
    </xf>
    <xf numFmtId="0" fontId="14" fillId="7" borderId="0" xfId="0" applyFont="1" applyFill="1" applyAlignment="1">
      <alignment horizontal="left" indent="3"/>
    </xf>
    <xf numFmtId="0" fontId="17" fillId="2" borderId="0" xfId="0" applyFont="1" applyFill="1" applyAlignment="1">
      <alignment horizontal="left" indent="3"/>
    </xf>
    <xf numFmtId="0" fontId="10" fillId="2" borderId="0" xfId="0" applyFont="1" applyFill="1" applyAlignment="1">
      <alignment horizontal="left" indent="3"/>
    </xf>
    <xf numFmtId="0" fontId="13" fillId="2" borderId="0" xfId="0" applyFont="1" applyFill="1" applyAlignment="1">
      <alignment horizontal="left" indent="4"/>
    </xf>
    <xf numFmtId="0" fontId="19" fillId="2" borderId="0" xfId="0" applyFont="1" applyFill="1" applyAlignment="1">
      <alignment horizontal="left" indent="3"/>
    </xf>
    <xf numFmtId="0" fontId="13" fillId="2" borderId="0" xfId="0" applyFont="1" applyFill="1" applyAlignment="1">
      <alignment horizontal="left" indent="3"/>
    </xf>
    <xf numFmtId="0" fontId="13" fillId="2" borderId="0" xfId="0" applyFont="1" applyFill="1"/>
    <xf numFmtId="0" fontId="0" fillId="0" borderId="0" xfId="0" applyAlignment="1">
      <alignment vertical="center"/>
    </xf>
    <xf numFmtId="0" fontId="0" fillId="2" borderId="0" xfId="0" applyFill="1" applyAlignment="1">
      <alignment horizontal="left" vertical="center" wrapText="1"/>
    </xf>
    <xf numFmtId="164" fontId="0" fillId="2" borderId="0" xfId="1" applyNumberFormat="1" applyFont="1" applyFill="1" applyAlignment="1">
      <alignment vertical="center"/>
    </xf>
    <xf numFmtId="164" fontId="0" fillId="2" borderId="0" xfId="1" applyNumberFormat="1" applyFont="1" applyFill="1" applyAlignment="1">
      <alignment vertical="center" wrapText="1"/>
    </xf>
    <xf numFmtId="164" fontId="0" fillId="2" borderId="0" xfId="1" applyNumberFormat="1" applyFont="1" applyFill="1" applyAlignment="1">
      <alignment horizontal="left" vertical="center"/>
    </xf>
    <xf numFmtId="0" fontId="8" fillId="2" borderId="0" xfId="0" applyFont="1" applyFill="1" applyAlignment="1">
      <alignment horizontal="left" vertical="center" wrapText="1"/>
    </xf>
    <xf numFmtId="165" fontId="8" fillId="2" borderId="0" xfId="2" applyNumberFormat="1" applyFont="1" applyFill="1" applyAlignment="1">
      <alignment vertical="center"/>
    </xf>
    <xf numFmtId="165" fontId="8" fillId="2" borderId="0" xfId="2" applyNumberFormat="1" applyFont="1" applyFill="1" applyAlignment="1">
      <alignment vertical="center" wrapText="1"/>
    </xf>
    <xf numFmtId="0" fontId="19" fillId="2" borderId="0" xfId="0" applyFont="1" applyFill="1" applyAlignment="1">
      <alignment horizontal="left" vertical="center" wrapText="1"/>
    </xf>
    <xf numFmtId="164" fontId="19" fillId="2" borderId="0" xfId="1" applyNumberFormat="1" applyFont="1" applyFill="1" applyAlignment="1">
      <alignment vertical="center"/>
    </xf>
    <xf numFmtId="164" fontId="19" fillId="2" borderId="0" xfId="1" applyNumberFormat="1" applyFont="1" applyFill="1" applyAlignment="1">
      <alignment vertical="center" wrapText="1"/>
    </xf>
    <xf numFmtId="164" fontId="19" fillId="2" borderId="0" xfId="1" applyNumberFormat="1" applyFont="1" applyFill="1" applyAlignment="1">
      <alignment horizontal="left" vertical="center"/>
    </xf>
    <xf numFmtId="166" fontId="19" fillId="2" borderId="0" xfId="1" applyNumberFormat="1" applyFont="1" applyFill="1" applyAlignment="1">
      <alignment vertical="center"/>
    </xf>
    <xf numFmtId="43" fontId="19" fillId="2" borderId="0" xfId="1" applyFont="1" applyFill="1" applyAlignment="1">
      <alignment vertical="center" wrapText="1"/>
    </xf>
    <xf numFmtId="43" fontId="19" fillId="2" borderId="0" xfId="1" applyFont="1" applyFill="1" applyAlignment="1">
      <alignment vertical="center"/>
    </xf>
    <xf numFmtId="0" fontId="28" fillId="0" borderId="0" xfId="0" applyFont="1" applyAlignment="1">
      <alignment horizontal="left" vertical="center" wrapText="1"/>
    </xf>
    <xf numFmtId="0" fontId="23" fillId="2" borderId="0" xfId="3" applyFill="1"/>
    <xf numFmtId="43" fontId="0" fillId="2" borderId="2" xfId="1" applyFont="1" applyFill="1" applyBorder="1"/>
    <xf numFmtId="0" fontId="0" fillId="2" borderId="2" xfId="0" applyFill="1" applyBorder="1"/>
    <xf numFmtId="164" fontId="0" fillId="2" borderId="2" xfId="1" applyNumberFormat="1" applyFont="1" applyFill="1" applyBorder="1"/>
    <xf numFmtId="43" fontId="0" fillId="0" borderId="2" xfId="1" applyFont="1" applyBorder="1"/>
    <xf numFmtId="4" fontId="30" fillId="0" borderId="2" xfId="0" applyNumberFormat="1" applyFont="1" applyBorder="1"/>
    <xf numFmtId="0" fontId="31" fillId="0" borderId="2" xfId="0" applyFont="1" applyBorder="1"/>
    <xf numFmtId="10" fontId="30" fillId="0" borderId="2" xfId="0" applyNumberFormat="1" applyFont="1" applyBorder="1"/>
    <xf numFmtId="164" fontId="29" fillId="11" borderId="2" xfId="1" applyNumberFormat="1" applyFont="1" applyFill="1" applyBorder="1" applyAlignment="1">
      <alignment vertical="center" wrapText="1"/>
    </xf>
    <xf numFmtId="164" fontId="30" fillId="0" borderId="2" xfId="1" applyNumberFormat="1" applyFont="1" applyBorder="1"/>
    <xf numFmtId="9" fontId="31" fillId="0" borderId="2" xfId="2" applyFont="1" applyBorder="1"/>
    <xf numFmtId="164" fontId="0" fillId="0" borderId="0" xfId="0" applyNumberFormat="1"/>
    <xf numFmtId="17" fontId="29" fillId="11" borderId="2" xfId="0" applyNumberFormat="1" applyFont="1" applyFill="1" applyBorder="1" applyAlignment="1">
      <alignment vertical="center" wrapText="1"/>
    </xf>
    <xf numFmtId="164" fontId="0" fillId="0" borderId="0" xfId="1" applyNumberFormat="1" applyFont="1"/>
    <xf numFmtId="9" fontId="31" fillId="0" borderId="0" xfId="2" applyFont="1" applyBorder="1"/>
    <xf numFmtId="164" fontId="3" fillId="0" borderId="0" xfId="1" applyNumberFormat="1" applyFont="1"/>
    <xf numFmtId="164" fontId="0" fillId="12" borderId="0" xfId="1" applyNumberFormat="1" applyFont="1" applyFill="1"/>
    <xf numFmtId="0" fontId="3" fillId="2" borderId="2" xfId="0" applyFont="1" applyFill="1" applyBorder="1"/>
    <xf numFmtId="165" fontId="13" fillId="2" borderId="0" xfId="2" applyNumberFormat="1" applyFont="1" applyFill="1"/>
    <xf numFmtId="164" fontId="2" fillId="2" borderId="2" xfId="1" applyNumberFormat="1" applyFont="1" applyFill="1" applyBorder="1"/>
    <xf numFmtId="164" fontId="2" fillId="2" borderId="1" xfId="1" applyNumberFormat="1" applyFont="1" applyFill="1" applyBorder="1"/>
    <xf numFmtId="166" fontId="0" fillId="2" borderId="1" xfId="1" applyNumberFormat="1" applyFont="1" applyFill="1" applyBorder="1"/>
    <xf numFmtId="9" fontId="0" fillId="2" borderId="0" xfId="2" applyFont="1" applyFill="1" applyAlignment="1">
      <alignment wrapText="1"/>
    </xf>
    <xf numFmtId="9" fontId="0" fillId="2" borderId="0" xfId="2" applyFont="1" applyFill="1" applyAlignment="1">
      <alignment horizontal="center" vertical="center" wrapText="1"/>
    </xf>
    <xf numFmtId="9" fontId="0" fillId="2" borderId="0" xfId="2" applyFont="1" applyFill="1" applyAlignment="1">
      <alignment horizontal="center" vertical="top" wrapText="1"/>
    </xf>
    <xf numFmtId="9" fontId="0" fillId="2" borderId="0" xfId="2" quotePrefix="1" applyFont="1" applyFill="1" applyAlignment="1">
      <alignment horizontal="center" vertical="center" wrapText="1"/>
    </xf>
    <xf numFmtId="9" fontId="0" fillId="2" borderId="0" xfId="2" applyFont="1" applyFill="1" applyAlignment="1">
      <alignment horizontal="center" wrapText="1"/>
    </xf>
    <xf numFmtId="164" fontId="0" fillId="2" borderId="0" xfId="1" applyNumberFormat="1" applyFont="1" applyFill="1" applyAlignment="1">
      <alignment wrapText="1"/>
    </xf>
    <xf numFmtId="164" fontId="0" fillId="2" borderId="0" xfId="1" applyNumberFormat="1" applyFont="1" applyFill="1" applyAlignment="1"/>
    <xf numFmtId="0" fontId="3" fillId="2" borderId="0" xfId="0" applyFont="1" applyFill="1" applyAlignment="1">
      <alignment horizontal="center"/>
    </xf>
    <xf numFmtId="0" fontId="0" fillId="2" borderId="0" xfId="0" applyFill="1" applyAlignment="1">
      <alignment horizontal="center" vertical="center" wrapText="1"/>
    </xf>
    <xf numFmtId="9" fontId="0" fillId="2" borderId="0" xfId="2" applyFont="1" applyFill="1" applyAlignment="1">
      <alignment horizontal="left" vertical="top" wrapText="1"/>
    </xf>
    <xf numFmtId="9" fontId="0" fillId="2" borderId="0" xfId="2" applyFont="1" applyFill="1" applyAlignment="1">
      <alignment horizontal="left" vertical="center" wrapText="1"/>
    </xf>
    <xf numFmtId="0" fontId="0" fillId="2" borderId="0" xfId="0" applyFill="1" applyAlignment="1">
      <alignment horizontal="center"/>
    </xf>
    <xf numFmtId="9" fontId="35" fillId="2" borderId="0" xfId="3" applyNumberFormat="1" applyFont="1" applyFill="1" applyAlignment="1">
      <alignment horizontal="left" vertical="top" wrapText="1"/>
    </xf>
    <xf numFmtId="1" fontId="0" fillId="2" borderId="0" xfId="2" applyNumberFormat="1" applyFont="1" applyFill="1"/>
    <xf numFmtId="0" fontId="17" fillId="2" borderId="0" xfId="0" applyFont="1" applyFill="1"/>
    <xf numFmtId="9" fontId="0" fillId="2" borderId="1" xfId="2" applyFont="1" applyFill="1" applyBorder="1"/>
    <xf numFmtId="164" fontId="3" fillId="4" borderId="0" xfId="1" applyNumberFormat="1" applyFont="1" applyFill="1"/>
    <xf numFmtId="0" fontId="8" fillId="2" borderId="0" xfId="0" applyFont="1" applyFill="1" applyAlignment="1">
      <alignment horizontal="center"/>
    </xf>
    <xf numFmtId="164" fontId="0" fillId="2" borderId="0" xfId="1" applyNumberFormat="1" applyFont="1" applyFill="1" applyAlignment="1">
      <alignment horizontal="center"/>
    </xf>
    <xf numFmtId="0" fontId="35" fillId="2" borderId="0" xfId="0" applyFont="1" applyFill="1" applyAlignment="1">
      <alignment vertical="center"/>
    </xf>
    <xf numFmtId="0" fontId="34" fillId="7" borderId="0" xfId="0" applyFont="1" applyFill="1" applyAlignment="1">
      <alignment horizontal="left" vertical="center" indent="3"/>
    </xf>
    <xf numFmtId="9" fontId="40" fillId="2" borderId="0" xfId="2" quotePrefix="1" applyFont="1" applyFill="1" applyAlignment="1">
      <alignment horizontal="left" vertical="center" wrapText="1" indent="2"/>
    </xf>
    <xf numFmtId="9" fontId="40" fillId="2" borderId="0" xfId="2" applyFont="1" applyFill="1" applyAlignment="1">
      <alignment horizontal="left" vertical="center" indent="2"/>
    </xf>
    <xf numFmtId="0" fontId="40" fillId="2" borderId="0" xfId="0" applyFont="1" applyFill="1" applyAlignment="1">
      <alignment horizontal="left" vertical="center" indent="2"/>
    </xf>
    <xf numFmtId="0" fontId="3" fillId="4" borderId="0" xfId="0" applyFont="1" applyFill="1" applyAlignment="1">
      <alignment horizontal="left" indent="3"/>
    </xf>
    <xf numFmtId="0" fontId="8" fillId="2" borderId="0" xfId="0" applyFont="1" applyFill="1" applyAlignment="1">
      <alignment horizontal="left" indent="3"/>
    </xf>
    <xf numFmtId="165" fontId="3" fillId="2" borderId="0" xfId="2" applyNumberFormat="1" applyFont="1" applyFill="1"/>
    <xf numFmtId="165" fontId="0" fillId="2" borderId="1" xfId="2" applyNumberFormat="1" applyFont="1" applyFill="1" applyBorder="1"/>
    <xf numFmtId="0" fontId="42" fillId="2" borderId="0" xfId="0" applyFont="1" applyFill="1"/>
    <xf numFmtId="164" fontId="3" fillId="2" borderId="8" xfId="1" applyNumberFormat="1" applyFont="1" applyFill="1" applyBorder="1" applyAlignment="1">
      <alignment horizontal="right" vertical="center" wrapText="1"/>
    </xf>
    <xf numFmtId="0" fontId="43" fillId="2" borderId="0" xfId="0" applyFont="1" applyFill="1"/>
    <xf numFmtId="164" fontId="3" fillId="2" borderId="0" xfId="0" applyNumberFormat="1" applyFont="1" applyFill="1" applyAlignment="1">
      <alignment horizontal="right" vertical="center" wrapText="1"/>
    </xf>
    <xf numFmtId="164" fontId="3" fillId="2" borderId="8" xfId="0" applyNumberFormat="1" applyFont="1" applyFill="1" applyBorder="1" applyAlignment="1">
      <alignment horizontal="right" vertical="center" wrapText="1"/>
    </xf>
    <xf numFmtId="10" fontId="3" fillId="2" borderId="7" xfId="0" applyNumberFormat="1" applyFont="1" applyFill="1" applyBorder="1" applyAlignment="1">
      <alignment horizontal="right" wrapText="1"/>
    </xf>
    <xf numFmtId="10" fontId="0" fillId="2" borderId="9" xfId="2" applyNumberFormat="1" applyFont="1" applyFill="1" applyBorder="1" applyAlignment="1">
      <alignment horizontal="right" wrapText="1"/>
    </xf>
    <xf numFmtId="164" fontId="0" fillId="2" borderId="0" xfId="1" applyNumberFormat="1" applyFont="1" applyFill="1" applyAlignment="1">
      <alignment horizontal="right" wrapText="1"/>
    </xf>
    <xf numFmtId="0" fontId="3" fillId="2" borderId="0" xfId="0" applyFont="1" applyFill="1" applyAlignment="1">
      <alignment horizontal="left"/>
    </xf>
    <xf numFmtId="9" fontId="3" fillId="2" borderId="0" xfId="2" applyFont="1" applyFill="1" applyAlignment="1">
      <alignment horizontal="center"/>
    </xf>
    <xf numFmtId="0" fontId="3" fillId="2" borderId="10" xfId="0" applyFont="1" applyFill="1" applyBorder="1" applyAlignment="1">
      <alignment horizontal="left" vertical="center" wrapText="1" indent="4"/>
    </xf>
    <xf numFmtId="0" fontId="3" fillId="2" borderId="11" xfId="0" applyFont="1" applyFill="1" applyBorder="1" applyAlignment="1">
      <alignment horizontal="left" vertical="center" wrapText="1" indent="4"/>
    </xf>
    <xf numFmtId="0" fontId="10" fillId="2" borderId="11" xfId="0" applyFont="1" applyFill="1" applyBorder="1" applyAlignment="1">
      <alignment horizontal="left" vertical="center" wrapText="1" indent="4"/>
    </xf>
    <xf numFmtId="0" fontId="3" fillId="2" borderId="13" xfId="0" applyFont="1" applyFill="1" applyBorder="1" applyAlignment="1">
      <alignment horizontal="left" wrapText="1" indent="4"/>
    </xf>
    <xf numFmtId="164" fontId="0" fillId="2" borderId="0" xfId="1" applyNumberFormat="1" applyFont="1" applyFill="1" applyAlignment="1">
      <alignment horizontal="left" indent="4"/>
    </xf>
    <xf numFmtId="165" fontId="0" fillId="2" borderId="0" xfId="2" applyNumberFormat="1" applyFont="1" applyFill="1" applyAlignment="1">
      <alignment horizontal="left" indent="4"/>
    </xf>
    <xf numFmtId="9" fontId="8" fillId="2" borderId="0" xfId="2" applyFont="1" applyFill="1" applyAlignment="1">
      <alignment horizontal="left" indent="4"/>
    </xf>
    <xf numFmtId="43" fontId="0" fillId="2" borderId="0" xfId="1" applyFont="1" applyFill="1" applyAlignment="1">
      <alignment horizontal="left" indent="4"/>
    </xf>
    <xf numFmtId="9" fontId="9" fillId="2" borderId="0" xfId="2" applyFont="1" applyFill="1" applyAlignment="1">
      <alignment horizontal="left" indent="4"/>
    </xf>
    <xf numFmtId="165" fontId="9" fillId="2" borderId="0" xfId="2" applyNumberFormat="1" applyFont="1" applyFill="1" applyAlignment="1">
      <alignment horizontal="left" indent="4"/>
    </xf>
    <xf numFmtId="164" fontId="3" fillId="2" borderId="0" xfId="1" applyNumberFormat="1" applyFont="1" applyFill="1" applyAlignment="1">
      <alignment horizontal="left" indent="4"/>
    </xf>
    <xf numFmtId="0" fontId="3" fillId="2" borderId="0" xfId="0" applyFont="1" applyFill="1" applyAlignment="1">
      <alignment horizontal="left" wrapText="1" indent="4"/>
    </xf>
    <xf numFmtId="0" fontId="3" fillId="2" borderId="0" xfId="0" applyFont="1" applyFill="1" applyAlignment="1">
      <alignment horizontal="left" indent="4"/>
    </xf>
    <xf numFmtId="0" fontId="3" fillId="2" borderId="8" xfId="0" applyFont="1" applyFill="1" applyBorder="1" applyAlignment="1">
      <alignment horizontal="left" vertical="center" wrapText="1" indent="4"/>
    </xf>
    <xf numFmtId="0" fontId="3" fillId="2" borderId="0" xfId="0" applyFont="1" applyFill="1" applyAlignment="1">
      <alignment horizontal="left" vertical="center" wrapText="1" indent="4"/>
    </xf>
    <xf numFmtId="0" fontId="10" fillId="2" borderId="0" xfId="0" applyFont="1" applyFill="1" applyAlignment="1">
      <alignment horizontal="left" vertical="center" wrapText="1" indent="4"/>
    </xf>
    <xf numFmtId="164" fontId="44" fillId="4" borderId="0" xfId="1" applyNumberFormat="1" applyFont="1" applyFill="1" applyBorder="1" applyAlignment="1">
      <alignment horizontal="left" indent="2"/>
    </xf>
    <xf numFmtId="164" fontId="28" fillId="4" borderId="0" xfId="1" applyNumberFormat="1" applyFont="1" applyFill="1" applyBorder="1"/>
    <xf numFmtId="164" fontId="44" fillId="4" borderId="0" xfId="1" applyNumberFormat="1" applyFont="1" applyFill="1" applyBorder="1"/>
    <xf numFmtId="17" fontId="29" fillId="13" borderId="2" xfId="0" applyNumberFormat="1" applyFont="1" applyFill="1" applyBorder="1" applyAlignment="1">
      <alignment vertical="center" wrapText="1"/>
    </xf>
    <xf numFmtId="4" fontId="30" fillId="2" borderId="2" xfId="0" applyNumberFormat="1" applyFont="1" applyFill="1" applyBorder="1"/>
    <xf numFmtId="10" fontId="30" fillId="2" borderId="2" xfId="0" applyNumberFormat="1" applyFont="1" applyFill="1" applyBorder="1"/>
    <xf numFmtId="43" fontId="14" fillId="7" borderId="2" xfId="1" applyFont="1" applyFill="1" applyBorder="1"/>
    <xf numFmtId="0" fontId="14" fillId="7" borderId="2" xfId="0" applyFont="1" applyFill="1" applyBorder="1"/>
    <xf numFmtId="0" fontId="3" fillId="4" borderId="2" xfId="0" applyFont="1" applyFill="1" applyBorder="1"/>
    <xf numFmtId="164" fontId="2" fillId="4" borderId="2" xfId="1" applyNumberFormat="1" applyFont="1" applyFill="1" applyBorder="1"/>
    <xf numFmtId="1" fontId="3" fillId="4" borderId="2" xfId="0" applyNumberFormat="1" applyFont="1" applyFill="1" applyBorder="1"/>
    <xf numFmtId="0" fontId="45" fillId="2" borderId="14" xfId="0" applyFont="1" applyFill="1" applyBorder="1" applyAlignment="1">
      <alignment horizontal="left" vertical="center" wrapText="1" indent="4"/>
    </xf>
    <xf numFmtId="0" fontId="45" fillId="2" borderId="14" xfId="0" applyFont="1" applyFill="1" applyBorder="1" applyAlignment="1">
      <alignment horizontal="left" wrapText="1" indent="4"/>
    </xf>
    <xf numFmtId="0" fontId="45" fillId="2" borderId="15" xfId="0" applyFont="1" applyFill="1" applyBorder="1" applyAlignment="1">
      <alignment horizontal="left" wrapText="1" indent="4"/>
    </xf>
    <xf numFmtId="10" fontId="45" fillId="2" borderId="16" xfId="0" applyNumberFormat="1" applyFont="1" applyFill="1" applyBorder="1" applyAlignment="1">
      <alignment horizontal="right" wrapText="1"/>
    </xf>
    <xf numFmtId="0" fontId="45" fillId="2" borderId="14" xfId="0" applyFont="1" applyFill="1" applyBorder="1" applyAlignment="1">
      <alignment wrapText="1"/>
    </xf>
    <xf numFmtId="0" fontId="45" fillId="2" borderId="16" xfId="0" applyFont="1" applyFill="1" applyBorder="1" applyAlignment="1">
      <alignment wrapText="1"/>
    </xf>
    <xf numFmtId="165" fontId="8" fillId="10" borderId="0" xfId="2" applyNumberFormat="1" applyFont="1" applyFill="1"/>
    <xf numFmtId="0" fontId="47" fillId="2" borderId="0" xfId="0" applyFont="1" applyFill="1"/>
    <xf numFmtId="10" fontId="0" fillId="2" borderId="0" xfId="2" applyNumberFormat="1" applyFont="1" applyFill="1"/>
    <xf numFmtId="164" fontId="28" fillId="4" borderId="1" xfId="1" applyNumberFormat="1" applyFont="1" applyFill="1" applyBorder="1"/>
    <xf numFmtId="164" fontId="4" fillId="8" borderId="1" xfId="1" applyNumberFormat="1" applyFont="1" applyFill="1" applyBorder="1" applyAlignment="1">
      <alignment vertical="center" wrapText="1"/>
    </xf>
    <xf numFmtId="165" fontId="0" fillId="2" borderId="0" xfId="1" applyNumberFormat="1" applyFont="1" applyFill="1"/>
    <xf numFmtId="10" fontId="0" fillId="2" borderId="0" xfId="0" applyNumberFormat="1" applyFill="1"/>
    <xf numFmtId="165" fontId="3" fillId="2" borderId="0" xfId="2" applyNumberFormat="1" applyFont="1" applyFill="1" applyBorder="1"/>
    <xf numFmtId="43" fontId="8" fillId="2" borderId="0" xfId="1" applyFont="1" applyFill="1" applyAlignment="1">
      <alignment horizontal="left" indent="2"/>
    </xf>
    <xf numFmtId="43" fontId="0" fillId="2" borderId="0" xfId="1" applyFont="1" applyFill="1" applyAlignment="1">
      <alignment horizontal="left" indent="2"/>
    </xf>
    <xf numFmtId="43" fontId="48" fillId="2" borderId="0" xfId="1" applyFont="1" applyFill="1" applyBorder="1" applyAlignment="1">
      <alignment horizontal="left" indent="2"/>
    </xf>
    <xf numFmtId="43" fontId="49" fillId="2" borderId="0" xfId="1" applyFont="1" applyFill="1" applyBorder="1" applyAlignment="1">
      <alignment horizontal="left" indent="2"/>
    </xf>
    <xf numFmtId="43" fontId="49" fillId="2" borderId="0" xfId="1" applyFont="1" applyFill="1" applyBorder="1"/>
    <xf numFmtId="165" fontId="49" fillId="2" borderId="0" xfId="2" applyNumberFormat="1" applyFont="1" applyFill="1" applyBorder="1"/>
    <xf numFmtId="165" fontId="49" fillId="2" borderId="0" xfId="2" applyNumberFormat="1" applyFont="1" applyFill="1"/>
    <xf numFmtId="164" fontId="49" fillId="2" borderId="0" xfId="1" applyNumberFormat="1" applyFont="1" applyFill="1" applyBorder="1"/>
    <xf numFmtId="164" fontId="49" fillId="2" borderId="1" xfId="1" applyNumberFormat="1" applyFont="1" applyFill="1" applyBorder="1"/>
    <xf numFmtId="43" fontId="48" fillId="2" borderId="0" xfId="1" applyFont="1" applyFill="1" applyAlignment="1">
      <alignment horizontal="left" indent="2"/>
    </xf>
    <xf numFmtId="43" fontId="49" fillId="2" borderId="0" xfId="1" applyFont="1" applyFill="1" applyAlignment="1">
      <alignment horizontal="left" indent="2"/>
    </xf>
    <xf numFmtId="43" fontId="49" fillId="2" borderId="0" xfId="1" applyFont="1" applyFill="1"/>
    <xf numFmtId="164" fontId="49" fillId="2" borderId="0" xfId="1" applyNumberFormat="1" applyFont="1" applyFill="1"/>
    <xf numFmtId="0" fontId="50" fillId="2" borderId="0" xfId="0" applyFont="1" applyFill="1"/>
    <xf numFmtId="0" fontId="7" fillId="7" borderId="0" xfId="0" applyFont="1" applyFill="1" applyAlignment="1">
      <alignment horizontal="right" indent="2"/>
    </xf>
    <xf numFmtId="0" fontId="7" fillId="7" borderId="0" xfId="0" applyFont="1" applyFill="1" applyAlignment="1">
      <alignment horizontal="right"/>
    </xf>
    <xf numFmtId="0" fontId="7" fillId="7" borderId="1" xfId="0" applyFont="1" applyFill="1" applyBorder="1" applyAlignment="1">
      <alignment horizontal="right"/>
    </xf>
    <xf numFmtId="165" fontId="3" fillId="2" borderId="0" xfId="2" applyNumberFormat="1" applyFont="1" applyFill="1" applyAlignment="1">
      <alignment horizontal="right"/>
    </xf>
    <xf numFmtId="9" fontId="3" fillId="2" borderId="0" xfId="2" applyFont="1" applyFill="1" applyAlignment="1">
      <alignment horizontal="right"/>
    </xf>
    <xf numFmtId="43" fontId="3" fillId="2" borderId="0" xfId="1" applyFont="1" applyFill="1" applyAlignment="1">
      <alignment horizontal="right"/>
    </xf>
    <xf numFmtId="165" fontId="8" fillId="2" borderId="0" xfId="2" applyNumberFormat="1" applyFont="1" applyFill="1" applyAlignment="1">
      <alignment horizontal="right"/>
    </xf>
    <xf numFmtId="9" fontId="8" fillId="2" borderId="0" xfId="2" applyFont="1" applyFill="1" applyAlignment="1">
      <alignment horizontal="right"/>
    </xf>
    <xf numFmtId="9" fontId="0" fillId="2" borderId="0" xfId="2" applyFont="1" applyFill="1" applyAlignment="1">
      <alignment horizontal="left"/>
    </xf>
    <xf numFmtId="0" fontId="35" fillId="2" borderId="0" xfId="3" applyFont="1" applyFill="1" applyAlignment="1">
      <alignment horizontal="left"/>
    </xf>
    <xf numFmtId="0" fontId="8" fillId="2" borderId="0" xfId="0" applyFont="1" applyFill="1" applyAlignment="1">
      <alignment horizontal="left"/>
    </xf>
    <xf numFmtId="164" fontId="0" fillId="2" borderId="0" xfId="1" applyNumberFormat="1" applyFont="1" applyFill="1" applyAlignment="1">
      <alignment horizontal="left"/>
    </xf>
    <xf numFmtId="43" fontId="53" fillId="2" borderId="0" xfId="1" applyFont="1" applyFill="1"/>
    <xf numFmtId="164" fontId="8" fillId="2" borderId="0" xfId="1" applyNumberFormat="1" applyFont="1" applyFill="1"/>
    <xf numFmtId="164" fontId="29" fillId="11" borderId="2" xfId="1" applyNumberFormat="1" applyFont="1" applyFill="1" applyBorder="1" applyAlignment="1">
      <alignment horizontal="right" vertical="center" wrapText="1"/>
    </xf>
    <xf numFmtId="0" fontId="29" fillId="11" borderId="2" xfId="0" applyFont="1" applyFill="1" applyBorder="1" applyAlignment="1">
      <alignment horizontal="right" vertical="center" wrapText="1"/>
    </xf>
    <xf numFmtId="17" fontId="29" fillId="11" borderId="2" xfId="0" applyNumberFormat="1" applyFont="1" applyFill="1" applyBorder="1" applyAlignment="1">
      <alignment horizontal="right" vertical="center" wrapText="1"/>
    </xf>
    <xf numFmtId="164" fontId="30" fillId="0" borderId="2" xfId="1" applyNumberFormat="1" applyFont="1" applyBorder="1" applyAlignment="1">
      <alignment horizontal="right"/>
    </xf>
    <xf numFmtId="0" fontId="30" fillId="0" borderId="2" xfId="0" applyFont="1" applyBorder="1" applyAlignment="1">
      <alignment horizontal="right"/>
    </xf>
    <xf numFmtId="4" fontId="30" fillId="0" borderId="2" xfId="0" applyNumberFormat="1" applyFont="1" applyBorder="1" applyAlignment="1">
      <alignment horizontal="right"/>
    </xf>
    <xf numFmtId="9" fontId="30" fillId="0" borderId="2" xfId="2" applyFont="1" applyBorder="1" applyAlignment="1">
      <alignment horizontal="right"/>
    </xf>
    <xf numFmtId="0" fontId="31" fillId="0" borderId="2" xfId="0" applyFont="1" applyBorder="1" applyAlignment="1">
      <alignment horizontal="right"/>
    </xf>
    <xf numFmtId="10" fontId="30" fillId="0" borderId="2" xfId="0" applyNumberFormat="1" applyFont="1" applyBorder="1" applyAlignment="1">
      <alignment horizontal="right"/>
    </xf>
    <xf numFmtId="0" fontId="0" fillId="0" borderId="0" xfId="0" applyAlignment="1">
      <alignment horizontal="right"/>
    </xf>
    <xf numFmtId="164" fontId="0" fillId="0" borderId="0" xfId="0" applyNumberFormat="1" applyAlignment="1">
      <alignment horizontal="right"/>
    </xf>
    <xf numFmtId="164" fontId="0" fillId="0" borderId="0" xfId="1" applyNumberFormat="1" applyFont="1" applyAlignment="1">
      <alignment horizontal="right"/>
    </xf>
    <xf numFmtId="9" fontId="30" fillId="0" borderId="0" xfId="2" applyFont="1" applyBorder="1" applyAlignment="1">
      <alignment horizontal="right"/>
    </xf>
    <xf numFmtId="166" fontId="0" fillId="0" borderId="0" xfId="0" applyNumberFormat="1" applyAlignment="1">
      <alignment horizontal="right"/>
    </xf>
    <xf numFmtId="43" fontId="0" fillId="0" borderId="0" xfId="0" applyNumberFormat="1" applyAlignment="1">
      <alignment horizontal="right"/>
    </xf>
    <xf numFmtId="164" fontId="32" fillId="0" borderId="0" xfId="1" applyNumberFormat="1" applyFont="1" applyAlignment="1">
      <alignment horizontal="right"/>
    </xf>
    <xf numFmtId="164" fontId="24" fillId="0" borderId="0" xfId="1" applyNumberFormat="1" applyFont="1" applyAlignment="1">
      <alignment horizontal="right"/>
    </xf>
    <xf numFmtId="9" fontId="3" fillId="0" borderId="0" xfId="0" applyNumberFormat="1" applyFont="1" applyAlignment="1">
      <alignment horizontal="right"/>
    </xf>
    <xf numFmtId="9" fontId="3" fillId="0" borderId="0" xfId="2" applyFont="1" applyAlignment="1">
      <alignment horizontal="right"/>
    </xf>
    <xf numFmtId="165" fontId="0" fillId="12" borderId="0" xfId="0" applyNumberFormat="1" applyFill="1" applyAlignment="1">
      <alignment horizontal="right"/>
    </xf>
    <xf numFmtId="165" fontId="0" fillId="12" borderId="0" xfId="2" applyNumberFormat="1" applyFont="1" applyFill="1" applyAlignment="1">
      <alignment horizontal="right"/>
    </xf>
    <xf numFmtId="165" fontId="0" fillId="0" borderId="0" xfId="0" applyNumberFormat="1" applyAlignment="1">
      <alignment horizontal="right"/>
    </xf>
    <xf numFmtId="165" fontId="0" fillId="0" borderId="0" xfId="2" applyNumberFormat="1" applyFont="1" applyAlignment="1">
      <alignment horizontal="right"/>
    </xf>
    <xf numFmtId="9" fontId="31" fillId="0" borderId="0" xfId="2" applyFont="1" applyBorder="1" applyAlignment="1">
      <alignment horizontal="right"/>
    </xf>
    <xf numFmtId="9" fontId="0" fillId="0" borderId="0" xfId="2" applyFont="1" applyAlignment="1">
      <alignment horizontal="right"/>
    </xf>
    <xf numFmtId="0" fontId="0" fillId="2" borderId="0" xfId="0" applyFill="1" applyAlignment="1">
      <alignment horizontal="right"/>
    </xf>
    <xf numFmtId="43" fontId="0" fillId="2" borderId="0" xfId="1" applyFont="1" applyFill="1" applyAlignment="1">
      <alignment horizontal="right"/>
    </xf>
    <xf numFmtId="165" fontId="0" fillId="2" borderId="0" xfId="2" applyNumberFormat="1" applyFont="1" applyFill="1" applyAlignment="1">
      <alignment horizontal="right"/>
    </xf>
    <xf numFmtId="0" fontId="23" fillId="2" borderId="0" xfId="3" applyFill="1" applyAlignment="1">
      <alignment horizontal="right"/>
    </xf>
    <xf numFmtId="0" fontId="14" fillId="7" borderId="2" xfId="0" applyFont="1" applyFill="1" applyBorder="1" applyAlignment="1">
      <alignment horizontal="right"/>
    </xf>
    <xf numFmtId="43" fontId="14" fillId="7" borderId="2" xfId="1" applyFont="1" applyFill="1" applyBorder="1" applyAlignment="1">
      <alignment horizontal="right"/>
    </xf>
    <xf numFmtId="0" fontId="0" fillId="2" borderId="2" xfId="0" applyFill="1" applyBorder="1" applyAlignment="1">
      <alignment horizontal="right"/>
    </xf>
    <xf numFmtId="164" fontId="0" fillId="2" borderId="2" xfId="1" applyNumberFormat="1" applyFont="1" applyFill="1" applyBorder="1" applyAlignment="1">
      <alignment horizontal="right"/>
    </xf>
    <xf numFmtId="164" fontId="2" fillId="6" borderId="2" xfId="1" applyNumberFormat="1" applyFont="1" applyFill="1" applyBorder="1" applyAlignment="1">
      <alignment horizontal="right"/>
    </xf>
    <xf numFmtId="164" fontId="2" fillId="10" borderId="2" xfId="1" applyNumberFormat="1" applyFont="1" applyFill="1" applyBorder="1" applyAlignment="1">
      <alignment horizontal="right"/>
    </xf>
    <xf numFmtId="164" fontId="2" fillId="2" borderId="2" xfId="1" applyNumberFormat="1" applyFont="1" applyFill="1" applyBorder="1" applyAlignment="1">
      <alignment horizontal="right"/>
    </xf>
    <xf numFmtId="0" fontId="3" fillId="4" borderId="2" xfId="0" applyFont="1" applyFill="1" applyBorder="1" applyAlignment="1">
      <alignment horizontal="right"/>
    </xf>
    <xf numFmtId="9" fontId="0" fillId="2" borderId="0" xfId="0" applyNumberFormat="1" applyFill="1" applyAlignment="1">
      <alignment horizontal="right"/>
    </xf>
    <xf numFmtId="43" fontId="0" fillId="2" borderId="0" xfId="0" applyNumberFormat="1" applyFill="1" applyAlignment="1">
      <alignment horizontal="right"/>
    </xf>
    <xf numFmtId="164" fontId="14" fillId="7" borderId="2" xfId="1" applyNumberFormat="1" applyFont="1" applyFill="1" applyBorder="1" applyAlignment="1">
      <alignment horizontal="right"/>
    </xf>
    <xf numFmtId="164" fontId="3" fillId="4" borderId="2" xfId="1" applyNumberFormat="1" applyFont="1" applyFill="1" applyBorder="1" applyAlignment="1">
      <alignment horizontal="right"/>
    </xf>
    <xf numFmtId="0" fontId="0" fillId="0" borderId="0" xfId="0" applyAlignment="1">
      <alignment horizontal="right" vertical="center"/>
    </xf>
    <xf numFmtId="9" fontId="0" fillId="2" borderId="2" xfId="2" applyFont="1" applyFill="1" applyBorder="1" applyAlignment="1">
      <alignment horizontal="right"/>
    </xf>
    <xf numFmtId="9" fontId="0" fillId="6" borderId="2" xfId="2" applyFont="1" applyFill="1" applyBorder="1" applyAlignment="1">
      <alignment horizontal="right"/>
    </xf>
    <xf numFmtId="9" fontId="3" fillId="4" borderId="2" xfId="2" applyFont="1" applyFill="1" applyBorder="1" applyAlignment="1">
      <alignment horizontal="right"/>
    </xf>
    <xf numFmtId="9" fontId="0" fillId="2" borderId="4" xfId="0" applyNumberFormat="1" applyFill="1" applyBorder="1" applyAlignment="1">
      <alignment horizontal="right"/>
    </xf>
    <xf numFmtId="9" fontId="0" fillId="2" borderId="2" xfId="0" applyNumberFormat="1" applyFill="1" applyBorder="1" applyAlignment="1">
      <alignment horizontal="right"/>
    </xf>
    <xf numFmtId="9" fontId="0" fillId="2" borderId="5" xfId="0" applyNumberFormat="1" applyFill="1" applyBorder="1" applyAlignment="1">
      <alignment horizontal="right"/>
    </xf>
    <xf numFmtId="0" fontId="0" fillId="0" borderId="2" xfId="0" applyBorder="1" applyAlignment="1">
      <alignment horizontal="right" vertical="center"/>
    </xf>
    <xf numFmtId="164" fontId="0" fillId="0" borderId="2" xfId="1" applyNumberFormat="1" applyFont="1" applyBorder="1" applyAlignment="1">
      <alignment horizontal="right"/>
    </xf>
    <xf numFmtId="43" fontId="0" fillId="0" borderId="2" xfId="0" applyNumberFormat="1" applyBorder="1" applyAlignment="1">
      <alignment horizontal="right" vertical="center"/>
    </xf>
    <xf numFmtId="164" fontId="2" fillId="0" borderId="2" xfId="1" applyNumberFormat="1" applyFont="1" applyBorder="1" applyAlignment="1">
      <alignment horizontal="right"/>
    </xf>
    <xf numFmtId="164" fontId="0" fillId="2" borderId="0" xfId="0" applyNumberFormat="1" applyFill="1" applyAlignment="1">
      <alignment horizontal="right"/>
    </xf>
    <xf numFmtId="164" fontId="3" fillId="2" borderId="2" xfId="1" applyNumberFormat="1" applyFont="1" applyFill="1" applyBorder="1" applyAlignment="1">
      <alignment horizontal="right" indent="1"/>
    </xf>
    <xf numFmtId="164" fontId="0" fillId="2" borderId="2" xfId="1" applyNumberFormat="1" applyFont="1" applyFill="1" applyBorder="1" applyAlignment="1">
      <alignment horizontal="right" indent="1"/>
    </xf>
    <xf numFmtId="43" fontId="0" fillId="2" borderId="2" xfId="1" applyFont="1" applyFill="1" applyBorder="1" applyAlignment="1">
      <alignment horizontal="right"/>
    </xf>
    <xf numFmtId="9" fontId="3" fillId="2" borderId="2" xfId="2" applyFont="1" applyFill="1" applyBorder="1" applyAlignment="1">
      <alignment horizontal="right"/>
    </xf>
    <xf numFmtId="165" fontId="0" fillId="2" borderId="2" xfId="2" applyNumberFormat="1" applyFont="1" applyFill="1" applyBorder="1" applyAlignment="1">
      <alignment horizontal="right"/>
    </xf>
    <xf numFmtId="165" fontId="3" fillId="2" borderId="2" xfId="2" applyNumberFormat="1" applyFont="1" applyFill="1" applyBorder="1" applyAlignment="1">
      <alignment horizontal="right"/>
    </xf>
    <xf numFmtId="166" fontId="0" fillId="2" borderId="2" xfId="1" applyNumberFormat="1" applyFont="1" applyFill="1" applyBorder="1" applyAlignment="1">
      <alignment horizontal="right"/>
    </xf>
    <xf numFmtId="166" fontId="3" fillId="2" borderId="2" xfId="1" applyNumberFormat="1" applyFont="1" applyFill="1" applyBorder="1" applyAlignment="1">
      <alignment horizontal="right"/>
    </xf>
    <xf numFmtId="10" fontId="0" fillId="2" borderId="2" xfId="0" applyNumberFormat="1" applyFill="1" applyBorder="1" applyAlignment="1">
      <alignment horizontal="right"/>
    </xf>
    <xf numFmtId="9" fontId="2" fillId="2" borderId="2" xfId="2" applyFont="1" applyFill="1" applyBorder="1" applyAlignment="1">
      <alignment horizontal="right"/>
    </xf>
    <xf numFmtId="166" fontId="2" fillId="2" borderId="2" xfId="1" applyNumberFormat="1" applyFont="1" applyFill="1" applyBorder="1" applyAlignment="1">
      <alignment horizontal="right"/>
    </xf>
    <xf numFmtId="0" fontId="3" fillId="2" borderId="2" xfId="0" applyFont="1" applyFill="1" applyBorder="1" applyAlignment="1">
      <alignment horizontal="right"/>
    </xf>
    <xf numFmtId="9" fontId="23" fillId="2" borderId="2" xfId="3" applyNumberFormat="1" applyFill="1" applyBorder="1" applyAlignment="1">
      <alignment horizontal="right"/>
    </xf>
    <xf numFmtId="165" fontId="2" fillId="2" borderId="2" xfId="2" applyNumberFormat="1" applyFont="1" applyFill="1" applyBorder="1" applyAlignment="1">
      <alignment horizontal="right"/>
    </xf>
    <xf numFmtId="43" fontId="0" fillId="2" borderId="2" xfId="1" applyFont="1" applyFill="1" applyBorder="1" applyAlignment="1">
      <alignment horizontal="left"/>
    </xf>
    <xf numFmtId="0" fontId="17" fillId="2" borderId="2" xfId="0" applyFont="1" applyFill="1" applyBorder="1" applyAlignment="1">
      <alignment horizontal="left"/>
    </xf>
    <xf numFmtId="0" fontId="0" fillId="2" borderId="0" xfId="0" applyFill="1" applyAlignment="1">
      <alignment horizontal="right" vertical="center"/>
    </xf>
    <xf numFmtId="0" fontId="0" fillId="2" borderId="0" xfId="0" applyFill="1" applyAlignment="1">
      <alignment horizontal="left" vertical="center"/>
    </xf>
    <xf numFmtId="43" fontId="3" fillId="2" borderId="2" xfId="0" applyNumberFormat="1" applyFont="1" applyFill="1" applyBorder="1" applyAlignment="1">
      <alignment horizontal="right"/>
    </xf>
    <xf numFmtId="0" fontId="36" fillId="2" borderId="6" xfId="0" applyFont="1" applyFill="1" applyBorder="1" applyAlignment="1">
      <alignment horizontal="right" vertical="center" wrapText="1" indent="1"/>
    </xf>
    <xf numFmtId="0" fontId="36" fillId="2" borderId="0" xfId="0" applyFont="1" applyFill="1" applyAlignment="1">
      <alignment horizontal="left" vertical="center" wrapText="1" indent="1"/>
    </xf>
    <xf numFmtId="0" fontId="37" fillId="2" borderId="0" xfId="0" applyFont="1" applyFill="1" applyAlignment="1">
      <alignment horizontal="right" vertical="center" indent="1"/>
    </xf>
    <xf numFmtId="167" fontId="37" fillId="2" borderId="0" xfId="0" applyNumberFormat="1" applyFont="1" applyFill="1" applyAlignment="1">
      <alignment horizontal="right" vertical="center" indent="1"/>
    </xf>
    <xf numFmtId="0" fontId="38" fillId="2" borderId="6" xfId="0" applyFont="1" applyFill="1" applyBorder="1" applyAlignment="1">
      <alignment horizontal="right" vertical="center" wrapText="1" indent="1"/>
    </xf>
    <xf numFmtId="0" fontId="39" fillId="2" borderId="0" xfId="0" applyFont="1" applyFill="1" applyAlignment="1">
      <alignment horizontal="right" vertical="center" indent="1"/>
    </xf>
    <xf numFmtId="164" fontId="14" fillId="2" borderId="2" xfId="1" applyNumberFormat="1" applyFont="1" applyFill="1" applyBorder="1" applyAlignment="1">
      <alignment horizontal="right"/>
    </xf>
    <xf numFmtId="0" fontId="14" fillId="7" borderId="2" xfId="0" applyFont="1" applyFill="1" applyBorder="1" applyAlignment="1">
      <alignment horizontal="left"/>
    </xf>
    <xf numFmtId="164" fontId="21" fillId="2" borderId="0" xfId="0" quotePrefix="1" applyNumberFormat="1" applyFont="1" applyFill="1" applyAlignment="1">
      <alignment horizontal="right"/>
    </xf>
    <xf numFmtId="9" fontId="0" fillId="2" borderId="0" xfId="0" applyNumberFormat="1" applyFill="1" applyAlignment="1">
      <alignment horizontal="center"/>
    </xf>
    <xf numFmtId="0" fontId="50" fillId="2" borderId="0" xfId="0" applyFont="1" applyFill="1" applyAlignment="1">
      <alignment horizontal="center"/>
    </xf>
    <xf numFmtId="164" fontId="50" fillId="2" borderId="0" xfId="1" applyNumberFormat="1" applyFont="1" applyFill="1"/>
    <xf numFmtId="0" fontId="59" fillId="2" borderId="0" xfId="0" applyFont="1" applyFill="1" applyAlignment="1">
      <alignment horizontal="left"/>
    </xf>
    <xf numFmtId="0" fontId="50" fillId="14" borderId="17" xfId="0" applyFont="1" applyFill="1" applyBorder="1"/>
    <xf numFmtId="0" fontId="0" fillId="14" borderId="18" xfId="0" applyFill="1" applyBorder="1" applyAlignment="1">
      <alignment horizontal="right"/>
    </xf>
    <xf numFmtId="43" fontId="50" fillId="14" borderId="19" xfId="1" applyFont="1" applyFill="1" applyBorder="1"/>
    <xf numFmtId="43" fontId="53" fillId="2" borderId="0" xfId="1" quotePrefix="1" applyFont="1" applyFill="1"/>
    <xf numFmtId="0" fontId="50" fillId="2" borderId="0" xfId="0" applyFont="1" applyFill="1" applyAlignment="1">
      <alignment horizontal="right"/>
    </xf>
    <xf numFmtId="9" fontId="13" fillId="5" borderId="0" xfId="0" applyNumberFormat="1" applyFont="1" applyFill="1"/>
    <xf numFmtId="164" fontId="50" fillId="2" borderId="0" xfId="0" applyNumberFormat="1" applyFont="1" applyFill="1"/>
    <xf numFmtId="0" fontId="53" fillId="2" borderId="0" xfId="0" applyFont="1" applyFill="1"/>
    <xf numFmtId="0" fontId="53" fillId="2" borderId="0" xfId="0" applyFont="1" applyFill="1" applyAlignment="1">
      <alignment horizontal="right"/>
    </xf>
    <xf numFmtId="165" fontId="53" fillId="2" borderId="0" xfId="2" applyNumberFormat="1" applyFont="1" applyFill="1"/>
    <xf numFmtId="0" fontId="60" fillId="15" borderId="0" xfId="0" applyFont="1" applyFill="1"/>
    <xf numFmtId="0" fontId="60" fillId="15" borderId="0" xfId="0" applyFont="1" applyFill="1" applyAlignment="1">
      <alignment horizontal="right"/>
    </xf>
    <xf numFmtId="164" fontId="60" fillId="15" borderId="0" xfId="0" applyNumberFormat="1" applyFont="1" applyFill="1"/>
    <xf numFmtId="0" fontId="60" fillId="2" borderId="0" xfId="0" applyFont="1" applyFill="1"/>
    <xf numFmtId="0" fontId="60" fillId="2" borderId="0" xfId="0" applyFont="1" applyFill="1" applyAlignment="1">
      <alignment horizontal="right"/>
    </xf>
    <xf numFmtId="0" fontId="61" fillId="2" borderId="0" xfId="3" applyFont="1" applyFill="1" applyAlignment="1">
      <alignment horizontal="centerContinuous"/>
    </xf>
    <xf numFmtId="164" fontId="60" fillId="2" borderId="0" xfId="0" applyNumberFormat="1" applyFont="1" applyFill="1"/>
    <xf numFmtId="0" fontId="56" fillId="2" borderId="0" xfId="0" applyFont="1" applyFill="1" applyAlignment="1">
      <alignment horizontal="right"/>
    </xf>
    <xf numFmtId="0" fontId="54" fillId="2" borderId="0" xfId="0" applyFont="1" applyFill="1" applyAlignment="1">
      <alignment horizontal="right"/>
    </xf>
    <xf numFmtId="0" fontId="62" fillId="2" borderId="0" xfId="0" applyFont="1" applyFill="1" applyAlignment="1">
      <alignment horizontal="right"/>
    </xf>
    <xf numFmtId="9" fontId="0" fillId="2" borderId="0" xfId="0" applyNumberFormat="1" applyFill="1" applyAlignment="1">
      <alignment horizontal="centerContinuous"/>
    </xf>
    <xf numFmtId="166" fontId="13" fillId="5" borderId="0" xfId="1" applyNumberFormat="1" applyFont="1" applyFill="1"/>
    <xf numFmtId="164" fontId="0" fillId="2" borderId="0" xfId="1" applyNumberFormat="1" applyFont="1" applyFill="1" applyAlignment="1">
      <alignment horizontal="right"/>
    </xf>
    <xf numFmtId="164" fontId="50" fillId="2" borderId="0" xfId="1" applyNumberFormat="1" applyFont="1" applyFill="1" applyAlignment="1">
      <alignment horizontal="right"/>
    </xf>
    <xf numFmtId="164" fontId="63" fillId="2" borderId="0" xfId="1" applyNumberFormat="1" applyFont="1" applyFill="1" applyAlignment="1">
      <alignment horizontal="right"/>
    </xf>
    <xf numFmtId="43" fontId="53" fillId="2" borderId="0" xfId="1" applyFont="1" applyFill="1" applyAlignment="1">
      <alignment horizontal="left"/>
    </xf>
    <xf numFmtId="0" fontId="14" fillId="15" borderId="0" xfId="0" applyFont="1" applyFill="1"/>
    <xf numFmtId="0" fontId="47" fillId="15" borderId="0" xfId="0" applyFont="1" applyFill="1" applyAlignment="1">
      <alignment horizontal="right"/>
    </xf>
    <xf numFmtId="164" fontId="14" fillId="15" borderId="0" xfId="1" applyNumberFormat="1" applyFont="1" applyFill="1"/>
    <xf numFmtId="0" fontId="64" fillId="2" borderId="0" xfId="0" applyFont="1" applyFill="1"/>
    <xf numFmtId="0" fontId="60" fillId="16" borderId="0" xfId="0" applyFont="1" applyFill="1"/>
    <xf numFmtId="0" fontId="60" fillId="16" borderId="0" xfId="0" applyFont="1" applyFill="1" applyAlignment="1">
      <alignment horizontal="right"/>
    </xf>
    <xf numFmtId="10" fontId="60" fillId="16" borderId="0" xfId="2" applyNumberFormat="1" applyFont="1" applyFill="1"/>
    <xf numFmtId="43" fontId="23" fillId="2" borderId="0" xfId="3" applyNumberFormat="1" applyFill="1"/>
    <xf numFmtId="164" fontId="60" fillId="16" borderId="0" xfId="1" applyNumberFormat="1" applyFont="1" applyFill="1"/>
    <xf numFmtId="0" fontId="65" fillId="2" borderId="0" xfId="0" applyFont="1" applyFill="1"/>
    <xf numFmtId="165" fontId="0" fillId="2" borderId="0" xfId="0" applyNumberFormat="1" applyFill="1" applyAlignment="1">
      <alignment horizontal="right"/>
    </xf>
    <xf numFmtId="43" fontId="53" fillId="2" borderId="0" xfId="0" applyNumberFormat="1" applyFont="1" applyFill="1"/>
    <xf numFmtId="164" fontId="28" fillId="4" borderId="0" xfId="1" applyNumberFormat="1" applyFont="1" applyFill="1"/>
    <xf numFmtId="9" fontId="17" fillId="4" borderId="20" xfId="2" applyFont="1" applyFill="1" applyBorder="1"/>
    <xf numFmtId="0" fontId="3" fillId="2" borderId="0" xfId="0" applyFont="1" applyFill="1" applyAlignment="1">
      <alignment horizontal="center" vertical="center" wrapText="1"/>
    </xf>
    <xf numFmtId="43" fontId="0" fillId="2" borderId="0" xfId="1" applyFont="1" applyFill="1" applyAlignment="1">
      <alignment horizontal="left" indent="3"/>
    </xf>
    <xf numFmtId="0" fontId="66" fillId="2" borderId="0" xfId="0" applyFont="1" applyFill="1" applyAlignment="1">
      <alignment horizontal="left" indent="3"/>
    </xf>
    <xf numFmtId="10" fontId="0" fillId="0" borderId="0" xfId="0" applyNumberFormat="1" applyAlignment="1">
      <alignment horizontal="right" vertical="center"/>
    </xf>
    <xf numFmtId="9" fontId="3" fillId="2" borderId="0" xfId="2" applyFont="1" applyFill="1" applyAlignment="1">
      <alignment horizontal="center" vertical="top" wrapText="1"/>
    </xf>
    <xf numFmtId="9" fontId="11" fillId="2" borderId="0" xfId="0" applyNumberFormat="1" applyFont="1" applyFill="1"/>
    <xf numFmtId="9" fontId="67" fillId="2" borderId="0" xfId="0" applyNumberFormat="1" applyFont="1" applyFill="1"/>
    <xf numFmtId="9" fontId="3" fillId="2" borderId="0" xfId="2" applyFont="1" applyFill="1" applyAlignment="1">
      <alignment horizontal="left"/>
    </xf>
    <xf numFmtId="9" fontId="0" fillId="2" borderId="0" xfId="2" quotePrefix="1" applyFont="1" applyFill="1" applyAlignment="1">
      <alignment horizontal="left" vertical="center" wrapText="1"/>
    </xf>
    <xf numFmtId="9" fontId="3" fillId="2" borderId="0" xfId="2" quotePrefix="1" applyFont="1" applyFill="1" applyAlignment="1">
      <alignment horizontal="center" vertical="center" wrapText="1"/>
    </xf>
    <xf numFmtId="165" fontId="17" fillId="2" borderId="0" xfId="2" applyNumberFormat="1" applyFont="1" applyFill="1"/>
    <xf numFmtId="9" fontId="11" fillId="2" borderId="0" xfId="2" applyFont="1" applyFill="1"/>
    <xf numFmtId="0" fontId="10" fillId="2" borderId="0" xfId="3" applyFont="1" applyFill="1"/>
    <xf numFmtId="9" fontId="3" fillId="2" borderId="0" xfId="2" applyFont="1" applyFill="1" applyAlignment="1">
      <alignment horizontal="left" vertical="center" wrapText="1"/>
    </xf>
    <xf numFmtId="166" fontId="3" fillId="2" borderId="0" xfId="0" applyNumberFormat="1" applyFont="1" applyFill="1" applyAlignment="1">
      <alignment horizontal="left" indent="3"/>
    </xf>
    <xf numFmtId="166" fontId="3" fillId="2" borderId="0" xfId="0" applyNumberFormat="1" applyFont="1" applyFill="1"/>
    <xf numFmtId="9" fontId="3" fillId="2" borderId="0" xfId="2" applyFont="1" applyFill="1" applyAlignment="1">
      <alignment horizontal="center" wrapText="1"/>
    </xf>
    <xf numFmtId="9" fontId="3" fillId="2" borderId="0" xfId="2" applyFont="1" applyFill="1" applyAlignment="1">
      <alignment horizontal="center" vertical="center" wrapText="1"/>
    </xf>
    <xf numFmtId="164" fontId="3" fillId="4" borderId="0" xfId="1" applyNumberFormat="1" applyFont="1" applyFill="1" applyBorder="1"/>
    <xf numFmtId="165" fontId="3" fillId="2" borderId="0" xfId="0" applyNumberFormat="1" applyFont="1" applyFill="1"/>
    <xf numFmtId="164" fontId="17" fillId="2" borderId="0" xfId="1" applyNumberFormat="1" applyFont="1" applyFill="1"/>
    <xf numFmtId="0" fontId="10" fillId="4" borderId="0" xfId="0" applyFont="1" applyFill="1" applyAlignment="1">
      <alignment horizontal="left" indent="3"/>
    </xf>
    <xf numFmtId="165" fontId="0" fillId="4" borderId="0" xfId="2" applyNumberFormat="1" applyFont="1" applyFill="1"/>
    <xf numFmtId="0" fontId="14" fillId="7" borderId="0" xfId="0" applyFont="1" applyFill="1" applyAlignment="1">
      <alignment horizontal="right"/>
    </xf>
    <xf numFmtId="0" fontId="14" fillId="2" borderId="0" xfId="0" applyFont="1" applyFill="1"/>
    <xf numFmtId="0" fontId="34" fillId="7" borderId="0" xfId="0" applyFont="1" applyFill="1" applyAlignment="1">
      <alignment vertical="center"/>
    </xf>
    <xf numFmtId="43" fontId="34" fillId="7" borderId="0" xfId="1" applyFont="1" applyFill="1" applyAlignment="1">
      <alignment vertical="center"/>
    </xf>
    <xf numFmtId="0" fontId="3" fillId="4" borderId="0" xfId="0" applyFont="1" applyFill="1" applyAlignment="1">
      <alignment horizontal="left" vertical="center" indent="2"/>
    </xf>
    <xf numFmtId="164" fontId="3" fillId="2" borderId="20" xfId="1" applyNumberFormat="1" applyFont="1" applyFill="1" applyBorder="1"/>
    <xf numFmtId="9" fontId="8" fillId="0" borderId="0" xfId="2" applyFont="1" applyFill="1"/>
    <xf numFmtId="0" fontId="8" fillId="2" borderId="0" xfId="0" applyFont="1" applyFill="1" applyAlignment="1">
      <alignment horizontal="center" vertical="center" wrapText="1"/>
    </xf>
    <xf numFmtId="164" fontId="3" fillId="2" borderId="0" xfId="1" applyNumberFormat="1" applyFont="1" applyFill="1" applyAlignment="1">
      <alignment horizontal="right"/>
    </xf>
    <xf numFmtId="165" fontId="8" fillId="2" borderId="20" xfId="2" applyNumberFormat="1" applyFont="1" applyFill="1" applyBorder="1"/>
    <xf numFmtId="164" fontId="14" fillId="7" borderId="20" xfId="1" applyNumberFormat="1" applyFont="1" applyFill="1" applyBorder="1"/>
    <xf numFmtId="9" fontId="8" fillId="2" borderId="0" xfId="0" applyNumberFormat="1" applyFont="1" applyFill="1"/>
    <xf numFmtId="9" fontId="8" fillId="2" borderId="20" xfId="0" applyNumberFormat="1" applyFont="1" applyFill="1" applyBorder="1"/>
    <xf numFmtId="0" fontId="34" fillId="2" borderId="0" xfId="0" applyFont="1" applyFill="1" applyAlignment="1">
      <alignment horizontal="left" vertical="center" indent="3"/>
    </xf>
    <xf numFmtId="0" fontId="34" fillId="2" borderId="0" xfId="0" applyFont="1" applyFill="1" applyAlignment="1">
      <alignment vertical="center"/>
    </xf>
    <xf numFmtId="43" fontId="34" fillId="2" borderId="0" xfId="1" applyFont="1" applyFill="1" applyAlignment="1">
      <alignment vertical="center"/>
    </xf>
    <xf numFmtId="0" fontId="3" fillId="2" borderId="0" xfId="0" applyFont="1" applyFill="1" applyAlignment="1">
      <alignment vertical="center"/>
    </xf>
    <xf numFmtId="164" fontId="3" fillId="2" borderId="21" xfId="1" applyNumberFormat="1" applyFont="1" applyFill="1" applyBorder="1" applyAlignment="1">
      <alignment horizontal="right" vertical="center" wrapText="1"/>
    </xf>
    <xf numFmtId="164" fontId="3" fillId="2" borderId="1" xfId="0" applyNumberFormat="1" applyFont="1" applyFill="1" applyBorder="1" applyAlignment="1">
      <alignment horizontal="right" vertical="center" wrapText="1"/>
    </xf>
    <xf numFmtId="164" fontId="3" fillId="2" borderId="21" xfId="0" applyNumberFormat="1" applyFont="1" applyFill="1" applyBorder="1" applyAlignment="1">
      <alignment horizontal="right" vertical="center" wrapText="1"/>
    </xf>
    <xf numFmtId="0" fontId="3" fillId="2" borderId="0" xfId="0" applyFont="1" applyFill="1" applyAlignment="1">
      <alignment horizontal="center" vertical="center"/>
    </xf>
    <xf numFmtId="0" fontId="0" fillId="2" borderId="0" xfId="0" applyFill="1" applyAlignment="1">
      <alignment horizontal="center" vertical="center"/>
    </xf>
    <xf numFmtId="0" fontId="14" fillId="7" borderId="0" xfId="0" applyFont="1" applyFill="1" applyAlignment="1">
      <alignment horizontal="left" vertical="center"/>
    </xf>
    <xf numFmtId="164" fontId="14" fillId="7" borderId="0" xfId="1" applyNumberFormat="1" applyFont="1" applyFill="1" applyAlignment="1">
      <alignment vertical="center"/>
    </xf>
    <xf numFmtId="164" fontId="14" fillId="7" borderId="1" xfId="1" applyNumberFormat="1" applyFont="1" applyFill="1" applyBorder="1" applyAlignment="1">
      <alignment vertical="center"/>
    </xf>
    <xf numFmtId="9" fontId="3" fillId="2" borderId="0" xfId="2" applyFont="1" applyFill="1" applyAlignment="1">
      <alignment vertical="center"/>
    </xf>
    <xf numFmtId="164" fontId="3" fillId="4" borderId="0" xfId="1" applyNumberFormat="1" applyFont="1" applyFill="1" applyAlignment="1">
      <alignment vertical="center"/>
    </xf>
    <xf numFmtId="165" fontId="0" fillId="2" borderId="0" xfId="2" applyNumberFormat="1" applyFont="1" applyFill="1" applyAlignment="1">
      <alignment vertical="center"/>
    </xf>
    <xf numFmtId="0" fontId="3" fillId="4" borderId="0" xfId="0" applyFont="1" applyFill="1" applyAlignment="1">
      <alignment vertical="center"/>
    </xf>
    <xf numFmtId="0" fontId="3" fillId="2" borderId="0" xfId="0" applyFont="1" applyFill="1" applyAlignment="1">
      <alignment horizontal="left" vertical="center"/>
    </xf>
    <xf numFmtId="164" fontId="21" fillId="2" borderId="0" xfId="0" quotePrefix="1" applyNumberFormat="1" applyFont="1" applyFill="1" applyAlignment="1">
      <alignment horizontal="right" vertical="center"/>
    </xf>
    <xf numFmtId="0" fontId="21" fillId="2" borderId="0" xfId="0" applyFont="1" applyFill="1" applyAlignment="1">
      <alignment vertical="center"/>
    </xf>
    <xf numFmtId="164" fontId="21" fillId="2" borderId="0" xfId="0" applyNumberFormat="1" applyFont="1" applyFill="1" applyAlignment="1">
      <alignment vertical="center"/>
    </xf>
    <xf numFmtId="0" fontId="15" fillId="2" borderId="0" xfId="0" applyFont="1" applyFill="1" applyAlignment="1">
      <alignment vertical="center"/>
    </xf>
    <xf numFmtId="164" fontId="0" fillId="2" borderId="0" xfId="0" applyNumberFormat="1" applyFill="1" applyAlignment="1">
      <alignment vertical="center"/>
    </xf>
    <xf numFmtId="9" fontId="2" fillId="2" borderId="0" xfId="2" applyFont="1" applyFill="1" applyAlignment="1">
      <alignment vertical="center"/>
    </xf>
    <xf numFmtId="164" fontId="3" fillId="2" borderId="0" xfId="0" applyNumberFormat="1" applyFont="1" applyFill="1" applyAlignment="1">
      <alignment vertical="center"/>
    </xf>
    <xf numFmtId="164" fontId="3" fillId="2" borderId="0" xfId="0" applyNumberFormat="1" applyFont="1" applyFill="1" applyAlignment="1">
      <alignment horizontal="center" vertical="center"/>
    </xf>
    <xf numFmtId="0" fontId="8" fillId="2" borderId="1" xfId="0" applyFont="1" applyFill="1" applyBorder="1" applyAlignment="1">
      <alignment vertical="center"/>
    </xf>
    <xf numFmtId="0" fontId="17" fillId="4" borderId="0" xfId="0" applyFont="1" applyFill="1" applyAlignment="1">
      <alignment horizontal="left" vertical="center"/>
    </xf>
    <xf numFmtId="9" fontId="17" fillId="4" borderId="0" xfId="2" applyFont="1" applyFill="1" applyAlignment="1">
      <alignment vertical="center"/>
    </xf>
    <xf numFmtId="9" fontId="17" fillId="4" borderId="1" xfId="2" applyFont="1" applyFill="1" applyBorder="1" applyAlignment="1">
      <alignment vertical="center"/>
    </xf>
    <xf numFmtId="165" fontId="17" fillId="4" borderId="0" xfId="2" applyNumberFormat="1" applyFont="1" applyFill="1" applyBorder="1" applyAlignment="1">
      <alignment vertical="center"/>
    </xf>
    <xf numFmtId="9" fontId="17" fillId="4" borderId="0" xfId="2" applyFont="1" applyFill="1" applyBorder="1" applyAlignment="1">
      <alignment vertical="center"/>
    </xf>
    <xf numFmtId="0" fontId="3" fillId="4" borderId="1" xfId="0" applyFont="1" applyFill="1" applyBorder="1" applyAlignment="1">
      <alignment vertical="center"/>
    </xf>
    <xf numFmtId="0" fontId="17" fillId="2" borderId="0" xfId="0" applyFont="1" applyFill="1" applyAlignment="1">
      <alignment horizontal="left" vertical="center"/>
    </xf>
    <xf numFmtId="0" fontId="8" fillId="2" borderId="0" xfId="0" applyFont="1" applyFill="1" applyAlignment="1">
      <alignment vertical="center"/>
    </xf>
    <xf numFmtId="9" fontId="8" fillId="2" borderId="0" xfId="2" applyFont="1" applyFill="1" applyAlignment="1">
      <alignment vertical="center"/>
    </xf>
    <xf numFmtId="9" fontId="8" fillId="2" borderId="1" xfId="2" applyFont="1" applyFill="1" applyBorder="1" applyAlignment="1">
      <alignment vertical="center"/>
    </xf>
    <xf numFmtId="164" fontId="8" fillId="2" borderId="0" xfId="1" applyNumberFormat="1" applyFont="1" applyFill="1" applyAlignment="1">
      <alignment vertical="center"/>
    </xf>
    <xf numFmtId="0" fontId="8" fillId="2" borderId="0" xfId="0" applyFont="1" applyFill="1" applyAlignment="1">
      <alignment horizontal="left" vertical="center"/>
    </xf>
    <xf numFmtId="9" fontId="8" fillId="2" borderId="0" xfId="2" applyFont="1" applyFill="1" applyBorder="1" applyAlignment="1">
      <alignment vertical="center"/>
    </xf>
    <xf numFmtId="9" fontId="17" fillId="2" borderId="0" xfId="2" applyFont="1" applyFill="1" applyAlignment="1">
      <alignment vertical="center"/>
    </xf>
    <xf numFmtId="9" fontId="17" fillId="2" borderId="1" xfId="2" applyFont="1" applyFill="1" applyBorder="1" applyAlignment="1">
      <alignment vertical="center"/>
    </xf>
    <xf numFmtId="9" fontId="17" fillId="2" borderId="0" xfId="2" applyFont="1" applyFill="1" applyBorder="1" applyAlignment="1">
      <alignment vertical="center"/>
    </xf>
    <xf numFmtId="0" fontId="16" fillId="2" borderId="0" xfId="0" applyFont="1" applyFill="1" applyAlignment="1">
      <alignment vertical="center"/>
    </xf>
    <xf numFmtId="9" fontId="46" fillId="7" borderId="0" xfId="2" applyFont="1" applyFill="1" applyBorder="1" applyAlignment="1">
      <alignment vertical="center"/>
    </xf>
    <xf numFmtId="9" fontId="46" fillId="7" borderId="1" xfId="2" applyFont="1" applyFill="1" applyBorder="1" applyAlignment="1">
      <alignment vertical="center"/>
    </xf>
    <xf numFmtId="9" fontId="46" fillId="7" borderId="0" xfId="2" applyFont="1" applyFill="1" applyAlignment="1">
      <alignment vertical="center"/>
    </xf>
    <xf numFmtId="164" fontId="46" fillId="7" borderId="0" xfId="1" applyNumberFormat="1" applyFont="1" applyFill="1" applyAlignment="1">
      <alignment vertical="center"/>
    </xf>
    <xf numFmtId="0" fontId="3" fillId="4" borderId="0" xfId="0" applyFont="1" applyFill="1" applyAlignment="1">
      <alignment horizontal="left" vertical="center"/>
    </xf>
    <xf numFmtId="165" fontId="3" fillId="4" borderId="0" xfId="2" applyNumberFormat="1" applyFont="1" applyFill="1" applyAlignment="1">
      <alignment vertical="center"/>
    </xf>
    <xf numFmtId="165" fontId="3" fillId="4" borderId="0" xfId="2" applyNumberFormat="1" applyFont="1" applyFill="1" applyAlignment="1">
      <alignment horizontal="left" vertical="center"/>
    </xf>
    <xf numFmtId="165" fontId="3" fillId="10" borderId="0" xfId="2" applyNumberFormat="1" applyFont="1" applyFill="1" applyAlignment="1">
      <alignment horizontal="left" vertical="center"/>
    </xf>
    <xf numFmtId="165" fontId="3" fillId="2" borderId="0" xfId="2" applyNumberFormat="1" applyFont="1" applyFill="1" applyAlignment="1">
      <alignment vertical="center"/>
    </xf>
    <xf numFmtId="165" fontId="0" fillId="2" borderId="0" xfId="2" applyNumberFormat="1" applyFont="1" applyFill="1" applyAlignment="1">
      <alignment horizontal="left" vertical="center"/>
    </xf>
    <xf numFmtId="0" fontId="8" fillId="2" borderId="0" xfId="0" applyFont="1" applyFill="1" applyAlignment="1">
      <alignment horizontal="center" vertical="center"/>
    </xf>
    <xf numFmtId="0" fontId="14" fillId="7" borderId="0" xfId="0" applyFont="1" applyFill="1" applyAlignment="1">
      <alignment vertical="center"/>
    </xf>
    <xf numFmtId="164" fontId="3" fillId="4" borderId="0" xfId="2" applyNumberFormat="1" applyFont="1" applyFill="1" applyAlignment="1">
      <alignment vertical="center"/>
    </xf>
    <xf numFmtId="43" fontId="12" fillId="2" borderId="0" xfId="0" applyNumberFormat="1" applyFont="1" applyFill="1" applyAlignment="1">
      <alignment vertical="center"/>
    </xf>
    <xf numFmtId="164" fontId="3" fillId="4" borderId="0" xfId="1" applyNumberFormat="1" applyFont="1" applyFill="1" applyAlignment="1">
      <alignment horizontal="left" vertical="center"/>
    </xf>
    <xf numFmtId="9" fontId="0" fillId="2" borderId="0" xfId="0" applyNumberFormat="1" applyFill="1" applyAlignment="1">
      <alignment horizontal="center" vertical="center"/>
    </xf>
    <xf numFmtId="10" fontId="0" fillId="2" borderId="0" xfId="0" applyNumberFormat="1" applyFill="1" applyAlignment="1">
      <alignment vertical="center"/>
    </xf>
    <xf numFmtId="0" fontId="17" fillId="2" borderId="0" xfId="0" applyFont="1" applyFill="1" applyAlignment="1">
      <alignment vertical="center"/>
    </xf>
    <xf numFmtId="0" fontId="17" fillId="4" borderId="0" xfId="0" applyFont="1" applyFill="1" applyAlignment="1">
      <alignment vertical="center"/>
    </xf>
    <xf numFmtId="0" fontId="17" fillId="4" borderId="0" xfId="0" applyFont="1" applyFill="1" applyAlignment="1">
      <alignment horizontal="right" vertical="center"/>
    </xf>
    <xf numFmtId="0" fontId="17" fillId="2" borderId="0" xfId="0" applyFont="1" applyFill="1" applyAlignment="1">
      <alignment horizontal="right" vertical="center"/>
    </xf>
    <xf numFmtId="164" fontId="2" fillId="2" borderId="0" xfId="1" applyNumberFormat="1" applyFont="1" applyFill="1" applyAlignment="1">
      <alignment vertical="center"/>
    </xf>
    <xf numFmtId="0" fontId="50" fillId="2" borderId="0" xfId="0" applyFont="1" applyFill="1" applyAlignment="1">
      <alignment horizontal="left" vertical="center"/>
    </xf>
    <xf numFmtId="164" fontId="57" fillId="2" borderId="0" xfId="1" applyNumberFormat="1" applyFont="1" applyFill="1" applyAlignment="1">
      <alignment vertical="center"/>
    </xf>
    <xf numFmtId="164" fontId="50" fillId="2" borderId="0" xfId="1" applyNumberFormat="1" applyFont="1" applyFill="1" applyAlignment="1">
      <alignment vertical="center"/>
    </xf>
    <xf numFmtId="165" fontId="50" fillId="2" borderId="0" xfId="2" applyNumberFormat="1" applyFont="1" applyFill="1" applyAlignment="1">
      <alignment horizontal="center" vertical="center"/>
    </xf>
    <xf numFmtId="43" fontId="0" fillId="2" borderId="0" xfId="1" applyFont="1" applyFill="1" applyAlignment="1">
      <alignment horizontal="left" vertical="center"/>
    </xf>
    <xf numFmtId="165" fontId="53" fillId="2" borderId="0" xfId="2" applyNumberFormat="1" applyFont="1" applyFill="1" applyAlignment="1">
      <alignment horizontal="center" vertical="center"/>
    </xf>
    <xf numFmtId="0" fontId="50" fillId="2" borderId="0" xfId="0" applyFont="1" applyFill="1" applyAlignment="1">
      <alignment horizontal="center" vertical="center"/>
    </xf>
    <xf numFmtId="164" fontId="3" fillId="2" borderId="0" xfId="1" applyNumberFormat="1" applyFont="1" applyFill="1" applyAlignment="1">
      <alignment vertical="center"/>
    </xf>
    <xf numFmtId="164" fontId="3" fillId="2" borderId="1" xfId="0" applyNumberFormat="1" applyFont="1" applyFill="1" applyBorder="1" applyAlignment="1">
      <alignment vertical="center"/>
    </xf>
    <xf numFmtId="0" fontId="3" fillId="2" borderId="1" xfId="0" applyFont="1" applyFill="1" applyBorder="1" applyAlignment="1">
      <alignment vertical="center"/>
    </xf>
    <xf numFmtId="9" fontId="9" fillId="2" borderId="0" xfId="2" applyFont="1" applyFill="1" applyAlignment="1">
      <alignment vertical="center"/>
    </xf>
    <xf numFmtId="9" fontId="9" fillId="2" borderId="1" xfId="2" applyFont="1" applyFill="1" applyBorder="1" applyAlignment="1">
      <alignment vertical="center"/>
    </xf>
    <xf numFmtId="164" fontId="8" fillId="2" borderId="0" xfId="0" applyNumberFormat="1" applyFont="1" applyFill="1" applyAlignment="1">
      <alignment vertical="center"/>
    </xf>
    <xf numFmtId="0" fontId="9" fillId="2" borderId="0" xfId="0" applyFont="1" applyFill="1" applyAlignment="1">
      <alignment horizontal="left" vertical="center"/>
    </xf>
    <xf numFmtId="0" fontId="9" fillId="2" borderId="0" xfId="0" applyFont="1" applyFill="1" applyAlignment="1">
      <alignment vertical="center"/>
    </xf>
    <xf numFmtId="0" fontId="9" fillId="2" borderId="1" xfId="0" applyFont="1" applyFill="1" applyBorder="1" applyAlignment="1">
      <alignment vertical="center"/>
    </xf>
    <xf numFmtId="0" fontId="47" fillId="2" borderId="0" xfId="0" applyFont="1" applyFill="1" applyAlignment="1">
      <alignment horizontal="left" vertical="center"/>
    </xf>
    <xf numFmtId="0" fontId="47" fillId="2" borderId="0" xfId="0" applyFont="1" applyFill="1" applyAlignment="1">
      <alignment vertical="center"/>
    </xf>
    <xf numFmtId="164" fontId="47" fillId="2" borderId="1" xfId="0" applyNumberFormat="1" applyFont="1" applyFill="1" applyBorder="1" applyAlignment="1">
      <alignment vertical="center"/>
    </xf>
    <xf numFmtId="164" fontId="47" fillId="2" borderId="0" xfId="0" applyNumberFormat="1" applyFont="1" applyFill="1" applyAlignment="1">
      <alignment vertical="center"/>
    </xf>
    <xf numFmtId="165" fontId="9" fillId="2" borderId="0" xfId="2" applyNumberFormat="1" applyFont="1" applyFill="1" applyAlignment="1">
      <alignment vertical="center"/>
    </xf>
    <xf numFmtId="165" fontId="9" fillId="2" borderId="1" xfId="2" applyNumberFormat="1" applyFont="1" applyFill="1" applyBorder="1" applyAlignment="1">
      <alignment vertical="center"/>
    </xf>
    <xf numFmtId="165" fontId="9" fillId="6" borderId="1" xfId="2" applyNumberFormat="1" applyFont="1" applyFill="1" applyBorder="1" applyAlignment="1">
      <alignment vertical="center"/>
    </xf>
    <xf numFmtId="165" fontId="9" fillId="6" borderId="0" xfId="2" applyNumberFormat="1" applyFont="1" applyFill="1" applyAlignment="1">
      <alignment vertical="center"/>
    </xf>
    <xf numFmtId="9" fontId="8" fillId="6" borderId="1" xfId="2" applyFont="1" applyFill="1" applyBorder="1" applyAlignment="1">
      <alignment vertical="center"/>
    </xf>
    <xf numFmtId="9" fontId="8" fillId="6" borderId="0" xfId="2" applyFont="1" applyFill="1" applyAlignment="1">
      <alignment vertical="center"/>
    </xf>
    <xf numFmtId="43" fontId="0" fillId="2" borderId="0" xfId="1" applyFont="1" applyFill="1" applyBorder="1" applyAlignment="1">
      <alignment horizontal="left" vertical="center"/>
    </xf>
    <xf numFmtId="164" fontId="0" fillId="2" borderId="0" xfId="1" applyNumberFormat="1" applyFont="1" applyFill="1" applyBorder="1" applyAlignment="1">
      <alignment vertical="center"/>
    </xf>
    <xf numFmtId="165" fontId="9" fillId="2" borderId="0" xfId="2" applyNumberFormat="1" applyFont="1" applyFill="1" applyBorder="1" applyAlignment="1">
      <alignment vertical="center"/>
    </xf>
    <xf numFmtId="165" fontId="8" fillId="2" borderId="0" xfId="2" applyNumberFormat="1" applyFont="1" applyFill="1" applyBorder="1" applyAlignment="1">
      <alignment vertical="center"/>
    </xf>
    <xf numFmtId="165" fontId="9" fillId="10" borderId="0" xfId="2" applyNumberFormat="1" applyFont="1" applyFill="1" applyBorder="1" applyAlignment="1">
      <alignment vertical="center"/>
    </xf>
    <xf numFmtId="0" fontId="9" fillId="6" borderId="0" xfId="0" applyFont="1" applyFill="1" applyAlignment="1">
      <alignment vertical="center"/>
    </xf>
    <xf numFmtId="0" fontId="8" fillId="6" borderId="0" xfId="0" applyFont="1" applyFill="1" applyAlignment="1">
      <alignment vertical="center"/>
    </xf>
    <xf numFmtId="9" fontId="9" fillId="2" borderId="0" xfId="2" applyFont="1" applyFill="1" applyBorder="1" applyAlignment="1">
      <alignment vertical="center"/>
    </xf>
    <xf numFmtId="43" fontId="8" fillId="2" borderId="0" xfId="0" applyNumberFormat="1" applyFont="1" applyFill="1" applyAlignment="1">
      <alignment vertical="center"/>
    </xf>
    <xf numFmtId="3" fontId="3" fillId="2" borderId="0" xfId="0" applyNumberFormat="1" applyFont="1" applyFill="1" applyAlignment="1">
      <alignment vertical="center"/>
    </xf>
    <xf numFmtId="3" fontId="3" fillId="2" borderId="1" xfId="0" applyNumberFormat="1" applyFont="1" applyFill="1" applyBorder="1" applyAlignment="1">
      <alignment vertical="center"/>
    </xf>
    <xf numFmtId="43" fontId="3" fillId="2" borderId="0" xfId="1" applyFont="1" applyFill="1" applyAlignment="1">
      <alignment vertical="center"/>
    </xf>
    <xf numFmtId="166" fontId="8" fillId="2" borderId="0" xfId="1" applyNumberFormat="1" applyFont="1" applyFill="1" applyAlignment="1">
      <alignment vertical="center"/>
    </xf>
    <xf numFmtId="3" fontId="8" fillId="2" borderId="0" xfId="0" applyNumberFormat="1" applyFont="1" applyFill="1" applyAlignment="1">
      <alignment vertical="center"/>
    </xf>
    <xf numFmtId="4" fontId="8" fillId="2" borderId="0" xfId="0" applyNumberFormat="1" applyFont="1" applyFill="1" applyAlignment="1">
      <alignment vertical="center"/>
    </xf>
    <xf numFmtId="4" fontId="8" fillId="2" borderId="1" xfId="0" applyNumberFormat="1" applyFont="1" applyFill="1" applyBorder="1" applyAlignment="1">
      <alignment vertical="center"/>
    </xf>
    <xf numFmtId="165" fontId="0" fillId="2" borderId="0" xfId="0" applyNumberFormat="1" applyFill="1" applyAlignment="1">
      <alignment vertical="center"/>
    </xf>
    <xf numFmtId="0" fontId="10" fillId="2" borderId="0" xfId="0" applyFont="1" applyFill="1" applyAlignment="1">
      <alignment horizontal="left" vertical="center"/>
    </xf>
    <xf numFmtId="0" fontId="11" fillId="2" borderId="0" xfId="0" applyFont="1" applyFill="1" applyAlignment="1">
      <alignment horizontal="left" vertical="center"/>
    </xf>
    <xf numFmtId="165" fontId="11" fillId="2" borderId="0" xfId="2" applyNumberFormat="1" applyFont="1" applyFill="1" applyAlignment="1">
      <alignment vertical="center"/>
    </xf>
    <xf numFmtId="0" fontId="51" fillId="2" borderId="0" xfId="0" applyFont="1" applyFill="1" applyAlignment="1">
      <alignment horizontal="left" vertical="center"/>
    </xf>
    <xf numFmtId="164" fontId="50" fillId="2" borderId="0" xfId="1" applyNumberFormat="1" applyFont="1" applyFill="1" applyAlignment="1">
      <alignment horizontal="right" vertical="center"/>
    </xf>
    <xf numFmtId="0" fontId="12" fillId="2" borderId="0" xfId="0" applyFont="1" applyFill="1" applyAlignment="1">
      <alignment horizontal="left" vertical="center"/>
    </xf>
    <xf numFmtId="9" fontId="0" fillId="6" borderId="0" xfId="2" applyFont="1" applyFill="1" applyAlignment="1">
      <alignment vertical="center"/>
    </xf>
    <xf numFmtId="164" fontId="11" fillId="2" borderId="0" xfId="1" applyNumberFormat="1" applyFont="1" applyFill="1" applyAlignment="1">
      <alignment vertical="center"/>
    </xf>
    <xf numFmtId="164" fontId="12" fillId="2" borderId="0" xfId="1" applyNumberFormat="1" applyFont="1" applyFill="1" applyAlignment="1">
      <alignment vertical="center"/>
    </xf>
    <xf numFmtId="0" fontId="3" fillId="2" borderId="0" xfId="0" applyFont="1" applyFill="1" applyAlignment="1">
      <alignment horizontal="left" vertical="center" indent="2"/>
    </xf>
    <xf numFmtId="0" fontId="8" fillId="2" borderId="0" xfId="0" applyFont="1" applyFill="1" applyAlignment="1">
      <alignment horizontal="left" vertical="center" indent="2"/>
    </xf>
    <xf numFmtId="0" fontId="9" fillId="2" borderId="0" xfId="0" applyFont="1" applyFill="1" applyAlignment="1">
      <alignment horizontal="left" vertical="center" indent="2"/>
    </xf>
    <xf numFmtId="0" fontId="47" fillId="2" borderId="0" xfId="0" applyFont="1" applyFill="1" applyAlignment="1">
      <alignment horizontal="left" vertical="center" indent="2"/>
    </xf>
    <xf numFmtId="43" fontId="0" fillId="2" borderId="0" xfId="1" applyFont="1" applyFill="1" applyBorder="1" applyAlignment="1">
      <alignment horizontal="left" vertical="center" indent="2"/>
    </xf>
    <xf numFmtId="0" fontId="10" fillId="2" borderId="0" xfId="0" applyFont="1" applyFill="1" applyAlignment="1">
      <alignment horizontal="left" vertical="center" indent="2"/>
    </xf>
    <xf numFmtId="0" fontId="11" fillId="2" borderId="0" xfId="0" applyFont="1" applyFill="1" applyAlignment="1">
      <alignment horizontal="left" vertical="center" indent="2"/>
    </xf>
    <xf numFmtId="0" fontId="50" fillId="2" borderId="0" xfId="0" applyFont="1" applyFill="1" applyAlignment="1">
      <alignment horizontal="left" vertical="center" indent="2"/>
    </xf>
    <xf numFmtId="0" fontId="12" fillId="2" borderId="0" xfId="0" applyFont="1" applyFill="1" applyAlignment="1">
      <alignment horizontal="left" vertical="center" indent="2"/>
    </xf>
    <xf numFmtId="9" fontId="3" fillId="2" borderId="0" xfId="2" applyFont="1" applyFill="1" applyAlignment="1">
      <alignment horizontal="right" vertical="center"/>
    </xf>
    <xf numFmtId="9" fontId="10" fillId="2" borderId="0" xfId="2" applyFont="1" applyFill="1" applyAlignment="1">
      <alignment vertical="center"/>
    </xf>
    <xf numFmtId="0" fontId="72" fillId="2" borderId="0" xfId="0" applyFont="1" applyFill="1"/>
    <xf numFmtId="164" fontId="0" fillId="6" borderId="1" xfId="1" applyNumberFormat="1" applyFont="1" applyFill="1" applyBorder="1"/>
    <xf numFmtId="0" fontId="3" fillId="2" borderId="0" xfId="0" applyFont="1" applyFill="1" applyAlignment="1">
      <alignment vertical="center" wrapText="1"/>
    </xf>
    <xf numFmtId="0" fontId="23" fillId="2" borderId="0" xfId="3" applyFill="1" applyAlignment="1">
      <alignment vertical="center"/>
    </xf>
    <xf numFmtId="17" fontId="0" fillId="2" borderId="0" xfId="0" applyNumberFormat="1" applyFill="1" applyAlignment="1">
      <alignment vertical="center"/>
    </xf>
    <xf numFmtId="0" fontId="25" fillId="2" borderId="0" xfId="0" applyFont="1" applyFill="1" applyAlignment="1">
      <alignment vertical="center" wrapText="1"/>
    </xf>
    <xf numFmtId="0" fontId="27" fillId="2" borderId="0" xfId="0" applyFont="1" applyFill="1"/>
    <xf numFmtId="0" fontId="22" fillId="2" borderId="0" xfId="0" applyFont="1" applyFill="1" applyAlignment="1">
      <alignment vertical="center" wrapText="1"/>
    </xf>
    <xf numFmtId="0" fontId="56" fillId="2" borderId="0" xfId="0" applyFont="1" applyFill="1" applyAlignment="1">
      <alignment horizontal="left" indent="1"/>
    </xf>
    <xf numFmtId="0" fontId="53" fillId="2" borderId="0" xfId="0" applyFont="1" applyFill="1" applyAlignment="1">
      <alignment horizontal="left" indent="1"/>
    </xf>
    <xf numFmtId="9" fontId="53" fillId="2" borderId="0" xfId="0" applyNumberFormat="1" applyFont="1" applyFill="1"/>
    <xf numFmtId="9" fontId="53" fillId="2" borderId="20" xfId="0" applyNumberFormat="1" applyFont="1" applyFill="1" applyBorder="1"/>
    <xf numFmtId="0" fontId="53" fillId="2" borderId="0" xfId="0" applyFont="1" applyFill="1" applyAlignment="1">
      <alignment horizontal="center"/>
    </xf>
    <xf numFmtId="0" fontId="53" fillId="2" borderId="1" xfId="0" applyFont="1" applyFill="1" applyBorder="1"/>
    <xf numFmtId="0" fontId="50" fillId="2" borderId="0" xfId="0" applyFont="1" applyFill="1" applyAlignment="1">
      <alignment vertical="center"/>
    </xf>
    <xf numFmtId="9" fontId="50" fillId="2" borderId="0" xfId="2" applyFont="1" applyFill="1" applyAlignment="1">
      <alignment vertical="center"/>
    </xf>
    <xf numFmtId="0" fontId="50" fillId="2" borderId="1" xfId="0" applyFont="1" applyFill="1" applyBorder="1" applyAlignment="1">
      <alignment vertical="center"/>
    </xf>
    <xf numFmtId="164" fontId="68" fillId="2" borderId="0" xfId="0" quotePrefix="1" applyNumberFormat="1" applyFont="1" applyFill="1" applyAlignment="1">
      <alignment vertical="center"/>
    </xf>
    <xf numFmtId="0" fontId="68" fillId="2" borderId="0" xfId="0" applyFont="1" applyFill="1" applyAlignment="1">
      <alignment vertical="center"/>
    </xf>
    <xf numFmtId="164" fontId="68" fillId="2" borderId="0" xfId="0" applyNumberFormat="1" applyFont="1" applyFill="1" applyAlignment="1">
      <alignment vertical="center"/>
    </xf>
    <xf numFmtId="165" fontId="50" fillId="2" borderId="0" xfId="2" applyNumberFormat="1" applyFont="1" applyFill="1" applyAlignment="1">
      <alignment vertical="center"/>
    </xf>
    <xf numFmtId="9" fontId="53" fillId="2" borderId="0" xfId="2" applyFont="1" applyFill="1" applyAlignment="1">
      <alignment vertical="center"/>
    </xf>
    <xf numFmtId="9" fontId="73" fillId="2" borderId="0" xfId="2" applyFont="1" applyFill="1" applyAlignment="1">
      <alignment vertical="center"/>
    </xf>
    <xf numFmtId="9" fontId="73" fillId="2" borderId="0" xfId="2" applyFont="1" applyFill="1" applyBorder="1" applyAlignment="1">
      <alignment vertical="center"/>
    </xf>
    <xf numFmtId="43" fontId="12" fillId="2" borderId="0" xfId="1" applyFont="1" applyFill="1" applyAlignment="1">
      <alignment horizontal="left" vertical="center"/>
    </xf>
    <xf numFmtId="9" fontId="0" fillId="0" borderId="0" xfId="2" applyFont="1"/>
    <xf numFmtId="0" fontId="0" fillId="4" borderId="0" xfId="0" applyFill="1" applyAlignment="1">
      <alignment horizontal="left" vertical="center"/>
    </xf>
    <xf numFmtId="0" fontId="45" fillId="2" borderId="0" xfId="0" applyFont="1" applyFill="1"/>
    <xf numFmtId="164" fontId="0" fillId="2" borderId="20" xfId="1" applyNumberFormat="1" applyFont="1" applyFill="1" applyBorder="1"/>
    <xf numFmtId="164" fontId="56" fillId="2" borderId="0" xfId="1" applyNumberFormat="1" applyFont="1" applyFill="1"/>
    <xf numFmtId="43" fontId="9" fillId="2" borderId="0" xfId="1" applyFont="1" applyFill="1" applyBorder="1" applyAlignment="1">
      <alignment vertical="center"/>
    </xf>
    <xf numFmtId="0" fontId="75" fillId="17" borderId="0" xfId="0" applyFont="1" applyFill="1"/>
    <xf numFmtId="0" fontId="75" fillId="17" borderId="2" xfId="0" applyFont="1" applyFill="1" applyBorder="1"/>
    <xf numFmtId="0" fontId="75" fillId="17" borderId="23" xfId="0" applyFont="1" applyFill="1" applyBorder="1"/>
    <xf numFmtId="0" fontId="75" fillId="18" borderId="23" xfId="0" applyFont="1" applyFill="1" applyBorder="1"/>
    <xf numFmtId="0" fontId="75" fillId="17" borderId="5" xfId="0" applyFont="1" applyFill="1" applyBorder="1"/>
    <xf numFmtId="0" fontId="75" fillId="17" borderId="24" xfId="0" applyFont="1" applyFill="1" applyBorder="1"/>
    <xf numFmtId="10" fontId="75" fillId="17" borderId="24" xfId="0" applyNumberFormat="1" applyFont="1" applyFill="1" applyBorder="1"/>
    <xf numFmtId="10" fontId="75" fillId="18" borderId="24" xfId="0" applyNumberFormat="1" applyFont="1" applyFill="1" applyBorder="1"/>
    <xf numFmtId="0" fontId="75" fillId="2" borderId="0" xfId="0" applyFont="1" applyFill="1"/>
    <xf numFmtId="14" fontId="75" fillId="17" borderId="0" xfId="0" applyNumberFormat="1" applyFont="1" applyFill="1"/>
    <xf numFmtId="10" fontId="75" fillId="17" borderId="0" xfId="0" applyNumberFormat="1" applyFont="1" applyFill="1"/>
    <xf numFmtId="0" fontId="45" fillId="2" borderId="14" xfId="0" applyFont="1" applyFill="1" applyBorder="1" applyAlignment="1">
      <alignment horizontal="left" wrapText="1" indent="2"/>
    </xf>
    <xf numFmtId="3" fontId="12" fillId="2" borderId="14" xfId="0" applyNumberFormat="1" applyFont="1" applyFill="1" applyBorder="1" applyAlignment="1">
      <alignment vertical="center"/>
    </xf>
    <xf numFmtId="9" fontId="68" fillId="2" borderId="0" xfId="2" applyFont="1" applyFill="1" applyAlignment="1">
      <alignment horizontal="right" vertical="center"/>
    </xf>
    <xf numFmtId="0" fontId="45" fillId="2" borderId="0" xfId="0" applyFont="1" applyFill="1" applyAlignment="1">
      <alignment horizontal="left" vertical="center" wrapText="1" indent="4"/>
    </xf>
    <xf numFmtId="0" fontId="40" fillId="2" borderId="0" xfId="0" applyFont="1" applyFill="1" applyAlignment="1">
      <alignment vertical="center" wrapText="1"/>
    </xf>
    <xf numFmtId="0" fontId="14" fillId="7" borderId="0" xfId="0" applyFont="1" applyFill="1" applyAlignment="1">
      <alignment horizontal="left" vertical="center" wrapText="1" indent="4"/>
    </xf>
    <xf numFmtId="0" fontId="47" fillId="7" borderId="0" xfId="0" applyFont="1" applyFill="1" applyAlignment="1">
      <alignment horizontal="right" vertical="center" wrapText="1"/>
    </xf>
    <xf numFmtId="0" fontId="14" fillId="7" borderId="0" xfId="0" applyFont="1" applyFill="1" applyAlignment="1">
      <alignment horizontal="right" vertical="center" wrapText="1"/>
    </xf>
    <xf numFmtId="0" fontId="3" fillId="0" borderId="0" xfId="0" applyFont="1"/>
    <xf numFmtId="10" fontId="3" fillId="2" borderId="0" xfId="0" applyNumberFormat="1" applyFont="1" applyFill="1" applyAlignment="1">
      <alignment vertical="center"/>
    </xf>
    <xf numFmtId="10" fontId="9" fillId="6" borderId="0" xfId="2" applyNumberFormat="1" applyFont="1" applyFill="1" applyAlignment="1">
      <alignment vertical="center"/>
    </xf>
    <xf numFmtId="10" fontId="9" fillId="2" borderId="0" xfId="2" applyNumberFormat="1" applyFont="1" applyFill="1" applyAlignment="1">
      <alignment vertical="center"/>
    </xf>
    <xf numFmtId="0" fontId="43" fillId="2" borderId="0" xfId="0" applyFont="1" applyFill="1" applyAlignment="1">
      <alignment wrapText="1"/>
    </xf>
    <xf numFmtId="165" fontId="17" fillId="10" borderId="0" xfId="2" applyNumberFormat="1" applyFont="1" applyFill="1"/>
    <xf numFmtId="9" fontId="3" fillId="10" borderId="0" xfId="2" applyFont="1" applyFill="1"/>
    <xf numFmtId="9" fontId="17" fillId="10" borderId="0" xfId="2" applyFont="1" applyFill="1"/>
    <xf numFmtId="9" fontId="13" fillId="2" borderId="0" xfId="2" applyFont="1" applyFill="1" applyBorder="1"/>
    <xf numFmtId="164" fontId="76" fillId="2" borderId="0" xfId="1" applyNumberFormat="1" applyFont="1" applyFill="1"/>
    <xf numFmtId="0" fontId="3" fillId="2" borderId="1" xfId="0" applyFont="1" applyFill="1" applyBorder="1"/>
    <xf numFmtId="9" fontId="3" fillId="10" borderId="0" xfId="0" applyNumberFormat="1" applyFont="1" applyFill="1"/>
    <xf numFmtId="165" fontId="0" fillId="10" borderId="0" xfId="0" applyNumberFormat="1" applyFill="1" applyAlignment="1">
      <alignment horizontal="right"/>
    </xf>
    <xf numFmtId="9" fontId="0" fillId="10" borderId="0" xfId="0" applyNumberFormat="1" applyFill="1" applyAlignment="1">
      <alignment horizontal="right"/>
    </xf>
    <xf numFmtId="165" fontId="3" fillId="10" borderId="0" xfId="0" applyNumberFormat="1" applyFont="1" applyFill="1" applyAlignment="1">
      <alignment vertical="center"/>
    </xf>
    <xf numFmtId="165" fontId="3" fillId="2" borderId="0" xfId="2" quotePrefix="1" applyNumberFormat="1" applyFont="1" applyFill="1" applyAlignment="1">
      <alignment horizontal="right"/>
    </xf>
    <xf numFmtId="0" fontId="13" fillId="2" borderId="0" xfId="0" applyFont="1" applyFill="1" applyAlignment="1">
      <alignment horizontal="left" vertical="center" indent="2"/>
    </xf>
    <xf numFmtId="165" fontId="13" fillId="2" borderId="0" xfId="2" applyNumberFormat="1" applyFont="1" applyFill="1" applyAlignment="1">
      <alignment vertical="center"/>
    </xf>
    <xf numFmtId="164" fontId="17" fillId="4" borderId="0" xfId="2" applyNumberFormat="1" applyFont="1" applyFill="1" applyAlignment="1">
      <alignment vertical="center"/>
    </xf>
    <xf numFmtId="165" fontId="3" fillId="10" borderId="0" xfId="2" applyNumberFormat="1" applyFont="1" applyFill="1"/>
    <xf numFmtId="164" fontId="21" fillId="2" borderId="0" xfId="1" quotePrefix="1" applyNumberFormat="1" applyFont="1" applyFill="1" applyAlignment="1">
      <alignment vertical="center"/>
    </xf>
    <xf numFmtId="164" fontId="21" fillId="2" borderId="0" xfId="1" quotePrefix="1" applyNumberFormat="1" applyFont="1" applyFill="1" applyAlignment="1">
      <alignment horizontal="right" vertical="center"/>
    </xf>
    <xf numFmtId="164" fontId="17" fillId="4" borderId="0" xfId="1" applyNumberFormat="1" applyFont="1" applyFill="1" applyAlignment="1">
      <alignment vertical="center"/>
    </xf>
    <xf numFmtId="9" fontId="3" fillId="10" borderId="0" xfId="2" applyFont="1" applyFill="1" applyBorder="1"/>
    <xf numFmtId="164" fontId="3" fillId="0" borderId="0" xfId="0" applyNumberFormat="1" applyFont="1"/>
    <xf numFmtId="164" fontId="14" fillId="7" borderId="0" xfId="1" applyNumberFormat="1" applyFont="1" applyFill="1" applyBorder="1" applyAlignment="1">
      <alignment vertical="center"/>
    </xf>
    <xf numFmtId="164" fontId="50" fillId="2" borderId="0" xfId="1" applyNumberFormat="1" applyFont="1" applyFill="1" applyBorder="1" applyAlignment="1">
      <alignment vertical="center"/>
    </xf>
    <xf numFmtId="165" fontId="3" fillId="2" borderId="0" xfId="2" applyNumberFormat="1" applyFont="1" applyFill="1" applyBorder="1" applyAlignment="1">
      <alignment vertical="center"/>
    </xf>
    <xf numFmtId="164" fontId="3" fillId="4" borderId="0" xfId="2" applyNumberFormat="1" applyFont="1" applyFill="1" applyBorder="1" applyAlignment="1">
      <alignment vertical="center"/>
    </xf>
    <xf numFmtId="9" fontId="0" fillId="2" borderId="0" xfId="2" applyFont="1" applyFill="1" applyBorder="1" applyAlignment="1">
      <alignment vertical="center"/>
    </xf>
    <xf numFmtId="164" fontId="8" fillId="2" borderId="0" xfId="1" applyNumberFormat="1" applyFont="1" applyFill="1" applyBorder="1" applyAlignment="1">
      <alignment vertical="center"/>
    </xf>
    <xf numFmtId="1" fontId="12" fillId="2" borderId="0" xfId="0" applyNumberFormat="1" applyFont="1" applyFill="1" applyAlignment="1">
      <alignment vertical="center"/>
    </xf>
    <xf numFmtId="164" fontId="0" fillId="0" borderId="0" xfId="1" applyNumberFormat="1" applyFont="1" applyBorder="1"/>
    <xf numFmtId="9" fontId="0" fillId="4" borderId="0" xfId="2" applyFont="1" applyFill="1" applyBorder="1"/>
    <xf numFmtId="9" fontId="0" fillId="0" borderId="0" xfId="2" applyFont="1" applyBorder="1"/>
    <xf numFmtId="164" fontId="3" fillId="0" borderId="0" xfId="1" applyNumberFormat="1" applyFont="1" applyBorder="1"/>
    <xf numFmtId="164" fontId="3" fillId="2" borderId="0" xfId="1" applyNumberFormat="1" applyFont="1" applyFill="1" applyBorder="1" applyAlignment="1">
      <alignment vertical="center"/>
    </xf>
    <xf numFmtId="165" fontId="78" fillId="2" borderId="0" xfId="2" applyNumberFormat="1" applyFont="1" applyFill="1" applyBorder="1" applyAlignment="1">
      <alignment vertical="center"/>
    </xf>
    <xf numFmtId="10" fontId="3" fillId="0" borderId="0" xfId="2" applyNumberFormat="1" applyFont="1" applyBorder="1"/>
    <xf numFmtId="9" fontId="3" fillId="0" borderId="0" xfId="2" applyFont="1" applyBorder="1"/>
    <xf numFmtId="165" fontId="3" fillId="0" borderId="0" xfId="2" applyNumberFormat="1" applyFont="1" applyBorder="1"/>
    <xf numFmtId="165" fontId="0" fillId="0" borderId="0" xfId="2" applyNumberFormat="1" applyFont="1" applyBorder="1"/>
    <xf numFmtId="0" fontId="11" fillId="2" borderId="0" xfId="0" applyFont="1" applyFill="1" applyAlignment="1">
      <alignment horizontal="center" vertical="center"/>
    </xf>
    <xf numFmtId="165" fontId="21" fillId="2" borderId="0" xfId="2" applyNumberFormat="1" applyFont="1" applyFill="1" applyBorder="1" applyAlignment="1">
      <alignment vertical="center"/>
    </xf>
    <xf numFmtId="4" fontId="0" fillId="2" borderId="0" xfId="2" applyNumberFormat="1" applyFont="1" applyFill="1" applyAlignment="1">
      <alignment vertical="center"/>
    </xf>
    <xf numFmtId="9" fontId="3" fillId="2" borderId="0" xfId="2" applyFont="1" applyFill="1" applyBorder="1" applyAlignment="1">
      <alignment vertical="center"/>
    </xf>
    <xf numFmtId="165" fontId="0" fillId="2" borderId="0" xfId="2" applyNumberFormat="1" applyFont="1" applyFill="1" applyBorder="1" applyAlignment="1">
      <alignment vertical="center"/>
    </xf>
    <xf numFmtId="9" fontId="47" fillId="2" borderId="0" xfId="2" applyFont="1" applyFill="1" applyBorder="1" applyAlignment="1">
      <alignment vertical="center"/>
    </xf>
    <xf numFmtId="164" fontId="74" fillId="2" borderId="0" xfId="0" applyNumberFormat="1" applyFont="1" applyFill="1" applyAlignment="1">
      <alignment vertical="center"/>
    </xf>
    <xf numFmtId="0" fontId="74" fillId="2" borderId="0" xfId="0" applyFont="1" applyFill="1" applyAlignment="1">
      <alignment vertical="center"/>
    </xf>
    <xf numFmtId="164" fontId="47" fillId="2" borderId="0" xfId="1" applyNumberFormat="1" applyFont="1" applyFill="1" applyBorder="1" applyAlignment="1">
      <alignment vertical="center"/>
    </xf>
    <xf numFmtId="1" fontId="3" fillId="2" borderId="0" xfId="0" applyNumberFormat="1" applyFont="1" applyFill="1" applyAlignment="1">
      <alignment vertical="center"/>
    </xf>
    <xf numFmtId="9" fontId="0" fillId="2" borderId="0" xfId="2" applyFont="1" applyFill="1" applyBorder="1" applyAlignment="1">
      <alignment vertical="center" wrapText="1"/>
    </xf>
    <xf numFmtId="164" fontId="12" fillId="2" borderId="0" xfId="1" applyNumberFormat="1" applyFont="1" applyFill="1" applyBorder="1" applyAlignment="1">
      <alignment vertical="center"/>
    </xf>
    <xf numFmtId="165" fontId="9" fillId="2" borderId="0" xfId="0" applyNumberFormat="1" applyFont="1" applyFill="1" applyAlignment="1">
      <alignment vertical="center"/>
    </xf>
    <xf numFmtId="165" fontId="8" fillId="2" borderId="0" xfId="0" applyNumberFormat="1" applyFont="1" applyFill="1" applyAlignment="1">
      <alignment vertical="center"/>
    </xf>
    <xf numFmtId="9" fontId="10" fillId="2" borderId="0" xfId="2" applyFont="1" applyFill="1" applyBorder="1" applyAlignment="1">
      <alignment vertical="center"/>
    </xf>
    <xf numFmtId="43" fontId="0" fillId="2" borderId="0" xfId="1" applyFont="1" applyFill="1" applyBorder="1" applyAlignment="1">
      <alignment vertical="center"/>
    </xf>
    <xf numFmtId="9" fontId="3" fillId="10" borderId="0" xfId="2" applyFont="1" applyFill="1" applyBorder="1" applyAlignment="1">
      <alignment vertical="center"/>
    </xf>
    <xf numFmtId="9" fontId="0" fillId="10" borderId="0" xfId="2" applyFont="1" applyFill="1" applyBorder="1" applyAlignment="1">
      <alignment vertical="center"/>
    </xf>
    <xf numFmtId="9" fontId="71" fillId="2" borderId="0" xfId="2" applyFont="1" applyFill="1" applyBorder="1" applyAlignment="1">
      <alignment vertical="center"/>
    </xf>
    <xf numFmtId="3" fontId="3" fillId="10" borderId="0" xfId="0" applyNumberFormat="1" applyFont="1" applyFill="1" applyAlignment="1">
      <alignment vertical="center"/>
    </xf>
    <xf numFmtId="3" fontId="12" fillId="2" borderId="0" xfId="0" applyNumberFormat="1" applyFont="1" applyFill="1" applyAlignment="1">
      <alignment vertical="center"/>
    </xf>
    <xf numFmtId="166" fontId="8" fillId="2" borderId="0" xfId="1" applyNumberFormat="1" applyFont="1" applyFill="1" applyBorder="1" applyAlignment="1">
      <alignment vertical="center"/>
    </xf>
    <xf numFmtId="2" fontId="8" fillId="2" borderId="0" xfId="1" applyNumberFormat="1" applyFont="1" applyFill="1" applyBorder="1" applyAlignment="1">
      <alignment vertical="center"/>
    </xf>
    <xf numFmtId="165" fontId="12" fillId="2" borderId="0" xfId="2" applyNumberFormat="1" applyFont="1" applyFill="1" applyBorder="1" applyAlignment="1">
      <alignment vertical="center"/>
    </xf>
    <xf numFmtId="0" fontId="12" fillId="2" borderId="0" xfId="0" applyFont="1" applyFill="1" applyAlignment="1">
      <alignment vertical="center"/>
    </xf>
    <xf numFmtId="164" fontId="3" fillId="10" borderId="0" xfId="0" applyNumberFormat="1" applyFont="1" applyFill="1" applyAlignment="1">
      <alignment vertical="center"/>
    </xf>
    <xf numFmtId="165" fontId="0" fillId="10" borderId="0" xfId="2" applyNumberFormat="1" applyFont="1" applyFill="1" applyBorder="1" applyAlignment="1">
      <alignment vertical="center"/>
    </xf>
    <xf numFmtId="168" fontId="0" fillId="2" borderId="0" xfId="2" applyNumberFormat="1" applyFont="1" applyFill="1" applyBorder="1" applyAlignment="1">
      <alignment vertical="center"/>
    </xf>
    <xf numFmtId="10" fontId="0" fillId="2" borderId="0" xfId="2" applyNumberFormat="1" applyFont="1" applyFill="1" applyBorder="1" applyAlignment="1">
      <alignment vertical="center"/>
    </xf>
    <xf numFmtId="168" fontId="0" fillId="2" borderId="0" xfId="1" applyNumberFormat="1" applyFont="1" applyFill="1" applyBorder="1" applyAlignment="1">
      <alignment vertical="center"/>
    </xf>
    <xf numFmtId="4" fontId="0" fillId="2" borderId="0" xfId="2" applyNumberFormat="1" applyFont="1" applyFill="1" applyBorder="1" applyAlignment="1">
      <alignment vertical="center"/>
    </xf>
    <xf numFmtId="165" fontId="13" fillId="2" borderId="0" xfId="2" applyNumberFormat="1" applyFont="1" applyFill="1" applyBorder="1" applyAlignment="1">
      <alignment vertical="center"/>
    </xf>
    <xf numFmtId="165" fontId="13" fillId="10" borderId="0" xfId="2" applyNumberFormat="1" applyFont="1" applyFill="1" applyBorder="1" applyAlignment="1">
      <alignment vertical="center"/>
    </xf>
    <xf numFmtId="1" fontId="8" fillId="2" borderId="0" xfId="0" applyNumberFormat="1" applyFont="1" applyFill="1" applyAlignment="1">
      <alignment vertical="center"/>
    </xf>
    <xf numFmtId="165" fontId="11" fillId="2" borderId="0" xfId="2" applyNumberFormat="1" applyFont="1" applyFill="1" applyBorder="1" applyAlignment="1">
      <alignment vertical="center"/>
    </xf>
    <xf numFmtId="165" fontId="11" fillId="10" borderId="0" xfId="2" applyNumberFormat="1" applyFont="1" applyFill="1" applyBorder="1" applyAlignment="1">
      <alignment vertical="center"/>
    </xf>
    <xf numFmtId="166" fontId="50" fillId="2" borderId="0" xfId="1" applyNumberFormat="1" applyFont="1" applyFill="1" applyBorder="1" applyAlignment="1">
      <alignment horizontal="right" vertical="center"/>
    </xf>
    <xf numFmtId="164" fontId="50" fillId="2" borderId="0" xfId="1" applyNumberFormat="1" applyFont="1" applyFill="1" applyBorder="1" applyAlignment="1">
      <alignment horizontal="right" vertical="center"/>
    </xf>
    <xf numFmtId="1" fontId="3" fillId="2" borderId="0" xfId="0" applyNumberFormat="1" applyFont="1" applyFill="1" applyAlignment="1">
      <alignment horizontal="right" vertical="center"/>
    </xf>
    <xf numFmtId="166" fontId="0" fillId="2" borderId="0" xfId="1" applyNumberFormat="1" applyFont="1" applyFill="1" applyBorder="1" applyAlignment="1">
      <alignment vertical="center"/>
    </xf>
    <xf numFmtId="166" fontId="50" fillId="2" borderId="0" xfId="1" applyNumberFormat="1" applyFont="1" applyFill="1" applyBorder="1" applyAlignment="1">
      <alignment vertical="center"/>
    </xf>
    <xf numFmtId="165" fontId="3" fillId="10" borderId="0" xfId="2" applyNumberFormat="1" applyFont="1" applyFill="1" applyBorder="1" applyAlignment="1">
      <alignment vertical="center"/>
    </xf>
    <xf numFmtId="164" fontId="11" fillId="2" borderId="0" xfId="1" applyNumberFormat="1" applyFont="1" applyFill="1" applyBorder="1" applyAlignment="1">
      <alignment vertical="center"/>
    </xf>
    <xf numFmtId="164" fontId="0" fillId="2" borderId="0" xfId="1" applyNumberFormat="1" applyFont="1" applyFill="1" applyBorder="1" applyAlignment="1">
      <alignment horizontal="left" vertical="center"/>
    </xf>
    <xf numFmtId="164" fontId="0" fillId="2" borderId="20" xfId="1" applyNumberFormat="1" applyFont="1" applyFill="1" applyBorder="1" applyAlignment="1">
      <alignment vertical="center"/>
    </xf>
    <xf numFmtId="164" fontId="3" fillId="2" borderId="20" xfId="1" applyNumberFormat="1" applyFont="1" applyFill="1" applyBorder="1" applyAlignment="1">
      <alignment vertical="center"/>
    </xf>
    <xf numFmtId="9" fontId="9" fillId="2" borderId="20" xfId="2" applyFont="1" applyFill="1" applyBorder="1" applyAlignment="1">
      <alignment vertical="center"/>
    </xf>
    <xf numFmtId="9" fontId="47" fillId="2" borderId="20" xfId="2" applyFont="1" applyFill="1" applyBorder="1" applyAlignment="1">
      <alignment vertical="center"/>
    </xf>
    <xf numFmtId="0" fontId="47" fillId="2" borderId="20" xfId="0" applyFont="1" applyFill="1" applyBorder="1" applyAlignment="1">
      <alignment vertical="center"/>
    </xf>
    <xf numFmtId="165" fontId="9" fillId="2" borderId="20" xfId="2" applyNumberFormat="1" applyFont="1" applyFill="1" applyBorder="1" applyAlignment="1">
      <alignment vertical="center"/>
    </xf>
    <xf numFmtId="9" fontId="8" fillId="2" borderId="20" xfId="2" applyFont="1" applyFill="1" applyBorder="1" applyAlignment="1">
      <alignment vertical="center"/>
    </xf>
    <xf numFmtId="165" fontId="9" fillId="10" borderId="20" xfId="2" applyNumberFormat="1" applyFont="1" applyFill="1" applyBorder="1" applyAlignment="1">
      <alignment vertical="center"/>
    </xf>
    <xf numFmtId="164" fontId="3" fillId="2" borderId="20" xfId="0" applyNumberFormat="1" applyFont="1" applyFill="1" applyBorder="1" applyAlignment="1">
      <alignment vertical="center"/>
    </xf>
    <xf numFmtId="165" fontId="9" fillId="10" borderId="20" xfId="0" applyNumberFormat="1" applyFont="1" applyFill="1" applyBorder="1" applyAlignment="1">
      <alignment vertical="center"/>
    </xf>
    <xf numFmtId="0" fontId="9" fillId="2" borderId="20" xfId="0" applyFont="1" applyFill="1" applyBorder="1" applyAlignment="1">
      <alignment vertical="center"/>
    </xf>
    <xf numFmtId="165" fontId="8" fillId="2" borderId="20" xfId="2" applyNumberFormat="1" applyFont="1" applyFill="1" applyBorder="1" applyAlignment="1">
      <alignment vertical="center"/>
    </xf>
    <xf numFmtId="0" fontId="8" fillId="2" borderId="20" xfId="0" applyFont="1" applyFill="1" applyBorder="1" applyAlignment="1">
      <alignment vertical="center"/>
    </xf>
    <xf numFmtId="9" fontId="3" fillId="10" borderId="20" xfId="2" applyFont="1" applyFill="1" applyBorder="1" applyAlignment="1">
      <alignment vertical="center"/>
    </xf>
    <xf numFmtId="43" fontId="8" fillId="2" borderId="20" xfId="0" applyNumberFormat="1" applyFont="1" applyFill="1" applyBorder="1" applyAlignment="1">
      <alignment vertical="center"/>
    </xf>
    <xf numFmtId="3" fontId="3" fillId="2" borderId="20" xfId="0" applyNumberFormat="1" applyFont="1" applyFill="1" applyBorder="1" applyAlignment="1">
      <alignment vertical="center"/>
    </xf>
    <xf numFmtId="9" fontId="0" fillId="2" borderId="20" xfId="2" applyFont="1" applyFill="1" applyBorder="1" applyAlignment="1">
      <alignment vertical="center"/>
    </xf>
    <xf numFmtId="165" fontId="0" fillId="2" borderId="20" xfId="2" applyNumberFormat="1" applyFont="1" applyFill="1" applyBorder="1" applyAlignment="1">
      <alignment vertical="center"/>
    </xf>
    <xf numFmtId="0" fontId="3" fillId="2" borderId="20" xfId="0" applyFont="1" applyFill="1" applyBorder="1" applyAlignment="1">
      <alignment vertical="center"/>
    </xf>
    <xf numFmtId="165" fontId="13" fillId="10" borderId="20" xfId="2" applyNumberFormat="1" applyFont="1" applyFill="1" applyBorder="1" applyAlignment="1">
      <alignment vertical="center"/>
    </xf>
    <xf numFmtId="1" fontId="8" fillId="2" borderId="20" xfId="0" applyNumberFormat="1" applyFont="1" applyFill="1" applyBorder="1" applyAlignment="1">
      <alignment vertical="center"/>
    </xf>
    <xf numFmtId="9" fontId="3" fillId="2" borderId="20" xfId="2" applyFont="1" applyFill="1" applyBorder="1" applyAlignment="1">
      <alignment vertical="center"/>
    </xf>
    <xf numFmtId="165" fontId="11" fillId="10" borderId="20" xfId="2" applyNumberFormat="1" applyFont="1" applyFill="1" applyBorder="1" applyAlignment="1">
      <alignment vertical="center"/>
    </xf>
    <xf numFmtId="166" fontId="50" fillId="2" borderId="20" xfId="1" applyNumberFormat="1" applyFont="1" applyFill="1" applyBorder="1" applyAlignment="1">
      <alignment horizontal="right" vertical="center"/>
    </xf>
    <xf numFmtId="166" fontId="0" fillId="2" borderId="20" xfId="1" applyNumberFormat="1" applyFont="1" applyFill="1" applyBorder="1" applyAlignment="1">
      <alignment vertical="center"/>
    </xf>
    <xf numFmtId="166" fontId="50" fillId="2" borderId="20" xfId="1" applyNumberFormat="1" applyFont="1" applyFill="1" applyBorder="1" applyAlignment="1">
      <alignment vertical="center"/>
    </xf>
    <xf numFmtId="164" fontId="11" fillId="2" borderId="20" xfId="1" applyNumberFormat="1" applyFont="1" applyFill="1" applyBorder="1" applyAlignment="1">
      <alignment vertical="center"/>
    </xf>
    <xf numFmtId="165" fontId="13" fillId="2" borderId="20" xfId="2" applyNumberFormat="1" applyFont="1" applyFill="1" applyBorder="1" applyAlignment="1">
      <alignment vertical="center"/>
    </xf>
    <xf numFmtId="3" fontId="8" fillId="2" borderId="20" xfId="0" applyNumberFormat="1" applyFont="1" applyFill="1" applyBorder="1" applyAlignment="1">
      <alignment vertical="center"/>
    </xf>
    <xf numFmtId="165" fontId="11" fillId="2" borderId="20" xfId="2" applyNumberFormat="1" applyFont="1" applyFill="1" applyBorder="1" applyAlignment="1">
      <alignment vertical="center"/>
    </xf>
    <xf numFmtId="164" fontId="12" fillId="2" borderId="20" xfId="1" applyNumberFormat="1" applyFont="1" applyFill="1" applyBorder="1" applyAlignment="1">
      <alignment vertical="center"/>
    </xf>
    <xf numFmtId="164" fontId="74" fillId="2" borderId="20" xfId="0" applyNumberFormat="1" applyFont="1" applyFill="1" applyBorder="1" applyAlignment="1">
      <alignment vertical="center"/>
    </xf>
    <xf numFmtId="43" fontId="47" fillId="2" borderId="20" xfId="0" applyNumberFormat="1" applyFont="1" applyFill="1" applyBorder="1" applyAlignment="1">
      <alignment vertical="center"/>
    </xf>
    <xf numFmtId="1" fontId="3" fillId="2" borderId="20" xfId="0" applyNumberFormat="1" applyFont="1" applyFill="1" applyBorder="1" applyAlignment="1">
      <alignment vertical="center"/>
    </xf>
    <xf numFmtId="164" fontId="21" fillId="2" borderId="20" xfId="0" applyNumberFormat="1" applyFont="1" applyFill="1" applyBorder="1" applyAlignment="1">
      <alignment vertical="center"/>
    </xf>
    <xf numFmtId="9" fontId="0" fillId="10" borderId="20" xfId="2" applyFont="1" applyFill="1" applyBorder="1" applyAlignment="1">
      <alignment vertical="center"/>
    </xf>
    <xf numFmtId="164" fontId="0" fillId="10" borderId="20" xfId="1" applyNumberFormat="1" applyFont="1" applyFill="1" applyBorder="1" applyAlignment="1">
      <alignment vertical="center"/>
    </xf>
    <xf numFmtId="43" fontId="9" fillId="2" borderId="20" xfId="1" applyFont="1" applyFill="1" applyBorder="1" applyAlignment="1">
      <alignment vertical="center"/>
    </xf>
    <xf numFmtId="0" fontId="9" fillId="6" borderId="20" xfId="0" applyFont="1" applyFill="1" applyBorder="1" applyAlignment="1">
      <alignment vertical="center"/>
    </xf>
    <xf numFmtId="0" fontId="8" fillId="6" borderId="20" xfId="0" applyFont="1" applyFill="1" applyBorder="1" applyAlignment="1">
      <alignment vertical="center"/>
    </xf>
    <xf numFmtId="168" fontId="0" fillId="2" borderId="20" xfId="2" applyNumberFormat="1" applyFont="1" applyFill="1" applyBorder="1" applyAlignment="1">
      <alignment vertical="center"/>
    </xf>
    <xf numFmtId="168" fontId="0" fillId="2" borderId="20" xfId="1" applyNumberFormat="1" applyFont="1" applyFill="1" applyBorder="1" applyAlignment="1">
      <alignment vertical="center"/>
    </xf>
    <xf numFmtId="4" fontId="0" fillId="2" borderId="20" xfId="2" applyNumberFormat="1" applyFont="1" applyFill="1" applyBorder="1" applyAlignment="1">
      <alignment vertical="center"/>
    </xf>
    <xf numFmtId="43" fontId="0" fillId="2" borderId="20" xfId="1" applyFont="1" applyFill="1" applyBorder="1" applyAlignment="1">
      <alignment vertical="center"/>
    </xf>
    <xf numFmtId="165" fontId="0" fillId="10" borderId="0" xfId="2" applyNumberFormat="1" applyFont="1" applyFill="1" applyAlignment="1">
      <alignment vertical="center"/>
    </xf>
    <xf numFmtId="164" fontId="47" fillId="2" borderId="0" xfId="1" applyNumberFormat="1" applyFont="1" applyFill="1" applyAlignment="1">
      <alignment vertical="center"/>
    </xf>
    <xf numFmtId="164" fontId="9" fillId="2" borderId="0" xfId="1" applyNumberFormat="1" applyFont="1" applyFill="1" applyAlignment="1">
      <alignment vertical="center"/>
    </xf>
    <xf numFmtId="164" fontId="3" fillId="10" borderId="0" xfId="1" applyNumberFormat="1" applyFont="1" applyFill="1" applyBorder="1" applyAlignment="1">
      <alignment vertical="center"/>
    </xf>
    <xf numFmtId="164" fontId="0" fillId="10" borderId="0" xfId="1" applyNumberFormat="1" applyFont="1" applyFill="1" applyBorder="1" applyAlignment="1">
      <alignment vertical="center"/>
    </xf>
    <xf numFmtId="167" fontId="50" fillId="4" borderId="0" xfId="0" applyNumberFormat="1" applyFont="1" applyFill="1" applyAlignment="1">
      <alignment horizontal="left" vertical="center" indent="2"/>
    </xf>
    <xf numFmtId="167" fontId="51" fillId="4" borderId="0" xfId="0" applyNumberFormat="1" applyFont="1" applyFill="1" applyAlignment="1">
      <alignment horizontal="left" vertical="center"/>
    </xf>
    <xf numFmtId="167" fontId="50" fillId="4" borderId="0" xfId="1" applyNumberFormat="1" applyFont="1" applyFill="1" applyBorder="1" applyAlignment="1">
      <alignment vertical="center"/>
    </xf>
    <xf numFmtId="167" fontId="17" fillId="4" borderId="0" xfId="1" applyNumberFormat="1" applyFont="1" applyFill="1" applyBorder="1" applyAlignment="1">
      <alignment vertical="center"/>
    </xf>
    <xf numFmtId="167" fontId="17" fillId="4" borderId="20" xfId="1" applyNumberFormat="1" applyFont="1" applyFill="1" applyBorder="1" applyAlignment="1">
      <alignment vertical="center"/>
    </xf>
    <xf numFmtId="167" fontId="17" fillId="2" borderId="0" xfId="1" applyNumberFormat="1" applyFont="1" applyFill="1" applyBorder="1" applyAlignment="1">
      <alignment vertical="center"/>
    </xf>
    <xf numFmtId="167" fontId="3" fillId="2" borderId="0" xfId="0" applyNumberFormat="1" applyFont="1" applyFill="1" applyAlignment="1">
      <alignment vertical="center"/>
    </xf>
    <xf numFmtId="167" fontId="50" fillId="4" borderId="20" xfId="1" applyNumberFormat="1" applyFont="1" applyFill="1" applyBorder="1" applyAlignment="1">
      <alignment vertical="center"/>
    </xf>
    <xf numFmtId="167" fontId="50" fillId="4" borderId="0" xfId="2" applyNumberFormat="1" applyFont="1" applyFill="1" applyBorder="1" applyAlignment="1">
      <alignment vertical="center"/>
    </xf>
    <xf numFmtId="167" fontId="8" fillId="2" borderId="0" xfId="0" applyNumberFormat="1" applyFont="1" applyFill="1" applyAlignment="1">
      <alignment vertical="center"/>
    </xf>
    <xf numFmtId="167" fontId="8" fillId="2" borderId="20" xfId="0" applyNumberFormat="1" applyFont="1" applyFill="1" applyBorder="1" applyAlignment="1">
      <alignment vertical="center"/>
    </xf>
    <xf numFmtId="167" fontId="8" fillId="2" borderId="0" xfId="1" applyNumberFormat="1" applyFont="1" applyFill="1" applyBorder="1" applyAlignment="1">
      <alignment vertical="center"/>
    </xf>
    <xf numFmtId="167" fontId="8" fillId="2" borderId="20" xfId="1" applyNumberFormat="1" applyFont="1" applyFill="1" applyBorder="1" applyAlignment="1">
      <alignment vertical="center"/>
    </xf>
    <xf numFmtId="164" fontId="0" fillId="2" borderId="0" xfId="0" applyNumberFormat="1" applyFill="1" applyAlignment="1">
      <alignment horizontal="right" vertical="center"/>
    </xf>
    <xf numFmtId="0" fontId="50" fillId="2" borderId="0" xfId="0" applyFont="1" applyFill="1" applyAlignment="1">
      <alignment horizontal="right" vertical="center"/>
    </xf>
    <xf numFmtId="0" fontId="50" fillId="2" borderId="0" xfId="0" applyFont="1" applyFill="1" applyAlignment="1">
      <alignment horizontal="left"/>
    </xf>
    <xf numFmtId="164" fontId="50" fillId="2" borderId="0" xfId="0" applyNumberFormat="1" applyFont="1" applyFill="1" applyAlignment="1">
      <alignment horizontal="right"/>
    </xf>
    <xf numFmtId="9" fontId="0" fillId="2" borderId="0" xfId="2" applyFont="1" applyFill="1" applyAlignment="1">
      <alignment horizontal="right" vertical="center"/>
    </xf>
    <xf numFmtId="9" fontId="50" fillId="2" borderId="0" xfId="2" applyFont="1" applyFill="1" applyAlignment="1">
      <alignment horizontal="right"/>
    </xf>
    <xf numFmtId="9" fontId="42" fillId="2" borderId="0" xfId="0" applyNumberFormat="1" applyFont="1" applyFill="1" applyAlignment="1">
      <alignment wrapText="1"/>
    </xf>
    <xf numFmtId="164" fontId="3" fillId="2" borderId="8" xfId="0" applyNumberFormat="1" applyFont="1" applyFill="1" applyBorder="1" applyAlignment="1">
      <alignment horizontal="center" vertical="center" wrapText="1"/>
    </xf>
    <xf numFmtId="9" fontId="3" fillId="2" borderId="8" xfId="2" applyFont="1" applyFill="1" applyBorder="1" applyAlignment="1">
      <alignment horizontal="center" vertical="center" wrapText="1"/>
    </xf>
    <xf numFmtId="0" fontId="45" fillId="2" borderId="14" xfId="0" applyFont="1" applyFill="1" applyBorder="1" applyAlignment="1">
      <alignment horizontal="left" vertical="center" wrapText="1"/>
    </xf>
    <xf numFmtId="0" fontId="45" fillId="2" borderId="0" xfId="0" applyFont="1" applyFill="1" applyAlignment="1">
      <alignment horizontal="left" vertical="center" wrapText="1"/>
    </xf>
    <xf numFmtId="10" fontId="40" fillId="2" borderId="0" xfId="0" applyNumberFormat="1" applyFont="1" applyFill="1" applyAlignment="1">
      <alignment vertical="center" wrapText="1"/>
    </xf>
    <xf numFmtId="0" fontId="3" fillId="2" borderId="13" xfId="0" applyFont="1" applyFill="1" applyBorder="1" applyAlignment="1">
      <alignment horizontal="left" vertical="center" wrapText="1"/>
    </xf>
    <xf numFmtId="164" fontId="0" fillId="2" borderId="0" xfId="1" applyNumberFormat="1" applyFont="1" applyFill="1" applyAlignment="1">
      <alignment horizontal="right" vertical="center" wrapText="1"/>
    </xf>
    <xf numFmtId="166" fontId="0" fillId="2" borderId="0" xfId="1" applyNumberFormat="1" applyFont="1" applyFill="1" applyAlignment="1">
      <alignment horizontal="right" vertical="center" wrapText="1"/>
    </xf>
    <xf numFmtId="0" fontId="3" fillId="2" borderId="8" xfId="0" applyFont="1" applyFill="1" applyBorder="1" applyAlignment="1">
      <alignment horizontal="left" vertical="center" wrapText="1"/>
    </xf>
    <xf numFmtId="0" fontId="3" fillId="2" borderId="13" xfId="0" applyFont="1" applyFill="1" applyBorder="1" applyAlignment="1">
      <alignment horizontal="left" vertical="center" wrapText="1" indent="4"/>
    </xf>
    <xf numFmtId="0" fontId="3" fillId="2" borderId="0" xfId="0" applyFont="1" applyFill="1" applyAlignment="1">
      <alignment horizontal="left" vertical="center" wrapText="1"/>
    </xf>
    <xf numFmtId="0" fontId="3" fillId="2" borderId="12" xfId="0" applyFont="1" applyFill="1" applyBorder="1" applyAlignment="1">
      <alignment horizontal="left" vertical="center" wrapText="1" indent="4"/>
    </xf>
    <xf numFmtId="164" fontId="45" fillId="2" borderId="0" xfId="0" applyNumberFormat="1" applyFont="1" applyFill="1" applyAlignment="1">
      <alignment horizontal="right" vertical="center" wrapText="1"/>
    </xf>
    <xf numFmtId="9" fontId="45" fillId="2" borderId="0" xfId="2" applyFont="1" applyFill="1" applyBorder="1" applyAlignment="1">
      <alignment horizontal="right" vertical="center" wrapText="1"/>
    </xf>
    <xf numFmtId="9" fontId="45" fillId="2" borderId="0" xfId="2" applyFont="1" applyFill="1" applyAlignment="1">
      <alignment horizontal="right" vertical="center" wrapText="1"/>
    </xf>
    <xf numFmtId="164" fontId="3" fillId="2" borderId="28" xfId="0" applyNumberFormat="1" applyFont="1" applyFill="1" applyBorder="1" applyAlignment="1">
      <alignment horizontal="right" vertical="center" wrapText="1"/>
    </xf>
    <xf numFmtId="164" fontId="45" fillId="2" borderId="28" xfId="0" applyNumberFormat="1" applyFont="1" applyFill="1" applyBorder="1" applyAlignment="1">
      <alignment horizontal="right" vertical="center" wrapText="1"/>
    </xf>
    <xf numFmtId="10" fontId="0" fillId="2" borderId="0" xfId="1" applyNumberFormat="1" applyFont="1" applyFill="1" applyBorder="1" applyAlignment="1">
      <alignment vertical="center"/>
    </xf>
    <xf numFmtId="164" fontId="8" fillId="2" borderId="0" xfId="1" applyNumberFormat="1" applyFont="1" applyFill="1" applyAlignment="1">
      <alignment horizontal="left" vertical="center"/>
    </xf>
    <xf numFmtId="10" fontId="8" fillId="2" borderId="0" xfId="1" applyNumberFormat="1" applyFont="1" applyFill="1" applyBorder="1" applyAlignment="1">
      <alignment vertical="center"/>
    </xf>
    <xf numFmtId="9" fontId="56" fillId="2" borderId="0" xfId="2" applyFont="1" applyFill="1" applyAlignment="1">
      <alignment vertical="center"/>
    </xf>
    <xf numFmtId="165" fontId="17" fillId="2" borderId="0" xfId="2" applyNumberFormat="1" applyFont="1" applyFill="1" applyAlignment="1">
      <alignment horizontal="right"/>
    </xf>
    <xf numFmtId="0" fontId="8" fillId="2" borderId="0" xfId="0" applyFont="1" applyFill="1" applyAlignment="1">
      <alignment vertical="center" wrapText="1"/>
    </xf>
    <xf numFmtId="0" fontId="53" fillId="2" borderId="0" xfId="0" applyFont="1" applyFill="1" applyAlignment="1">
      <alignment horizontal="left" vertical="center"/>
    </xf>
    <xf numFmtId="9" fontId="53" fillId="2" borderId="1" xfId="2" applyFont="1" applyFill="1" applyBorder="1" applyAlignment="1">
      <alignment vertical="center"/>
    </xf>
    <xf numFmtId="9" fontId="53" fillId="2" borderId="0" xfId="2" applyFont="1" applyFill="1" applyBorder="1" applyAlignment="1">
      <alignment vertical="center"/>
    </xf>
    <xf numFmtId="0" fontId="53" fillId="2" borderId="0" xfId="0" applyFont="1" applyFill="1" applyAlignment="1">
      <alignment horizontal="center" vertical="center"/>
    </xf>
    <xf numFmtId="165" fontId="50" fillId="2" borderId="0" xfId="2" applyNumberFormat="1" applyFont="1" applyFill="1" applyAlignment="1">
      <alignment horizontal="right"/>
    </xf>
    <xf numFmtId="0" fontId="53" fillId="2" borderId="0" xfId="0" applyFont="1" applyFill="1" applyAlignment="1">
      <alignment vertical="center"/>
    </xf>
    <xf numFmtId="9" fontId="3" fillId="2" borderId="1" xfId="2" applyFont="1" applyFill="1" applyBorder="1" applyAlignment="1">
      <alignment vertical="center"/>
    </xf>
    <xf numFmtId="9" fontId="50" fillId="2" borderId="0" xfId="2" applyFont="1" applyFill="1" applyBorder="1" applyAlignment="1">
      <alignment vertical="center"/>
    </xf>
    <xf numFmtId="0" fontId="53" fillId="2" borderId="1" xfId="0" applyFont="1" applyFill="1" applyBorder="1" applyAlignment="1">
      <alignment vertical="center"/>
    </xf>
    <xf numFmtId="164" fontId="53" fillId="2" borderId="0" xfId="1" applyNumberFormat="1" applyFont="1" applyFill="1" applyAlignment="1">
      <alignment vertical="center"/>
    </xf>
    <xf numFmtId="164" fontId="56" fillId="2" borderId="0" xfId="0" quotePrefix="1" applyNumberFormat="1" applyFont="1" applyFill="1" applyAlignment="1">
      <alignment vertical="center"/>
    </xf>
    <xf numFmtId="0" fontId="17" fillId="2" borderId="0" xfId="0" applyFont="1" applyFill="1" applyAlignment="1">
      <alignment horizontal="left" indent="4"/>
    </xf>
    <xf numFmtId="165" fontId="0" fillId="2" borderId="20" xfId="2" applyNumberFormat="1" applyFont="1" applyFill="1" applyBorder="1"/>
    <xf numFmtId="43" fontId="56" fillId="2" borderId="0" xfId="1" applyFont="1" applyFill="1" applyAlignment="1">
      <alignment horizontal="left" vertical="center" indent="2"/>
    </xf>
    <xf numFmtId="0" fontId="56" fillId="2" borderId="0" xfId="0" applyFont="1" applyFill="1" applyAlignment="1">
      <alignment horizontal="left" vertical="center"/>
    </xf>
    <xf numFmtId="164" fontId="56" fillId="2" borderId="0" xfId="1" applyNumberFormat="1" applyFont="1" applyFill="1" applyAlignment="1">
      <alignment vertical="center"/>
    </xf>
    <xf numFmtId="164" fontId="56" fillId="2" borderId="0" xfId="1" applyNumberFormat="1" applyFont="1" applyFill="1" applyBorder="1" applyAlignment="1">
      <alignment vertical="center"/>
    </xf>
    <xf numFmtId="164" fontId="56" fillId="2" borderId="20" xfId="1" applyNumberFormat="1" applyFont="1" applyFill="1" applyBorder="1" applyAlignment="1">
      <alignment vertical="center"/>
    </xf>
    <xf numFmtId="164" fontId="55" fillId="2" borderId="0" xfId="1" applyNumberFormat="1" applyFont="1" applyFill="1" applyBorder="1" applyAlignment="1">
      <alignment vertical="center"/>
    </xf>
    <xf numFmtId="0" fontId="56" fillId="2" borderId="0" xfId="0" applyFont="1" applyFill="1" applyAlignment="1">
      <alignment vertical="center"/>
    </xf>
    <xf numFmtId="164" fontId="56" fillId="2" borderId="1" xfId="0" applyNumberFormat="1" applyFont="1" applyFill="1" applyBorder="1" applyAlignment="1">
      <alignment vertical="center"/>
    </xf>
    <xf numFmtId="164" fontId="56" fillId="2" borderId="0" xfId="0" applyNumberFormat="1" applyFont="1" applyFill="1" applyAlignment="1">
      <alignment vertical="center"/>
    </xf>
    <xf numFmtId="164" fontId="3" fillId="10" borderId="0" xfId="1" applyNumberFormat="1" applyFont="1" applyFill="1" applyAlignment="1">
      <alignment vertical="center"/>
    </xf>
    <xf numFmtId="10" fontId="45" fillId="2" borderId="14" xfId="0" applyNumberFormat="1" applyFont="1" applyFill="1" applyBorder="1" applyAlignment="1">
      <alignment wrapText="1"/>
    </xf>
    <xf numFmtId="10" fontId="0" fillId="2" borderId="0" xfId="0" applyNumberFormat="1" applyFill="1" applyAlignment="1">
      <alignment horizontal="right" vertical="center"/>
    </xf>
    <xf numFmtId="0" fontId="45" fillId="2" borderId="14" xfId="0" applyFont="1" applyFill="1" applyBorder="1" applyAlignment="1">
      <alignment horizontal="right" wrapText="1"/>
    </xf>
    <xf numFmtId="0" fontId="14" fillId="3" borderId="0" xfId="0" applyFont="1" applyFill="1" applyAlignment="1">
      <alignment vertical="center"/>
    </xf>
    <xf numFmtId="165" fontId="14" fillId="3" borderId="0" xfId="0" applyNumberFormat="1" applyFont="1" applyFill="1" applyAlignment="1">
      <alignment vertical="center"/>
    </xf>
    <xf numFmtId="165" fontId="3" fillId="4" borderId="0" xfId="0" applyNumberFormat="1" applyFont="1" applyFill="1" applyAlignment="1">
      <alignment vertical="center"/>
    </xf>
    <xf numFmtId="0" fontId="47" fillId="3" borderId="0" xfId="0" applyFont="1" applyFill="1" applyAlignment="1">
      <alignment horizontal="center" vertical="center"/>
    </xf>
    <xf numFmtId="170" fontId="0" fillId="2" borderId="0" xfId="1" applyNumberFormat="1" applyFont="1" applyFill="1" applyAlignment="1">
      <alignment vertical="center"/>
    </xf>
    <xf numFmtId="0" fontId="3" fillId="4" borderId="0" xfId="0" applyFont="1" applyFill="1" applyAlignment="1">
      <alignment horizontal="center" vertical="center"/>
    </xf>
    <xf numFmtId="0" fontId="47" fillId="3" borderId="0" xfId="0" applyFont="1" applyFill="1" applyAlignment="1">
      <alignment horizontal="left" vertical="center"/>
    </xf>
    <xf numFmtId="164" fontId="3" fillId="2" borderId="0" xfId="0" applyNumberFormat="1" applyFont="1" applyFill="1" applyAlignment="1">
      <alignment horizontal="right" vertical="center"/>
    </xf>
    <xf numFmtId="165" fontId="14" fillId="3" borderId="0" xfId="0" applyNumberFormat="1" applyFont="1" applyFill="1" applyAlignment="1">
      <alignment horizontal="right" vertical="center"/>
    </xf>
    <xf numFmtId="165" fontId="3" fillId="2" borderId="0" xfId="0" applyNumberFormat="1" applyFont="1" applyFill="1" applyAlignment="1">
      <alignment horizontal="right" vertical="center"/>
    </xf>
    <xf numFmtId="9" fontId="43" fillId="4" borderId="0" xfId="0" applyNumberFormat="1" applyFont="1" applyFill="1" applyAlignment="1">
      <alignment wrapText="1"/>
    </xf>
    <xf numFmtId="165" fontId="21" fillId="2" borderId="0" xfId="2" applyNumberFormat="1" applyFont="1" applyFill="1" applyAlignment="1">
      <alignment vertical="center"/>
    </xf>
    <xf numFmtId="0" fontId="56" fillId="0" borderId="0" xfId="0" applyFont="1" applyAlignment="1">
      <alignment horizontal="left" indent="1"/>
    </xf>
    <xf numFmtId="164" fontId="56" fillId="0" borderId="0" xfId="1" applyNumberFormat="1" applyFont="1" applyFill="1"/>
    <xf numFmtId="9" fontId="0" fillId="2" borderId="0" xfId="1" applyNumberFormat="1" applyFont="1" applyFill="1"/>
    <xf numFmtId="165" fontId="0" fillId="2" borderId="0" xfId="0" applyNumberFormat="1" applyFill="1" applyAlignment="1">
      <alignment horizontal="center" vertical="center"/>
    </xf>
    <xf numFmtId="164" fontId="0" fillId="0" borderId="0" xfId="0" applyNumberFormat="1" applyAlignment="1">
      <alignment horizontal="right" vertical="center"/>
    </xf>
    <xf numFmtId="10" fontId="0" fillId="2" borderId="0" xfId="0" applyNumberFormat="1" applyFill="1" applyAlignment="1">
      <alignment horizontal="center" vertical="center"/>
    </xf>
    <xf numFmtId="10" fontId="3" fillId="2" borderId="0" xfId="0" applyNumberFormat="1" applyFont="1" applyFill="1" applyAlignment="1">
      <alignment horizontal="center" vertical="center"/>
    </xf>
    <xf numFmtId="10" fontId="3" fillId="2" borderId="0" xfId="2" applyNumberFormat="1" applyFont="1" applyFill="1" applyAlignment="1">
      <alignment vertical="center"/>
    </xf>
    <xf numFmtId="165" fontId="3" fillId="2" borderId="0" xfId="0" applyNumberFormat="1" applyFont="1" applyFill="1" applyAlignment="1">
      <alignment vertical="center"/>
    </xf>
    <xf numFmtId="165" fontId="3" fillId="2" borderId="0" xfId="0" applyNumberFormat="1" applyFont="1" applyFill="1" applyAlignment="1">
      <alignment horizontal="center" vertical="center"/>
    </xf>
    <xf numFmtId="10" fontId="3" fillId="2" borderId="0" xfId="0" applyNumberFormat="1" applyFont="1" applyFill="1" applyAlignment="1">
      <alignment horizontal="right" vertical="center"/>
    </xf>
    <xf numFmtId="10" fontId="15" fillId="2" borderId="0" xfId="0" applyNumberFormat="1" applyFont="1" applyFill="1" applyAlignment="1">
      <alignment horizontal="right" vertical="center"/>
    </xf>
    <xf numFmtId="10" fontId="8" fillId="2" borderId="0" xfId="0" applyNumberFormat="1" applyFont="1" applyFill="1" applyAlignment="1">
      <alignment horizontal="right" vertical="center"/>
    </xf>
    <xf numFmtId="10" fontId="8" fillId="2" borderId="0" xfId="0" applyNumberFormat="1" applyFont="1" applyFill="1" applyAlignment="1">
      <alignment vertical="center"/>
    </xf>
    <xf numFmtId="164" fontId="3" fillId="2" borderId="0" xfId="0" applyNumberFormat="1" applyFont="1" applyFill="1" applyAlignment="1">
      <alignment horizontal="left" vertical="center"/>
    </xf>
    <xf numFmtId="10" fontId="3" fillId="2" borderId="0" xfId="0" applyNumberFormat="1" applyFont="1" applyFill="1" applyAlignment="1">
      <alignment horizontal="left" vertical="center"/>
    </xf>
    <xf numFmtId="0" fontId="47" fillId="0" borderId="0" xfId="0" applyFont="1"/>
    <xf numFmtId="164" fontId="14" fillId="0" borderId="0" xfId="1" applyNumberFormat="1" applyFont="1" applyBorder="1"/>
    <xf numFmtId="164" fontId="47" fillId="0" borderId="0" xfId="1" applyNumberFormat="1" applyFont="1" applyBorder="1"/>
    <xf numFmtId="164" fontId="14" fillId="2" borderId="0" xfId="1" applyNumberFormat="1" applyFont="1" applyFill="1" applyBorder="1" applyAlignment="1">
      <alignment vertical="center"/>
    </xf>
    <xf numFmtId="165" fontId="74" fillId="2" borderId="0" xfId="2" applyNumberFormat="1" applyFont="1" applyFill="1" applyBorder="1" applyAlignment="1">
      <alignment vertical="center"/>
    </xf>
    <xf numFmtId="165" fontId="47" fillId="0" borderId="0" xfId="0" applyNumberFormat="1" applyFont="1"/>
    <xf numFmtId="165" fontId="47" fillId="0" borderId="0" xfId="2" applyNumberFormat="1" applyFont="1" applyBorder="1"/>
    <xf numFmtId="164" fontId="14" fillId="2" borderId="0" xfId="0" applyNumberFormat="1" applyFont="1" applyFill="1" applyAlignment="1">
      <alignment horizontal="left" vertical="center"/>
    </xf>
    <xf numFmtId="164" fontId="47" fillId="2" borderId="0" xfId="0" applyNumberFormat="1" applyFont="1" applyFill="1" applyAlignment="1">
      <alignment horizontal="left" vertical="center"/>
    </xf>
    <xf numFmtId="165" fontId="47" fillId="2" borderId="0" xfId="0" applyNumberFormat="1" applyFont="1" applyFill="1" applyAlignment="1">
      <alignment horizontal="left" vertical="center"/>
    </xf>
    <xf numFmtId="165" fontId="74" fillId="2" borderId="0" xfId="2" applyNumberFormat="1" applyFont="1" applyFill="1" applyAlignment="1">
      <alignment vertical="center"/>
    </xf>
    <xf numFmtId="164" fontId="47" fillId="0" borderId="0" xfId="1" applyNumberFormat="1" applyFont="1"/>
    <xf numFmtId="43" fontId="47" fillId="2" borderId="0" xfId="0" applyNumberFormat="1" applyFont="1" applyFill="1" applyAlignment="1">
      <alignment horizontal="left" vertical="center"/>
    </xf>
    <xf numFmtId="10" fontId="47" fillId="2" borderId="0" xfId="0" applyNumberFormat="1" applyFont="1" applyFill="1" applyAlignment="1">
      <alignment horizontal="left" vertical="center"/>
    </xf>
    <xf numFmtId="165" fontId="47" fillId="2" borderId="0" xfId="0" applyNumberFormat="1" applyFont="1" applyFill="1" applyAlignment="1">
      <alignment horizontal="right" vertical="center"/>
    </xf>
    <xf numFmtId="165" fontId="47" fillId="0" borderId="0" xfId="2" applyNumberFormat="1" applyFont="1" applyAlignment="1">
      <alignment horizontal="right"/>
    </xf>
    <xf numFmtId="165" fontId="8" fillId="2" borderId="0" xfId="2" applyNumberFormat="1" applyFont="1" applyFill="1" applyAlignment="1">
      <alignment horizontal="left" vertical="center"/>
    </xf>
    <xf numFmtId="165" fontId="53" fillId="10" borderId="0" xfId="0" applyNumberFormat="1" applyFont="1" applyFill="1"/>
    <xf numFmtId="165" fontId="17" fillId="10" borderId="0" xfId="0" applyNumberFormat="1" applyFont="1" applyFill="1" applyAlignment="1">
      <alignment vertical="center"/>
    </xf>
    <xf numFmtId="0" fontId="0" fillId="4" borderId="0" xfId="0" applyFill="1" applyAlignment="1">
      <alignment horizontal="center" vertical="center"/>
    </xf>
    <xf numFmtId="0" fontId="10" fillId="4" borderId="0" xfId="0" applyFont="1" applyFill="1" applyAlignment="1">
      <alignment horizontal="left" vertical="center"/>
    </xf>
    <xf numFmtId="10" fontId="3" fillId="4" borderId="0" xfId="0" applyNumberFormat="1" applyFont="1" applyFill="1" applyAlignment="1">
      <alignment horizontal="right" vertical="center"/>
    </xf>
    <xf numFmtId="165" fontId="3" fillId="4" borderId="0" xfId="0" applyNumberFormat="1" applyFont="1" applyFill="1" applyAlignment="1">
      <alignment horizontal="center" vertical="center"/>
    </xf>
    <xf numFmtId="10" fontId="3" fillId="4" borderId="0" xfId="0" applyNumberFormat="1" applyFont="1" applyFill="1" applyAlignment="1">
      <alignment horizontal="center" vertical="center"/>
    </xf>
    <xf numFmtId="9" fontId="3" fillId="4" borderId="0" xfId="0" applyNumberFormat="1" applyFont="1" applyFill="1" applyAlignment="1">
      <alignment horizontal="center" vertical="center"/>
    </xf>
    <xf numFmtId="165" fontId="3" fillId="4" borderId="0" xfId="2" applyNumberFormat="1" applyFont="1" applyFill="1" applyAlignment="1">
      <alignment horizontal="right"/>
    </xf>
    <xf numFmtId="10" fontId="0" fillId="2" borderId="0" xfId="0" applyNumberFormat="1" applyFill="1" applyAlignment="1">
      <alignment horizontal="right"/>
    </xf>
    <xf numFmtId="10" fontId="0" fillId="2" borderId="0" xfId="2" applyNumberFormat="1" applyFont="1" applyFill="1" applyAlignment="1">
      <alignment horizontal="right" vertical="center"/>
    </xf>
    <xf numFmtId="0" fontId="14" fillId="2" borderId="0" xfId="0" applyFont="1" applyFill="1" applyAlignment="1">
      <alignment horizontal="left" vertical="center" wrapText="1"/>
    </xf>
    <xf numFmtId="164" fontId="14" fillId="2" borderId="0" xfId="1" applyNumberFormat="1" applyFont="1" applyFill="1" applyBorder="1" applyAlignment="1">
      <alignment horizontal="right" vertical="center" wrapText="1"/>
    </xf>
    <xf numFmtId="166" fontId="14" fillId="2" borderId="0" xfId="1" applyNumberFormat="1" applyFont="1" applyFill="1" applyBorder="1" applyAlignment="1">
      <alignment horizontal="right" vertical="center" wrapText="1"/>
    </xf>
    <xf numFmtId="0" fontId="69" fillId="4" borderId="0" xfId="0" applyFont="1" applyFill="1" applyAlignment="1">
      <alignment vertical="center"/>
    </xf>
    <xf numFmtId="0" fontId="70" fillId="4" borderId="0" xfId="0" applyFont="1" applyFill="1" applyAlignment="1">
      <alignment horizontal="right" vertical="center"/>
    </xf>
    <xf numFmtId="43" fontId="14" fillId="7" borderId="0" xfId="1" applyFont="1" applyFill="1" applyBorder="1" applyAlignment="1">
      <alignment vertical="center"/>
    </xf>
    <xf numFmtId="164" fontId="14" fillId="7" borderId="20" xfId="1" applyNumberFormat="1" applyFont="1" applyFill="1" applyBorder="1" applyAlignment="1">
      <alignment vertical="center"/>
    </xf>
    <xf numFmtId="164" fontId="8" fillId="2" borderId="20" xfId="1" applyNumberFormat="1" applyFont="1" applyFill="1" applyBorder="1" applyAlignment="1">
      <alignment vertical="center"/>
    </xf>
    <xf numFmtId="164" fontId="50" fillId="2" borderId="20" xfId="1" applyNumberFormat="1" applyFont="1" applyFill="1" applyBorder="1" applyAlignment="1">
      <alignment vertical="center"/>
    </xf>
    <xf numFmtId="9" fontId="53" fillId="2" borderId="20" xfId="2" applyFont="1" applyFill="1" applyBorder="1" applyAlignment="1">
      <alignment vertical="center"/>
    </xf>
    <xf numFmtId="0" fontId="53" fillId="2" borderId="20" xfId="0" applyFont="1" applyFill="1" applyBorder="1" applyAlignment="1">
      <alignment vertical="center"/>
    </xf>
    <xf numFmtId="9" fontId="50" fillId="2" borderId="20" xfId="2" applyFont="1" applyFill="1" applyBorder="1" applyAlignment="1">
      <alignment vertical="center"/>
    </xf>
    <xf numFmtId="9" fontId="73" fillId="2" borderId="20" xfId="2" applyFont="1" applyFill="1" applyBorder="1" applyAlignment="1">
      <alignment vertical="center"/>
    </xf>
    <xf numFmtId="9" fontId="17" fillId="4" borderId="20" xfId="2" applyFont="1" applyFill="1" applyBorder="1" applyAlignment="1">
      <alignment vertical="center"/>
    </xf>
    <xf numFmtId="9" fontId="17" fillId="2" borderId="20" xfId="2" applyFont="1" applyFill="1" applyBorder="1" applyAlignment="1">
      <alignment vertical="center"/>
    </xf>
    <xf numFmtId="164" fontId="3" fillId="4" borderId="20" xfId="2" applyNumberFormat="1" applyFont="1" applyFill="1" applyBorder="1" applyAlignment="1">
      <alignment vertical="center"/>
    </xf>
    <xf numFmtId="164" fontId="3" fillId="4" borderId="20" xfId="1" applyNumberFormat="1" applyFont="1" applyFill="1" applyBorder="1" applyAlignment="1">
      <alignment horizontal="left" vertical="center"/>
    </xf>
    <xf numFmtId="164" fontId="3" fillId="4" borderId="20" xfId="1" applyNumberFormat="1" applyFont="1" applyFill="1" applyBorder="1" applyAlignment="1">
      <alignment vertical="center"/>
    </xf>
    <xf numFmtId="164" fontId="0" fillId="0" borderId="20" xfId="1" applyNumberFormat="1" applyFont="1" applyBorder="1"/>
    <xf numFmtId="9" fontId="0" fillId="4" borderId="20" xfId="2" applyFont="1" applyFill="1" applyBorder="1"/>
    <xf numFmtId="9" fontId="0" fillId="0" borderId="20" xfId="2" applyFont="1" applyBorder="1"/>
    <xf numFmtId="165" fontId="17" fillId="4" borderId="0" xfId="2" applyNumberFormat="1" applyFont="1" applyFill="1" applyAlignment="1">
      <alignment vertical="center"/>
    </xf>
    <xf numFmtId="165" fontId="8" fillId="2" borderId="20" xfId="0" applyNumberFormat="1" applyFont="1" applyFill="1" applyBorder="1" applyAlignment="1">
      <alignment vertical="center"/>
    </xf>
    <xf numFmtId="9" fontId="8" fillId="0" borderId="20" xfId="2" applyFont="1" applyBorder="1" applyAlignment="1">
      <alignment horizontal="right" vertical="center"/>
    </xf>
    <xf numFmtId="164" fontId="3" fillId="0" borderId="20" xfId="1" applyNumberFormat="1" applyFont="1" applyBorder="1"/>
    <xf numFmtId="165" fontId="53" fillId="10" borderId="20" xfId="0" applyNumberFormat="1" applyFont="1" applyFill="1" applyBorder="1"/>
    <xf numFmtId="0" fontId="3" fillId="0" borderId="20" xfId="0" applyFont="1" applyBorder="1"/>
    <xf numFmtId="165" fontId="0" fillId="0" borderId="20" xfId="2" applyNumberFormat="1" applyFont="1" applyBorder="1"/>
    <xf numFmtId="164" fontId="3" fillId="2" borderId="20" xfId="0" applyNumberFormat="1" applyFont="1" applyFill="1" applyBorder="1" applyAlignment="1">
      <alignment horizontal="left" vertical="center"/>
    </xf>
    <xf numFmtId="9" fontId="8" fillId="2" borderId="0" xfId="0" applyNumberFormat="1" applyFont="1" applyFill="1" applyAlignment="1">
      <alignment horizontal="center"/>
    </xf>
    <xf numFmtId="9" fontId="8" fillId="2" borderId="1" xfId="0" applyNumberFormat="1" applyFont="1" applyFill="1" applyBorder="1"/>
    <xf numFmtId="9" fontId="50" fillId="10" borderId="0" xfId="2" applyFont="1" applyFill="1"/>
    <xf numFmtId="0" fontId="14" fillId="7" borderId="0" xfId="0" applyFont="1" applyFill="1" applyAlignment="1">
      <alignment horizontal="left" vertical="center" indent="2"/>
    </xf>
    <xf numFmtId="43" fontId="8" fillId="2" borderId="0" xfId="1" applyFont="1" applyFill="1" applyAlignment="1">
      <alignment horizontal="left" vertical="center" indent="2"/>
    </xf>
    <xf numFmtId="0" fontId="17" fillId="4" borderId="0" xfId="0" applyFont="1" applyFill="1" applyAlignment="1">
      <alignment horizontal="left" vertical="center" indent="2"/>
    </xf>
    <xf numFmtId="0" fontId="17" fillId="2" borderId="0" xfId="0" applyFont="1" applyFill="1" applyAlignment="1">
      <alignment horizontal="left" vertical="center" indent="2"/>
    </xf>
    <xf numFmtId="0" fontId="53" fillId="2" borderId="0" xfId="0" applyFont="1" applyFill="1" applyAlignment="1">
      <alignment horizontal="left" vertical="center" indent="2"/>
    </xf>
    <xf numFmtId="9" fontId="50" fillId="2" borderId="0" xfId="2" applyFont="1" applyFill="1" applyAlignment="1">
      <alignment vertical="center" indent="2"/>
    </xf>
    <xf numFmtId="9" fontId="73" fillId="2" borderId="0" xfId="2" applyFont="1" applyFill="1" applyAlignment="1">
      <alignment vertical="center" indent="2"/>
    </xf>
    <xf numFmtId="0" fontId="73" fillId="2" borderId="0" xfId="0" applyFont="1" applyFill="1" applyAlignment="1">
      <alignment horizontal="left" vertical="center" indent="2"/>
    </xf>
    <xf numFmtId="0" fontId="3" fillId="4" borderId="0" xfId="0" applyFont="1" applyFill="1" applyAlignment="1">
      <alignment vertical="center" indent="2"/>
    </xf>
    <xf numFmtId="0" fontId="17" fillId="4" borderId="0" xfId="0" applyFont="1" applyFill="1" applyAlignment="1">
      <alignment vertical="center" indent="2"/>
    </xf>
    <xf numFmtId="0" fontId="3" fillId="4" borderId="0" xfId="1" applyNumberFormat="1" applyFont="1" applyFill="1" applyAlignment="1">
      <alignment horizontal="left" vertical="center" indent="2"/>
    </xf>
    <xf numFmtId="0" fontId="3" fillId="0" borderId="0" xfId="0" applyFont="1" applyAlignment="1">
      <alignment horizontal="left" indent="4"/>
    </xf>
    <xf numFmtId="0" fontId="3" fillId="2" borderId="0" xfId="0" applyFont="1" applyFill="1" applyAlignment="1">
      <alignment horizontal="left" vertical="center" indent="4"/>
    </xf>
    <xf numFmtId="0" fontId="9" fillId="2" borderId="0" xfId="0" applyFont="1" applyFill="1" applyAlignment="1">
      <alignment horizontal="left" vertical="center" indent="4"/>
    </xf>
    <xf numFmtId="0" fontId="11" fillId="2" borderId="0" xfId="0" applyFont="1" applyFill="1" applyAlignment="1">
      <alignment horizontal="left" vertical="center" indent="4"/>
    </xf>
    <xf numFmtId="0" fontId="10" fillId="0" borderId="0" xfId="0" applyFont="1" applyAlignment="1">
      <alignment indent="2"/>
    </xf>
    <xf numFmtId="0" fontId="14" fillId="2" borderId="0" xfId="0" applyFont="1" applyFill="1" applyAlignment="1">
      <alignment horizontal="left" vertical="center"/>
    </xf>
    <xf numFmtId="164" fontId="14" fillId="2" borderId="0" xfId="1" applyNumberFormat="1" applyFont="1" applyFill="1" applyAlignment="1">
      <alignment vertical="center"/>
    </xf>
    <xf numFmtId="164" fontId="14" fillId="2" borderId="20" xfId="1" applyNumberFormat="1" applyFont="1" applyFill="1" applyBorder="1" applyAlignment="1">
      <alignment vertical="center"/>
    </xf>
    <xf numFmtId="0" fontId="14" fillId="2" borderId="0" xfId="0" applyFont="1" applyFill="1" applyAlignment="1">
      <alignment vertical="center"/>
    </xf>
    <xf numFmtId="9" fontId="12" fillId="2" borderId="0" xfId="2" applyFont="1" applyFill="1" applyBorder="1" applyAlignment="1">
      <alignment horizontal="left" vertical="center" wrapText="1"/>
    </xf>
    <xf numFmtId="0" fontId="3" fillId="4" borderId="0" xfId="0" applyFont="1" applyFill="1" applyAlignment="1">
      <alignment horizontal="right" indent="1"/>
    </xf>
    <xf numFmtId="164" fontId="3" fillId="4" borderId="0" xfId="1" applyNumberFormat="1" applyFont="1" applyFill="1" applyAlignment="1">
      <alignment horizontal="right" indent="1"/>
    </xf>
    <xf numFmtId="1" fontId="3" fillId="4" borderId="0" xfId="1" applyNumberFormat="1" applyFont="1" applyFill="1" applyAlignment="1">
      <alignment horizontal="right" indent="1"/>
    </xf>
    <xf numFmtId="164" fontId="3" fillId="4" borderId="20" xfId="1" applyNumberFormat="1" applyFont="1" applyFill="1" applyBorder="1" applyAlignment="1">
      <alignment horizontal="right" indent="1"/>
    </xf>
    <xf numFmtId="164" fontId="3" fillId="4" borderId="0" xfId="1" applyNumberFormat="1" applyFont="1" applyFill="1" applyBorder="1" applyAlignment="1">
      <alignment horizontal="right" indent="1"/>
    </xf>
    <xf numFmtId="10" fontId="9" fillId="2" borderId="0" xfId="2" applyNumberFormat="1" applyFont="1" applyFill="1" applyBorder="1" applyAlignment="1">
      <alignment vertical="center"/>
    </xf>
    <xf numFmtId="10" fontId="9" fillId="2" borderId="20" xfId="2" applyNumberFormat="1" applyFont="1" applyFill="1" applyBorder="1" applyAlignment="1">
      <alignment vertical="center"/>
    </xf>
    <xf numFmtId="10" fontId="0" fillId="2" borderId="0" xfId="1" applyNumberFormat="1" applyFont="1" applyFill="1" applyAlignment="1">
      <alignment vertical="center"/>
    </xf>
    <xf numFmtId="0" fontId="82" fillId="2" borderId="0" xfId="0" applyFont="1" applyFill="1" applyAlignment="1">
      <alignment horizontal="left" vertical="center"/>
    </xf>
    <xf numFmtId="164" fontId="53" fillId="2" borderId="0" xfId="1" applyNumberFormat="1" applyFont="1" applyFill="1" applyAlignment="1">
      <alignment horizontal="right" vertical="center"/>
    </xf>
    <xf numFmtId="166" fontId="53" fillId="2" borderId="0" xfId="1" applyNumberFormat="1" applyFont="1" applyFill="1" applyBorder="1" applyAlignment="1">
      <alignment horizontal="right" vertical="center"/>
    </xf>
    <xf numFmtId="166" fontId="53" fillId="2" borderId="20" xfId="1" applyNumberFormat="1" applyFont="1" applyFill="1" applyBorder="1" applyAlignment="1">
      <alignment horizontal="right" vertical="center"/>
    </xf>
    <xf numFmtId="164" fontId="53" fillId="2" borderId="0" xfId="1" applyNumberFormat="1" applyFont="1" applyFill="1" applyBorder="1" applyAlignment="1">
      <alignment horizontal="right" vertical="center"/>
    </xf>
    <xf numFmtId="165" fontId="8" fillId="2" borderId="0" xfId="2" applyNumberFormat="1" applyFont="1" applyFill="1" applyBorder="1"/>
    <xf numFmtId="165" fontId="9" fillId="2" borderId="0" xfId="2" applyNumberFormat="1" applyFont="1" applyFill="1" applyBorder="1"/>
    <xf numFmtId="165" fontId="13" fillId="2" borderId="0" xfId="2" applyNumberFormat="1" applyFont="1" applyFill="1" applyBorder="1"/>
    <xf numFmtId="164" fontId="17" fillId="2" borderId="0" xfId="1" applyNumberFormat="1" applyFont="1" applyFill="1" applyBorder="1"/>
    <xf numFmtId="164" fontId="8" fillId="2" borderId="0" xfId="1" applyNumberFormat="1" applyFont="1" applyFill="1" applyBorder="1"/>
    <xf numFmtId="165" fontId="0" fillId="10" borderId="0" xfId="2" applyNumberFormat="1" applyFont="1" applyFill="1" applyBorder="1"/>
    <xf numFmtId="10" fontId="0" fillId="2" borderId="2" xfId="2" applyNumberFormat="1" applyFont="1" applyFill="1" applyBorder="1" applyAlignment="1">
      <alignment horizontal="right"/>
    </xf>
    <xf numFmtId="0" fontId="83" fillId="2" borderId="0" xfId="0" applyFont="1" applyFill="1"/>
    <xf numFmtId="0" fontId="14" fillId="7" borderId="20" xfId="0" applyFont="1" applyFill="1" applyBorder="1" applyAlignment="1">
      <alignment horizontal="right"/>
    </xf>
    <xf numFmtId="0" fontId="14" fillId="2" borderId="20" xfId="0" applyFont="1" applyFill="1" applyBorder="1"/>
    <xf numFmtId="9" fontId="8" fillId="2" borderId="20" xfId="2" applyFont="1" applyFill="1" applyBorder="1"/>
    <xf numFmtId="0" fontId="34" fillId="7" borderId="20" xfId="0" applyFont="1" applyFill="1" applyBorder="1" applyAlignment="1">
      <alignment vertical="center"/>
    </xf>
    <xf numFmtId="164" fontId="8" fillId="2" borderId="20" xfId="1" applyNumberFormat="1" applyFont="1" applyFill="1" applyBorder="1"/>
    <xf numFmtId="0" fontId="34" fillId="2" borderId="20" xfId="0" applyFont="1" applyFill="1" applyBorder="1" applyAlignment="1">
      <alignment vertical="center"/>
    </xf>
    <xf numFmtId="9" fontId="13" fillId="2" borderId="20" xfId="2" applyFont="1" applyFill="1" applyBorder="1"/>
    <xf numFmtId="166" fontId="3" fillId="2" borderId="20" xfId="1" applyNumberFormat="1" applyFont="1" applyFill="1" applyBorder="1"/>
    <xf numFmtId="166" fontId="0" fillId="2" borderId="20" xfId="1" applyNumberFormat="1" applyFont="1" applyFill="1" applyBorder="1"/>
    <xf numFmtId="9" fontId="0" fillId="2" borderId="20" xfId="2" applyFont="1" applyFill="1" applyBorder="1"/>
    <xf numFmtId="165" fontId="19" fillId="2" borderId="20" xfId="2" applyNumberFormat="1" applyFont="1" applyFill="1" applyBorder="1"/>
    <xf numFmtId="9" fontId="19" fillId="2" borderId="20" xfId="0" applyNumberFormat="1" applyFont="1" applyFill="1" applyBorder="1"/>
    <xf numFmtId="0" fontId="19" fillId="2" borderId="20" xfId="0" applyFont="1" applyFill="1" applyBorder="1" applyAlignment="1">
      <alignment horizontal="left" indent="3"/>
    </xf>
    <xf numFmtId="164" fontId="3" fillId="2" borderId="20" xfId="0" applyNumberFormat="1" applyFont="1" applyFill="1" applyBorder="1"/>
    <xf numFmtId="165" fontId="9" fillId="2" borderId="20" xfId="2" applyNumberFormat="1" applyFont="1" applyFill="1" applyBorder="1"/>
    <xf numFmtId="165" fontId="13" fillId="2" borderId="20" xfId="2" applyNumberFormat="1" applyFont="1" applyFill="1" applyBorder="1"/>
    <xf numFmtId="43" fontId="0" fillId="2" borderId="20" xfId="1" applyFont="1" applyFill="1" applyBorder="1"/>
    <xf numFmtId="164" fontId="17" fillId="2" borderId="20" xfId="1" applyNumberFormat="1" applyFont="1" applyFill="1" applyBorder="1"/>
    <xf numFmtId="165" fontId="17" fillId="2" borderId="0" xfId="0" applyNumberFormat="1" applyFont="1" applyFill="1" applyAlignment="1">
      <alignment vertical="center"/>
    </xf>
    <xf numFmtId="164" fontId="3" fillId="2" borderId="0" xfId="2" applyNumberFormat="1" applyFont="1" applyFill="1" applyBorder="1" applyAlignment="1">
      <alignment vertical="center"/>
    </xf>
    <xf numFmtId="164" fontId="3" fillId="2" borderId="0" xfId="1" applyNumberFormat="1" applyFont="1" applyFill="1" applyBorder="1" applyAlignment="1">
      <alignment horizontal="left" vertical="center"/>
    </xf>
    <xf numFmtId="9" fontId="17" fillId="2" borderId="0" xfId="2" applyFont="1" applyFill="1" applyBorder="1" applyAlignment="1">
      <alignment horizontal="right" vertical="center"/>
    </xf>
    <xf numFmtId="165" fontId="53" fillId="2" borderId="0" xfId="2" applyNumberFormat="1" applyFont="1" applyFill="1" applyAlignment="1">
      <alignment vertical="center"/>
    </xf>
    <xf numFmtId="165" fontId="56" fillId="2" borderId="0" xfId="2" applyNumberFormat="1" applyFont="1" applyFill="1" applyAlignment="1">
      <alignment vertical="center"/>
    </xf>
    <xf numFmtId="10" fontId="78" fillId="10" borderId="0" xfId="2" applyNumberFormat="1" applyFont="1" applyFill="1" applyBorder="1" applyAlignment="1">
      <alignment vertical="center"/>
    </xf>
    <xf numFmtId="10" fontId="9" fillId="10" borderId="0" xfId="2" applyNumberFormat="1" applyFont="1" applyFill="1" applyBorder="1" applyAlignment="1">
      <alignment vertical="center"/>
    </xf>
    <xf numFmtId="10" fontId="9" fillId="10" borderId="0" xfId="2" applyNumberFormat="1" applyFont="1" applyFill="1" applyAlignment="1">
      <alignment vertical="center"/>
    </xf>
    <xf numFmtId="10" fontId="78" fillId="10" borderId="0" xfId="2" applyNumberFormat="1" applyFont="1" applyFill="1" applyAlignment="1">
      <alignment vertical="center"/>
    </xf>
    <xf numFmtId="164" fontId="84" fillId="10" borderId="0" xfId="0" applyNumberFormat="1" applyFont="1" applyFill="1" applyAlignment="1">
      <alignment vertical="center"/>
    </xf>
    <xf numFmtId="9" fontId="9" fillId="10" borderId="0" xfId="2" applyFont="1" applyFill="1" applyBorder="1" applyAlignment="1">
      <alignment vertical="center"/>
    </xf>
    <xf numFmtId="9" fontId="78" fillId="10" borderId="0" xfId="2" applyFont="1" applyFill="1" applyBorder="1" applyAlignment="1">
      <alignment vertical="center"/>
    </xf>
    <xf numFmtId="1" fontId="0" fillId="10" borderId="0" xfId="2" applyNumberFormat="1" applyFont="1" applyFill="1" applyAlignment="1">
      <alignment vertical="center"/>
    </xf>
    <xf numFmtId="9" fontId="0" fillId="10" borderId="0" xfId="2" applyFont="1" applyFill="1" applyAlignment="1">
      <alignment vertical="center"/>
    </xf>
    <xf numFmtId="165" fontId="73" fillId="10" borderId="0" xfId="0" applyNumberFormat="1" applyFont="1" applyFill="1" applyAlignment="1">
      <alignment vertical="center"/>
    </xf>
    <xf numFmtId="10" fontId="9" fillId="2" borderId="0" xfId="0" applyNumberFormat="1" applyFont="1" applyFill="1" applyAlignment="1">
      <alignment vertical="center"/>
    </xf>
    <xf numFmtId="10" fontId="9" fillId="10" borderId="0" xfId="0" applyNumberFormat="1" applyFont="1" applyFill="1" applyAlignment="1">
      <alignment vertical="center"/>
    </xf>
    <xf numFmtId="10" fontId="85" fillId="10" borderId="0" xfId="2" applyNumberFormat="1" applyFont="1" applyFill="1" applyBorder="1" applyAlignment="1">
      <alignment vertical="center"/>
    </xf>
    <xf numFmtId="165" fontId="85" fillId="2" borderId="0" xfId="2" applyNumberFormat="1" applyFont="1" applyFill="1" applyBorder="1" applyAlignment="1">
      <alignment vertical="center"/>
    </xf>
    <xf numFmtId="170" fontId="0" fillId="2" borderId="0" xfId="0" applyNumberFormat="1" applyFill="1" applyAlignment="1">
      <alignment vertical="center"/>
    </xf>
    <xf numFmtId="0" fontId="14" fillId="7" borderId="0" xfId="0" applyFont="1" applyFill="1" applyAlignment="1">
      <alignment horizontal="right" vertical="center"/>
    </xf>
    <xf numFmtId="172" fontId="0" fillId="2" borderId="0" xfId="0" applyNumberFormat="1" applyFill="1" applyAlignment="1">
      <alignment horizontal="center" vertical="center"/>
    </xf>
    <xf numFmtId="10" fontId="3" fillId="4" borderId="0" xfId="2" applyNumberFormat="1" applyFont="1" applyFill="1" applyAlignment="1">
      <alignment horizontal="right"/>
    </xf>
    <xf numFmtId="0" fontId="0" fillId="2" borderId="0" xfId="9" applyFont="1" applyFill="1" applyAlignment="1">
      <alignment horizontal="left" indent="1"/>
    </xf>
    <xf numFmtId="164" fontId="0" fillId="2" borderId="0" xfId="8" applyNumberFormat="1" applyFont="1" applyFill="1"/>
    <xf numFmtId="164" fontId="0" fillId="2" borderId="20" xfId="8" applyNumberFormat="1" applyFont="1" applyFill="1" applyBorder="1"/>
    <xf numFmtId="0" fontId="47" fillId="7" borderId="0" xfId="0" applyFont="1" applyFill="1"/>
    <xf numFmtId="2" fontId="14" fillId="7" borderId="0" xfId="0" applyNumberFormat="1" applyFont="1" applyFill="1"/>
    <xf numFmtId="2" fontId="3" fillId="4" borderId="0" xfId="0" applyNumberFormat="1" applyFont="1" applyFill="1"/>
    <xf numFmtId="14" fontId="75" fillId="2" borderId="0" xfId="0" applyNumberFormat="1" applyFont="1" applyFill="1" applyAlignment="1">
      <alignment horizontal="left"/>
    </xf>
    <xf numFmtId="0" fontId="75" fillId="2" borderId="0" xfId="0" applyFont="1" applyFill="1" applyAlignment="1">
      <alignment horizontal="left"/>
    </xf>
    <xf numFmtId="14" fontId="86" fillId="2" borderId="0" xfId="0" applyNumberFormat="1" applyFont="1" applyFill="1" applyAlignment="1">
      <alignment horizontal="left"/>
    </xf>
    <xf numFmtId="0" fontId="86" fillId="2" borderId="0" xfId="0" applyFont="1" applyFill="1"/>
    <xf numFmtId="0" fontId="87" fillId="0" borderId="0" xfId="0" applyFont="1"/>
    <xf numFmtId="10" fontId="3" fillId="2" borderId="0" xfId="0" applyNumberFormat="1" applyFont="1" applyFill="1"/>
    <xf numFmtId="0" fontId="8" fillId="2" borderId="0" xfId="0" applyFont="1" applyFill="1" applyAlignment="1">
      <alignment horizontal="left" vertical="center" wrapText="1" indent="4"/>
    </xf>
    <xf numFmtId="164" fontId="3" fillId="2" borderId="0" xfId="1" applyNumberFormat="1" applyFont="1" applyFill="1" applyBorder="1" applyAlignment="1">
      <alignment horizontal="right" vertical="center" wrapText="1"/>
    </xf>
    <xf numFmtId="166" fontId="3" fillId="2" borderId="0" xfId="1" applyNumberFormat="1" applyFont="1" applyFill="1" applyBorder="1" applyAlignment="1">
      <alignment horizontal="right" vertical="center" wrapText="1"/>
    </xf>
    <xf numFmtId="0" fontId="88" fillId="2" borderId="0" xfId="0" applyFont="1" applyFill="1" applyAlignment="1">
      <alignment horizontal="left" vertical="center" wrapText="1" indent="4"/>
    </xf>
    <xf numFmtId="167" fontId="3" fillId="10" borderId="0" xfId="0" applyNumberFormat="1" applyFont="1" applyFill="1"/>
    <xf numFmtId="0" fontId="81" fillId="2" borderId="0" xfId="0" applyFont="1" applyFill="1" applyAlignment="1">
      <alignment horizontal="left" indent="3"/>
    </xf>
    <xf numFmtId="167" fontId="3" fillId="2" borderId="0" xfId="0" applyNumberFormat="1" applyFont="1" applyFill="1"/>
    <xf numFmtId="167" fontId="47" fillId="7" borderId="0" xfId="0" applyNumberFormat="1" applyFont="1" applyFill="1"/>
    <xf numFmtId="164" fontId="8" fillId="2" borderId="0" xfId="0" applyNumberFormat="1" applyFont="1" applyFill="1"/>
    <xf numFmtId="9" fontId="50" fillId="0" borderId="0" xfId="2" applyFont="1" applyFill="1"/>
    <xf numFmtId="0" fontId="14" fillId="7" borderId="0" xfId="0" applyFont="1" applyFill="1"/>
    <xf numFmtId="9" fontId="42" fillId="4" borderId="0" xfId="0" applyNumberFormat="1" applyFont="1" applyFill="1" applyAlignment="1">
      <alignment wrapText="1"/>
    </xf>
    <xf numFmtId="165" fontId="0" fillId="2" borderId="0" xfId="2" applyNumberFormat="1" applyFont="1" applyFill="1" applyAlignment="1">
      <alignment horizontal="right" vertical="center"/>
    </xf>
    <xf numFmtId="170" fontId="43" fillId="4" borderId="0" xfId="1" applyNumberFormat="1" applyFont="1" applyFill="1" applyAlignment="1">
      <alignment wrapText="1"/>
    </xf>
    <xf numFmtId="0" fontId="45" fillId="2" borderId="14" xfId="0" applyFont="1" applyFill="1" applyBorder="1" applyAlignment="1">
      <alignment horizontal="left" vertical="center" indent="4"/>
    </xf>
    <xf numFmtId="0" fontId="45" fillId="2" borderId="14" xfId="0" applyFont="1" applyFill="1" applyBorder="1" applyAlignment="1">
      <alignment horizontal="left" vertical="center"/>
    </xf>
    <xf numFmtId="0" fontId="14" fillId="3" borderId="0" xfId="0" applyFont="1" applyFill="1" applyAlignment="1">
      <alignment horizontal="center" vertical="center"/>
    </xf>
    <xf numFmtId="43" fontId="3" fillId="4" borderId="0" xfId="1" applyFont="1" applyFill="1" applyAlignment="1">
      <alignment horizontal="center" vertical="center"/>
    </xf>
    <xf numFmtId="43" fontId="3" fillId="4" borderId="0" xfId="1" applyFont="1" applyFill="1" applyAlignment="1">
      <alignment horizontal="right" vertical="center"/>
    </xf>
    <xf numFmtId="43" fontId="0" fillId="2" borderId="0" xfId="1" applyFont="1" applyFill="1" applyAlignment="1">
      <alignment horizontal="center" vertical="center"/>
    </xf>
    <xf numFmtId="165" fontId="3" fillId="4" borderId="0" xfId="2" applyNumberFormat="1" applyFont="1" applyFill="1" applyAlignment="1">
      <alignment horizontal="right" vertical="center"/>
    </xf>
    <xf numFmtId="43" fontId="0" fillId="2" borderId="0" xfId="0" applyNumberFormat="1" applyFill="1" applyAlignment="1">
      <alignment horizontal="center" vertical="center"/>
    </xf>
    <xf numFmtId="166" fontId="3" fillId="4" borderId="0" xfId="1" applyNumberFormat="1" applyFont="1" applyFill="1" applyAlignment="1">
      <alignment horizontal="center" vertical="center"/>
    </xf>
    <xf numFmtId="10" fontId="9" fillId="2" borderId="1" xfId="2" applyNumberFormat="1" applyFont="1" applyFill="1" applyBorder="1" applyAlignment="1">
      <alignment vertical="center"/>
    </xf>
    <xf numFmtId="164" fontId="0" fillId="2" borderId="1" xfId="1" applyNumberFormat="1" applyFont="1" applyFill="1" applyBorder="1" applyAlignment="1">
      <alignment vertical="center"/>
    </xf>
    <xf numFmtId="164" fontId="56" fillId="2" borderId="1" xfId="1" applyNumberFormat="1" applyFont="1" applyFill="1" applyBorder="1" applyAlignment="1">
      <alignment vertical="center"/>
    </xf>
    <xf numFmtId="164" fontId="3" fillId="2" borderId="1" xfId="1" applyNumberFormat="1" applyFont="1" applyFill="1" applyBorder="1" applyAlignment="1">
      <alignment vertical="center"/>
    </xf>
    <xf numFmtId="165" fontId="8" fillId="2" borderId="1" xfId="2" applyNumberFormat="1" applyFont="1" applyFill="1" applyBorder="1" applyAlignment="1">
      <alignment vertical="center"/>
    </xf>
    <xf numFmtId="0" fontId="47" fillId="2" borderId="1" xfId="0" applyFont="1" applyFill="1" applyBorder="1" applyAlignment="1">
      <alignment vertical="center"/>
    </xf>
    <xf numFmtId="164" fontId="47" fillId="2" borderId="1" xfId="1" applyNumberFormat="1" applyFont="1" applyFill="1" applyBorder="1" applyAlignment="1">
      <alignment vertical="center"/>
    </xf>
    <xf numFmtId="43" fontId="8" fillId="2" borderId="1" xfId="0" applyNumberFormat="1" applyFont="1" applyFill="1" applyBorder="1" applyAlignment="1">
      <alignment vertical="center"/>
    </xf>
    <xf numFmtId="167" fontId="8" fillId="2" borderId="1" xfId="0" applyNumberFormat="1" applyFont="1" applyFill="1" applyBorder="1" applyAlignment="1">
      <alignment vertical="center"/>
    </xf>
    <xf numFmtId="165" fontId="0" fillId="2" borderId="1" xfId="2" applyNumberFormat="1" applyFont="1" applyFill="1" applyBorder="1" applyAlignment="1">
      <alignment vertical="center"/>
    </xf>
    <xf numFmtId="9" fontId="0" fillId="2" borderId="1" xfId="2" applyFont="1" applyFill="1" applyBorder="1" applyAlignment="1">
      <alignment vertical="center"/>
    </xf>
    <xf numFmtId="165" fontId="13" fillId="2" borderId="1" xfId="2" applyNumberFormat="1" applyFont="1" applyFill="1" applyBorder="1" applyAlignment="1">
      <alignment vertical="center"/>
    </xf>
    <xf numFmtId="3" fontId="8" fillId="2" borderId="1" xfId="0" applyNumberFormat="1" applyFont="1" applyFill="1" applyBorder="1" applyAlignment="1">
      <alignment vertical="center"/>
    </xf>
    <xf numFmtId="165" fontId="11" fillId="2" borderId="1" xfId="2" applyNumberFormat="1" applyFont="1" applyFill="1" applyBorder="1" applyAlignment="1">
      <alignment vertical="center"/>
    </xf>
    <xf numFmtId="164" fontId="50" fillId="2" borderId="1" xfId="1" applyNumberFormat="1" applyFont="1" applyFill="1" applyBorder="1" applyAlignment="1">
      <alignment horizontal="right" vertical="center"/>
    </xf>
    <xf numFmtId="164" fontId="53" fillId="2" borderId="1" xfId="1" applyNumberFormat="1" applyFont="1" applyFill="1" applyBorder="1" applyAlignment="1">
      <alignment horizontal="right" vertical="center"/>
    </xf>
    <xf numFmtId="164" fontId="50" fillId="2" borderId="1" xfId="1" applyNumberFormat="1" applyFont="1" applyFill="1" applyBorder="1" applyAlignment="1">
      <alignment vertical="center"/>
    </xf>
    <xf numFmtId="167" fontId="50" fillId="4" borderId="1" xfId="1" applyNumberFormat="1" applyFont="1" applyFill="1" applyBorder="1" applyAlignment="1">
      <alignment vertical="center"/>
    </xf>
    <xf numFmtId="164" fontId="11" fillId="2" borderId="1" xfId="1" applyNumberFormat="1" applyFont="1" applyFill="1" applyBorder="1" applyAlignment="1">
      <alignment vertical="center"/>
    </xf>
    <xf numFmtId="164" fontId="12" fillId="2" borderId="1" xfId="1" applyNumberFormat="1" applyFont="1" applyFill="1" applyBorder="1" applyAlignment="1">
      <alignment vertical="center"/>
    </xf>
    <xf numFmtId="166" fontId="50" fillId="2" borderId="1" xfId="1" applyNumberFormat="1" applyFont="1" applyFill="1" applyBorder="1" applyAlignment="1">
      <alignment horizontal="right" vertical="center"/>
    </xf>
    <xf numFmtId="166" fontId="53" fillId="2" borderId="1" xfId="1" applyNumberFormat="1" applyFont="1" applyFill="1" applyBorder="1" applyAlignment="1">
      <alignment horizontal="right" vertical="center"/>
    </xf>
    <xf numFmtId="166" fontId="0" fillId="2" borderId="1" xfId="1" applyNumberFormat="1" applyFont="1" applyFill="1" applyBorder="1" applyAlignment="1">
      <alignment vertical="center"/>
    </xf>
    <xf numFmtId="166" fontId="50" fillId="2" borderId="1" xfId="1" applyNumberFormat="1" applyFont="1" applyFill="1" applyBorder="1" applyAlignment="1">
      <alignment vertical="center"/>
    </xf>
    <xf numFmtId="165" fontId="0" fillId="2" borderId="0" xfId="2" applyNumberFormat="1" applyFont="1" applyFill="1" applyAlignment="1">
      <alignment horizontal="center" vertical="center"/>
    </xf>
    <xf numFmtId="9" fontId="0" fillId="0" borderId="0" xfId="2" applyFont="1" applyAlignment="1">
      <alignment horizontal="center"/>
    </xf>
    <xf numFmtId="0" fontId="0" fillId="4" borderId="0" xfId="0" applyFill="1" applyAlignment="1">
      <alignment horizontal="right" vertical="center"/>
    </xf>
    <xf numFmtId="165" fontId="0" fillId="4" borderId="0" xfId="2" applyNumberFormat="1" applyFont="1" applyFill="1" applyAlignment="1">
      <alignment horizontal="center" vertical="center"/>
    </xf>
    <xf numFmtId="165" fontId="2" fillId="2" borderId="0" xfId="2" applyNumberFormat="1" applyFont="1" applyFill="1" applyAlignment="1">
      <alignment horizontal="center" vertical="center"/>
    </xf>
    <xf numFmtId="0" fontId="14" fillId="3" borderId="0" xfId="0" applyFont="1" applyFill="1" applyAlignment="1">
      <alignment horizontal="right" vertical="center"/>
    </xf>
    <xf numFmtId="0" fontId="3" fillId="19" borderId="0" xfId="0" applyFont="1" applyFill="1" applyAlignment="1">
      <alignment horizontal="right" vertical="center"/>
    </xf>
    <xf numFmtId="165" fontId="3" fillId="19" borderId="0" xfId="2" applyNumberFormat="1" applyFont="1" applyFill="1" applyAlignment="1">
      <alignment horizontal="center" vertical="center"/>
    </xf>
    <xf numFmtId="165" fontId="14" fillId="3" borderId="0" xfId="2" applyNumberFormat="1" applyFont="1" applyFill="1" applyAlignment="1">
      <alignment horizontal="right"/>
    </xf>
    <xf numFmtId="165" fontId="53" fillId="2" borderId="0" xfId="2" applyNumberFormat="1" applyFont="1" applyFill="1" applyBorder="1" applyAlignment="1">
      <alignment vertical="center"/>
    </xf>
    <xf numFmtId="43" fontId="13" fillId="2" borderId="0" xfId="1" applyFont="1" applyFill="1"/>
    <xf numFmtId="164" fontId="50" fillId="2" borderId="0" xfId="0" applyNumberFormat="1" applyFont="1" applyFill="1" applyAlignment="1">
      <alignment vertical="center"/>
    </xf>
    <xf numFmtId="9" fontId="3" fillId="2" borderId="0" xfId="1" applyNumberFormat="1" applyFont="1" applyFill="1"/>
    <xf numFmtId="0" fontId="10" fillId="2" borderId="0" xfId="0" applyFont="1" applyFill="1"/>
    <xf numFmtId="0" fontId="10" fillId="2" borderId="0" xfId="0" applyFont="1" applyFill="1" applyAlignment="1">
      <alignment horizontal="right"/>
    </xf>
    <xf numFmtId="1" fontId="3" fillId="10" borderId="0" xfId="2" applyNumberFormat="1" applyFont="1" applyFill="1" applyAlignment="1">
      <alignment vertical="center"/>
    </xf>
    <xf numFmtId="0" fontId="0" fillId="0" borderId="0" xfId="0" quotePrefix="1"/>
    <xf numFmtId="11" fontId="0" fillId="0" borderId="0" xfId="0" applyNumberFormat="1"/>
    <xf numFmtId="10" fontId="0" fillId="20" borderId="0" xfId="2" applyNumberFormat="1" applyFont="1" applyFill="1"/>
    <xf numFmtId="165" fontId="0" fillId="20" borderId="0" xfId="2" applyNumberFormat="1" applyFont="1" applyFill="1"/>
    <xf numFmtId="9" fontId="0" fillId="2" borderId="0" xfId="2" applyFont="1" applyFill="1" applyAlignment="1">
      <alignment horizontal="center"/>
    </xf>
    <xf numFmtId="0" fontId="3" fillId="4" borderId="0" xfId="0" applyFont="1" applyFill="1" applyAlignment="1">
      <alignment horizontal="center"/>
    </xf>
    <xf numFmtId="0" fontId="0" fillId="21" borderId="0" xfId="0" applyFill="1" applyAlignment="1">
      <alignment horizontal="center" vertical="center" wrapText="1"/>
    </xf>
    <xf numFmtId="0" fontId="0" fillId="2" borderId="33" xfId="0" applyFill="1" applyBorder="1" applyAlignment="1">
      <alignment horizontal="center" vertical="center" wrapText="1"/>
    </xf>
    <xf numFmtId="0" fontId="0" fillId="21" borderId="33" xfId="0" applyFill="1" applyBorder="1" applyAlignment="1">
      <alignment horizontal="center" vertical="center" wrapText="1"/>
    </xf>
    <xf numFmtId="0" fontId="0" fillId="2" borderId="33" xfId="0" applyFill="1" applyBorder="1" applyAlignment="1">
      <alignment horizontal="center"/>
    </xf>
    <xf numFmtId="9" fontId="0" fillId="2" borderId="34" xfId="0" applyNumberFormat="1" applyFill="1" applyBorder="1" applyAlignment="1">
      <alignment horizontal="center"/>
    </xf>
    <xf numFmtId="0" fontId="0" fillId="2" borderId="34" xfId="0" applyFill="1" applyBorder="1" applyAlignment="1">
      <alignment horizontal="center"/>
    </xf>
    <xf numFmtId="0" fontId="0" fillId="2" borderId="34" xfId="0" applyFill="1" applyBorder="1" applyAlignment="1">
      <alignment horizontal="center" vertical="center" wrapText="1"/>
    </xf>
    <xf numFmtId="0" fontId="0" fillId="21" borderId="34" xfId="0" applyFill="1" applyBorder="1" applyAlignment="1">
      <alignment horizontal="center" vertical="center" wrapText="1"/>
    </xf>
    <xf numFmtId="9" fontId="0" fillId="2" borderId="35" xfId="0" applyNumberFormat="1" applyFill="1" applyBorder="1" applyAlignment="1">
      <alignment horizontal="center"/>
    </xf>
    <xf numFmtId="0" fontId="0" fillId="2" borderId="35" xfId="0" applyFill="1" applyBorder="1" applyAlignment="1">
      <alignment horizontal="center"/>
    </xf>
    <xf numFmtId="0" fontId="0" fillId="21" borderId="35" xfId="0" applyFill="1" applyBorder="1" applyAlignment="1">
      <alignment horizontal="center" vertical="center" wrapText="1"/>
    </xf>
    <xf numFmtId="0" fontId="0" fillId="2" borderId="35" xfId="0" applyFill="1" applyBorder="1" applyAlignment="1">
      <alignment horizontal="center" vertical="center" wrapText="1"/>
    </xf>
    <xf numFmtId="9" fontId="0" fillId="2" borderId="33" xfId="0" applyNumberFormat="1" applyFill="1" applyBorder="1" applyAlignment="1">
      <alignment horizontal="center"/>
    </xf>
    <xf numFmtId="173" fontId="14" fillId="7" borderId="0" xfId="1" applyNumberFormat="1" applyFont="1" applyFill="1" applyAlignment="1">
      <alignment horizontal="right" vertical="center" wrapText="1"/>
    </xf>
    <xf numFmtId="9" fontId="3" fillId="4" borderId="0" xfId="2" applyFont="1" applyFill="1" applyAlignment="1">
      <alignment horizontal="right" vertical="center"/>
    </xf>
    <xf numFmtId="0" fontId="14" fillId="3" borderId="0" xfId="0" applyFont="1" applyFill="1" applyAlignment="1">
      <alignment horizontal="left" vertical="center"/>
    </xf>
    <xf numFmtId="170" fontId="14" fillId="3" borderId="0" xfId="0" applyNumberFormat="1" applyFont="1" applyFill="1" applyAlignment="1">
      <alignment vertical="center"/>
    </xf>
    <xf numFmtId="0" fontId="14" fillId="3" borderId="0" xfId="0" applyFont="1" applyFill="1" applyAlignment="1">
      <alignment horizontal="right"/>
    </xf>
    <xf numFmtId="166" fontId="47" fillId="2" borderId="0" xfId="0" applyNumberFormat="1" applyFont="1" applyFill="1"/>
    <xf numFmtId="10" fontId="47" fillId="2" borderId="0" xfId="0" applyNumberFormat="1" applyFont="1" applyFill="1"/>
    <xf numFmtId="165" fontId="3" fillId="4" borderId="0" xfId="2" applyNumberFormat="1" applyFont="1" applyFill="1"/>
    <xf numFmtId="0" fontId="10" fillId="2" borderId="0" xfId="0" applyFont="1" applyFill="1" applyAlignment="1">
      <alignment horizontal="center"/>
    </xf>
    <xf numFmtId="14" fontId="47" fillId="2" borderId="0" xfId="0" applyNumberFormat="1" applyFont="1" applyFill="1"/>
    <xf numFmtId="166" fontId="47" fillId="2" borderId="0" xfId="1" applyNumberFormat="1" applyFont="1" applyFill="1"/>
    <xf numFmtId="2" fontId="47" fillId="2" borderId="0" xfId="0" applyNumberFormat="1" applyFont="1" applyFill="1"/>
    <xf numFmtId="167" fontId="47" fillId="2" borderId="0" xfId="0" applyNumberFormat="1" applyFont="1" applyFill="1"/>
    <xf numFmtId="166" fontId="3" fillId="4" borderId="0" xfId="1" applyNumberFormat="1" applyFont="1" applyFill="1" applyAlignment="1">
      <alignment horizontal="right"/>
    </xf>
    <xf numFmtId="165" fontId="3" fillId="4" borderId="0" xfId="0" applyNumberFormat="1" applyFont="1" applyFill="1" applyAlignment="1">
      <alignment horizontal="right" vertical="center"/>
    </xf>
    <xf numFmtId="166" fontId="0" fillId="2" borderId="0" xfId="1" applyNumberFormat="1" applyFont="1" applyFill="1" applyAlignment="1">
      <alignment horizontal="center" vertical="center"/>
    </xf>
    <xf numFmtId="166" fontId="3" fillId="4" borderId="0" xfId="1" applyNumberFormat="1" applyFont="1" applyFill="1" applyAlignment="1">
      <alignment horizontal="right" vertical="center"/>
    </xf>
    <xf numFmtId="0" fontId="10" fillId="4" borderId="0" xfId="0" applyFont="1" applyFill="1" applyAlignment="1">
      <alignment horizontal="right"/>
    </xf>
    <xf numFmtId="0" fontId="3" fillId="2" borderId="0" xfId="0" applyFont="1" applyFill="1" applyAlignment="1">
      <alignment vertical="center" indent="2"/>
    </xf>
    <xf numFmtId="164" fontId="8" fillId="2" borderId="0" xfId="2" applyNumberFormat="1" applyFont="1" applyFill="1" applyAlignment="1">
      <alignment vertical="center"/>
    </xf>
    <xf numFmtId="0" fontId="46" fillId="2" borderId="0" xfId="0" applyFont="1" applyFill="1" applyAlignment="1">
      <alignment vertical="center" indent="2"/>
    </xf>
    <xf numFmtId="164" fontId="47" fillId="2" borderId="20" xfId="1" applyNumberFormat="1" applyFont="1" applyFill="1" applyBorder="1" applyAlignment="1">
      <alignment vertical="center"/>
    </xf>
    <xf numFmtId="1" fontId="47" fillId="2" borderId="0" xfId="0" applyNumberFormat="1" applyFont="1" applyFill="1" applyAlignment="1">
      <alignment vertical="center"/>
    </xf>
    <xf numFmtId="9" fontId="74" fillId="2" borderId="0" xfId="2" applyFont="1" applyFill="1" applyBorder="1" applyAlignment="1">
      <alignment vertical="center"/>
    </xf>
    <xf numFmtId="0" fontId="47" fillId="2" borderId="0" xfId="0" applyFont="1" applyFill="1" applyAlignment="1">
      <alignment horizontal="center" vertical="center"/>
    </xf>
    <xf numFmtId="173" fontId="0" fillId="2" borderId="0" xfId="1" applyNumberFormat="1" applyFont="1" applyFill="1" applyAlignment="1">
      <alignment horizontal="right" vertical="center" wrapText="1"/>
    </xf>
    <xf numFmtId="9" fontId="3" fillId="4" borderId="0" xfId="2" applyFont="1" applyFill="1"/>
    <xf numFmtId="164" fontId="53" fillId="2" borderId="0" xfId="1" applyNumberFormat="1" applyFont="1" applyFill="1" applyAlignment="1">
      <alignment horizontal="left" vertical="center"/>
    </xf>
    <xf numFmtId="164" fontId="53" fillId="2" borderId="0" xfId="0" applyNumberFormat="1" applyFont="1" applyFill="1" applyAlignment="1">
      <alignment horizontal="left" vertical="center"/>
    </xf>
    <xf numFmtId="164" fontId="49" fillId="6" borderId="0" xfId="1" applyNumberFormat="1" applyFont="1" applyFill="1" applyAlignment="1">
      <alignment vertical="center"/>
    </xf>
    <xf numFmtId="164" fontId="0" fillId="2" borderId="0" xfId="1" applyNumberFormat="1" applyFont="1" applyFill="1" applyAlignment="1">
      <alignment horizontal="center" vertical="center"/>
    </xf>
    <xf numFmtId="164" fontId="14" fillId="2" borderId="0" xfId="1" applyNumberFormat="1" applyFont="1" applyFill="1" applyAlignment="1">
      <alignment horizontal="right" vertical="center" wrapText="1"/>
    </xf>
    <xf numFmtId="9" fontId="14" fillId="2" borderId="0" xfId="2" applyFont="1" applyFill="1" applyAlignment="1">
      <alignment vertical="center"/>
    </xf>
    <xf numFmtId="165" fontId="14" fillId="2" borderId="0" xfId="2" applyNumberFormat="1" applyFont="1" applyFill="1" applyAlignment="1">
      <alignment horizontal="right"/>
    </xf>
    <xf numFmtId="3" fontId="3" fillId="2" borderId="0" xfId="0" applyNumberFormat="1" applyFont="1" applyFill="1"/>
    <xf numFmtId="165" fontId="8" fillId="2" borderId="0" xfId="1" applyNumberFormat="1" applyFont="1" applyFill="1"/>
    <xf numFmtId="3" fontId="3" fillId="2" borderId="1" xfId="0" applyNumberFormat="1" applyFont="1" applyFill="1" applyBorder="1"/>
    <xf numFmtId="0" fontId="28" fillId="2" borderId="0" xfId="0" applyFont="1" applyFill="1" applyAlignment="1">
      <alignment horizontal="left" indent="3"/>
    </xf>
    <xf numFmtId="9" fontId="28" fillId="2" borderId="0" xfId="2" applyFont="1" applyFill="1"/>
    <xf numFmtId="9" fontId="28" fillId="2" borderId="20" xfId="2" applyFont="1" applyFill="1" applyBorder="1"/>
    <xf numFmtId="9" fontId="84" fillId="10" borderId="0" xfId="2" applyFont="1" applyFill="1"/>
    <xf numFmtId="164" fontId="28" fillId="2" borderId="0" xfId="1" applyNumberFormat="1" applyFont="1" applyFill="1"/>
    <xf numFmtId="0" fontId="28" fillId="2" borderId="0" xfId="0" applyFont="1" applyFill="1"/>
    <xf numFmtId="0" fontId="84" fillId="2" borderId="40" xfId="0" applyFont="1" applyFill="1" applyBorder="1" applyAlignment="1">
      <alignment horizontal="left" indent="3"/>
    </xf>
    <xf numFmtId="0" fontId="90" fillId="0" borderId="40" xfId="0" applyFont="1" applyBorder="1" applyAlignment="1">
      <alignment horizontal="left" indent="3"/>
    </xf>
    <xf numFmtId="164" fontId="3" fillId="4" borderId="1" xfId="2" applyNumberFormat="1" applyFont="1" applyFill="1" applyBorder="1"/>
    <xf numFmtId="166" fontId="3" fillId="2" borderId="1" xfId="0" applyNumberFormat="1" applyFont="1" applyFill="1" applyBorder="1"/>
    <xf numFmtId="9" fontId="28" fillId="2" borderId="1" xfId="2" applyFont="1" applyFill="1" applyBorder="1"/>
    <xf numFmtId="9" fontId="28" fillId="2" borderId="0" xfId="0" applyNumberFormat="1" applyFont="1" applyFill="1"/>
    <xf numFmtId="9" fontId="84" fillId="10" borderId="0" xfId="0" applyNumberFormat="1" applyFont="1" applyFill="1"/>
    <xf numFmtId="0" fontId="84" fillId="2" borderId="0" xfId="0" applyFont="1" applyFill="1" applyAlignment="1">
      <alignment horizontal="left" indent="3"/>
    </xf>
    <xf numFmtId="0" fontId="84" fillId="2" borderId="0" xfId="0" applyFont="1" applyFill="1"/>
    <xf numFmtId="9" fontId="84" fillId="2" borderId="0" xfId="0" applyNumberFormat="1" applyFont="1" applyFill="1"/>
    <xf numFmtId="9" fontId="28" fillId="2" borderId="20" xfId="0" applyNumberFormat="1" applyFont="1" applyFill="1" applyBorder="1"/>
    <xf numFmtId="165" fontId="89" fillId="2" borderId="0" xfId="2" applyNumberFormat="1" applyFont="1" applyFill="1"/>
    <xf numFmtId="165" fontId="28" fillId="2" borderId="0" xfId="2" applyNumberFormat="1" applyFont="1" applyFill="1"/>
    <xf numFmtId="165" fontId="28" fillId="2" borderId="20" xfId="2" applyNumberFormat="1" applyFont="1" applyFill="1" applyBorder="1"/>
    <xf numFmtId="165" fontId="84" fillId="10" borderId="0" xfId="0" applyNumberFormat="1" applyFont="1" applyFill="1"/>
    <xf numFmtId="165" fontId="28" fillId="2" borderId="0" xfId="2" applyNumberFormat="1" applyFont="1" applyFill="1" applyBorder="1"/>
    <xf numFmtId="165" fontId="84" fillId="10" borderId="0" xfId="2" applyNumberFormat="1" applyFont="1" applyFill="1"/>
    <xf numFmtId="0" fontId="28" fillId="2" borderId="0" xfId="0" applyFont="1" applyFill="1" applyAlignment="1">
      <alignment horizontal="left" indent="4"/>
    </xf>
    <xf numFmtId="0" fontId="84" fillId="2" borderId="0" xfId="0" applyFont="1" applyFill="1" applyAlignment="1">
      <alignment horizontal="left" indent="4"/>
    </xf>
    <xf numFmtId="9" fontId="84" fillId="2" borderId="0" xfId="2" applyFont="1" applyFill="1"/>
    <xf numFmtId="9" fontId="84" fillId="2" borderId="20" xfId="2" applyFont="1" applyFill="1" applyBorder="1"/>
    <xf numFmtId="9" fontId="84" fillId="2" borderId="0" xfId="2" applyFont="1" applyFill="1" applyBorder="1"/>
    <xf numFmtId="165" fontId="17" fillId="10" borderId="0" xfId="2" applyNumberFormat="1" applyFont="1" applyFill="1" applyAlignment="1">
      <alignment horizontal="left" indent="2"/>
    </xf>
    <xf numFmtId="9" fontId="8" fillId="2" borderId="0" xfId="2" applyFont="1" applyFill="1" applyAlignment="1">
      <alignment horizontal="right" vertical="center"/>
    </xf>
    <xf numFmtId="164" fontId="3" fillId="4" borderId="1" xfId="1" applyNumberFormat="1" applyFont="1" applyFill="1" applyBorder="1" applyAlignment="1">
      <alignment horizontal="left" vertical="center"/>
    </xf>
    <xf numFmtId="9" fontId="50" fillId="0" borderId="0" xfId="2" applyFont="1" applyFill="1" applyAlignment="1">
      <alignment vertical="center"/>
    </xf>
    <xf numFmtId="9" fontId="8" fillId="2" borderId="0" xfId="2" applyFont="1" applyFill="1" applyBorder="1" applyAlignment="1">
      <alignment horizontal="right" vertical="center"/>
    </xf>
    <xf numFmtId="9" fontId="0" fillId="4" borderId="1" xfId="2" applyFont="1" applyFill="1" applyBorder="1"/>
    <xf numFmtId="164" fontId="56" fillId="2" borderId="1" xfId="1" applyNumberFormat="1" applyFont="1" applyFill="1" applyBorder="1"/>
    <xf numFmtId="9" fontId="17" fillId="4" borderId="1" xfId="2" applyFont="1" applyFill="1" applyBorder="1"/>
    <xf numFmtId="9" fontId="3" fillId="2" borderId="0" xfId="0" applyNumberFormat="1" applyFont="1" applyFill="1"/>
    <xf numFmtId="164" fontId="50" fillId="2" borderId="1" xfId="0" applyNumberFormat="1" applyFont="1" applyFill="1" applyBorder="1" applyAlignment="1">
      <alignment vertical="center"/>
    </xf>
    <xf numFmtId="165" fontId="8" fillId="0" borderId="0" xfId="0" applyNumberFormat="1" applyFont="1" applyAlignment="1">
      <alignment vertical="center"/>
    </xf>
    <xf numFmtId="165" fontId="3" fillId="0" borderId="0" xfId="2" applyNumberFormat="1" applyFont="1" applyFill="1" applyAlignment="1">
      <alignment horizontal="right"/>
    </xf>
    <xf numFmtId="9" fontId="3" fillId="0" borderId="0" xfId="2" applyFont="1" applyFill="1" applyAlignment="1">
      <alignment vertical="center"/>
    </xf>
    <xf numFmtId="0" fontId="3" fillId="0" borderId="0" xfId="0" applyFont="1" applyAlignment="1">
      <alignment vertical="center"/>
    </xf>
    <xf numFmtId="0" fontId="3" fillId="0" borderId="1" xfId="0" applyFont="1" applyBorder="1" applyAlignment="1">
      <alignment vertical="center"/>
    </xf>
    <xf numFmtId="9" fontId="17" fillId="0" borderId="0" xfId="2" applyFont="1" applyFill="1" applyBorder="1" applyAlignment="1">
      <alignment vertical="center"/>
    </xf>
    <xf numFmtId="165" fontId="3" fillId="0" borderId="0" xfId="2" applyNumberFormat="1" applyFont="1" applyFill="1" applyAlignment="1">
      <alignment vertical="center"/>
    </xf>
    <xf numFmtId="0" fontId="14" fillId="7" borderId="0" xfId="0" applyFont="1" applyFill="1" applyAlignment="1">
      <alignment horizontal="right" vertical="center" indent="2"/>
    </xf>
    <xf numFmtId="0" fontId="14" fillId="7" borderId="20" xfId="0" applyFont="1" applyFill="1" applyBorder="1" applyAlignment="1">
      <alignment horizontal="right" vertical="center"/>
    </xf>
    <xf numFmtId="0" fontId="14" fillId="7" borderId="0" xfId="0" applyFont="1" applyFill="1" applyAlignment="1">
      <alignment horizontal="center" vertical="center"/>
    </xf>
    <xf numFmtId="0" fontId="14" fillId="7" borderId="1" xfId="0" applyFont="1" applyFill="1" applyBorder="1" applyAlignment="1">
      <alignment horizontal="right" vertical="center"/>
    </xf>
    <xf numFmtId="0" fontId="0" fillId="2" borderId="0" xfId="0" applyFill="1" applyAlignment="1">
      <alignment horizontal="left" vertical="center" indent="2"/>
    </xf>
    <xf numFmtId="0" fontId="0" fillId="2" borderId="20" xfId="0" applyFill="1" applyBorder="1" applyAlignment="1">
      <alignment vertical="center"/>
    </xf>
    <xf numFmtId="0" fontId="0" fillId="2" borderId="1" xfId="0" applyFill="1" applyBorder="1" applyAlignment="1">
      <alignment vertical="center"/>
    </xf>
    <xf numFmtId="43" fontId="0" fillId="2" borderId="0" xfId="0" applyNumberFormat="1" applyFill="1" applyAlignment="1">
      <alignment vertical="center"/>
    </xf>
    <xf numFmtId="0" fontId="91" fillId="2" borderId="0" xfId="0" applyFont="1" applyFill="1" applyAlignment="1">
      <alignment vertical="center"/>
    </xf>
    <xf numFmtId="0" fontId="91" fillId="2" borderId="1" xfId="0" applyFont="1" applyFill="1" applyBorder="1" applyAlignment="1">
      <alignment vertical="center"/>
    </xf>
    <xf numFmtId="3" fontId="91" fillId="2" borderId="0" xfId="0" applyNumberFormat="1" applyFont="1" applyFill="1" applyAlignment="1">
      <alignment vertical="center"/>
    </xf>
    <xf numFmtId="3" fontId="91" fillId="2" borderId="1" xfId="0" applyNumberFormat="1" applyFont="1" applyFill="1" applyBorder="1" applyAlignment="1">
      <alignment vertical="center"/>
    </xf>
    <xf numFmtId="164" fontId="91" fillId="2" borderId="0" xfId="1" applyNumberFormat="1" applyFont="1" applyFill="1" applyAlignment="1">
      <alignment vertical="center"/>
    </xf>
    <xf numFmtId="164" fontId="91" fillId="10" borderId="0" xfId="1" applyNumberFormat="1" applyFont="1" applyFill="1" applyAlignment="1">
      <alignment vertical="center"/>
    </xf>
    <xf numFmtId="9" fontId="91" fillId="2" borderId="0" xfId="2" applyFont="1" applyFill="1" applyAlignment="1">
      <alignment vertical="center"/>
    </xf>
    <xf numFmtId="164" fontId="92" fillId="2" borderId="0" xfId="1" applyNumberFormat="1" applyFont="1" applyFill="1" applyAlignment="1">
      <alignment vertical="center"/>
    </xf>
    <xf numFmtId="0" fontId="92" fillId="2" borderId="0" xfId="0" applyFont="1" applyFill="1" applyAlignment="1">
      <alignment vertical="center"/>
    </xf>
    <xf numFmtId="0" fontId="92" fillId="2" borderId="1" xfId="0" applyFont="1" applyFill="1" applyBorder="1" applyAlignment="1">
      <alignment vertical="center"/>
    </xf>
    <xf numFmtId="3" fontId="92" fillId="2" borderId="0" xfId="0" applyNumberFormat="1" applyFont="1" applyFill="1" applyAlignment="1">
      <alignment vertical="center"/>
    </xf>
    <xf numFmtId="3" fontId="92" fillId="2" borderId="1" xfId="0" applyNumberFormat="1" applyFont="1" applyFill="1" applyBorder="1" applyAlignment="1">
      <alignment vertical="center"/>
    </xf>
    <xf numFmtId="164" fontId="92" fillId="10" borderId="0" xfId="1" applyNumberFormat="1" applyFont="1" applyFill="1" applyAlignment="1">
      <alignment vertical="center"/>
    </xf>
    <xf numFmtId="9" fontId="92" fillId="2" borderId="0" xfId="2" applyFont="1" applyFill="1" applyAlignment="1">
      <alignment vertical="center"/>
    </xf>
    <xf numFmtId="10" fontId="92" fillId="2" borderId="0" xfId="1" applyNumberFormat="1" applyFont="1" applyFill="1" applyAlignment="1">
      <alignment vertical="center"/>
    </xf>
    <xf numFmtId="164" fontId="0" fillId="2" borderId="20" xfId="0" applyNumberFormat="1" applyFill="1" applyBorder="1" applyAlignment="1">
      <alignment vertical="center"/>
    </xf>
    <xf numFmtId="10" fontId="91" fillId="2" borderId="0" xfId="0" applyNumberFormat="1" applyFont="1" applyFill="1" applyAlignment="1">
      <alignment vertical="center"/>
    </xf>
    <xf numFmtId="164" fontId="0" fillId="2" borderId="1" xfId="0" applyNumberFormat="1" applyFill="1" applyBorder="1" applyAlignment="1">
      <alignment vertical="center"/>
    </xf>
    <xf numFmtId="0" fontId="93" fillId="2" borderId="0" xfId="0" applyFont="1" applyFill="1" applyAlignment="1">
      <alignment vertical="center"/>
    </xf>
    <xf numFmtId="0" fontId="93" fillId="2" borderId="1" xfId="0" applyFont="1" applyFill="1" applyBorder="1" applyAlignment="1">
      <alignment vertical="center"/>
    </xf>
    <xf numFmtId="3" fontId="93" fillId="2" borderId="0" xfId="0" applyNumberFormat="1" applyFont="1" applyFill="1" applyAlignment="1">
      <alignment vertical="center"/>
    </xf>
    <xf numFmtId="3" fontId="93" fillId="2" borderId="1" xfId="0" applyNumberFormat="1" applyFont="1" applyFill="1" applyBorder="1" applyAlignment="1">
      <alignment vertical="center"/>
    </xf>
    <xf numFmtId="164" fontId="93" fillId="2" borderId="0" xfId="1" applyNumberFormat="1" applyFont="1" applyFill="1" applyAlignment="1">
      <alignment vertical="center"/>
    </xf>
    <xf numFmtId="9" fontId="93" fillId="2" borderId="0" xfId="2" applyFont="1" applyFill="1" applyAlignment="1">
      <alignment vertical="center"/>
    </xf>
    <xf numFmtId="0" fontId="0" fillId="2" borderId="20" xfId="0" applyFill="1" applyBorder="1" applyAlignment="1">
      <alignment horizontal="left" vertical="center"/>
    </xf>
    <xf numFmtId="0" fontId="94" fillId="9" borderId="0" xfId="0" applyFont="1" applyFill="1" applyAlignment="1">
      <alignment vertical="center" wrapText="1"/>
    </xf>
    <xf numFmtId="166" fontId="91" fillId="2" borderId="0" xfId="1" applyNumberFormat="1" applyFont="1" applyFill="1" applyAlignment="1">
      <alignment vertical="center"/>
    </xf>
    <xf numFmtId="164" fontId="94" fillId="9" borderId="0" xfId="0" applyNumberFormat="1" applyFont="1" applyFill="1" applyAlignment="1">
      <alignment vertical="center" wrapText="1"/>
    </xf>
    <xf numFmtId="164" fontId="91" fillId="2" borderId="0" xfId="0" applyNumberFormat="1" applyFont="1" applyFill="1" applyAlignment="1">
      <alignment vertical="center"/>
    </xf>
    <xf numFmtId="164" fontId="0" fillId="2" borderId="0" xfId="0" applyNumberFormat="1" applyFill="1" applyAlignment="1">
      <alignment horizontal="center" vertical="center"/>
    </xf>
    <xf numFmtId="0" fontId="91" fillId="4" borderId="1" xfId="0" applyFont="1" applyFill="1" applyBorder="1" applyAlignment="1">
      <alignment vertical="center"/>
    </xf>
    <xf numFmtId="165" fontId="0" fillId="2" borderId="20" xfId="0" applyNumberFormat="1" applyFill="1" applyBorder="1" applyAlignment="1">
      <alignment vertical="center"/>
    </xf>
    <xf numFmtId="10" fontId="92" fillId="2" borderId="0" xfId="0" applyNumberFormat="1" applyFont="1" applyFill="1" applyAlignment="1">
      <alignment vertical="center"/>
    </xf>
    <xf numFmtId="0" fontId="92" fillId="4" borderId="1" xfId="0" applyFont="1" applyFill="1" applyBorder="1" applyAlignment="1">
      <alignment vertical="center"/>
    </xf>
    <xf numFmtId="0" fontId="0" fillId="2" borderId="0" xfId="0" applyFill="1" applyAlignment="1">
      <alignment vertical="center" indent="2"/>
    </xf>
    <xf numFmtId="0" fontId="95" fillId="2" borderId="0" xfId="0" applyFont="1" applyFill="1" applyAlignment="1">
      <alignment vertical="center"/>
    </xf>
    <xf numFmtId="0" fontId="95" fillId="2" borderId="1" xfId="0" applyFont="1" applyFill="1" applyBorder="1" applyAlignment="1">
      <alignment vertical="center"/>
    </xf>
    <xf numFmtId="10" fontId="95" fillId="2" borderId="0" xfId="0" applyNumberFormat="1" applyFont="1" applyFill="1" applyAlignment="1">
      <alignment vertical="center"/>
    </xf>
    <xf numFmtId="164" fontId="0" fillId="2" borderId="20" xfId="1" quotePrefix="1" applyNumberFormat="1" applyFont="1" applyFill="1" applyBorder="1" applyAlignment="1">
      <alignment vertical="center"/>
    </xf>
    <xf numFmtId="164" fontId="0" fillId="0" borderId="0" xfId="1" applyNumberFormat="1" applyFont="1" applyFill="1" applyBorder="1" applyAlignment="1">
      <alignment vertical="center"/>
    </xf>
    <xf numFmtId="0" fontId="96" fillId="2" borderId="0" xfId="0" applyFont="1" applyFill="1" applyAlignment="1">
      <alignment vertical="center"/>
    </xf>
    <xf numFmtId="0" fontId="96" fillId="2" borderId="1" xfId="0" applyFont="1" applyFill="1" applyBorder="1" applyAlignment="1">
      <alignment vertical="center"/>
    </xf>
    <xf numFmtId="10" fontId="97" fillId="2" borderId="0" xfId="0" applyNumberFormat="1" applyFont="1" applyFill="1" applyAlignment="1">
      <alignment vertical="center"/>
    </xf>
    <xf numFmtId="9" fontId="91" fillId="2" borderId="0" xfId="0" applyNumberFormat="1" applyFont="1" applyFill="1" applyAlignment="1">
      <alignment vertical="center"/>
    </xf>
    <xf numFmtId="9" fontId="91" fillId="2" borderId="1" xfId="0" applyNumberFormat="1" applyFont="1" applyFill="1" applyBorder="1" applyAlignment="1">
      <alignment vertical="center"/>
    </xf>
    <xf numFmtId="10" fontId="97" fillId="2" borderId="1" xfId="0" applyNumberFormat="1" applyFont="1" applyFill="1" applyBorder="1" applyAlignment="1">
      <alignment vertical="center"/>
    </xf>
    <xf numFmtId="0" fontId="97" fillId="2" borderId="0" xfId="0" applyFont="1" applyFill="1" applyAlignment="1">
      <alignment vertical="center"/>
    </xf>
    <xf numFmtId="9" fontId="0" fillId="2" borderId="0" xfId="0" applyNumberFormat="1" applyFill="1" applyAlignment="1">
      <alignment vertical="center"/>
    </xf>
    <xf numFmtId="9" fontId="0" fillId="2" borderId="20" xfId="0" applyNumberFormat="1" applyFill="1" applyBorder="1" applyAlignment="1">
      <alignment vertical="center"/>
    </xf>
    <xf numFmtId="0" fontId="0" fillId="0" borderId="0" xfId="0" applyAlignment="1">
      <alignment horizontal="center" vertical="center"/>
    </xf>
    <xf numFmtId="0" fontId="97" fillId="0" borderId="0" xfId="0" applyFont="1" applyAlignment="1">
      <alignment horizontal="right" vertical="center"/>
    </xf>
    <xf numFmtId="0" fontId="93" fillId="0" borderId="0" xfId="0" applyFont="1" applyAlignment="1">
      <alignment vertical="center"/>
    </xf>
    <xf numFmtId="10" fontId="97" fillId="0" borderId="0" xfId="0" applyNumberFormat="1" applyFont="1" applyAlignment="1">
      <alignment vertical="center"/>
    </xf>
    <xf numFmtId="10" fontId="97" fillId="0" borderId="1" xfId="0" applyNumberFormat="1" applyFont="1" applyBorder="1" applyAlignment="1">
      <alignment vertical="center"/>
    </xf>
    <xf numFmtId="0" fontId="97" fillId="0" borderId="0" xfId="0" applyFont="1" applyAlignment="1">
      <alignment vertical="center"/>
    </xf>
    <xf numFmtId="0" fontId="91" fillId="0" borderId="0" xfId="0" applyFont="1" applyAlignment="1">
      <alignment vertical="center"/>
    </xf>
    <xf numFmtId="0" fontId="91" fillId="0" borderId="1" xfId="0" applyFont="1" applyBorder="1" applyAlignment="1">
      <alignment vertical="center"/>
    </xf>
    <xf numFmtId="1" fontId="0" fillId="2" borderId="0" xfId="0" applyNumberFormat="1" applyFill="1" applyAlignment="1">
      <alignment vertical="center"/>
    </xf>
    <xf numFmtId="0" fontId="97" fillId="2" borderId="0" xfId="0" applyFont="1" applyFill="1" applyAlignment="1">
      <alignment horizontal="right" vertical="center"/>
    </xf>
    <xf numFmtId="0" fontId="98" fillId="2" borderId="0" xfId="0" applyFont="1" applyFill="1" applyAlignment="1">
      <alignment vertical="center"/>
    </xf>
    <xf numFmtId="0" fontId="0" fillId="0" borderId="20" xfId="0" applyBorder="1" applyAlignment="1">
      <alignment horizontal="right" vertical="center"/>
    </xf>
    <xf numFmtId="0" fontId="0" fillId="0" borderId="1" xfId="0" applyBorder="1" applyAlignment="1">
      <alignment vertical="center"/>
    </xf>
    <xf numFmtId="0" fontId="0" fillId="4" borderId="0" xfId="0" applyFill="1" applyAlignment="1">
      <alignment vertical="center"/>
    </xf>
    <xf numFmtId="9" fontId="0" fillId="0" borderId="0" xfId="0" applyNumberFormat="1" applyAlignment="1">
      <alignment horizontal="right" vertical="center"/>
    </xf>
    <xf numFmtId="9" fontId="0" fillId="0" borderId="20" xfId="0" applyNumberFormat="1" applyBorder="1" applyAlignment="1">
      <alignment horizontal="right" vertical="center"/>
    </xf>
    <xf numFmtId="9" fontId="0" fillId="2" borderId="0" xfId="0" applyNumberFormat="1" applyFill="1" applyAlignment="1">
      <alignment horizontal="right" vertical="center"/>
    </xf>
    <xf numFmtId="0" fontId="99" fillId="2" borderId="0" xfId="0" applyFont="1" applyFill="1" applyAlignment="1">
      <alignment horizontal="right" vertical="center"/>
    </xf>
    <xf numFmtId="10" fontId="99" fillId="2" borderId="0" xfId="0" applyNumberFormat="1" applyFont="1" applyFill="1" applyAlignment="1">
      <alignment vertical="center"/>
    </xf>
    <xf numFmtId="10" fontId="99" fillId="2" borderId="1" xfId="0" applyNumberFormat="1" applyFont="1" applyFill="1" applyBorder="1" applyAlignment="1">
      <alignment vertical="center"/>
    </xf>
    <xf numFmtId="0" fontId="99" fillId="2" borderId="0" xfId="0" applyFont="1" applyFill="1" applyAlignment="1">
      <alignment vertical="center"/>
    </xf>
    <xf numFmtId="0" fontId="98" fillId="2" borderId="1" xfId="0" applyFont="1" applyFill="1" applyBorder="1" applyAlignment="1">
      <alignment vertical="center"/>
    </xf>
    <xf numFmtId="0" fontId="0" fillId="0" borderId="0" xfId="0" applyAlignment="1">
      <alignment indent="2"/>
    </xf>
    <xf numFmtId="0" fontId="0" fillId="0" borderId="20" xfId="0" applyBorder="1"/>
    <xf numFmtId="0" fontId="0" fillId="0" borderId="0" xfId="0" applyAlignment="1">
      <alignment horizontal="left" indent="4"/>
    </xf>
    <xf numFmtId="0" fontId="0" fillId="2" borderId="0" xfId="0" applyFill="1" applyAlignment="1">
      <alignment horizontal="left" vertical="center" indent="4"/>
    </xf>
    <xf numFmtId="165" fontId="0" fillId="0" borderId="0" xfId="0" applyNumberFormat="1"/>
    <xf numFmtId="165" fontId="0" fillId="0" borderId="20" xfId="0" applyNumberFormat="1" applyBorder="1"/>
    <xf numFmtId="10" fontId="0" fillId="0" borderId="0" xfId="0" applyNumberFormat="1"/>
    <xf numFmtId="164" fontId="0" fillId="2" borderId="0" xfId="0" applyNumberFormat="1" applyFill="1" applyAlignment="1">
      <alignment horizontal="left" vertical="center"/>
    </xf>
    <xf numFmtId="164" fontId="0" fillId="2" borderId="20" xfId="0" applyNumberFormat="1" applyFill="1" applyBorder="1" applyAlignment="1">
      <alignment horizontal="left" vertical="center"/>
    </xf>
    <xf numFmtId="171" fontId="0" fillId="0" borderId="0" xfId="0" applyNumberFormat="1"/>
    <xf numFmtId="171" fontId="0" fillId="2" borderId="0" xfId="0" applyNumberFormat="1" applyFill="1" applyAlignment="1">
      <alignment vertical="center"/>
    </xf>
    <xf numFmtId="165" fontId="0" fillId="2" borderId="0" xfId="0" applyNumberFormat="1" applyFill="1" applyAlignment="1">
      <alignment horizontal="left" vertical="center"/>
    </xf>
    <xf numFmtId="165" fontId="0" fillId="2" borderId="20" xfId="0" applyNumberFormat="1" applyFill="1" applyBorder="1" applyAlignment="1">
      <alignment horizontal="left" vertical="center"/>
    </xf>
    <xf numFmtId="43" fontId="0" fillId="2" borderId="0" xfId="0" applyNumberFormat="1" applyFill="1" applyAlignment="1">
      <alignment horizontal="left" vertical="center"/>
    </xf>
    <xf numFmtId="43" fontId="0" fillId="2" borderId="20" xfId="0" applyNumberFormat="1" applyFill="1" applyBorder="1" applyAlignment="1">
      <alignment horizontal="left" vertical="center"/>
    </xf>
    <xf numFmtId="10" fontId="0" fillId="10" borderId="0" xfId="0" applyNumberFormat="1" applyFill="1" applyAlignment="1">
      <alignment horizontal="left" vertical="center"/>
    </xf>
    <xf numFmtId="10" fontId="0" fillId="10" borderId="20" xfId="0" applyNumberFormat="1" applyFill="1" applyBorder="1" applyAlignment="1">
      <alignment horizontal="left" vertical="center"/>
    </xf>
    <xf numFmtId="165" fontId="0" fillId="2" borderId="0" xfId="0" applyNumberFormat="1" applyFill="1" applyAlignment="1">
      <alignment horizontal="right" vertical="center"/>
    </xf>
    <xf numFmtId="0" fontId="23" fillId="2" borderId="0" xfId="3" applyFill="1" applyAlignment="1">
      <alignment horizontal="left" vertical="center"/>
    </xf>
    <xf numFmtId="0" fontId="14" fillId="7" borderId="0" xfId="0" applyFont="1" applyFill="1" applyAlignment="1">
      <alignment horizontal="right" indent="4"/>
    </xf>
    <xf numFmtId="0" fontId="14" fillId="7" borderId="0" xfId="0" applyFont="1" applyFill="1" applyAlignment="1">
      <alignment horizontal="center"/>
    </xf>
    <xf numFmtId="0" fontId="14" fillId="7" borderId="0" xfId="0" applyFont="1" applyFill="1" applyAlignment="1">
      <alignment horizontal="left"/>
    </xf>
    <xf numFmtId="0" fontId="3" fillId="7" borderId="0" xfId="0" applyFont="1" applyFill="1" applyAlignment="1">
      <alignment horizontal="right"/>
    </xf>
    <xf numFmtId="0" fontId="14" fillId="7" borderId="1" xfId="0" applyFont="1" applyFill="1" applyBorder="1" applyAlignment="1">
      <alignment horizontal="right"/>
    </xf>
    <xf numFmtId="0" fontId="14" fillId="2" borderId="0" xfId="0" applyFont="1" applyFill="1" applyAlignment="1">
      <alignment horizontal="left" indent="4"/>
    </xf>
    <xf numFmtId="0" fontId="23" fillId="0" borderId="0" xfId="3"/>
    <xf numFmtId="0" fontId="34" fillId="7" borderId="0" xfId="0" applyFont="1" applyFill="1" applyAlignment="1">
      <alignment horizontal="right" vertical="center"/>
    </xf>
    <xf numFmtId="0" fontId="0" fillId="2" borderId="20" xfId="0" applyFill="1" applyBorder="1"/>
    <xf numFmtId="0" fontId="0" fillId="2" borderId="0" xfId="0" applyFill="1" applyAlignment="1">
      <alignment horizontal="left" indent="4"/>
    </xf>
    <xf numFmtId="165" fontId="0" fillId="2" borderId="0" xfId="0" applyNumberFormat="1" applyFill="1"/>
    <xf numFmtId="167" fontId="0" fillId="2" borderId="0" xfId="0" applyNumberFormat="1" applyFill="1"/>
    <xf numFmtId="167" fontId="0" fillId="2" borderId="20" xfId="0" applyNumberFormat="1" applyFill="1" applyBorder="1"/>
    <xf numFmtId="0" fontId="34" fillId="2" borderId="0" xfId="0" applyFont="1" applyFill="1" applyAlignment="1">
      <alignment horizontal="right" vertical="center"/>
    </xf>
    <xf numFmtId="9" fontId="21" fillId="2" borderId="0" xfId="2" applyFont="1" applyFill="1"/>
    <xf numFmtId="0" fontId="10" fillId="2" borderId="0" xfId="0" applyFont="1" applyFill="1" applyAlignment="1">
      <alignment horizontal="left" vertical="top" indent="2"/>
    </xf>
    <xf numFmtId="166" fontId="0" fillId="2" borderId="0" xfId="0" applyNumberFormat="1" applyFill="1" applyAlignment="1">
      <alignment horizontal="left" indent="3"/>
    </xf>
    <xf numFmtId="166" fontId="0" fillId="2" borderId="0" xfId="0" applyNumberFormat="1" applyFill="1"/>
    <xf numFmtId="9" fontId="0" fillId="2" borderId="20" xfId="1" applyNumberFormat="1" applyFont="1" applyFill="1" applyBorder="1"/>
    <xf numFmtId="166" fontId="0" fillId="2" borderId="20" xfId="0" applyNumberFormat="1" applyFill="1" applyBorder="1"/>
    <xf numFmtId="0" fontId="45" fillId="2" borderId="0" xfId="0" applyFont="1" applyFill="1" applyAlignment="1">
      <alignment horizontal="left" vertical="center" indent="2"/>
    </xf>
    <xf numFmtId="9" fontId="0" fillId="2" borderId="0" xfId="0" applyNumberFormat="1" applyFill="1"/>
    <xf numFmtId="9" fontId="0" fillId="2" borderId="0" xfId="0" applyNumberFormat="1" applyFill="1" applyAlignment="1">
      <alignment vertical="top" wrapText="1"/>
    </xf>
    <xf numFmtId="0" fontId="0" fillId="2" borderId="0" xfId="0" applyFill="1" applyAlignment="1">
      <alignment horizontal="left" indent="5"/>
    </xf>
    <xf numFmtId="0" fontId="100" fillId="2" borderId="0" xfId="0" applyFont="1" applyFill="1" applyAlignment="1">
      <alignment horizontal="right"/>
    </xf>
    <xf numFmtId="0" fontId="66" fillId="2" borderId="0" xfId="0" applyFont="1" applyFill="1"/>
    <xf numFmtId="10" fontId="100" fillId="2" borderId="0" xfId="0" applyNumberFormat="1" applyFont="1" applyFill="1"/>
    <xf numFmtId="10" fontId="100" fillId="2" borderId="1" xfId="0" applyNumberFormat="1" applyFont="1" applyFill="1" applyBorder="1"/>
    <xf numFmtId="0" fontId="100" fillId="2" borderId="0" xfId="0" applyFont="1" applyFill="1"/>
    <xf numFmtId="0" fontId="75" fillId="2" borderId="1" xfId="0" applyFont="1" applyFill="1" applyBorder="1"/>
    <xf numFmtId="0" fontId="101" fillId="2" borderId="0" xfId="0" applyFont="1" applyFill="1"/>
    <xf numFmtId="164" fontId="0" fillId="2" borderId="0" xfId="2" applyNumberFormat="1" applyFont="1" applyFill="1"/>
    <xf numFmtId="9" fontId="0" fillId="0" borderId="0" xfId="2" applyFont="1" applyFill="1"/>
    <xf numFmtId="0" fontId="106" fillId="2" borderId="0" xfId="0" applyFont="1" applyFill="1" applyAlignment="1">
      <alignment horizontal="right"/>
    </xf>
    <xf numFmtId="10" fontId="106" fillId="2" borderId="0" xfId="0" applyNumberFormat="1" applyFont="1" applyFill="1"/>
    <xf numFmtId="10" fontId="106" fillId="2" borderId="1" xfId="0" applyNumberFormat="1" applyFont="1" applyFill="1" applyBorder="1"/>
    <xf numFmtId="0" fontId="106" fillId="2" borderId="0" xfId="0" applyFont="1" applyFill="1"/>
    <xf numFmtId="0" fontId="0" fillId="2" borderId="1" xfId="0" applyFill="1" applyBorder="1"/>
    <xf numFmtId="0" fontId="107" fillId="2" borderId="0" xfId="0" applyFont="1" applyFill="1"/>
    <xf numFmtId="0" fontId="108" fillId="2" borderId="0" xfId="0" applyFont="1" applyFill="1"/>
    <xf numFmtId="0" fontId="108" fillId="2" borderId="1" xfId="0" applyFont="1" applyFill="1" applyBorder="1"/>
    <xf numFmtId="43" fontId="0" fillId="2" borderId="1" xfId="1" applyFont="1" applyFill="1" applyBorder="1"/>
    <xf numFmtId="4" fontId="0" fillId="2" borderId="0" xfId="0" applyNumberFormat="1" applyFill="1"/>
    <xf numFmtId="4" fontId="0" fillId="2" borderId="1" xfId="0" applyNumberFormat="1" applyFill="1" applyBorder="1"/>
    <xf numFmtId="0" fontId="0" fillId="4" borderId="0" xfId="0" applyFill="1"/>
    <xf numFmtId="0" fontId="0" fillId="4" borderId="20" xfId="0" applyFill="1" applyBorder="1"/>
    <xf numFmtId="0" fontId="0" fillId="4" borderId="0" xfId="0" applyFill="1" applyAlignment="1">
      <alignment horizontal="left"/>
    </xf>
    <xf numFmtId="0" fontId="14" fillId="2" borderId="0" xfId="0" applyFont="1" applyFill="1" applyAlignment="1">
      <alignment horizontal="left"/>
    </xf>
    <xf numFmtId="10" fontId="0" fillId="2" borderId="0" xfId="0" applyNumberFormat="1" applyFill="1" applyAlignment="1">
      <alignment horizontal="center"/>
    </xf>
    <xf numFmtId="1" fontId="0" fillId="2" borderId="0" xfId="0" applyNumberFormat="1" applyFill="1"/>
    <xf numFmtId="1" fontId="0" fillId="2" borderId="20" xfId="0" applyNumberFormat="1" applyFill="1" applyBorder="1"/>
    <xf numFmtId="0" fontId="109" fillId="0" borderId="0" xfId="0" applyFont="1" applyAlignment="1">
      <alignment horizontal="left" wrapText="1"/>
    </xf>
    <xf numFmtId="0" fontId="14" fillId="7" borderId="0" xfId="0" applyFont="1" applyFill="1" applyAlignment="1">
      <alignment horizontal="right" indent="1"/>
    </xf>
    <xf numFmtId="0" fontId="93" fillId="2" borderId="0" xfId="0" applyFont="1" applyFill="1"/>
    <xf numFmtId="0" fontId="91" fillId="2" borderId="0" xfId="0" applyFont="1" applyFill="1"/>
    <xf numFmtId="0" fontId="97" fillId="2" borderId="0" xfId="0" applyFont="1" applyFill="1" applyAlignment="1">
      <alignment horizontal="right"/>
    </xf>
    <xf numFmtId="0" fontId="91" fillId="2" borderId="0" xfId="0" applyFont="1" applyFill="1" applyAlignment="1">
      <alignment horizontal="right"/>
    </xf>
    <xf numFmtId="0" fontId="91" fillId="2" borderId="1" xfId="0" applyFont="1" applyFill="1" applyBorder="1" applyAlignment="1">
      <alignment horizontal="right"/>
    </xf>
    <xf numFmtId="3" fontId="91" fillId="2" borderId="0" xfId="0" applyNumberFormat="1" applyFont="1" applyFill="1" applyAlignment="1">
      <alignment horizontal="right"/>
    </xf>
    <xf numFmtId="3" fontId="91" fillId="2" borderId="1" xfId="0" applyNumberFormat="1" applyFont="1" applyFill="1" applyBorder="1" applyAlignment="1">
      <alignment horizontal="right"/>
    </xf>
    <xf numFmtId="0" fontId="91" fillId="2" borderId="1" xfId="0" applyFont="1" applyFill="1" applyBorder="1"/>
    <xf numFmtId="3" fontId="91" fillId="2" borderId="0" xfId="0" applyNumberFormat="1" applyFont="1" applyFill="1"/>
    <xf numFmtId="3" fontId="91" fillId="2" borderId="1" xfId="0" applyNumberFormat="1" applyFont="1" applyFill="1" applyBorder="1"/>
    <xf numFmtId="9" fontId="0" fillId="0" borderId="0" xfId="0" applyNumberFormat="1" applyAlignment="1">
      <alignment horizontal="center"/>
    </xf>
    <xf numFmtId="0" fontId="0" fillId="0" borderId="0" xfId="0" applyAlignment="1">
      <alignment horizontal="center"/>
    </xf>
    <xf numFmtId="0" fontId="91" fillId="0" borderId="0" xfId="0" applyFont="1"/>
    <xf numFmtId="0" fontId="91" fillId="0" borderId="1" xfId="0" applyFont="1" applyBorder="1"/>
    <xf numFmtId="9" fontId="0" fillId="2" borderId="1" xfId="0" applyNumberFormat="1" applyFill="1" applyBorder="1"/>
    <xf numFmtId="0" fontId="92" fillId="2" borderId="0" xfId="0" applyFont="1" applyFill="1"/>
    <xf numFmtId="0" fontId="92" fillId="2" borderId="1" xfId="0" applyFont="1" applyFill="1" applyBorder="1"/>
    <xf numFmtId="9" fontId="0" fillId="2" borderId="20" xfId="0" applyNumberFormat="1" applyFill="1" applyBorder="1"/>
    <xf numFmtId="0" fontId="0" fillId="0" borderId="0" xfId="0" applyAlignment="1">
      <alignment horizontal="left" indent="1"/>
    </xf>
    <xf numFmtId="9" fontId="0" fillId="0" borderId="0" xfId="0" applyNumberFormat="1"/>
    <xf numFmtId="9" fontId="0" fillId="0" borderId="20" xfId="0" applyNumberFormat="1" applyBorder="1"/>
    <xf numFmtId="0" fontId="0" fillId="0" borderId="1" xfId="0" applyBorder="1"/>
    <xf numFmtId="9" fontId="91" fillId="2" borderId="0" xfId="0" applyNumberFormat="1" applyFont="1" applyFill="1"/>
    <xf numFmtId="9" fontId="91" fillId="2" borderId="1" xfId="0" applyNumberFormat="1" applyFont="1" applyFill="1" applyBorder="1"/>
    <xf numFmtId="0" fontId="0" fillId="2" borderId="0" xfId="0" quotePrefix="1" applyFill="1" applyAlignment="1">
      <alignment horizontal="left" vertical="center"/>
    </xf>
    <xf numFmtId="0" fontId="98" fillId="2" borderId="0" xfId="0" applyFont="1" applyFill="1"/>
    <xf numFmtId="10" fontId="97" fillId="2" borderId="0" xfId="0" applyNumberFormat="1" applyFont="1" applyFill="1"/>
    <xf numFmtId="10" fontId="97" fillId="2" borderId="1" xfId="0" applyNumberFormat="1" applyFont="1" applyFill="1" applyBorder="1"/>
    <xf numFmtId="0" fontId="97" fillId="2" borderId="0" xfId="0" applyFont="1" applyFill="1"/>
    <xf numFmtId="164" fontId="0" fillId="2" borderId="1" xfId="0" applyNumberFormat="1" applyFill="1" applyBorder="1"/>
    <xf numFmtId="10" fontId="0" fillId="2" borderId="1" xfId="0" applyNumberFormat="1" applyFill="1" applyBorder="1"/>
    <xf numFmtId="10" fontId="99" fillId="2" borderId="0" xfId="0" applyNumberFormat="1" applyFont="1" applyFill="1"/>
    <xf numFmtId="10" fontId="99" fillId="2" borderId="1" xfId="0" applyNumberFormat="1" applyFont="1" applyFill="1" applyBorder="1"/>
    <xf numFmtId="0" fontId="99" fillId="2" borderId="0" xfId="0" applyFont="1" applyFill="1"/>
    <xf numFmtId="0" fontId="98" fillId="2" borderId="1" xfId="0" applyFont="1" applyFill="1" applyBorder="1"/>
    <xf numFmtId="43" fontId="0" fillId="2" borderId="20" xfId="0" applyNumberFormat="1" applyFill="1" applyBorder="1" applyAlignment="1">
      <alignment vertical="center"/>
    </xf>
    <xf numFmtId="0" fontId="0" fillId="2" borderId="12" xfId="0" applyFill="1" applyBorder="1" applyAlignment="1">
      <alignment horizontal="left" wrapText="1" indent="4"/>
    </xf>
    <xf numFmtId="10" fontId="0" fillId="2" borderId="9" xfId="0" applyNumberFormat="1" applyFill="1" applyBorder="1" applyAlignment="1">
      <alignment horizontal="right" wrapText="1"/>
    </xf>
    <xf numFmtId="0" fontId="110" fillId="2" borderId="0" xfId="0" applyFont="1" applyFill="1" applyAlignment="1">
      <alignment indent="2"/>
    </xf>
    <xf numFmtId="167" fontId="0" fillId="2" borderId="9" xfId="0" applyNumberFormat="1" applyFill="1" applyBorder="1" applyAlignment="1">
      <alignment horizontal="right" wrapText="1"/>
    </xf>
    <xf numFmtId="0" fontId="111" fillId="2" borderId="0" xfId="0" applyFont="1" applyFill="1" applyAlignment="1">
      <alignment indent="2"/>
    </xf>
    <xf numFmtId="2" fontId="0" fillId="2" borderId="9" xfId="0" applyNumberFormat="1" applyFill="1" applyBorder="1" applyAlignment="1">
      <alignment horizontal="right" wrapText="1"/>
    </xf>
    <xf numFmtId="0" fontId="112" fillId="2" borderId="0" xfId="0" applyFont="1" applyFill="1" applyAlignment="1">
      <alignment indent="2"/>
    </xf>
    <xf numFmtId="0" fontId="113" fillId="0" borderId="0" xfId="0" applyFont="1" applyAlignment="1">
      <alignment indent="2"/>
    </xf>
    <xf numFmtId="0" fontId="23" fillId="2" borderId="0" xfId="3" applyFill="1" applyAlignment="1">
      <alignment indent="2"/>
    </xf>
    <xf numFmtId="0" fontId="69" fillId="2" borderId="0" xfId="0" applyFont="1" applyFill="1" applyAlignment="1">
      <alignment horizontal="left" indent="4"/>
    </xf>
    <xf numFmtId="10" fontId="69" fillId="2" borderId="0" xfId="0" applyNumberFormat="1" applyFont="1" applyFill="1"/>
    <xf numFmtId="0" fontId="0" fillId="2" borderId="0" xfId="0" applyFill="1" applyAlignment="1">
      <alignment horizontal="left" indent="2"/>
    </xf>
    <xf numFmtId="0" fontId="114" fillId="2" borderId="0" xfId="0" applyFont="1" applyFill="1" applyAlignment="1">
      <alignment horizontal="left" vertical="center" wrapText="1" indent="2"/>
    </xf>
    <xf numFmtId="0" fontId="114" fillId="2" borderId="0" xfId="0" applyFont="1" applyFill="1" applyAlignment="1">
      <alignment horizontal="center" vertical="center" wrapText="1"/>
    </xf>
    <xf numFmtId="0" fontId="115" fillId="2" borderId="0" xfId="0" applyFont="1" applyFill="1" applyAlignment="1">
      <alignment horizontal="left" indent="2"/>
    </xf>
    <xf numFmtId="0" fontId="115" fillId="2" borderId="0" xfId="0" applyFont="1" applyFill="1"/>
    <xf numFmtId="2" fontId="115" fillId="2" borderId="0" xfId="0" applyNumberFormat="1" applyFont="1" applyFill="1"/>
    <xf numFmtId="0" fontId="112" fillId="2" borderId="0" xfId="0" applyFont="1" applyFill="1" applyAlignment="1">
      <alignment horizontal="left" indent="2"/>
    </xf>
    <xf numFmtId="0" fontId="112" fillId="2" borderId="0" xfId="0" applyFont="1" applyFill="1"/>
    <xf numFmtId="2" fontId="112" fillId="2" borderId="0" xfId="0" applyNumberFormat="1" applyFont="1" applyFill="1"/>
    <xf numFmtId="0" fontId="116" fillId="4" borderId="0" xfId="0" applyFont="1" applyFill="1" applyAlignment="1">
      <alignment horizontal="left" indent="2"/>
    </xf>
    <xf numFmtId="0" fontId="114" fillId="2" borderId="0" xfId="0" applyFont="1" applyFill="1" applyAlignment="1">
      <alignment horizontal="left" indent="2"/>
    </xf>
    <xf numFmtId="0" fontId="114" fillId="2" borderId="0" xfId="0" applyFont="1" applyFill="1"/>
    <xf numFmtId="2" fontId="114" fillId="2" borderId="0" xfId="0" applyNumberFormat="1" applyFont="1" applyFill="1"/>
    <xf numFmtId="0" fontId="80" fillId="7" borderId="0" xfId="0" applyFont="1" applyFill="1" applyAlignment="1">
      <alignment horizontal="left" indent="2"/>
    </xf>
    <xf numFmtId="0" fontId="80" fillId="7" borderId="2" xfId="0" applyFont="1" applyFill="1" applyBorder="1"/>
    <xf numFmtId="0" fontId="80" fillId="7" borderId="23" xfId="0" applyFont="1" applyFill="1" applyBorder="1"/>
    <xf numFmtId="167" fontId="115" fillId="0" borderId="5" xfId="0" applyNumberFormat="1" applyFont="1" applyBorder="1"/>
    <xf numFmtId="167" fontId="115" fillId="0" borderId="24" xfId="0" applyNumberFormat="1" applyFont="1" applyBorder="1"/>
    <xf numFmtId="0" fontId="115" fillId="0" borderId="24" xfId="0" applyFont="1" applyBorder="1"/>
    <xf numFmtId="10" fontId="115" fillId="0" borderId="24" xfId="0" applyNumberFormat="1" applyFont="1" applyBorder="1"/>
    <xf numFmtId="0" fontId="116" fillId="2" borderId="0" xfId="0" applyFont="1" applyFill="1" applyAlignment="1">
      <alignment horizontal="left" indent="2"/>
    </xf>
    <xf numFmtId="0" fontId="14" fillId="7" borderId="0" xfId="0" applyFont="1" applyFill="1" applyAlignment="1">
      <alignment horizontal="right" indent="2"/>
    </xf>
    <xf numFmtId="9" fontId="0" fillId="4" borderId="0" xfId="0" applyNumberFormat="1" applyFill="1"/>
    <xf numFmtId="9" fontId="0" fillId="4" borderId="1" xfId="0" applyNumberFormat="1" applyFill="1" applyBorder="1"/>
    <xf numFmtId="0" fontId="0" fillId="4" borderId="0" xfId="0" applyFill="1" applyAlignment="1">
      <alignment horizontal="left" indent="2"/>
    </xf>
    <xf numFmtId="0" fontId="0" fillId="4" borderId="1" xfId="0" applyFill="1" applyBorder="1"/>
    <xf numFmtId="165" fontId="0" fillId="2" borderId="1" xfId="0" applyNumberFormat="1" applyFill="1" applyBorder="1"/>
    <xf numFmtId="166" fontId="0" fillId="2" borderId="1" xfId="0" applyNumberFormat="1" applyFill="1" applyBorder="1"/>
    <xf numFmtId="0" fontId="14" fillId="3" borderId="0" xfId="0" applyFont="1" applyFill="1"/>
    <xf numFmtId="0" fontId="14" fillId="3" borderId="0" xfId="0" applyFont="1" applyFill="1" applyAlignment="1">
      <alignment horizontal="left" indent="2"/>
    </xf>
    <xf numFmtId="0" fontId="14" fillId="3" borderId="1" xfId="0" applyFont="1" applyFill="1" applyBorder="1"/>
    <xf numFmtId="164" fontId="0" fillId="4" borderId="0" xfId="0" applyNumberFormat="1" applyFill="1"/>
    <xf numFmtId="43" fontId="0" fillId="2" borderId="1" xfId="0" applyNumberFormat="1" applyFill="1" applyBorder="1"/>
    <xf numFmtId="0" fontId="0" fillId="2" borderId="1" xfId="0" applyFill="1" applyBorder="1" applyAlignment="1">
      <alignment vertical="center" wrapText="1"/>
    </xf>
    <xf numFmtId="0" fontId="0" fillId="2" borderId="1" xfId="0" applyFill="1" applyBorder="1" applyAlignment="1">
      <alignment horizontal="left"/>
    </xf>
    <xf numFmtId="0" fontId="14" fillId="3" borderId="0" xfId="0" applyFont="1" applyFill="1" applyAlignment="1">
      <alignment horizontal="left" indent="4"/>
    </xf>
    <xf numFmtId="0" fontId="0" fillId="5" borderId="0" xfId="0" applyFill="1" applyAlignment="1">
      <alignment horizontal="left"/>
    </xf>
    <xf numFmtId="0" fontId="3" fillId="7" borderId="0" xfId="0" applyFont="1" applyFill="1" applyAlignment="1">
      <alignment horizontal="right" vertical="center"/>
    </xf>
    <xf numFmtId="0" fontId="47" fillId="7" borderId="0" xfId="0" applyFont="1" applyFill="1" applyAlignment="1">
      <alignment vertical="center"/>
    </xf>
    <xf numFmtId="0" fontId="47" fillId="7" borderId="20" xfId="0" applyFont="1" applyFill="1" applyBorder="1" applyAlignment="1">
      <alignment vertical="center"/>
    </xf>
    <xf numFmtId="0" fontId="47" fillId="7" borderId="1" xfId="0" applyFont="1" applyFill="1" applyBorder="1" applyAlignment="1">
      <alignment vertical="center"/>
    </xf>
    <xf numFmtId="43" fontId="0" fillId="2" borderId="1" xfId="0" applyNumberFormat="1" applyFill="1" applyBorder="1" applyAlignment="1">
      <alignment vertical="center"/>
    </xf>
    <xf numFmtId="3" fontId="0" fillId="2" borderId="0" xfId="0" applyNumberFormat="1" applyFill="1" applyAlignment="1">
      <alignment vertical="center"/>
    </xf>
    <xf numFmtId="3" fontId="0" fillId="2" borderId="1" xfId="0" applyNumberFormat="1" applyFill="1" applyBorder="1" applyAlignment="1">
      <alignment vertical="center"/>
    </xf>
    <xf numFmtId="3" fontId="0" fillId="10" borderId="0" xfId="0" applyNumberFormat="1" applyFill="1" applyAlignment="1">
      <alignment vertical="center"/>
    </xf>
    <xf numFmtId="3" fontId="0" fillId="10" borderId="20" xfId="0" applyNumberFormat="1" applyFill="1" applyBorder="1" applyAlignment="1">
      <alignment vertical="center"/>
    </xf>
    <xf numFmtId="3" fontId="0" fillId="2" borderId="20" xfId="0" applyNumberFormat="1" applyFill="1" applyBorder="1" applyAlignment="1">
      <alignment vertical="center"/>
    </xf>
    <xf numFmtId="0" fontId="0" fillId="2" borderId="1" xfId="0" applyFill="1" applyBorder="1" applyAlignment="1">
      <alignment horizontal="left" vertical="center"/>
    </xf>
    <xf numFmtId="168" fontId="0" fillId="2" borderId="20" xfId="0" applyNumberFormat="1" applyFill="1" applyBorder="1" applyAlignment="1">
      <alignment vertical="center"/>
    </xf>
    <xf numFmtId="168" fontId="0" fillId="2" borderId="0" xfId="0" applyNumberFormat="1" applyFill="1" applyAlignment="1">
      <alignment vertical="center"/>
    </xf>
    <xf numFmtId="3" fontId="0" fillId="2" borderId="0" xfId="0" quotePrefix="1" applyNumberFormat="1" applyFill="1" applyAlignment="1">
      <alignment vertical="center"/>
    </xf>
    <xf numFmtId="0" fontId="0" fillId="4" borderId="20" xfId="0" applyFill="1" applyBorder="1" applyAlignment="1">
      <alignment vertical="center"/>
    </xf>
    <xf numFmtId="0" fontId="0" fillId="4" borderId="1" xfId="0" applyFill="1" applyBorder="1" applyAlignment="1">
      <alignment vertical="center"/>
    </xf>
    <xf numFmtId="9" fontId="3" fillId="2" borderId="0" xfId="2" applyFont="1" applyFill="1" applyAlignment="1">
      <alignment horizontal="left" vertical="center"/>
    </xf>
    <xf numFmtId="164" fontId="0" fillId="10" borderId="20" xfId="0" applyNumberFormat="1" applyFill="1" applyBorder="1" applyAlignment="1">
      <alignment vertical="center"/>
    </xf>
    <xf numFmtId="165" fontId="0" fillId="2" borderId="0" xfId="0" applyNumberFormat="1" applyFill="1" applyAlignment="1">
      <alignment vertical="center" wrapText="1"/>
    </xf>
    <xf numFmtId="165" fontId="0" fillId="10" borderId="0" xfId="0" applyNumberFormat="1" applyFill="1" applyAlignment="1">
      <alignment vertical="center"/>
    </xf>
    <xf numFmtId="165" fontId="0" fillId="10" borderId="20" xfId="0" applyNumberFormat="1" applyFill="1" applyBorder="1" applyAlignment="1">
      <alignment vertical="center"/>
    </xf>
    <xf numFmtId="164" fontId="0" fillId="2" borderId="0" xfId="0" applyNumberFormat="1" applyFill="1" applyAlignment="1">
      <alignment vertical="center" wrapText="1"/>
    </xf>
    <xf numFmtId="166" fontId="0" fillId="2" borderId="0" xfId="0" applyNumberFormat="1" applyFill="1" applyAlignment="1">
      <alignment horizontal="left" vertical="center"/>
    </xf>
    <xf numFmtId="166" fontId="0" fillId="2" borderId="0" xfId="0" applyNumberFormat="1" applyFill="1" applyAlignment="1">
      <alignment vertical="center"/>
    </xf>
    <xf numFmtId="4" fontId="0" fillId="2" borderId="0" xfId="0" applyNumberFormat="1" applyFill="1" applyAlignment="1">
      <alignment horizontal="left" vertical="center" indent="2"/>
    </xf>
    <xf numFmtId="4" fontId="0" fillId="2" borderId="0" xfId="0" applyNumberFormat="1" applyFill="1" applyAlignment="1">
      <alignment horizontal="left" vertical="center"/>
    </xf>
    <xf numFmtId="9" fontId="0" fillId="10" borderId="0" xfId="0" applyNumberFormat="1" applyFill="1" applyAlignment="1">
      <alignment vertical="center"/>
    </xf>
    <xf numFmtId="4" fontId="0" fillId="2" borderId="0" xfId="0" applyNumberFormat="1" applyFill="1" applyAlignment="1">
      <alignment vertical="center"/>
    </xf>
    <xf numFmtId="4" fontId="0" fillId="2" borderId="20" xfId="0" applyNumberFormat="1" applyFill="1" applyBorder="1" applyAlignment="1">
      <alignment vertical="center"/>
    </xf>
    <xf numFmtId="164" fontId="0" fillId="10" borderId="0" xfId="0" applyNumberFormat="1" applyFill="1" applyAlignment="1">
      <alignment vertical="center"/>
    </xf>
    <xf numFmtId="1" fontId="0" fillId="2" borderId="20" xfId="0" applyNumberFormat="1" applyFill="1" applyBorder="1" applyAlignment="1">
      <alignment vertical="center"/>
    </xf>
    <xf numFmtId="10" fontId="0" fillId="2" borderId="20" xfId="0" applyNumberFormat="1" applyFill="1" applyBorder="1" applyAlignment="1">
      <alignment horizontal="left" vertical="center"/>
    </xf>
    <xf numFmtId="1" fontId="0" fillId="2" borderId="0" xfId="0" applyNumberFormat="1" applyFill="1" applyAlignment="1">
      <alignment horizontal="right" vertical="center"/>
    </xf>
    <xf numFmtId="3" fontId="23" fillId="2" borderId="0" xfId="3" applyNumberFormat="1" applyFill="1" applyBorder="1" applyAlignment="1">
      <alignment vertical="center"/>
    </xf>
    <xf numFmtId="167" fontId="0" fillId="2" borderId="0" xfId="0" applyNumberFormat="1" applyFill="1" applyAlignment="1">
      <alignment vertical="center"/>
    </xf>
    <xf numFmtId="167" fontId="0" fillId="2" borderId="1" xfId="0" applyNumberFormat="1" applyFill="1" applyBorder="1" applyAlignment="1">
      <alignment vertical="center"/>
    </xf>
    <xf numFmtId="0" fontId="0" fillId="2" borderId="11" xfId="0" applyFill="1" applyBorder="1" applyAlignment="1">
      <alignment horizontal="left" vertical="center" wrapText="1" indent="4"/>
    </xf>
    <xf numFmtId="0" fontId="0" fillId="2" borderId="0" xfId="0" applyFill="1" applyAlignment="1">
      <alignment horizontal="left" vertical="center" wrapText="1" indent="4"/>
    </xf>
    <xf numFmtId="164" fontId="0" fillId="2" borderId="0" xfId="0" applyNumberFormat="1" applyFill="1" applyAlignment="1">
      <alignment horizontal="right" vertical="center" wrapText="1"/>
    </xf>
    <xf numFmtId="164" fontId="0" fillId="2" borderId="1" xfId="0" applyNumberFormat="1" applyFill="1" applyBorder="1" applyAlignment="1">
      <alignment horizontal="right" vertical="center" wrapText="1"/>
    </xf>
    <xf numFmtId="164" fontId="14" fillId="7" borderId="0" xfId="2" applyNumberFormat="1" applyFont="1" applyFill="1" applyAlignment="1">
      <alignment vertical="center"/>
    </xf>
    <xf numFmtId="2" fontId="0" fillId="2" borderId="0" xfId="0" applyNumberFormat="1" applyFill="1" applyAlignment="1">
      <alignment horizontal="right" vertical="center"/>
    </xf>
    <xf numFmtId="166" fontId="0" fillId="2" borderId="0" xfId="0" applyNumberFormat="1" applyFill="1" applyAlignment="1">
      <alignment horizontal="right" vertical="center"/>
    </xf>
    <xf numFmtId="165" fontId="46" fillId="7" borderId="0" xfId="2" applyNumberFormat="1" applyFont="1" applyFill="1" applyAlignment="1">
      <alignment vertical="center"/>
    </xf>
    <xf numFmtId="43" fontId="0" fillId="2" borderId="0" xfId="0" applyNumberFormat="1" applyFill="1" applyAlignment="1">
      <alignment horizontal="left" indent="4"/>
    </xf>
    <xf numFmtId="0" fontId="35" fillId="2" borderId="0" xfId="0" applyFont="1" applyFill="1" applyAlignment="1">
      <alignment horizontal="left" indent="4"/>
    </xf>
    <xf numFmtId="0" fontId="0" fillId="2" borderId="0" xfId="0" applyFill="1" applyAlignment="1">
      <alignment wrapText="1"/>
    </xf>
    <xf numFmtId="43" fontId="3" fillId="2" borderId="0" xfId="0" applyNumberFormat="1" applyFont="1" applyFill="1"/>
    <xf numFmtId="9" fontId="8" fillId="10" borderId="0" xfId="2" applyFont="1" applyFill="1"/>
    <xf numFmtId="0" fontId="0" fillId="2" borderId="28" xfId="0" applyFill="1" applyBorder="1"/>
    <xf numFmtId="43" fontId="0" fillId="2" borderId="0" xfId="0" applyNumberFormat="1" applyFill="1" applyAlignment="1">
      <alignment horizontal="center"/>
    </xf>
    <xf numFmtId="9" fontId="8" fillId="2" borderId="0" xfId="2" applyFont="1" applyFill="1" applyAlignment="1">
      <alignment horizontal="center"/>
    </xf>
    <xf numFmtId="0" fontId="8" fillId="2" borderId="0" xfId="0" applyFont="1" applyFill="1" applyAlignment="1">
      <alignment horizontal="left" vertical="center" indent="4"/>
    </xf>
    <xf numFmtId="8" fontId="8" fillId="2" borderId="0" xfId="2" applyNumberFormat="1" applyFont="1" applyFill="1" applyAlignment="1">
      <alignment vertical="center"/>
    </xf>
    <xf numFmtId="164" fontId="17" fillId="2" borderId="27" xfId="1" applyNumberFormat="1" applyFont="1" applyFill="1" applyBorder="1" applyAlignment="1">
      <alignment vertical="center"/>
    </xf>
    <xf numFmtId="164" fontId="46" fillId="2" borderId="0" xfId="2" applyNumberFormat="1" applyFont="1" applyFill="1" applyBorder="1" applyAlignment="1">
      <alignment vertical="center"/>
    </xf>
    <xf numFmtId="165" fontId="17" fillId="2" borderId="0" xfId="2" applyNumberFormat="1" applyFont="1" applyFill="1" applyBorder="1" applyAlignment="1">
      <alignment vertical="center"/>
    </xf>
    <xf numFmtId="164" fontId="17" fillId="2" borderId="0" xfId="2" applyNumberFormat="1" applyFont="1" applyFill="1" applyBorder="1" applyAlignment="1">
      <alignment vertical="center"/>
    </xf>
    <xf numFmtId="164" fontId="74" fillId="2" borderId="0" xfId="1" applyNumberFormat="1" applyFont="1" applyFill="1" applyBorder="1" applyAlignment="1">
      <alignment vertical="center"/>
    </xf>
    <xf numFmtId="9" fontId="89" fillId="2" borderId="0" xfId="2" applyFont="1" applyFill="1" applyAlignment="1">
      <alignment vertical="center"/>
    </xf>
    <xf numFmtId="9" fontId="74" fillId="2" borderId="0" xfId="2" applyFont="1" applyFill="1" applyAlignment="1">
      <alignment vertical="center"/>
    </xf>
    <xf numFmtId="9" fontId="21" fillId="2" borderId="0" xfId="2" applyFont="1" applyFill="1" applyAlignment="1">
      <alignment vertical="center"/>
    </xf>
    <xf numFmtId="3" fontId="118" fillId="2" borderId="0" xfId="0" applyNumberFormat="1" applyFont="1" applyFill="1"/>
    <xf numFmtId="3" fontId="8" fillId="2" borderId="0" xfId="0" applyNumberFormat="1" applyFont="1" applyFill="1"/>
    <xf numFmtId="8" fontId="0" fillId="2" borderId="0" xfId="0" applyNumberFormat="1" applyFill="1"/>
    <xf numFmtId="9" fontId="118" fillId="2" borderId="0" xfId="2" applyFont="1" applyFill="1"/>
    <xf numFmtId="14" fontId="0" fillId="2" borderId="0" xfId="0" applyNumberFormat="1" applyFill="1"/>
    <xf numFmtId="3" fontId="0" fillId="2" borderId="0" xfId="0" applyNumberFormat="1" applyFill="1"/>
    <xf numFmtId="0" fontId="117" fillId="2" borderId="0" xfId="0" applyFont="1" applyFill="1" applyAlignment="1">
      <alignment horizontal="center" vertical="center" wrapText="1"/>
    </xf>
    <xf numFmtId="0" fontId="14" fillId="7" borderId="22"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2" borderId="22" xfId="0" applyFont="1" applyFill="1" applyBorder="1" applyAlignment="1">
      <alignment vertical="center" wrapText="1"/>
    </xf>
    <xf numFmtId="0" fontId="14" fillId="2" borderId="0" xfId="0" applyFont="1" applyFill="1" applyAlignment="1">
      <alignment horizontal="center" vertical="center" wrapText="1"/>
    </xf>
    <xf numFmtId="0" fontId="0" fillId="4" borderId="0" xfId="0" applyFill="1" applyAlignment="1">
      <alignment wrapText="1"/>
    </xf>
    <xf numFmtId="0" fontId="47" fillId="2" borderId="0" xfId="0" applyFont="1" applyFill="1" applyAlignment="1">
      <alignment wrapText="1"/>
    </xf>
    <xf numFmtId="1" fontId="0" fillId="2" borderId="0" xfId="0" applyNumberFormat="1" applyFill="1" applyAlignment="1">
      <alignment horizontal="right"/>
    </xf>
    <xf numFmtId="170" fontId="0" fillId="2" borderId="0" xfId="0" applyNumberFormat="1" applyFill="1"/>
    <xf numFmtId="169" fontId="47" fillId="2" borderId="0" xfId="0" applyNumberFormat="1" applyFont="1" applyFill="1"/>
    <xf numFmtId="169" fontId="0" fillId="2" borderId="0" xfId="0" applyNumberFormat="1" applyFill="1"/>
    <xf numFmtId="1" fontId="0" fillId="4" borderId="0" xfId="0" applyNumberFormat="1" applyFill="1"/>
    <xf numFmtId="43" fontId="0" fillId="4" borderId="0" xfId="1" applyFont="1" applyFill="1"/>
    <xf numFmtId="165" fontId="0" fillId="4" borderId="0" xfId="0" applyNumberFormat="1" applyFill="1"/>
    <xf numFmtId="1" fontId="3" fillId="4" borderId="0" xfId="0" applyNumberFormat="1" applyFont="1" applyFill="1"/>
    <xf numFmtId="170" fontId="3" fillId="4" borderId="0" xfId="0" applyNumberFormat="1" applyFont="1" applyFill="1"/>
    <xf numFmtId="169" fontId="47" fillId="2" borderId="0" xfId="0" applyNumberFormat="1" applyFont="1" applyFill="1" applyAlignment="1">
      <alignment horizontal="right"/>
    </xf>
    <xf numFmtId="169" fontId="0" fillId="2" borderId="0" xfId="0" applyNumberFormat="1" applyFill="1" applyAlignment="1">
      <alignment horizontal="right"/>
    </xf>
    <xf numFmtId="43" fontId="3" fillId="4" borderId="0" xfId="1" applyFont="1" applyFill="1"/>
    <xf numFmtId="165" fontId="3" fillId="4" borderId="0" xfId="0" applyNumberFormat="1" applyFont="1" applyFill="1"/>
    <xf numFmtId="169" fontId="14" fillId="2" borderId="0" xfId="0" applyNumberFormat="1" applyFont="1" applyFill="1"/>
    <xf numFmtId="166" fontId="3" fillId="4" borderId="0" xfId="1" applyNumberFormat="1" applyFont="1" applyFill="1"/>
    <xf numFmtId="165" fontId="0" fillId="2" borderId="0" xfId="0" applyNumberFormat="1" applyFill="1" applyAlignment="1">
      <alignment wrapText="1"/>
    </xf>
    <xf numFmtId="170" fontId="0" fillId="2" borderId="0" xfId="0" applyNumberFormat="1" applyFill="1" applyAlignment="1">
      <alignment wrapText="1"/>
    </xf>
    <xf numFmtId="169" fontId="47" fillId="2" borderId="0" xfId="0" applyNumberFormat="1" applyFont="1" applyFill="1" applyAlignment="1">
      <alignment wrapText="1"/>
    </xf>
    <xf numFmtId="167" fontId="0" fillId="4" borderId="0" xfId="0" applyNumberFormat="1" applyFill="1"/>
    <xf numFmtId="170" fontId="0" fillId="4" borderId="0" xfId="0" applyNumberFormat="1" applyFill="1"/>
    <xf numFmtId="0" fontId="3" fillId="19" borderId="0" xfId="0" applyFont="1" applyFill="1"/>
    <xf numFmtId="164" fontId="3" fillId="19" borderId="0" xfId="0" applyNumberFormat="1" applyFont="1" applyFill="1" applyAlignment="1">
      <alignment wrapText="1"/>
    </xf>
    <xf numFmtId="167" fontId="3" fillId="19" borderId="0" xfId="0" applyNumberFormat="1" applyFont="1" applyFill="1" applyAlignment="1">
      <alignment wrapText="1"/>
    </xf>
    <xf numFmtId="165" fontId="3" fillId="19" borderId="0" xfId="0" applyNumberFormat="1" applyFont="1" applyFill="1" applyAlignment="1">
      <alignment wrapText="1"/>
    </xf>
    <xf numFmtId="170" fontId="3" fillId="19" borderId="0" xfId="0" applyNumberFormat="1" applyFont="1" applyFill="1" applyAlignment="1">
      <alignment wrapText="1"/>
    </xf>
    <xf numFmtId="169" fontId="14" fillId="2" borderId="0" xfId="0" applyNumberFormat="1" applyFont="1" applyFill="1" applyAlignment="1">
      <alignment wrapText="1"/>
    </xf>
    <xf numFmtId="174" fontId="3" fillId="2" borderId="0" xfId="0" applyNumberFormat="1" applyFont="1" applyFill="1" applyAlignment="1">
      <alignment horizontal="left" wrapText="1" indent="1"/>
    </xf>
    <xf numFmtId="164" fontId="3" fillId="4" borderId="0" xfId="0" applyNumberFormat="1" applyFont="1" applyFill="1" applyAlignment="1">
      <alignment wrapText="1"/>
    </xf>
    <xf numFmtId="167" fontId="3" fillId="4" borderId="0" xfId="0" applyNumberFormat="1" applyFont="1" applyFill="1" applyAlignment="1">
      <alignment wrapText="1"/>
    </xf>
    <xf numFmtId="165" fontId="3" fillId="4" borderId="0" xfId="0" applyNumberFormat="1" applyFont="1" applyFill="1" applyAlignment="1">
      <alignment wrapText="1"/>
    </xf>
    <xf numFmtId="170" fontId="3" fillId="4" borderId="0" xfId="0" applyNumberFormat="1" applyFont="1" applyFill="1" applyAlignment="1">
      <alignment wrapText="1"/>
    </xf>
    <xf numFmtId="164" fontId="0" fillId="4" borderId="0" xfId="0" applyNumberFormat="1" applyFill="1" applyAlignment="1">
      <alignment wrapText="1"/>
    </xf>
    <xf numFmtId="167" fontId="0" fillId="4" borderId="0" xfId="0" applyNumberFormat="1" applyFill="1" applyAlignment="1">
      <alignment wrapText="1"/>
    </xf>
    <xf numFmtId="165" fontId="0" fillId="4" borderId="0" xfId="0" applyNumberFormat="1" applyFill="1" applyAlignment="1">
      <alignment wrapText="1"/>
    </xf>
    <xf numFmtId="170" fontId="0" fillId="4" borderId="0" xfId="0" applyNumberFormat="1" applyFill="1" applyAlignment="1">
      <alignment wrapText="1"/>
    </xf>
    <xf numFmtId="170" fontId="21" fillId="4" borderId="0" xfId="0" applyNumberFormat="1" applyFont="1" applyFill="1" applyAlignment="1">
      <alignment wrapText="1"/>
    </xf>
    <xf numFmtId="164" fontId="47" fillId="2" borderId="0" xfId="0" applyNumberFormat="1" applyFont="1" applyFill="1" applyAlignment="1">
      <alignment wrapText="1"/>
    </xf>
    <xf numFmtId="10" fontId="12" fillId="2" borderId="0" xfId="0" applyNumberFormat="1" applyFont="1" applyFill="1"/>
    <xf numFmtId="10" fontId="0" fillId="4" borderId="0" xfId="2" applyNumberFormat="1" applyFont="1" applyFill="1" applyAlignment="1">
      <alignment wrapText="1"/>
    </xf>
    <xf numFmtId="9" fontId="47" fillId="2" borderId="0" xfId="2" applyFont="1" applyFill="1" applyAlignment="1">
      <alignment wrapText="1"/>
    </xf>
    <xf numFmtId="170" fontId="3" fillId="19" borderId="0" xfId="1" applyNumberFormat="1" applyFont="1" applyFill="1" applyAlignment="1">
      <alignment wrapText="1"/>
    </xf>
    <xf numFmtId="169" fontId="14" fillId="2" borderId="0" xfId="1" applyNumberFormat="1" applyFont="1" applyFill="1" applyAlignment="1">
      <alignment wrapText="1"/>
    </xf>
    <xf numFmtId="0" fontId="47" fillId="7" borderId="0" xfId="0" applyFont="1" applyFill="1" applyAlignment="1">
      <alignment wrapText="1"/>
    </xf>
    <xf numFmtId="0" fontId="8" fillId="4" borderId="0" xfId="0" applyFont="1" applyFill="1"/>
    <xf numFmtId="166" fontId="0" fillId="4" borderId="0" xfId="1" applyNumberFormat="1" applyFont="1" applyFill="1" applyAlignment="1">
      <alignment wrapText="1"/>
    </xf>
    <xf numFmtId="0" fontId="3" fillId="2" borderId="0" xfId="0" applyFont="1" applyFill="1" applyAlignment="1">
      <alignment wrapText="1"/>
    </xf>
    <xf numFmtId="164" fontId="3" fillId="2" borderId="0" xfId="1" applyNumberFormat="1" applyFont="1" applyFill="1" applyAlignment="1">
      <alignment wrapText="1"/>
    </xf>
    <xf numFmtId="0" fontId="14" fillId="7" borderId="0" xfId="0" applyFont="1" applyFill="1" applyAlignment="1">
      <alignment wrapText="1"/>
    </xf>
    <xf numFmtId="0" fontId="14" fillId="7" borderId="0" xfId="0" applyFont="1" applyFill="1" applyAlignment="1">
      <alignment horizontal="right" wrapText="1"/>
    </xf>
    <xf numFmtId="164" fontId="14" fillId="7" borderId="0" xfId="1" applyNumberFormat="1" applyFont="1" applyFill="1" applyAlignment="1">
      <alignment horizontal="right" wrapText="1"/>
    </xf>
    <xf numFmtId="164" fontId="0" fillId="2" borderId="0" xfId="0" applyNumberFormat="1" applyFill="1" applyAlignment="1">
      <alignment wrapText="1"/>
    </xf>
    <xf numFmtId="0" fontId="30" fillId="2" borderId="0" xfId="0" applyFont="1" applyFill="1" applyAlignment="1">
      <alignment wrapText="1"/>
    </xf>
    <xf numFmtId="166" fontId="0" fillId="10" borderId="0" xfId="1" applyNumberFormat="1" applyFont="1" applyFill="1" applyAlignment="1">
      <alignment wrapText="1"/>
    </xf>
    <xf numFmtId="166" fontId="3" fillId="2" borderId="0" xfId="0" applyNumberFormat="1" applyFont="1" applyFill="1" applyAlignment="1">
      <alignment wrapText="1"/>
    </xf>
    <xf numFmtId="9" fontId="0" fillId="2" borderId="0" xfId="0" applyNumberFormat="1" applyFill="1" applyAlignment="1">
      <alignment wrapText="1"/>
    </xf>
    <xf numFmtId="9" fontId="0" fillId="2" borderId="0" xfId="1" applyNumberFormat="1" applyFont="1" applyFill="1" applyAlignment="1">
      <alignment wrapText="1"/>
    </xf>
    <xf numFmtId="43" fontId="3" fillId="2" borderId="0" xfId="1" applyFont="1" applyFill="1" applyAlignment="1">
      <alignment wrapText="1"/>
    </xf>
    <xf numFmtId="165" fontId="14" fillId="7" borderId="0" xfId="0" applyNumberFormat="1" applyFont="1" applyFill="1" applyAlignment="1">
      <alignment wrapText="1"/>
    </xf>
    <xf numFmtId="164" fontId="3" fillId="2" borderId="0" xfId="0" applyNumberFormat="1" applyFont="1" applyFill="1" applyAlignment="1">
      <alignment wrapText="1"/>
    </xf>
    <xf numFmtId="165" fontId="3" fillId="2" borderId="0" xfId="2" applyNumberFormat="1" applyFont="1" applyFill="1" applyAlignment="1">
      <alignment wrapText="1"/>
    </xf>
    <xf numFmtId="0" fontId="14" fillId="7" borderId="0" xfId="1" applyNumberFormat="1" applyFont="1" applyFill="1" applyAlignment="1">
      <alignment horizontal="right"/>
    </xf>
    <xf numFmtId="0" fontId="46" fillId="7" borderId="0" xfId="0" applyFont="1" applyFill="1" applyAlignment="1">
      <alignment horizontal="right"/>
    </xf>
    <xf numFmtId="0" fontId="46" fillId="7" borderId="0" xfId="0" applyFont="1" applyFill="1"/>
    <xf numFmtId="164" fontId="3" fillId="4" borderId="0" xfId="1" applyNumberFormat="1" applyFont="1" applyFill="1" applyAlignment="1">
      <alignment wrapText="1"/>
    </xf>
    <xf numFmtId="0" fontId="3" fillId="4" borderId="0" xfId="0" applyFont="1" applyFill="1" applyAlignment="1">
      <alignment horizontal="right"/>
    </xf>
    <xf numFmtId="0" fontId="3" fillId="4" borderId="0" xfId="0" applyFont="1" applyFill="1" applyAlignment="1">
      <alignment wrapText="1"/>
    </xf>
    <xf numFmtId="0" fontId="14" fillId="7" borderId="0" xfId="0" applyFont="1" applyFill="1" applyAlignment="1">
      <alignment horizontal="center" wrapText="1"/>
    </xf>
    <xf numFmtId="0" fontId="30" fillId="2" borderId="0" xfId="0" applyFont="1" applyFill="1" applyAlignment="1">
      <alignment vertical="center" wrapText="1"/>
    </xf>
    <xf numFmtId="2" fontId="0" fillId="2" borderId="0" xfId="0" applyNumberFormat="1" applyFill="1"/>
    <xf numFmtId="0" fontId="0" fillId="20" borderId="0" xfId="0" applyFill="1"/>
    <xf numFmtId="9" fontId="0" fillId="20" borderId="0" xfId="0" applyNumberFormat="1" applyFill="1"/>
    <xf numFmtId="0" fontId="14" fillId="3" borderId="30" xfId="0" applyFont="1" applyFill="1" applyBorder="1" applyAlignment="1">
      <alignment vertical="center"/>
    </xf>
    <xf numFmtId="43" fontId="47" fillId="2" borderId="0" xfId="1" applyFont="1" applyFill="1" applyBorder="1" applyAlignment="1">
      <alignment vertical="center"/>
    </xf>
    <xf numFmtId="43" fontId="3" fillId="2" borderId="32" xfId="1" applyFont="1" applyFill="1" applyBorder="1" applyAlignment="1">
      <alignment vertical="center"/>
    </xf>
    <xf numFmtId="165" fontId="0" fillId="2" borderId="31" xfId="2" applyNumberFormat="1" applyFont="1" applyFill="1" applyBorder="1" applyAlignment="1">
      <alignment vertical="center"/>
    </xf>
    <xf numFmtId="43" fontId="0" fillId="2" borderId="31" xfId="1" applyFont="1" applyFill="1" applyBorder="1" applyAlignment="1">
      <alignment vertical="center"/>
    </xf>
    <xf numFmtId="0" fontId="14" fillId="3" borderId="30" xfId="0" applyFont="1" applyFill="1" applyBorder="1"/>
    <xf numFmtId="164" fontId="0" fillId="2" borderId="0" xfId="2" applyNumberFormat="1" applyFont="1" applyFill="1" applyBorder="1" applyAlignment="1">
      <alignment vertical="center"/>
    </xf>
    <xf numFmtId="164" fontId="0" fillId="2" borderId="31" xfId="1" applyNumberFormat="1" applyFont="1" applyFill="1" applyBorder="1" applyAlignment="1">
      <alignment vertical="center"/>
    </xf>
    <xf numFmtId="170" fontId="3" fillId="4" borderId="0" xfId="1" applyNumberFormat="1" applyFont="1" applyFill="1" applyAlignment="1">
      <alignment wrapText="1"/>
    </xf>
    <xf numFmtId="0" fontId="14" fillId="3" borderId="0" xfId="0" applyFont="1" applyFill="1" applyAlignment="1">
      <alignment horizontal="left" vertical="center" indent="1"/>
    </xf>
    <xf numFmtId="0" fontId="0" fillId="2" borderId="0" xfId="0" applyFill="1" applyAlignment="1">
      <alignment horizontal="left" vertical="center" indent="1"/>
    </xf>
    <xf numFmtId="0" fontId="3" fillId="4" borderId="35" xfId="0" applyFont="1" applyFill="1" applyBorder="1" applyAlignment="1">
      <alignment horizontal="left" vertical="center" indent="1"/>
    </xf>
    <xf numFmtId="0" fontId="14" fillId="7" borderId="0" xfId="0" applyFont="1" applyFill="1" applyAlignment="1">
      <alignment horizontal="left" vertical="center" indent="1"/>
    </xf>
    <xf numFmtId="165" fontId="17" fillId="10" borderId="0" xfId="2" applyNumberFormat="1" applyFont="1" applyFill="1" applyAlignment="1">
      <alignment horizontal="right" vertical="center"/>
    </xf>
    <xf numFmtId="165" fontId="8" fillId="2" borderId="0" xfId="2" applyNumberFormat="1" applyFont="1" applyFill="1" applyAlignment="1">
      <alignment horizontal="right" vertical="center"/>
    </xf>
    <xf numFmtId="165" fontId="17" fillId="10" borderId="0" xfId="2" applyNumberFormat="1" applyFont="1" applyFill="1" applyBorder="1" applyAlignment="1">
      <alignment horizontal="right" vertical="center"/>
    </xf>
    <xf numFmtId="43" fontId="3" fillId="2" borderId="0" xfId="1" applyFont="1" applyFill="1" applyAlignment="1">
      <alignment horizontal="center" vertical="center"/>
    </xf>
    <xf numFmtId="43" fontId="2" fillId="2" borderId="0" xfId="1" applyFont="1" applyFill="1" applyAlignment="1">
      <alignment horizontal="center" vertical="center"/>
    </xf>
    <xf numFmtId="10" fontId="2" fillId="2" borderId="0" xfId="2" applyNumberFormat="1" applyFont="1" applyFill="1" applyAlignment="1">
      <alignment horizontal="center" vertical="center"/>
    </xf>
    <xf numFmtId="0" fontId="2" fillId="2" borderId="0" xfId="0" applyFont="1" applyFill="1" applyAlignment="1">
      <alignment horizontal="center" vertical="center"/>
    </xf>
    <xf numFmtId="10" fontId="0" fillId="2" borderId="0" xfId="2" applyNumberFormat="1" applyFont="1" applyFill="1" applyAlignment="1">
      <alignment vertical="center"/>
    </xf>
    <xf numFmtId="175" fontId="8" fillId="2" borderId="0" xfId="1" applyNumberFormat="1" applyFont="1" applyFill="1" applyAlignment="1">
      <alignment vertical="center"/>
    </xf>
    <xf numFmtId="165" fontId="3" fillId="4" borderId="20" xfId="2" applyNumberFormat="1" applyFont="1" applyFill="1" applyBorder="1" applyAlignment="1">
      <alignment vertical="center"/>
    </xf>
    <xf numFmtId="165" fontId="3" fillId="4" borderId="0" xfId="2" applyNumberFormat="1" applyFont="1" applyFill="1" applyBorder="1" applyAlignment="1">
      <alignment vertical="center"/>
    </xf>
    <xf numFmtId="165" fontId="3" fillId="10" borderId="0" xfId="2" applyNumberFormat="1" applyFont="1" applyFill="1" applyAlignment="1">
      <alignment horizontal="right"/>
    </xf>
    <xf numFmtId="164" fontId="0" fillId="10" borderId="0" xfId="1" applyNumberFormat="1" applyFont="1" applyFill="1"/>
    <xf numFmtId="0" fontId="0" fillId="10" borderId="0" xfId="0" applyFill="1" applyAlignment="1">
      <alignment horizontal="right" vertical="center"/>
    </xf>
    <xf numFmtId="9" fontId="2" fillId="4" borderId="0" xfId="2" applyFont="1" applyFill="1"/>
    <xf numFmtId="9" fontId="2" fillId="2" borderId="0" xfId="2" applyFont="1" applyFill="1"/>
    <xf numFmtId="165" fontId="2" fillId="4" borderId="0" xfId="2" applyNumberFormat="1" applyFont="1" applyFill="1"/>
    <xf numFmtId="9" fontId="3" fillId="4" borderId="0" xfId="0" applyNumberFormat="1" applyFont="1" applyFill="1"/>
    <xf numFmtId="9" fontId="17" fillId="4" borderId="0" xfId="2" quotePrefix="1" applyFont="1" applyFill="1" applyBorder="1"/>
    <xf numFmtId="9" fontId="0" fillId="0" borderId="20" xfId="2" applyFont="1" applyBorder="1" applyAlignment="1">
      <alignment horizontal="right" vertical="center"/>
    </xf>
    <xf numFmtId="9" fontId="0" fillId="0" borderId="0" xfId="2" applyFont="1" applyAlignment="1">
      <alignment horizontal="right" vertical="center"/>
    </xf>
    <xf numFmtId="164" fontId="3" fillId="2" borderId="0" xfId="2" applyNumberFormat="1" applyFont="1" applyFill="1" applyAlignment="1">
      <alignment vertical="center"/>
    </xf>
    <xf numFmtId="165" fontId="0" fillId="2" borderId="0" xfId="0" applyNumberFormat="1" applyFill="1" applyAlignment="1">
      <alignment horizontal="center"/>
    </xf>
    <xf numFmtId="43" fontId="3" fillId="2" borderId="0" xfId="2" applyNumberFormat="1" applyFont="1" applyFill="1" applyAlignment="1">
      <alignment vertical="center"/>
    </xf>
    <xf numFmtId="43" fontId="3" fillId="2" borderId="0" xfId="0" applyNumberFormat="1" applyFont="1" applyFill="1" applyAlignment="1">
      <alignment wrapText="1"/>
    </xf>
    <xf numFmtId="0" fontId="3" fillId="2" borderId="0" xfId="0" applyFont="1" applyFill="1" applyAlignment="1">
      <alignment horizontal="center" vertical="center"/>
    </xf>
    <xf numFmtId="0" fontId="14" fillId="3" borderId="0" xfId="0" applyFont="1" applyFill="1" applyAlignment="1">
      <alignment horizontal="center" vertical="center"/>
    </xf>
    <xf numFmtId="9" fontId="3" fillId="4" borderId="0" xfId="2" quotePrefix="1" applyFont="1" applyFill="1" applyAlignment="1">
      <alignment horizontal="center" vertical="center"/>
    </xf>
    <xf numFmtId="9" fontId="3" fillId="4" borderId="0" xfId="2" applyFont="1" applyFill="1" applyAlignment="1">
      <alignment horizontal="center" vertical="center"/>
    </xf>
    <xf numFmtId="164" fontId="0" fillId="2" borderId="0" xfId="0" applyNumberFormat="1" applyFill="1" applyAlignment="1">
      <alignment horizontal="center" vertical="center" wrapText="1"/>
    </xf>
    <xf numFmtId="0" fontId="28" fillId="0" borderId="0" xfId="0" applyFont="1" applyAlignment="1">
      <alignment horizontal="center" vertical="center" wrapText="1"/>
    </xf>
    <xf numFmtId="0" fontId="3" fillId="2" borderId="29" xfId="0" applyFont="1" applyFill="1" applyBorder="1" applyAlignment="1">
      <alignment horizontal="center" vertical="center" wrapText="1" indent="4"/>
    </xf>
    <xf numFmtId="0" fontId="117" fillId="2" borderId="0" xfId="0" applyFont="1" applyFill="1" applyAlignment="1">
      <alignment horizontal="center" vertical="center" wrapText="1"/>
    </xf>
    <xf numFmtId="0" fontId="3" fillId="2" borderId="0" xfId="0" applyFont="1" applyFill="1" applyAlignment="1">
      <alignment horizontal="center" wrapText="1"/>
    </xf>
    <xf numFmtId="0" fontId="14" fillId="7" borderId="0" xfId="0" applyFont="1" applyFill="1" applyAlignment="1">
      <alignment horizontal="center" vertical="center"/>
    </xf>
    <xf numFmtId="0" fontId="14" fillId="7" borderId="22" xfId="0" applyFont="1" applyFill="1" applyBorder="1" applyAlignment="1">
      <alignment horizontal="center" vertical="center" wrapText="1"/>
    </xf>
    <xf numFmtId="0" fontId="14" fillId="7" borderId="0" xfId="0" applyFont="1" applyFill="1" applyAlignment="1">
      <alignment horizontal="center" wrapText="1"/>
    </xf>
    <xf numFmtId="0" fontId="23" fillId="2" borderId="0" xfId="3" applyFill="1" applyAlignment="1">
      <alignment horizontal="center" vertical="center"/>
    </xf>
    <xf numFmtId="0" fontId="0" fillId="2" borderId="0" xfId="0" applyFill="1" applyAlignment="1">
      <alignment horizontal="center" vertical="center"/>
    </xf>
    <xf numFmtId="0" fontId="30" fillId="2" borderId="0" xfId="0" applyFont="1" applyFill="1" applyAlignment="1">
      <alignment horizontal="left" vertical="center" wrapText="1"/>
    </xf>
    <xf numFmtId="0" fontId="0" fillId="2" borderId="38" xfId="0" applyFill="1" applyBorder="1" applyAlignment="1">
      <alignment horizontal="center" vertical="center"/>
    </xf>
    <xf numFmtId="0" fontId="0" fillId="2" borderId="37" xfId="0" applyFill="1" applyBorder="1" applyAlignment="1">
      <alignment horizontal="center" vertical="center"/>
    </xf>
    <xf numFmtId="0" fontId="34" fillId="7" borderId="0" xfId="0" applyFont="1" applyFill="1" applyAlignment="1">
      <alignment horizontal="center"/>
    </xf>
    <xf numFmtId="0" fontId="14" fillId="3" borderId="0" xfId="0" applyFont="1" applyFill="1" applyAlignment="1">
      <alignment horizontal="center" vertical="center" textRotation="90" wrapText="1"/>
    </xf>
    <xf numFmtId="0" fontId="14" fillId="3" borderId="30" xfId="0" applyFont="1" applyFill="1" applyBorder="1" applyAlignment="1">
      <alignment horizontal="center" vertical="center"/>
    </xf>
    <xf numFmtId="165" fontId="3" fillId="4" borderId="39" xfId="2" applyNumberFormat="1" applyFont="1" applyFill="1" applyBorder="1" applyAlignment="1">
      <alignment horizontal="center" vertical="center"/>
    </xf>
    <xf numFmtId="165" fontId="3" fillId="4" borderId="35" xfId="2" applyNumberFormat="1" applyFont="1" applyFill="1" applyBorder="1" applyAlignment="1">
      <alignment horizontal="center" vertical="center"/>
    </xf>
    <xf numFmtId="165" fontId="3" fillId="4" borderId="36" xfId="2" applyNumberFormat="1" applyFont="1" applyFill="1" applyBorder="1" applyAlignment="1">
      <alignment horizontal="center" vertical="center"/>
    </xf>
    <xf numFmtId="0" fontId="14" fillId="3" borderId="0" xfId="0" applyFont="1" applyFill="1" applyAlignment="1">
      <alignment horizontal="center" vertical="center" wrapText="1"/>
    </xf>
    <xf numFmtId="0" fontId="14" fillId="3" borderId="31" xfId="0" applyFont="1" applyFill="1" applyBorder="1" applyAlignment="1">
      <alignment horizontal="center" vertical="center" wrapText="1"/>
    </xf>
    <xf numFmtId="0" fontId="14" fillId="3" borderId="38" xfId="0" applyFont="1" applyFill="1" applyBorder="1" applyAlignment="1">
      <alignment horizontal="center" vertical="center"/>
    </xf>
    <xf numFmtId="0" fontId="14" fillId="3" borderId="37" xfId="0" applyFont="1" applyFill="1" applyBorder="1" applyAlignment="1">
      <alignment horizontal="center" vertical="center"/>
    </xf>
    <xf numFmtId="167" fontId="14" fillId="7" borderId="38" xfId="2" applyNumberFormat="1" applyFont="1" applyFill="1" applyBorder="1" applyAlignment="1">
      <alignment horizontal="center" vertical="center"/>
    </xf>
    <xf numFmtId="167" fontId="14" fillId="7" borderId="0" xfId="2" applyNumberFormat="1" applyFont="1" applyFill="1" applyBorder="1" applyAlignment="1">
      <alignment horizontal="center" vertical="center"/>
    </xf>
    <xf numFmtId="167" fontId="14" fillId="7" borderId="37" xfId="2" applyNumberFormat="1" applyFont="1" applyFill="1" applyBorder="1" applyAlignment="1">
      <alignment horizontal="center" vertical="center"/>
    </xf>
    <xf numFmtId="167" fontId="14" fillId="7" borderId="0" xfId="2" applyNumberFormat="1" applyFont="1" applyFill="1" applyAlignment="1">
      <alignment horizontal="center" vertical="center"/>
    </xf>
    <xf numFmtId="165" fontId="119" fillId="2" borderId="38" xfId="0" applyNumberFormat="1" applyFont="1" applyFill="1" applyBorder="1" applyAlignment="1">
      <alignment horizontal="center" vertical="center"/>
    </xf>
    <xf numFmtId="165" fontId="119" fillId="2" borderId="0" xfId="0" applyNumberFormat="1" applyFont="1" applyFill="1" applyAlignment="1">
      <alignment horizontal="center" vertical="center"/>
    </xf>
    <xf numFmtId="165" fontId="119" fillId="2" borderId="37" xfId="0" applyNumberFormat="1" applyFont="1" applyFill="1" applyBorder="1" applyAlignment="1">
      <alignment horizontal="center" vertical="center"/>
    </xf>
    <xf numFmtId="165" fontId="120" fillId="2" borderId="38" xfId="0" applyNumberFormat="1" applyFont="1" applyFill="1" applyBorder="1" applyAlignment="1">
      <alignment horizontal="center" vertical="center"/>
    </xf>
    <xf numFmtId="165" fontId="120" fillId="2" borderId="0" xfId="0" applyNumberFormat="1" applyFont="1" applyFill="1" applyAlignment="1">
      <alignment horizontal="center" vertical="center"/>
    </xf>
    <xf numFmtId="165" fontId="120" fillId="2" borderId="37" xfId="0" applyNumberFormat="1" applyFont="1" applyFill="1" applyBorder="1" applyAlignment="1">
      <alignment horizontal="center" vertical="center"/>
    </xf>
    <xf numFmtId="165" fontId="121" fillId="2" borderId="38" xfId="0" applyNumberFormat="1" applyFont="1" applyFill="1" applyBorder="1" applyAlignment="1">
      <alignment horizontal="center" vertical="center"/>
    </xf>
    <xf numFmtId="165" fontId="121" fillId="2" borderId="0" xfId="0" applyNumberFormat="1" applyFont="1" applyFill="1" applyAlignment="1">
      <alignment horizontal="center" vertical="center"/>
    </xf>
    <xf numFmtId="165" fontId="121" fillId="2" borderId="37" xfId="0" applyNumberFormat="1" applyFont="1" applyFill="1" applyBorder="1" applyAlignment="1">
      <alignment horizontal="center" vertical="center"/>
    </xf>
    <xf numFmtId="0" fontId="121" fillId="4" borderId="39" xfId="0" applyFont="1" applyFill="1" applyBorder="1" applyAlignment="1">
      <alignment horizontal="center" vertical="center"/>
    </xf>
    <xf numFmtId="0" fontId="121" fillId="4" borderId="35" xfId="0" applyFont="1" applyFill="1" applyBorder="1" applyAlignment="1">
      <alignment horizontal="center" vertical="center"/>
    </xf>
    <xf numFmtId="0" fontId="121" fillId="4" borderId="36" xfId="0" applyFont="1" applyFill="1" applyBorder="1" applyAlignment="1">
      <alignment horizontal="center" vertical="center"/>
    </xf>
    <xf numFmtId="0" fontId="120" fillId="4" borderId="39" xfId="0" applyFont="1" applyFill="1" applyBorder="1" applyAlignment="1">
      <alignment horizontal="center" vertical="center"/>
    </xf>
    <xf numFmtId="0" fontId="120" fillId="4" borderId="35" xfId="0" applyFont="1" applyFill="1" applyBorder="1" applyAlignment="1">
      <alignment horizontal="center" vertical="center"/>
    </xf>
    <xf numFmtId="0" fontId="120" fillId="4" borderId="36" xfId="0" applyFont="1" applyFill="1" applyBorder="1" applyAlignment="1">
      <alignment horizontal="center" vertical="center"/>
    </xf>
    <xf numFmtId="0" fontId="119" fillId="4" borderId="39" xfId="0" applyFont="1" applyFill="1" applyBorder="1" applyAlignment="1">
      <alignment horizontal="center" vertical="center"/>
    </xf>
    <xf numFmtId="0" fontId="119" fillId="4" borderId="35" xfId="0" applyFont="1" applyFill="1" applyBorder="1" applyAlignment="1">
      <alignment horizontal="center" vertical="center"/>
    </xf>
    <xf numFmtId="0" fontId="119" fillId="4" borderId="36" xfId="0" applyFont="1" applyFill="1" applyBorder="1" applyAlignment="1">
      <alignment horizontal="center" vertical="center"/>
    </xf>
    <xf numFmtId="165" fontId="0" fillId="2" borderId="0" xfId="2" applyNumberFormat="1" applyFont="1" applyFill="1" applyBorder="1" applyAlignment="1">
      <alignment horizontal="left" vertical="center" wrapText="1"/>
    </xf>
    <xf numFmtId="9" fontId="0" fillId="2" borderId="0" xfId="2" applyFont="1" applyFill="1" applyBorder="1" applyAlignment="1">
      <alignment horizontal="left" vertical="center" wrapText="1"/>
    </xf>
    <xf numFmtId="165" fontId="0" fillId="2" borderId="0" xfId="2" applyNumberFormat="1" applyFont="1" applyFill="1" applyBorder="1" applyAlignment="1">
      <alignment horizontal="left" vertical="center"/>
    </xf>
    <xf numFmtId="9" fontId="12" fillId="2" borderId="0" xfId="2" applyFont="1" applyFill="1" applyBorder="1" applyAlignment="1">
      <alignment horizontal="left" vertical="center" wrapText="1"/>
    </xf>
    <xf numFmtId="0" fontId="0" fillId="2" borderId="0" xfId="0" applyFill="1" applyAlignment="1">
      <alignment horizontal="left" vertical="center" wrapText="1"/>
    </xf>
    <xf numFmtId="0" fontId="8" fillId="2" borderId="0" xfId="0" applyFont="1" applyFill="1" applyAlignment="1">
      <alignment horizontal="left" vertical="center" wrapText="1"/>
    </xf>
    <xf numFmtId="0" fontId="14" fillId="7" borderId="0" xfId="0" applyFont="1" applyFill="1" applyAlignment="1">
      <alignment horizontal="center"/>
    </xf>
    <xf numFmtId="0" fontId="3" fillId="2" borderId="0" xfId="0" applyFont="1" applyFill="1" applyAlignment="1">
      <alignment horizontal="center"/>
    </xf>
    <xf numFmtId="9" fontId="0" fillId="2" borderId="0" xfId="2" applyFont="1" applyFill="1" applyAlignment="1">
      <alignment horizontal="left" vertical="center" wrapText="1"/>
    </xf>
    <xf numFmtId="0" fontId="76" fillId="2" borderId="0" xfId="0" applyFont="1" applyFill="1" applyAlignment="1">
      <alignment horizontal="left" vertical="top" wrapText="1"/>
    </xf>
    <xf numFmtId="164" fontId="0" fillId="2" borderId="0" xfId="1" applyNumberFormat="1" applyFont="1" applyFill="1" applyAlignment="1">
      <alignment horizontal="center" vertical="center" wrapText="1"/>
    </xf>
    <xf numFmtId="9" fontId="3" fillId="2" borderId="0" xfId="2" applyFont="1" applyFill="1" applyAlignment="1">
      <alignment horizontal="left" wrapText="1"/>
    </xf>
    <xf numFmtId="0" fontId="0" fillId="2" borderId="0" xfId="0" applyFill="1" applyAlignment="1">
      <alignment horizontal="center" vertical="center" wrapText="1"/>
    </xf>
    <xf numFmtId="0" fontId="0" fillId="2" borderId="0" xfId="0" applyFill="1" applyAlignment="1">
      <alignment horizontal="left" wrapText="1"/>
    </xf>
    <xf numFmtId="9" fontId="0" fillId="2" borderId="0" xfId="0" applyNumberFormat="1" applyFill="1" applyAlignment="1">
      <alignment horizontal="left" vertical="top" wrapText="1"/>
    </xf>
    <xf numFmtId="0" fontId="10" fillId="2" borderId="0" xfId="0" applyFont="1" applyFill="1" applyAlignment="1">
      <alignment horizontal="left" vertical="center" wrapText="1"/>
    </xf>
    <xf numFmtId="0" fontId="102" fillId="0" borderId="0" xfId="0" applyFont="1" applyAlignment="1">
      <alignment horizontal="left" vertical="center" wrapText="1"/>
    </xf>
    <xf numFmtId="9" fontId="0" fillId="2" borderId="0" xfId="2" applyFont="1" applyFill="1" applyAlignment="1">
      <alignment horizontal="left" vertical="top" wrapText="1"/>
    </xf>
    <xf numFmtId="9" fontId="0" fillId="2" borderId="0" xfId="2" quotePrefix="1" applyFont="1" applyFill="1" applyAlignment="1">
      <alignment horizontal="left" vertical="center" wrapText="1"/>
    </xf>
    <xf numFmtId="0" fontId="45" fillId="2" borderId="25" xfId="0" applyFont="1" applyFill="1" applyBorder="1" applyAlignment="1">
      <alignment horizontal="left" wrapText="1" indent="2"/>
    </xf>
    <xf numFmtId="0" fontId="45" fillId="2" borderId="26" xfId="0" applyFont="1" applyFill="1" applyBorder="1" applyAlignment="1">
      <alignment horizontal="left" wrapText="1" indent="2"/>
    </xf>
    <xf numFmtId="0" fontId="45" fillId="2" borderId="15" xfId="0" applyFont="1" applyFill="1" applyBorder="1" applyAlignment="1">
      <alignment horizontal="left" vertical="center" wrapText="1" indent="4"/>
    </xf>
    <xf numFmtId="0" fontId="45" fillId="2" borderId="14" xfId="0" applyFont="1" applyFill="1" applyBorder="1" applyAlignment="1">
      <alignment horizontal="left" vertical="center" wrapText="1" indent="4"/>
    </xf>
    <xf numFmtId="0" fontId="45" fillId="2" borderId="16" xfId="0" applyFont="1" applyFill="1" applyBorder="1" applyAlignment="1">
      <alignment horizontal="left" vertical="center" wrapText="1" indent="4"/>
    </xf>
    <xf numFmtId="0" fontId="0" fillId="2" borderId="0" xfId="0" applyFill="1" applyAlignment="1">
      <alignment horizontal="left"/>
    </xf>
    <xf numFmtId="0" fontId="3" fillId="2" borderId="0" xfId="0" applyFont="1" applyFill="1" applyAlignment="1">
      <alignment horizontal="center" vertical="center" wrapText="1"/>
    </xf>
    <xf numFmtId="0" fontId="3" fillId="2" borderId="0" xfId="0" applyFont="1" applyFill="1" applyAlignment="1">
      <alignment vertical="center" wrapText="1"/>
    </xf>
    <xf numFmtId="0" fontId="0" fillId="2" borderId="0" xfId="0" applyFill="1" applyAlignment="1">
      <alignment vertical="center" wrapText="1"/>
    </xf>
    <xf numFmtId="0" fontId="0" fillId="2" borderId="0" xfId="0" applyFill="1" applyAlignment="1">
      <alignment vertical="center"/>
    </xf>
    <xf numFmtId="0" fontId="3" fillId="2" borderId="0" xfId="0" applyFont="1" applyFill="1" applyAlignment="1">
      <alignment horizontal="left" wrapText="1" indent="2"/>
    </xf>
    <xf numFmtId="0" fontId="3" fillId="2" borderId="0" xfId="0" applyFont="1" applyFill="1" applyAlignment="1">
      <alignment horizontal="left" vertical="center"/>
    </xf>
    <xf numFmtId="0" fontId="0" fillId="2" borderId="0" xfId="0" applyFill="1" applyAlignment="1">
      <alignment horizontal="left" vertical="center" wrapText="1" indent="2"/>
    </xf>
    <xf numFmtId="0" fontId="0" fillId="2" borderId="0" xfId="0" applyFill="1" applyAlignment="1">
      <alignment horizontal="left" vertical="center" indent="2"/>
    </xf>
    <xf numFmtId="0" fontId="3" fillId="2" borderId="0" xfId="0" applyFont="1" applyFill="1" applyAlignment="1">
      <alignment vertical="center"/>
    </xf>
    <xf numFmtId="9" fontId="0" fillId="2" borderId="4" xfId="0" applyNumberFormat="1" applyFill="1" applyBorder="1" applyAlignment="1">
      <alignment horizontal="right"/>
    </xf>
    <xf numFmtId="0" fontId="0" fillId="2" borderId="5" xfId="0" applyFill="1" applyBorder="1" applyAlignment="1">
      <alignment horizontal="right"/>
    </xf>
    <xf numFmtId="0" fontId="0" fillId="2" borderId="3" xfId="0" applyFill="1" applyBorder="1" applyAlignment="1">
      <alignment horizontal="left" vertical="center"/>
    </xf>
    <xf numFmtId="0" fontId="0" fillId="2" borderId="0" xfId="0" applyFill="1" applyAlignment="1">
      <alignment horizontal="left" vertical="center"/>
    </xf>
    <xf numFmtId="0" fontId="14" fillId="3" borderId="0" xfId="0" applyFont="1" applyFill="1" applyAlignment="1">
      <alignment horizontal="center"/>
    </xf>
    <xf numFmtId="0" fontId="0" fillId="2" borderId="0" xfId="0" applyFill="1" applyAlignment="1">
      <alignment horizontal="center"/>
    </xf>
    <xf numFmtId="0" fontId="1" fillId="2" borderId="14" xfId="0" applyFont="1" applyFill="1" applyBorder="1"/>
    <xf numFmtId="0" fontId="1" fillId="2" borderId="0" xfId="0" applyFont="1" applyFill="1" applyAlignment="1">
      <alignment indent="2"/>
    </xf>
    <xf numFmtId="0" fontId="1" fillId="2" borderId="0" xfId="0" applyFont="1" applyFill="1"/>
    <xf numFmtId="10" fontId="1" fillId="2" borderId="0" xfId="2" applyNumberFormat="1" applyFont="1" applyFill="1" applyAlignment="1">
      <alignment indent="2"/>
    </xf>
    <xf numFmtId="0" fontId="1" fillId="2" borderId="0" xfId="0" applyFont="1" applyFill="1" applyAlignment="1">
      <alignment horizontal="right" indent="2"/>
    </xf>
    <xf numFmtId="0" fontId="1" fillId="2" borderId="0" xfId="0" applyFont="1" applyFill="1" applyAlignment="1">
      <alignment horizontal="left" indent="4"/>
    </xf>
    <xf numFmtId="164" fontId="1" fillId="2" borderId="0" xfId="1" applyNumberFormat="1" applyFont="1" applyFill="1"/>
    <xf numFmtId="10" fontId="1" fillId="2" borderId="0" xfId="0" applyNumberFormat="1" applyFont="1" applyFill="1"/>
    <xf numFmtId="10" fontId="1" fillId="2" borderId="0" xfId="1" applyNumberFormat="1" applyFont="1" applyFill="1"/>
  </cellXfs>
  <cellStyles count="11">
    <cellStyle name="Comma" xfId="1" builtinId="3"/>
    <cellStyle name="Comma 2" xfId="6" xr:uid="{9112BCC0-7B51-4293-98B0-575A9EE10739}"/>
    <cellStyle name="Comma 2 2" xfId="4" xr:uid="{9C2FEA76-85D5-49C6-80DB-DACCA2636791}"/>
    <cellStyle name="Comma 3" xfId="8" xr:uid="{AA35E577-8315-4EA6-9E26-60CD5D2F3F87}"/>
    <cellStyle name="Hyperlink" xfId="3" builtinId="8"/>
    <cellStyle name="Normal" xfId="0" builtinId="0"/>
    <cellStyle name="Normal 2" xfId="5" xr:uid="{486E811E-9471-42A6-8348-C88D90FFF42A}"/>
    <cellStyle name="Normal 3" xfId="9" xr:uid="{15968D93-9338-4CF3-98CF-08EE27210289}"/>
    <cellStyle name="Normal 4" xfId="10" xr:uid="{573D489E-3585-4734-B18B-4DED9B767547}"/>
    <cellStyle name="Percent" xfId="2" builtinId="5"/>
    <cellStyle name="Percent 2" xfId="7" xr:uid="{28004B54-9A05-4673-84A9-DF0192A91622}"/>
  </cellStyles>
  <dxfs count="2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79998168889431442"/>
        </patternFill>
      </fill>
    </dxf>
    <dxf>
      <fill>
        <patternFill>
          <bgColor theme="7" tint="0.79998168889431442"/>
        </patternFill>
      </fill>
    </dxf>
    <dxf>
      <fill>
        <patternFill>
          <bgColor theme="8" tint="0.79998168889431442"/>
        </patternFill>
      </fill>
    </dxf>
    <dxf>
      <fill>
        <patternFill>
          <bgColor theme="5" tint="0.59996337778862885"/>
        </patternFill>
      </fill>
    </dxf>
    <dxf>
      <fill>
        <patternFill>
          <bgColor theme="7" tint="0.79998168889431442"/>
        </patternFill>
      </fill>
    </dxf>
    <dxf>
      <fill>
        <patternFill>
          <bgColor theme="8" tint="0.79998168889431442"/>
        </patternFill>
      </fill>
    </dxf>
    <dxf>
      <fill>
        <patternFill>
          <bgColor theme="7" tint="0.79998168889431442"/>
        </patternFill>
      </fill>
    </dxf>
    <dxf>
      <fill>
        <patternFill>
          <bgColor theme="8" tint="0.79998168889431442"/>
        </patternFill>
      </fill>
    </dxf>
    <dxf>
      <fill>
        <patternFill>
          <bgColor theme="5" tint="0.59996337778862885"/>
        </patternFill>
      </fill>
    </dxf>
    <dxf>
      <fill>
        <patternFill>
          <bgColor theme="7" tint="0.79998168889431442"/>
        </patternFill>
      </fill>
    </dxf>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externalLink" Target="externalLinks/externalLink18.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externalLink" Target="externalLinks/externalLink21.xml"/><Relationship Id="rId47" Type="http://schemas.openxmlformats.org/officeDocument/2006/relationships/externalLink" Target="externalLinks/externalLink26.xml"/><Relationship Id="rId50" Type="http://schemas.openxmlformats.org/officeDocument/2006/relationships/externalLink" Target="externalLinks/externalLink29.xml"/><Relationship Id="rId55" Type="http://schemas.openxmlformats.org/officeDocument/2006/relationships/theme" Target="theme/theme1.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8.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externalLink" Target="externalLinks/externalLink16.xml"/><Relationship Id="rId40" Type="http://schemas.openxmlformats.org/officeDocument/2006/relationships/externalLink" Target="externalLinks/externalLink19.xml"/><Relationship Id="rId45" Type="http://schemas.openxmlformats.org/officeDocument/2006/relationships/externalLink" Target="externalLinks/externalLink24.xml"/><Relationship Id="rId53" Type="http://schemas.openxmlformats.org/officeDocument/2006/relationships/externalLink" Target="externalLinks/externalLink32.xml"/><Relationship Id="rId58" Type="http://schemas.openxmlformats.org/officeDocument/2006/relationships/sheetMetadata" Target="metadata.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43" Type="http://schemas.openxmlformats.org/officeDocument/2006/relationships/externalLink" Target="externalLinks/externalLink22.xml"/><Relationship Id="rId48" Type="http://schemas.openxmlformats.org/officeDocument/2006/relationships/externalLink" Target="externalLinks/externalLink27.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externalLink" Target="externalLinks/externalLink17.xml"/><Relationship Id="rId46" Type="http://schemas.openxmlformats.org/officeDocument/2006/relationships/externalLink" Target="externalLinks/externalLink25.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20.xml"/><Relationship Id="rId54" Type="http://schemas.openxmlformats.org/officeDocument/2006/relationships/externalLink" Target="externalLinks/externalLink33.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externalLink" Target="externalLinks/externalLink15.xml"/><Relationship Id="rId49" Type="http://schemas.openxmlformats.org/officeDocument/2006/relationships/externalLink" Target="externalLinks/externalLink28.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externalLink" Target="externalLinks/externalLink10.xml"/><Relationship Id="rId44" Type="http://schemas.openxmlformats.org/officeDocument/2006/relationships/externalLink" Target="externalLinks/externalLink23.xml"/><Relationship Id="rId52" Type="http://schemas.openxmlformats.org/officeDocument/2006/relationships/externalLink" Target="externalLinks/externalLink31.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 Peers'!$B$4</c:f>
              <c:strCache>
                <c:ptCount val="1"/>
                <c:pt idx="0">
                  <c:v>DGW VN EQUITY</c:v>
                </c:pt>
              </c:strCache>
            </c:strRef>
          </c:tx>
          <c:spPr>
            <a:ln w="28575" cap="rnd">
              <a:solidFill>
                <a:schemeClr val="accent1"/>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Peers'!$B$5:$B$775</c:f>
              <c:numCache>
                <c:formatCode>_(* #,##0.0_);_(* \(#,##0.0\);_(* "-"??_);_(@_)</c:formatCode>
                <c:ptCount val="771"/>
                <c:pt idx="0">
                  <c:v>16.303599999999999</c:v>
                </c:pt>
                <c:pt idx="1">
                  <c:v>17.524899999999999</c:v>
                </c:pt>
                <c:pt idx="2">
                  <c:v>18.823799999999999</c:v>
                </c:pt>
                <c:pt idx="3">
                  <c:v>19.502300000000002</c:v>
                </c:pt>
                <c:pt idx="4">
                  <c:v>20.936900000000001</c:v>
                </c:pt>
                <c:pt idx="5">
                  <c:v>20.936900000000001</c:v>
                </c:pt>
                <c:pt idx="6">
                  <c:v>20.471599999999999</c:v>
                </c:pt>
                <c:pt idx="7">
                  <c:v>21.130700000000001</c:v>
                </c:pt>
                <c:pt idx="8">
                  <c:v>20.7818</c:v>
                </c:pt>
                <c:pt idx="9">
                  <c:v>21.673500000000001</c:v>
                </c:pt>
                <c:pt idx="10">
                  <c:v>21.0532</c:v>
                </c:pt>
                <c:pt idx="11">
                  <c:v>22.565300000000001</c:v>
                </c:pt>
                <c:pt idx="12">
                  <c:v>23.534600000000001</c:v>
                </c:pt>
                <c:pt idx="13">
                  <c:v>23.534600000000001</c:v>
                </c:pt>
                <c:pt idx="14">
                  <c:v>23.069299999999998</c:v>
                </c:pt>
                <c:pt idx="15">
                  <c:v>22.6816</c:v>
                </c:pt>
                <c:pt idx="16">
                  <c:v>22.797899999999998</c:v>
                </c:pt>
                <c:pt idx="17">
                  <c:v>22.4878</c:v>
                </c:pt>
                <c:pt idx="18">
                  <c:v>21.3246</c:v>
                </c:pt>
                <c:pt idx="19">
                  <c:v>21.557200000000002</c:v>
                </c:pt>
                <c:pt idx="20">
                  <c:v>20.898099999999999</c:v>
                </c:pt>
                <c:pt idx="21">
                  <c:v>22.449000000000002</c:v>
                </c:pt>
                <c:pt idx="22">
                  <c:v>22.449000000000002</c:v>
                </c:pt>
                <c:pt idx="23">
                  <c:v>18.557300000000001</c:v>
                </c:pt>
                <c:pt idx="24">
                  <c:v>18.5899</c:v>
                </c:pt>
                <c:pt idx="25">
                  <c:v>17.611499999999999</c:v>
                </c:pt>
                <c:pt idx="26">
                  <c:v>17.611499999999999</c:v>
                </c:pt>
                <c:pt idx="27">
                  <c:v>18.916</c:v>
                </c:pt>
                <c:pt idx="28">
                  <c:v>19.894500000000001</c:v>
                </c:pt>
                <c:pt idx="29">
                  <c:v>20.4163</c:v>
                </c:pt>
                <c:pt idx="30">
                  <c:v>19.6662</c:v>
                </c:pt>
                <c:pt idx="31">
                  <c:v>19.0791</c:v>
                </c:pt>
                <c:pt idx="32">
                  <c:v>19.209599999999998</c:v>
                </c:pt>
                <c:pt idx="33">
                  <c:v>19.405200000000001</c:v>
                </c:pt>
                <c:pt idx="34">
                  <c:v>20.024899999999999</c:v>
                </c:pt>
                <c:pt idx="35">
                  <c:v>20.220600000000001</c:v>
                </c:pt>
                <c:pt idx="36">
                  <c:v>19.568300000000001</c:v>
                </c:pt>
                <c:pt idx="37">
                  <c:v>19.535699999999999</c:v>
                </c:pt>
                <c:pt idx="38">
                  <c:v>19.177</c:v>
                </c:pt>
                <c:pt idx="39">
                  <c:v>19.535699999999999</c:v>
                </c:pt>
                <c:pt idx="40">
                  <c:v>19.2422</c:v>
                </c:pt>
                <c:pt idx="41">
                  <c:v>18.883400000000002</c:v>
                </c:pt>
                <c:pt idx="42">
                  <c:v>18.981300000000001</c:v>
                </c:pt>
                <c:pt idx="43">
                  <c:v>18.6877</c:v>
                </c:pt>
                <c:pt idx="44">
                  <c:v>18.557300000000001</c:v>
                </c:pt>
                <c:pt idx="45">
                  <c:v>17.9376</c:v>
                </c:pt>
                <c:pt idx="46">
                  <c:v>17.546299999999999</c:v>
                </c:pt>
                <c:pt idx="47">
                  <c:v>16.763500000000001</c:v>
                </c:pt>
                <c:pt idx="48">
                  <c:v>16.926600000000001</c:v>
                </c:pt>
                <c:pt idx="49">
                  <c:v>15.834</c:v>
                </c:pt>
                <c:pt idx="50">
                  <c:v>16.290600000000001</c:v>
                </c:pt>
                <c:pt idx="51">
                  <c:v>17.5136</c:v>
                </c:pt>
                <c:pt idx="52">
                  <c:v>17.285299999999999</c:v>
                </c:pt>
                <c:pt idx="53">
                  <c:v>17.611499999999999</c:v>
                </c:pt>
                <c:pt idx="54">
                  <c:v>17.7746</c:v>
                </c:pt>
                <c:pt idx="55">
                  <c:v>17.481000000000002</c:v>
                </c:pt>
                <c:pt idx="56">
                  <c:v>17.7746</c:v>
                </c:pt>
                <c:pt idx="57">
                  <c:v>18.198499999999999</c:v>
                </c:pt>
                <c:pt idx="58">
                  <c:v>17.970199999999998</c:v>
                </c:pt>
                <c:pt idx="59">
                  <c:v>18.329000000000001</c:v>
                </c:pt>
                <c:pt idx="60">
                  <c:v>18.2638</c:v>
                </c:pt>
                <c:pt idx="61">
                  <c:v>18.2638</c:v>
                </c:pt>
                <c:pt idx="62">
                  <c:v>17.611499999999999</c:v>
                </c:pt>
                <c:pt idx="63">
                  <c:v>17.318000000000001</c:v>
                </c:pt>
                <c:pt idx="64">
                  <c:v>17.644100000000002</c:v>
                </c:pt>
                <c:pt idx="65">
                  <c:v>17.448399999999999</c:v>
                </c:pt>
                <c:pt idx="66">
                  <c:v>17.644100000000002</c:v>
                </c:pt>
                <c:pt idx="67">
                  <c:v>17.089700000000001</c:v>
                </c:pt>
                <c:pt idx="68">
                  <c:v>17.448399999999999</c:v>
                </c:pt>
                <c:pt idx="69">
                  <c:v>17.7746</c:v>
                </c:pt>
                <c:pt idx="70">
                  <c:v>17.905000000000001</c:v>
                </c:pt>
                <c:pt idx="71">
                  <c:v>16.763500000000001</c:v>
                </c:pt>
                <c:pt idx="72">
                  <c:v>16.094899999999999</c:v>
                </c:pt>
                <c:pt idx="73">
                  <c:v>15.9808</c:v>
                </c:pt>
                <c:pt idx="74">
                  <c:v>16.094899999999999</c:v>
                </c:pt>
                <c:pt idx="75">
                  <c:v>16.306899999999999</c:v>
                </c:pt>
                <c:pt idx="76">
                  <c:v>16.4374</c:v>
                </c:pt>
                <c:pt idx="77">
                  <c:v>15.9808</c:v>
                </c:pt>
                <c:pt idx="78">
                  <c:v>15.7851</c:v>
                </c:pt>
                <c:pt idx="79">
                  <c:v>15.605700000000001</c:v>
                </c:pt>
                <c:pt idx="80">
                  <c:v>15.0024</c:v>
                </c:pt>
                <c:pt idx="81">
                  <c:v>14.023999999999999</c:v>
                </c:pt>
                <c:pt idx="82">
                  <c:v>14.105499999999999</c:v>
                </c:pt>
                <c:pt idx="83">
                  <c:v>13.7957</c:v>
                </c:pt>
                <c:pt idx="84">
                  <c:v>13.6326</c:v>
                </c:pt>
                <c:pt idx="85">
                  <c:v>13.567399999999999</c:v>
                </c:pt>
                <c:pt idx="86">
                  <c:v>11.894600000000001</c:v>
                </c:pt>
                <c:pt idx="87">
                  <c:v>12.4246</c:v>
                </c:pt>
                <c:pt idx="88">
                  <c:v>12.5129</c:v>
                </c:pt>
                <c:pt idx="89">
                  <c:v>12.6012</c:v>
                </c:pt>
                <c:pt idx="90">
                  <c:v>12.071199999999999</c:v>
                </c:pt>
                <c:pt idx="91">
                  <c:v>12.2773</c:v>
                </c:pt>
                <c:pt idx="92">
                  <c:v>12.071199999999999</c:v>
                </c:pt>
                <c:pt idx="93">
                  <c:v>12.071199999999999</c:v>
                </c:pt>
                <c:pt idx="94">
                  <c:v>11.835699999999999</c:v>
                </c:pt>
                <c:pt idx="95">
                  <c:v>11.4824</c:v>
                </c:pt>
                <c:pt idx="96">
                  <c:v>11.6296</c:v>
                </c:pt>
                <c:pt idx="97">
                  <c:v>11.747400000000001</c:v>
                </c:pt>
                <c:pt idx="98">
                  <c:v>11.982900000000001</c:v>
                </c:pt>
                <c:pt idx="99">
                  <c:v>12.071199999999999</c:v>
                </c:pt>
                <c:pt idx="100">
                  <c:v>11.291</c:v>
                </c:pt>
                <c:pt idx="101">
                  <c:v>10.923</c:v>
                </c:pt>
                <c:pt idx="102">
                  <c:v>11.188000000000001</c:v>
                </c:pt>
                <c:pt idx="103">
                  <c:v>10.9819</c:v>
                </c:pt>
                <c:pt idx="104">
                  <c:v>11.0261</c:v>
                </c:pt>
                <c:pt idx="105">
                  <c:v>10.996600000000001</c:v>
                </c:pt>
                <c:pt idx="106">
                  <c:v>10.657999999999999</c:v>
                </c:pt>
                <c:pt idx="107">
                  <c:v>10.422499999999999</c:v>
                </c:pt>
                <c:pt idx="108">
                  <c:v>10.4961</c:v>
                </c:pt>
                <c:pt idx="109">
                  <c:v>10.0397</c:v>
                </c:pt>
                <c:pt idx="110">
                  <c:v>9.7453000000000003</c:v>
                </c:pt>
                <c:pt idx="111">
                  <c:v>9.6716999999999995</c:v>
                </c:pt>
                <c:pt idx="112">
                  <c:v>9.8041999999999998</c:v>
                </c:pt>
                <c:pt idx="113">
                  <c:v>9.9513999999999996</c:v>
                </c:pt>
                <c:pt idx="114">
                  <c:v>10.054500000000001</c:v>
                </c:pt>
                <c:pt idx="115">
                  <c:v>9.7306000000000008</c:v>
                </c:pt>
                <c:pt idx="116">
                  <c:v>9.7158999999999995</c:v>
                </c:pt>
                <c:pt idx="117">
                  <c:v>9.6864000000000008</c:v>
                </c:pt>
                <c:pt idx="118">
                  <c:v>9.6864000000000008</c:v>
                </c:pt>
                <c:pt idx="119">
                  <c:v>9.8630999999999993</c:v>
                </c:pt>
                <c:pt idx="120">
                  <c:v>10.025</c:v>
                </c:pt>
                <c:pt idx="121">
                  <c:v>10.098599999999999</c:v>
                </c:pt>
                <c:pt idx="122">
                  <c:v>10.157500000000001</c:v>
                </c:pt>
                <c:pt idx="123">
                  <c:v>9.8188999999999993</c:v>
                </c:pt>
                <c:pt idx="124">
                  <c:v>9.6864000000000008</c:v>
                </c:pt>
                <c:pt idx="125">
                  <c:v>9.8778000000000006</c:v>
                </c:pt>
                <c:pt idx="126">
                  <c:v>9.8778000000000006</c:v>
                </c:pt>
                <c:pt idx="127">
                  <c:v>10.098599999999999</c:v>
                </c:pt>
                <c:pt idx="128">
                  <c:v>9.8188999999999993</c:v>
                </c:pt>
                <c:pt idx="129">
                  <c:v>9.8925000000000001</c:v>
                </c:pt>
                <c:pt idx="130">
                  <c:v>9.6864000000000008</c:v>
                </c:pt>
                <c:pt idx="131">
                  <c:v>9.9809000000000001</c:v>
                </c:pt>
                <c:pt idx="132">
                  <c:v>10.142799999999999</c:v>
                </c:pt>
                <c:pt idx="133">
                  <c:v>10.2753</c:v>
                </c:pt>
                <c:pt idx="134">
                  <c:v>10.5108</c:v>
                </c:pt>
                <c:pt idx="135">
                  <c:v>10.025</c:v>
                </c:pt>
                <c:pt idx="136">
                  <c:v>9.6128</c:v>
                </c:pt>
                <c:pt idx="137">
                  <c:v>9.657</c:v>
                </c:pt>
                <c:pt idx="138">
                  <c:v>10.025</c:v>
                </c:pt>
                <c:pt idx="139">
                  <c:v>9.9513999999999996</c:v>
                </c:pt>
                <c:pt idx="140">
                  <c:v>10.0692</c:v>
                </c:pt>
                <c:pt idx="141">
                  <c:v>9.8483999999999998</c:v>
                </c:pt>
                <c:pt idx="142">
                  <c:v>9.2154000000000007</c:v>
                </c:pt>
                <c:pt idx="143">
                  <c:v>9.3036999999999992</c:v>
                </c:pt>
                <c:pt idx="144">
                  <c:v>9.6275999999999993</c:v>
                </c:pt>
                <c:pt idx="145">
                  <c:v>9.3919999999999995</c:v>
                </c:pt>
                <c:pt idx="146">
                  <c:v>8.8032000000000004</c:v>
                </c:pt>
                <c:pt idx="147">
                  <c:v>8.4498999999999995</c:v>
                </c:pt>
                <c:pt idx="148">
                  <c:v>6.9147999999999996</c:v>
                </c:pt>
                <c:pt idx="149">
                  <c:v>7.4348999999999998</c:v>
                </c:pt>
                <c:pt idx="150">
                  <c:v>7.6830999999999996</c:v>
                </c:pt>
                <c:pt idx="151">
                  <c:v>7.7304000000000004</c:v>
                </c:pt>
                <c:pt idx="152">
                  <c:v>7.8250000000000002</c:v>
                </c:pt>
                <c:pt idx="153">
                  <c:v>7.8722000000000003</c:v>
                </c:pt>
                <c:pt idx="154">
                  <c:v>7.7304000000000004</c:v>
                </c:pt>
                <c:pt idx="155">
                  <c:v>8.0376999999999992</c:v>
                </c:pt>
                <c:pt idx="156">
                  <c:v>8.0376999999999992</c:v>
                </c:pt>
                <c:pt idx="157">
                  <c:v>8.2622999999999998</c:v>
                </c:pt>
                <c:pt idx="158">
                  <c:v>8.2032000000000007</c:v>
                </c:pt>
                <c:pt idx="159">
                  <c:v>8.4160000000000004</c:v>
                </c:pt>
                <c:pt idx="160">
                  <c:v>8.1913999999999998</c:v>
                </c:pt>
                <c:pt idx="161">
                  <c:v>8.5342000000000002</c:v>
                </c:pt>
                <c:pt idx="162">
                  <c:v>8.7469000000000001</c:v>
                </c:pt>
                <c:pt idx="163">
                  <c:v>8.8059999999999992</c:v>
                </c:pt>
                <c:pt idx="164">
                  <c:v>8.2386999999999997</c:v>
                </c:pt>
                <c:pt idx="165">
                  <c:v>8.2978000000000005</c:v>
                </c:pt>
                <c:pt idx="166">
                  <c:v>8.5105000000000004</c:v>
                </c:pt>
                <c:pt idx="167">
                  <c:v>8.6996000000000002</c:v>
                </c:pt>
                <c:pt idx="168">
                  <c:v>8.7942</c:v>
                </c:pt>
                <c:pt idx="169">
                  <c:v>8.9242000000000008</c:v>
                </c:pt>
                <c:pt idx="170">
                  <c:v>8.6287000000000003</c:v>
                </c:pt>
                <c:pt idx="171">
                  <c:v>8.8651</c:v>
                </c:pt>
                <c:pt idx="172">
                  <c:v>9.4207000000000001</c:v>
                </c:pt>
                <c:pt idx="173">
                  <c:v>9.6689000000000007</c:v>
                </c:pt>
                <c:pt idx="174">
                  <c:v>9.8107000000000006</c:v>
                </c:pt>
                <c:pt idx="175">
                  <c:v>9.8817000000000004</c:v>
                </c:pt>
                <c:pt idx="176">
                  <c:v>9.6453000000000007</c:v>
                </c:pt>
                <c:pt idx="177">
                  <c:v>9.4324999999999992</c:v>
                </c:pt>
                <c:pt idx="178">
                  <c:v>9.6097999999999999</c:v>
                </c:pt>
                <c:pt idx="179">
                  <c:v>9.3970000000000002</c:v>
                </c:pt>
                <c:pt idx="180">
                  <c:v>9.2669999999999995</c:v>
                </c:pt>
                <c:pt idx="181">
                  <c:v>9.2196999999999996</c:v>
                </c:pt>
                <c:pt idx="182">
                  <c:v>9.3851999999999993</c:v>
                </c:pt>
                <c:pt idx="183">
                  <c:v>9.6570999999999998</c:v>
                </c:pt>
                <c:pt idx="184">
                  <c:v>9.8580000000000005</c:v>
                </c:pt>
                <c:pt idx="185">
                  <c:v>9.6925000000000008</c:v>
                </c:pt>
                <c:pt idx="186">
                  <c:v>9.7043999999999997</c:v>
                </c:pt>
                <c:pt idx="187">
                  <c:v>9.7635000000000005</c:v>
                </c:pt>
                <c:pt idx="188">
                  <c:v>9.5742999999999991</c:v>
                </c:pt>
                <c:pt idx="189">
                  <c:v>9.7635000000000005</c:v>
                </c:pt>
                <c:pt idx="190">
                  <c:v>10.4018</c:v>
                </c:pt>
                <c:pt idx="191">
                  <c:v>10.1181</c:v>
                </c:pt>
                <c:pt idx="192">
                  <c:v>10.3072</c:v>
                </c:pt>
                <c:pt idx="193">
                  <c:v>10.2126</c:v>
                </c:pt>
                <c:pt idx="194">
                  <c:v>10.058999999999999</c:v>
                </c:pt>
                <c:pt idx="195">
                  <c:v>9.4088999999999992</c:v>
                </c:pt>
                <c:pt idx="196">
                  <c:v>9.1724999999999994</c:v>
                </c:pt>
                <c:pt idx="197">
                  <c:v>9.3615999999999993</c:v>
                </c:pt>
                <c:pt idx="198">
                  <c:v>9.3615999999999993</c:v>
                </c:pt>
                <c:pt idx="199">
                  <c:v>9.3615999999999993</c:v>
                </c:pt>
                <c:pt idx="200">
                  <c:v>9.3970000000000002</c:v>
                </c:pt>
                <c:pt idx="201">
                  <c:v>9.1251999999999995</c:v>
                </c:pt>
                <c:pt idx="202">
                  <c:v>9.0778999999999996</c:v>
                </c:pt>
                <c:pt idx="203">
                  <c:v>9.3498000000000001</c:v>
                </c:pt>
                <c:pt idx="204">
                  <c:v>9.4797999999999991</c:v>
                </c:pt>
                <c:pt idx="205">
                  <c:v>9.4560999999999993</c:v>
                </c:pt>
                <c:pt idx="206">
                  <c:v>8.9242000000000008</c:v>
                </c:pt>
                <c:pt idx="207">
                  <c:v>7.1547999999999998</c:v>
                </c:pt>
                <c:pt idx="208">
                  <c:v>7.2394999999999996</c:v>
                </c:pt>
                <c:pt idx="209">
                  <c:v>7.2678000000000003</c:v>
                </c:pt>
                <c:pt idx="210">
                  <c:v>6.9195000000000002</c:v>
                </c:pt>
                <c:pt idx="211">
                  <c:v>7.4184000000000001</c:v>
                </c:pt>
                <c:pt idx="212">
                  <c:v>7.5125999999999999</c:v>
                </c:pt>
                <c:pt idx="213">
                  <c:v>7.4561000000000002</c:v>
                </c:pt>
                <c:pt idx="214">
                  <c:v>7.7196999999999996</c:v>
                </c:pt>
                <c:pt idx="215">
                  <c:v>8.0774000000000008</c:v>
                </c:pt>
                <c:pt idx="216">
                  <c:v>8.4540000000000006</c:v>
                </c:pt>
                <c:pt idx="217">
                  <c:v>8.3222000000000005</c:v>
                </c:pt>
                <c:pt idx="218">
                  <c:v>8.1904000000000003</c:v>
                </c:pt>
                <c:pt idx="219">
                  <c:v>8.2844999999999995</c:v>
                </c:pt>
                <c:pt idx="220">
                  <c:v>7.8703000000000003</c:v>
                </c:pt>
                <c:pt idx="221">
                  <c:v>8.1904000000000003</c:v>
                </c:pt>
                <c:pt idx="222">
                  <c:v>8.2562999999999995</c:v>
                </c:pt>
                <c:pt idx="223">
                  <c:v>7.7196999999999996</c:v>
                </c:pt>
                <c:pt idx="224">
                  <c:v>8.2844999999999995</c:v>
                </c:pt>
                <c:pt idx="225">
                  <c:v>8.9059000000000008</c:v>
                </c:pt>
                <c:pt idx="226">
                  <c:v>8.8493999999999993</c:v>
                </c:pt>
                <c:pt idx="227">
                  <c:v>8.5763999999999996</c:v>
                </c:pt>
                <c:pt idx="228">
                  <c:v>8.3315999999999999</c:v>
                </c:pt>
                <c:pt idx="229">
                  <c:v>7.7949999999999999</c:v>
                </c:pt>
                <c:pt idx="230">
                  <c:v>7.2866</c:v>
                </c:pt>
                <c:pt idx="231">
                  <c:v>6.8159000000000001</c:v>
                </c:pt>
                <c:pt idx="232">
                  <c:v>6.6087999999999996</c:v>
                </c:pt>
                <c:pt idx="233">
                  <c:v>7.0983000000000001</c:v>
                </c:pt>
                <c:pt idx="234">
                  <c:v>7.0983000000000001</c:v>
                </c:pt>
                <c:pt idx="235">
                  <c:v>7.5313999999999997</c:v>
                </c:pt>
                <c:pt idx="236">
                  <c:v>8.0961999999999996</c:v>
                </c:pt>
                <c:pt idx="237">
                  <c:v>7.6631999999999998</c:v>
                </c:pt>
                <c:pt idx="238">
                  <c:v>7.3996000000000004</c:v>
                </c:pt>
                <c:pt idx="239">
                  <c:v>6.9195000000000002</c:v>
                </c:pt>
                <c:pt idx="240">
                  <c:v>7.4371999999999998</c:v>
                </c:pt>
                <c:pt idx="241">
                  <c:v>7.9927000000000001</c:v>
                </c:pt>
                <c:pt idx="242">
                  <c:v>8.5858000000000008</c:v>
                </c:pt>
                <c:pt idx="243">
                  <c:v>9.2258999999999993</c:v>
                </c:pt>
                <c:pt idx="244">
                  <c:v>9.8660999999999994</c:v>
                </c:pt>
                <c:pt idx="245">
                  <c:v>9.6402000000000001</c:v>
                </c:pt>
                <c:pt idx="246">
                  <c:v>10.355600000000001</c:v>
                </c:pt>
                <c:pt idx="247">
                  <c:v>11.127599999999999</c:v>
                </c:pt>
                <c:pt idx="248">
                  <c:v>11.1088</c:v>
                </c:pt>
                <c:pt idx="249">
                  <c:v>11.1088</c:v>
                </c:pt>
                <c:pt idx="250">
                  <c:v>11.4854</c:v>
                </c:pt>
                <c:pt idx="251">
                  <c:v>11.6736</c:v>
                </c:pt>
                <c:pt idx="252">
                  <c:v>12.0502</c:v>
                </c:pt>
                <c:pt idx="253">
                  <c:v>11.447699999999999</c:v>
                </c:pt>
                <c:pt idx="254">
                  <c:v>11.3912</c:v>
                </c:pt>
                <c:pt idx="255">
                  <c:v>10.7887</c:v>
                </c:pt>
                <c:pt idx="256">
                  <c:v>11.5983</c:v>
                </c:pt>
                <c:pt idx="257">
                  <c:v>12.464399999999999</c:v>
                </c:pt>
                <c:pt idx="258">
                  <c:v>12.6716</c:v>
                </c:pt>
                <c:pt idx="259">
                  <c:v>12.520899999999999</c:v>
                </c:pt>
                <c:pt idx="260">
                  <c:v>12.954000000000001</c:v>
                </c:pt>
                <c:pt idx="261">
                  <c:v>12.954000000000001</c:v>
                </c:pt>
                <c:pt idx="262">
                  <c:v>12.1067</c:v>
                </c:pt>
                <c:pt idx="263">
                  <c:v>12.0502</c:v>
                </c:pt>
                <c:pt idx="264">
                  <c:v>11.3536</c:v>
                </c:pt>
                <c:pt idx="265">
                  <c:v>11.3536</c:v>
                </c:pt>
                <c:pt idx="266">
                  <c:v>10.619199999999999</c:v>
                </c:pt>
                <c:pt idx="267">
                  <c:v>11.0335</c:v>
                </c:pt>
                <c:pt idx="268">
                  <c:v>11.4854</c:v>
                </c:pt>
                <c:pt idx="269">
                  <c:v>10.750999999999999</c:v>
                </c:pt>
                <c:pt idx="270">
                  <c:v>11.2782</c:v>
                </c:pt>
                <c:pt idx="271">
                  <c:v>12.125500000000001</c:v>
                </c:pt>
                <c:pt idx="272">
                  <c:v>13.018700000000001</c:v>
                </c:pt>
                <c:pt idx="273">
                  <c:v>12.792899999999999</c:v>
                </c:pt>
                <c:pt idx="274">
                  <c:v>13.4499</c:v>
                </c:pt>
                <c:pt idx="275">
                  <c:v>13.9633</c:v>
                </c:pt>
                <c:pt idx="276">
                  <c:v>14.9079</c:v>
                </c:pt>
                <c:pt idx="277">
                  <c:v>15.154299999999999</c:v>
                </c:pt>
                <c:pt idx="278">
                  <c:v>14.846299999999999</c:v>
                </c:pt>
                <c:pt idx="279">
                  <c:v>14.8873</c:v>
                </c:pt>
                <c:pt idx="280">
                  <c:v>14.415100000000001</c:v>
                </c:pt>
                <c:pt idx="281">
                  <c:v>15.482799999999999</c:v>
                </c:pt>
                <c:pt idx="282">
                  <c:v>15.9346</c:v>
                </c:pt>
                <c:pt idx="283">
                  <c:v>15.9757</c:v>
                </c:pt>
                <c:pt idx="284">
                  <c:v>15.811400000000001</c:v>
                </c:pt>
                <c:pt idx="285">
                  <c:v>15.9551</c:v>
                </c:pt>
                <c:pt idx="286">
                  <c:v>15.092700000000001</c:v>
                </c:pt>
                <c:pt idx="287">
                  <c:v>14.743600000000001</c:v>
                </c:pt>
                <c:pt idx="288">
                  <c:v>14.394500000000001</c:v>
                </c:pt>
                <c:pt idx="289">
                  <c:v>15.195399999999999</c:v>
                </c:pt>
                <c:pt idx="290">
                  <c:v>14.846299999999999</c:v>
                </c:pt>
                <c:pt idx="291">
                  <c:v>14.723100000000001</c:v>
                </c:pt>
                <c:pt idx="292">
                  <c:v>14.5793</c:v>
                </c:pt>
                <c:pt idx="293">
                  <c:v>14.5793</c:v>
                </c:pt>
                <c:pt idx="294">
                  <c:v>14.8873</c:v>
                </c:pt>
                <c:pt idx="295">
                  <c:v>14.9489</c:v>
                </c:pt>
                <c:pt idx="296">
                  <c:v>15.0311</c:v>
                </c:pt>
                <c:pt idx="297">
                  <c:v>14.825699999999999</c:v>
                </c:pt>
                <c:pt idx="298">
                  <c:v>14.825699999999999</c:v>
                </c:pt>
                <c:pt idx="299">
                  <c:v>14.456099999999999</c:v>
                </c:pt>
                <c:pt idx="300">
                  <c:v>14.3535</c:v>
                </c:pt>
                <c:pt idx="301">
                  <c:v>14.682</c:v>
                </c:pt>
                <c:pt idx="302">
                  <c:v>14.6409</c:v>
                </c:pt>
                <c:pt idx="303">
                  <c:v>14.374000000000001</c:v>
                </c:pt>
                <c:pt idx="304">
                  <c:v>13.4499</c:v>
                </c:pt>
                <c:pt idx="305">
                  <c:v>12.9366</c:v>
                </c:pt>
                <c:pt idx="306">
                  <c:v>12.8955</c:v>
                </c:pt>
                <c:pt idx="307">
                  <c:v>13.100899999999999</c:v>
                </c:pt>
                <c:pt idx="308">
                  <c:v>13.326700000000001</c:v>
                </c:pt>
                <c:pt idx="309">
                  <c:v>12.9161</c:v>
                </c:pt>
                <c:pt idx="310">
                  <c:v>12.9161</c:v>
                </c:pt>
                <c:pt idx="311">
                  <c:v>12.5054</c:v>
                </c:pt>
                <c:pt idx="312">
                  <c:v>12.382199999999999</c:v>
                </c:pt>
                <c:pt idx="313">
                  <c:v>12.5054</c:v>
                </c:pt>
                <c:pt idx="314">
                  <c:v>12.033099999999999</c:v>
                </c:pt>
                <c:pt idx="315">
                  <c:v>12.4232</c:v>
                </c:pt>
                <c:pt idx="316">
                  <c:v>12.402699999999999</c:v>
                </c:pt>
                <c:pt idx="317">
                  <c:v>12.4643</c:v>
                </c:pt>
                <c:pt idx="318">
                  <c:v>12.1152</c:v>
                </c:pt>
                <c:pt idx="319">
                  <c:v>12.5259</c:v>
                </c:pt>
                <c:pt idx="320">
                  <c:v>12.8339</c:v>
                </c:pt>
                <c:pt idx="321">
                  <c:v>12.1974</c:v>
                </c:pt>
                <c:pt idx="322">
                  <c:v>11.4171</c:v>
                </c:pt>
                <c:pt idx="323">
                  <c:v>11.293799999999999</c:v>
                </c:pt>
                <c:pt idx="324">
                  <c:v>10.7805</c:v>
                </c:pt>
                <c:pt idx="325">
                  <c:v>10.965299999999999</c:v>
                </c:pt>
                <c:pt idx="326">
                  <c:v>11.2117</c:v>
                </c:pt>
                <c:pt idx="327">
                  <c:v>11.334899999999999</c:v>
                </c:pt>
                <c:pt idx="328">
                  <c:v>10.903700000000001</c:v>
                </c:pt>
                <c:pt idx="329">
                  <c:v>11.704499999999999</c:v>
                </c:pt>
                <c:pt idx="330">
                  <c:v>11.4992</c:v>
                </c:pt>
                <c:pt idx="331">
                  <c:v>11.026899999999999</c:v>
                </c:pt>
                <c:pt idx="332">
                  <c:v>11.8483</c:v>
                </c:pt>
                <c:pt idx="333">
                  <c:v>12.731199999999999</c:v>
                </c:pt>
                <c:pt idx="334">
                  <c:v>13.039300000000001</c:v>
                </c:pt>
                <c:pt idx="335">
                  <c:v>13.2332</c:v>
                </c:pt>
                <c:pt idx="336">
                  <c:v>13.5068</c:v>
                </c:pt>
                <c:pt idx="337">
                  <c:v>14.053599999999999</c:v>
                </c:pt>
                <c:pt idx="338">
                  <c:v>14.1699</c:v>
                </c:pt>
                <c:pt idx="339">
                  <c:v>13.9023</c:v>
                </c:pt>
                <c:pt idx="340">
                  <c:v>13.7278</c:v>
                </c:pt>
                <c:pt idx="341">
                  <c:v>12.9833</c:v>
                </c:pt>
                <c:pt idx="342">
                  <c:v>13.9605</c:v>
                </c:pt>
                <c:pt idx="343">
                  <c:v>14.193199999999999</c:v>
                </c:pt>
                <c:pt idx="344">
                  <c:v>14.6585</c:v>
                </c:pt>
                <c:pt idx="345">
                  <c:v>14.8912</c:v>
                </c:pt>
                <c:pt idx="346">
                  <c:v>14.4026</c:v>
                </c:pt>
                <c:pt idx="347">
                  <c:v>14.065200000000001</c:v>
                </c:pt>
                <c:pt idx="348">
                  <c:v>14.507300000000001</c:v>
                </c:pt>
                <c:pt idx="349">
                  <c:v>15.5892</c:v>
                </c:pt>
                <c:pt idx="350">
                  <c:v>16.194199999999999</c:v>
                </c:pt>
                <c:pt idx="351">
                  <c:v>16.182600000000001</c:v>
                </c:pt>
                <c:pt idx="352">
                  <c:v>15.123900000000001</c:v>
                </c:pt>
                <c:pt idx="353">
                  <c:v>15.123900000000001</c:v>
                </c:pt>
                <c:pt idx="354">
                  <c:v>14.984299999999999</c:v>
                </c:pt>
                <c:pt idx="355">
                  <c:v>15.2286</c:v>
                </c:pt>
                <c:pt idx="356">
                  <c:v>14.9377</c:v>
                </c:pt>
                <c:pt idx="357">
                  <c:v>14.8912</c:v>
                </c:pt>
                <c:pt idx="358">
                  <c:v>14.774900000000001</c:v>
                </c:pt>
                <c:pt idx="359">
                  <c:v>14.774900000000001</c:v>
                </c:pt>
                <c:pt idx="360">
                  <c:v>14.1816</c:v>
                </c:pt>
                <c:pt idx="361">
                  <c:v>13.937200000000001</c:v>
                </c:pt>
                <c:pt idx="362">
                  <c:v>13.0298</c:v>
                </c:pt>
                <c:pt idx="363">
                  <c:v>12.5877</c:v>
                </c:pt>
                <c:pt idx="364">
                  <c:v>12.564500000000001</c:v>
                </c:pt>
                <c:pt idx="365">
                  <c:v>12.436500000000001</c:v>
                </c:pt>
                <c:pt idx="366">
                  <c:v>12.4016</c:v>
                </c:pt>
                <c:pt idx="367">
                  <c:v>11.5989</c:v>
                </c:pt>
                <c:pt idx="368">
                  <c:v>10.842700000000001</c:v>
                </c:pt>
                <c:pt idx="369">
                  <c:v>11.657</c:v>
                </c:pt>
                <c:pt idx="370">
                  <c:v>12.5296</c:v>
                </c:pt>
                <c:pt idx="371">
                  <c:v>13.4719</c:v>
                </c:pt>
                <c:pt idx="372">
                  <c:v>13.611499999999999</c:v>
                </c:pt>
                <c:pt idx="373">
                  <c:v>13.483499999999999</c:v>
                </c:pt>
                <c:pt idx="374">
                  <c:v>14.495699999999999</c:v>
                </c:pt>
                <c:pt idx="375">
                  <c:v>15.5776</c:v>
                </c:pt>
                <c:pt idx="376">
                  <c:v>15.8917</c:v>
                </c:pt>
                <c:pt idx="377">
                  <c:v>16.1709</c:v>
                </c:pt>
                <c:pt idx="378">
                  <c:v>15.7056</c:v>
                </c:pt>
                <c:pt idx="379">
                  <c:v>15.600899999999999</c:v>
                </c:pt>
                <c:pt idx="380">
                  <c:v>15.123900000000001</c:v>
                </c:pt>
                <c:pt idx="381">
                  <c:v>15.3566</c:v>
                </c:pt>
                <c:pt idx="382">
                  <c:v>16.508299999999998</c:v>
                </c:pt>
                <c:pt idx="383">
                  <c:v>17.741499999999998</c:v>
                </c:pt>
                <c:pt idx="384">
                  <c:v>17.218</c:v>
                </c:pt>
                <c:pt idx="385">
                  <c:v>18.3813</c:v>
                </c:pt>
                <c:pt idx="386">
                  <c:v>18.090499999999999</c:v>
                </c:pt>
                <c:pt idx="387">
                  <c:v>16.915500000000002</c:v>
                </c:pt>
                <c:pt idx="388">
                  <c:v>16.834</c:v>
                </c:pt>
                <c:pt idx="389">
                  <c:v>16.031300000000002</c:v>
                </c:pt>
                <c:pt idx="390">
                  <c:v>15.4496</c:v>
                </c:pt>
                <c:pt idx="391">
                  <c:v>15.9964</c:v>
                </c:pt>
                <c:pt idx="392">
                  <c:v>15.961499999999999</c:v>
                </c:pt>
                <c:pt idx="393">
                  <c:v>17.159800000000001</c:v>
                </c:pt>
                <c:pt idx="394">
                  <c:v>17.055099999999999</c:v>
                </c:pt>
                <c:pt idx="395">
                  <c:v>17.055099999999999</c:v>
                </c:pt>
                <c:pt idx="396">
                  <c:v>17.148199999999999</c:v>
                </c:pt>
                <c:pt idx="397">
                  <c:v>16.5199</c:v>
                </c:pt>
                <c:pt idx="398">
                  <c:v>19.598700000000001</c:v>
                </c:pt>
                <c:pt idx="399">
                  <c:v>19.035699999999999</c:v>
                </c:pt>
                <c:pt idx="400">
                  <c:v>19.84</c:v>
                </c:pt>
                <c:pt idx="401">
                  <c:v>19.008900000000001</c:v>
                </c:pt>
                <c:pt idx="402">
                  <c:v>17.775600000000001</c:v>
                </c:pt>
                <c:pt idx="403">
                  <c:v>17.654900000000001</c:v>
                </c:pt>
                <c:pt idx="404">
                  <c:v>16.502099999999999</c:v>
                </c:pt>
                <c:pt idx="405">
                  <c:v>16.957799999999999</c:v>
                </c:pt>
                <c:pt idx="406">
                  <c:v>16.703099999999999</c:v>
                </c:pt>
                <c:pt idx="407">
                  <c:v>16.756799999999998</c:v>
                </c:pt>
                <c:pt idx="408">
                  <c:v>15.6709</c:v>
                </c:pt>
                <c:pt idx="409">
                  <c:v>15.081099999999999</c:v>
                </c:pt>
                <c:pt idx="410">
                  <c:v>15.308999999999999</c:v>
                </c:pt>
                <c:pt idx="411">
                  <c:v>15.952400000000001</c:v>
                </c:pt>
                <c:pt idx="412">
                  <c:v>16.1401</c:v>
                </c:pt>
                <c:pt idx="413">
                  <c:v>15.8184</c:v>
                </c:pt>
                <c:pt idx="414">
                  <c:v>15.9122</c:v>
                </c:pt>
                <c:pt idx="415">
                  <c:v>15.992699999999999</c:v>
                </c:pt>
                <c:pt idx="416">
                  <c:v>16.2608</c:v>
                </c:pt>
                <c:pt idx="417">
                  <c:v>16.555700000000002</c:v>
                </c:pt>
                <c:pt idx="418">
                  <c:v>16.609300000000001</c:v>
                </c:pt>
                <c:pt idx="419">
                  <c:v>17.024899999999999</c:v>
                </c:pt>
                <c:pt idx="420">
                  <c:v>16.475300000000001</c:v>
                </c:pt>
                <c:pt idx="421">
                  <c:v>16.207100000000001</c:v>
                </c:pt>
                <c:pt idx="422">
                  <c:v>15.148099999999999</c:v>
                </c:pt>
                <c:pt idx="423">
                  <c:v>14.9604</c:v>
                </c:pt>
                <c:pt idx="424">
                  <c:v>15.0007</c:v>
                </c:pt>
                <c:pt idx="425">
                  <c:v>15.2151</c:v>
                </c:pt>
                <c:pt idx="426">
                  <c:v>15.2822</c:v>
                </c:pt>
                <c:pt idx="427">
                  <c:v>15.1615</c:v>
                </c:pt>
                <c:pt idx="428">
                  <c:v>15.4162</c:v>
                </c:pt>
                <c:pt idx="429">
                  <c:v>15.536899999999999</c:v>
                </c:pt>
                <c:pt idx="430">
                  <c:v>14.786199999999999</c:v>
                </c:pt>
                <c:pt idx="431">
                  <c:v>14.746</c:v>
                </c:pt>
                <c:pt idx="432">
                  <c:v>14.4778</c:v>
                </c:pt>
                <c:pt idx="433">
                  <c:v>14.746</c:v>
                </c:pt>
                <c:pt idx="434">
                  <c:v>14.678900000000001</c:v>
                </c:pt>
                <c:pt idx="435">
                  <c:v>14.8934</c:v>
                </c:pt>
                <c:pt idx="436">
                  <c:v>14.075699999999999</c:v>
                </c:pt>
                <c:pt idx="437">
                  <c:v>13.4054</c:v>
                </c:pt>
                <c:pt idx="438">
                  <c:v>13.619899999999999</c:v>
                </c:pt>
                <c:pt idx="439">
                  <c:v>12.735099999999999</c:v>
                </c:pt>
                <c:pt idx="440">
                  <c:v>11.904</c:v>
                </c:pt>
                <c:pt idx="441">
                  <c:v>12.7888</c:v>
                </c:pt>
                <c:pt idx="442">
                  <c:v>13.740500000000001</c:v>
                </c:pt>
                <c:pt idx="443">
                  <c:v>14.7728</c:v>
                </c:pt>
                <c:pt idx="444">
                  <c:v>14.946999999999999</c:v>
                </c:pt>
                <c:pt idx="445">
                  <c:v>15.764799999999999</c:v>
                </c:pt>
                <c:pt idx="446">
                  <c:v>16.488700000000001</c:v>
                </c:pt>
                <c:pt idx="447">
                  <c:v>16.300999999999998</c:v>
                </c:pt>
                <c:pt idx="448">
                  <c:v>16.220500000000001</c:v>
                </c:pt>
                <c:pt idx="449">
                  <c:v>16.099900000000002</c:v>
                </c:pt>
                <c:pt idx="450">
                  <c:v>16.3278</c:v>
                </c:pt>
                <c:pt idx="451">
                  <c:v>16.756799999999998</c:v>
                </c:pt>
                <c:pt idx="452">
                  <c:v>16.515499999999999</c:v>
                </c:pt>
                <c:pt idx="453">
                  <c:v>16.756799999999998</c:v>
                </c:pt>
                <c:pt idx="454">
                  <c:v>16.957799999999999</c:v>
                </c:pt>
                <c:pt idx="455">
                  <c:v>16.609300000000001</c:v>
                </c:pt>
                <c:pt idx="456">
                  <c:v>25.130600000000001</c:v>
                </c:pt>
                <c:pt idx="457">
                  <c:v>25.6769</c:v>
                </c:pt>
                <c:pt idx="458">
                  <c:v>26.101800000000001</c:v>
                </c:pt>
                <c:pt idx="459">
                  <c:v>26.2637</c:v>
                </c:pt>
                <c:pt idx="460">
                  <c:v>24.584199999999999</c:v>
                </c:pt>
                <c:pt idx="461">
                  <c:v>23.8963</c:v>
                </c:pt>
                <c:pt idx="462">
                  <c:v>24.4831</c:v>
                </c:pt>
                <c:pt idx="463">
                  <c:v>24.725899999999999</c:v>
                </c:pt>
                <c:pt idx="464">
                  <c:v>25.049600000000002</c:v>
                </c:pt>
                <c:pt idx="465">
                  <c:v>25.272200000000002</c:v>
                </c:pt>
                <c:pt idx="466">
                  <c:v>24.827100000000002</c:v>
                </c:pt>
                <c:pt idx="467">
                  <c:v>25.0092</c:v>
                </c:pt>
                <c:pt idx="468">
                  <c:v>25.029399999999999</c:v>
                </c:pt>
                <c:pt idx="469">
                  <c:v>25.697099999999999</c:v>
                </c:pt>
                <c:pt idx="470">
                  <c:v>26.101800000000001</c:v>
                </c:pt>
                <c:pt idx="471">
                  <c:v>26.385100000000001</c:v>
                </c:pt>
                <c:pt idx="472">
                  <c:v>25.515000000000001</c:v>
                </c:pt>
                <c:pt idx="473">
                  <c:v>26.142299999999999</c:v>
                </c:pt>
                <c:pt idx="474">
                  <c:v>24.4831</c:v>
                </c:pt>
                <c:pt idx="475">
                  <c:v>25.0092</c:v>
                </c:pt>
                <c:pt idx="476">
                  <c:v>25.8995</c:v>
                </c:pt>
                <c:pt idx="477">
                  <c:v>26.304099999999998</c:v>
                </c:pt>
                <c:pt idx="478">
                  <c:v>26.101800000000001</c:v>
                </c:pt>
                <c:pt idx="479">
                  <c:v>27.497900000000001</c:v>
                </c:pt>
                <c:pt idx="480">
                  <c:v>27.214700000000001</c:v>
                </c:pt>
                <c:pt idx="481">
                  <c:v>27.5991</c:v>
                </c:pt>
                <c:pt idx="482">
                  <c:v>27.781199999999998</c:v>
                </c:pt>
                <c:pt idx="483">
                  <c:v>27.214700000000001</c:v>
                </c:pt>
                <c:pt idx="484">
                  <c:v>28.327500000000001</c:v>
                </c:pt>
                <c:pt idx="485">
                  <c:v>27.5182</c:v>
                </c:pt>
                <c:pt idx="486">
                  <c:v>26.506499999999999</c:v>
                </c:pt>
                <c:pt idx="487">
                  <c:v>25.272200000000002</c:v>
                </c:pt>
                <c:pt idx="488">
                  <c:v>25.393599999999999</c:v>
                </c:pt>
                <c:pt idx="489">
                  <c:v>24.179600000000001</c:v>
                </c:pt>
                <c:pt idx="490">
                  <c:v>22.601299999999998</c:v>
                </c:pt>
                <c:pt idx="491">
                  <c:v>22.176400000000001</c:v>
                </c:pt>
                <c:pt idx="492">
                  <c:v>22.3383</c:v>
                </c:pt>
                <c:pt idx="493">
                  <c:v>22.661999999999999</c:v>
                </c:pt>
                <c:pt idx="494">
                  <c:v>22.661999999999999</c:v>
                </c:pt>
                <c:pt idx="495">
                  <c:v>23.026199999999999</c:v>
                </c:pt>
                <c:pt idx="496">
                  <c:v>22.459700000000002</c:v>
                </c:pt>
                <c:pt idx="497">
                  <c:v>22.257300000000001</c:v>
                </c:pt>
                <c:pt idx="498">
                  <c:v>22.702500000000001</c:v>
                </c:pt>
                <c:pt idx="499">
                  <c:v>22.965499999999999</c:v>
                </c:pt>
                <c:pt idx="500">
                  <c:v>22.965499999999999</c:v>
                </c:pt>
                <c:pt idx="501">
                  <c:v>23.268999999999998</c:v>
                </c:pt>
                <c:pt idx="502">
                  <c:v>23.552299999999999</c:v>
                </c:pt>
                <c:pt idx="503">
                  <c:v>22.7227</c:v>
                </c:pt>
                <c:pt idx="504">
                  <c:v>22.6418</c:v>
                </c:pt>
                <c:pt idx="505">
                  <c:v>22.581099999999999</c:v>
                </c:pt>
                <c:pt idx="506">
                  <c:v>22.844100000000001</c:v>
                </c:pt>
                <c:pt idx="507">
                  <c:v>22.823899999999998</c:v>
                </c:pt>
                <c:pt idx="508">
                  <c:v>23.147600000000001</c:v>
                </c:pt>
                <c:pt idx="509">
                  <c:v>22.7227</c:v>
                </c:pt>
                <c:pt idx="510">
                  <c:v>23.127400000000002</c:v>
                </c:pt>
                <c:pt idx="511">
                  <c:v>22.823899999999998</c:v>
                </c:pt>
                <c:pt idx="512">
                  <c:v>23.046500000000002</c:v>
                </c:pt>
                <c:pt idx="513">
                  <c:v>23.410699999999999</c:v>
                </c:pt>
                <c:pt idx="514">
                  <c:v>23.410699999999999</c:v>
                </c:pt>
                <c:pt idx="515">
                  <c:v>23.4511</c:v>
                </c:pt>
                <c:pt idx="516">
                  <c:v>23.6737</c:v>
                </c:pt>
                <c:pt idx="517">
                  <c:v>23.855799999999999</c:v>
                </c:pt>
                <c:pt idx="518">
                  <c:v>23.572500000000002</c:v>
                </c:pt>
                <c:pt idx="519">
                  <c:v>23.6737</c:v>
                </c:pt>
                <c:pt idx="520">
                  <c:v>24.2605</c:v>
                </c:pt>
                <c:pt idx="521">
                  <c:v>24.017700000000001</c:v>
                </c:pt>
                <c:pt idx="522">
                  <c:v>24.5961</c:v>
                </c:pt>
                <c:pt idx="523">
                  <c:v>25.204499999999999</c:v>
                </c:pt>
                <c:pt idx="524">
                  <c:v>24.3354</c:v>
                </c:pt>
                <c:pt idx="525">
                  <c:v>25.247900000000001</c:v>
                </c:pt>
                <c:pt idx="526">
                  <c:v>25.313099999999999</c:v>
                </c:pt>
                <c:pt idx="527">
                  <c:v>25.639099999999999</c:v>
                </c:pt>
                <c:pt idx="528">
                  <c:v>25.465199999999999</c:v>
                </c:pt>
                <c:pt idx="529">
                  <c:v>25.421800000000001</c:v>
                </c:pt>
                <c:pt idx="530">
                  <c:v>24.987200000000001</c:v>
                </c:pt>
                <c:pt idx="531">
                  <c:v>23.835599999999999</c:v>
                </c:pt>
                <c:pt idx="532">
                  <c:v>25.5304</c:v>
                </c:pt>
                <c:pt idx="533">
                  <c:v>25.3566</c:v>
                </c:pt>
                <c:pt idx="534">
                  <c:v>23.705300000000001</c:v>
                </c:pt>
                <c:pt idx="535">
                  <c:v>22.162600000000001</c:v>
                </c:pt>
                <c:pt idx="536">
                  <c:v>20.793700000000001</c:v>
                </c:pt>
                <c:pt idx="537">
                  <c:v>20.207100000000001</c:v>
                </c:pt>
                <c:pt idx="538">
                  <c:v>20.163599999999999</c:v>
                </c:pt>
                <c:pt idx="539">
                  <c:v>19.815899999999999</c:v>
                </c:pt>
                <c:pt idx="540">
                  <c:v>18.533999999999999</c:v>
                </c:pt>
                <c:pt idx="541">
                  <c:v>18.838200000000001</c:v>
                </c:pt>
                <c:pt idx="542">
                  <c:v>18.533999999999999</c:v>
                </c:pt>
                <c:pt idx="543">
                  <c:v>18.533999999999999</c:v>
                </c:pt>
                <c:pt idx="544">
                  <c:v>18.6861</c:v>
                </c:pt>
                <c:pt idx="545">
                  <c:v>18.468800000000002</c:v>
                </c:pt>
                <c:pt idx="546">
                  <c:v>18.8599</c:v>
                </c:pt>
                <c:pt idx="547">
                  <c:v>18.360199999999999</c:v>
                </c:pt>
                <c:pt idx="548">
                  <c:v>18.208100000000002</c:v>
                </c:pt>
                <c:pt idx="549">
                  <c:v>17.817</c:v>
                </c:pt>
                <c:pt idx="550">
                  <c:v>17.817</c:v>
                </c:pt>
                <c:pt idx="551">
                  <c:v>17.860399999999998</c:v>
                </c:pt>
                <c:pt idx="552">
                  <c:v>17.708300000000001</c:v>
                </c:pt>
                <c:pt idx="553">
                  <c:v>17.349799999999998</c:v>
                </c:pt>
                <c:pt idx="554">
                  <c:v>17.338999999999999</c:v>
                </c:pt>
                <c:pt idx="555">
                  <c:v>17.817</c:v>
                </c:pt>
                <c:pt idx="556">
                  <c:v>17.697500000000002</c:v>
                </c:pt>
                <c:pt idx="557">
                  <c:v>17.338999999999999</c:v>
                </c:pt>
                <c:pt idx="558">
                  <c:v>16.839200000000002</c:v>
                </c:pt>
                <c:pt idx="559">
                  <c:v>16.839200000000002</c:v>
                </c:pt>
                <c:pt idx="560">
                  <c:v>17.121700000000001</c:v>
                </c:pt>
                <c:pt idx="561">
                  <c:v>17.0565</c:v>
                </c:pt>
                <c:pt idx="562">
                  <c:v>16.241700000000002</c:v>
                </c:pt>
                <c:pt idx="563">
                  <c:v>16.165600000000001</c:v>
                </c:pt>
                <c:pt idx="564">
                  <c:v>15.9918</c:v>
                </c:pt>
                <c:pt idx="565">
                  <c:v>15.2639</c:v>
                </c:pt>
                <c:pt idx="566">
                  <c:v>15.8614</c:v>
                </c:pt>
                <c:pt idx="567">
                  <c:v>15.894</c:v>
                </c:pt>
                <c:pt idx="568">
                  <c:v>14.9923</c:v>
                </c:pt>
                <c:pt idx="569">
                  <c:v>15.361700000000001</c:v>
                </c:pt>
                <c:pt idx="570">
                  <c:v>14.622999999999999</c:v>
                </c:pt>
                <c:pt idx="571">
                  <c:v>13.6669</c:v>
                </c:pt>
                <c:pt idx="572">
                  <c:v>13.471399999999999</c:v>
                </c:pt>
                <c:pt idx="573">
                  <c:v>14.1449</c:v>
                </c:pt>
                <c:pt idx="574">
                  <c:v>14.3948</c:v>
                </c:pt>
                <c:pt idx="575">
                  <c:v>14.068899999999999</c:v>
                </c:pt>
                <c:pt idx="576">
                  <c:v>14.633800000000001</c:v>
                </c:pt>
                <c:pt idx="577">
                  <c:v>14.9923</c:v>
                </c:pt>
                <c:pt idx="578">
                  <c:v>15.741899999999999</c:v>
                </c:pt>
                <c:pt idx="579">
                  <c:v>15.5898</c:v>
                </c:pt>
                <c:pt idx="580">
                  <c:v>14.6121</c:v>
                </c:pt>
                <c:pt idx="581">
                  <c:v>13.851599999999999</c:v>
                </c:pt>
                <c:pt idx="582">
                  <c:v>14.883699999999999</c:v>
                </c:pt>
                <c:pt idx="583">
                  <c:v>14.329599999999999</c:v>
                </c:pt>
                <c:pt idx="584">
                  <c:v>14.1015</c:v>
                </c:pt>
                <c:pt idx="585">
                  <c:v>14.079800000000001</c:v>
                </c:pt>
                <c:pt idx="586">
                  <c:v>16.1251</c:v>
                </c:pt>
                <c:pt idx="587">
                  <c:v>16.164300000000001</c:v>
                </c:pt>
                <c:pt idx="588">
                  <c:v>16.3995</c:v>
                </c:pt>
                <c:pt idx="589">
                  <c:v>15.9291</c:v>
                </c:pt>
                <c:pt idx="590">
                  <c:v>15.6808</c:v>
                </c:pt>
                <c:pt idx="591">
                  <c:v>16.203499999999998</c:v>
                </c:pt>
                <c:pt idx="592">
                  <c:v>16.4649</c:v>
                </c:pt>
                <c:pt idx="593">
                  <c:v>16.843800000000002</c:v>
                </c:pt>
                <c:pt idx="594">
                  <c:v>16.5825</c:v>
                </c:pt>
                <c:pt idx="595">
                  <c:v>16.4649</c:v>
                </c:pt>
                <c:pt idx="596">
                  <c:v>16.334199999999999</c:v>
                </c:pt>
                <c:pt idx="597">
                  <c:v>16.321100000000001</c:v>
                </c:pt>
                <c:pt idx="598">
                  <c:v>16.334199999999999</c:v>
                </c:pt>
                <c:pt idx="599">
                  <c:v>15.6808</c:v>
                </c:pt>
                <c:pt idx="600">
                  <c:v>14.9099</c:v>
                </c:pt>
                <c:pt idx="601">
                  <c:v>14.870699999999999</c:v>
                </c:pt>
                <c:pt idx="602">
                  <c:v>15.275700000000001</c:v>
                </c:pt>
                <c:pt idx="603">
                  <c:v>15.5632</c:v>
                </c:pt>
                <c:pt idx="604">
                  <c:v>15.9422</c:v>
                </c:pt>
                <c:pt idx="605">
                  <c:v>16.138200000000001</c:v>
                </c:pt>
                <c:pt idx="606">
                  <c:v>16.334199999999999</c:v>
                </c:pt>
                <c:pt idx="607">
                  <c:v>15.811500000000001</c:v>
                </c:pt>
                <c:pt idx="608">
                  <c:v>16.595500000000001</c:v>
                </c:pt>
                <c:pt idx="609">
                  <c:v>17.3796</c:v>
                </c:pt>
                <c:pt idx="610">
                  <c:v>18.0199</c:v>
                </c:pt>
                <c:pt idx="611">
                  <c:v>18.163599999999999</c:v>
                </c:pt>
                <c:pt idx="612">
                  <c:v>18.150600000000001</c:v>
                </c:pt>
                <c:pt idx="613">
                  <c:v>17.457999999999998</c:v>
                </c:pt>
                <c:pt idx="614">
                  <c:v>18.098299999999998</c:v>
                </c:pt>
                <c:pt idx="615">
                  <c:v>17.706299999999999</c:v>
                </c:pt>
                <c:pt idx="616">
                  <c:v>17.523299999999999</c:v>
                </c:pt>
                <c:pt idx="617">
                  <c:v>16.8308</c:v>
                </c:pt>
                <c:pt idx="618">
                  <c:v>17.118200000000002</c:v>
                </c:pt>
                <c:pt idx="619">
                  <c:v>16.072900000000001</c:v>
                </c:pt>
                <c:pt idx="620">
                  <c:v>16.425699999999999</c:v>
                </c:pt>
                <c:pt idx="621">
                  <c:v>16.203499999999998</c:v>
                </c:pt>
                <c:pt idx="622">
                  <c:v>15.419499999999999</c:v>
                </c:pt>
                <c:pt idx="623">
                  <c:v>15.5502</c:v>
                </c:pt>
                <c:pt idx="624">
                  <c:v>15.341100000000001</c:v>
                </c:pt>
                <c:pt idx="625">
                  <c:v>15.3149</c:v>
                </c:pt>
                <c:pt idx="626">
                  <c:v>15.5502</c:v>
                </c:pt>
                <c:pt idx="627">
                  <c:v>14.5701</c:v>
                </c:pt>
                <c:pt idx="628">
                  <c:v>14.164999999999999</c:v>
                </c:pt>
                <c:pt idx="629">
                  <c:v>13.8775</c:v>
                </c:pt>
                <c:pt idx="630">
                  <c:v>14.4917</c:v>
                </c:pt>
                <c:pt idx="631">
                  <c:v>14.896800000000001</c:v>
                </c:pt>
                <c:pt idx="632">
                  <c:v>15.158099999999999</c:v>
                </c:pt>
                <c:pt idx="633">
                  <c:v>15.6416</c:v>
                </c:pt>
                <c:pt idx="634">
                  <c:v>15.6808</c:v>
                </c:pt>
                <c:pt idx="635">
                  <c:v>15.0928</c:v>
                </c:pt>
                <c:pt idx="636">
                  <c:v>15.4064</c:v>
                </c:pt>
                <c:pt idx="637">
                  <c:v>15.602399999999999</c:v>
                </c:pt>
                <c:pt idx="638">
                  <c:v>15.341100000000001</c:v>
                </c:pt>
                <c:pt idx="639">
                  <c:v>15.510999999999999</c:v>
                </c:pt>
                <c:pt idx="640">
                  <c:v>15.811500000000001</c:v>
                </c:pt>
                <c:pt idx="641">
                  <c:v>15.889900000000001</c:v>
                </c:pt>
                <c:pt idx="642">
                  <c:v>16.334199999999999</c:v>
                </c:pt>
                <c:pt idx="643">
                  <c:v>16.295000000000002</c:v>
                </c:pt>
                <c:pt idx="644">
                  <c:v>15.7462</c:v>
                </c:pt>
                <c:pt idx="645">
                  <c:v>15.811500000000001</c:v>
                </c:pt>
                <c:pt idx="646">
                  <c:v>15.7462</c:v>
                </c:pt>
                <c:pt idx="647">
                  <c:v>15.4064</c:v>
                </c:pt>
                <c:pt idx="648">
                  <c:v>19.2164</c:v>
                </c:pt>
                <c:pt idx="649">
                  <c:v>19.456600000000002</c:v>
                </c:pt>
                <c:pt idx="650">
                  <c:v>18.415800000000001</c:v>
                </c:pt>
                <c:pt idx="651">
                  <c:v>18.880099999999999</c:v>
                </c:pt>
                <c:pt idx="652">
                  <c:v>19.2164</c:v>
                </c:pt>
                <c:pt idx="653">
                  <c:v>19.2164</c:v>
                </c:pt>
                <c:pt idx="654">
                  <c:v>20.081199999999999</c:v>
                </c:pt>
                <c:pt idx="655">
                  <c:v>19.3766</c:v>
                </c:pt>
                <c:pt idx="656">
                  <c:v>19.760899999999999</c:v>
                </c:pt>
                <c:pt idx="657">
                  <c:v>20.337399999999999</c:v>
                </c:pt>
                <c:pt idx="658">
                  <c:v>21.058</c:v>
                </c:pt>
                <c:pt idx="659">
                  <c:v>19.937100000000001</c:v>
                </c:pt>
                <c:pt idx="660">
                  <c:v>18.639900000000001</c:v>
                </c:pt>
                <c:pt idx="661">
                  <c:v>17.8553</c:v>
                </c:pt>
                <c:pt idx="662">
                  <c:v>18.095500000000001</c:v>
                </c:pt>
                <c:pt idx="663">
                  <c:v>18.095500000000001</c:v>
                </c:pt>
                <c:pt idx="664">
                  <c:v>17.999400000000001</c:v>
                </c:pt>
                <c:pt idx="665">
                  <c:v>17.807200000000002</c:v>
                </c:pt>
                <c:pt idx="666">
                  <c:v>16.654199999999999</c:v>
                </c:pt>
                <c:pt idx="667">
                  <c:v>16.5261</c:v>
                </c:pt>
                <c:pt idx="668">
                  <c:v>16.734300000000001</c:v>
                </c:pt>
                <c:pt idx="669">
                  <c:v>16.0457</c:v>
                </c:pt>
                <c:pt idx="670">
                  <c:v>15.148999999999999</c:v>
                </c:pt>
                <c:pt idx="671">
                  <c:v>15.116899999999999</c:v>
                </c:pt>
                <c:pt idx="672">
                  <c:v>14.7486</c:v>
                </c:pt>
                <c:pt idx="673">
                  <c:v>15.212999999999999</c:v>
                </c:pt>
                <c:pt idx="674">
                  <c:v>14.924799999999999</c:v>
                </c:pt>
                <c:pt idx="675">
                  <c:v>14.7166</c:v>
                </c:pt>
                <c:pt idx="676">
                  <c:v>14.908799999999999</c:v>
                </c:pt>
                <c:pt idx="677">
                  <c:v>14.5404</c:v>
                </c:pt>
                <c:pt idx="678">
                  <c:v>13.595599999999999</c:v>
                </c:pt>
                <c:pt idx="679">
                  <c:v>12.7149</c:v>
                </c:pt>
                <c:pt idx="680">
                  <c:v>13.275399999999999</c:v>
                </c:pt>
                <c:pt idx="681">
                  <c:v>12.410600000000001</c:v>
                </c:pt>
                <c:pt idx="682">
                  <c:v>12.042299999999999</c:v>
                </c:pt>
                <c:pt idx="683">
                  <c:v>11.930199999999999</c:v>
                </c:pt>
                <c:pt idx="684">
                  <c:v>11.3057</c:v>
                </c:pt>
                <c:pt idx="685">
                  <c:v>11.0815</c:v>
                </c:pt>
                <c:pt idx="686">
                  <c:v>10.424899999999999</c:v>
                </c:pt>
                <c:pt idx="687">
                  <c:v>11.2096</c:v>
                </c:pt>
                <c:pt idx="688">
                  <c:v>11.818099999999999</c:v>
                </c:pt>
                <c:pt idx="689">
                  <c:v>12.314500000000001</c:v>
                </c:pt>
                <c:pt idx="690">
                  <c:v>12.5547</c:v>
                </c:pt>
                <c:pt idx="691">
                  <c:v>12.314500000000001</c:v>
                </c:pt>
                <c:pt idx="692">
                  <c:v>11.673999999999999</c:v>
                </c:pt>
                <c:pt idx="693">
                  <c:v>11.786099999999999</c:v>
                </c:pt>
                <c:pt idx="694">
                  <c:v>12.6668</c:v>
                </c:pt>
                <c:pt idx="695">
                  <c:v>13.1312</c:v>
                </c:pt>
                <c:pt idx="696">
                  <c:v>13.0512</c:v>
                </c:pt>
                <c:pt idx="697">
                  <c:v>13.403499999999999</c:v>
                </c:pt>
                <c:pt idx="698">
                  <c:v>13.419499999999999</c:v>
                </c:pt>
                <c:pt idx="699">
                  <c:v>13.563599999999999</c:v>
                </c:pt>
                <c:pt idx="700">
                  <c:v>13.1152</c:v>
                </c:pt>
                <c:pt idx="701">
                  <c:v>13.2113</c:v>
                </c:pt>
                <c:pt idx="702">
                  <c:v>13.2113</c:v>
                </c:pt>
                <c:pt idx="703">
                  <c:v>13.275399999999999</c:v>
                </c:pt>
                <c:pt idx="704">
                  <c:v>13.659700000000001</c:v>
                </c:pt>
                <c:pt idx="705">
                  <c:v>13.723699999999999</c:v>
                </c:pt>
                <c:pt idx="706">
                  <c:v>15.760300000000001</c:v>
                </c:pt>
                <c:pt idx="707">
                  <c:v>14.73</c:v>
                </c:pt>
                <c:pt idx="708">
                  <c:v>14.7681</c:v>
                </c:pt>
                <c:pt idx="709">
                  <c:v>14.672700000000001</c:v>
                </c:pt>
                <c:pt idx="710">
                  <c:v>14.558199999999999</c:v>
                </c:pt>
                <c:pt idx="711">
                  <c:v>14.9017</c:v>
                </c:pt>
                <c:pt idx="712">
                  <c:v>14.9017</c:v>
                </c:pt>
                <c:pt idx="713">
                  <c:v>14.8254</c:v>
                </c:pt>
                <c:pt idx="714">
                  <c:v>14.9398</c:v>
                </c:pt>
                <c:pt idx="715">
                  <c:v>15.0543</c:v>
                </c:pt>
                <c:pt idx="716">
                  <c:v>15.092499999999999</c:v>
                </c:pt>
                <c:pt idx="717">
                  <c:v>15.073399999999999</c:v>
                </c:pt>
                <c:pt idx="718">
                  <c:v>15.092499999999999</c:v>
                </c:pt>
                <c:pt idx="719">
                  <c:v>14.710900000000001</c:v>
                </c:pt>
                <c:pt idx="720">
                  <c:v>14.539199999999999</c:v>
                </c:pt>
                <c:pt idx="721">
                  <c:v>14.653600000000001</c:v>
                </c:pt>
                <c:pt idx="722">
                  <c:v>14.8063</c:v>
                </c:pt>
                <c:pt idx="723">
                  <c:v>14.4247</c:v>
                </c:pt>
                <c:pt idx="724">
                  <c:v>14.1576</c:v>
                </c:pt>
                <c:pt idx="725">
                  <c:v>14.4247</c:v>
                </c:pt>
                <c:pt idx="726">
                  <c:v>14.081200000000001</c:v>
                </c:pt>
                <c:pt idx="727">
                  <c:v>14.749000000000001</c:v>
                </c:pt>
                <c:pt idx="728">
                  <c:v>14.691800000000001</c:v>
                </c:pt>
                <c:pt idx="729">
                  <c:v>14.8254</c:v>
                </c:pt>
                <c:pt idx="730">
                  <c:v>14.9017</c:v>
                </c:pt>
                <c:pt idx="731">
                  <c:v>14.691800000000001</c:v>
                </c:pt>
                <c:pt idx="732">
                  <c:v>14.3102</c:v>
                </c:pt>
                <c:pt idx="733">
                  <c:v>14.4628</c:v>
                </c:pt>
                <c:pt idx="734">
                  <c:v>13.527900000000001</c:v>
                </c:pt>
                <c:pt idx="735">
                  <c:v>12.7265</c:v>
                </c:pt>
                <c:pt idx="736">
                  <c:v>12.5548</c:v>
                </c:pt>
                <c:pt idx="737">
                  <c:v>12.7456</c:v>
                </c:pt>
                <c:pt idx="738">
                  <c:v>12.4213</c:v>
                </c:pt>
                <c:pt idx="739">
                  <c:v>12.879200000000001</c:v>
                </c:pt>
                <c:pt idx="740">
                  <c:v>13.2608</c:v>
                </c:pt>
                <c:pt idx="741">
                  <c:v>12.4976</c:v>
                </c:pt>
                <c:pt idx="742">
                  <c:v>12.974600000000001</c:v>
                </c:pt>
                <c:pt idx="743">
                  <c:v>12.5548</c:v>
                </c:pt>
                <c:pt idx="744">
                  <c:v>12.0587</c:v>
                </c:pt>
                <c:pt idx="745">
                  <c:v>11.295500000000001</c:v>
                </c:pt>
                <c:pt idx="746">
                  <c:v>11.5436</c:v>
                </c:pt>
                <c:pt idx="747">
                  <c:v>11.047499999999999</c:v>
                </c:pt>
                <c:pt idx="748">
                  <c:v>10.3415</c:v>
                </c:pt>
                <c:pt idx="749">
                  <c:v>10.1889</c:v>
                </c:pt>
                <c:pt idx="750">
                  <c:v>10.3033</c:v>
                </c:pt>
                <c:pt idx="751">
                  <c:v>9.8453999999999997</c:v>
                </c:pt>
                <c:pt idx="752">
                  <c:v>9.8644999999999996</c:v>
                </c:pt>
                <c:pt idx="753">
                  <c:v>9.8453999999999997</c:v>
                </c:pt>
                <c:pt idx="754">
                  <c:v>10.074400000000001</c:v>
                </c:pt>
                <c:pt idx="755">
                  <c:v>9.9789999999999992</c:v>
                </c:pt>
                <c:pt idx="756">
                  <c:v>9.9216999999999995</c:v>
                </c:pt>
                <c:pt idx="757">
                  <c:v>10.112500000000001</c:v>
                </c:pt>
                <c:pt idx="758">
                  <c:v>10.2079</c:v>
                </c:pt>
                <c:pt idx="759">
                  <c:v>10.2079</c:v>
                </c:pt>
                <c:pt idx="760">
                  <c:v>10.093500000000001</c:v>
                </c:pt>
                <c:pt idx="761">
                  <c:v>9.9598999999999993</c:v>
                </c:pt>
                <c:pt idx="762">
                  <c:v>10.093500000000001</c:v>
                </c:pt>
                <c:pt idx="763">
                  <c:v>10.1889</c:v>
                </c:pt>
                <c:pt idx="764">
                  <c:v>10.4178</c:v>
                </c:pt>
                <c:pt idx="765">
                  <c:v>10.475099999999999</c:v>
                </c:pt>
                <c:pt idx="766">
                  <c:v>10.475099999999999</c:v>
                </c:pt>
                <c:pt idx="767">
                  <c:v>10.2652</c:v>
                </c:pt>
                <c:pt idx="768">
                  <c:v>10.2843</c:v>
                </c:pt>
                <c:pt idx="769">
                  <c:v>10.2843</c:v>
                </c:pt>
                <c:pt idx="770">
                  <c:v>10.3987</c:v>
                </c:pt>
              </c:numCache>
            </c:numRef>
          </c:val>
          <c:smooth val="0"/>
          <c:extLst>
            <c:ext xmlns:c16="http://schemas.microsoft.com/office/drawing/2014/chart" uri="{C3380CC4-5D6E-409C-BE32-E72D297353CC}">
              <c16:uniqueId val="{00000000-66F9-48BF-B0F3-CAFF7FF2F609}"/>
            </c:ext>
          </c:extLst>
        </c:ser>
        <c:ser>
          <c:idx val="1"/>
          <c:order val="1"/>
          <c:tx>
            <c:strRef>
              <c:f>'C. Peers'!$H$4</c:f>
              <c:strCache>
                <c:ptCount val="1"/>
                <c:pt idx="0">
                  <c:v>Peer median</c:v>
                </c:pt>
              </c:strCache>
            </c:strRef>
          </c:tx>
          <c:spPr>
            <a:ln w="28575" cap="rnd">
              <a:solidFill>
                <a:schemeClr val="accent2"/>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Peers'!$H$5:$H$775</c:f>
              <c:numCache>
                <c:formatCode>_(* #,##0.0_);_(* \(#,##0.0\);_(* "-"??_);_(@_)</c:formatCode>
                <c:ptCount val="771"/>
                <c:pt idx="0">
                  <c:v>10.826000000000001</c:v>
                </c:pt>
                <c:pt idx="1">
                  <c:v>11.113899999999999</c:v>
                </c:pt>
                <c:pt idx="2">
                  <c:v>10.9412</c:v>
                </c:pt>
                <c:pt idx="3">
                  <c:v>10.7684</c:v>
                </c:pt>
                <c:pt idx="4">
                  <c:v>10.998699999999999</c:v>
                </c:pt>
                <c:pt idx="5">
                  <c:v>10.826000000000001</c:v>
                </c:pt>
                <c:pt idx="6">
                  <c:v>10.826000000000001</c:v>
                </c:pt>
                <c:pt idx="7">
                  <c:v>10.998699999999999</c:v>
                </c:pt>
                <c:pt idx="8">
                  <c:v>11.4594</c:v>
                </c:pt>
                <c:pt idx="9">
                  <c:v>11.2867</c:v>
                </c:pt>
                <c:pt idx="10">
                  <c:v>11.632199999999999</c:v>
                </c:pt>
                <c:pt idx="11">
                  <c:v>11.9777</c:v>
                </c:pt>
                <c:pt idx="12">
                  <c:v>11.9777</c:v>
                </c:pt>
                <c:pt idx="13">
                  <c:v>12.380800000000001</c:v>
                </c:pt>
                <c:pt idx="14">
                  <c:v>12.668699999999999</c:v>
                </c:pt>
                <c:pt idx="15">
                  <c:v>12.265599999999999</c:v>
                </c:pt>
                <c:pt idx="16">
                  <c:v>12.265599999999999</c:v>
                </c:pt>
                <c:pt idx="17">
                  <c:v>12.4384</c:v>
                </c:pt>
                <c:pt idx="18">
                  <c:v>12.8415</c:v>
                </c:pt>
                <c:pt idx="19">
                  <c:v>12.898999999999999</c:v>
                </c:pt>
                <c:pt idx="20">
                  <c:v>12.6111</c:v>
                </c:pt>
                <c:pt idx="21">
                  <c:v>12.150399999999999</c:v>
                </c:pt>
                <c:pt idx="22">
                  <c:v>12.783899999999999</c:v>
                </c:pt>
                <c:pt idx="23">
                  <c:v>13.0718</c:v>
                </c:pt>
                <c:pt idx="24">
                  <c:v>13.014200000000001</c:v>
                </c:pt>
                <c:pt idx="25">
                  <c:v>12.9566</c:v>
                </c:pt>
                <c:pt idx="26">
                  <c:v>13.417299999999999</c:v>
                </c:pt>
                <c:pt idx="27">
                  <c:v>13.014200000000001</c:v>
                </c:pt>
                <c:pt idx="28">
                  <c:v>13.0718</c:v>
                </c:pt>
                <c:pt idx="29">
                  <c:v>13.1294</c:v>
                </c:pt>
                <c:pt idx="30">
                  <c:v>12.898999999999999</c:v>
                </c:pt>
                <c:pt idx="31">
                  <c:v>12.5535</c:v>
                </c:pt>
                <c:pt idx="32">
                  <c:v>12.9566</c:v>
                </c:pt>
                <c:pt idx="33">
                  <c:v>13.186999999999999</c:v>
                </c:pt>
                <c:pt idx="34">
                  <c:v>13.0718</c:v>
                </c:pt>
                <c:pt idx="35">
                  <c:v>13.4749</c:v>
                </c:pt>
                <c:pt idx="36">
                  <c:v>13.4749</c:v>
                </c:pt>
                <c:pt idx="37">
                  <c:v>13.4749</c:v>
                </c:pt>
                <c:pt idx="38">
                  <c:v>13.532500000000001</c:v>
                </c:pt>
                <c:pt idx="39">
                  <c:v>13.647600000000001</c:v>
                </c:pt>
                <c:pt idx="40">
                  <c:v>13.820399999999999</c:v>
                </c:pt>
                <c:pt idx="41">
                  <c:v>13.820399999999999</c:v>
                </c:pt>
                <c:pt idx="42">
                  <c:v>13.878</c:v>
                </c:pt>
                <c:pt idx="43">
                  <c:v>12.668699999999999</c:v>
                </c:pt>
                <c:pt idx="44">
                  <c:v>12.668699999999999</c:v>
                </c:pt>
                <c:pt idx="45">
                  <c:v>12.668699999999999</c:v>
                </c:pt>
                <c:pt idx="46">
                  <c:v>12.495900000000001</c:v>
                </c:pt>
                <c:pt idx="47">
                  <c:v>12.783899999999999</c:v>
                </c:pt>
                <c:pt idx="48">
                  <c:v>12.150399999999999</c:v>
                </c:pt>
                <c:pt idx="49">
                  <c:v>12.0929</c:v>
                </c:pt>
                <c:pt idx="50">
                  <c:v>11.5746</c:v>
                </c:pt>
                <c:pt idx="51">
                  <c:v>11.5746</c:v>
                </c:pt>
                <c:pt idx="52">
                  <c:v>12.035299999999999</c:v>
                </c:pt>
                <c:pt idx="53">
                  <c:v>11.173400000000001</c:v>
                </c:pt>
                <c:pt idx="54">
                  <c:v>11.1715</c:v>
                </c:pt>
                <c:pt idx="55">
                  <c:v>10.9626</c:v>
                </c:pt>
                <c:pt idx="56">
                  <c:v>11.068</c:v>
                </c:pt>
                <c:pt idx="57">
                  <c:v>11.173400000000001</c:v>
                </c:pt>
                <c:pt idx="58">
                  <c:v>10.857200000000001</c:v>
                </c:pt>
                <c:pt idx="59">
                  <c:v>10.857200000000001</c:v>
                </c:pt>
                <c:pt idx="60">
                  <c:v>10.857200000000001</c:v>
                </c:pt>
                <c:pt idx="61">
                  <c:v>10.751799999999999</c:v>
                </c:pt>
                <c:pt idx="62">
                  <c:v>10.751799999999999</c:v>
                </c:pt>
                <c:pt idx="63">
                  <c:v>11.068</c:v>
                </c:pt>
                <c:pt idx="64">
                  <c:v>10.857200000000001</c:v>
                </c:pt>
                <c:pt idx="65">
                  <c:v>11.173400000000001</c:v>
                </c:pt>
                <c:pt idx="66">
                  <c:v>11.2789</c:v>
                </c:pt>
                <c:pt idx="67">
                  <c:v>11.3843</c:v>
                </c:pt>
                <c:pt idx="68">
                  <c:v>11.3843</c:v>
                </c:pt>
                <c:pt idx="69">
                  <c:v>11.489699999999999</c:v>
                </c:pt>
                <c:pt idx="70">
                  <c:v>11.489699999999999</c:v>
                </c:pt>
                <c:pt idx="71">
                  <c:v>11.7005</c:v>
                </c:pt>
                <c:pt idx="72">
                  <c:v>11.7005</c:v>
                </c:pt>
                <c:pt idx="73">
                  <c:v>11.489699999999999</c:v>
                </c:pt>
                <c:pt idx="74">
                  <c:v>11.5951</c:v>
                </c:pt>
                <c:pt idx="75">
                  <c:v>11.489699999999999</c:v>
                </c:pt>
                <c:pt idx="76">
                  <c:v>11.068</c:v>
                </c:pt>
                <c:pt idx="77">
                  <c:v>11.068</c:v>
                </c:pt>
                <c:pt idx="78">
                  <c:v>11.068</c:v>
                </c:pt>
                <c:pt idx="79">
                  <c:v>11.068</c:v>
                </c:pt>
                <c:pt idx="80">
                  <c:v>11.3843</c:v>
                </c:pt>
                <c:pt idx="81">
                  <c:v>11.173400000000001</c:v>
                </c:pt>
                <c:pt idx="82">
                  <c:v>11.173400000000001</c:v>
                </c:pt>
                <c:pt idx="83">
                  <c:v>11.173400000000001</c:v>
                </c:pt>
                <c:pt idx="84">
                  <c:v>11.173400000000001</c:v>
                </c:pt>
                <c:pt idx="85">
                  <c:v>11.173400000000001</c:v>
                </c:pt>
                <c:pt idx="86">
                  <c:v>11.173400000000001</c:v>
                </c:pt>
                <c:pt idx="87">
                  <c:v>11.173400000000001</c:v>
                </c:pt>
                <c:pt idx="88">
                  <c:v>11.068</c:v>
                </c:pt>
                <c:pt idx="89">
                  <c:v>11.6617</c:v>
                </c:pt>
                <c:pt idx="90">
                  <c:v>11.6617</c:v>
                </c:pt>
                <c:pt idx="91">
                  <c:v>11.6617</c:v>
                </c:pt>
                <c:pt idx="92">
                  <c:v>11.6617</c:v>
                </c:pt>
                <c:pt idx="93">
                  <c:v>11.5527</c:v>
                </c:pt>
                <c:pt idx="94">
                  <c:v>11.4437</c:v>
                </c:pt>
                <c:pt idx="95">
                  <c:v>11.5527</c:v>
                </c:pt>
                <c:pt idx="96">
                  <c:v>11.5527</c:v>
                </c:pt>
                <c:pt idx="97">
                  <c:v>11.6617</c:v>
                </c:pt>
                <c:pt idx="98">
                  <c:v>11.5527</c:v>
                </c:pt>
                <c:pt idx="99">
                  <c:v>11.6617</c:v>
                </c:pt>
                <c:pt idx="100">
                  <c:v>11.8797</c:v>
                </c:pt>
                <c:pt idx="101">
                  <c:v>12.0976</c:v>
                </c:pt>
                <c:pt idx="102">
                  <c:v>12.0976</c:v>
                </c:pt>
                <c:pt idx="103">
                  <c:v>11.8797</c:v>
                </c:pt>
                <c:pt idx="104">
                  <c:v>11.9886</c:v>
                </c:pt>
                <c:pt idx="105">
                  <c:v>11.9886</c:v>
                </c:pt>
                <c:pt idx="106">
                  <c:v>11.9886</c:v>
                </c:pt>
                <c:pt idx="107">
                  <c:v>11.9886</c:v>
                </c:pt>
                <c:pt idx="108">
                  <c:v>11.7707</c:v>
                </c:pt>
                <c:pt idx="109">
                  <c:v>11.8797</c:v>
                </c:pt>
                <c:pt idx="110">
                  <c:v>11.8797</c:v>
                </c:pt>
                <c:pt idx="111">
                  <c:v>11.6617</c:v>
                </c:pt>
                <c:pt idx="112">
                  <c:v>11.6617</c:v>
                </c:pt>
                <c:pt idx="113">
                  <c:v>11.7707</c:v>
                </c:pt>
                <c:pt idx="114">
                  <c:v>11.6617</c:v>
                </c:pt>
                <c:pt idx="115">
                  <c:v>11.6617</c:v>
                </c:pt>
                <c:pt idx="116">
                  <c:v>11.6617</c:v>
                </c:pt>
                <c:pt idx="117">
                  <c:v>12.2066</c:v>
                </c:pt>
                <c:pt idx="118">
                  <c:v>11.8797</c:v>
                </c:pt>
                <c:pt idx="119">
                  <c:v>11.9886</c:v>
                </c:pt>
                <c:pt idx="120">
                  <c:v>12.3156</c:v>
                </c:pt>
                <c:pt idx="121">
                  <c:v>12.3156</c:v>
                </c:pt>
                <c:pt idx="122">
                  <c:v>12.4246</c:v>
                </c:pt>
                <c:pt idx="123">
                  <c:v>12.5336</c:v>
                </c:pt>
                <c:pt idx="124">
                  <c:v>12.2066</c:v>
                </c:pt>
                <c:pt idx="125">
                  <c:v>12.4246</c:v>
                </c:pt>
                <c:pt idx="126">
                  <c:v>12.0976</c:v>
                </c:pt>
                <c:pt idx="127">
                  <c:v>12.4246</c:v>
                </c:pt>
                <c:pt idx="128">
                  <c:v>12.5336</c:v>
                </c:pt>
                <c:pt idx="129">
                  <c:v>13.0785</c:v>
                </c:pt>
                <c:pt idx="130">
                  <c:v>13.0785</c:v>
                </c:pt>
                <c:pt idx="131">
                  <c:v>13.0785</c:v>
                </c:pt>
                <c:pt idx="132">
                  <c:v>13.0785</c:v>
                </c:pt>
                <c:pt idx="133">
                  <c:v>13.0785</c:v>
                </c:pt>
                <c:pt idx="134">
                  <c:v>13.0785</c:v>
                </c:pt>
                <c:pt idx="135">
                  <c:v>13.3588</c:v>
                </c:pt>
                <c:pt idx="136">
                  <c:v>13.4145</c:v>
                </c:pt>
                <c:pt idx="137">
                  <c:v>13.4145</c:v>
                </c:pt>
                <c:pt idx="138">
                  <c:v>13.4145</c:v>
                </c:pt>
                <c:pt idx="139">
                  <c:v>13.024900000000001</c:v>
                </c:pt>
                <c:pt idx="140">
                  <c:v>13.080500000000001</c:v>
                </c:pt>
                <c:pt idx="141">
                  <c:v>13.136200000000001</c:v>
                </c:pt>
                <c:pt idx="142">
                  <c:v>12.857900000000001</c:v>
                </c:pt>
                <c:pt idx="143">
                  <c:v>12.9695</c:v>
                </c:pt>
                <c:pt idx="144">
                  <c:v>12.9695</c:v>
                </c:pt>
                <c:pt idx="145">
                  <c:v>13.136200000000001</c:v>
                </c:pt>
                <c:pt idx="146">
                  <c:v>13.3588</c:v>
                </c:pt>
                <c:pt idx="147">
                  <c:v>13.080500000000001</c:v>
                </c:pt>
                <c:pt idx="148">
                  <c:v>12.0549</c:v>
                </c:pt>
                <c:pt idx="149">
                  <c:v>12.204000000000001</c:v>
                </c:pt>
                <c:pt idx="150">
                  <c:v>12.266400000000001</c:v>
                </c:pt>
                <c:pt idx="151">
                  <c:v>12.160600000000001</c:v>
                </c:pt>
                <c:pt idx="152">
                  <c:v>12.1023</c:v>
                </c:pt>
                <c:pt idx="153">
                  <c:v>12.051500000000001</c:v>
                </c:pt>
                <c:pt idx="154">
                  <c:v>12.204000000000001</c:v>
                </c:pt>
                <c:pt idx="155">
                  <c:v>12.3566</c:v>
                </c:pt>
                <c:pt idx="156">
                  <c:v>12.3566</c:v>
                </c:pt>
                <c:pt idx="157">
                  <c:v>12.407400000000001</c:v>
                </c:pt>
                <c:pt idx="158">
                  <c:v>12.254899999999999</c:v>
                </c:pt>
                <c:pt idx="159">
                  <c:v>12.3566</c:v>
                </c:pt>
                <c:pt idx="160">
                  <c:v>12.1023</c:v>
                </c:pt>
                <c:pt idx="161">
                  <c:v>12.5091</c:v>
                </c:pt>
                <c:pt idx="162">
                  <c:v>12.7125</c:v>
                </c:pt>
                <c:pt idx="163">
                  <c:v>12.839700000000001</c:v>
                </c:pt>
                <c:pt idx="164">
                  <c:v>13.475300000000001</c:v>
                </c:pt>
                <c:pt idx="165">
                  <c:v>13.3482</c:v>
                </c:pt>
                <c:pt idx="166">
                  <c:v>13.3482</c:v>
                </c:pt>
                <c:pt idx="167">
                  <c:v>12.966799999999999</c:v>
                </c:pt>
                <c:pt idx="168">
                  <c:v>13.0939</c:v>
                </c:pt>
                <c:pt idx="169">
                  <c:v>13.221</c:v>
                </c:pt>
                <c:pt idx="170">
                  <c:v>13.221</c:v>
                </c:pt>
                <c:pt idx="171">
                  <c:v>13.475300000000001</c:v>
                </c:pt>
                <c:pt idx="172">
                  <c:v>13.221</c:v>
                </c:pt>
                <c:pt idx="173">
                  <c:v>13.475300000000001</c:v>
                </c:pt>
                <c:pt idx="174">
                  <c:v>13.3482</c:v>
                </c:pt>
                <c:pt idx="175">
                  <c:v>13.3482</c:v>
                </c:pt>
                <c:pt idx="176">
                  <c:v>12.839700000000001</c:v>
                </c:pt>
                <c:pt idx="177">
                  <c:v>12.839700000000001</c:v>
                </c:pt>
                <c:pt idx="178">
                  <c:v>12.7125</c:v>
                </c:pt>
                <c:pt idx="179">
                  <c:v>12.6617</c:v>
                </c:pt>
                <c:pt idx="180">
                  <c:v>13.0939</c:v>
                </c:pt>
                <c:pt idx="181">
                  <c:v>13.3482</c:v>
                </c:pt>
                <c:pt idx="182">
                  <c:v>13.475300000000001</c:v>
                </c:pt>
                <c:pt idx="183">
                  <c:v>13.3482</c:v>
                </c:pt>
                <c:pt idx="184">
                  <c:v>13.3482</c:v>
                </c:pt>
                <c:pt idx="185">
                  <c:v>13.7295</c:v>
                </c:pt>
                <c:pt idx="186">
                  <c:v>13.602399999999999</c:v>
                </c:pt>
                <c:pt idx="187">
                  <c:v>13.7295</c:v>
                </c:pt>
                <c:pt idx="188">
                  <c:v>13.8567</c:v>
                </c:pt>
                <c:pt idx="189">
                  <c:v>13.7295</c:v>
                </c:pt>
                <c:pt idx="190">
                  <c:v>13.602399999999999</c:v>
                </c:pt>
                <c:pt idx="191">
                  <c:v>14.110900000000001</c:v>
                </c:pt>
                <c:pt idx="192">
                  <c:v>14.4923</c:v>
                </c:pt>
                <c:pt idx="193">
                  <c:v>14.4923</c:v>
                </c:pt>
                <c:pt idx="194">
                  <c:v>14.3652</c:v>
                </c:pt>
                <c:pt idx="195">
                  <c:v>13.751300000000001</c:v>
                </c:pt>
                <c:pt idx="196">
                  <c:v>13.323700000000001</c:v>
                </c:pt>
                <c:pt idx="197">
                  <c:v>13.4224</c:v>
                </c:pt>
                <c:pt idx="198">
                  <c:v>13.6197</c:v>
                </c:pt>
                <c:pt idx="199">
                  <c:v>13.4224</c:v>
                </c:pt>
                <c:pt idx="200">
                  <c:v>12.896000000000001</c:v>
                </c:pt>
                <c:pt idx="201">
                  <c:v>12.9947</c:v>
                </c:pt>
                <c:pt idx="202">
                  <c:v>13.093400000000001</c:v>
                </c:pt>
                <c:pt idx="203">
                  <c:v>12.9618</c:v>
                </c:pt>
                <c:pt idx="204">
                  <c:v>12.9618</c:v>
                </c:pt>
                <c:pt idx="205">
                  <c:v>12.9618</c:v>
                </c:pt>
                <c:pt idx="206">
                  <c:v>12.266400000000001</c:v>
                </c:pt>
                <c:pt idx="207">
                  <c:v>11.6951</c:v>
                </c:pt>
                <c:pt idx="208">
                  <c:v>11.580399999999999</c:v>
                </c:pt>
                <c:pt idx="209">
                  <c:v>11.9244</c:v>
                </c:pt>
                <c:pt idx="210">
                  <c:v>11.809799999999999</c:v>
                </c:pt>
                <c:pt idx="211">
                  <c:v>11.809799999999999</c:v>
                </c:pt>
                <c:pt idx="212">
                  <c:v>11.809799999999999</c:v>
                </c:pt>
                <c:pt idx="213">
                  <c:v>11.809799999999999</c:v>
                </c:pt>
                <c:pt idx="214">
                  <c:v>11.809799999999999</c:v>
                </c:pt>
                <c:pt idx="215">
                  <c:v>11.9244</c:v>
                </c:pt>
                <c:pt idx="216">
                  <c:v>11.6951</c:v>
                </c:pt>
                <c:pt idx="217">
                  <c:v>11.6951</c:v>
                </c:pt>
                <c:pt idx="218">
                  <c:v>11.809799999999999</c:v>
                </c:pt>
                <c:pt idx="219">
                  <c:v>11.6951</c:v>
                </c:pt>
                <c:pt idx="220">
                  <c:v>11.6951</c:v>
                </c:pt>
                <c:pt idx="221">
                  <c:v>11.809799999999999</c:v>
                </c:pt>
                <c:pt idx="222">
                  <c:v>11.6951</c:v>
                </c:pt>
                <c:pt idx="223">
                  <c:v>11.580399999999999</c:v>
                </c:pt>
                <c:pt idx="224">
                  <c:v>11.809799999999999</c:v>
                </c:pt>
                <c:pt idx="225">
                  <c:v>11.809799999999999</c:v>
                </c:pt>
                <c:pt idx="226">
                  <c:v>12.039099999999999</c:v>
                </c:pt>
                <c:pt idx="227">
                  <c:v>12.382999999999999</c:v>
                </c:pt>
                <c:pt idx="228">
                  <c:v>12.153700000000001</c:v>
                </c:pt>
                <c:pt idx="229">
                  <c:v>12.153700000000001</c:v>
                </c:pt>
                <c:pt idx="230">
                  <c:v>11.6951</c:v>
                </c:pt>
                <c:pt idx="231">
                  <c:v>11.9244</c:v>
                </c:pt>
                <c:pt idx="232">
                  <c:v>11.809799999999999</c:v>
                </c:pt>
                <c:pt idx="233">
                  <c:v>11.9244</c:v>
                </c:pt>
                <c:pt idx="234">
                  <c:v>11.9244</c:v>
                </c:pt>
                <c:pt idx="235">
                  <c:v>12.2684</c:v>
                </c:pt>
                <c:pt idx="236">
                  <c:v>12.2684</c:v>
                </c:pt>
                <c:pt idx="237">
                  <c:v>12.153700000000001</c:v>
                </c:pt>
                <c:pt idx="238">
                  <c:v>12.4977</c:v>
                </c:pt>
                <c:pt idx="239">
                  <c:v>12.2684</c:v>
                </c:pt>
                <c:pt idx="240">
                  <c:v>12.382999999999999</c:v>
                </c:pt>
                <c:pt idx="241">
                  <c:v>12.2684</c:v>
                </c:pt>
                <c:pt idx="242">
                  <c:v>12.039099999999999</c:v>
                </c:pt>
                <c:pt idx="243">
                  <c:v>11.9244</c:v>
                </c:pt>
                <c:pt idx="244">
                  <c:v>12.2684</c:v>
                </c:pt>
                <c:pt idx="245">
                  <c:v>12.2684</c:v>
                </c:pt>
                <c:pt idx="246">
                  <c:v>12.612399999999999</c:v>
                </c:pt>
                <c:pt idx="247">
                  <c:v>12.2684</c:v>
                </c:pt>
                <c:pt idx="248">
                  <c:v>12.153700000000001</c:v>
                </c:pt>
                <c:pt idx="249">
                  <c:v>12.039099999999999</c:v>
                </c:pt>
                <c:pt idx="250">
                  <c:v>11.9244</c:v>
                </c:pt>
                <c:pt idx="251">
                  <c:v>11.809799999999999</c:v>
                </c:pt>
                <c:pt idx="252">
                  <c:v>11.9244</c:v>
                </c:pt>
                <c:pt idx="253">
                  <c:v>11.6951</c:v>
                </c:pt>
                <c:pt idx="254">
                  <c:v>11.809799999999999</c:v>
                </c:pt>
                <c:pt idx="255">
                  <c:v>11.809799999999999</c:v>
                </c:pt>
                <c:pt idx="256">
                  <c:v>11.9244</c:v>
                </c:pt>
                <c:pt idx="257">
                  <c:v>12.039099999999999</c:v>
                </c:pt>
                <c:pt idx="258">
                  <c:v>11.6951</c:v>
                </c:pt>
                <c:pt idx="259">
                  <c:v>11.580399999999999</c:v>
                </c:pt>
                <c:pt idx="260">
                  <c:v>11.282299999999999</c:v>
                </c:pt>
                <c:pt idx="261">
                  <c:v>11.282299999999999</c:v>
                </c:pt>
                <c:pt idx="262">
                  <c:v>11.282299999999999</c:v>
                </c:pt>
                <c:pt idx="263">
                  <c:v>10.9613</c:v>
                </c:pt>
                <c:pt idx="264">
                  <c:v>11.1447</c:v>
                </c:pt>
                <c:pt idx="265">
                  <c:v>11.282299999999999</c:v>
                </c:pt>
                <c:pt idx="266">
                  <c:v>11.4658</c:v>
                </c:pt>
                <c:pt idx="267">
                  <c:v>12.039099999999999</c:v>
                </c:pt>
                <c:pt idx="268">
                  <c:v>11.9244</c:v>
                </c:pt>
                <c:pt idx="269">
                  <c:v>11.580399999999999</c:v>
                </c:pt>
                <c:pt idx="270">
                  <c:v>11.282299999999999</c:v>
                </c:pt>
                <c:pt idx="271">
                  <c:v>11.6951</c:v>
                </c:pt>
                <c:pt idx="272">
                  <c:v>11.3918</c:v>
                </c:pt>
                <c:pt idx="273">
                  <c:v>11.5159</c:v>
                </c:pt>
                <c:pt idx="274">
                  <c:v>12.333399999999999</c:v>
                </c:pt>
                <c:pt idx="275">
                  <c:v>12.9198</c:v>
                </c:pt>
                <c:pt idx="276">
                  <c:v>13.8795</c:v>
                </c:pt>
                <c:pt idx="277">
                  <c:v>14.199299999999999</c:v>
                </c:pt>
                <c:pt idx="278">
                  <c:v>13.577299999999999</c:v>
                </c:pt>
                <c:pt idx="279">
                  <c:v>14.039400000000001</c:v>
                </c:pt>
                <c:pt idx="280">
                  <c:v>13.7195</c:v>
                </c:pt>
                <c:pt idx="281">
                  <c:v>14.507300000000001</c:v>
                </c:pt>
                <c:pt idx="282">
                  <c:v>14.8499</c:v>
                </c:pt>
                <c:pt idx="283">
                  <c:v>15.192600000000001</c:v>
                </c:pt>
                <c:pt idx="284">
                  <c:v>15.372299999999999</c:v>
                </c:pt>
                <c:pt idx="285">
                  <c:v>15.496700000000001</c:v>
                </c:pt>
                <c:pt idx="286">
                  <c:v>15.105700000000001</c:v>
                </c:pt>
                <c:pt idx="287">
                  <c:v>14.803599999999999</c:v>
                </c:pt>
                <c:pt idx="288">
                  <c:v>14.3771</c:v>
                </c:pt>
                <c:pt idx="289">
                  <c:v>15.421099999999999</c:v>
                </c:pt>
                <c:pt idx="290">
                  <c:v>15.4611</c:v>
                </c:pt>
                <c:pt idx="291">
                  <c:v>15.4611</c:v>
                </c:pt>
                <c:pt idx="292">
                  <c:v>15.1412</c:v>
                </c:pt>
                <c:pt idx="293">
                  <c:v>15.0784</c:v>
                </c:pt>
                <c:pt idx="294">
                  <c:v>14.5725</c:v>
                </c:pt>
                <c:pt idx="295">
                  <c:v>14.696899999999999</c:v>
                </c:pt>
                <c:pt idx="296">
                  <c:v>14.8569</c:v>
                </c:pt>
                <c:pt idx="297">
                  <c:v>14.359299999999999</c:v>
                </c:pt>
                <c:pt idx="298">
                  <c:v>14.1105</c:v>
                </c:pt>
                <c:pt idx="299">
                  <c:v>13.5063</c:v>
                </c:pt>
                <c:pt idx="300">
                  <c:v>13.3819</c:v>
                </c:pt>
                <c:pt idx="301">
                  <c:v>13.3819</c:v>
                </c:pt>
                <c:pt idx="302">
                  <c:v>13.683999999999999</c:v>
                </c:pt>
                <c:pt idx="303">
                  <c:v>13.8439</c:v>
                </c:pt>
                <c:pt idx="304">
                  <c:v>13.5063</c:v>
                </c:pt>
                <c:pt idx="305">
                  <c:v>12.795400000000001</c:v>
                </c:pt>
                <c:pt idx="306">
                  <c:v>13.239699999999999</c:v>
                </c:pt>
                <c:pt idx="307">
                  <c:v>13.1686</c:v>
                </c:pt>
                <c:pt idx="308">
                  <c:v>13.523999999999999</c:v>
                </c:pt>
                <c:pt idx="309">
                  <c:v>13.0442</c:v>
                </c:pt>
                <c:pt idx="310">
                  <c:v>12.9198</c:v>
                </c:pt>
                <c:pt idx="311">
                  <c:v>12.688800000000001</c:v>
                </c:pt>
                <c:pt idx="312">
                  <c:v>12.3689</c:v>
                </c:pt>
                <c:pt idx="313">
                  <c:v>12.4978</c:v>
                </c:pt>
                <c:pt idx="314">
                  <c:v>12.4978</c:v>
                </c:pt>
                <c:pt idx="315">
                  <c:v>12.4978</c:v>
                </c:pt>
                <c:pt idx="316">
                  <c:v>12.4978</c:v>
                </c:pt>
                <c:pt idx="317">
                  <c:v>12.3872</c:v>
                </c:pt>
                <c:pt idx="318">
                  <c:v>12.718999999999999</c:v>
                </c:pt>
                <c:pt idx="319">
                  <c:v>12.6084</c:v>
                </c:pt>
                <c:pt idx="320">
                  <c:v>12.4755</c:v>
                </c:pt>
                <c:pt idx="321">
                  <c:v>12.7065</c:v>
                </c:pt>
                <c:pt idx="322">
                  <c:v>12.0846</c:v>
                </c:pt>
                <c:pt idx="323">
                  <c:v>11.835800000000001</c:v>
                </c:pt>
                <c:pt idx="324">
                  <c:v>11.834199999999999</c:v>
                </c:pt>
                <c:pt idx="325">
                  <c:v>11.6936</c:v>
                </c:pt>
                <c:pt idx="326">
                  <c:v>11.675800000000001</c:v>
                </c:pt>
                <c:pt idx="327">
                  <c:v>11.944800000000001</c:v>
                </c:pt>
                <c:pt idx="328">
                  <c:v>11.723599999999999</c:v>
                </c:pt>
                <c:pt idx="329">
                  <c:v>11.613</c:v>
                </c:pt>
                <c:pt idx="330">
                  <c:v>11.613</c:v>
                </c:pt>
                <c:pt idx="331">
                  <c:v>11.5024</c:v>
                </c:pt>
                <c:pt idx="332">
                  <c:v>11.6403</c:v>
                </c:pt>
                <c:pt idx="333">
                  <c:v>12.4755</c:v>
                </c:pt>
                <c:pt idx="334">
                  <c:v>12.724299999999999</c:v>
                </c:pt>
                <c:pt idx="335">
                  <c:v>13.364100000000001</c:v>
                </c:pt>
                <c:pt idx="336">
                  <c:v>12.3872</c:v>
                </c:pt>
                <c:pt idx="337">
                  <c:v>12.4978</c:v>
                </c:pt>
                <c:pt idx="338">
                  <c:v>12.2766</c:v>
                </c:pt>
                <c:pt idx="339">
                  <c:v>11.834199999999999</c:v>
                </c:pt>
                <c:pt idx="340">
                  <c:v>11.723599999999999</c:v>
                </c:pt>
                <c:pt idx="341">
                  <c:v>11.723599999999999</c:v>
                </c:pt>
                <c:pt idx="342">
                  <c:v>12.055400000000001</c:v>
                </c:pt>
                <c:pt idx="343">
                  <c:v>12.2828</c:v>
                </c:pt>
                <c:pt idx="344">
                  <c:v>12.6891</c:v>
                </c:pt>
                <c:pt idx="345">
                  <c:v>11.860900000000001</c:v>
                </c:pt>
                <c:pt idx="346">
                  <c:v>11.613</c:v>
                </c:pt>
                <c:pt idx="347">
                  <c:v>11.8765</c:v>
                </c:pt>
                <c:pt idx="348">
                  <c:v>12.173400000000001</c:v>
                </c:pt>
                <c:pt idx="349">
                  <c:v>13.079800000000001</c:v>
                </c:pt>
                <c:pt idx="350">
                  <c:v>14.064299999999999</c:v>
                </c:pt>
                <c:pt idx="351">
                  <c:v>14.345599999999999</c:v>
                </c:pt>
                <c:pt idx="352">
                  <c:v>14.345599999999999</c:v>
                </c:pt>
                <c:pt idx="353">
                  <c:v>14.095599999999999</c:v>
                </c:pt>
                <c:pt idx="354">
                  <c:v>13.907999999999999</c:v>
                </c:pt>
                <c:pt idx="355">
                  <c:v>13.595499999999999</c:v>
                </c:pt>
                <c:pt idx="356">
                  <c:v>13.050800000000001</c:v>
                </c:pt>
                <c:pt idx="357">
                  <c:v>13.050800000000001</c:v>
                </c:pt>
                <c:pt idx="358">
                  <c:v>13.3826</c:v>
                </c:pt>
                <c:pt idx="359">
                  <c:v>13.4932</c:v>
                </c:pt>
                <c:pt idx="360">
                  <c:v>13.4932</c:v>
                </c:pt>
                <c:pt idx="361">
                  <c:v>13.1614</c:v>
                </c:pt>
                <c:pt idx="362">
                  <c:v>13.4932</c:v>
                </c:pt>
                <c:pt idx="363">
                  <c:v>13.714399999999999</c:v>
                </c:pt>
                <c:pt idx="364">
                  <c:v>13.714399999999999</c:v>
                </c:pt>
                <c:pt idx="365">
                  <c:v>13.935600000000001</c:v>
                </c:pt>
                <c:pt idx="366">
                  <c:v>14.378</c:v>
                </c:pt>
                <c:pt idx="367">
                  <c:v>14.2674</c:v>
                </c:pt>
                <c:pt idx="368">
                  <c:v>14.2674</c:v>
                </c:pt>
                <c:pt idx="369">
                  <c:v>13.4932</c:v>
                </c:pt>
                <c:pt idx="370">
                  <c:v>15.041600000000001</c:v>
                </c:pt>
                <c:pt idx="371">
                  <c:v>15.349399999999999</c:v>
                </c:pt>
                <c:pt idx="372">
                  <c:v>15.238200000000001</c:v>
                </c:pt>
                <c:pt idx="373">
                  <c:v>15.460699999999999</c:v>
                </c:pt>
                <c:pt idx="374">
                  <c:v>15.460699999999999</c:v>
                </c:pt>
                <c:pt idx="375">
                  <c:v>15.460699999999999</c:v>
                </c:pt>
                <c:pt idx="376">
                  <c:v>15.460699999999999</c:v>
                </c:pt>
                <c:pt idx="377">
                  <c:v>15.470700000000001</c:v>
                </c:pt>
                <c:pt idx="378">
                  <c:v>15.9056</c:v>
                </c:pt>
                <c:pt idx="379">
                  <c:v>15.571899999999999</c:v>
                </c:pt>
                <c:pt idx="380">
                  <c:v>15.6831</c:v>
                </c:pt>
                <c:pt idx="381">
                  <c:v>15.6831</c:v>
                </c:pt>
                <c:pt idx="382">
                  <c:v>16.684200000000001</c:v>
                </c:pt>
                <c:pt idx="383">
                  <c:v>17.439800000000002</c:v>
                </c:pt>
                <c:pt idx="384">
                  <c:v>18.248999999999999</c:v>
                </c:pt>
                <c:pt idx="385">
                  <c:v>18.027799999999999</c:v>
                </c:pt>
                <c:pt idx="386">
                  <c:v>17.917200000000001</c:v>
                </c:pt>
                <c:pt idx="387">
                  <c:v>17.917200000000001</c:v>
                </c:pt>
                <c:pt idx="388">
                  <c:v>17.917200000000001</c:v>
                </c:pt>
                <c:pt idx="389">
                  <c:v>17.917200000000001</c:v>
                </c:pt>
                <c:pt idx="390">
                  <c:v>17.2835</c:v>
                </c:pt>
                <c:pt idx="391">
                  <c:v>18.470199999999998</c:v>
                </c:pt>
                <c:pt idx="392">
                  <c:v>18.802</c:v>
                </c:pt>
                <c:pt idx="393">
                  <c:v>18.627400000000002</c:v>
                </c:pt>
                <c:pt idx="394">
                  <c:v>18.802</c:v>
                </c:pt>
                <c:pt idx="395">
                  <c:v>18.138400000000001</c:v>
                </c:pt>
                <c:pt idx="396">
                  <c:v>17.8066</c:v>
                </c:pt>
                <c:pt idx="397">
                  <c:v>17.8066</c:v>
                </c:pt>
                <c:pt idx="398">
                  <c:v>17.7746</c:v>
                </c:pt>
                <c:pt idx="399">
                  <c:v>17.219200000000001</c:v>
                </c:pt>
                <c:pt idx="400">
                  <c:v>16.6464</c:v>
                </c:pt>
                <c:pt idx="401">
                  <c:v>16.997</c:v>
                </c:pt>
                <c:pt idx="402">
                  <c:v>17.219200000000001</c:v>
                </c:pt>
                <c:pt idx="403">
                  <c:v>17.1081</c:v>
                </c:pt>
                <c:pt idx="404">
                  <c:v>16.774799999999999</c:v>
                </c:pt>
                <c:pt idx="405">
                  <c:v>17.1081</c:v>
                </c:pt>
                <c:pt idx="406">
                  <c:v>17.065000000000001</c:v>
                </c:pt>
                <c:pt idx="407">
                  <c:v>16.885899999999999</c:v>
                </c:pt>
                <c:pt idx="408">
                  <c:v>16.866199999999999</c:v>
                </c:pt>
                <c:pt idx="409">
                  <c:v>16.1372</c:v>
                </c:pt>
                <c:pt idx="410">
                  <c:v>16.405100000000001</c:v>
                </c:pt>
                <c:pt idx="411">
                  <c:v>16.441500000000001</c:v>
                </c:pt>
                <c:pt idx="412">
                  <c:v>16.441500000000001</c:v>
                </c:pt>
                <c:pt idx="413">
                  <c:v>16.774799999999999</c:v>
                </c:pt>
                <c:pt idx="414">
                  <c:v>16.1082</c:v>
                </c:pt>
                <c:pt idx="415">
                  <c:v>16.441500000000001</c:v>
                </c:pt>
                <c:pt idx="416">
                  <c:v>17.219200000000001</c:v>
                </c:pt>
                <c:pt idx="417">
                  <c:v>17.628399999999999</c:v>
                </c:pt>
                <c:pt idx="418">
                  <c:v>17.552399999999999</c:v>
                </c:pt>
                <c:pt idx="419">
                  <c:v>17.7746</c:v>
                </c:pt>
                <c:pt idx="420">
                  <c:v>17.7746</c:v>
                </c:pt>
                <c:pt idx="421">
                  <c:v>17.3964</c:v>
                </c:pt>
                <c:pt idx="422">
                  <c:v>16.330400000000001</c:v>
                </c:pt>
                <c:pt idx="423">
                  <c:v>17.065000000000001</c:v>
                </c:pt>
                <c:pt idx="424">
                  <c:v>16.043299999999999</c:v>
                </c:pt>
                <c:pt idx="425">
                  <c:v>16.284500000000001</c:v>
                </c:pt>
                <c:pt idx="426">
                  <c:v>16.405100000000001</c:v>
                </c:pt>
                <c:pt idx="427">
                  <c:v>16.284500000000001</c:v>
                </c:pt>
                <c:pt idx="428">
                  <c:v>16.441500000000001</c:v>
                </c:pt>
                <c:pt idx="429">
                  <c:v>16.405100000000001</c:v>
                </c:pt>
                <c:pt idx="430">
                  <c:v>15.9971</c:v>
                </c:pt>
                <c:pt idx="431">
                  <c:v>16.330400000000001</c:v>
                </c:pt>
                <c:pt idx="432">
                  <c:v>16.441500000000001</c:v>
                </c:pt>
                <c:pt idx="433">
                  <c:v>16.441500000000001</c:v>
                </c:pt>
                <c:pt idx="434">
                  <c:v>17.249500000000001</c:v>
                </c:pt>
                <c:pt idx="435">
                  <c:v>17.128900000000002</c:v>
                </c:pt>
                <c:pt idx="436">
                  <c:v>16.405100000000001</c:v>
                </c:pt>
                <c:pt idx="437">
                  <c:v>15.922599999999999</c:v>
                </c:pt>
                <c:pt idx="438">
                  <c:v>17.008299999999998</c:v>
                </c:pt>
                <c:pt idx="439">
                  <c:v>18.214500000000001</c:v>
                </c:pt>
                <c:pt idx="440">
                  <c:v>17.9968</c:v>
                </c:pt>
                <c:pt idx="441">
                  <c:v>17.9968</c:v>
                </c:pt>
                <c:pt idx="442">
                  <c:v>18.552199999999999</c:v>
                </c:pt>
                <c:pt idx="443">
                  <c:v>18.5764</c:v>
                </c:pt>
                <c:pt idx="444">
                  <c:v>18.4558</c:v>
                </c:pt>
                <c:pt idx="445">
                  <c:v>18.817699999999999</c:v>
                </c:pt>
                <c:pt idx="446">
                  <c:v>18.938300000000002</c:v>
                </c:pt>
                <c:pt idx="447">
                  <c:v>19.058900000000001</c:v>
                </c:pt>
                <c:pt idx="448">
                  <c:v>18.6633</c:v>
                </c:pt>
                <c:pt idx="449">
                  <c:v>18.817699999999999</c:v>
                </c:pt>
                <c:pt idx="450">
                  <c:v>18.996600000000001</c:v>
                </c:pt>
                <c:pt idx="451">
                  <c:v>18.5764</c:v>
                </c:pt>
                <c:pt idx="452">
                  <c:v>18.4558</c:v>
                </c:pt>
                <c:pt idx="453">
                  <c:v>18.817699999999999</c:v>
                </c:pt>
                <c:pt idx="454">
                  <c:v>19.3002</c:v>
                </c:pt>
                <c:pt idx="455">
                  <c:v>19.3002</c:v>
                </c:pt>
                <c:pt idx="456">
                  <c:v>18.431699999999999</c:v>
                </c:pt>
                <c:pt idx="457">
                  <c:v>20.126899999999999</c:v>
                </c:pt>
                <c:pt idx="458">
                  <c:v>19.783899999999999</c:v>
                </c:pt>
                <c:pt idx="459">
                  <c:v>19.972799999999999</c:v>
                </c:pt>
                <c:pt idx="460">
                  <c:v>20.0275</c:v>
                </c:pt>
                <c:pt idx="461">
                  <c:v>20.0823</c:v>
                </c:pt>
                <c:pt idx="462">
                  <c:v>20.246400000000001</c:v>
                </c:pt>
                <c:pt idx="463">
                  <c:v>19.972799999999999</c:v>
                </c:pt>
                <c:pt idx="464">
                  <c:v>19.753900000000002</c:v>
                </c:pt>
                <c:pt idx="465">
                  <c:v>20.137</c:v>
                </c:pt>
                <c:pt idx="466">
                  <c:v>20.52</c:v>
                </c:pt>
                <c:pt idx="467">
                  <c:v>20.793600000000001</c:v>
                </c:pt>
                <c:pt idx="468">
                  <c:v>20.584399999999999</c:v>
                </c:pt>
                <c:pt idx="469">
                  <c:v>20.584399999999999</c:v>
                </c:pt>
                <c:pt idx="470">
                  <c:v>20.584399999999999</c:v>
                </c:pt>
                <c:pt idx="471">
                  <c:v>20.355699999999999</c:v>
                </c:pt>
                <c:pt idx="472">
                  <c:v>20.241299999999999</c:v>
                </c:pt>
                <c:pt idx="473">
                  <c:v>20.126899999999999</c:v>
                </c:pt>
                <c:pt idx="474">
                  <c:v>20.126899999999999</c:v>
                </c:pt>
                <c:pt idx="475">
                  <c:v>19.440799999999999</c:v>
                </c:pt>
                <c:pt idx="476">
                  <c:v>19.783899999999999</c:v>
                </c:pt>
                <c:pt idx="477">
                  <c:v>19.783899999999999</c:v>
                </c:pt>
                <c:pt idx="478">
                  <c:v>18.7547</c:v>
                </c:pt>
                <c:pt idx="479">
                  <c:v>18.9834</c:v>
                </c:pt>
                <c:pt idx="480">
                  <c:v>18.4116</c:v>
                </c:pt>
                <c:pt idx="481">
                  <c:v>19.669499999999999</c:v>
                </c:pt>
                <c:pt idx="482">
                  <c:v>19.440799999999999</c:v>
                </c:pt>
                <c:pt idx="483">
                  <c:v>17.6111</c:v>
                </c:pt>
                <c:pt idx="484">
                  <c:v>17.7254</c:v>
                </c:pt>
                <c:pt idx="485">
                  <c:v>17.496700000000001</c:v>
                </c:pt>
                <c:pt idx="486">
                  <c:v>18.0685</c:v>
                </c:pt>
                <c:pt idx="487">
                  <c:v>16.924900000000001</c:v>
                </c:pt>
                <c:pt idx="488">
                  <c:v>18.0685</c:v>
                </c:pt>
                <c:pt idx="489">
                  <c:v>17.153600000000001</c:v>
                </c:pt>
                <c:pt idx="490">
                  <c:v>17.382400000000001</c:v>
                </c:pt>
                <c:pt idx="491">
                  <c:v>17.039300000000001</c:v>
                </c:pt>
                <c:pt idx="492">
                  <c:v>16.696200000000001</c:v>
                </c:pt>
                <c:pt idx="493">
                  <c:v>17.039300000000001</c:v>
                </c:pt>
                <c:pt idx="494">
                  <c:v>16.924900000000001</c:v>
                </c:pt>
                <c:pt idx="495">
                  <c:v>16.924900000000001</c:v>
                </c:pt>
                <c:pt idx="496">
                  <c:v>16.696200000000001</c:v>
                </c:pt>
                <c:pt idx="497">
                  <c:v>16.238800000000001</c:v>
                </c:pt>
                <c:pt idx="498">
                  <c:v>16.467500000000001</c:v>
                </c:pt>
                <c:pt idx="499">
                  <c:v>16.924900000000001</c:v>
                </c:pt>
                <c:pt idx="500">
                  <c:v>16.696200000000001</c:v>
                </c:pt>
                <c:pt idx="501">
                  <c:v>16.010100000000001</c:v>
                </c:pt>
                <c:pt idx="502">
                  <c:v>14.9809</c:v>
                </c:pt>
                <c:pt idx="503">
                  <c:v>15.0952</c:v>
                </c:pt>
                <c:pt idx="504">
                  <c:v>14.9809</c:v>
                </c:pt>
                <c:pt idx="505">
                  <c:v>14.9809</c:v>
                </c:pt>
                <c:pt idx="506">
                  <c:v>14.9809</c:v>
                </c:pt>
                <c:pt idx="507">
                  <c:v>14.9809</c:v>
                </c:pt>
                <c:pt idx="508">
                  <c:v>14.7521</c:v>
                </c:pt>
                <c:pt idx="509">
                  <c:v>14.7521</c:v>
                </c:pt>
                <c:pt idx="510">
                  <c:v>14.8665</c:v>
                </c:pt>
                <c:pt idx="511">
                  <c:v>14.8665</c:v>
                </c:pt>
                <c:pt idx="512">
                  <c:v>14.8665</c:v>
                </c:pt>
                <c:pt idx="513">
                  <c:v>15.0952</c:v>
                </c:pt>
                <c:pt idx="514">
                  <c:v>15.0952</c:v>
                </c:pt>
                <c:pt idx="515">
                  <c:v>15.2096</c:v>
                </c:pt>
                <c:pt idx="516">
                  <c:v>15.3239</c:v>
                </c:pt>
                <c:pt idx="517">
                  <c:v>14.7521</c:v>
                </c:pt>
                <c:pt idx="518">
                  <c:v>14.9809</c:v>
                </c:pt>
                <c:pt idx="519">
                  <c:v>14.8665</c:v>
                </c:pt>
                <c:pt idx="520">
                  <c:v>14.523400000000001</c:v>
                </c:pt>
                <c:pt idx="521">
                  <c:v>14.7521</c:v>
                </c:pt>
                <c:pt idx="522">
                  <c:v>15.8185</c:v>
                </c:pt>
                <c:pt idx="523">
                  <c:v>15.7098</c:v>
                </c:pt>
                <c:pt idx="524">
                  <c:v>15.747999999999999</c:v>
                </c:pt>
                <c:pt idx="525">
                  <c:v>15.747999999999999</c:v>
                </c:pt>
                <c:pt idx="526">
                  <c:v>15.7098</c:v>
                </c:pt>
                <c:pt idx="527">
                  <c:v>15.274900000000001</c:v>
                </c:pt>
                <c:pt idx="528">
                  <c:v>15.3293</c:v>
                </c:pt>
                <c:pt idx="529">
                  <c:v>15.4923</c:v>
                </c:pt>
                <c:pt idx="530">
                  <c:v>15.8185</c:v>
                </c:pt>
                <c:pt idx="531">
                  <c:v>14.894399999999999</c:v>
                </c:pt>
                <c:pt idx="532">
                  <c:v>15.274900000000001</c:v>
                </c:pt>
                <c:pt idx="533">
                  <c:v>15.0031</c:v>
                </c:pt>
                <c:pt idx="534">
                  <c:v>14.731299999999999</c:v>
                </c:pt>
                <c:pt idx="535">
                  <c:v>15.220499999999999</c:v>
                </c:pt>
                <c:pt idx="536">
                  <c:v>15.383599999999999</c:v>
                </c:pt>
                <c:pt idx="537">
                  <c:v>14.568199999999999</c:v>
                </c:pt>
                <c:pt idx="538">
                  <c:v>14.405200000000001</c:v>
                </c:pt>
                <c:pt idx="539">
                  <c:v>13.915900000000001</c:v>
                </c:pt>
                <c:pt idx="540">
                  <c:v>14.242100000000001</c:v>
                </c:pt>
                <c:pt idx="541">
                  <c:v>14.4595</c:v>
                </c:pt>
                <c:pt idx="542">
                  <c:v>14.242100000000001</c:v>
                </c:pt>
                <c:pt idx="543">
                  <c:v>14.079000000000001</c:v>
                </c:pt>
                <c:pt idx="544">
                  <c:v>14.1877</c:v>
                </c:pt>
                <c:pt idx="545">
                  <c:v>14.4595</c:v>
                </c:pt>
                <c:pt idx="546">
                  <c:v>14.405200000000001</c:v>
                </c:pt>
                <c:pt idx="547">
                  <c:v>14.2964</c:v>
                </c:pt>
                <c:pt idx="548">
                  <c:v>13.481</c:v>
                </c:pt>
                <c:pt idx="549">
                  <c:v>13.209300000000001</c:v>
                </c:pt>
                <c:pt idx="550">
                  <c:v>13.4267</c:v>
                </c:pt>
                <c:pt idx="551">
                  <c:v>13.4267</c:v>
                </c:pt>
                <c:pt idx="552">
                  <c:v>14.1334</c:v>
                </c:pt>
                <c:pt idx="553">
                  <c:v>14.6226</c:v>
                </c:pt>
                <c:pt idx="554">
                  <c:v>14.948700000000001</c:v>
                </c:pt>
                <c:pt idx="555">
                  <c:v>14.948700000000001</c:v>
                </c:pt>
                <c:pt idx="556">
                  <c:v>14.242100000000001</c:v>
                </c:pt>
                <c:pt idx="557">
                  <c:v>14.7857</c:v>
                </c:pt>
                <c:pt idx="558">
                  <c:v>15.0031</c:v>
                </c:pt>
                <c:pt idx="559">
                  <c:v>15.057499999999999</c:v>
                </c:pt>
                <c:pt idx="560">
                  <c:v>15.111800000000001</c:v>
                </c:pt>
                <c:pt idx="561">
                  <c:v>16.090299999999999</c:v>
                </c:pt>
                <c:pt idx="562">
                  <c:v>14.405200000000001</c:v>
                </c:pt>
                <c:pt idx="563">
                  <c:v>14.2964</c:v>
                </c:pt>
                <c:pt idx="564">
                  <c:v>15.111800000000001</c:v>
                </c:pt>
                <c:pt idx="565">
                  <c:v>16.199000000000002</c:v>
                </c:pt>
                <c:pt idx="566">
                  <c:v>17.3949</c:v>
                </c:pt>
                <c:pt idx="567">
                  <c:v>13.915900000000001</c:v>
                </c:pt>
                <c:pt idx="568">
                  <c:v>13.698499999999999</c:v>
                </c:pt>
                <c:pt idx="569">
                  <c:v>13.535399999999999</c:v>
                </c:pt>
                <c:pt idx="570">
                  <c:v>12.6113</c:v>
                </c:pt>
                <c:pt idx="571">
                  <c:v>12.6113</c:v>
                </c:pt>
                <c:pt idx="572">
                  <c:v>12.665699999999999</c:v>
                </c:pt>
                <c:pt idx="573">
                  <c:v>11.850300000000001</c:v>
                </c:pt>
                <c:pt idx="574">
                  <c:v>11.469799999999999</c:v>
                </c:pt>
                <c:pt idx="575">
                  <c:v>11.5785</c:v>
                </c:pt>
                <c:pt idx="576">
                  <c:v>11.524100000000001</c:v>
                </c:pt>
                <c:pt idx="577">
                  <c:v>11.959</c:v>
                </c:pt>
                <c:pt idx="578">
                  <c:v>12.2308</c:v>
                </c:pt>
                <c:pt idx="579">
                  <c:v>12.502599999999999</c:v>
                </c:pt>
                <c:pt idx="580">
                  <c:v>11.4154</c:v>
                </c:pt>
                <c:pt idx="581">
                  <c:v>11.306699999999999</c:v>
                </c:pt>
                <c:pt idx="582">
                  <c:v>11.4154</c:v>
                </c:pt>
                <c:pt idx="583">
                  <c:v>11.5785</c:v>
                </c:pt>
                <c:pt idx="584">
                  <c:v>11.5785</c:v>
                </c:pt>
                <c:pt idx="585">
                  <c:v>11.9046</c:v>
                </c:pt>
                <c:pt idx="586">
                  <c:v>12.8315</c:v>
                </c:pt>
                <c:pt idx="587">
                  <c:v>13.4574</c:v>
                </c:pt>
                <c:pt idx="588">
                  <c:v>12.581099999999999</c:v>
                </c:pt>
                <c:pt idx="589">
                  <c:v>13.081899999999999</c:v>
                </c:pt>
                <c:pt idx="590">
                  <c:v>13.645200000000001</c:v>
                </c:pt>
                <c:pt idx="591">
                  <c:v>13.269600000000001</c:v>
                </c:pt>
                <c:pt idx="592">
                  <c:v>12.638</c:v>
                </c:pt>
                <c:pt idx="593">
                  <c:v>12.525600000000001</c:v>
                </c:pt>
                <c:pt idx="594">
                  <c:v>11.992000000000001</c:v>
                </c:pt>
                <c:pt idx="595">
                  <c:v>11.9359</c:v>
                </c:pt>
                <c:pt idx="596">
                  <c:v>12.0502</c:v>
                </c:pt>
                <c:pt idx="597">
                  <c:v>12.160500000000001</c:v>
                </c:pt>
                <c:pt idx="598">
                  <c:v>12.0763</c:v>
                </c:pt>
                <c:pt idx="599">
                  <c:v>11.840999999999999</c:v>
                </c:pt>
                <c:pt idx="600">
                  <c:v>12.301</c:v>
                </c:pt>
                <c:pt idx="601">
                  <c:v>12.946899999999999</c:v>
                </c:pt>
                <c:pt idx="602">
                  <c:v>13.9018</c:v>
                </c:pt>
                <c:pt idx="603">
                  <c:v>14.042199999999999</c:v>
                </c:pt>
                <c:pt idx="604">
                  <c:v>13.3682</c:v>
                </c:pt>
                <c:pt idx="605">
                  <c:v>13.0031</c:v>
                </c:pt>
                <c:pt idx="606">
                  <c:v>12.918799999999999</c:v>
                </c:pt>
                <c:pt idx="607">
                  <c:v>12.7784</c:v>
                </c:pt>
                <c:pt idx="608">
                  <c:v>11.963900000000001</c:v>
                </c:pt>
                <c:pt idx="609">
                  <c:v>11.6736</c:v>
                </c:pt>
                <c:pt idx="610">
                  <c:v>11.9078</c:v>
                </c:pt>
                <c:pt idx="611">
                  <c:v>12.0763</c:v>
                </c:pt>
                <c:pt idx="612">
                  <c:v>11.795400000000001</c:v>
                </c:pt>
                <c:pt idx="613">
                  <c:v>11.318</c:v>
                </c:pt>
                <c:pt idx="614">
                  <c:v>11.1214</c:v>
                </c:pt>
                <c:pt idx="615">
                  <c:v>11.289899999999999</c:v>
                </c:pt>
                <c:pt idx="616">
                  <c:v>11.3461</c:v>
                </c:pt>
                <c:pt idx="617">
                  <c:v>11.4023</c:v>
                </c:pt>
                <c:pt idx="618">
                  <c:v>12.1325</c:v>
                </c:pt>
                <c:pt idx="619">
                  <c:v>12.357100000000001</c:v>
                </c:pt>
                <c:pt idx="620">
                  <c:v>12.638</c:v>
                </c:pt>
                <c:pt idx="621">
                  <c:v>12.301</c:v>
                </c:pt>
                <c:pt idx="622">
                  <c:v>11.9078</c:v>
                </c:pt>
                <c:pt idx="623">
                  <c:v>11.626899999999999</c:v>
                </c:pt>
                <c:pt idx="624">
                  <c:v>11.823499999999999</c:v>
                </c:pt>
                <c:pt idx="625">
                  <c:v>12.020099999999999</c:v>
                </c:pt>
                <c:pt idx="626">
                  <c:v>11.5146</c:v>
                </c:pt>
                <c:pt idx="627">
                  <c:v>11.2338</c:v>
                </c:pt>
                <c:pt idx="628">
                  <c:v>11.2338</c:v>
                </c:pt>
                <c:pt idx="629">
                  <c:v>11.1495</c:v>
                </c:pt>
                <c:pt idx="630">
                  <c:v>11.5063</c:v>
                </c:pt>
                <c:pt idx="631">
                  <c:v>11.5146</c:v>
                </c:pt>
                <c:pt idx="632">
                  <c:v>11.2057</c:v>
                </c:pt>
                <c:pt idx="633">
                  <c:v>12.020099999999999</c:v>
                </c:pt>
                <c:pt idx="634">
                  <c:v>12.4695</c:v>
                </c:pt>
                <c:pt idx="635">
                  <c:v>11.851599999999999</c:v>
                </c:pt>
                <c:pt idx="636">
                  <c:v>12.385199999999999</c:v>
                </c:pt>
                <c:pt idx="637">
                  <c:v>12.7784</c:v>
                </c:pt>
                <c:pt idx="638">
                  <c:v>12.638</c:v>
                </c:pt>
                <c:pt idx="639">
                  <c:v>13.1435</c:v>
                </c:pt>
                <c:pt idx="640">
                  <c:v>13.1997</c:v>
                </c:pt>
                <c:pt idx="641">
                  <c:v>13.0312</c:v>
                </c:pt>
                <c:pt idx="642">
                  <c:v>13.1997</c:v>
                </c:pt>
                <c:pt idx="643">
                  <c:v>12.357100000000001</c:v>
                </c:pt>
                <c:pt idx="644">
                  <c:v>12.4695</c:v>
                </c:pt>
                <c:pt idx="645">
                  <c:v>12.7784</c:v>
                </c:pt>
                <c:pt idx="646">
                  <c:v>12.946899999999999</c:v>
                </c:pt>
                <c:pt idx="647">
                  <c:v>12.8626</c:v>
                </c:pt>
                <c:pt idx="648">
                  <c:v>13.898199999999999</c:v>
                </c:pt>
                <c:pt idx="649">
                  <c:v>14.090400000000001</c:v>
                </c:pt>
                <c:pt idx="650">
                  <c:v>14.090400000000001</c:v>
                </c:pt>
                <c:pt idx="651">
                  <c:v>14.090400000000001</c:v>
                </c:pt>
                <c:pt idx="652">
                  <c:v>14.410600000000001</c:v>
                </c:pt>
                <c:pt idx="653">
                  <c:v>15.1151</c:v>
                </c:pt>
                <c:pt idx="654">
                  <c:v>15.2392</c:v>
                </c:pt>
                <c:pt idx="655">
                  <c:v>15.2432</c:v>
                </c:pt>
                <c:pt idx="656">
                  <c:v>14.7309</c:v>
                </c:pt>
                <c:pt idx="657">
                  <c:v>15.3713</c:v>
                </c:pt>
                <c:pt idx="658">
                  <c:v>15.6595</c:v>
                </c:pt>
                <c:pt idx="659">
                  <c:v>14.6531</c:v>
                </c:pt>
                <c:pt idx="660">
                  <c:v>14.0084</c:v>
                </c:pt>
                <c:pt idx="661">
                  <c:v>13.962300000000001</c:v>
                </c:pt>
                <c:pt idx="662">
                  <c:v>13.4222</c:v>
                </c:pt>
                <c:pt idx="663">
                  <c:v>13.770099999999999</c:v>
                </c:pt>
                <c:pt idx="664">
                  <c:v>13.070600000000001</c:v>
                </c:pt>
                <c:pt idx="665">
                  <c:v>12.6493</c:v>
                </c:pt>
                <c:pt idx="666">
                  <c:v>12.660299999999999</c:v>
                </c:pt>
                <c:pt idx="667">
                  <c:v>13.0097</c:v>
                </c:pt>
                <c:pt idx="668">
                  <c:v>12.1328</c:v>
                </c:pt>
                <c:pt idx="669">
                  <c:v>11.839700000000001</c:v>
                </c:pt>
                <c:pt idx="670">
                  <c:v>11.839700000000001</c:v>
                </c:pt>
                <c:pt idx="671">
                  <c:v>11.7811</c:v>
                </c:pt>
                <c:pt idx="672">
                  <c:v>11.1364</c:v>
                </c:pt>
                <c:pt idx="673">
                  <c:v>11.195</c:v>
                </c:pt>
                <c:pt idx="674">
                  <c:v>11.312200000000001</c:v>
                </c:pt>
                <c:pt idx="675">
                  <c:v>11.5466</c:v>
                </c:pt>
                <c:pt idx="676">
                  <c:v>11.7811</c:v>
                </c:pt>
                <c:pt idx="677">
                  <c:v>12.015499999999999</c:v>
                </c:pt>
                <c:pt idx="678">
                  <c:v>11.941700000000001</c:v>
                </c:pt>
                <c:pt idx="679">
                  <c:v>12.0388</c:v>
                </c:pt>
                <c:pt idx="680">
                  <c:v>12.601699999999999</c:v>
                </c:pt>
                <c:pt idx="681">
                  <c:v>11.5534</c:v>
                </c:pt>
                <c:pt idx="682">
                  <c:v>11.429399999999999</c:v>
                </c:pt>
                <c:pt idx="683">
                  <c:v>11.2621</c:v>
                </c:pt>
                <c:pt idx="684">
                  <c:v>11.2621</c:v>
                </c:pt>
                <c:pt idx="685">
                  <c:v>11.164999999999999</c:v>
                </c:pt>
                <c:pt idx="686">
                  <c:v>11.164999999999999</c:v>
                </c:pt>
                <c:pt idx="687">
                  <c:v>10.9605</c:v>
                </c:pt>
                <c:pt idx="688">
                  <c:v>10.4397</c:v>
                </c:pt>
                <c:pt idx="689">
                  <c:v>10.664</c:v>
                </c:pt>
                <c:pt idx="690">
                  <c:v>11.019399999999999</c:v>
                </c:pt>
                <c:pt idx="691">
                  <c:v>10.7767</c:v>
                </c:pt>
                <c:pt idx="692">
                  <c:v>10.792</c:v>
                </c:pt>
                <c:pt idx="693">
                  <c:v>11.068</c:v>
                </c:pt>
                <c:pt idx="694">
                  <c:v>11.941700000000001</c:v>
                </c:pt>
                <c:pt idx="695">
                  <c:v>10.764900000000001</c:v>
                </c:pt>
                <c:pt idx="696">
                  <c:v>10.8995</c:v>
                </c:pt>
                <c:pt idx="697">
                  <c:v>10.933199999999999</c:v>
                </c:pt>
                <c:pt idx="698">
                  <c:v>10.8995</c:v>
                </c:pt>
                <c:pt idx="699">
                  <c:v>10.933199999999999</c:v>
                </c:pt>
                <c:pt idx="700">
                  <c:v>10.966799999999999</c:v>
                </c:pt>
                <c:pt idx="701">
                  <c:v>10.843299999999999</c:v>
                </c:pt>
                <c:pt idx="702">
                  <c:v>10.6304</c:v>
                </c:pt>
                <c:pt idx="703">
                  <c:v>10.6304</c:v>
                </c:pt>
                <c:pt idx="704">
                  <c:v>10.4717</c:v>
                </c:pt>
                <c:pt idx="705">
                  <c:v>10.433</c:v>
                </c:pt>
                <c:pt idx="706">
                  <c:v>10.569900000000001</c:v>
                </c:pt>
                <c:pt idx="707">
                  <c:v>10.668100000000001</c:v>
                </c:pt>
                <c:pt idx="708">
                  <c:v>10.735200000000001</c:v>
                </c:pt>
                <c:pt idx="709">
                  <c:v>10.735200000000001</c:v>
                </c:pt>
                <c:pt idx="710">
                  <c:v>10.735200000000001</c:v>
                </c:pt>
                <c:pt idx="711">
                  <c:v>10.668100000000001</c:v>
                </c:pt>
                <c:pt idx="712">
                  <c:v>10.802300000000001</c:v>
                </c:pt>
                <c:pt idx="713">
                  <c:v>10.735200000000001</c:v>
                </c:pt>
                <c:pt idx="714">
                  <c:v>10.768700000000001</c:v>
                </c:pt>
                <c:pt idx="715">
                  <c:v>10.869400000000001</c:v>
                </c:pt>
                <c:pt idx="716">
                  <c:v>10.771100000000001</c:v>
                </c:pt>
                <c:pt idx="717">
                  <c:v>10.724600000000001</c:v>
                </c:pt>
                <c:pt idx="718">
                  <c:v>10.4152</c:v>
                </c:pt>
                <c:pt idx="719">
                  <c:v>10.601000000000001</c:v>
                </c:pt>
                <c:pt idx="720">
                  <c:v>10.601000000000001</c:v>
                </c:pt>
                <c:pt idx="721">
                  <c:v>10.6473</c:v>
                </c:pt>
                <c:pt idx="722">
                  <c:v>11.018800000000001</c:v>
                </c:pt>
                <c:pt idx="723">
                  <c:v>11.018800000000001</c:v>
                </c:pt>
                <c:pt idx="724">
                  <c:v>11.1426</c:v>
                </c:pt>
                <c:pt idx="725">
                  <c:v>11.4521</c:v>
                </c:pt>
                <c:pt idx="726">
                  <c:v>11.188599999999999</c:v>
                </c:pt>
                <c:pt idx="727">
                  <c:v>11.188599999999999</c:v>
                </c:pt>
                <c:pt idx="728">
                  <c:v>10.9824</c:v>
                </c:pt>
                <c:pt idx="729">
                  <c:v>11.188599999999999</c:v>
                </c:pt>
                <c:pt idx="730">
                  <c:v>10.895</c:v>
                </c:pt>
                <c:pt idx="731">
                  <c:v>10.956899999999999</c:v>
                </c:pt>
                <c:pt idx="732">
                  <c:v>11.018800000000001</c:v>
                </c:pt>
                <c:pt idx="733">
                  <c:v>11.1426</c:v>
                </c:pt>
                <c:pt idx="734">
                  <c:v>11.3283</c:v>
                </c:pt>
                <c:pt idx="735">
                  <c:v>11.1426</c:v>
                </c:pt>
                <c:pt idx="736">
                  <c:v>11.3283</c:v>
                </c:pt>
                <c:pt idx="737">
                  <c:v>11.1426</c:v>
                </c:pt>
                <c:pt idx="738">
                  <c:v>11.575900000000001</c:v>
                </c:pt>
                <c:pt idx="739">
                  <c:v>11.601100000000001</c:v>
                </c:pt>
                <c:pt idx="740">
                  <c:v>11.7616</c:v>
                </c:pt>
                <c:pt idx="741">
                  <c:v>11.0807</c:v>
                </c:pt>
                <c:pt idx="742">
                  <c:v>11.0036</c:v>
                </c:pt>
                <c:pt idx="743">
                  <c:v>11.033899999999999</c:v>
                </c:pt>
                <c:pt idx="744">
                  <c:v>10.879300000000001</c:v>
                </c:pt>
                <c:pt idx="745">
                  <c:v>10.802300000000001</c:v>
                </c:pt>
                <c:pt idx="746">
                  <c:v>10.601000000000001</c:v>
                </c:pt>
                <c:pt idx="747">
                  <c:v>10.735200000000001</c:v>
                </c:pt>
                <c:pt idx="748">
                  <c:v>10.735200000000001</c:v>
                </c:pt>
                <c:pt idx="749">
                  <c:v>10.735200000000001</c:v>
                </c:pt>
                <c:pt idx="750">
                  <c:v>10.735200000000001</c:v>
                </c:pt>
                <c:pt idx="751">
                  <c:v>10.735200000000001</c:v>
                </c:pt>
                <c:pt idx="752">
                  <c:v>10.768700000000001</c:v>
                </c:pt>
                <c:pt idx="753">
                  <c:v>10.668100000000001</c:v>
                </c:pt>
                <c:pt idx="754">
                  <c:v>10.701599999999999</c:v>
                </c:pt>
                <c:pt idx="755">
                  <c:v>10.673</c:v>
                </c:pt>
                <c:pt idx="756">
                  <c:v>10.735200000000001</c:v>
                </c:pt>
                <c:pt idx="757">
                  <c:v>10.9824</c:v>
                </c:pt>
                <c:pt idx="758">
                  <c:v>11.188599999999999</c:v>
                </c:pt>
                <c:pt idx="759">
                  <c:v>10.802300000000001</c:v>
                </c:pt>
                <c:pt idx="760">
                  <c:v>10.768700000000001</c:v>
                </c:pt>
                <c:pt idx="761">
                  <c:v>10.835800000000001</c:v>
                </c:pt>
                <c:pt idx="762">
                  <c:v>10.835800000000001</c:v>
                </c:pt>
                <c:pt idx="763">
                  <c:v>10.768700000000001</c:v>
                </c:pt>
                <c:pt idx="764">
                  <c:v>10.802300000000001</c:v>
                </c:pt>
                <c:pt idx="765">
                  <c:v>10.768700000000001</c:v>
                </c:pt>
                <c:pt idx="766">
                  <c:v>10.735200000000001</c:v>
                </c:pt>
                <c:pt idx="767">
                  <c:v>10.735200000000001</c:v>
                </c:pt>
                <c:pt idx="768">
                  <c:v>10.768700000000001</c:v>
                </c:pt>
                <c:pt idx="769">
                  <c:v>10.668100000000001</c:v>
                </c:pt>
                <c:pt idx="770">
                  <c:v>10.3378</c:v>
                </c:pt>
              </c:numCache>
            </c:numRef>
          </c:val>
          <c:smooth val="0"/>
          <c:extLst>
            <c:ext xmlns:c16="http://schemas.microsoft.com/office/drawing/2014/chart" uri="{C3380CC4-5D6E-409C-BE32-E72D297353CC}">
              <c16:uniqueId val="{00000001-66F9-48BF-B0F3-CAFF7FF2F609}"/>
            </c:ext>
          </c:extLst>
        </c:ser>
        <c:dLbls>
          <c:showLegendKey val="0"/>
          <c:showVal val="0"/>
          <c:showCatName val="0"/>
          <c:showSerName val="0"/>
          <c:showPercent val="0"/>
          <c:showBubbleSize val="0"/>
        </c:dLbls>
        <c:smooth val="0"/>
        <c:axId val="228680320"/>
        <c:axId val="828297696"/>
      </c:lineChart>
      <c:dateAx>
        <c:axId val="22868032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97696"/>
        <c:crosses val="autoZero"/>
        <c:auto val="1"/>
        <c:lblOffset val="100"/>
        <c:baseTimeUnit val="days"/>
      </c:dateAx>
      <c:valAx>
        <c:axId val="828297696"/>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68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 Peers'!$B$4</c:f>
              <c:strCache>
                <c:ptCount val="1"/>
                <c:pt idx="0">
                  <c:v>DGW VN EQUITY</c:v>
                </c:pt>
              </c:strCache>
            </c:strRef>
          </c:tx>
          <c:spPr>
            <a:ln w="28575" cap="rnd">
              <a:solidFill>
                <a:schemeClr val="accent1"/>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Peers'!$B$5:$B$775</c:f>
              <c:numCache>
                <c:formatCode>_(* #,##0.0_);_(* \(#,##0.0\);_(* "-"??_);_(@_)</c:formatCode>
                <c:ptCount val="771"/>
                <c:pt idx="0">
                  <c:v>16.303599999999999</c:v>
                </c:pt>
                <c:pt idx="1">
                  <c:v>17.524899999999999</c:v>
                </c:pt>
                <c:pt idx="2">
                  <c:v>18.823799999999999</c:v>
                </c:pt>
                <c:pt idx="3">
                  <c:v>19.502300000000002</c:v>
                </c:pt>
                <c:pt idx="4">
                  <c:v>20.936900000000001</c:v>
                </c:pt>
                <c:pt idx="5">
                  <c:v>20.936900000000001</c:v>
                </c:pt>
                <c:pt idx="6">
                  <c:v>20.471599999999999</c:v>
                </c:pt>
                <c:pt idx="7">
                  <c:v>21.130700000000001</c:v>
                </c:pt>
                <c:pt idx="8">
                  <c:v>20.7818</c:v>
                </c:pt>
                <c:pt idx="9">
                  <c:v>21.673500000000001</c:v>
                </c:pt>
                <c:pt idx="10">
                  <c:v>21.0532</c:v>
                </c:pt>
                <c:pt idx="11">
                  <c:v>22.565300000000001</c:v>
                </c:pt>
                <c:pt idx="12">
                  <c:v>23.534600000000001</c:v>
                </c:pt>
                <c:pt idx="13">
                  <c:v>23.534600000000001</c:v>
                </c:pt>
                <c:pt idx="14">
                  <c:v>23.069299999999998</c:v>
                </c:pt>
                <c:pt idx="15">
                  <c:v>22.6816</c:v>
                </c:pt>
                <c:pt idx="16">
                  <c:v>22.797899999999998</c:v>
                </c:pt>
                <c:pt idx="17">
                  <c:v>22.4878</c:v>
                </c:pt>
                <c:pt idx="18">
                  <c:v>21.3246</c:v>
                </c:pt>
                <c:pt idx="19">
                  <c:v>21.557200000000002</c:v>
                </c:pt>
                <c:pt idx="20">
                  <c:v>20.898099999999999</c:v>
                </c:pt>
                <c:pt idx="21">
                  <c:v>22.449000000000002</c:v>
                </c:pt>
                <c:pt idx="22">
                  <c:v>22.449000000000002</c:v>
                </c:pt>
                <c:pt idx="23">
                  <c:v>18.557300000000001</c:v>
                </c:pt>
                <c:pt idx="24">
                  <c:v>18.5899</c:v>
                </c:pt>
                <c:pt idx="25">
                  <c:v>17.611499999999999</c:v>
                </c:pt>
                <c:pt idx="26">
                  <c:v>17.611499999999999</c:v>
                </c:pt>
                <c:pt idx="27">
                  <c:v>18.916</c:v>
                </c:pt>
                <c:pt idx="28">
                  <c:v>19.894500000000001</c:v>
                </c:pt>
                <c:pt idx="29">
                  <c:v>20.4163</c:v>
                </c:pt>
                <c:pt idx="30">
                  <c:v>19.6662</c:v>
                </c:pt>
                <c:pt idx="31">
                  <c:v>19.0791</c:v>
                </c:pt>
                <c:pt idx="32">
                  <c:v>19.209599999999998</c:v>
                </c:pt>
                <c:pt idx="33">
                  <c:v>19.405200000000001</c:v>
                </c:pt>
                <c:pt idx="34">
                  <c:v>20.024899999999999</c:v>
                </c:pt>
                <c:pt idx="35">
                  <c:v>20.220600000000001</c:v>
                </c:pt>
                <c:pt idx="36">
                  <c:v>19.568300000000001</c:v>
                </c:pt>
                <c:pt idx="37">
                  <c:v>19.535699999999999</c:v>
                </c:pt>
                <c:pt idx="38">
                  <c:v>19.177</c:v>
                </c:pt>
                <c:pt idx="39">
                  <c:v>19.535699999999999</c:v>
                </c:pt>
                <c:pt idx="40">
                  <c:v>19.2422</c:v>
                </c:pt>
                <c:pt idx="41">
                  <c:v>18.883400000000002</c:v>
                </c:pt>
                <c:pt idx="42">
                  <c:v>18.981300000000001</c:v>
                </c:pt>
                <c:pt idx="43">
                  <c:v>18.6877</c:v>
                </c:pt>
                <c:pt idx="44">
                  <c:v>18.557300000000001</c:v>
                </c:pt>
                <c:pt idx="45">
                  <c:v>17.9376</c:v>
                </c:pt>
                <c:pt idx="46">
                  <c:v>17.546299999999999</c:v>
                </c:pt>
                <c:pt idx="47">
                  <c:v>16.763500000000001</c:v>
                </c:pt>
                <c:pt idx="48">
                  <c:v>16.926600000000001</c:v>
                </c:pt>
                <c:pt idx="49">
                  <c:v>15.834</c:v>
                </c:pt>
                <c:pt idx="50">
                  <c:v>16.290600000000001</c:v>
                </c:pt>
                <c:pt idx="51">
                  <c:v>17.5136</c:v>
                </c:pt>
                <c:pt idx="52">
                  <c:v>17.285299999999999</c:v>
                </c:pt>
                <c:pt idx="53">
                  <c:v>17.611499999999999</c:v>
                </c:pt>
                <c:pt idx="54">
                  <c:v>17.7746</c:v>
                </c:pt>
                <c:pt idx="55">
                  <c:v>17.481000000000002</c:v>
                </c:pt>
                <c:pt idx="56">
                  <c:v>17.7746</c:v>
                </c:pt>
                <c:pt idx="57">
                  <c:v>18.198499999999999</c:v>
                </c:pt>
                <c:pt idx="58">
                  <c:v>17.970199999999998</c:v>
                </c:pt>
                <c:pt idx="59">
                  <c:v>18.329000000000001</c:v>
                </c:pt>
                <c:pt idx="60">
                  <c:v>18.2638</c:v>
                </c:pt>
                <c:pt idx="61">
                  <c:v>18.2638</c:v>
                </c:pt>
                <c:pt idx="62">
                  <c:v>17.611499999999999</c:v>
                </c:pt>
                <c:pt idx="63">
                  <c:v>17.318000000000001</c:v>
                </c:pt>
                <c:pt idx="64">
                  <c:v>17.644100000000002</c:v>
                </c:pt>
                <c:pt idx="65">
                  <c:v>17.448399999999999</c:v>
                </c:pt>
                <c:pt idx="66">
                  <c:v>17.644100000000002</c:v>
                </c:pt>
                <c:pt idx="67">
                  <c:v>17.089700000000001</c:v>
                </c:pt>
                <c:pt idx="68">
                  <c:v>17.448399999999999</c:v>
                </c:pt>
                <c:pt idx="69">
                  <c:v>17.7746</c:v>
                </c:pt>
                <c:pt idx="70">
                  <c:v>17.905000000000001</c:v>
                </c:pt>
                <c:pt idx="71">
                  <c:v>16.763500000000001</c:v>
                </c:pt>
                <c:pt idx="72">
                  <c:v>16.094899999999999</c:v>
                </c:pt>
                <c:pt idx="73">
                  <c:v>15.9808</c:v>
                </c:pt>
                <c:pt idx="74">
                  <c:v>16.094899999999999</c:v>
                </c:pt>
                <c:pt idx="75">
                  <c:v>16.306899999999999</c:v>
                </c:pt>
                <c:pt idx="76">
                  <c:v>16.4374</c:v>
                </c:pt>
                <c:pt idx="77">
                  <c:v>15.9808</c:v>
                </c:pt>
                <c:pt idx="78">
                  <c:v>15.7851</c:v>
                </c:pt>
                <c:pt idx="79">
                  <c:v>15.605700000000001</c:v>
                </c:pt>
                <c:pt idx="80">
                  <c:v>15.0024</c:v>
                </c:pt>
                <c:pt idx="81">
                  <c:v>14.023999999999999</c:v>
                </c:pt>
                <c:pt idx="82">
                  <c:v>14.105499999999999</c:v>
                </c:pt>
                <c:pt idx="83">
                  <c:v>13.7957</c:v>
                </c:pt>
                <c:pt idx="84">
                  <c:v>13.6326</c:v>
                </c:pt>
                <c:pt idx="85">
                  <c:v>13.567399999999999</c:v>
                </c:pt>
                <c:pt idx="86">
                  <c:v>11.894600000000001</c:v>
                </c:pt>
                <c:pt idx="87">
                  <c:v>12.4246</c:v>
                </c:pt>
                <c:pt idx="88">
                  <c:v>12.5129</c:v>
                </c:pt>
                <c:pt idx="89">
                  <c:v>12.6012</c:v>
                </c:pt>
                <c:pt idx="90">
                  <c:v>12.071199999999999</c:v>
                </c:pt>
                <c:pt idx="91">
                  <c:v>12.2773</c:v>
                </c:pt>
                <c:pt idx="92">
                  <c:v>12.071199999999999</c:v>
                </c:pt>
                <c:pt idx="93">
                  <c:v>12.071199999999999</c:v>
                </c:pt>
                <c:pt idx="94">
                  <c:v>11.835699999999999</c:v>
                </c:pt>
                <c:pt idx="95">
                  <c:v>11.4824</c:v>
                </c:pt>
                <c:pt idx="96">
                  <c:v>11.6296</c:v>
                </c:pt>
                <c:pt idx="97">
                  <c:v>11.747400000000001</c:v>
                </c:pt>
                <c:pt idx="98">
                  <c:v>11.982900000000001</c:v>
                </c:pt>
                <c:pt idx="99">
                  <c:v>12.071199999999999</c:v>
                </c:pt>
                <c:pt idx="100">
                  <c:v>11.291</c:v>
                </c:pt>
                <c:pt idx="101">
                  <c:v>10.923</c:v>
                </c:pt>
                <c:pt idx="102">
                  <c:v>11.188000000000001</c:v>
                </c:pt>
                <c:pt idx="103">
                  <c:v>10.9819</c:v>
                </c:pt>
                <c:pt idx="104">
                  <c:v>11.0261</c:v>
                </c:pt>
                <c:pt idx="105">
                  <c:v>10.996600000000001</c:v>
                </c:pt>
                <c:pt idx="106">
                  <c:v>10.657999999999999</c:v>
                </c:pt>
                <c:pt idx="107">
                  <c:v>10.422499999999999</c:v>
                </c:pt>
                <c:pt idx="108">
                  <c:v>10.4961</c:v>
                </c:pt>
                <c:pt idx="109">
                  <c:v>10.0397</c:v>
                </c:pt>
                <c:pt idx="110">
                  <c:v>9.7453000000000003</c:v>
                </c:pt>
                <c:pt idx="111">
                  <c:v>9.6716999999999995</c:v>
                </c:pt>
                <c:pt idx="112">
                  <c:v>9.8041999999999998</c:v>
                </c:pt>
                <c:pt idx="113">
                  <c:v>9.9513999999999996</c:v>
                </c:pt>
                <c:pt idx="114">
                  <c:v>10.054500000000001</c:v>
                </c:pt>
                <c:pt idx="115">
                  <c:v>9.7306000000000008</c:v>
                </c:pt>
                <c:pt idx="116">
                  <c:v>9.7158999999999995</c:v>
                </c:pt>
                <c:pt idx="117">
                  <c:v>9.6864000000000008</c:v>
                </c:pt>
                <c:pt idx="118">
                  <c:v>9.6864000000000008</c:v>
                </c:pt>
                <c:pt idx="119">
                  <c:v>9.8630999999999993</c:v>
                </c:pt>
                <c:pt idx="120">
                  <c:v>10.025</c:v>
                </c:pt>
                <c:pt idx="121">
                  <c:v>10.098599999999999</c:v>
                </c:pt>
                <c:pt idx="122">
                  <c:v>10.157500000000001</c:v>
                </c:pt>
                <c:pt idx="123">
                  <c:v>9.8188999999999993</c:v>
                </c:pt>
                <c:pt idx="124">
                  <c:v>9.6864000000000008</c:v>
                </c:pt>
                <c:pt idx="125">
                  <c:v>9.8778000000000006</c:v>
                </c:pt>
                <c:pt idx="126">
                  <c:v>9.8778000000000006</c:v>
                </c:pt>
                <c:pt idx="127">
                  <c:v>10.098599999999999</c:v>
                </c:pt>
                <c:pt idx="128">
                  <c:v>9.8188999999999993</c:v>
                </c:pt>
                <c:pt idx="129">
                  <c:v>9.8925000000000001</c:v>
                </c:pt>
                <c:pt idx="130">
                  <c:v>9.6864000000000008</c:v>
                </c:pt>
                <c:pt idx="131">
                  <c:v>9.9809000000000001</c:v>
                </c:pt>
                <c:pt idx="132">
                  <c:v>10.142799999999999</c:v>
                </c:pt>
                <c:pt idx="133">
                  <c:v>10.2753</c:v>
                </c:pt>
                <c:pt idx="134">
                  <c:v>10.5108</c:v>
                </c:pt>
                <c:pt idx="135">
                  <c:v>10.025</c:v>
                </c:pt>
                <c:pt idx="136">
                  <c:v>9.6128</c:v>
                </c:pt>
                <c:pt idx="137">
                  <c:v>9.657</c:v>
                </c:pt>
                <c:pt idx="138">
                  <c:v>10.025</c:v>
                </c:pt>
                <c:pt idx="139">
                  <c:v>9.9513999999999996</c:v>
                </c:pt>
                <c:pt idx="140">
                  <c:v>10.0692</c:v>
                </c:pt>
                <c:pt idx="141">
                  <c:v>9.8483999999999998</c:v>
                </c:pt>
                <c:pt idx="142">
                  <c:v>9.2154000000000007</c:v>
                </c:pt>
                <c:pt idx="143">
                  <c:v>9.3036999999999992</c:v>
                </c:pt>
                <c:pt idx="144">
                  <c:v>9.6275999999999993</c:v>
                </c:pt>
                <c:pt idx="145">
                  <c:v>9.3919999999999995</c:v>
                </c:pt>
                <c:pt idx="146">
                  <c:v>8.8032000000000004</c:v>
                </c:pt>
                <c:pt idx="147">
                  <c:v>8.4498999999999995</c:v>
                </c:pt>
                <c:pt idx="148">
                  <c:v>6.9147999999999996</c:v>
                </c:pt>
                <c:pt idx="149">
                  <c:v>7.4348999999999998</c:v>
                </c:pt>
                <c:pt idx="150">
                  <c:v>7.6830999999999996</c:v>
                </c:pt>
                <c:pt idx="151">
                  <c:v>7.7304000000000004</c:v>
                </c:pt>
                <c:pt idx="152">
                  <c:v>7.8250000000000002</c:v>
                </c:pt>
                <c:pt idx="153">
                  <c:v>7.8722000000000003</c:v>
                </c:pt>
                <c:pt idx="154">
                  <c:v>7.7304000000000004</c:v>
                </c:pt>
                <c:pt idx="155">
                  <c:v>8.0376999999999992</c:v>
                </c:pt>
                <c:pt idx="156">
                  <c:v>8.0376999999999992</c:v>
                </c:pt>
                <c:pt idx="157">
                  <c:v>8.2622999999999998</c:v>
                </c:pt>
                <c:pt idx="158">
                  <c:v>8.2032000000000007</c:v>
                </c:pt>
                <c:pt idx="159">
                  <c:v>8.4160000000000004</c:v>
                </c:pt>
                <c:pt idx="160">
                  <c:v>8.1913999999999998</c:v>
                </c:pt>
                <c:pt idx="161">
                  <c:v>8.5342000000000002</c:v>
                </c:pt>
                <c:pt idx="162">
                  <c:v>8.7469000000000001</c:v>
                </c:pt>
                <c:pt idx="163">
                  <c:v>8.8059999999999992</c:v>
                </c:pt>
                <c:pt idx="164">
                  <c:v>8.2386999999999997</c:v>
                </c:pt>
                <c:pt idx="165">
                  <c:v>8.2978000000000005</c:v>
                </c:pt>
                <c:pt idx="166">
                  <c:v>8.5105000000000004</c:v>
                </c:pt>
                <c:pt idx="167">
                  <c:v>8.6996000000000002</c:v>
                </c:pt>
                <c:pt idx="168">
                  <c:v>8.7942</c:v>
                </c:pt>
                <c:pt idx="169">
                  <c:v>8.9242000000000008</c:v>
                </c:pt>
                <c:pt idx="170">
                  <c:v>8.6287000000000003</c:v>
                </c:pt>
                <c:pt idx="171">
                  <c:v>8.8651</c:v>
                </c:pt>
                <c:pt idx="172">
                  <c:v>9.4207000000000001</c:v>
                </c:pt>
                <c:pt idx="173">
                  <c:v>9.6689000000000007</c:v>
                </c:pt>
                <c:pt idx="174">
                  <c:v>9.8107000000000006</c:v>
                </c:pt>
                <c:pt idx="175">
                  <c:v>9.8817000000000004</c:v>
                </c:pt>
                <c:pt idx="176">
                  <c:v>9.6453000000000007</c:v>
                </c:pt>
                <c:pt idx="177">
                  <c:v>9.4324999999999992</c:v>
                </c:pt>
                <c:pt idx="178">
                  <c:v>9.6097999999999999</c:v>
                </c:pt>
                <c:pt idx="179">
                  <c:v>9.3970000000000002</c:v>
                </c:pt>
                <c:pt idx="180">
                  <c:v>9.2669999999999995</c:v>
                </c:pt>
                <c:pt idx="181">
                  <c:v>9.2196999999999996</c:v>
                </c:pt>
                <c:pt idx="182">
                  <c:v>9.3851999999999993</c:v>
                </c:pt>
                <c:pt idx="183">
                  <c:v>9.6570999999999998</c:v>
                </c:pt>
                <c:pt idx="184">
                  <c:v>9.8580000000000005</c:v>
                </c:pt>
                <c:pt idx="185">
                  <c:v>9.6925000000000008</c:v>
                </c:pt>
                <c:pt idx="186">
                  <c:v>9.7043999999999997</c:v>
                </c:pt>
                <c:pt idx="187">
                  <c:v>9.7635000000000005</c:v>
                </c:pt>
                <c:pt idx="188">
                  <c:v>9.5742999999999991</c:v>
                </c:pt>
                <c:pt idx="189">
                  <c:v>9.7635000000000005</c:v>
                </c:pt>
                <c:pt idx="190">
                  <c:v>10.4018</c:v>
                </c:pt>
                <c:pt idx="191">
                  <c:v>10.1181</c:v>
                </c:pt>
                <c:pt idx="192">
                  <c:v>10.3072</c:v>
                </c:pt>
                <c:pt idx="193">
                  <c:v>10.2126</c:v>
                </c:pt>
                <c:pt idx="194">
                  <c:v>10.058999999999999</c:v>
                </c:pt>
                <c:pt idx="195">
                  <c:v>9.4088999999999992</c:v>
                </c:pt>
                <c:pt idx="196">
                  <c:v>9.1724999999999994</c:v>
                </c:pt>
                <c:pt idx="197">
                  <c:v>9.3615999999999993</c:v>
                </c:pt>
                <c:pt idx="198">
                  <c:v>9.3615999999999993</c:v>
                </c:pt>
                <c:pt idx="199">
                  <c:v>9.3615999999999993</c:v>
                </c:pt>
                <c:pt idx="200">
                  <c:v>9.3970000000000002</c:v>
                </c:pt>
                <c:pt idx="201">
                  <c:v>9.1251999999999995</c:v>
                </c:pt>
                <c:pt idx="202">
                  <c:v>9.0778999999999996</c:v>
                </c:pt>
                <c:pt idx="203">
                  <c:v>9.3498000000000001</c:v>
                </c:pt>
                <c:pt idx="204">
                  <c:v>9.4797999999999991</c:v>
                </c:pt>
                <c:pt idx="205">
                  <c:v>9.4560999999999993</c:v>
                </c:pt>
                <c:pt idx="206">
                  <c:v>8.9242000000000008</c:v>
                </c:pt>
                <c:pt idx="207">
                  <c:v>7.1547999999999998</c:v>
                </c:pt>
                <c:pt idx="208">
                  <c:v>7.2394999999999996</c:v>
                </c:pt>
                <c:pt idx="209">
                  <c:v>7.2678000000000003</c:v>
                </c:pt>
                <c:pt idx="210">
                  <c:v>6.9195000000000002</c:v>
                </c:pt>
                <c:pt idx="211">
                  <c:v>7.4184000000000001</c:v>
                </c:pt>
                <c:pt idx="212">
                  <c:v>7.5125999999999999</c:v>
                </c:pt>
                <c:pt idx="213">
                  <c:v>7.4561000000000002</c:v>
                </c:pt>
                <c:pt idx="214">
                  <c:v>7.7196999999999996</c:v>
                </c:pt>
                <c:pt idx="215">
                  <c:v>8.0774000000000008</c:v>
                </c:pt>
                <c:pt idx="216">
                  <c:v>8.4540000000000006</c:v>
                </c:pt>
                <c:pt idx="217">
                  <c:v>8.3222000000000005</c:v>
                </c:pt>
                <c:pt idx="218">
                  <c:v>8.1904000000000003</c:v>
                </c:pt>
                <c:pt idx="219">
                  <c:v>8.2844999999999995</c:v>
                </c:pt>
                <c:pt idx="220">
                  <c:v>7.8703000000000003</c:v>
                </c:pt>
                <c:pt idx="221">
                  <c:v>8.1904000000000003</c:v>
                </c:pt>
                <c:pt idx="222">
                  <c:v>8.2562999999999995</c:v>
                </c:pt>
                <c:pt idx="223">
                  <c:v>7.7196999999999996</c:v>
                </c:pt>
                <c:pt idx="224">
                  <c:v>8.2844999999999995</c:v>
                </c:pt>
                <c:pt idx="225">
                  <c:v>8.9059000000000008</c:v>
                </c:pt>
                <c:pt idx="226">
                  <c:v>8.8493999999999993</c:v>
                </c:pt>
                <c:pt idx="227">
                  <c:v>8.5763999999999996</c:v>
                </c:pt>
                <c:pt idx="228">
                  <c:v>8.3315999999999999</c:v>
                </c:pt>
                <c:pt idx="229">
                  <c:v>7.7949999999999999</c:v>
                </c:pt>
                <c:pt idx="230">
                  <c:v>7.2866</c:v>
                </c:pt>
                <c:pt idx="231">
                  <c:v>6.8159000000000001</c:v>
                </c:pt>
                <c:pt idx="232">
                  <c:v>6.6087999999999996</c:v>
                </c:pt>
                <c:pt idx="233">
                  <c:v>7.0983000000000001</c:v>
                </c:pt>
                <c:pt idx="234">
                  <c:v>7.0983000000000001</c:v>
                </c:pt>
                <c:pt idx="235">
                  <c:v>7.5313999999999997</c:v>
                </c:pt>
                <c:pt idx="236">
                  <c:v>8.0961999999999996</c:v>
                </c:pt>
                <c:pt idx="237">
                  <c:v>7.6631999999999998</c:v>
                </c:pt>
                <c:pt idx="238">
                  <c:v>7.3996000000000004</c:v>
                </c:pt>
                <c:pt idx="239">
                  <c:v>6.9195000000000002</c:v>
                </c:pt>
                <c:pt idx="240">
                  <c:v>7.4371999999999998</c:v>
                </c:pt>
                <c:pt idx="241">
                  <c:v>7.9927000000000001</c:v>
                </c:pt>
                <c:pt idx="242">
                  <c:v>8.5858000000000008</c:v>
                </c:pt>
                <c:pt idx="243">
                  <c:v>9.2258999999999993</c:v>
                </c:pt>
                <c:pt idx="244">
                  <c:v>9.8660999999999994</c:v>
                </c:pt>
                <c:pt idx="245">
                  <c:v>9.6402000000000001</c:v>
                </c:pt>
                <c:pt idx="246">
                  <c:v>10.355600000000001</c:v>
                </c:pt>
                <c:pt idx="247">
                  <c:v>11.127599999999999</c:v>
                </c:pt>
                <c:pt idx="248">
                  <c:v>11.1088</c:v>
                </c:pt>
                <c:pt idx="249">
                  <c:v>11.1088</c:v>
                </c:pt>
                <c:pt idx="250">
                  <c:v>11.4854</c:v>
                </c:pt>
                <c:pt idx="251">
                  <c:v>11.6736</c:v>
                </c:pt>
                <c:pt idx="252">
                  <c:v>12.0502</c:v>
                </c:pt>
                <c:pt idx="253">
                  <c:v>11.447699999999999</c:v>
                </c:pt>
                <c:pt idx="254">
                  <c:v>11.3912</c:v>
                </c:pt>
                <c:pt idx="255">
                  <c:v>10.7887</c:v>
                </c:pt>
                <c:pt idx="256">
                  <c:v>11.5983</c:v>
                </c:pt>
                <c:pt idx="257">
                  <c:v>12.464399999999999</c:v>
                </c:pt>
                <c:pt idx="258">
                  <c:v>12.6716</c:v>
                </c:pt>
                <c:pt idx="259">
                  <c:v>12.520899999999999</c:v>
                </c:pt>
                <c:pt idx="260">
                  <c:v>12.954000000000001</c:v>
                </c:pt>
                <c:pt idx="261">
                  <c:v>12.954000000000001</c:v>
                </c:pt>
                <c:pt idx="262">
                  <c:v>12.1067</c:v>
                </c:pt>
                <c:pt idx="263">
                  <c:v>12.0502</c:v>
                </c:pt>
                <c:pt idx="264">
                  <c:v>11.3536</c:v>
                </c:pt>
                <c:pt idx="265">
                  <c:v>11.3536</c:v>
                </c:pt>
                <c:pt idx="266">
                  <c:v>10.619199999999999</c:v>
                </c:pt>
                <c:pt idx="267">
                  <c:v>11.0335</c:v>
                </c:pt>
                <c:pt idx="268">
                  <c:v>11.4854</c:v>
                </c:pt>
                <c:pt idx="269">
                  <c:v>10.750999999999999</c:v>
                </c:pt>
                <c:pt idx="270">
                  <c:v>11.2782</c:v>
                </c:pt>
                <c:pt idx="271">
                  <c:v>12.125500000000001</c:v>
                </c:pt>
                <c:pt idx="272">
                  <c:v>13.018700000000001</c:v>
                </c:pt>
                <c:pt idx="273">
                  <c:v>12.792899999999999</c:v>
                </c:pt>
                <c:pt idx="274">
                  <c:v>13.4499</c:v>
                </c:pt>
                <c:pt idx="275">
                  <c:v>13.9633</c:v>
                </c:pt>
                <c:pt idx="276">
                  <c:v>14.9079</c:v>
                </c:pt>
                <c:pt idx="277">
                  <c:v>15.154299999999999</c:v>
                </c:pt>
                <c:pt idx="278">
                  <c:v>14.846299999999999</c:v>
                </c:pt>
                <c:pt idx="279">
                  <c:v>14.8873</c:v>
                </c:pt>
                <c:pt idx="280">
                  <c:v>14.415100000000001</c:v>
                </c:pt>
                <c:pt idx="281">
                  <c:v>15.482799999999999</c:v>
                </c:pt>
                <c:pt idx="282">
                  <c:v>15.9346</c:v>
                </c:pt>
                <c:pt idx="283">
                  <c:v>15.9757</c:v>
                </c:pt>
                <c:pt idx="284">
                  <c:v>15.811400000000001</c:v>
                </c:pt>
                <c:pt idx="285">
                  <c:v>15.9551</c:v>
                </c:pt>
                <c:pt idx="286">
                  <c:v>15.092700000000001</c:v>
                </c:pt>
                <c:pt idx="287">
                  <c:v>14.743600000000001</c:v>
                </c:pt>
                <c:pt idx="288">
                  <c:v>14.394500000000001</c:v>
                </c:pt>
                <c:pt idx="289">
                  <c:v>15.195399999999999</c:v>
                </c:pt>
                <c:pt idx="290">
                  <c:v>14.846299999999999</c:v>
                </c:pt>
                <c:pt idx="291">
                  <c:v>14.723100000000001</c:v>
                </c:pt>
                <c:pt idx="292">
                  <c:v>14.5793</c:v>
                </c:pt>
                <c:pt idx="293">
                  <c:v>14.5793</c:v>
                </c:pt>
                <c:pt idx="294">
                  <c:v>14.8873</c:v>
                </c:pt>
                <c:pt idx="295">
                  <c:v>14.9489</c:v>
                </c:pt>
                <c:pt idx="296">
                  <c:v>15.0311</c:v>
                </c:pt>
                <c:pt idx="297">
                  <c:v>14.825699999999999</c:v>
                </c:pt>
                <c:pt idx="298">
                  <c:v>14.825699999999999</c:v>
                </c:pt>
                <c:pt idx="299">
                  <c:v>14.456099999999999</c:v>
                </c:pt>
                <c:pt idx="300">
                  <c:v>14.3535</c:v>
                </c:pt>
                <c:pt idx="301">
                  <c:v>14.682</c:v>
                </c:pt>
                <c:pt idx="302">
                  <c:v>14.6409</c:v>
                </c:pt>
                <c:pt idx="303">
                  <c:v>14.374000000000001</c:v>
                </c:pt>
                <c:pt idx="304">
                  <c:v>13.4499</c:v>
                </c:pt>
                <c:pt idx="305">
                  <c:v>12.9366</c:v>
                </c:pt>
                <c:pt idx="306">
                  <c:v>12.8955</c:v>
                </c:pt>
                <c:pt idx="307">
                  <c:v>13.100899999999999</c:v>
                </c:pt>
                <c:pt idx="308">
                  <c:v>13.326700000000001</c:v>
                </c:pt>
                <c:pt idx="309">
                  <c:v>12.9161</c:v>
                </c:pt>
                <c:pt idx="310">
                  <c:v>12.9161</c:v>
                </c:pt>
                <c:pt idx="311">
                  <c:v>12.5054</c:v>
                </c:pt>
                <c:pt idx="312">
                  <c:v>12.382199999999999</c:v>
                </c:pt>
                <c:pt idx="313">
                  <c:v>12.5054</c:v>
                </c:pt>
                <c:pt idx="314">
                  <c:v>12.033099999999999</c:v>
                </c:pt>
                <c:pt idx="315">
                  <c:v>12.4232</c:v>
                </c:pt>
                <c:pt idx="316">
                  <c:v>12.402699999999999</c:v>
                </c:pt>
                <c:pt idx="317">
                  <c:v>12.4643</c:v>
                </c:pt>
                <c:pt idx="318">
                  <c:v>12.1152</c:v>
                </c:pt>
                <c:pt idx="319">
                  <c:v>12.5259</c:v>
                </c:pt>
                <c:pt idx="320">
                  <c:v>12.8339</c:v>
                </c:pt>
                <c:pt idx="321">
                  <c:v>12.1974</c:v>
                </c:pt>
                <c:pt idx="322">
                  <c:v>11.4171</c:v>
                </c:pt>
                <c:pt idx="323">
                  <c:v>11.293799999999999</c:v>
                </c:pt>
                <c:pt idx="324">
                  <c:v>10.7805</c:v>
                </c:pt>
                <c:pt idx="325">
                  <c:v>10.965299999999999</c:v>
                </c:pt>
                <c:pt idx="326">
                  <c:v>11.2117</c:v>
                </c:pt>
                <c:pt idx="327">
                  <c:v>11.334899999999999</c:v>
                </c:pt>
                <c:pt idx="328">
                  <c:v>10.903700000000001</c:v>
                </c:pt>
                <c:pt idx="329">
                  <c:v>11.704499999999999</c:v>
                </c:pt>
                <c:pt idx="330">
                  <c:v>11.4992</c:v>
                </c:pt>
                <c:pt idx="331">
                  <c:v>11.026899999999999</c:v>
                </c:pt>
                <c:pt idx="332">
                  <c:v>11.8483</c:v>
                </c:pt>
                <c:pt idx="333">
                  <c:v>12.731199999999999</c:v>
                </c:pt>
                <c:pt idx="334">
                  <c:v>13.039300000000001</c:v>
                </c:pt>
                <c:pt idx="335">
                  <c:v>13.2332</c:v>
                </c:pt>
                <c:pt idx="336">
                  <c:v>13.5068</c:v>
                </c:pt>
                <c:pt idx="337">
                  <c:v>14.053599999999999</c:v>
                </c:pt>
                <c:pt idx="338">
                  <c:v>14.1699</c:v>
                </c:pt>
                <c:pt idx="339">
                  <c:v>13.9023</c:v>
                </c:pt>
                <c:pt idx="340">
                  <c:v>13.7278</c:v>
                </c:pt>
                <c:pt idx="341">
                  <c:v>12.9833</c:v>
                </c:pt>
                <c:pt idx="342">
                  <c:v>13.9605</c:v>
                </c:pt>
                <c:pt idx="343">
                  <c:v>14.193199999999999</c:v>
                </c:pt>
                <c:pt idx="344">
                  <c:v>14.6585</c:v>
                </c:pt>
                <c:pt idx="345">
                  <c:v>14.8912</c:v>
                </c:pt>
                <c:pt idx="346">
                  <c:v>14.4026</c:v>
                </c:pt>
                <c:pt idx="347">
                  <c:v>14.065200000000001</c:v>
                </c:pt>
                <c:pt idx="348">
                  <c:v>14.507300000000001</c:v>
                </c:pt>
                <c:pt idx="349">
                  <c:v>15.5892</c:v>
                </c:pt>
                <c:pt idx="350">
                  <c:v>16.194199999999999</c:v>
                </c:pt>
                <c:pt idx="351">
                  <c:v>16.182600000000001</c:v>
                </c:pt>
                <c:pt idx="352">
                  <c:v>15.123900000000001</c:v>
                </c:pt>
                <c:pt idx="353">
                  <c:v>15.123900000000001</c:v>
                </c:pt>
                <c:pt idx="354">
                  <c:v>14.984299999999999</c:v>
                </c:pt>
                <c:pt idx="355">
                  <c:v>15.2286</c:v>
                </c:pt>
                <c:pt idx="356">
                  <c:v>14.9377</c:v>
                </c:pt>
                <c:pt idx="357">
                  <c:v>14.8912</c:v>
                </c:pt>
                <c:pt idx="358">
                  <c:v>14.774900000000001</c:v>
                </c:pt>
                <c:pt idx="359">
                  <c:v>14.774900000000001</c:v>
                </c:pt>
                <c:pt idx="360">
                  <c:v>14.1816</c:v>
                </c:pt>
                <c:pt idx="361">
                  <c:v>13.937200000000001</c:v>
                </c:pt>
                <c:pt idx="362">
                  <c:v>13.0298</c:v>
                </c:pt>
                <c:pt idx="363">
                  <c:v>12.5877</c:v>
                </c:pt>
                <c:pt idx="364">
                  <c:v>12.564500000000001</c:v>
                </c:pt>
                <c:pt idx="365">
                  <c:v>12.436500000000001</c:v>
                </c:pt>
                <c:pt idx="366">
                  <c:v>12.4016</c:v>
                </c:pt>
                <c:pt idx="367">
                  <c:v>11.5989</c:v>
                </c:pt>
                <c:pt idx="368">
                  <c:v>10.842700000000001</c:v>
                </c:pt>
                <c:pt idx="369">
                  <c:v>11.657</c:v>
                </c:pt>
                <c:pt idx="370">
                  <c:v>12.5296</c:v>
                </c:pt>
                <c:pt idx="371">
                  <c:v>13.4719</c:v>
                </c:pt>
                <c:pt idx="372">
                  <c:v>13.611499999999999</c:v>
                </c:pt>
                <c:pt idx="373">
                  <c:v>13.483499999999999</c:v>
                </c:pt>
                <c:pt idx="374">
                  <c:v>14.495699999999999</c:v>
                </c:pt>
                <c:pt idx="375">
                  <c:v>15.5776</c:v>
                </c:pt>
                <c:pt idx="376">
                  <c:v>15.8917</c:v>
                </c:pt>
                <c:pt idx="377">
                  <c:v>16.1709</c:v>
                </c:pt>
                <c:pt idx="378">
                  <c:v>15.7056</c:v>
                </c:pt>
                <c:pt idx="379">
                  <c:v>15.600899999999999</c:v>
                </c:pt>
                <c:pt idx="380">
                  <c:v>15.123900000000001</c:v>
                </c:pt>
                <c:pt idx="381">
                  <c:v>15.3566</c:v>
                </c:pt>
                <c:pt idx="382">
                  <c:v>16.508299999999998</c:v>
                </c:pt>
                <c:pt idx="383">
                  <c:v>17.741499999999998</c:v>
                </c:pt>
                <c:pt idx="384">
                  <c:v>17.218</c:v>
                </c:pt>
                <c:pt idx="385">
                  <c:v>18.3813</c:v>
                </c:pt>
                <c:pt idx="386">
                  <c:v>18.090499999999999</c:v>
                </c:pt>
                <c:pt idx="387">
                  <c:v>16.915500000000002</c:v>
                </c:pt>
                <c:pt idx="388">
                  <c:v>16.834</c:v>
                </c:pt>
                <c:pt idx="389">
                  <c:v>16.031300000000002</c:v>
                </c:pt>
                <c:pt idx="390">
                  <c:v>15.4496</c:v>
                </c:pt>
                <c:pt idx="391">
                  <c:v>15.9964</c:v>
                </c:pt>
                <c:pt idx="392">
                  <c:v>15.961499999999999</c:v>
                </c:pt>
                <c:pt idx="393">
                  <c:v>17.159800000000001</c:v>
                </c:pt>
                <c:pt idx="394">
                  <c:v>17.055099999999999</c:v>
                </c:pt>
                <c:pt idx="395">
                  <c:v>17.055099999999999</c:v>
                </c:pt>
                <c:pt idx="396">
                  <c:v>17.148199999999999</c:v>
                </c:pt>
                <c:pt idx="397">
                  <c:v>16.5199</c:v>
                </c:pt>
                <c:pt idx="398">
                  <c:v>19.598700000000001</c:v>
                </c:pt>
                <c:pt idx="399">
                  <c:v>19.035699999999999</c:v>
                </c:pt>
                <c:pt idx="400">
                  <c:v>19.84</c:v>
                </c:pt>
                <c:pt idx="401">
                  <c:v>19.008900000000001</c:v>
                </c:pt>
                <c:pt idx="402">
                  <c:v>17.775600000000001</c:v>
                </c:pt>
                <c:pt idx="403">
                  <c:v>17.654900000000001</c:v>
                </c:pt>
                <c:pt idx="404">
                  <c:v>16.502099999999999</c:v>
                </c:pt>
                <c:pt idx="405">
                  <c:v>16.957799999999999</c:v>
                </c:pt>
                <c:pt idx="406">
                  <c:v>16.703099999999999</c:v>
                </c:pt>
                <c:pt idx="407">
                  <c:v>16.756799999999998</c:v>
                </c:pt>
                <c:pt idx="408">
                  <c:v>15.6709</c:v>
                </c:pt>
                <c:pt idx="409">
                  <c:v>15.081099999999999</c:v>
                </c:pt>
                <c:pt idx="410">
                  <c:v>15.308999999999999</c:v>
                </c:pt>
                <c:pt idx="411">
                  <c:v>15.952400000000001</c:v>
                </c:pt>
                <c:pt idx="412">
                  <c:v>16.1401</c:v>
                </c:pt>
                <c:pt idx="413">
                  <c:v>15.8184</c:v>
                </c:pt>
                <c:pt idx="414">
                  <c:v>15.9122</c:v>
                </c:pt>
                <c:pt idx="415">
                  <c:v>15.992699999999999</c:v>
                </c:pt>
                <c:pt idx="416">
                  <c:v>16.2608</c:v>
                </c:pt>
                <c:pt idx="417">
                  <c:v>16.555700000000002</c:v>
                </c:pt>
                <c:pt idx="418">
                  <c:v>16.609300000000001</c:v>
                </c:pt>
                <c:pt idx="419">
                  <c:v>17.024899999999999</c:v>
                </c:pt>
                <c:pt idx="420">
                  <c:v>16.475300000000001</c:v>
                </c:pt>
                <c:pt idx="421">
                  <c:v>16.207100000000001</c:v>
                </c:pt>
                <c:pt idx="422">
                  <c:v>15.148099999999999</c:v>
                </c:pt>
                <c:pt idx="423">
                  <c:v>14.9604</c:v>
                </c:pt>
                <c:pt idx="424">
                  <c:v>15.0007</c:v>
                </c:pt>
                <c:pt idx="425">
                  <c:v>15.2151</c:v>
                </c:pt>
                <c:pt idx="426">
                  <c:v>15.2822</c:v>
                </c:pt>
                <c:pt idx="427">
                  <c:v>15.1615</c:v>
                </c:pt>
                <c:pt idx="428">
                  <c:v>15.4162</c:v>
                </c:pt>
                <c:pt idx="429">
                  <c:v>15.536899999999999</c:v>
                </c:pt>
                <c:pt idx="430">
                  <c:v>14.786199999999999</c:v>
                </c:pt>
                <c:pt idx="431">
                  <c:v>14.746</c:v>
                </c:pt>
                <c:pt idx="432">
                  <c:v>14.4778</c:v>
                </c:pt>
                <c:pt idx="433">
                  <c:v>14.746</c:v>
                </c:pt>
                <c:pt idx="434">
                  <c:v>14.678900000000001</c:v>
                </c:pt>
                <c:pt idx="435">
                  <c:v>14.8934</c:v>
                </c:pt>
                <c:pt idx="436">
                  <c:v>14.075699999999999</c:v>
                </c:pt>
                <c:pt idx="437">
                  <c:v>13.4054</c:v>
                </c:pt>
                <c:pt idx="438">
                  <c:v>13.619899999999999</c:v>
                </c:pt>
                <c:pt idx="439">
                  <c:v>12.735099999999999</c:v>
                </c:pt>
                <c:pt idx="440">
                  <c:v>11.904</c:v>
                </c:pt>
                <c:pt idx="441">
                  <c:v>12.7888</c:v>
                </c:pt>
                <c:pt idx="442">
                  <c:v>13.740500000000001</c:v>
                </c:pt>
                <c:pt idx="443">
                  <c:v>14.7728</c:v>
                </c:pt>
                <c:pt idx="444">
                  <c:v>14.946999999999999</c:v>
                </c:pt>
                <c:pt idx="445">
                  <c:v>15.764799999999999</c:v>
                </c:pt>
                <c:pt idx="446">
                  <c:v>16.488700000000001</c:v>
                </c:pt>
                <c:pt idx="447">
                  <c:v>16.300999999999998</c:v>
                </c:pt>
                <c:pt idx="448">
                  <c:v>16.220500000000001</c:v>
                </c:pt>
                <c:pt idx="449">
                  <c:v>16.099900000000002</c:v>
                </c:pt>
                <c:pt idx="450">
                  <c:v>16.3278</c:v>
                </c:pt>
                <c:pt idx="451">
                  <c:v>16.756799999999998</c:v>
                </c:pt>
                <c:pt idx="452">
                  <c:v>16.515499999999999</c:v>
                </c:pt>
                <c:pt idx="453">
                  <c:v>16.756799999999998</c:v>
                </c:pt>
                <c:pt idx="454">
                  <c:v>16.957799999999999</c:v>
                </c:pt>
                <c:pt idx="455">
                  <c:v>16.609300000000001</c:v>
                </c:pt>
                <c:pt idx="456">
                  <c:v>25.130600000000001</c:v>
                </c:pt>
                <c:pt idx="457">
                  <c:v>25.6769</c:v>
                </c:pt>
                <c:pt idx="458">
                  <c:v>26.101800000000001</c:v>
                </c:pt>
                <c:pt idx="459">
                  <c:v>26.2637</c:v>
                </c:pt>
                <c:pt idx="460">
                  <c:v>24.584199999999999</c:v>
                </c:pt>
                <c:pt idx="461">
                  <c:v>23.8963</c:v>
                </c:pt>
                <c:pt idx="462">
                  <c:v>24.4831</c:v>
                </c:pt>
                <c:pt idx="463">
                  <c:v>24.725899999999999</c:v>
                </c:pt>
                <c:pt idx="464">
                  <c:v>25.049600000000002</c:v>
                </c:pt>
                <c:pt idx="465">
                  <c:v>25.272200000000002</c:v>
                </c:pt>
                <c:pt idx="466">
                  <c:v>24.827100000000002</c:v>
                </c:pt>
                <c:pt idx="467">
                  <c:v>25.0092</c:v>
                </c:pt>
                <c:pt idx="468">
                  <c:v>25.029399999999999</c:v>
                </c:pt>
                <c:pt idx="469">
                  <c:v>25.697099999999999</c:v>
                </c:pt>
                <c:pt idx="470">
                  <c:v>26.101800000000001</c:v>
                </c:pt>
                <c:pt idx="471">
                  <c:v>26.385100000000001</c:v>
                </c:pt>
                <c:pt idx="472">
                  <c:v>25.515000000000001</c:v>
                </c:pt>
                <c:pt idx="473">
                  <c:v>26.142299999999999</c:v>
                </c:pt>
                <c:pt idx="474">
                  <c:v>24.4831</c:v>
                </c:pt>
                <c:pt idx="475">
                  <c:v>25.0092</c:v>
                </c:pt>
                <c:pt idx="476">
                  <c:v>25.8995</c:v>
                </c:pt>
                <c:pt idx="477">
                  <c:v>26.304099999999998</c:v>
                </c:pt>
                <c:pt idx="478">
                  <c:v>26.101800000000001</c:v>
                </c:pt>
                <c:pt idx="479">
                  <c:v>27.497900000000001</c:v>
                </c:pt>
                <c:pt idx="480">
                  <c:v>27.214700000000001</c:v>
                </c:pt>
                <c:pt idx="481">
                  <c:v>27.5991</c:v>
                </c:pt>
                <c:pt idx="482">
                  <c:v>27.781199999999998</c:v>
                </c:pt>
                <c:pt idx="483">
                  <c:v>27.214700000000001</c:v>
                </c:pt>
                <c:pt idx="484">
                  <c:v>28.327500000000001</c:v>
                </c:pt>
                <c:pt idx="485">
                  <c:v>27.5182</c:v>
                </c:pt>
                <c:pt idx="486">
                  <c:v>26.506499999999999</c:v>
                </c:pt>
                <c:pt idx="487">
                  <c:v>25.272200000000002</c:v>
                </c:pt>
                <c:pt idx="488">
                  <c:v>25.393599999999999</c:v>
                </c:pt>
                <c:pt idx="489">
                  <c:v>24.179600000000001</c:v>
                </c:pt>
                <c:pt idx="490">
                  <c:v>22.601299999999998</c:v>
                </c:pt>
                <c:pt idx="491">
                  <c:v>22.176400000000001</c:v>
                </c:pt>
                <c:pt idx="492">
                  <c:v>22.3383</c:v>
                </c:pt>
                <c:pt idx="493">
                  <c:v>22.661999999999999</c:v>
                </c:pt>
                <c:pt idx="494">
                  <c:v>22.661999999999999</c:v>
                </c:pt>
                <c:pt idx="495">
                  <c:v>23.026199999999999</c:v>
                </c:pt>
                <c:pt idx="496">
                  <c:v>22.459700000000002</c:v>
                </c:pt>
                <c:pt idx="497">
                  <c:v>22.257300000000001</c:v>
                </c:pt>
                <c:pt idx="498">
                  <c:v>22.702500000000001</c:v>
                </c:pt>
                <c:pt idx="499">
                  <c:v>22.965499999999999</c:v>
                </c:pt>
                <c:pt idx="500">
                  <c:v>22.965499999999999</c:v>
                </c:pt>
                <c:pt idx="501">
                  <c:v>23.268999999999998</c:v>
                </c:pt>
                <c:pt idx="502">
                  <c:v>23.552299999999999</c:v>
                </c:pt>
                <c:pt idx="503">
                  <c:v>22.7227</c:v>
                </c:pt>
                <c:pt idx="504">
                  <c:v>22.6418</c:v>
                </c:pt>
                <c:pt idx="505">
                  <c:v>22.581099999999999</c:v>
                </c:pt>
                <c:pt idx="506">
                  <c:v>22.844100000000001</c:v>
                </c:pt>
                <c:pt idx="507">
                  <c:v>22.823899999999998</c:v>
                </c:pt>
                <c:pt idx="508">
                  <c:v>23.147600000000001</c:v>
                </c:pt>
                <c:pt idx="509">
                  <c:v>22.7227</c:v>
                </c:pt>
                <c:pt idx="510">
                  <c:v>23.127400000000002</c:v>
                </c:pt>
                <c:pt idx="511">
                  <c:v>22.823899999999998</c:v>
                </c:pt>
                <c:pt idx="512">
                  <c:v>23.046500000000002</c:v>
                </c:pt>
                <c:pt idx="513">
                  <c:v>23.410699999999999</c:v>
                </c:pt>
                <c:pt idx="514">
                  <c:v>23.410699999999999</c:v>
                </c:pt>
                <c:pt idx="515">
                  <c:v>23.4511</c:v>
                </c:pt>
                <c:pt idx="516">
                  <c:v>23.6737</c:v>
                </c:pt>
                <c:pt idx="517">
                  <c:v>23.855799999999999</c:v>
                </c:pt>
                <c:pt idx="518">
                  <c:v>23.572500000000002</c:v>
                </c:pt>
                <c:pt idx="519">
                  <c:v>23.6737</c:v>
                </c:pt>
                <c:pt idx="520">
                  <c:v>24.2605</c:v>
                </c:pt>
                <c:pt idx="521">
                  <c:v>24.017700000000001</c:v>
                </c:pt>
                <c:pt idx="522">
                  <c:v>24.5961</c:v>
                </c:pt>
                <c:pt idx="523">
                  <c:v>25.204499999999999</c:v>
                </c:pt>
                <c:pt idx="524">
                  <c:v>24.3354</c:v>
                </c:pt>
                <c:pt idx="525">
                  <c:v>25.247900000000001</c:v>
                </c:pt>
                <c:pt idx="526">
                  <c:v>25.313099999999999</c:v>
                </c:pt>
                <c:pt idx="527">
                  <c:v>25.639099999999999</c:v>
                </c:pt>
                <c:pt idx="528">
                  <c:v>25.465199999999999</c:v>
                </c:pt>
                <c:pt idx="529">
                  <c:v>25.421800000000001</c:v>
                </c:pt>
                <c:pt idx="530">
                  <c:v>24.987200000000001</c:v>
                </c:pt>
                <c:pt idx="531">
                  <c:v>23.835599999999999</c:v>
                </c:pt>
                <c:pt idx="532">
                  <c:v>25.5304</c:v>
                </c:pt>
                <c:pt idx="533">
                  <c:v>25.3566</c:v>
                </c:pt>
                <c:pt idx="534">
                  <c:v>23.705300000000001</c:v>
                </c:pt>
                <c:pt idx="535">
                  <c:v>22.162600000000001</c:v>
                </c:pt>
                <c:pt idx="536">
                  <c:v>20.793700000000001</c:v>
                </c:pt>
                <c:pt idx="537">
                  <c:v>20.207100000000001</c:v>
                </c:pt>
                <c:pt idx="538">
                  <c:v>20.163599999999999</c:v>
                </c:pt>
                <c:pt idx="539">
                  <c:v>19.815899999999999</c:v>
                </c:pt>
                <c:pt idx="540">
                  <c:v>18.533999999999999</c:v>
                </c:pt>
                <c:pt idx="541">
                  <c:v>18.838200000000001</c:v>
                </c:pt>
                <c:pt idx="542">
                  <c:v>18.533999999999999</c:v>
                </c:pt>
                <c:pt idx="543">
                  <c:v>18.533999999999999</c:v>
                </c:pt>
                <c:pt idx="544">
                  <c:v>18.6861</c:v>
                </c:pt>
                <c:pt idx="545">
                  <c:v>18.468800000000002</c:v>
                </c:pt>
                <c:pt idx="546">
                  <c:v>18.8599</c:v>
                </c:pt>
                <c:pt idx="547">
                  <c:v>18.360199999999999</c:v>
                </c:pt>
                <c:pt idx="548">
                  <c:v>18.208100000000002</c:v>
                </c:pt>
                <c:pt idx="549">
                  <c:v>17.817</c:v>
                </c:pt>
                <c:pt idx="550">
                  <c:v>17.817</c:v>
                </c:pt>
                <c:pt idx="551">
                  <c:v>17.860399999999998</c:v>
                </c:pt>
                <c:pt idx="552">
                  <c:v>17.708300000000001</c:v>
                </c:pt>
                <c:pt idx="553">
                  <c:v>17.349799999999998</c:v>
                </c:pt>
                <c:pt idx="554">
                  <c:v>17.338999999999999</c:v>
                </c:pt>
                <c:pt idx="555">
                  <c:v>17.817</c:v>
                </c:pt>
                <c:pt idx="556">
                  <c:v>17.697500000000002</c:v>
                </c:pt>
                <c:pt idx="557">
                  <c:v>17.338999999999999</c:v>
                </c:pt>
                <c:pt idx="558">
                  <c:v>16.839200000000002</c:v>
                </c:pt>
                <c:pt idx="559">
                  <c:v>16.839200000000002</c:v>
                </c:pt>
                <c:pt idx="560">
                  <c:v>17.121700000000001</c:v>
                </c:pt>
                <c:pt idx="561">
                  <c:v>17.0565</c:v>
                </c:pt>
                <c:pt idx="562">
                  <c:v>16.241700000000002</c:v>
                </c:pt>
                <c:pt idx="563">
                  <c:v>16.165600000000001</c:v>
                </c:pt>
                <c:pt idx="564">
                  <c:v>15.9918</c:v>
                </c:pt>
                <c:pt idx="565">
                  <c:v>15.2639</c:v>
                </c:pt>
                <c:pt idx="566">
                  <c:v>15.8614</c:v>
                </c:pt>
                <c:pt idx="567">
                  <c:v>15.894</c:v>
                </c:pt>
                <c:pt idx="568">
                  <c:v>14.9923</c:v>
                </c:pt>
                <c:pt idx="569">
                  <c:v>15.361700000000001</c:v>
                </c:pt>
                <c:pt idx="570">
                  <c:v>14.622999999999999</c:v>
                </c:pt>
                <c:pt idx="571">
                  <c:v>13.6669</c:v>
                </c:pt>
                <c:pt idx="572">
                  <c:v>13.471399999999999</c:v>
                </c:pt>
                <c:pt idx="573">
                  <c:v>14.1449</c:v>
                </c:pt>
                <c:pt idx="574">
                  <c:v>14.3948</c:v>
                </c:pt>
                <c:pt idx="575">
                  <c:v>14.068899999999999</c:v>
                </c:pt>
                <c:pt idx="576">
                  <c:v>14.633800000000001</c:v>
                </c:pt>
                <c:pt idx="577">
                  <c:v>14.9923</c:v>
                </c:pt>
                <c:pt idx="578">
                  <c:v>15.741899999999999</c:v>
                </c:pt>
                <c:pt idx="579">
                  <c:v>15.5898</c:v>
                </c:pt>
                <c:pt idx="580">
                  <c:v>14.6121</c:v>
                </c:pt>
                <c:pt idx="581">
                  <c:v>13.851599999999999</c:v>
                </c:pt>
                <c:pt idx="582">
                  <c:v>14.883699999999999</c:v>
                </c:pt>
                <c:pt idx="583">
                  <c:v>14.329599999999999</c:v>
                </c:pt>
                <c:pt idx="584">
                  <c:v>14.1015</c:v>
                </c:pt>
                <c:pt idx="585">
                  <c:v>14.079800000000001</c:v>
                </c:pt>
                <c:pt idx="586">
                  <c:v>16.1251</c:v>
                </c:pt>
                <c:pt idx="587">
                  <c:v>16.164300000000001</c:v>
                </c:pt>
                <c:pt idx="588">
                  <c:v>16.3995</c:v>
                </c:pt>
                <c:pt idx="589">
                  <c:v>15.9291</c:v>
                </c:pt>
                <c:pt idx="590">
                  <c:v>15.6808</c:v>
                </c:pt>
                <c:pt idx="591">
                  <c:v>16.203499999999998</c:v>
                </c:pt>
                <c:pt idx="592">
                  <c:v>16.4649</c:v>
                </c:pt>
                <c:pt idx="593">
                  <c:v>16.843800000000002</c:v>
                </c:pt>
                <c:pt idx="594">
                  <c:v>16.5825</c:v>
                </c:pt>
                <c:pt idx="595">
                  <c:v>16.4649</c:v>
                </c:pt>
                <c:pt idx="596">
                  <c:v>16.334199999999999</c:v>
                </c:pt>
                <c:pt idx="597">
                  <c:v>16.321100000000001</c:v>
                </c:pt>
                <c:pt idx="598">
                  <c:v>16.334199999999999</c:v>
                </c:pt>
                <c:pt idx="599">
                  <c:v>15.6808</c:v>
                </c:pt>
                <c:pt idx="600">
                  <c:v>14.9099</c:v>
                </c:pt>
                <c:pt idx="601">
                  <c:v>14.870699999999999</c:v>
                </c:pt>
                <c:pt idx="602">
                  <c:v>15.275700000000001</c:v>
                </c:pt>
                <c:pt idx="603">
                  <c:v>15.5632</c:v>
                </c:pt>
                <c:pt idx="604">
                  <c:v>15.9422</c:v>
                </c:pt>
                <c:pt idx="605">
                  <c:v>16.138200000000001</c:v>
                </c:pt>
                <c:pt idx="606">
                  <c:v>16.334199999999999</c:v>
                </c:pt>
                <c:pt idx="607">
                  <c:v>15.811500000000001</c:v>
                </c:pt>
                <c:pt idx="608">
                  <c:v>16.595500000000001</c:v>
                </c:pt>
                <c:pt idx="609">
                  <c:v>17.3796</c:v>
                </c:pt>
                <c:pt idx="610">
                  <c:v>18.0199</c:v>
                </c:pt>
                <c:pt idx="611">
                  <c:v>18.163599999999999</c:v>
                </c:pt>
                <c:pt idx="612">
                  <c:v>18.150600000000001</c:v>
                </c:pt>
                <c:pt idx="613">
                  <c:v>17.457999999999998</c:v>
                </c:pt>
                <c:pt idx="614">
                  <c:v>18.098299999999998</c:v>
                </c:pt>
                <c:pt idx="615">
                  <c:v>17.706299999999999</c:v>
                </c:pt>
                <c:pt idx="616">
                  <c:v>17.523299999999999</c:v>
                </c:pt>
                <c:pt idx="617">
                  <c:v>16.8308</c:v>
                </c:pt>
                <c:pt idx="618">
                  <c:v>17.118200000000002</c:v>
                </c:pt>
                <c:pt idx="619">
                  <c:v>16.072900000000001</c:v>
                </c:pt>
                <c:pt idx="620">
                  <c:v>16.425699999999999</c:v>
                </c:pt>
                <c:pt idx="621">
                  <c:v>16.203499999999998</c:v>
                </c:pt>
                <c:pt idx="622">
                  <c:v>15.419499999999999</c:v>
                </c:pt>
                <c:pt idx="623">
                  <c:v>15.5502</c:v>
                </c:pt>
                <c:pt idx="624">
                  <c:v>15.341100000000001</c:v>
                </c:pt>
                <c:pt idx="625">
                  <c:v>15.3149</c:v>
                </c:pt>
                <c:pt idx="626">
                  <c:v>15.5502</c:v>
                </c:pt>
                <c:pt idx="627">
                  <c:v>14.5701</c:v>
                </c:pt>
                <c:pt idx="628">
                  <c:v>14.164999999999999</c:v>
                </c:pt>
                <c:pt idx="629">
                  <c:v>13.8775</c:v>
                </c:pt>
                <c:pt idx="630">
                  <c:v>14.4917</c:v>
                </c:pt>
                <c:pt idx="631">
                  <c:v>14.896800000000001</c:v>
                </c:pt>
                <c:pt idx="632">
                  <c:v>15.158099999999999</c:v>
                </c:pt>
                <c:pt idx="633">
                  <c:v>15.6416</c:v>
                </c:pt>
                <c:pt idx="634">
                  <c:v>15.6808</c:v>
                </c:pt>
                <c:pt idx="635">
                  <c:v>15.0928</c:v>
                </c:pt>
                <c:pt idx="636">
                  <c:v>15.4064</c:v>
                </c:pt>
                <c:pt idx="637">
                  <c:v>15.602399999999999</c:v>
                </c:pt>
                <c:pt idx="638">
                  <c:v>15.341100000000001</c:v>
                </c:pt>
                <c:pt idx="639">
                  <c:v>15.510999999999999</c:v>
                </c:pt>
                <c:pt idx="640">
                  <c:v>15.811500000000001</c:v>
                </c:pt>
                <c:pt idx="641">
                  <c:v>15.889900000000001</c:v>
                </c:pt>
                <c:pt idx="642">
                  <c:v>16.334199999999999</c:v>
                </c:pt>
                <c:pt idx="643">
                  <c:v>16.295000000000002</c:v>
                </c:pt>
                <c:pt idx="644">
                  <c:v>15.7462</c:v>
                </c:pt>
                <c:pt idx="645">
                  <c:v>15.811500000000001</c:v>
                </c:pt>
                <c:pt idx="646">
                  <c:v>15.7462</c:v>
                </c:pt>
                <c:pt idx="647">
                  <c:v>15.4064</c:v>
                </c:pt>
                <c:pt idx="648">
                  <c:v>19.2164</c:v>
                </c:pt>
                <c:pt idx="649">
                  <c:v>19.456600000000002</c:v>
                </c:pt>
                <c:pt idx="650">
                  <c:v>18.415800000000001</c:v>
                </c:pt>
                <c:pt idx="651">
                  <c:v>18.880099999999999</c:v>
                </c:pt>
                <c:pt idx="652">
                  <c:v>19.2164</c:v>
                </c:pt>
                <c:pt idx="653">
                  <c:v>19.2164</c:v>
                </c:pt>
                <c:pt idx="654">
                  <c:v>20.081199999999999</c:v>
                </c:pt>
                <c:pt idx="655">
                  <c:v>19.3766</c:v>
                </c:pt>
                <c:pt idx="656">
                  <c:v>19.760899999999999</c:v>
                </c:pt>
                <c:pt idx="657">
                  <c:v>20.337399999999999</c:v>
                </c:pt>
                <c:pt idx="658">
                  <c:v>21.058</c:v>
                </c:pt>
                <c:pt idx="659">
                  <c:v>19.937100000000001</c:v>
                </c:pt>
                <c:pt idx="660">
                  <c:v>18.639900000000001</c:v>
                </c:pt>
                <c:pt idx="661">
                  <c:v>17.8553</c:v>
                </c:pt>
                <c:pt idx="662">
                  <c:v>18.095500000000001</c:v>
                </c:pt>
                <c:pt idx="663">
                  <c:v>18.095500000000001</c:v>
                </c:pt>
                <c:pt idx="664">
                  <c:v>17.999400000000001</c:v>
                </c:pt>
                <c:pt idx="665">
                  <c:v>17.807200000000002</c:v>
                </c:pt>
                <c:pt idx="666">
                  <c:v>16.654199999999999</c:v>
                </c:pt>
                <c:pt idx="667">
                  <c:v>16.5261</c:v>
                </c:pt>
                <c:pt idx="668">
                  <c:v>16.734300000000001</c:v>
                </c:pt>
                <c:pt idx="669">
                  <c:v>16.0457</c:v>
                </c:pt>
                <c:pt idx="670">
                  <c:v>15.148999999999999</c:v>
                </c:pt>
                <c:pt idx="671">
                  <c:v>15.116899999999999</c:v>
                </c:pt>
                <c:pt idx="672">
                  <c:v>14.7486</c:v>
                </c:pt>
                <c:pt idx="673">
                  <c:v>15.212999999999999</c:v>
                </c:pt>
                <c:pt idx="674">
                  <c:v>14.924799999999999</c:v>
                </c:pt>
                <c:pt idx="675">
                  <c:v>14.7166</c:v>
                </c:pt>
                <c:pt idx="676">
                  <c:v>14.908799999999999</c:v>
                </c:pt>
                <c:pt idx="677">
                  <c:v>14.5404</c:v>
                </c:pt>
                <c:pt idx="678">
                  <c:v>13.595599999999999</c:v>
                </c:pt>
                <c:pt idx="679">
                  <c:v>12.7149</c:v>
                </c:pt>
                <c:pt idx="680">
                  <c:v>13.275399999999999</c:v>
                </c:pt>
                <c:pt idx="681">
                  <c:v>12.410600000000001</c:v>
                </c:pt>
                <c:pt idx="682">
                  <c:v>12.042299999999999</c:v>
                </c:pt>
                <c:pt idx="683">
                  <c:v>11.930199999999999</c:v>
                </c:pt>
                <c:pt idx="684">
                  <c:v>11.3057</c:v>
                </c:pt>
                <c:pt idx="685">
                  <c:v>11.0815</c:v>
                </c:pt>
                <c:pt idx="686">
                  <c:v>10.424899999999999</c:v>
                </c:pt>
                <c:pt idx="687">
                  <c:v>11.2096</c:v>
                </c:pt>
                <c:pt idx="688">
                  <c:v>11.818099999999999</c:v>
                </c:pt>
                <c:pt idx="689">
                  <c:v>12.314500000000001</c:v>
                </c:pt>
                <c:pt idx="690">
                  <c:v>12.5547</c:v>
                </c:pt>
                <c:pt idx="691">
                  <c:v>12.314500000000001</c:v>
                </c:pt>
                <c:pt idx="692">
                  <c:v>11.673999999999999</c:v>
                </c:pt>
                <c:pt idx="693">
                  <c:v>11.786099999999999</c:v>
                </c:pt>
                <c:pt idx="694">
                  <c:v>12.6668</c:v>
                </c:pt>
                <c:pt idx="695">
                  <c:v>13.1312</c:v>
                </c:pt>
                <c:pt idx="696">
                  <c:v>13.0512</c:v>
                </c:pt>
                <c:pt idx="697">
                  <c:v>13.403499999999999</c:v>
                </c:pt>
                <c:pt idx="698">
                  <c:v>13.419499999999999</c:v>
                </c:pt>
                <c:pt idx="699">
                  <c:v>13.563599999999999</c:v>
                </c:pt>
                <c:pt idx="700">
                  <c:v>13.1152</c:v>
                </c:pt>
                <c:pt idx="701">
                  <c:v>13.2113</c:v>
                </c:pt>
                <c:pt idx="702">
                  <c:v>13.2113</c:v>
                </c:pt>
                <c:pt idx="703">
                  <c:v>13.275399999999999</c:v>
                </c:pt>
                <c:pt idx="704">
                  <c:v>13.659700000000001</c:v>
                </c:pt>
                <c:pt idx="705">
                  <c:v>13.723699999999999</c:v>
                </c:pt>
                <c:pt idx="706">
                  <c:v>15.760300000000001</c:v>
                </c:pt>
                <c:pt idx="707">
                  <c:v>14.73</c:v>
                </c:pt>
                <c:pt idx="708">
                  <c:v>14.7681</c:v>
                </c:pt>
                <c:pt idx="709">
                  <c:v>14.672700000000001</c:v>
                </c:pt>
                <c:pt idx="710">
                  <c:v>14.558199999999999</c:v>
                </c:pt>
                <c:pt idx="711">
                  <c:v>14.9017</c:v>
                </c:pt>
                <c:pt idx="712">
                  <c:v>14.9017</c:v>
                </c:pt>
                <c:pt idx="713">
                  <c:v>14.8254</c:v>
                </c:pt>
                <c:pt idx="714">
                  <c:v>14.9398</c:v>
                </c:pt>
                <c:pt idx="715">
                  <c:v>15.0543</c:v>
                </c:pt>
                <c:pt idx="716">
                  <c:v>15.092499999999999</c:v>
                </c:pt>
                <c:pt idx="717">
                  <c:v>15.073399999999999</c:v>
                </c:pt>
                <c:pt idx="718">
                  <c:v>15.092499999999999</c:v>
                </c:pt>
                <c:pt idx="719">
                  <c:v>14.710900000000001</c:v>
                </c:pt>
                <c:pt idx="720">
                  <c:v>14.539199999999999</c:v>
                </c:pt>
                <c:pt idx="721">
                  <c:v>14.653600000000001</c:v>
                </c:pt>
                <c:pt idx="722">
                  <c:v>14.8063</c:v>
                </c:pt>
                <c:pt idx="723">
                  <c:v>14.4247</c:v>
                </c:pt>
                <c:pt idx="724">
                  <c:v>14.1576</c:v>
                </c:pt>
                <c:pt idx="725">
                  <c:v>14.4247</c:v>
                </c:pt>
                <c:pt idx="726">
                  <c:v>14.081200000000001</c:v>
                </c:pt>
                <c:pt idx="727">
                  <c:v>14.749000000000001</c:v>
                </c:pt>
                <c:pt idx="728">
                  <c:v>14.691800000000001</c:v>
                </c:pt>
                <c:pt idx="729">
                  <c:v>14.8254</c:v>
                </c:pt>
                <c:pt idx="730">
                  <c:v>14.9017</c:v>
                </c:pt>
                <c:pt idx="731">
                  <c:v>14.691800000000001</c:v>
                </c:pt>
                <c:pt idx="732">
                  <c:v>14.3102</c:v>
                </c:pt>
                <c:pt idx="733">
                  <c:v>14.4628</c:v>
                </c:pt>
                <c:pt idx="734">
                  <c:v>13.527900000000001</c:v>
                </c:pt>
                <c:pt idx="735">
                  <c:v>12.7265</c:v>
                </c:pt>
                <c:pt idx="736">
                  <c:v>12.5548</c:v>
                </c:pt>
                <c:pt idx="737">
                  <c:v>12.7456</c:v>
                </c:pt>
                <c:pt idx="738">
                  <c:v>12.4213</c:v>
                </c:pt>
                <c:pt idx="739">
                  <c:v>12.879200000000001</c:v>
                </c:pt>
                <c:pt idx="740">
                  <c:v>13.2608</c:v>
                </c:pt>
                <c:pt idx="741">
                  <c:v>12.4976</c:v>
                </c:pt>
                <c:pt idx="742">
                  <c:v>12.974600000000001</c:v>
                </c:pt>
                <c:pt idx="743">
                  <c:v>12.5548</c:v>
                </c:pt>
                <c:pt idx="744">
                  <c:v>12.0587</c:v>
                </c:pt>
                <c:pt idx="745">
                  <c:v>11.295500000000001</c:v>
                </c:pt>
                <c:pt idx="746">
                  <c:v>11.5436</c:v>
                </c:pt>
                <c:pt idx="747">
                  <c:v>11.047499999999999</c:v>
                </c:pt>
                <c:pt idx="748">
                  <c:v>10.3415</c:v>
                </c:pt>
                <c:pt idx="749">
                  <c:v>10.1889</c:v>
                </c:pt>
                <c:pt idx="750">
                  <c:v>10.3033</c:v>
                </c:pt>
                <c:pt idx="751">
                  <c:v>9.8453999999999997</c:v>
                </c:pt>
                <c:pt idx="752">
                  <c:v>9.8644999999999996</c:v>
                </c:pt>
                <c:pt idx="753">
                  <c:v>9.8453999999999997</c:v>
                </c:pt>
                <c:pt idx="754">
                  <c:v>10.074400000000001</c:v>
                </c:pt>
                <c:pt idx="755">
                  <c:v>9.9789999999999992</c:v>
                </c:pt>
                <c:pt idx="756">
                  <c:v>9.9216999999999995</c:v>
                </c:pt>
                <c:pt idx="757">
                  <c:v>10.112500000000001</c:v>
                </c:pt>
                <c:pt idx="758">
                  <c:v>10.2079</c:v>
                </c:pt>
                <c:pt idx="759">
                  <c:v>10.2079</c:v>
                </c:pt>
                <c:pt idx="760">
                  <c:v>10.093500000000001</c:v>
                </c:pt>
                <c:pt idx="761">
                  <c:v>9.9598999999999993</c:v>
                </c:pt>
                <c:pt idx="762">
                  <c:v>10.093500000000001</c:v>
                </c:pt>
                <c:pt idx="763">
                  <c:v>10.1889</c:v>
                </c:pt>
                <c:pt idx="764">
                  <c:v>10.4178</c:v>
                </c:pt>
                <c:pt idx="765">
                  <c:v>10.475099999999999</c:v>
                </c:pt>
                <c:pt idx="766">
                  <c:v>10.475099999999999</c:v>
                </c:pt>
                <c:pt idx="767">
                  <c:v>10.2652</c:v>
                </c:pt>
                <c:pt idx="768">
                  <c:v>10.2843</c:v>
                </c:pt>
                <c:pt idx="769">
                  <c:v>10.2843</c:v>
                </c:pt>
                <c:pt idx="770">
                  <c:v>10.3987</c:v>
                </c:pt>
              </c:numCache>
            </c:numRef>
          </c:val>
          <c:smooth val="0"/>
          <c:extLst>
            <c:ext xmlns:c16="http://schemas.microsoft.com/office/drawing/2014/chart" uri="{C3380CC4-5D6E-409C-BE32-E72D297353CC}">
              <c16:uniqueId val="{00000000-FF01-4B80-8D20-30CD9BED09B4}"/>
            </c:ext>
          </c:extLst>
        </c:ser>
        <c:ser>
          <c:idx val="1"/>
          <c:order val="1"/>
          <c:tx>
            <c:strRef>
              <c:f>'C. Peers'!$C$4</c:f>
              <c:strCache>
                <c:ptCount val="1"/>
                <c:pt idx="0">
                  <c:v>PET VN EQUITY</c:v>
                </c:pt>
              </c:strCache>
            </c:strRef>
          </c:tx>
          <c:spPr>
            <a:ln w="28575" cap="rnd">
              <a:solidFill>
                <a:schemeClr val="accent2"/>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Peers'!$C$5:$C$775</c:f>
              <c:numCache>
                <c:formatCode>_(* #,##0.0_);_(* \(#,##0.0\);_(* "-"??_);_(@_)</c:formatCode>
                <c:ptCount val="771"/>
                <c:pt idx="0">
                  <c:v>38.301600000000001</c:v>
                </c:pt>
                <c:pt idx="1">
                  <c:v>41.121899999999997</c:v>
                </c:pt>
                <c:pt idx="2">
                  <c:v>42.850499999999997</c:v>
                </c:pt>
                <c:pt idx="3">
                  <c:v>42.850499999999997</c:v>
                </c:pt>
                <c:pt idx="4">
                  <c:v>46.034700000000001</c:v>
                </c:pt>
                <c:pt idx="5">
                  <c:v>45.579799999999999</c:v>
                </c:pt>
                <c:pt idx="6">
                  <c:v>45.3979</c:v>
                </c:pt>
                <c:pt idx="7">
                  <c:v>46.398600000000002</c:v>
                </c:pt>
                <c:pt idx="8">
                  <c:v>44.306100000000001</c:v>
                </c:pt>
                <c:pt idx="9">
                  <c:v>46.671500000000002</c:v>
                </c:pt>
                <c:pt idx="10">
                  <c:v>47.581299999999999</c:v>
                </c:pt>
                <c:pt idx="11">
                  <c:v>48.218200000000003</c:v>
                </c:pt>
                <c:pt idx="12">
                  <c:v>49.855800000000002</c:v>
                </c:pt>
                <c:pt idx="13">
                  <c:v>50.037700000000001</c:v>
                </c:pt>
                <c:pt idx="14">
                  <c:v>49.127899999999997</c:v>
                </c:pt>
                <c:pt idx="15">
                  <c:v>48.218200000000003</c:v>
                </c:pt>
                <c:pt idx="16">
                  <c:v>48.218200000000003</c:v>
                </c:pt>
                <c:pt idx="17">
                  <c:v>47.126399999999997</c:v>
                </c:pt>
                <c:pt idx="18">
                  <c:v>45.6708</c:v>
                </c:pt>
                <c:pt idx="19">
                  <c:v>46.762500000000003</c:v>
                </c:pt>
                <c:pt idx="20">
                  <c:v>46.762500000000003</c:v>
                </c:pt>
                <c:pt idx="21">
                  <c:v>50.219700000000003</c:v>
                </c:pt>
                <c:pt idx="22">
                  <c:v>50.401600000000002</c:v>
                </c:pt>
                <c:pt idx="23">
                  <c:v>31.985499999999998</c:v>
                </c:pt>
                <c:pt idx="24">
                  <c:v>31.985499999999998</c:v>
                </c:pt>
                <c:pt idx="25">
                  <c:v>30.633199999999999</c:v>
                </c:pt>
                <c:pt idx="26">
                  <c:v>30.339200000000002</c:v>
                </c:pt>
                <c:pt idx="27">
                  <c:v>32.279499999999999</c:v>
                </c:pt>
                <c:pt idx="28">
                  <c:v>34.690199999999997</c:v>
                </c:pt>
                <c:pt idx="29">
                  <c:v>35.689700000000002</c:v>
                </c:pt>
                <c:pt idx="30">
                  <c:v>34.513800000000003</c:v>
                </c:pt>
                <c:pt idx="31">
                  <c:v>33.514299999999999</c:v>
                </c:pt>
                <c:pt idx="32">
                  <c:v>34.690199999999997</c:v>
                </c:pt>
                <c:pt idx="33">
                  <c:v>35.7485</c:v>
                </c:pt>
                <c:pt idx="34">
                  <c:v>36.806899999999999</c:v>
                </c:pt>
                <c:pt idx="35">
                  <c:v>36.689300000000003</c:v>
                </c:pt>
                <c:pt idx="36">
                  <c:v>35.924900000000001</c:v>
                </c:pt>
                <c:pt idx="37">
                  <c:v>35.042999999999999</c:v>
                </c:pt>
                <c:pt idx="38">
                  <c:v>34.3962</c:v>
                </c:pt>
                <c:pt idx="39">
                  <c:v>34.690199999999997</c:v>
                </c:pt>
                <c:pt idx="40">
                  <c:v>34.102200000000003</c:v>
                </c:pt>
                <c:pt idx="41">
                  <c:v>34.102200000000003</c:v>
                </c:pt>
                <c:pt idx="42">
                  <c:v>33.455500000000001</c:v>
                </c:pt>
                <c:pt idx="43">
                  <c:v>31.985499999999998</c:v>
                </c:pt>
                <c:pt idx="44">
                  <c:v>31.691500000000001</c:v>
                </c:pt>
                <c:pt idx="45">
                  <c:v>30.339200000000002</c:v>
                </c:pt>
                <c:pt idx="46">
                  <c:v>30.692</c:v>
                </c:pt>
                <c:pt idx="47">
                  <c:v>29.9864</c:v>
                </c:pt>
                <c:pt idx="48">
                  <c:v>30.515599999999999</c:v>
                </c:pt>
                <c:pt idx="49">
                  <c:v>29.633700000000001</c:v>
                </c:pt>
                <c:pt idx="50">
                  <c:v>30.103999999999999</c:v>
                </c:pt>
                <c:pt idx="51">
                  <c:v>32.338299999999997</c:v>
                </c:pt>
                <c:pt idx="52">
                  <c:v>32.220700000000001</c:v>
                </c:pt>
                <c:pt idx="53">
                  <c:v>32.808700000000002</c:v>
                </c:pt>
                <c:pt idx="54">
                  <c:v>32.573500000000003</c:v>
                </c:pt>
                <c:pt idx="55">
                  <c:v>31.750299999999999</c:v>
                </c:pt>
                <c:pt idx="56">
                  <c:v>32.338299999999997</c:v>
                </c:pt>
                <c:pt idx="57">
                  <c:v>33.2791</c:v>
                </c:pt>
                <c:pt idx="58">
                  <c:v>32.8827</c:v>
                </c:pt>
                <c:pt idx="59">
                  <c:v>33.427100000000003</c:v>
                </c:pt>
                <c:pt idx="60">
                  <c:v>33.263800000000003</c:v>
                </c:pt>
                <c:pt idx="61">
                  <c:v>33.427100000000003</c:v>
                </c:pt>
                <c:pt idx="62">
                  <c:v>32.1205</c:v>
                </c:pt>
                <c:pt idx="63">
                  <c:v>31.630600000000001</c:v>
                </c:pt>
                <c:pt idx="64">
                  <c:v>32.501600000000003</c:v>
                </c:pt>
                <c:pt idx="65">
                  <c:v>32.664999999999999</c:v>
                </c:pt>
                <c:pt idx="66">
                  <c:v>32.229399999999998</c:v>
                </c:pt>
                <c:pt idx="67">
                  <c:v>32.338299999999997</c:v>
                </c:pt>
                <c:pt idx="68">
                  <c:v>32.338299999999997</c:v>
                </c:pt>
                <c:pt idx="69">
                  <c:v>32.991599999999998</c:v>
                </c:pt>
                <c:pt idx="70">
                  <c:v>32.991599999999998</c:v>
                </c:pt>
                <c:pt idx="71">
                  <c:v>32.066099999999999</c:v>
                </c:pt>
                <c:pt idx="72">
                  <c:v>31.467199999999998</c:v>
                </c:pt>
                <c:pt idx="73">
                  <c:v>31.9572</c:v>
                </c:pt>
                <c:pt idx="74">
                  <c:v>32.229399999999998</c:v>
                </c:pt>
                <c:pt idx="75">
                  <c:v>32.1205</c:v>
                </c:pt>
                <c:pt idx="76">
                  <c:v>32.447200000000002</c:v>
                </c:pt>
                <c:pt idx="77">
                  <c:v>32.174999999999997</c:v>
                </c:pt>
                <c:pt idx="78">
                  <c:v>32.664999999999999</c:v>
                </c:pt>
                <c:pt idx="79">
                  <c:v>32.8827</c:v>
                </c:pt>
                <c:pt idx="80">
                  <c:v>31.9572</c:v>
                </c:pt>
                <c:pt idx="81">
                  <c:v>30.487300000000001</c:v>
                </c:pt>
                <c:pt idx="82">
                  <c:v>30.378399999999999</c:v>
                </c:pt>
                <c:pt idx="83">
                  <c:v>30.324000000000002</c:v>
                </c:pt>
                <c:pt idx="84">
                  <c:v>30.160599999999999</c:v>
                </c:pt>
                <c:pt idx="85">
                  <c:v>29.942900000000002</c:v>
                </c:pt>
                <c:pt idx="86">
                  <c:v>26.326699999999999</c:v>
                </c:pt>
                <c:pt idx="87">
                  <c:v>27.3018</c:v>
                </c:pt>
                <c:pt idx="88">
                  <c:v>27.789300000000001</c:v>
                </c:pt>
                <c:pt idx="89">
                  <c:v>27.886800000000001</c:v>
                </c:pt>
                <c:pt idx="90">
                  <c:v>26.326699999999999</c:v>
                </c:pt>
                <c:pt idx="91">
                  <c:v>26.667999999999999</c:v>
                </c:pt>
                <c:pt idx="92">
                  <c:v>26.619199999999999</c:v>
                </c:pt>
                <c:pt idx="93">
                  <c:v>26.619199999999999</c:v>
                </c:pt>
                <c:pt idx="94">
                  <c:v>25.790400000000002</c:v>
                </c:pt>
                <c:pt idx="95">
                  <c:v>25.644200000000001</c:v>
                </c:pt>
                <c:pt idx="96">
                  <c:v>25.887899999999998</c:v>
                </c:pt>
                <c:pt idx="97">
                  <c:v>26.229199999999999</c:v>
                </c:pt>
                <c:pt idx="98">
                  <c:v>26.9605</c:v>
                </c:pt>
                <c:pt idx="99">
                  <c:v>27.3505</c:v>
                </c:pt>
                <c:pt idx="100">
                  <c:v>26.131699999999999</c:v>
                </c:pt>
                <c:pt idx="101">
                  <c:v>25.449200000000001</c:v>
                </c:pt>
                <c:pt idx="102">
                  <c:v>26.521699999999999</c:v>
                </c:pt>
                <c:pt idx="103">
                  <c:v>26.034199999999998</c:v>
                </c:pt>
                <c:pt idx="104">
                  <c:v>26.034199999999998</c:v>
                </c:pt>
                <c:pt idx="105">
                  <c:v>26.326699999999999</c:v>
                </c:pt>
                <c:pt idx="106">
                  <c:v>25.546700000000001</c:v>
                </c:pt>
                <c:pt idx="107">
                  <c:v>25.156700000000001</c:v>
                </c:pt>
                <c:pt idx="108">
                  <c:v>25.449200000000001</c:v>
                </c:pt>
                <c:pt idx="109">
                  <c:v>24.5716</c:v>
                </c:pt>
                <c:pt idx="110">
                  <c:v>23.840299999999999</c:v>
                </c:pt>
                <c:pt idx="111">
                  <c:v>23.840299999999999</c:v>
                </c:pt>
                <c:pt idx="112">
                  <c:v>23.645299999999999</c:v>
                </c:pt>
                <c:pt idx="113">
                  <c:v>24.035299999999999</c:v>
                </c:pt>
                <c:pt idx="114">
                  <c:v>23.401499999999999</c:v>
                </c:pt>
                <c:pt idx="115">
                  <c:v>23.645299999999999</c:v>
                </c:pt>
                <c:pt idx="116">
                  <c:v>23.694099999999999</c:v>
                </c:pt>
                <c:pt idx="117">
                  <c:v>23.937799999999999</c:v>
                </c:pt>
                <c:pt idx="118">
                  <c:v>23.596499999999999</c:v>
                </c:pt>
                <c:pt idx="119">
                  <c:v>23.791599999999999</c:v>
                </c:pt>
                <c:pt idx="120">
                  <c:v>24.3766</c:v>
                </c:pt>
                <c:pt idx="121">
                  <c:v>24.6691</c:v>
                </c:pt>
                <c:pt idx="122">
                  <c:v>24.6691</c:v>
                </c:pt>
                <c:pt idx="123">
                  <c:v>24.2791</c:v>
                </c:pt>
                <c:pt idx="124">
                  <c:v>24.3278</c:v>
                </c:pt>
                <c:pt idx="125">
                  <c:v>24.864100000000001</c:v>
                </c:pt>
                <c:pt idx="126">
                  <c:v>24.3766</c:v>
                </c:pt>
                <c:pt idx="127">
                  <c:v>24.1816</c:v>
                </c:pt>
                <c:pt idx="128">
                  <c:v>23.791599999999999</c:v>
                </c:pt>
                <c:pt idx="129">
                  <c:v>23.694099999999999</c:v>
                </c:pt>
                <c:pt idx="130">
                  <c:v>23.596499999999999</c:v>
                </c:pt>
                <c:pt idx="131">
                  <c:v>24.5716</c:v>
                </c:pt>
                <c:pt idx="132">
                  <c:v>24.4741</c:v>
                </c:pt>
                <c:pt idx="133">
                  <c:v>24.3766</c:v>
                </c:pt>
                <c:pt idx="134">
                  <c:v>24.864100000000001</c:v>
                </c:pt>
                <c:pt idx="135">
                  <c:v>23.498999999999999</c:v>
                </c:pt>
                <c:pt idx="136">
                  <c:v>22.2315</c:v>
                </c:pt>
                <c:pt idx="137">
                  <c:v>22.719000000000001</c:v>
                </c:pt>
                <c:pt idx="138">
                  <c:v>23.498999999999999</c:v>
                </c:pt>
                <c:pt idx="139">
                  <c:v>23.303999999999998</c:v>
                </c:pt>
                <c:pt idx="140">
                  <c:v>23.596499999999999</c:v>
                </c:pt>
                <c:pt idx="141">
                  <c:v>22.914000000000001</c:v>
                </c:pt>
                <c:pt idx="142">
                  <c:v>21.4514</c:v>
                </c:pt>
                <c:pt idx="143">
                  <c:v>20.963899999999999</c:v>
                </c:pt>
                <c:pt idx="144">
                  <c:v>21.9389</c:v>
                </c:pt>
                <c:pt idx="145">
                  <c:v>21.5489</c:v>
                </c:pt>
                <c:pt idx="146">
                  <c:v>20.378799999999998</c:v>
                </c:pt>
                <c:pt idx="147">
                  <c:v>19.793800000000001</c:v>
                </c:pt>
                <c:pt idx="148">
                  <c:v>14.6198</c:v>
                </c:pt>
                <c:pt idx="149">
                  <c:v>14.9817</c:v>
                </c:pt>
                <c:pt idx="150">
                  <c:v>14.9817</c:v>
                </c:pt>
                <c:pt idx="151">
                  <c:v>14.837</c:v>
                </c:pt>
                <c:pt idx="152">
                  <c:v>14.6198</c:v>
                </c:pt>
                <c:pt idx="153">
                  <c:v>14.547499999999999</c:v>
                </c:pt>
                <c:pt idx="154">
                  <c:v>14.475099999999999</c:v>
                </c:pt>
                <c:pt idx="155">
                  <c:v>14.475099999999999</c:v>
                </c:pt>
                <c:pt idx="156">
                  <c:v>14.3665</c:v>
                </c:pt>
                <c:pt idx="157">
                  <c:v>14.9817</c:v>
                </c:pt>
                <c:pt idx="158">
                  <c:v>14.837</c:v>
                </c:pt>
                <c:pt idx="159">
                  <c:v>15.307399999999999</c:v>
                </c:pt>
                <c:pt idx="160">
                  <c:v>14.6922</c:v>
                </c:pt>
                <c:pt idx="161">
                  <c:v>15.3436</c:v>
                </c:pt>
                <c:pt idx="162">
                  <c:v>15.705500000000001</c:v>
                </c:pt>
                <c:pt idx="163">
                  <c:v>15.9588</c:v>
                </c:pt>
                <c:pt idx="164">
                  <c:v>15.560700000000001</c:v>
                </c:pt>
                <c:pt idx="165">
                  <c:v>15.0541</c:v>
                </c:pt>
                <c:pt idx="166">
                  <c:v>14.837</c:v>
                </c:pt>
                <c:pt idx="167">
                  <c:v>14.9817</c:v>
                </c:pt>
                <c:pt idx="168">
                  <c:v>15.488300000000001</c:v>
                </c:pt>
                <c:pt idx="169">
                  <c:v>15.560700000000001</c:v>
                </c:pt>
                <c:pt idx="170">
                  <c:v>14.945499999999999</c:v>
                </c:pt>
                <c:pt idx="171">
                  <c:v>14.837</c:v>
                </c:pt>
                <c:pt idx="172">
                  <c:v>15.560700000000001</c:v>
                </c:pt>
                <c:pt idx="173">
                  <c:v>16.284500000000001</c:v>
                </c:pt>
                <c:pt idx="174">
                  <c:v>15.922599999999999</c:v>
                </c:pt>
                <c:pt idx="175">
                  <c:v>16.827300000000001</c:v>
                </c:pt>
                <c:pt idx="176">
                  <c:v>16.2483</c:v>
                </c:pt>
                <c:pt idx="177">
                  <c:v>15.560700000000001</c:v>
                </c:pt>
                <c:pt idx="178">
                  <c:v>15.3436</c:v>
                </c:pt>
                <c:pt idx="179">
                  <c:v>14.837</c:v>
                </c:pt>
                <c:pt idx="180">
                  <c:v>14.402699999999999</c:v>
                </c:pt>
                <c:pt idx="181">
                  <c:v>14.330299999999999</c:v>
                </c:pt>
                <c:pt idx="182">
                  <c:v>15.3436</c:v>
                </c:pt>
                <c:pt idx="183">
                  <c:v>16.139700000000001</c:v>
                </c:pt>
                <c:pt idx="184">
                  <c:v>15.777799999999999</c:v>
                </c:pt>
                <c:pt idx="185">
                  <c:v>15.560700000000001</c:v>
                </c:pt>
                <c:pt idx="186">
                  <c:v>15.3436</c:v>
                </c:pt>
                <c:pt idx="187">
                  <c:v>15.0541</c:v>
                </c:pt>
                <c:pt idx="188">
                  <c:v>15.1265</c:v>
                </c:pt>
                <c:pt idx="189">
                  <c:v>15.1265</c:v>
                </c:pt>
                <c:pt idx="190">
                  <c:v>16.175899999999999</c:v>
                </c:pt>
                <c:pt idx="191">
                  <c:v>15.1265</c:v>
                </c:pt>
                <c:pt idx="192">
                  <c:v>15.0541</c:v>
                </c:pt>
                <c:pt idx="193">
                  <c:v>15.0541</c:v>
                </c:pt>
                <c:pt idx="194">
                  <c:v>14.6922</c:v>
                </c:pt>
                <c:pt idx="195">
                  <c:v>13.751300000000001</c:v>
                </c:pt>
                <c:pt idx="196">
                  <c:v>13.323700000000001</c:v>
                </c:pt>
                <c:pt idx="197">
                  <c:v>13.4224</c:v>
                </c:pt>
                <c:pt idx="198">
                  <c:v>13.6197</c:v>
                </c:pt>
                <c:pt idx="199">
                  <c:v>13.4224</c:v>
                </c:pt>
                <c:pt idx="200">
                  <c:v>12.896000000000001</c:v>
                </c:pt>
                <c:pt idx="201">
                  <c:v>12.9947</c:v>
                </c:pt>
                <c:pt idx="202">
                  <c:v>13.093400000000001</c:v>
                </c:pt>
                <c:pt idx="203">
                  <c:v>12.9618</c:v>
                </c:pt>
                <c:pt idx="204">
                  <c:v>12.9618</c:v>
                </c:pt>
                <c:pt idx="205">
                  <c:v>12.9618</c:v>
                </c:pt>
                <c:pt idx="206">
                  <c:v>12.1393</c:v>
                </c:pt>
                <c:pt idx="207">
                  <c:v>6.3</c:v>
                </c:pt>
                <c:pt idx="208">
                  <c:v>6.3170000000000002</c:v>
                </c:pt>
                <c:pt idx="209">
                  <c:v>6.3170000000000002</c:v>
                </c:pt>
                <c:pt idx="210">
                  <c:v>6.0275999999999996</c:v>
                </c:pt>
                <c:pt idx="211">
                  <c:v>6.4702999999999999</c:v>
                </c:pt>
                <c:pt idx="212">
                  <c:v>6.5042999999999997</c:v>
                </c:pt>
                <c:pt idx="213">
                  <c:v>6.8108000000000004</c:v>
                </c:pt>
                <c:pt idx="214">
                  <c:v>7.1684000000000001</c:v>
                </c:pt>
                <c:pt idx="215">
                  <c:v>7.4238</c:v>
                </c:pt>
                <c:pt idx="216">
                  <c:v>7.2534999999999998</c:v>
                </c:pt>
                <c:pt idx="217">
                  <c:v>7.1513</c:v>
                </c:pt>
                <c:pt idx="218">
                  <c:v>7.1002999999999998</c:v>
                </c:pt>
                <c:pt idx="219">
                  <c:v>7.0831999999999997</c:v>
                </c:pt>
                <c:pt idx="220">
                  <c:v>6.6234999999999999</c:v>
                </c:pt>
                <c:pt idx="221">
                  <c:v>6.8788999999999998</c:v>
                </c:pt>
                <c:pt idx="222">
                  <c:v>6.8449</c:v>
                </c:pt>
                <c:pt idx="223">
                  <c:v>6.4021999999999997</c:v>
                </c:pt>
                <c:pt idx="224">
                  <c:v>6.6234999999999999</c:v>
                </c:pt>
                <c:pt idx="225">
                  <c:v>7.1173000000000002</c:v>
                </c:pt>
                <c:pt idx="226">
                  <c:v>7.2534999999999998</c:v>
                </c:pt>
                <c:pt idx="227">
                  <c:v>6.7938000000000001</c:v>
                </c:pt>
                <c:pt idx="228">
                  <c:v>6.3510999999999997</c:v>
                </c:pt>
                <c:pt idx="229">
                  <c:v>5.9424000000000001</c:v>
                </c:pt>
                <c:pt idx="230">
                  <c:v>5.5678000000000001</c:v>
                </c:pt>
                <c:pt idx="231">
                  <c:v>5.2103000000000002</c:v>
                </c:pt>
                <c:pt idx="232">
                  <c:v>4.8696999999999999</c:v>
                </c:pt>
                <c:pt idx="233">
                  <c:v>5.2272999999999996</c:v>
                </c:pt>
                <c:pt idx="234">
                  <c:v>5.3124000000000002</c:v>
                </c:pt>
                <c:pt idx="235">
                  <c:v>5.3464999999999998</c:v>
                </c:pt>
                <c:pt idx="236">
                  <c:v>5.3124000000000002</c:v>
                </c:pt>
                <c:pt idx="237">
                  <c:v>5.0058999999999996</c:v>
                </c:pt>
                <c:pt idx="238">
                  <c:v>5.0229999999999997</c:v>
                </c:pt>
                <c:pt idx="239">
                  <c:v>4.6994999999999996</c:v>
                </c:pt>
                <c:pt idx="240">
                  <c:v>5.04</c:v>
                </c:pt>
                <c:pt idx="241">
                  <c:v>5.4146000000000001</c:v>
                </c:pt>
                <c:pt idx="242">
                  <c:v>5.8061999999999996</c:v>
                </c:pt>
                <c:pt idx="243">
                  <c:v>6.2319000000000004</c:v>
                </c:pt>
                <c:pt idx="244">
                  <c:v>6.5384000000000002</c:v>
                </c:pt>
                <c:pt idx="245">
                  <c:v>7.0151000000000003</c:v>
                </c:pt>
                <c:pt idx="246">
                  <c:v>7.5430000000000001</c:v>
                </c:pt>
                <c:pt idx="247">
                  <c:v>8.1049000000000007</c:v>
                </c:pt>
                <c:pt idx="248">
                  <c:v>7.8154000000000003</c:v>
                </c:pt>
                <c:pt idx="249">
                  <c:v>7.6451000000000002</c:v>
                </c:pt>
                <c:pt idx="250">
                  <c:v>7.6111000000000004</c:v>
                </c:pt>
                <c:pt idx="251">
                  <c:v>8.173</c:v>
                </c:pt>
                <c:pt idx="252">
                  <c:v>8.1388999999999996</c:v>
                </c:pt>
                <c:pt idx="253">
                  <c:v>7.6111000000000004</c:v>
                </c:pt>
                <c:pt idx="254">
                  <c:v>8.173</c:v>
                </c:pt>
                <c:pt idx="255">
                  <c:v>8.5815999999999999</c:v>
                </c:pt>
                <c:pt idx="256">
                  <c:v>9.2116000000000007</c:v>
                </c:pt>
                <c:pt idx="257">
                  <c:v>9.8926999999999996</c:v>
                </c:pt>
                <c:pt idx="258">
                  <c:v>10.1822</c:v>
                </c:pt>
                <c:pt idx="259">
                  <c:v>10.0459</c:v>
                </c:pt>
                <c:pt idx="260">
                  <c:v>10.199199999999999</c:v>
                </c:pt>
                <c:pt idx="261">
                  <c:v>9.7565000000000008</c:v>
                </c:pt>
                <c:pt idx="262">
                  <c:v>9.1265000000000001</c:v>
                </c:pt>
                <c:pt idx="263">
                  <c:v>9.1945999999999994</c:v>
                </c:pt>
                <c:pt idx="264">
                  <c:v>9.1605000000000008</c:v>
                </c:pt>
                <c:pt idx="265">
                  <c:v>9.8415999999999997</c:v>
                </c:pt>
                <c:pt idx="266">
                  <c:v>9.484</c:v>
                </c:pt>
                <c:pt idx="267">
                  <c:v>10.1822</c:v>
                </c:pt>
                <c:pt idx="268">
                  <c:v>10.5908</c:v>
                </c:pt>
                <c:pt idx="269">
                  <c:v>9.9778000000000002</c:v>
                </c:pt>
                <c:pt idx="270">
                  <c:v>10.267300000000001</c:v>
                </c:pt>
                <c:pt idx="271">
                  <c:v>11.0335</c:v>
                </c:pt>
                <c:pt idx="272">
                  <c:v>11.160399999999999</c:v>
                </c:pt>
                <c:pt idx="273">
                  <c:v>11.5159</c:v>
                </c:pt>
                <c:pt idx="274">
                  <c:v>12.333399999999999</c:v>
                </c:pt>
                <c:pt idx="275">
                  <c:v>12.9198</c:v>
                </c:pt>
                <c:pt idx="276">
                  <c:v>13.8795</c:v>
                </c:pt>
                <c:pt idx="277">
                  <c:v>14.199299999999999</c:v>
                </c:pt>
                <c:pt idx="278">
                  <c:v>13.577299999999999</c:v>
                </c:pt>
                <c:pt idx="279">
                  <c:v>14.039400000000001</c:v>
                </c:pt>
                <c:pt idx="280">
                  <c:v>13.7195</c:v>
                </c:pt>
                <c:pt idx="281">
                  <c:v>14.750299999999999</c:v>
                </c:pt>
                <c:pt idx="282">
                  <c:v>15.3545</c:v>
                </c:pt>
                <c:pt idx="283">
                  <c:v>15.3367</c:v>
                </c:pt>
                <c:pt idx="284">
                  <c:v>15.372299999999999</c:v>
                </c:pt>
                <c:pt idx="285">
                  <c:v>15.496700000000001</c:v>
                </c:pt>
                <c:pt idx="286">
                  <c:v>15.105700000000001</c:v>
                </c:pt>
                <c:pt idx="287">
                  <c:v>14.803599999999999</c:v>
                </c:pt>
                <c:pt idx="288">
                  <c:v>14.3771</c:v>
                </c:pt>
                <c:pt idx="289">
                  <c:v>15.443300000000001</c:v>
                </c:pt>
                <c:pt idx="290">
                  <c:v>15.4611</c:v>
                </c:pt>
                <c:pt idx="291">
                  <c:v>15.4611</c:v>
                </c:pt>
                <c:pt idx="292">
                  <c:v>15.1412</c:v>
                </c:pt>
                <c:pt idx="293">
                  <c:v>15.4611</c:v>
                </c:pt>
                <c:pt idx="294">
                  <c:v>14.5725</c:v>
                </c:pt>
                <c:pt idx="295">
                  <c:v>14.696899999999999</c:v>
                </c:pt>
                <c:pt idx="296">
                  <c:v>14.8569</c:v>
                </c:pt>
                <c:pt idx="297">
                  <c:v>14.359299999999999</c:v>
                </c:pt>
                <c:pt idx="298">
                  <c:v>14.1105</c:v>
                </c:pt>
                <c:pt idx="299">
                  <c:v>13.5063</c:v>
                </c:pt>
                <c:pt idx="300">
                  <c:v>13.3819</c:v>
                </c:pt>
                <c:pt idx="301">
                  <c:v>13.3819</c:v>
                </c:pt>
                <c:pt idx="302">
                  <c:v>13.683999999999999</c:v>
                </c:pt>
                <c:pt idx="303">
                  <c:v>13.8439</c:v>
                </c:pt>
                <c:pt idx="304">
                  <c:v>13.5063</c:v>
                </c:pt>
                <c:pt idx="305">
                  <c:v>12.795400000000001</c:v>
                </c:pt>
                <c:pt idx="306">
                  <c:v>13.239699999999999</c:v>
                </c:pt>
                <c:pt idx="307">
                  <c:v>13.1686</c:v>
                </c:pt>
                <c:pt idx="308">
                  <c:v>13.523999999999999</c:v>
                </c:pt>
                <c:pt idx="309">
                  <c:v>13.0442</c:v>
                </c:pt>
                <c:pt idx="310">
                  <c:v>12.9198</c:v>
                </c:pt>
                <c:pt idx="311">
                  <c:v>12.688800000000001</c:v>
                </c:pt>
                <c:pt idx="312">
                  <c:v>12.3689</c:v>
                </c:pt>
                <c:pt idx="313">
                  <c:v>12.351100000000001</c:v>
                </c:pt>
                <c:pt idx="314">
                  <c:v>12.013500000000001</c:v>
                </c:pt>
                <c:pt idx="315">
                  <c:v>12.1912</c:v>
                </c:pt>
                <c:pt idx="316">
                  <c:v>11.942399999999999</c:v>
                </c:pt>
                <c:pt idx="317">
                  <c:v>12.0312</c:v>
                </c:pt>
                <c:pt idx="318">
                  <c:v>11.8713</c:v>
                </c:pt>
                <c:pt idx="319">
                  <c:v>12.333399999999999</c:v>
                </c:pt>
                <c:pt idx="320">
                  <c:v>12.4755</c:v>
                </c:pt>
                <c:pt idx="321">
                  <c:v>12.7065</c:v>
                </c:pt>
                <c:pt idx="322">
                  <c:v>12.0846</c:v>
                </c:pt>
                <c:pt idx="323">
                  <c:v>11.835800000000001</c:v>
                </c:pt>
                <c:pt idx="324">
                  <c:v>11.6225</c:v>
                </c:pt>
                <c:pt idx="325">
                  <c:v>11.6936</c:v>
                </c:pt>
                <c:pt idx="326">
                  <c:v>11.675800000000001</c:v>
                </c:pt>
                <c:pt idx="327">
                  <c:v>11.5336</c:v>
                </c:pt>
                <c:pt idx="328">
                  <c:v>10.7872</c:v>
                </c:pt>
                <c:pt idx="329">
                  <c:v>11.320399999999999</c:v>
                </c:pt>
                <c:pt idx="330">
                  <c:v>11.089399999999999</c:v>
                </c:pt>
                <c:pt idx="331">
                  <c:v>10.8406</c:v>
                </c:pt>
                <c:pt idx="332">
                  <c:v>11.6403</c:v>
                </c:pt>
                <c:pt idx="333">
                  <c:v>12.4755</c:v>
                </c:pt>
                <c:pt idx="334">
                  <c:v>12.724299999999999</c:v>
                </c:pt>
                <c:pt idx="335">
                  <c:v>13.364100000000001</c:v>
                </c:pt>
                <c:pt idx="336">
                  <c:v>11.7203</c:v>
                </c:pt>
                <c:pt idx="337">
                  <c:v>11.8453</c:v>
                </c:pt>
                <c:pt idx="338">
                  <c:v>12.0015</c:v>
                </c:pt>
                <c:pt idx="339">
                  <c:v>11.564</c:v>
                </c:pt>
                <c:pt idx="340">
                  <c:v>11.5327</c:v>
                </c:pt>
                <c:pt idx="341">
                  <c:v>10.7826</c:v>
                </c:pt>
                <c:pt idx="342">
                  <c:v>11.579599999999999</c:v>
                </c:pt>
                <c:pt idx="343">
                  <c:v>12.2828</c:v>
                </c:pt>
                <c:pt idx="344">
                  <c:v>12.6891</c:v>
                </c:pt>
                <c:pt idx="345">
                  <c:v>11.860900000000001</c:v>
                </c:pt>
                <c:pt idx="346">
                  <c:v>11.0952</c:v>
                </c:pt>
                <c:pt idx="347">
                  <c:v>11.8765</c:v>
                </c:pt>
                <c:pt idx="348">
                  <c:v>12.173400000000001</c:v>
                </c:pt>
                <c:pt idx="349">
                  <c:v>13.079800000000001</c:v>
                </c:pt>
                <c:pt idx="350">
                  <c:v>14.064299999999999</c:v>
                </c:pt>
                <c:pt idx="351">
                  <c:v>14.345599999999999</c:v>
                </c:pt>
                <c:pt idx="352">
                  <c:v>14.345599999999999</c:v>
                </c:pt>
                <c:pt idx="353">
                  <c:v>14.095599999999999</c:v>
                </c:pt>
                <c:pt idx="354">
                  <c:v>13.907999999999999</c:v>
                </c:pt>
                <c:pt idx="355">
                  <c:v>13.595499999999999</c:v>
                </c:pt>
                <c:pt idx="356">
                  <c:v>12.7204</c:v>
                </c:pt>
                <c:pt idx="357">
                  <c:v>12.8142</c:v>
                </c:pt>
                <c:pt idx="358">
                  <c:v>12.8767</c:v>
                </c:pt>
                <c:pt idx="359">
                  <c:v>12.8767</c:v>
                </c:pt>
                <c:pt idx="360">
                  <c:v>12.361000000000001</c:v>
                </c:pt>
                <c:pt idx="361">
                  <c:v>12.361000000000001</c:v>
                </c:pt>
                <c:pt idx="362">
                  <c:v>11.564</c:v>
                </c:pt>
                <c:pt idx="363">
                  <c:v>11.0639</c:v>
                </c:pt>
                <c:pt idx="364">
                  <c:v>11.0639</c:v>
                </c:pt>
                <c:pt idx="365">
                  <c:v>10.3451</c:v>
                </c:pt>
                <c:pt idx="366">
                  <c:v>10.3451</c:v>
                </c:pt>
                <c:pt idx="367">
                  <c:v>10.2826</c:v>
                </c:pt>
                <c:pt idx="368">
                  <c:v>9.6105999999999998</c:v>
                </c:pt>
                <c:pt idx="369">
                  <c:v>10.329499999999999</c:v>
                </c:pt>
                <c:pt idx="370">
                  <c:v>11.0952</c:v>
                </c:pt>
                <c:pt idx="371">
                  <c:v>11.923400000000001</c:v>
                </c:pt>
                <c:pt idx="372">
                  <c:v>12.3141</c:v>
                </c:pt>
                <c:pt idx="373">
                  <c:v>12.7204</c:v>
                </c:pt>
                <c:pt idx="374">
                  <c:v>13.6736</c:v>
                </c:pt>
                <c:pt idx="375">
                  <c:v>14.689399999999999</c:v>
                </c:pt>
                <c:pt idx="376">
                  <c:v>15.314500000000001</c:v>
                </c:pt>
                <c:pt idx="377">
                  <c:v>15.470700000000001</c:v>
                </c:pt>
                <c:pt idx="378">
                  <c:v>14.814399999999999</c:v>
                </c:pt>
                <c:pt idx="379">
                  <c:v>14.720599999999999</c:v>
                </c:pt>
                <c:pt idx="380">
                  <c:v>14.376899999999999</c:v>
                </c:pt>
                <c:pt idx="381">
                  <c:v>15.095700000000001</c:v>
                </c:pt>
                <c:pt idx="382">
                  <c:v>16.220800000000001</c:v>
                </c:pt>
                <c:pt idx="383">
                  <c:v>17.439800000000002</c:v>
                </c:pt>
                <c:pt idx="384">
                  <c:v>18.752400000000002</c:v>
                </c:pt>
                <c:pt idx="385">
                  <c:v>19.596299999999999</c:v>
                </c:pt>
                <c:pt idx="386">
                  <c:v>20.002600000000001</c:v>
                </c:pt>
                <c:pt idx="387">
                  <c:v>18.9087</c:v>
                </c:pt>
                <c:pt idx="388">
                  <c:v>18.752400000000002</c:v>
                </c:pt>
                <c:pt idx="389">
                  <c:v>18.4086</c:v>
                </c:pt>
                <c:pt idx="390">
                  <c:v>17.2835</c:v>
                </c:pt>
                <c:pt idx="391">
                  <c:v>18.564900000000002</c:v>
                </c:pt>
                <c:pt idx="392">
                  <c:v>19.908799999999999</c:v>
                </c:pt>
                <c:pt idx="393">
                  <c:v>18.627400000000002</c:v>
                </c:pt>
                <c:pt idx="394">
                  <c:v>20.002600000000001</c:v>
                </c:pt>
                <c:pt idx="395">
                  <c:v>21.190200000000001</c:v>
                </c:pt>
                <c:pt idx="396">
                  <c:v>21.033999999999999</c:v>
                </c:pt>
                <c:pt idx="397">
                  <c:v>19.658799999999999</c:v>
                </c:pt>
                <c:pt idx="398">
                  <c:v>20.71</c:v>
                </c:pt>
                <c:pt idx="399">
                  <c:v>21.405899999999999</c:v>
                </c:pt>
                <c:pt idx="400">
                  <c:v>21.869800000000001</c:v>
                </c:pt>
                <c:pt idx="401">
                  <c:v>20.875699999999998</c:v>
                </c:pt>
                <c:pt idx="402">
                  <c:v>19.715900000000001</c:v>
                </c:pt>
                <c:pt idx="403">
                  <c:v>19.185700000000001</c:v>
                </c:pt>
                <c:pt idx="404">
                  <c:v>17.959700000000002</c:v>
                </c:pt>
                <c:pt idx="405">
                  <c:v>17.794</c:v>
                </c:pt>
                <c:pt idx="406">
                  <c:v>17.065000000000001</c:v>
                </c:pt>
                <c:pt idx="407">
                  <c:v>17.562100000000001</c:v>
                </c:pt>
                <c:pt idx="408">
                  <c:v>16.866199999999999</c:v>
                </c:pt>
                <c:pt idx="409">
                  <c:v>16.1372</c:v>
                </c:pt>
                <c:pt idx="410">
                  <c:v>16.667400000000001</c:v>
                </c:pt>
                <c:pt idx="411">
                  <c:v>17.3964</c:v>
                </c:pt>
                <c:pt idx="412">
                  <c:v>17.363299999999999</c:v>
                </c:pt>
                <c:pt idx="413">
                  <c:v>16.8994</c:v>
                </c:pt>
                <c:pt idx="414">
                  <c:v>17.164400000000001</c:v>
                </c:pt>
                <c:pt idx="415">
                  <c:v>18.4236</c:v>
                </c:pt>
                <c:pt idx="416">
                  <c:v>17.8934</c:v>
                </c:pt>
                <c:pt idx="417">
                  <c:v>17.628399999999999</c:v>
                </c:pt>
                <c:pt idx="418">
                  <c:v>18.2911</c:v>
                </c:pt>
                <c:pt idx="419">
                  <c:v>18.224799999999998</c:v>
                </c:pt>
                <c:pt idx="420">
                  <c:v>18.589300000000001</c:v>
                </c:pt>
                <c:pt idx="421">
                  <c:v>17.3964</c:v>
                </c:pt>
                <c:pt idx="422">
                  <c:v>17.3964</c:v>
                </c:pt>
                <c:pt idx="423">
                  <c:v>17.065000000000001</c:v>
                </c:pt>
                <c:pt idx="424">
                  <c:v>15.955</c:v>
                </c:pt>
                <c:pt idx="425">
                  <c:v>14.911199999999999</c:v>
                </c:pt>
                <c:pt idx="426">
                  <c:v>15.3751</c:v>
                </c:pt>
                <c:pt idx="427">
                  <c:v>15.1432</c:v>
                </c:pt>
                <c:pt idx="428">
                  <c:v>14.1656</c:v>
                </c:pt>
                <c:pt idx="429">
                  <c:v>13.6355</c:v>
                </c:pt>
                <c:pt idx="430">
                  <c:v>13.8177</c:v>
                </c:pt>
                <c:pt idx="431">
                  <c:v>12.923</c:v>
                </c:pt>
                <c:pt idx="432">
                  <c:v>12.6745</c:v>
                </c:pt>
                <c:pt idx="433">
                  <c:v>12.542</c:v>
                </c:pt>
                <c:pt idx="434">
                  <c:v>12.6082</c:v>
                </c:pt>
                <c:pt idx="435">
                  <c:v>12.426</c:v>
                </c:pt>
                <c:pt idx="436">
                  <c:v>11.630699999999999</c:v>
                </c:pt>
                <c:pt idx="437">
                  <c:v>11.5976</c:v>
                </c:pt>
                <c:pt idx="438">
                  <c:v>11.7798</c:v>
                </c:pt>
                <c:pt idx="439">
                  <c:v>11.9124</c:v>
                </c:pt>
                <c:pt idx="440">
                  <c:v>11.7136</c:v>
                </c:pt>
                <c:pt idx="441">
                  <c:v>12.392899999999999</c:v>
                </c:pt>
                <c:pt idx="442">
                  <c:v>12.392899999999999</c:v>
                </c:pt>
                <c:pt idx="443">
                  <c:v>12.392899999999999</c:v>
                </c:pt>
                <c:pt idx="444">
                  <c:v>11.9621</c:v>
                </c:pt>
                <c:pt idx="445">
                  <c:v>11.630699999999999</c:v>
                </c:pt>
                <c:pt idx="446">
                  <c:v>12.2935</c:v>
                </c:pt>
                <c:pt idx="447">
                  <c:v>11.995200000000001</c:v>
                </c:pt>
                <c:pt idx="448">
                  <c:v>12.1775</c:v>
                </c:pt>
                <c:pt idx="449">
                  <c:v>12.31</c:v>
                </c:pt>
                <c:pt idx="450">
                  <c:v>12.2935</c:v>
                </c:pt>
                <c:pt idx="451">
                  <c:v>13.1219</c:v>
                </c:pt>
                <c:pt idx="452">
                  <c:v>13.1219</c:v>
                </c:pt>
                <c:pt idx="453">
                  <c:v>12.276899999999999</c:v>
                </c:pt>
                <c:pt idx="454">
                  <c:v>12.0284</c:v>
                </c:pt>
                <c:pt idx="455">
                  <c:v>12.1112</c:v>
                </c:pt>
                <c:pt idx="456">
                  <c:v>17.440799999999999</c:v>
                </c:pt>
                <c:pt idx="457">
                  <c:v>17.113499999999998</c:v>
                </c:pt>
                <c:pt idx="458">
                  <c:v>17.066700000000001</c:v>
                </c:pt>
                <c:pt idx="459">
                  <c:v>17.3005</c:v>
                </c:pt>
                <c:pt idx="460">
                  <c:v>16.645900000000001</c:v>
                </c:pt>
                <c:pt idx="461">
                  <c:v>16.365400000000001</c:v>
                </c:pt>
                <c:pt idx="462">
                  <c:v>16.622499999999999</c:v>
                </c:pt>
                <c:pt idx="463">
                  <c:v>16.0381</c:v>
                </c:pt>
                <c:pt idx="464">
                  <c:v>15.009399999999999</c:v>
                </c:pt>
                <c:pt idx="465">
                  <c:v>14.9626</c:v>
                </c:pt>
                <c:pt idx="466">
                  <c:v>15.219799999999999</c:v>
                </c:pt>
                <c:pt idx="467">
                  <c:v>15.0328</c:v>
                </c:pt>
                <c:pt idx="468">
                  <c:v>15.3367</c:v>
                </c:pt>
                <c:pt idx="469">
                  <c:v>14.6821</c:v>
                </c:pt>
                <c:pt idx="470">
                  <c:v>14.565200000000001</c:v>
                </c:pt>
                <c:pt idx="471">
                  <c:v>14.5886</c:v>
                </c:pt>
                <c:pt idx="472">
                  <c:v>14.0275</c:v>
                </c:pt>
                <c:pt idx="473">
                  <c:v>14.0275</c:v>
                </c:pt>
                <c:pt idx="474">
                  <c:v>13.793699999999999</c:v>
                </c:pt>
                <c:pt idx="475">
                  <c:v>14.0275</c:v>
                </c:pt>
                <c:pt idx="476">
                  <c:v>14.4015</c:v>
                </c:pt>
                <c:pt idx="477">
                  <c:v>14.494999999999999</c:v>
                </c:pt>
                <c:pt idx="478">
                  <c:v>14.074199999999999</c:v>
                </c:pt>
                <c:pt idx="479">
                  <c:v>13.7469</c:v>
                </c:pt>
                <c:pt idx="480">
                  <c:v>14.004099999999999</c:v>
                </c:pt>
                <c:pt idx="481">
                  <c:v>14.1911</c:v>
                </c:pt>
                <c:pt idx="482">
                  <c:v>14.004099999999999</c:v>
                </c:pt>
                <c:pt idx="483">
                  <c:v>14.354799999999999</c:v>
                </c:pt>
                <c:pt idx="484">
                  <c:v>13.9339</c:v>
                </c:pt>
                <c:pt idx="485">
                  <c:v>14.9626</c:v>
                </c:pt>
                <c:pt idx="486">
                  <c:v>16.0381</c:v>
                </c:pt>
                <c:pt idx="487">
                  <c:v>16.1783</c:v>
                </c:pt>
                <c:pt idx="488">
                  <c:v>15.5237</c:v>
                </c:pt>
                <c:pt idx="489">
                  <c:v>14.9392</c:v>
                </c:pt>
                <c:pt idx="490">
                  <c:v>14.8224</c:v>
                </c:pt>
                <c:pt idx="491">
                  <c:v>14.8691</c:v>
                </c:pt>
                <c:pt idx="492">
                  <c:v>15.219799999999999</c:v>
                </c:pt>
                <c:pt idx="493">
                  <c:v>14.8691</c:v>
                </c:pt>
                <c:pt idx="494">
                  <c:v>14.986000000000001</c:v>
                </c:pt>
                <c:pt idx="495">
                  <c:v>14.5184</c:v>
                </c:pt>
                <c:pt idx="496">
                  <c:v>14.354799999999999</c:v>
                </c:pt>
                <c:pt idx="497">
                  <c:v>14.2613</c:v>
                </c:pt>
                <c:pt idx="498">
                  <c:v>14.7288</c:v>
                </c:pt>
                <c:pt idx="499">
                  <c:v>14.3314</c:v>
                </c:pt>
                <c:pt idx="500">
                  <c:v>14.494999999999999</c:v>
                </c:pt>
                <c:pt idx="501">
                  <c:v>14.3781</c:v>
                </c:pt>
                <c:pt idx="502">
                  <c:v>14.494999999999999</c:v>
                </c:pt>
                <c:pt idx="503">
                  <c:v>13.8872</c:v>
                </c:pt>
                <c:pt idx="504">
                  <c:v>14.0275</c:v>
                </c:pt>
                <c:pt idx="505">
                  <c:v>14.308</c:v>
                </c:pt>
                <c:pt idx="506">
                  <c:v>14.4015</c:v>
                </c:pt>
                <c:pt idx="507">
                  <c:v>14.635300000000001</c:v>
                </c:pt>
                <c:pt idx="508">
                  <c:v>14.214499999999999</c:v>
                </c:pt>
                <c:pt idx="509">
                  <c:v>14.1911</c:v>
                </c:pt>
                <c:pt idx="510">
                  <c:v>14.1911</c:v>
                </c:pt>
                <c:pt idx="511">
                  <c:v>14.214499999999999</c:v>
                </c:pt>
                <c:pt idx="512">
                  <c:v>13.63</c:v>
                </c:pt>
                <c:pt idx="513">
                  <c:v>13.6534</c:v>
                </c:pt>
                <c:pt idx="514">
                  <c:v>13.5365</c:v>
                </c:pt>
                <c:pt idx="515">
                  <c:v>13.583299999999999</c:v>
                </c:pt>
                <c:pt idx="516">
                  <c:v>13.7469</c:v>
                </c:pt>
                <c:pt idx="517">
                  <c:v>13.0923</c:v>
                </c:pt>
                <c:pt idx="518">
                  <c:v>12.9754</c:v>
                </c:pt>
                <c:pt idx="519">
                  <c:v>12.788399999999999</c:v>
                </c:pt>
                <c:pt idx="520">
                  <c:v>12.577999999999999</c:v>
                </c:pt>
                <c:pt idx="521">
                  <c:v>12.5312</c:v>
                </c:pt>
                <c:pt idx="522">
                  <c:v>12.7866</c:v>
                </c:pt>
                <c:pt idx="523">
                  <c:v>12.6897</c:v>
                </c:pt>
                <c:pt idx="524">
                  <c:v>11.939</c:v>
                </c:pt>
                <c:pt idx="525">
                  <c:v>12.835000000000001</c:v>
                </c:pt>
                <c:pt idx="526">
                  <c:v>13.077199999999999</c:v>
                </c:pt>
                <c:pt idx="527">
                  <c:v>13.4162</c:v>
                </c:pt>
                <c:pt idx="528">
                  <c:v>13.077199999999999</c:v>
                </c:pt>
                <c:pt idx="529">
                  <c:v>13.3194</c:v>
                </c:pt>
                <c:pt idx="530">
                  <c:v>13.682600000000001</c:v>
                </c:pt>
                <c:pt idx="531">
                  <c:v>13.8521</c:v>
                </c:pt>
                <c:pt idx="532">
                  <c:v>13.900600000000001</c:v>
                </c:pt>
                <c:pt idx="533">
                  <c:v>13.803699999999999</c:v>
                </c:pt>
                <c:pt idx="534">
                  <c:v>14.215400000000001</c:v>
                </c:pt>
                <c:pt idx="535">
                  <c:v>13.3194</c:v>
                </c:pt>
                <c:pt idx="536">
                  <c:v>13.391999999999999</c:v>
                </c:pt>
                <c:pt idx="537">
                  <c:v>12.9803</c:v>
                </c:pt>
                <c:pt idx="538">
                  <c:v>13.077199999999999</c:v>
                </c:pt>
                <c:pt idx="539">
                  <c:v>13.779500000000001</c:v>
                </c:pt>
                <c:pt idx="540">
                  <c:v>13.4405</c:v>
                </c:pt>
                <c:pt idx="541">
                  <c:v>13.3194</c:v>
                </c:pt>
                <c:pt idx="542">
                  <c:v>13.3436</c:v>
                </c:pt>
                <c:pt idx="543">
                  <c:v>12.496</c:v>
                </c:pt>
                <c:pt idx="544">
                  <c:v>12.011699999999999</c:v>
                </c:pt>
                <c:pt idx="545">
                  <c:v>11.8421</c:v>
                </c:pt>
                <c:pt idx="546">
                  <c:v>11.8179</c:v>
                </c:pt>
                <c:pt idx="547">
                  <c:v>11.5031</c:v>
                </c:pt>
                <c:pt idx="548">
                  <c:v>12.3507</c:v>
                </c:pt>
                <c:pt idx="549">
                  <c:v>12.8592</c:v>
                </c:pt>
                <c:pt idx="550">
                  <c:v>12.6897</c:v>
                </c:pt>
                <c:pt idx="551">
                  <c:v>12.5444</c:v>
                </c:pt>
                <c:pt idx="552">
                  <c:v>12.7866</c:v>
                </c:pt>
                <c:pt idx="553">
                  <c:v>12.835000000000001</c:v>
                </c:pt>
                <c:pt idx="554">
                  <c:v>12.5444</c:v>
                </c:pt>
                <c:pt idx="555">
                  <c:v>11.7453</c:v>
                </c:pt>
                <c:pt idx="556">
                  <c:v>11.648400000000001</c:v>
                </c:pt>
                <c:pt idx="557">
                  <c:v>10.8977</c:v>
                </c:pt>
                <c:pt idx="558">
                  <c:v>10.824999999999999</c:v>
                </c:pt>
                <c:pt idx="559">
                  <c:v>10.6797</c:v>
                </c:pt>
                <c:pt idx="560">
                  <c:v>10.6555</c:v>
                </c:pt>
                <c:pt idx="561">
                  <c:v>10.4375</c:v>
                </c:pt>
                <c:pt idx="562">
                  <c:v>10.389099999999999</c:v>
                </c:pt>
                <c:pt idx="563">
                  <c:v>10.3407</c:v>
                </c:pt>
                <c:pt idx="564">
                  <c:v>10.3165</c:v>
                </c:pt>
                <c:pt idx="565">
                  <c:v>10.074299999999999</c:v>
                </c:pt>
                <c:pt idx="566">
                  <c:v>10.2438</c:v>
                </c:pt>
                <c:pt idx="567">
                  <c:v>10.0259</c:v>
                </c:pt>
                <c:pt idx="568">
                  <c:v>9.5414999999999992</c:v>
                </c:pt>
                <c:pt idx="569">
                  <c:v>9.8079000000000001</c:v>
                </c:pt>
                <c:pt idx="570">
                  <c:v>9.4445999999999994</c:v>
                </c:pt>
                <c:pt idx="571">
                  <c:v>9.3719999999999999</c:v>
                </c:pt>
                <c:pt idx="572">
                  <c:v>9.1539999999999999</c:v>
                </c:pt>
                <c:pt idx="573">
                  <c:v>9.8321000000000005</c:v>
                </c:pt>
                <c:pt idx="574">
                  <c:v>9.8562999999999992</c:v>
                </c:pt>
                <c:pt idx="575">
                  <c:v>9.3962000000000003</c:v>
                </c:pt>
                <c:pt idx="576">
                  <c:v>9.7836999999999996</c:v>
                </c:pt>
                <c:pt idx="577">
                  <c:v>10.195399999999999</c:v>
                </c:pt>
                <c:pt idx="578">
                  <c:v>10.946099999999999</c:v>
                </c:pt>
                <c:pt idx="579">
                  <c:v>10.9703</c:v>
                </c:pt>
                <c:pt idx="580">
                  <c:v>10.7281</c:v>
                </c:pt>
                <c:pt idx="581">
                  <c:v>10.6555</c:v>
                </c:pt>
                <c:pt idx="582">
                  <c:v>11.3094</c:v>
                </c:pt>
                <c:pt idx="583">
                  <c:v>11.1883</c:v>
                </c:pt>
                <c:pt idx="584">
                  <c:v>10.7524</c:v>
                </c:pt>
                <c:pt idx="585">
                  <c:v>10.582800000000001</c:v>
                </c:pt>
                <c:pt idx="586">
                  <c:v>12.2448</c:v>
                </c:pt>
                <c:pt idx="587">
                  <c:v>12.4976</c:v>
                </c:pt>
                <c:pt idx="588">
                  <c:v>12.020099999999999</c:v>
                </c:pt>
                <c:pt idx="589">
                  <c:v>12.020099999999999</c:v>
                </c:pt>
                <c:pt idx="590">
                  <c:v>12.188599999999999</c:v>
                </c:pt>
                <c:pt idx="591">
                  <c:v>12.525600000000001</c:v>
                </c:pt>
                <c:pt idx="592">
                  <c:v>12.638</c:v>
                </c:pt>
                <c:pt idx="593">
                  <c:v>12.525600000000001</c:v>
                </c:pt>
                <c:pt idx="594">
                  <c:v>11.992000000000001</c:v>
                </c:pt>
                <c:pt idx="595">
                  <c:v>11.9359</c:v>
                </c:pt>
                <c:pt idx="596">
                  <c:v>11.992000000000001</c:v>
                </c:pt>
                <c:pt idx="597">
                  <c:v>12.160500000000001</c:v>
                </c:pt>
                <c:pt idx="598">
                  <c:v>12.0763</c:v>
                </c:pt>
                <c:pt idx="599">
                  <c:v>11.7112</c:v>
                </c:pt>
                <c:pt idx="600">
                  <c:v>12.301</c:v>
                </c:pt>
                <c:pt idx="601">
                  <c:v>12.946899999999999</c:v>
                </c:pt>
                <c:pt idx="602">
                  <c:v>13.9018</c:v>
                </c:pt>
                <c:pt idx="603">
                  <c:v>14.042199999999999</c:v>
                </c:pt>
                <c:pt idx="604">
                  <c:v>13.3682</c:v>
                </c:pt>
                <c:pt idx="605">
                  <c:v>13.0031</c:v>
                </c:pt>
                <c:pt idx="606">
                  <c:v>12.918799999999999</c:v>
                </c:pt>
                <c:pt idx="607">
                  <c:v>12.7784</c:v>
                </c:pt>
                <c:pt idx="608">
                  <c:v>11.963900000000001</c:v>
                </c:pt>
                <c:pt idx="609">
                  <c:v>11.626899999999999</c:v>
                </c:pt>
                <c:pt idx="610">
                  <c:v>11.9078</c:v>
                </c:pt>
                <c:pt idx="611">
                  <c:v>12.0763</c:v>
                </c:pt>
                <c:pt idx="612">
                  <c:v>11.795400000000001</c:v>
                </c:pt>
                <c:pt idx="613">
                  <c:v>11.318</c:v>
                </c:pt>
                <c:pt idx="614">
                  <c:v>11.1214</c:v>
                </c:pt>
                <c:pt idx="615">
                  <c:v>11.289899999999999</c:v>
                </c:pt>
                <c:pt idx="616">
                  <c:v>11.3461</c:v>
                </c:pt>
                <c:pt idx="617">
                  <c:v>11.4023</c:v>
                </c:pt>
                <c:pt idx="618">
                  <c:v>12.1325</c:v>
                </c:pt>
                <c:pt idx="619">
                  <c:v>12.357100000000001</c:v>
                </c:pt>
                <c:pt idx="620">
                  <c:v>12.638</c:v>
                </c:pt>
                <c:pt idx="621">
                  <c:v>12.301</c:v>
                </c:pt>
                <c:pt idx="622">
                  <c:v>11.9078</c:v>
                </c:pt>
                <c:pt idx="623">
                  <c:v>11.626899999999999</c:v>
                </c:pt>
                <c:pt idx="624">
                  <c:v>11.823499999999999</c:v>
                </c:pt>
                <c:pt idx="625">
                  <c:v>12.020099999999999</c:v>
                </c:pt>
                <c:pt idx="626">
                  <c:v>11.5146</c:v>
                </c:pt>
                <c:pt idx="627">
                  <c:v>11.2338</c:v>
                </c:pt>
                <c:pt idx="628">
                  <c:v>11.2338</c:v>
                </c:pt>
                <c:pt idx="629">
                  <c:v>11.1495</c:v>
                </c:pt>
                <c:pt idx="630">
                  <c:v>11.0372</c:v>
                </c:pt>
                <c:pt idx="631">
                  <c:v>11.5146</c:v>
                </c:pt>
                <c:pt idx="632">
                  <c:v>11.2057</c:v>
                </c:pt>
                <c:pt idx="633">
                  <c:v>12.020099999999999</c:v>
                </c:pt>
                <c:pt idx="634">
                  <c:v>12.4695</c:v>
                </c:pt>
                <c:pt idx="635">
                  <c:v>11.851599999999999</c:v>
                </c:pt>
                <c:pt idx="636">
                  <c:v>12.385199999999999</c:v>
                </c:pt>
                <c:pt idx="637">
                  <c:v>12.7784</c:v>
                </c:pt>
                <c:pt idx="638">
                  <c:v>12.638</c:v>
                </c:pt>
                <c:pt idx="639">
                  <c:v>13.1435</c:v>
                </c:pt>
                <c:pt idx="640">
                  <c:v>13.1997</c:v>
                </c:pt>
                <c:pt idx="641">
                  <c:v>13.0312</c:v>
                </c:pt>
                <c:pt idx="642">
                  <c:v>13.1997</c:v>
                </c:pt>
                <c:pt idx="643">
                  <c:v>12.357100000000001</c:v>
                </c:pt>
                <c:pt idx="644">
                  <c:v>12.4695</c:v>
                </c:pt>
                <c:pt idx="645">
                  <c:v>12.7784</c:v>
                </c:pt>
                <c:pt idx="646">
                  <c:v>12.946899999999999</c:v>
                </c:pt>
                <c:pt idx="647">
                  <c:v>12.8626</c:v>
                </c:pt>
                <c:pt idx="648">
                  <c:v>13.898199999999999</c:v>
                </c:pt>
                <c:pt idx="649">
                  <c:v>14.090400000000001</c:v>
                </c:pt>
                <c:pt idx="650">
                  <c:v>14.090400000000001</c:v>
                </c:pt>
                <c:pt idx="651">
                  <c:v>14.090400000000001</c:v>
                </c:pt>
                <c:pt idx="652">
                  <c:v>14.410600000000001</c:v>
                </c:pt>
                <c:pt idx="653">
                  <c:v>15.1151</c:v>
                </c:pt>
                <c:pt idx="654">
                  <c:v>15.5314</c:v>
                </c:pt>
                <c:pt idx="655">
                  <c:v>15.2432</c:v>
                </c:pt>
                <c:pt idx="656">
                  <c:v>14.7309</c:v>
                </c:pt>
                <c:pt idx="657">
                  <c:v>15.3713</c:v>
                </c:pt>
                <c:pt idx="658">
                  <c:v>15.6595</c:v>
                </c:pt>
                <c:pt idx="659">
                  <c:v>14.7629</c:v>
                </c:pt>
                <c:pt idx="660">
                  <c:v>14.218500000000001</c:v>
                </c:pt>
                <c:pt idx="661">
                  <c:v>13.962300000000001</c:v>
                </c:pt>
                <c:pt idx="662">
                  <c:v>13.577999999999999</c:v>
                </c:pt>
                <c:pt idx="663">
                  <c:v>13.770099999999999</c:v>
                </c:pt>
                <c:pt idx="664">
                  <c:v>13.513999999999999</c:v>
                </c:pt>
                <c:pt idx="665">
                  <c:v>12.6493</c:v>
                </c:pt>
                <c:pt idx="666">
                  <c:v>11.848699999999999</c:v>
                </c:pt>
                <c:pt idx="667">
                  <c:v>12.201000000000001</c:v>
                </c:pt>
                <c:pt idx="668">
                  <c:v>11.592499999999999</c:v>
                </c:pt>
                <c:pt idx="669">
                  <c:v>11.336399999999999</c:v>
                </c:pt>
                <c:pt idx="670">
                  <c:v>10.5998</c:v>
                </c:pt>
                <c:pt idx="671">
                  <c:v>10.6318</c:v>
                </c:pt>
                <c:pt idx="672">
                  <c:v>10.5678</c:v>
                </c:pt>
                <c:pt idx="673">
                  <c:v>10.792</c:v>
                </c:pt>
                <c:pt idx="674">
                  <c:v>10.7599</c:v>
                </c:pt>
                <c:pt idx="675">
                  <c:v>10.92</c:v>
                </c:pt>
                <c:pt idx="676">
                  <c:v>10.9841</c:v>
                </c:pt>
                <c:pt idx="677">
                  <c:v>10.5358</c:v>
                </c:pt>
                <c:pt idx="678">
                  <c:v>9.8633000000000006</c:v>
                </c:pt>
                <c:pt idx="679">
                  <c:v>9.5429999999999993</c:v>
                </c:pt>
                <c:pt idx="680">
                  <c:v>10.023400000000001</c:v>
                </c:pt>
                <c:pt idx="681">
                  <c:v>9.8953000000000007</c:v>
                </c:pt>
                <c:pt idx="682">
                  <c:v>9.8953000000000007</c:v>
                </c:pt>
                <c:pt idx="683">
                  <c:v>9.2547999999999995</c:v>
                </c:pt>
                <c:pt idx="684">
                  <c:v>8.9025999999999996</c:v>
                </c:pt>
                <c:pt idx="685">
                  <c:v>9.4789999999999992</c:v>
                </c:pt>
                <c:pt idx="686">
                  <c:v>9.1266999999999996</c:v>
                </c:pt>
                <c:pt idx="687">
                  <c:v>9.7992000000000008</c:v>
                </c:pt>
                <c:pt idx="688">
                  <c:v>10.4397</c:v>
                </c:pt>
                <c:pt idx="689">
                  <c:v>11.1442</c:v>
                </c:pt>
                <c:pt idx="690">
                  <c:v>11.368399999999999</c:v>
                </c:pt>
                <c:pt idx="691">
                  <c:v>11.208299999999999</c:v>
                </c:pt>
                <c:pt idx="692">
                  <c:v>10.792</c:v>
                </c:pt>
                <c:pt idx="693">
                  <c:v>11.1442</c:v>
                </c:pt>
                <c:pt idx="694">
                  <c:v>11.976800000000001</c:v>
                </c:pt>
                <c:pt idx="695">
                  <c:v>12.2971</c:v>
                </c:pt>
                <c:pt idx="696">
                  <c:v>11.912800000000001</c:v>
                </c:pt>
                <c:pt idx="697">
                  <c:v>11.1442</c:v>
                </c:pt>
                <c:pt idx="698">
                  <c:v>10.9521</c:v>
                </c:pt>
                <c:pt idx="699">
                  <c:v>11.0161</c:v>
                </c:pt>
                <c:pt idx="700">
                  <c:v>11.1442</c:v>
                </c:pt>
                <c:pt idx="701">
                  <c:v>11.1122</c:v>
                </c:pt>
                <c:pt idx="702">
                  <c:v>10.888</c:v>
                </c:pt>
                <c:pt idx="703">
                  <c:v>10.9521</c:v>
                </c:pt>
                <c:pt idx="704">
                  <c:v>10.4717</c:v>
                </c:pt>
                <c:pt idx="705">
                  <c:v>10.3436</c:v>
                </c:pt>
                <c:pt idx="706">
                  <c:v>10.2813</c:v>
                </c:pt>
                <c:pt idx="707">
                  <c:v>9.9649999999999999</c:v>
                </c:pt>
                <c:pt idx="708">
                  <c:v>10.123100000000001</c:v>
                </c:pt>
                <c:pt idx="709">
                  <c:v>9.7751000000000001</c:v>
                </c:pt>
                <c:pt idx="710">
                  <c:v>9.7434999999999992</c:v>
                </c:pt>
                <c:pt idx="711">
                  <c:v>10.249700000000001</c:v>
                </c:pt>
                <c:pt idx="712">
                  <c:v>10.249700000000001</c:v>
                </c:pt>
                <c:pt idx="713">
                  <c:v>10.439500000000001</c:v>
                </c:pt>
                <c:pt idx="714">
                  <c:v>10.4711</c:v>
                </c:pt>
                <c:pt idx="715">
                  <c:v>10.502700000000001</c:v>
                </c:pt>
                <c:pt idx="716">
                  <c:v>10.502700000000001</c:v>
                </c:pt>
                <c:pt idx="717">
                  <c:v>10.502700000000001</c:v>
                </c:pt>
                <c:pt idx="718">
                  <c:v>10.0282</c:v>
                </c:pt>
                <c:pt idx="719">
                  <c:v>9.5221</c:v>
                </c:pt>
                <c:pt idx="720">
                  <c:v>9.4271999999999991</c:v>
                </c:pt>
                <c:pt idx="721">
                  <c:v>9.7434999999999992</c:v>
                </c:pt>
                <c:pt idx="722">
                  <c:v>9.7434999999999992</c:v>
                </c:pt>
                <c:pt idx="723">
                  <c:v>9.9332999999999991</c:v>
                </c:pt>
                <c:pt idx="724">
                  <c:v>9.8701000000000008</c:v>
                </c:pt>
                <c:pt idx="725">
                  <c:v>9.9966000000000008</c:v>
                </c:pt>
                <c:pt idx="726">
                  <c:v>9.8068000000000008</c:v>
                </c:pt>
                <c:pt idx="727">
                  <c:v>9.9966000000000008</c:v>
                </c:pt>
                <c:pt idx="728">
                  <c:v>10.186400000000001</c:v>
                </c:pt>
                <c:pt idx="729">
                  <c:v>10.123100000000001</c:v>
                </c:pt>
                <c:pt idx="730">
                  <c:v>9.7434999999999992</c:v>
                </c:pt>
                <c:pt idx="731">
                  <c:v>9.7119</c:v>
                </c:pt>
                <c:pt idx="732">
                  <c:v>10.0282</c:v>
                </c:pt>
                <c:pt idx="733">
                  <c:v>9.8384</c:v>
                </c:pt>
                <c:pt idx="734">
                  <c:v>9.2057000000000002</c:v>
                </c:pt>
                <c:pt idx="735">
                  <c:v>8.6046999999999993</c:v>
                </c:pt>
                <c:pt idx="736">
                  <c:v>9.1107999999999993</c:v>
                </c:pt>
                <c:pt idx="737">
                  <c:v>9.0474999999999994</c:v>
                </c:pt>
                <c:pt idx="738">
                  <c:v>9.2373999999999992</c:v>
                </c:pt>
                <c:pt idx="739">
                  <c:v>8.9209999999999994</c:v>
                </c:pt>
                <c:pt idx="740">
                  <c:v>8.3515999999999995</c:v>
                </c:pt>
                <c:pt idx="741">
                  <c:v>7.8137999999999996</c:v>
                </c:pt>
                <c:pt idx="742">
                  <c:v>7.3075999999999999</c:v>
                </c:pt>
                <c:pt idx="743">
                  <c:v>7.0861999999999998</c:v>
                </c:pt>
                <c:pt idx="744">
                  <c:v>6.6433</c:v>
                </c:pt>
                <c:pt idx="745">
                  <c:v>6.2889999999999997</c:v>
                </c:pt>
                <c:pt idx="746">
                  <c:v>6.3902000000000001</c:v>
                </c:pt>
                <c:pt idx="747">
                  <c:v>6.2889999999999997</c:v>
                </c:pt>
                <c:pt idx="748">
                  <c:v>6.1055000000000001</c:v>
                </c:pt>
                <c:pt idx="749">
                  <c:v>5.8524000000000003</c:v>
                </c:pt>
                <c:pt idx="750">
                  <c:v>5.9409999999999998</c:v>
                </c:pt>
                <c:pt idx="751">
                  <c:v>5.8524000000000003</c:v>
                </c:pt>
                <c:pt idx="752">
                  <c:v>6.0739000000000001</c:v>
                </c:pt>
                <c:pt idx="753">
                  <c:v>6.2510000000000003</c:v>
                </c:pt>
                <c:pt idx="754">
                  <c:v>6.3586</c:v>
                </c:pt>
                <c:pt idx="755">
                  <c:v>6.4535</c:v>
                </c:pt>
                <c:pt idx="756">
                  <c:v>6.327</c:v>
                </c:pt>
                <c:pt idx="757">
                  <c:v>6.58</c:v>
                </c:pt>
                <c:pt idx="758">
                  <c:v>6.58</c:v>
                </c:pt>
                <c:pt idx="759">
                  <c:v>6.58</c:v>
                </c:pt>
                <c:pt idx="760">
                  <c:v>6.4851000000000001</c:v>
                </c:pt>
                <c:pt idx="761">
                  <c:v>6.7065999999999999</c:v>
                </c:pt>
                <c:pt idx="762">
                  <c:v>6.7698</c:v>
                </c:pt>
                <c:pt idx="763">
                  <c:v>6.6116999999999999</c:v>
                </c:pt>
                <c:pt idx="764">
                  <c:v>6.8331</c:v>
                </c:pt>
                <c:pt idx="765">
                  <c:v>6.8963999999999999</c:v>
                </c:pt>
                <c:pt idx="766">
                  <c:v>6.6116999999999999</c:v>
                </c:pt>
                <c:pt idx="767">
                  <c:v>6.1814</c:v>
                </c:pt>
                <c:pt idx="768">
                  <c:v>6.1878000000000002</c:v>
                </c:pt>
                <c:pt idx="769">
                  <c:v>6.1055000000000001</c:v>
                </c:pt>
                <c:pt idx="770">
                  <c:v>6.2384000000000004</c:v>
                </c:pt>
              </c:numCache>
            </c:numRef>
          </c:val>
          <c:smooth val="0"/>
          <c:extLst>
            <c:ext xmlns:c16="http://schemas.microsoft.com/office/drawing/2014/chart" uri="{C3380CC4-5D6E-409C-BE32-E72D297353CC}">
              <c16:uniqueId val="{00000001-FF01-4B80-8D20-30CD9BED09B4}"/>
            </c:ext>
          </c:extLst>
        </c:ser>
        <c:ser>
          <c:idx val="2"/>
          <c:order val="2"/>
          <c:tx>
            <c:strRef>
              <c:f>'C. Peers'!$D$4</c:f>
              <c:strCache>
                <c:ptCount val="1"/>
                <c:pt idx="0">
                  <c:v>MTDL IJ EQUITY</c:v>
                </c:pt>
              </c:strCache>
            </c:strRef>
          </c:tx>
          <c:spPr>
            <a:ln w="28575" cap="rnd">
              <a:solidFill>
                <a:schemeClr val="accent3"/>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Peers'!$D$5:$D$775</c:f>
              <c:numCache>
                <c:formatCode>_(* #,##0.0_);_(* \(#,##0.0\);_(* "-"??_);_(@_)</c:formatCode>
                <c:ptCount val="771"/>
                <c:pt idx="0">
                  <c:v>10.133900000000001</c:v>
                </c:pt>
                <c:pt idx="1">
                  <c:v>9.9131</c:v>
                </c:pt>
                <c:pt idx="2">
                  <c:v>9.9131</c:v>
                </c:pt>
                <c:pt idx="3">
                  <c:v>9.8729999999999993</c:v>
                </c:pt>
                <c:pt idx="4">
                  <c:v>9.7525999999999993</c:v>
                </c:pt>
                <c:pt idx="5">
                  <c:v>9.7525999999999993</c:v>
                </c:pt>
                <c:pt idx="6">
                  <c:v>9.5117999999999991</c:v>
                </c:pt>
                <c:pt idx="7">
                  <c:v>9.5117999999999991</c:v>
                </c:pt>
                <c:pt idx="8">
                  <c:v>9.5117999999999991</c:v>
                </c:pt>
                <c:pt idx="9">
                  <c:v>9.7125000000000004</c:v>
                </c:pt>
                <c:pt idx="10">
                  <c:v>9.7125000000000004</c:v>
                </c:pt>
                <c:pt idx="11">
                  <c:v>9.8729999999999993</c:v>
                </c:pt>
                <c:pt idx="12">
                  <c:v>9.9533000000000005</c:v>
                </c:pt>
                <c:pt idx="13">
                  <c:v>9.8729999999999993</c:v>
                </c:pt>
                <c:pt idx="14">
                  <c:v>10.0336</c:v>
                </c:pt>
                <c:pt idx="15">
                  <c:v>10.133900000000001</c:v>
                </c:pt>
                <c:pt idx="16">
                  <c:v>9.8329000000000004</c:v>
                </c:pt>
                <c:pt idx="17">
                  <c:v>9.8329000000000004</c:v>
                </c:pt>
                <c:pt idx="18">
                  <c:v>9.8329000000000004</c:v>
                </c:pt>
                <c:pt idx="19">
                  <c:v>9.8329000000000004</c:v>
                </c:pt>
                <c:pt idx="20">
                  <c:v>9.9533000000000005</c:v>
                </c:pt>
                <c:pt idx="21">
                  <c:v>9.9131</c:v>
                </c:pt>
                <c:pt idx="22">
                  <c:v>9.9533000000000005</c:v>
                </c:pt>
                <c:pt idx="23">
                  <c:v>9.9533000000000005</c:v>
                </c:pt>
                <c:pt idx="24">
                  <c:v>10.3302</c:v>
                </c:pt>
                <c:pt idx="25">
                  <c:v>10.498799999999999</c:v>
                </c:pt>
                <c:pt idx="26">
                  <c:v>10.541</c:v>
                </c:pt>
                <c:pt idx="27">
                  <c:v>10.498799999999999</c:v>
                </c:pt>
                <c:pt idx="28">
                  <c:v>10.541</c:v>
                </c:pt>
                <c:pt idx="29">
                  <c:v>10.6464</c:v>
                </c:pt>
                <c:pt idx="30">
                  <c:v>10.541</c:v>
                </c:pt>
                <c:pt idx="31">
                  <c:v>10.751799999999999</c:v>
                </c:pt>
                <c:pt idx="32">
                  <c:v>10.751799999999999</c:v>
                </c:pt>
                <c:pt idx="33">
                  <c:v>10.751799999999999</c:v>
                </c:pt>
                <c:pt idx="34">
                  <c:v>10.6464</c:v>
                </c:pt>
                <c:pt idx="35">
                  <c:v>10.751799999999999</c:v>
                </c:pt>
                <c:pt idx="36">
                  <c:v>10.751799999999999</c:v>
                </c:pt>
                <c:pt idx="37">
                  <c:v>10.857200000000001</c:v>
                </c:pt>
                <c:pt idx="38">
                  <c:v>10.9626</c:v>
                </c:pt>
                <c:pt idx="39">
                  <c:v>10.9626</c:v>
                </c:pt>
                <c:pt idx="40">
                  <c:v>10.857200000000001</c:v>
                </c:pt>
                <c:pt idx="41">
                  <c:v>11.068</c:v>
                </c:pt>
                <c:pt idx="42">
                  <c:v>11.068</c:v>
                </c:pt>
                <c:pt idx="43">
                  <c:v>11.068</c:v>
                </c:pt>
                <c:pt idx="44">
                  <c:v>10.9626</c:v>
                </c:pt>
                <c:pt idx="45">
                  <c:v>10.9626</c:v>
                </c:pt>
                <c:pt idx="46">
                  <c:v>10.857200000000001</c:v>
                </c:pt>
                <c:pt idx="47">
                  <c:v>10.751799999999999</c:v>
                </c:pt>
                <c:pt idx="48">
                  <c:v>10.857200000000001</c:v>
                </c:pt>
                <c:pt idx="49">
                  <c:v>10.857200000000001</c:v>
                </c:pt>
                <c:pt idx="50">
                  <c:v>11.068</c:v>
                </c:pt>
                <c:pt idx="51">
                  <c:v>11.068</c:v>
                </c:pt>
                <c:pt idx="52">
                  <c:v>11.068</c:v>
                </c:pt>
                <c:pt idx="53">
                  <c:v>11.173400000000001</c:v>
                </c:pt>
                <c:pt idx="54">
                  <c:v>11.068</c:v>
                </c:pt>
                <c:pt idx="55">
                  <c:v>10.9626</c:v>
                </c:pt>
                <c:pt idx="56">
                  <c:v>11.068</c:v>
                </c:pt>
                <c:pt idx="57">
                  <c:v>11.173400000000001</c:v>
                </c:pt>
                <c:pt idx="58">
                  <c:v>10.857200000000001</c:v>
                </c:pt>
                <c:pt idx="59">
                  <c:v>10.857200000000001</c:v>
                </c:pt>
                <c:pt idx="60">
                  <c:v>10.857200000000001</c:v>
                </c:pt>
                <c:pt idx="61">
                  <c:v>10.751799999999999</c:v>
                </c:pt>
                <c:pt idx="62">
                  <c:v>10.751799999999999</c:v>
                </c:pt>
                <c:pt idx="63">
                  <c:v>11.068</c:v>
                </c:pt>
                <c:pt idx="64">
                  <c:v>10.857200000000001</c:v>
                </c:pt>
                <c:pt idx="65">
                  <c:v>11.173400000000001</c:v>
                </c:pt>
                <c:pt idx="66">
                  <c:v>11.2789</c:v>
                </c:pt>
                <c:pt idx="67">
                  <c:v>11.3843</c:v>
                </c:pt>
                <c:pt idx="68">
                  <c:v>11.3843</c:v>
                </c:pt>
                <c:pt idx="69">
                  <c:v>11.489699999999999</c:v>
                </c:pt>
                <c:pt idx="70">
                  <c:v>11.489699999999999</c:v>
                </c:pt>
                <c:pt idx="71">
                  <c:v>11.7005</c:v>
                </c:pt>
                <c:pt idx="72">
                  <c:v>11.7005</c:v>
                </c:pt>
                <c:pt idx="73">
                  <c:v>11.489699999999999</c:v>
                </c:pt>
                <c:pt idx="74">
                  <c:v>11.5951</c:v>
                </c:pt>
                <c:pt idx="75">
                  <c:v>11.489699999999999</c:v>
                </c:pt>
                <c:pt idx="76">
                  <c:v>11.068</c:v>
                </c:pt>
                <c:pt idx="77">
                  <c:v>11.068</c:v>
                </c:pt>
                <c:pt idx="78">
                  <c:v>11.068</c:v>
                </c:pt>
                <c:pt idx="79">
                  <c:v>11.068</c:v>
                </c:pt>
                <c:pt idx="80">
                  <c:v>11.3843</c:v>
                </c:pt>
                <c:pt idx="81">
                  <c:v>11.173400000000001</c:v>
                </c:pt>
                <c:pt idx="82">
                  <c:v>11.173400000000001</c:v>
                </c:pt>
                <c:pt idx="83">
                  <c:v>11.173400000000001</c:v>
                </c:pt>
                <c:pt idx="84">
                  <c:v>11.173400000000001</c:v>
                </c:pt>
                <c:pt idx="85">
                  <c:v>11.173400000000001</c:v>
                </c:pt>
                <c:pt idx="86">
                  <c:v>11.173400000000001</c:v>
                </c:pt>
                <c:pt idx="87">
                  <c:v>11.173400000000001</c:v>
                </c:pt>
                <c:pt idx="88">
                  <c:v>11.068</c:v>
                </c:pt>
                <c:pt idx="89">
                  <c:v>11.6617</c:v>
                </c:pt>
                <c:pt idx="90">
                  <c:v>11.6617</c:v>
                </c:pt>
                <c:pt idx="91">
                  <c:v>11.6617</c:v>
                </c:pt>
                <c:pt idx="92">
                  <c:v>11.6617</c:v>
                </c:pt>
                <c:pt idx="93">
                  <c:v>11.5527</c:v>
                </c:pt>
                <c:pt idx="94">
                  <c:v>11.4437</c:v>
                </c:pt>
                <c:pt idx="95">
                  <c:v>11.5527</c:v>
                </c:pt>
                <c:pt idx="96">
                  <c:v>11.5527</c:v>
                </c:pt>
                <c:pt idx="97">
                  <c:v>11.6617</c:v>
                </c:pt>
                <c:pt idx="98">
                  <c:v>11.5527</c:v>
                </c:pt>
                <c:pt idx="99">
                  <c:v>11.6617</c:v>
                </c:pt>
                <c:pt idx="100">
                  <c:v>11.8797</c:v>
                </c:pt>
                <c:pt idx="101">
                  <c:v>12.0976</c:v>
                </c:pt>
                <c:pt idx="102">
                  <c:v>12.0976</c:v>
                </c:pt>
                <c:pt idx="103">
                  <c:v>11.8797</c:v>
                </c:pt>
                <c:pt idx="104">
                  <c:v>11.9886</c:v>
                </c:pt>
                <c:pt idx="105">
                  <c:v>11.9886</c:v>
                </c:pt>
                <c:pt idx="106">
                  <c:v>11.9886</c:v>
                </c:pt>
                <c:pt idx="107">
                  <c:v>11.9886</c:v>
                </c:pt>
                <c:pt idx="108">
                  <c:v>11.7707</c:v>
                </c:pt>
                <c:pt idx="109">
                  <c:v>11.8797</c:v>
                </c:pt>
                <c:pt idx="110">
                  <c:v>11.8797</c:v>
                </c:pt>
                <c:pt idx="111">
                  <c:v>11.6617</c:v>
                </c:pt>
                <c:pt idx="112">
                  <c:v>11.6617</c:v>
                </c:pt>
                <c:pt idx="113">
                  <c:v>11.7707</c:v>
                </c:pt>
                <c:pt idx="114">
                  <c:v>11.6617</c:v>
                </c:pt>
                <c:pt idx="115">
                  <c:v>11.6617</c:v>
                </c:pt>
                <c:pt idx="116">
                  <c:v>11.6617</c:v>
                </c:pt>
                <c:pt idx="117">
                  <c:v>12.2066</c:v>
                </c:pt>
                <c:pt idx="118">
                  <c:v>11.8797</c:v>
                </c:pt>
                <c:pt idx="119">
                  <c:v>11.9886</c:v>
                </c:pt>
                <c:pt idx="120">
                  <c:v>12.3156</c:v>
                </c:pt>
                <c:pt idx="121">
                  <c:v>12.3156</c:v>
                </c:pt>
                <c:pt idx="122">
                  <c:v>12.4246</c:v>
                </c:pt>
                <c:pt idx="123">
                  <c:v>12.5336</c:v>
                </c:pt>
                <c:pt idx="124">
                  <c:v>12.2066</c:v>
                </c:pt>
                <c:pt idx="125">
                  <c:v>12.4246</c:v>
                </c:pt>
                <c:pt idx="126">
                  <c:v>12.0976</c:v>
                </c:pt>
                <c:pt idx="127">
                  <c:v>12.4246</c:v>
                </c:pt>
                <c:pt idx="128">
                  <c:v>12.5336</c:v>
                </c:pt>
                <c:pt idx="129">
                  <c:v>13.0785</c:v>
                </c:pt>
                <c:pt idx="130">
                  <c:v>13.0785</c:v>
                </c:pt>
                <c:pt idx="131">
                  <c:v>13.0785</c:v>
                </c:pt>
                <c:pt idx="132">
                  <c:v>13.0785</c:v>
                </c:pt>
                <c:pt idx="133">
                  <c:v>13.0785</c:v>
                </c:pt>
                <c:pt idx="134">
                  <c:v>13.0785</c:v>
                </c:pt>
                <c:pt idx="135">
                  <c:v>12.2066</c:v>
                </c:pt>
                <c:pt idx="136">
                  <c:v>12.3156</c:v>
                </c:pt>
                <c:pt idx="137">
                  <c:v>12.5336</c:v>
                </c:pt>
                <c:pt idx="138">
                  <c:v>12.3156</c:v>
                </c:pt>
                <c:pt idx="139">
                  <c:v>12.5336</c:v>
                </c:pt>
                <c:pt idx="140">
                  <c:v>12.7516</c:v>
                </c:pt>
                <c:pt idx="141">
                  <c:v>12.6426</c:v>
                </c:pt>
                <c:pt idx="142">
                  <c:v>12.6426</c:v>
                </c:pt>
                <c:pt idx="143">
                  <c:v>12.9695</c:v>
                </c:pt>
                <c:pt idx="144">
                  <c:v>12.9695</c:v>
                </c:pt>
                <c:pt idx="145">
                  <c:v>13.0785</c:v>
                </c:pt>
                <c:pt idx="146">
                  <c:v>12.8605</c:v>
                </c:pt>
                <c:pt idx="147">
                  <c:v>12.6426</c:v>
                </c:pt>
                <c:pt idx="148">
                  <c:v>12.0549</c:v>
                </c:pt>
                <c:pt idx="149">
                  <c:v>12.0549</c:v>
                </c:pt>
                <c:pt idx="150">
                  <c:v>12.266400000000001</c:v>
                </c:pt>
                <c:pt idx="151">
                  <c:v>12.160600000000001</c:v>
                </c:pt>
                <c:pt idx="152">
                  <c:v>11.7377</c:v>
                </c:pt>
                <c:pt idx="153">
                  <c:v>11.7377</c:v>
                </c:pt>
                <c:pt idx="154">
                  <c:v>11.7377</c:v>
                </c:pt>
                <c:pt idx="155">
                  <c:v>11.843400000000001</c:v>
                </c:pt>
                <c:pt idx="156">
                  <c:v>11.843400000000001</c:v>
                </c:pt>
                <c:pt idx="157">
                  <c:v>12.160600000000001</c:v>
                </c:pt>
                <c:pt idx="158">
                  <c:v>11.7377</c:v>
                </c:pt>
                <c:pt idx="159">
                  <c:v>11.7377</c:v>
                </c:pt>
                <c:pt idx="160">
                  <c:v>11.843400000000001</c:v>
                </c:pt>
                <c:pt idx="161">
                  <c:v>11.843400000000001</c:v>
                </c:pt>
                <c:pt idx="162">
                  <c:v>11.949199999999999</c:v>
                </c:pt>
                <c:pt idx="163">
                  <c:v>11.843400000000001</c:v>
                </c:pt>
                <c:pt idx="164">
                  <c:v>11.843400000000001</c:v>
                </c:pt>
                <c:pt idx="165">
                  <c:v>11.843400000000001</c:v>
                </c:pt>
                <c:pt idx="166">
                  <c:v>11.843400000000001</c:v>
                </c:pt>
                <c:pt idx="167">
                  <c:v>12.0549</c:v>
                </c:pt>
                <c:pt idx="168">
                  <c:v>12.3721</c:v>
                </c:pt>
                <c:pt idx="169">
                  <c:v>12.4779</c:v>
                </c:pt>
                <c:pt idx="170">
                  <c:v>12.689399999999999</c:v>
                </c:pt>
                <c:pt idx="171">
                  <c:v>12.0549</c:v>
                </c:pt>
                <c:pt idx="172">
                  <c:v>12.160600000000001</c:v>
                </c:pt>
                <c:pt idx="173">
                  <c:v>12.0549</c:v>
                </c:pt>
                <c:pt idx="174">
                  <c:v>11.7377</c:v>
                </c:pt>
                <c:pt idx="175">
                  <c:v>11.949199999999999</c:v>
                </c:pt>
                <c:pt idx="176">
                  <c:v>12.0549</c:v>
                </c:pt>
                <c:pt idx="177">
                  <c:v>12.160600000000001</c:v>
                </c:pt>
                <c:pt idx="178">
                  <c:v>12.266400000000001</c:v>
                </c:pt>
                <c:pt idx="179">
                  <c:v>12.266400000000001</c:v>
                </c:pt>
                <c:pt idx="180">
                  <c:v>12.3721</c:v>
                </c:pt>
                <c:pt idx="181">
                  <c:v>12.3721</c:v>
                </c:pt>
                <c:pt idx="182">
                  <c:v>12.160600000000001</c:v>
                </c:pt>
                <c:pt idx="183">
                  <c:v>12.4779</c:v>
                </c:pt>
                <c:pt idx="184">
                  <c:v>12.266400000000001</c:v>
                </c:pt>
                <c:pt idx="185">
                  <c:v>12.689399999999999</c:v>
                </c:pt>
                <c:pt idx="186">
                  <c:v>12.689399999999999</c:v>
                </c:pt>
                <c:pt idx="187">
                  <c:v>12.689399999999999</c:v>
                </c:pt>
                <c:pt idx="188">
                  <c:v>12.266400000000001</c:v>
                </c:pt>
                <c:pt idx="189">
                  <c:v>11.843400000000001</c:v>
                </c:pt>
                <c:pt idx="190">
                  <c:v>11.843400000000001</c:v>
                </c:pt>
                <c:pt idx="191">
                  <c:v>11.949199999999999</c:v>
                </c:pt>
                <c:pt idx="192">
                  <c:v>11.949199999999999</c:v>
                </c:pt>
                <c:pt idx="193">
                  <c:v>11.949199999999999</c:v>
                </c:pt>
                <c:pt idx="194">
                  <c:v>11.3147</c:v>
                </c:pt>
                <c:pt idx="195">
                  <c:v>11.420400000000001</c:v>
                </c:pt>
                <c:pt idx="196">
                  <c:v>11.526199999999999</c:v>
                </c:pt>
                <c:pt idx="197">
                  <c:v>11.526199999999999</c:v>
                </c:pt>
                <c:pt idx="198">
                  <c:v>11.420400000000001</c:v>
                </c:pt>
                <c:pt idx="199">
                  <c:v>11.3147</c:v>
                </c:pt>
                <c:pt idx="200">
                  <c:v>11.2089</c:v>
                </c:pt>
                <c:pt idx="201">
                  <c:v>11.420400000000001</c:v>
                </c:pt>
                <c:pt idx="202">
                  <c:v>11.526199999999999</c:v>
                </c:pt>
                <c:pt idx="203">
                  <c:v>11.2089</c:v>
                </c:pt>
                <c:pt idx="204">
                  <c:v>11.6319</c:v>
                </c:pt>
                <c:pt idx="205">
                  <c:v>11.6319</c:v>
                </c:pt>
                <c:pt idx="206">
                  <c:v>12.266400000000001</c:v>
                </c:pt>
                <c:pt idx="207">
                  <c:v>12.883599999999999</c:v>
                </c:pt>
                <c:pt idx="208">
                  <c:v>12.883599999999999</c:v>
                </c:pt>
                <c:pt idx="209">
                  <c:v>12.999700000000001</c:v>
                </c:pt>
                <c:pt idx="210">
                  <c:v>13.1158</c:v>
                </c:pt>
                <c:pt idx="211">
                  <c:v>13.464</c:v>
                </c:pt>
                <c:pt idx="212">
                  <c:v>13.347899999999999</c:v>
                </c:pt>
                <c:pt idx="213">
                  <c:v>12.7676</c:v>
                </c:pt>
                <c:pt idx="214">
                  <c:v>12.3033</c:v>
                </c:pt>
                <c:pt idx="215">
                  <c:v>12.187200000000001</c:v>
                </c:pt>
                <c:pt idx="216">
                  <c:v>12.535399999999999</c:v>
                </c:pt>
                <c:pt idx="217">
                  <c:v>12.7676</c:v>
                </c:pt>
                <c:pt idx="218">
                  <c:v>12.883599999999999</c:v>
                </c:pt>
                <c:pt idx="219">
                  <c:v>13.1158</c:v>
                </c:pt>
                <c:pt idx="220">
                  <c:v>13.347899999999999</c:v>
                </c:pt>
                <c:pt idx="221">
                  <c:v>13.347899999999999</c:v>
                </c:pt>
                <c:pt idx="222">
                  <c:v>13.2319</c:v>
                </c:pt>
                <c:pt idx="223">
                  <c:v>13.1158</c:v>
                </c:pt>
                <c:pt idx="224">
                  <c:v>12.883599999999999</c:v>
                </c:pt>
                <c:pt idx="225">
                  <c:v>13.1158</c:v>
                </c:pt>
                <c:pt idx="226">
                  <c:v>13.5801</c:v>
                </c:pt>
                <c:pt idx="227">
                  <c:v>13.812200000000001</c:v>
                </c:pt>
                <c:pt idx="228">
                  <c:v>14.160399999999999</c:v>
                </c:pt>
                <c:pt idx="229">
                  <c:v>13.347899999999999</c:v>
                </c:pt>
                <c:pt idx="230">
                  <c:v>13.2319</c:v>
                </c:pt>
                <c:pt idx="231">
                  <c:v>13.464</c:v>
                </c:pt>
                <c:pt idx="232">
                  <c:v>13.464</c:v>
                </c:pt>
                <c:pt idx="233">
                  <c:v>13.464</c:v>
                </c:pt>
                <c:pt idx="234">
                  <c:v>13.464</c:v>
                </c:pt>
                <c:pt idx="235">
                  <c:v>13.5801</c:v>
                </c:pt>
                <c:pt idx="236">
                  <c:v>13.347899999999999</c:v>
                </c:pt>
                <c:pt idx="237">
                  <c:v>13.5801</c:v>
                </c:pt>
                <c:pt idx="238">
                  <c:v>13.5801</c:v>
                </c:pt>
                <c:pt idx="239">
                  <c:v>13.5801</c:v>
                </c:pt>
                <c:pt idx="240">
                  <c:v>13.5801</c:v>
                </c:pt>
                <c:pt idx="241">
                  <c:v>13.812200000000001</c:v>
                </c:pt>
                <c:pt idx="242">
                  <c:v>13.696099999999999</c:v>
                </c:pt>
                <c:pt idx="243">
                  <c:v>13.696099999999999</c:v>
                </c:pt>
                <c:pt idx="244">
                  <c:v>13.812200000000001</c:v>
                </c:pt>
                <c:pt idx="245">
                  <c:v>13.5801</c:v>
                </c:pt>
                <c:pt idx="246">
                  <c:v>13.5801</c:v>
                </c:pt>
                <c:pt idx="247">
                  <c:v>13.696099999999999</c:v>
                </c:pt>
                <c:pt idx="248">
                  <c:v>13.9283</c:v>
                </c:pt>
                <c:pt idx="249">
                  <c:v>13.9283</c:v>
                </c:pt>
                <c:pt idx="250">
                  <c:v>13.5801</c:v>
                </c:pt>
                <c:pt idx="251">
                  <c:v>13.1158</c:v>
                </c:pt>
                <c:pt idx="252">
                  <c:v>13.2319</c:v>
                </c:pt>
                <c:pt idx="253">
                  <c:v>13.696099999999999</c:v>
                </c:pt>
                <c:pt idx="254">
                  <c:v>13.696099999999999</c:v>
                </c:pt>
                <c:pt idx="255">
                  <c:v>13.347899999999999</c:v>
                </c:pt>
                <c:pt idx="256">
                  <c:v>13.464</c:v>
                </c:pt>
                <c:pt idx="257">
                  <c:v>13.464</c:v>
                </c:pt>
                <c:pt idx="258">
                  <c:v>13.1158</c:v>
                </c:pt>
                <c:pt idx="259">
                  <c:v>12.999700000000001</c:v>
                </c:pt>
                <c:pt idx="260">
                  <c:v>12.883599999999999</c:v>
                </c:pt>
                <c:pt idx="261">
                  <c:v>13.1158</c:v>
                </c:pt>
                <c:pt idx="262">
                  <c:v>12.883599999999999</c:v>
                </c:pt>
                <c:pt idx="263">
                  <c:v>13.2319</c:v>
                </c:pt>
                <c:pt idx="264">
                  <c:v>14.0443</c:v>
                </c:pt>
                <c:pt idx="265">
                  <c:v>14.160399999999999</c:v>
                </c:pt>
                <c:pt idx="266">
                  <c:v>14.2765</c:v>
                </c:pt>
                <c:pt idx="267">
                  <c:v>14.3925</c:v>
                </c:pt>
                <c:pt idx="268">
                  <c:v>14.3925</c:v>
                </c:pt>
                <c:pt idx="269">
                  <c:v>14.3925</c:v>
                </c:pt>
                <c:pt idx="270">
                  <c:v>13.812200000000001</c:v>
                </c:pt>
                <c:pt idx="271">
                  <c:v>13.5801</c:v>
                </c:pt>
                <c:pt idx="272">
                  <c:v>13.1365</c:v>
                </c:pt>
                <c:pt idx="273">
                  <c:v>13.821899999999999</c:v>
                </c:pt>
                <c:pt idx="274">
                  <c:v>14.0503</c:v>
                </c:pt>
                <c:pt idx="275">
                  <c:v>13.9361</c:v>
                </c:pt>
                <c:pt idx="276">
                  <c:v>14.1646</c:v>
                </c:pt>
                <c:pt idx="277">
                  <c:v>14.393000000000001</c:v>
                </c:pt>
                <c:pt idx="278">
                  <c:v>14.0503</c:v>
                </c:pt>
                <c:pt idx="279">
                  <c:v>14.393000000000001</c:v>
                </c:pt>
                <c:pt idx="280">
                  <c:v>14.621499999999999</c:v>
                </c:pt>
                <c:pt idx="281">
                  <c:v>14.507300000000001</c:v>
                </c:pt>
                <c:pt idx="282">
                  <c:v>14.8499</c:v>
                </c:pt>
                <c:pt idx="283">
                  <c:v>15.192600000000001</c:v>
                </c:pt>
                <c:pt idx="284">
                  <c:v>15.421099999999999</c:v>
                </c:pt>
                <c:pt idx="285">
                  <c:v>15.7638</c:v>
                </c:pt>
                <c:pt idx="286">
                  <c:v>15.306900000000001</c:v>
                </c:pt>
                <c:pt idx="287">
                  <c:v>15.0784</c:v>
                </c:pt>
                <c:pt idx="288">
                  <c:v>15.192600000000001</c:v>
                </c:pt>
                <c:pt idx="289">
                  <c:v>15.421099999999999</c:v>
                </c:pt>
                <c:pt idx="290">
                  <c:v>15.535299999999999</c:v>
                </c:pt>
                <c:pt idx="291">
                  <c:v>15.9922</c:v>
                </c:pt>
                <c:pt idx="292">
                  <c:v>15.535299999999999</c:v>
                </c:pt>
                <c:pt idx="293">
                  <c:v>15.0784</c:v>
                </c:pt>
                <c:pt idx="294">
                  <c:v>15.306900000000001</c:v>
                </c:pt>
                <c:pt idx="295">
                  <c:v>15.0784</c:v>
                </c:pt>
                <c:pt idx="296">
                  <c:v>15.192600000000001</c:v>
                </c:pt>
                <c:pt idx="297">
                  <c:v>14.8499</c:v>
                </c:pt>
                <c:pt idx="298">
                  <c:v>14.507300000000001</c:v>
                </c:pt>
                <c:pt idx="299">
                  <c:v>14.393000000000001</c:v>
                </c:pt>
                <c:pt idx="300">
                  <c:v>14.1646</c:v>
                </c:pt>
                <c:pt idx="301">
                  <c:v>14.1646</c:v>
                </c:pt>
                <c:pt idx="302">
                  <c:v>14.1646</c:v>
                </c:pt>
                <c:pt idx="303">
                  <c:v>14.1646</c:v>
                </c:pt>
                <c:pt idx="304">
                  <c:v>14.507300000000001</c:v>
                </c:pt>
                <c:pt idx="305">
                  <c:v>14.507300000000001</c:v>
                </c:pt>
                <c:pt idx="306">
                  <c:v>13.9361</c:v>
                </c:pt>
                <c:pt idx="307">
                  <c:v>14.8499</c:v>
                </c:pt>
                <c:pt idx="308">
                  <c:v>15.0784</c:v>
                </c:pt>
                <c:pt idx="309">
                  <c:v>14.7357</c:v>
                </c:pt>
                <c:pt idx="310">
                  <c:v>14.507300000000001</c:v>
                </c:pt>
                <c:pt idx="311">
                  <c:v>14.0503</c:v>
                </c:pt>
                <c:pt idx="312">
                  <c:v>14.1646</c:v>
                </c:pt>
                <c:pt idx="313">
                  <c:v>14.393000000000001</c:v>
                </c:pt>
                <c:pt idx="314">
                  <c:v>13.593400000000001</c:v>
                </c:pt>
                <c:pt idx="315">
                  <c:v>13.821899999999999</c:v>
                </c:pt>
                <c:pt idx="316">
                  <c:v>13.707599999999999</c:v>
                </c:pt>
                <c:pt idx="317">
                  <c:v>13.365</c:v>
                </c:pt>
                <c:pt idx="318">
                  <c:v>13.707599999999999</c:v>
                </c:pt>
                <c:pt idx="319">
                  <c:v>13.707599999999999</c:v>
                </c:pt>
                <c:pt idx="320">
                  <c:v>13.821899999999999</c:v>
                </c:pt>
                <c:pt idx="321">
                  <c:v>13.821899999999999</c:v>
                </c:pt>
                <c:pt idx="322">
                  <c:v>13.365</c:v>
                </c:pt>
                <c:pt idx="323">
                  <c:v>12.907999999999999</c:v>
                </c:pt>
                <c:pt idx="324">
                  <c:v>12.907999999999999</c:v>
                </c:pt>
                <c:pt idx="325">
                  <c:v>13.0223</c:v>
                </c:pt>
                <c:pt idx="326">
                  <c:v>12.907999999999999</c:v>
                </c:pt>
                <c:pt idx="327">
                  <c:v>13.0223</c:v>
                </c:pt>
                <c:pt idx="328">
                  <c:v>13.0223</c:v>
                </c:pt>
                <c:pt idx="329">
                  <c:v>13.365</c:v>
                </c:pt>
                <c:pt idx="330">
                  <c:v>13.2507</c:v>
                </c:pt>
                <c:pt idx="331">
                  <c:v>13.365</c:v>
                </c:pt>
                <c:pt idx="332">
                  <c:v>13.821899999999999</c:v>
                </c:pt>
                <c:pt idx="333">
                  <c:v>13.479200000000001</c:v>
                </c:pt>
                <c:pt idx="334">
                  <c:v>13.593400000000001</c:v>
                </c:pt>
                <c:pt idx="335">
                  <c:v>13.479200000000001</c:v>
                </c:pt>
                <c:pt idx="336">
                  <c:v>13.1249</c:v>
                </c:pt>
                <c:pt idx="337">
                  <c:v>13.1249</c:v>
                </c:pt>
                <c:pt idx="338">
                  <c:v>13.2361</c:v>
                </c:pt>
                <c:pt idx="339">
                  <c:v>13.569800000000001</c:v>
                </c:pt>
                <c:pt idx="340">
                  <c:v>12.68</c:v>
                </c:pt>
                <c:pt idx="341">
                  <c:v>13.0137</c:v>
                </c:pt>
                <c:pt idx="342">
                  <c:v>13.569800000000001</c:v>
                </c:pt>
                <c:pt idx="343">
                  <c:v>13.680999999999999</c:v>
                </c:pt>
                <c:pt idx="344">
                  <c:v>14.014699999999999</c:v>
                </c:pt>
                <c:pt idx="345">
                  <c:v>14.014699999999999</c:v>
                </c:pt>
                <c:pt idx="346">
                  <c:v>13.792299999999999</c:v>
                </c:pt>
                <c:pt idx="347">
                  <c:v>14.1259</c:v>
                </c:pt>
                <c:pt idx="348">
                  <c:v>13.903499999999999</c:v>
                </c:pt>
                <c:pt idx="349">
                  <c:v>14.4596</c:v>
                </c:pt>
                <c:pt idx="350">
                  <c:v>14.5708</c:v>
                </c:pt>
                <c:pt idx="351">
                  <c:v>15.127000000000001</c:v>
                </c:pt>
                <c:pt idx="352">
                  <c:v>15.238200000000001</c:v>
                </c:pt>
                <c:pt idx="353">
                  <c:v>15.349399999999999</c:v>
                </c:pt>
                <c:pt idx="354">
                  <c:v>15.238200000000001</c:v>
                </c:pt>
                <c:pt idx="355">
                  <c:v>15.460699999999999</c:v>
                </c:pt>
                <c:pt idx="356">
                  <c:v>15.460699999999999</c:v>
                </c:pt>
                <c:pt idx="357">
                  <c:v>15.349399999999999</c:v>
                </c:pt>
                <c:pt idx="358">
                  <c:v>16.2393</c:v>
                </c:pt>
                <c:pt idx="359">
                  <c:v>16.3505</c:v>
                </c:pt>
                <c:pt idx="360">
                  <c:v>16.3505</c:v>
                </c:pt>
                <c:pt idx="361">
                  <c:v>15.6831</c:v>
                </c:pt>
                <c:pt idx="362">
                  <c:v>15.571899999999999</c:v>
                </c:pt>
                <c:pt idx="363">
                  <c:v>15.6831</c:v>
                </c:pt>
                <c:pt idx="364">
                  <c:v>15.571899999999999</c:v>
                </c:pt>
                <c:pt idx="365">
                  <c:v>15.460699999999999</c:v>
                </c:pt>
                <c:pt idx="366">
                  <c:v>16.0168</c:v>
                </c:pt>
                <c:pt idx="367">
                  <c:v>15.9056</c:v>
                </c:pt>
                <c:pt idx="368">
                  <c:v>15.9056</c:v>
                </c:pt>
                <c:pt idx="369">
                  <c:v>16.0168</c:v>
                </c:pt>
                <c:pt idx="370">
                  <c:v>15.238200000000001</c:v>
                </c:pt>
                <c:pt idx="371">
                  <c:v>15.349399999999999</c:v>
                </c:pt>
                <c:pt idx="372">
                  <c:v>15.238200000000001</c:v>
                </c:pt>
                <c:pt idx="373">
                  <c:v>15.460699999999999</c:v>
                </c:pt>
                <c:pt idx="374">
                  <c:v>15.460699999999999</c:v>
                </c:pt>
                <c:pt idx="375">
                  <c:v>15.460699999999999</c:v>
                </c:pt>
                <c:pt idx="376">
                  <c:v>15.460699999999999</c:v>
                </c:pt>
                <c:pt idx="377">
                  <c:v>15.460699999999999</c:v>
                </c:pt>
                <c:pt idx="378">
                  <c:v>15.9056</c:v>
                </c:pt>
                <c:pt idx="379">
                  <c:v>15.571899999999999</c:v>
                </c:pt>
                <c:pt idx="380">
                  <c:v>15.6831</c:v>
                </c:pt>
                <c:pt idx="381">
                  <c:v>15.6831</c:v>
                </c:pt>
                <c:pt idx="382">
                  <c:v>16.684200000000001</c:v>
                </c:pt>
                <c:pt idx="383">
                  <c:v>16.906600000000001</c:v>
                </c:pt>
                <c:pt idx="384">
                  <c:v>16.2393</c:v>
                </c:pt>
                <c:pt idx="385">
                  <c:v>16.0168</c:v>
                </c:pt>
                <c:pt idx="386">
                  <c:v>16.4617</c:v>
                </c:pt>
                <c:pt idx="387">
                  <c:v>16.4617</c:v>
                </c:pt>
                <c:pt idx="388">
                  <c:v>16.572900000000001</c:v>
                </c:pt>
                <c:pt idx="389">
                  <c:v>15.238200000000001</c:v>
                </c:pt>
                <c:pt idx="390">
                  <c:v>15.349399999999999</c:v>
                </c:pt>
                <c:pt idx="391">
                  <c:v>15.460699999999999</c:v>
                </c:pt>
                <c:pt idx="392">
                  <c:v>14.7933</c:v>
                </c:pt>
                <c:pt idx="393">
                  <c:v>14.7933</c:v>
                </c:pt>
                <c:pt idx="394">
                  <c:v>14.904500000000001</c:v>
                </c:pt>
                <c:pt idx="395">
                  <c:v>14.3484</c:v>
                </c:pt>
                <c:pt idx="396">
                  <c:v>14.7933</c:v>
                </c:pt>
                <c:pt idx="397">
                  <c:v>15.127000000000001</c:v>
                </c:pt>
                <c:pt idx="398">
                  <c:v>16.5258</c:v>
                </c:pt>
                <c:pt idx="399">
                  <c:v>16.5258</c:v>
                </c:pt>
                <c:pt idx="400">
                  <c:v>16.6464</c:v>
                </c:pt>
                <c:pt idx="401">
                  <c:v>16.405100000000001</c:v>
                </c:pt>
                <c:pt idx="402">
                  <c:v>16.6464</c:v>
                </c:pt>
                <c:pt idx="403">
                  <c:v>16.5258</c:v>
                </c:pt>
                <c:pt idx="404">
                  <c:v>16.6464</c:v>
                </c:pt>
                <c:pt idx="405">
                  <c:v>16.887599999999999</c:v>
                </c:pt>
                <c:pt idx="406">
                  <c:v>16.284500000000001</c:v>
                </c:pt>
                <c:pt idx="407">
                  <c:v>16.284500000000001</c:v>
                </c:pt>
                <c:pt idx="408">
                  <c:v>15.440099999999999</c:v>
                </c:pt>
                <c:pt idx="409">
                  <c:v>15.922599999999999</c:v>
                </c:pt>
                <c:pt idx="410">
                  <c:v>16.405100000000001</c:v>
                </c:pt>
                <c:pt idx="411">
                  <c:v>15.6814</c:v>
                </c:pt>
                <c:pt idx="412">
                  <c:v>15.802</c:v>
                </c:pt>
                <c:pt idx="413">
                  <c:v>15.802</c:v>
                </c:pt>
                <c:pt idx="414">
                  <c:v>15.440099999999999</c:v>
                </c:pt>
                <c:pt idx="415">
                  <c:v>15.1989</c:v>
                </c:pt>
                <c:pt idx="416">
                  <c:v>15.1989</c:v>
                </c:pt>
                <c:pt idx="417">
                  <c:v>15.1989</c:v>
                </c:pt>
                <c:pt idx="418">
                  <c:v>15.6814</c:v>
                </c:pt>
                <c:pt idx="419">
                  <c:v>15.5608</c:v>
                </c:pt>
                <c:pt idx="420">
                  <c:v>15.5608</c:v>
                </c:pt>
                <c:pt idx="421">
                  <c:v>14.957599999999999</c:v>
                </c:pt>
                <c:pt idx="422">
                  <c:v>15.3195</c:v>
                </c:pt>
                <c:pt idx="423">
                  <c:v>15.922599999999999</c:v>
                </c:pt>
                <c:pt idx="424">
                  <c:v>16.043299999999999</c:v>
                </c:pt>
                <c:pt idx="425">
                  <c:v>16.284500000000001</c:v>
                </c:pt>
                <c:pt idx="426">
                  <c:v>16.405100000000001</c:v>
                </c:pt>
                <c:pt idx="427">
                  <c:v>16.284500000000001</c:v>
                </c:pt>
                <c:pt idx="428">
                  <c:v>16.5258</c:v>
                </c:pt>
                <c:pt idx="429">
                  <c:v>16.405100000000001</c:v>
                </c:pt>
                <c:pt idx="430">
                  <c:v>16.284500000000001</c:v>
                </c:pt>
                <c:pt idx="431">
                  <c:v>17.008299999999998</c:v>
                </c:pt>
                <c:pt idx="432">
                  <c:v>17.128900000000002</c:v>
                </c:pt>
                <c:pt idx="433">
                  <c:v>17.249500000000001</c:v>
                </c:pt>
                <c:pt idx="434">
                  <c:v>17.249500000000001</c:v>
                </c:pt>
                <c:pt idx="435">
                  <c:v>17.128900000000002</c:v>
                </c:pt>
                <c:pt idx="436">
                  <c:v>16.405100000000001</c:v>
                </c:pt>
                <c:pt idx="437">
                  <c:v>15.922599999999999</c:v>
                </c:pt>
                <c:pt idx="438">
                  <c:v>17.008299999999998</c:v>
                </c:pt>
                <c:pt idx="439">
                  <c:v>18.214500000000001</c:v>
                </c:pt>
                <c:pt idx="440">
                  <c:v>18.817699999999999</c:v>
                </c:pt>
                <c:pt idx="441">
                  <c:v>18.938300000000002</c:v>
                </c:pt>
                <c:pt idx="442">
                  <c:v>18.817699999999999</c:v>
                </c:pt>
                <c:pt idx="443">
                  <c:v>18.5764</c:v>
                </c:pt>
                <c:pt idx="444">
                  <c:v>18.4558</c:v>
                </c:pt>
                <c:pt idx="445">
                  <c:v>18.817699999999999</c:v>
                </c:pt>
                <c:pt idx="446">
                  <c:v>18.938300000000002</c:v>
                </c:pt>
                <c:pt idx="447">
                  <c:v>19.058900000000001</c:v>
                </c:pt>
                <c:pt idx="448">
                  <c:v>18.938300000000002</c:v>
                </c:pt>
                <c:pt idx="449">
                  <c:v>18.817699999999999</c:v>
                </c:pt>
                <c:pt idx="450">
                  <c:v>19.4208</c:v>
                </c:pt>
                <c:pt idx="451">
                  <c:v>18.5764</c:v>
                </c:pt>
                <c:pt idx="452">
                  <c:v>18.4558</c:v>
                </c:pt>
                <c:pt idx="453">
                  <c:v>18.817699999999999</c:v>
                </c:pt>
                <c:pt idx="454">
                  <c:v>19.3002</c:v>
                </c:pt>
                <c:pt idx="455">
                  <c:v>19.3002</c:v>
                </c:pt>
                <c:pt idx="456">
                  <c:v>18.431699999999999</c:v>
                </c:pt>
                <c:pt idx="457">
                  <c:v>21.231400000000001</c:v>
                </c:pt>
                <c:pt idx="458">
                  <c:v>20.903099999999998</c:v>
                </c:pt>
                <c:pt idx="459">
                  <c:v>19.972799999999999</c:v>
                </c:pt>
                <c:pt idx="460">
                  <c:v>20.0275</c:v>
                </c:pt>
                <c:pt idx="461">
                  <c:v>20.0823</c:v>
                </c:pt>
                <c:pt idx="462">
                  <c:v>20.246400000000001</c:v>
                </c:pt>
                <c:pt idx="463">
                  <c:v>19.972799999999999</c:v>
                </c:pt>
                <c:pt idx="464">
                  <c:v>19.753900000000002</c:v>
                </c:pt>
                <c:pt idx="465">
                  <c:v>20.137</c:v>
                </c:pt>
                <c:pt idx="466">
                  <c:v>20.52</c:v>
                </c:pt>
                <c:pt idx="467">
                  <c:v>20.793600000000001</c:v>
                </c:pt>
                <c:pt idx="468">
                  <c:v>21.231400000000001</c:v>
                </c:pt>
                <c:pt idx="469">
                  <c:v>21.778600000000001</c:v>
                </c:pt>
                <c:pt idx="470">
                  <c:v>21.1767</c:v>
                </c:pt>
                <c:pt idx="471">
                  <c:v>21.340800000000002</c:v>
                </c:pt>
                <c:pt idx="472">
                  <c:v>20.903099999999998</c:v>
                </c:pt>
                <c:pt idx="473">
                  <c:v>20.410599999999999</c:v>
                </c:pt>
                <c:pt idx="474">
                  <c:v>20.137</c:v>
                </c:pt>
                <c:pt idx="475">
                  <c:v>20.137</c:v>
                </c:pt>
                <c:pt idx="476">
                  <c:v>20.0823</c:v>
                </c:pt>
                <c:pt idx="477">
                  <c:v>20.246400000000001</c:v>
                </c:pt>
                <c:pt idx="478">
                  <c:v>20.52</c:v>
                </c:pt>
                <c:pt idx="479">
                  <c:v>21.1219</c:v>
                </c:pt>
                <c:pt idx="480">
                  <c:v>20.738900000000001</c:v>
                </c:pt>
                <c:pt idx="481">
                  <c:v>21.012499999999999</c:v>
                </c:pt>
                <c:pt idx="482">
                  <c:v>20.957799999999999</c:v>
                </c:pt>
                <c:pt idx="483">
                  <c:v>20.0275</c:v>
                </c:pt>
                <c:pt idx="484">
                  <c:v>19.644500000000001</c:v>
                </c:pt>
                <c:pt idx="485">
                  <c:v>19.370899999999999</c:v>
                </c:pt>
                <c:pt idx="486">
                  <c:v>19.261500000000002</c:v>
                </c:pt>
                <c:pt idx="487">
                  <c:v>19.5351</c:v>
                </c:pt>
                <c:pt idx="488">
                  <c:v>19.261500000000002</c:v>
                </c:pt>
                <c:pt idx="489">
                  <c:v>19.5898</c:v>
                </c:pt>
                <c:pt idx="490">
                  <c:v>18.768999999999998</c:v>
                </c:pt>
                <c:pt idx="491">
                  <c:v>19.808700000000002</c:v>
                </c:pt>
                <c:pt idx="492">
                  <c:v>20.355899999999998</c:v>
                </c:pt>
                <c:pt idx="493">
                  <c:v>20.191700000000001</c:v>
                </c:pt>
                <c:pt idx="494">
                  <c:v>19.808700000000002</c:v>
                </c:pt>
                <c:pt idx="495">
                  <c:v>19.972799999999999</c:v>
                </c:pt>
                <c:pt idx="496">
                  <c:v>18.823699999999999</c:v>
                </c:pt>
                <c:pt idx="497">
                  <c:v>19.261500000000002</c:v>
                </c:pt>
                <c:pt idx="498">
                  <c:v>18.9879</c:v>
                </c:pt>
                <c:pt idx="499">
                  <c:v>19.152000000000001</c:v>
                </c:pt>
                <c:pt idx="500">
                  <c:v>20.191700000000001</c:v>
                </c:pt>
                <c:pt idx="501">
                  <c:v>20.137</c:v>
                </c:pt>
                <c:pt idx="502">
                  <c:v>19.808700000000002</c:v>
                </c:pt>
                <c:pt idx="503">
                  <c:v>18.4954</c:v>
                </c:pt>
                <c:pt idx="504">
                  <c:v>18.0029</c:v>
                </c:pt>
                <c:pt idx="505">
                  <c:v>17.072700000000001</c:v>
                </c:pt>
                <c:pt idx="506">
                  <c:v>17.236799999999999</c:v>
                </c:pt>
                <c:pt idx="507">
                  <c:v>17.236799999999999</c:v>
                </c:pt>
                <c:pt idx="508">
                  <c:v>18.112300000000001</c:v>
                </c:pt>
                <c:pt idx="509">
                  <c:v>18.385899999999999</c:v>
                </c:pt>
                <c:pt idx="510">
                  <c:v>17.619900000000001</c:v>
                </c:pt>
                <c:pt idx="511">
                  <c:v>17.729299999999999</c:v>
                </c:pt>
                <c:pt idx="512">
                  <c:v>17.838699999999999</c:v>
                </c:pt>
                <c:pt idx="513">
                  <c:v>17.401</c:v>
                </c:pt>
                <c:pt idx="514">
                  <c:v>17.510400000000001</c:v>
                </c:pt>
                <c:pt idx="515">
                  <c:v>16.251899999999999</c:v>
                </c:pt>
                <c:pt idx="516">
                  <c:v>16.087700000000002</c:v>
                </c:pt>
                <c:pt idx="517">
                  <c:v>15.923500000000001</c:v>
                </c:pt>
                <c:pt idx="518">
                  <c:v>15.923500000000001</c:v>
                </c:pt>
                <c:pt idx="519">
                  <c:v>16.087700000000002</c:v>
                </c:pt>
                <c:pt idx="520">
                  <c:v>16.416</c:v>
                </c:pt>
                <c:pt idx="521">
                  <c:v>15.8688</c:v>
                </c:pt>
                <c:pt idx="522">
                  <c:v>15.8185</c:v>
                </c:pt>
                <c:pt idx="523">
                  <c:v>15.7098</c:v>
                </c:pt>
                <c:pt idx="524">
                  <c:v>15.764099999999999</c:v>
                </c:pt>
                <c:pt idx="525">
                  <c:v>15.764099999999999</c:v>
                </c:pt>
                <c:pt idx="526">
                  <c:v>15.7098</c:v>
                </c:pt>
                <c:pt idx="527">
                  <c:v>15.274900000000001</c:v>
                </c:pt>
                <c:pt idx="528">
                  <c:v>15.3293</c:v>
                </c:pt>
                <c:pt idx="529">
                  <c:v>15.4923</c:v>
                </c:pt>
                <c:pt idx="530">
                  <c:v>15.8185</c:v>
                </c:pt>
                <c:pt idx="531">
                  <c:v>14.894399999999999</c:v>
                </c:pt>
                <c:pt idx="532">
                  <c:v>15.274900000000001</c:v>
                </c:pt>
                <c:pt idx="533">
                  <c:v>15.0031</c:v>
                </c:pt>
                <c:pt idx="534">
                  <c:v>14.731299999999999</c:v>
                </c:pt>
                <c:pt idx="535">
                  <c:v>15.220499999999999</c:v>
                </c:pt>
                <c:pt idx="536">
                  <c:v>15.383599999999999</c:v>
                </c:pt>
                <c:pt idx="537">
                  <c:v>14.568199999999999</c:v>
                </c:pt>
                <c:pt idx="538">
                  <c:v>14.405200000000001</c:v>
                </c:pt>
                <c:pt idx="539">
                  <c:v>13.915900000000001</c:v>
                </c:pt>
                <c:pt idx="540">
                  <c:v>14.242100000000001</c:v>
                </c:pt>
                <c:pt idx="541">
                  <c:v>14.4595</c:v>
                </c:pt>
                <c:pt idx="542">
                  <c:v>14.242100000000001</c:v>
                </c:pt>
                <c:pt idx="543">
                  <c:v>14.079000000000001</c:v>
                </c:pt>
                <c:pt idx="544">
                  <c:v>14.1877</c:v>
                </c:pt>
                <c:pt idx="545">
                  <c:v>14.4595</c:v>
                </c:pt>
                <c:pt idx="546">
                  <c:v>14.405200000000001</c:v>
                </c:pt>
                <c:pt idx="547">
                  <c:v>14.2964</c:v>
                </c:pt>
                <c:pt idx="548">
                  <c:v>13.481</c:v>
                </c:pt>
                <c:pt idx="549">
                  <c:v>13.209300000000001</c:v>
                </c:pt>
                <c:pt idx="550">
                  <c:v>13.4267</c:v>
                </c:pt>
                <c:pt idx="551">
                  <c:v>13.4267</c:v>
                </c:pt>
                <c:pt idx="552">
                  <c:v>14.1334</c:v>
                </c:pt>
                <c:pt idx="553">
                  <c:v>14.6226</c:v>
                </c:pt>
                <c:pt idx="554">
                  <c:v>14.948700000000001</c:v>
                </c:pt>
                <c:pt idx="555">
                  <c:v>14.948700000000001</c:v>
                </c:pt>
                <c:pt idx="556">
                  <c:v>14.242100000000001</c:v>
                </c:pt>
                <c:pt idx="557">
                  <c:v>14.7857</c:v>
                </c:pt>
                <c:pt idx="558">
                  <c:v>15.0031</c:v>
                </c:pt>
                <c:pt idx="559">
                  <c:v>15.057499999999999</c:v>
                </c:pt>
                <c:pt idx="560">
                  <c:v>15.111800000000001</c:v>
                </c:pt>
                <c:pt idx="561">
                  <c:v>16.090299999999999</c:v>
                </c:pt>
                <c:pt idx="562">
                  <c:v>14.405200000000001</c:v>
                </c:pt>
                <c:pt idx="563">
                  <c:v>14.2964</c:v>
                </c:pt>
                <c:pt idx="564">
                  <c:v>15.111800000000001</c:v>
                </c:pt>
                <c:pt idx="565">
                  <c:v>16.199000000000002</c:v>
                </c:pt>
                <c:pt idx="566">
                  <c:v>17.3949</c:v>
                </c:pt>
                <c:pt idx="567">
                  <c:v>13.915900000000001</c:v>
                </c:pt>
                <c:pt idx="568">
                  <c:v>13.698499999999999</c:v>
                </c:pt>
                <c:pt idx="569">
                  <c:v>13.535399999999999</c:v>
                </c:pt>
                <c:pt idx="570">
                  <c:v>12.6113</c:v>
                </c:pt>
                <c:pt idx="571">
                  <c:v>12.6113</c:v>
                </c:pt>
                <c:pt idx="572">
                  <c:v>12.665699999999999</c:v>
                </c:pt>
                <c:pt idx="573">
                  <c:v>11.850300000000001</c:v>
                </c:pt>
                <c:pt idx="574">
                  <c:v>11.469799999999999</c:v>
                </c:pt>
                <c:pt idx="575">
                  <c:v>11.5785</c:v>
                </c:pt>
                <c:pt idx="576">
                  <c:v>11.524100000000001</c:v>
                </c:pt>
                <c:pt idx="577">
                  <c:v>11.959</c:v>
                </c:pt>
                <c:pt idx="578">
                  <c:v>12.2308</c:v>
                </c:pt>
                <c:pt idx="579">
                  <c:v>12.502599999999999</c:v>
                </c:pt>
                <c:pt idx="580">
                  <c:v>11.4154</c:v>
                </c:pt>
                <c:pt idx="581">
                  <c:v>11.306699999999999</c:v>
                </c:pt>
                <c:pt idx="582">
                  <c:v>11.4154</c:v>
                </c:pt>
                <c:pt idx="583">
                  <c:v>11.5785</c:v>
                </c:pt>
                <c:pt idx="584">
                  <c:v>11.5785</c:v>
                </c:pt>
                <c:pt idx="585">
                  <c:v>11.9046</c:v>
                </c:pt>
                <c:pt idx="586">
                  <c:v>12.8315</c:v>
                </c:pt>
                <c:pt idx="587">
                  <c:v>13.4574</c:v>
                </c:pt>
                <c:pt idx="588">
                  <c:v>12.581099999999999</c:v>
                </c:pt>
                <c:pt idx="589">
                  <c:v>13.081899999999999</c:v>
                </c:pt>
                <c:pt idx="590">
                  <c:v>13.645200000000001</c:v>
                </c:pt>
                <c:pt idx="591">
                  <c:v>13.269600000000001</c:v>
                </c:pt>
                <c:pt idx="592">
                  <c:v>10.640700000000001</c:v>
                </c:pt>
                <c:pt idx="593">
                  <c:v>10.8285</c:v>
                </c:pt>
                <c:pt idx="594">
                  <c:v>10.9537</c:v>
                </c:pt>
                <c:pt idx="595">
                  <c:v>10.9224</c:v>
                </c:pt>
                <c:pt idx="596">
                  <c:v>10.9224</c:v>
                </c:pt>
                <c:pt idx="597">
                  <c:v>10.9537</c:v>
                </c:pt>
                <c:pt idx="598">
                  <c:v>10.8598</c:v>
                </c:pt>
                <c:pt idx="599">
                  <c:v>10.7033</c:v>
                </c:pt>
                <c:pt idx="600">
                  <c:v>10.672000000000001</c:v>
                </c:pt>
                <c:pt idx="601">
                  <c:v>10.672000000000001</c:v>
                </c:pt>
                <c:pt idx="602">
                  <c:v>10.640700000000001</c:v>
                </c:pt>
                <c:pt idx="603">
                  <c:v>10.672000000000001</c:v>
                </c:pt>
                <c:pt idx="604">
                  <c:v>10.672000000000001</c:v>
                </c:pt>
                <c:pt idx="605">
                  <c:v>10.7033</c:v>
                </c:pt>
                <c:pt idx="606">
                  <c:v>10.7033</c:v>
                </c:pt>
                <c:pt idx="607">
                  <c:v>10.640700000000001</c:v>
                </c:pt>
                <c:pt idx="608">
                  <c:v>10.672000000000001</c:v>
                </c:pt>
                <c:pt idx="609">
                  <c:v>10.640700000000001</c:v>
                </c:pt>
                <c:pt idx="610">
                  <c:v>10.640700000000001</c:v>
                </c:pt>
                <c:pt idx="611">
                  <c:v>10.672000000000001</c:v>
                </c:pt>
                <c:pt idx="612">
                  <c:v>10.640700000000001</c:v>
                </c:pt>
                <c:pt idx="613">
                  <c:v>10.7659</c:v>
                </c:pt>
                <c:pt idx="614">
                  <c:v>10.7659</c:v>
                </c:pt>
                <c:pt idx="615">
                  <c:v>10.640700000000001</c:v>
                </c:pt>
                <c:pt idx="616">
                  <c:v>10.640700000000001</c:v>
                </c:pt>
                <c:pt idx="617">
                  <c:v>10.578200000000001</c:v>
                </c:pt>
                <c:pt idx="618">
                  <c:v>10.578200000000001</c:v>
                </c:pt>
                <c:pt idx="619">
                  <c:v>10.578200000000001</c:v>
                </c:pt>
                <c:pt idx="620">
                  <c:v>10.578200000000001</c:v>
                </c:pt>
                <c:pt idx="621">
                  <c:v>10.578200000000001</c:v>
                </c:pt>
                <c:pt idx="622">
                  <c:v>10.609400000000001</c:v>
                </c:pt>
                <c:pt idx="623">
                  <c:v>10.515599999999999</c:v>
                </c:pt>
                <c:pt idx="624">
                  <c:v>10.609400000000001</c:v>
                </c:pt>
                <c:pt idx="625">
                  <c:v>10.546900000000001</c:v>
                </c:pt>
                <c:pt idx="626">
                  <c:v>10.640700000000001</c:v>
                </c:pt>
                <c:pt idx="627">
                  <c:v>10.3278</c:v>
                </c:pt>
                <c:pt idx="628">
                  <c:v>10.3278</c:v>
                </c:pt>
                <c:pt idx="629">
                  <c:v>10.3278</c:v>
                </c:pt>
                <c:pt idx="630">
                  <c:v>10.3278</c:v>
                </c:pt>
                <c:pt idx="631">
                  <c:v>10.3591</c:v>
                </c:pt>
                <c:pt idx="632">
                  <c:v>10.452999999999999</c:v>
                </c:pt>
                <c:pt idx="633">
                  <c:v>10.452999999999999</c:v>
                </c:pt>
                <c:pt idx="634">
                  <c:v>10.3904</c:v>
                </c:pt>
                <c:pt idx="635">
                  <c:v>10.3278</c:v>
                </c:pt>
                <c:pt idx="636">
                  <c:v>10.2339</c:v>
                </c:pt>
                <c:pt idx="637">
                  <c:v>10.2965</c:v>
                </c:pt>
                <c:pt idx="638">
                  <c:v>10.2652</c:v>
                </c:pt>
                <c:pt idx="639">
                  <c:v>10.1713</c:v>
                </c:pt>
                <c:pt idx="640">
                  <c:v>10.14</c:v>
                </c:pt>
                <c:pt idx="641">
                  <c:v>10.014799999999999</c:v>
                </c:pt>
                <c:pt idx="642">
                  <c:v>10.108700000000001</c:v>
                </c:pt>
                <c:pt idx="643">
                  <c:v>10.2026</c:v>
                </c:pt>
                <c:pt idx="644">
                  <c:v>10.14</c:v>
                </c:pt>
                <c:pt idx="645">
                  <c:v>10.14</c:v>
                </c:pt>
                <c:pt idx="646">
                  <c:v>10.1713</c:v>
                </c:pt>
                <c:pt idx="647">
                  <c:v>10.108700000000001</c:v>
                </c:pt>
                <c:pt idx="648">
                  <c:v>10.8322</c:v>
                </c:pt>
                <c:pt idx="649">
                  <c:v>10.966799999999999</c:v>
                </c:pt>
                <c:pt idx="650">
                  <c:v>11.0341</c:v>
                </c:pt>
                <c:pt idx="651">
                  <c:v>10.966799999999999</c:v>
                </c:pt>
                <c:pt idx="652">
                  <c:v>10.7986</c:v>
                </c:pt>
                <c:pt idx="653">
                  <c:v>11.000400000000001</c:v>
                </c:pt>
                <c:pt idx="654">
                  <c:v>11.0341</c:v>
                </c:pt>
                <c:pt idx="655">
                  <c:v>11.0341</c:v>
                </c:pt>
                <c:pt idx="656">
                  <c:v>10.966799999999999</c:v>
                </c:pt>
                <c:pt idx="657">
                  <c:v>11.1014</c:v>
                </c:pt>
                <c:pt idx="658">
                  <c:v>11.0341</c:v>
                </c:pt>
                <c:pt idx="659">
                  <c:v>10.933199999999999</c:v>
                </c:pt>
                <c:pt idx="660">
                  <c:v>11.135</c:v>
                </c:pt>
                <c:pt idx="661">
                  <c:v>11.135</c:v>
                </c:pt>
                <c:pt idx="662">
                  <c:v>11.0341</c:v>
                </c:pt>
                <c:pt idx="663">
                  <c:v>11.0341</c:v>
                </c:pt>
                <c:pt idx="664">
                  <c:v>11.0677</c:v>
                </c:pt>
                <c:pt idx="665">
                  <c:v>11.000400000000001</c:v>
                </c:pt>
                <c:pt idx="666">
                  <c:v>10.8995</c:v>
                </c:pt>
                <c:pt idx="667">
                  <c:v>11.0341</c:v>
                </c:pt>
                <c:pt idx="668">
                  <c:v>11.1014</c:v>
                </c:pt>
                <c:pt idx="669">
                  <c:v>10.764900000000001</c:v>
                </c:pt>
                <c:pt idx="670">
                  <c:v>10.731299999999999</c:v>
                </c:pt>
                <c:pt idx="671">
                  <c:v>10.7986</c:v>
                </c:pt>
                <c:pt idx="672">
                  <c:v>10.764900000000001</c:v>
                </c:pt>
                <c:pt idx="673">
                  <c:v>10.764900000000001</c:v>
                </c:pt>
                <c:pt idx="674">
                  <c:v>10.7986</c:v>
                </c:pt>
                <c:pt idx="675">
                  <c:v>10.5967</c:v>
                </c:pt>
                <c:pt idx="676">
                  <c:v>10.764900000000001</c:v>
                </c:pt>
                <c:pt idx="677">
                  <c:v>10.6304</c:v>
                </c:pt>
                <c:pt idx="678">
                  <c:v>10.6304</c:v>
                </c:pt>
                <c:pt idx="679">
                  <c:v>10.7986</c:v>
                </c:pt>
                <c:pt idx="680">
                  <c:v>10.4285</c:v>
                </c:pt>
                <c:pt idx="681">
                  <c:v>10.193099999999999</c:v>
                </c:pt>
                <c:pt idx="682">
                  <c:v>10.193099999999999</c:v>
                </c:pt>
                <c:pt idx="683">
                  <c:v>9.9575999999999993</c:v>
                </c:pt>
                <c:pt idx="684">
                  <c:v>10.1594</c:v>
                </c:pt>
                <c:pt idx="685">
                  <c:v>9.8230000000000004</c:v>
                </c:pt>
                <c:pt idx="686">
                  <c:v>9.7894000000000005</c:v>
                </c:pt>
                <c:pt idx="687">
                  <c:v>10.1258</c:v>
                </c:pt>
                <c:pt idx="688">
                  <c:v>10.193099999999999</c:v>
                </c:pt>
                <c:pt idx="689">
                  <c:v>10.664</c:v>
                </c:pt>
                <c:pt idx="690">
                  <c:v>10.462199999999999</c:v>
                </c:pt>
                <c:pt idx="691">
                  <c:v>10.5631</c:v>
                </c:pt>
                <c:pt idx="692">
                  <c:v>10.495799999999999</c:v>
                </c:pt>
                <c:pt idx="693">
                  <c:v>10.495799999999999</c:v>
                </c:pt>
                <c:pt idx="694">
                  <c:v>10.764900000000001</c:v>
                </c:pt>
                <c:pt idx="695">
                  <c:v>10.764900000000001</c:v>
                </c:pt>
                <c:pt idx="696">
                  <c:v>10.8995</c:v>
                </c:pt>
                <c:pt idx="697">
                  <c:v>10.933199999999999</c:v>
                </c:pt>
                <c:pt idx="698">
                  <c:v>10.8995</c:v>
                </c:pt>
                <c:pt idx="699">
                  <c:v>10.933199999999999</c:v>
                </c:pt>
                <c:pt idx="700">
                  <c:v>10.966799999999999</c:v>
                </c:pt>
                <c:pt idx="701">
                  <c:v>10.731299999999999</c:v>
                </c:pt>
                <c:pt idx="702">
                  <c:v>10.6304</c:v>
                </c:pt>
                <c:pt idx="703">
                  <c:v>10.6304</c:v>
                </c:pt>
                <c:pt idx="704">
                  <c:v>10.6304</c:v>
                </c:pt>
                <c:pt idx="705">
                  <c:v>10.6304</c:v>
                </c:pt>
                <c:pt idx="706">
                  <c:v>10.6304</c:v>
                </c:pt>
                <c:pt idx="707">
                  <c:v>10.668100000000001</c:v>
                </c:pt>
                <c:pt idx="708">
                  <c:v>10.735200000000001</c:v>
                </c:pt>
                <c:pt idx="709">
                  <c:v>10.735200000000001</c:v>
                </c:pt>
                <c:pt idx="710">
                  <c:v>10.735200000000001</c:v>
                </c:pt>
                <c:pt idx="711">
                  <c:v>10.668100000000001</c:v>
                </c:pt>
                <c:pt idx="712">
                  <c:v>10.802300000000001</c:v>
                </c:pt>
                <c:pt idx="713">
                  <c:v>10.735200000000001</c:v>
                </c:pt>
                <c:pt idx="714">
                  <c:v>10.768700000000001</c:v>
                </c:pt>
                <c:pt idx="715">
                  <c:v>10.869400000000001</c:v>
                </c:pt>
                <c:pt idx="716">
                  <c:v>10.835800000000001</c:v>
                </c:pt>
                <c:pt idx="717">
                  <c:v>10.902900000000001</c:v>
                </c:pt>
                <c:pt idx="718">
                  <c:v>11.1378</c:v>
                </c:pt>
                <c:pt idx="719">
                  <c:v>10.601000000000001</c:v>
                </c:pt>
                <c:pt idx="720">
                  <c:v>10.601000000000001</c:v>
                </c:pt>
                <c:pt idx="721">
                  <c:v>10.601000000000001</c:v>
                </c:pt>
                <c:pt idx="722">
                  <c:v>10.701599999999999</c:v>
                </c:pt>
                <c:pt idx="723">
                  <c:v>10.668100000000001</c:v>
                </c:pt>
                <c:pt idx="724">
                  <c:v>10.601000000000001</c:v>
                </c:pt>
                <c:pt idx="725">
                  <c:v>10.634499999999999</c:v>
                </c:pt>
                <c:pt idx="726">
                  <c:v>10.668100000000001</c:v>
                </c:pt>
                <c:pt idx="727">
                  <c:v>10.668100000000001</c:v>
                </c:pt>
                <c:pt idx="728">
                  <c:v>10.668100000000001</c:v>
                </c:pt>
                <c:pt idx="729">
                  <c:v>10.668100000000001</c:v>
                </c:pt>
                <c:pt idx="730">
                  <c:v>10.701599999999999</c:v>
                </c:pt>
                <c:pt idx="731">
                  <c:v>10.634499999999999</c:v>
                </c:pt>
                <c:pt idx="732">
                  <c:v>10.735200000000001</c:v>
                </c:pt>
                <c:pt idx="733">
                  <c:v>10.735200000000001</c:v>
                </c:pt>
                <c:pt idx="734">
                  <c:v>10.701599999999999</c:v>
                </c:pt>
                <c:pt idx="735">
                  <c:v>10.735200000000001</c:v>
                </c:pt>
                <c:pt idx="736">
                  <c:v>10.735200000000001</c:v>
                </c:pt>
                <c:pt idx="737">
                  <c:v>10.902900000000001</c:v>
                </c:pt>
                <c:pt idx="738">
                  <c:v>10.97</c:v>
                </c:pt>
                <c:pt idx="739">
                  <c:v>10.936500000000001</c:v>
                </c:pt>
                <c:pt idx="740">
                  <c:v>10.869400000000001</c:v>
                </c:pt>
                <c:pt idx="741">
                  <c:v>11.1378</c:v>
                </c:pt>
                <c:pt idx="742">
                  <c:v>11.0036</c:v>
                </c:pt>
                <c:pt idx="743">
                  <c:v>10.768700000000001</c:v>
                </c:pt>
                <c:pt idx="744">
                  <c:v>10.835800000000001</c:v>
                </c:pt>
                <c:pt idx="745">
                  <c:v>10.802300000000001</c:v>
                </c:pt>
                <c:pt idx="746">
                  <c:v>10.601000000000001</c:v>
                </c:pt>
                <c:pt idx="747">
                  <c:v>10.735200000000001</c:v>
                </c:pt>
                <c:pt idx="748">
                  <c:v>10.735200000000001</c:v>
                </c:pt>
                <c:pt idx="749">
                  <c:v>10.735200000000001</c:v>
                </c:pt>
                <c:pt idx="750">
                  <c:v>10.735200000000001</c:v>
                </c:pt>
                <c:pt idx="751">
                  <c:v>10.735200000000001</c:v>
                </c:pt>
                <c:pt idx="752">
                  <c:v>10.768700000000001</c:v>
                </c:pt>
                <c:pt idx="753">
                  <c:v>10.668100000000001</c:v>
                </c:pt>
                <c:pt idx="754">
                  <c:v>10.701599999999999</c:v>
                </c:pt>
                <c:pt idx="755">
                  <c:v>10.668100000000001</c:v>
                </c:pt>
                <c:pt idx="756">
                  <c:v>10.735200000000001</c:v>
                </c:pt>
                <c:pt idx="757">
                  <c:v>10.768700000000001</c:v>
                </c:pt>
                <c:pt idx="758">
                  <c:v>10.802300000000001</c:v>
                </c:pt>
                <c:pt idx="759">
                  <c:v>10.802300000000001</c:v>
                </c:pt>
                <c:pt idx="760">
                  <c:v>10.768700000000001</c:v>
                </c:pt>
                <c:pt idx="761">
                  <c:v>10.835800000000001</c:v>
                </c:pt>
                <c:pt idx="762">
                  <c:v>10.835800000000001</c:v>
                </c:pt>
                <c:pt idx="763">
                  <c:v>10.768700000000001</c:v>
                </c:pt>
                <c:pt idx="764">
                  <c:v>10.802300000000001</c:v>
                </c:pt>
                <c:pt idx="765">
                  <c:v>10.768700000000001</c:v>
                </c:pt>
                <c:pt idx="766">
                  <c:v>10.735200000000001</c:v>
                </c:pt>
                <c:pt idx="767">
                  <c:v>10.735200000000001</c:v>
                </c:pt>
                <c:pt idx="768">
                  <c:v>10.768700000000001</c:v>
                </c:pt>
                <c:pt idx="769">
                  <c:v>10.668100000000001</c:v>
                </c:pt>
                <c:pt idx="770">
                  <c:v>10.802300000000001</c:v>
                </c:pt>
              </c:numCache>
            </c:numRef>
          </c:val>
          <c:smooth val="0"/>
          <c:extLst>
            <c:ext xmlns:c16="http://schemas.microsoft.com/office/drawing/2014/chart" uri="{C3380CC4-5D6E-409C-BE32-E72D297353CC}">
              <c16:uniqueId val="{00000002-FF01-4B80-8D20-30CD9BED09B4}"/>
            </c:ext>
          </c:extLst>
        </c:ser>
        <c:ser>
          <c:idx val="3"/>
          <c:order val="3"/>
          <c:tx>
            <c:strRef>
              <c:f>'C. Peers'!$E$4</c:f>
              <c:strCache>
                <c:ptCount val="1"/>
                <c:pt idx="0">
                  <c:v>VST MK EQUITY</c:v>
                </c:pt>
              </c:strCache>
            </c:strRef>
          </c:tx>
          <c:spPr>
            <a:ln w="28575" cap="rnd">
              <a:solidFill>
                <a:schemeClr val="accent4"/>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Peers'!$E$5:$E$775</c:f>
              <c:numCache>
                <c:formatCode>_(* #,##0.0_);_(* \(#,##0.0\);_(* "-"??_);_(@_)</c:formatCode>
                <c:ptCount val="771"/>
                <c:pt idx="0">
                  <c:v>7.2130999999999998</c:v>
                </c:pt>
                <c:pt idx="1">
                  <c:v>7.2130999999999998</c:v>
                </c:pt>
                <c:pt idx="2">
                  <c:v>7.1585000000000001</c:v>
                </c:pt>
                <c:pt idx="3">
                  <c:v>7.2678000000000003</c:v>
                </c:pt>
                <c:pt idx="4">
                  <c:v>7.2678000000000003</c:v>
                </c:pt>
                <c:pt idx="5">
                  <c:v>7.1585000000000001</c:v>
                </c:pt>
                <c:pt idx="6">
                  <c:v>7.0491999999999999</c:v>
                </c:pt>
                <c:pt idx="7">
                  <c:v>7.2130999999999998</c:v>
                </c:pt>
                <c:pt idx="8">
                  <c:v>7.1585000000000001</c:v>
                </c:pt>
                <c:pt idx="9">
                  <c:v>7.2130999999999998</c:v>
                </c:pt>
                <c:pt idx="10">
                  <c:v>7.2130999999999998</c:v>
                </c:pt>
                <c:pt idx="11">
                  <c:v>7.3224</c:v>
                </c:pt>
                <c:pt idx="12">
                  <c:v>7.2678000000000003</c:v>
                </c:pt>
                <c:pt idx="13">
                  <c:v>7.3224</c:v>
                </c:pt>
                <c:pt idx="14">
                  <c:v>7.2678000000000003</c:v>
                </c:pt>
                <c:pt idx="15">
                  <c:v>7.2130999999999998</c:v>
                </c:pt>
                <c:pt idx="16">
                  <c:v>7.2678000000000003</c:v>
                </c:pt>
                <c:pt idx="17">
                  <c:v>7.2678000000000003</c:v>
                </c:pt>
                <c:pt idx="18">
                  <c:v>7.2678000000000003</c:v>
                </c:pt>
                <c:pt idx="19">
                  <c:v>7.2678000000000003</c:v>
                </c:pt>
                <c:pt idx="20">
                  <c:v>7.3224</c:v>
                </c:pt>
                <c:pt idx="21">
                  <c:v>7.3224</c:v>
                </c:pt>
                <c:pt idx="22">
                  <c:v>7.3769999999999998</c:v>
                </c:pt>
                <c:pt idx="23">
                  <c:v>7.3769999999999998</c:v>
                </c:pt>
                <c:pt idx="24">
                  <c:v>7.3224</c:v>
                </c:pt>
                <c:pt idx="25">
                  <c:v>7.3769999999999998</c:v>
                </c:pt>
                <c:pt idx="26">
                  <c:v>7.3769999999999998</c:v>
                </c:pt>
                <c:pt idx="27">
                  <c:v>7.3769999999999998</c:v>
                </c:pt>
                <c:pt idx="28">
                  <c:v>7.3769999999999998</c:v>
                </c:pt>
                <c:pt idx="29">
                  <c:v>7.3769999999999998</c:v>
                </c:pt>
                <c:pt idx="30">
                  <c:v>7.3769999999999998</c:v>
                </c:pt>
                <c:pt idx="31">
                  <c:v>7.3769999999999998</c:v>
                </c:pt>
                <c:pt idx="32">
                  <c:v>7.3769999999999998</c:v>
                </c:pt>
                <c:pt idx="33">
                  <c:v>7.3769999999999998</c:v>
                </c:pt>
                <c:pt idx="34">
                  <c:v>7.3224</c:v>
                </c:pt>
                <c:pt idx="35">
                  <c:v>7.3769999999999998</c:v>
                </c:pt>
                <c:pt idx="36">
                  <c:v>7.3769999999999998</c:v>
                </c:pt>
                <c:pt idx="37">
                  <c:v>7.3769999999999998</c:v>
                </c:pt>
                <c:pt idx="38">
                  <c:v>7.4317000000000002</c:v>
                </c:pt>
                <c:pt idx="39">
                  <c:v>7.4317000000000002</c:v>
                </c:pt>
                <c:pt idx="40">
                  <c:v>7.4317000000000002</c:v>
                </c:pt>
                <c:pt idx="41">
                  <c:v>7.4317000000000002</c:v>
                </c:pt>
                <c:pt idx="42">
                  <c:v>7.3224</c:v>
                </c:pt>
                <c:pt idx="43">
                  <c:v>7.3769999999999998</c:v>
                </c:pt>
                <c:pt idx="44">
                  <c:v>7.4863</c:v>
                </c:pt>
                <c:pt idx="45">
                  <c:v>7.4317000000000002</c:v>
                </c:pt>
                <c:pt idx="46">
                  <c:v>7.4863</c:v>
                </c:pt>
                <c:pt idx="47">
                  <c:v>7.5410000000000004</c:v>
                </c:pt>
                <c:pt idx="48">
                  <c:v>7.5410000000000004</c:v>
                </c:pt>
                <c:pt idx="49">
                  <c:v>7.5410000000000004</c:v>
                </c:pt>
                <c:pt idx="50">
                  <c:v>7.5410000000000004</c:v>
                </c:pt>
                <c:pt idx="51">
                  <c:v>7.5956000000000001</c:v>
                </c:pt>
                <c:pt idx="52">
                  <c:v>7.5410000000000004</c:v>
                </c:pt>
                <c:pt idx="53">
                  <c:v>7.5410000000000004</c:v>
                </c:pt>
                <c:pt idx="54">
                  <c:v>7.5410000000000004</c:v>
                </c:pt>
                <c:pt idx="55">
                  <c:v>7.3769999999999998</c:v>
                </c:pt>
                <c:pt idx="56">
                  <c:v>7.4863</c:v>
                </c:pt>
                <c:pt idx="57">
                  <c:v>7.5410000000000004</c:v>
                </c:pt>
                <c:pt idx="58">
                  <c:v>7.4863</c:v>
                </c:pt>
                <c:pt idx="59">
                  <c:v>7.4317000000000002</c:v>
                </c:pt>
                <c:pt idx="60">
                  <c:v>7.4317000000000002</c:v>
                </c:pt>
                <c:pt idx="61">
                  <c:v>7.4317000000000002</c:v>
                </c:pt>
                <c:pt idx="62">
                  <c:v>7.4317000000000002</c:v>
                </c:pt>
                <c:pt idx="63">
                  <c:v>7.4863</c:v>
                </c:pt>
                <c:pt idx="64">
                  <c:v>7.4317000000000002</c:v>
                </c:pt>
                <c:pt idx="65">
                  <c:v>7.4863</c:v>
                </c:pt>
                <c:pt idx="66">
                  <c:v>7.4863</c:v>
                </c:pt>
                <c:pt idx="67">
                  <c:v>7.4863</c:v>
                </c:pt>
                <c:pt idx="68">
                  <c:v>7.4863</c:v>
                </c:pt>
                <c:pt idx="69">
                  <c:v>7.2678000000000003</c:v>
                </c:pt>
                <c:pt idx="70">
                  <c:v>7.4317000000000002</c:v>
                </c:pt>
                <c:pt idx="71">
                  <c:v>7.4317000000000002</c:v>
                </c:pt>
                <c:pt idx="72">
                  <c:v>7.4317000000000002</c:v>
                </c:pt>
                <c:pt idx="73">
                  <c:v>7.4317000000000002</c:v>
                </c:pt>
                <c:pt idx="74">
                  <c:v>7.4317000000000002</c:v>
                </c:pt>
                <c:pt idx="75">
                  <c:v>7.4317000000000002</c:v>
                </c:pt>
                <c:pt idx="76">
                  <c:v>7.4317000000000002</c:v>
                </c:pt>
                <c:pt idx="77">
                  <c:v>7.4863</c:v>
                </c:pt>
                <c:pt idx="78">
                  <c:v>7.2130999999999998</c:v>
                </c:pt>
                <c:pt idx="79">
                  <c:v>7.1037999999999997</c:v>
                </c:pt>
                <c:pt idx="80">
                  <c:v>6.9398999999999997</c:v>
                </c:pt>
                <c:pt idx="81">
                  <c:v>7.1585000000000001</c:v>
                </c:pt>
                <c:pt idx="82">
                  <c:v>7.2130999999999998</c:v>
                </c:pt>
                <c:pt idx="83">
                  <c:v>7.3224</c:v>
                </c:pt>
                <c:pt idx="84">
                  <c:v>7.3224</c:v>
                </c:pt>
                <c:pt idx="85">
                  <c:v>7.4317000000000002</c:v>
                </c:pt>
                <c:pt idx="86">
                  <c:v>7.4317000000000002</c:v>
                </c:pt>
                <c:pt idx="87">
                  <c:v>7.7142999999999997</c:v>
                </c:pt>
                <c:pt idx="88">
                  <c:v>7.7713999999999999</c:v>
                </c:pt>
                <c:pt idx="89">
                  <c:v>7.8285999999999998</c:v>
                </c:pt>
                <c:pt idx="90">
                  <c:v>7.7713999999999999</c:v>
                </c:pt>
                <c:pt idx="91">
                  <c:v>7.8856999999999999</c:v>
                </c:pt>
                <c:pt idx="92">
                  <c:v>8</c:v>
                </c:pt>
                <c:pt idx="93">
                  <c:v>8</c:v>
                </c:pt>
                <c:pt idx="94">
                  <c:v>7.9428999999999998</c:v>
                </c:pt>
                <c:pt idx="95">
                  <c:v>8</c:v>
                </c:pt>
                <c:pt idx="96">
                  <c:v>7.9428999999999998</c:v>
                </c:pt>
                <c:pt idx="97">
                  <c:v>8</c:v>
                </c:pt>
                <c:pt idx="98">
                  <c:v>8</c:v>
                </c:pt>
                <c:pt idx="99">
                  <c:v>7.8285999999999998</c:v>
                </c:pt>
                <c:pt idx="100">
                  <c:v>7.7713999999999999</c:v>
                </c:pt>
                <c:pt idx="101">
                  <c:v>7.7713999999999999</c:v>
                </c:pt>
                <c:pt idx="102">
                  <c:v>7.8285999999999998</c:v>
                </c:pt>
                <c:pt idx="103">
                  <c:v>7.8285999999999998</c:v>
                </c:pt>
                <c:pt idx="104">
                  <c:v>7.8285999999999998</c:v>
                </c:pt>
                <c:pt idx="105">
                  <c:v>7.8856999999999999</c:v>
                </c:pt>
                <c:pt idx="106">
                  <c:v>7.9428999999999998</c:v>
                </c:pt>
                <c:pt idx="107">
                  <c:v>7.9428999999999998</c:v>
                </c:pt>
                <c:pt idx="108">
                  <c:v>7.9428999999999998</c:v>
                </c:pt>
                <c:pt idx="109">
                  <c:v>7.8285999999999998</c:v>
                </c:pt>
                <c:pt idx="110">
                  <c:v>7.7713999999999999</c:v>
                </c:pt>
                <c:pt idx="111">
                  <c:v>7.7713999999999999</c:v>
                </c:pt>
                <c:pt idx="112">
                  <c:v>7.7713999999999999</c:v>
                </c:pt>
                <c:pt idx="113">
                  <c:v>7.7142999999999997</c:v>
                </c:pt>
                <c:pt idx="114">
                  <c:v>7.8285999999999998</c:v>
                </c:pt>
                <c:pt idx="115">
                  <c:v>7.8285999999999998</c:v>
                </c:pt>
                <c:pt idx="116">
                  <c:v>7.9428999999999998</c:v>
                </c:pt>
                <c:pt idx="117">
                  <c:v>7.8856999999999999</c:v>
                </c:pt>
                <c:pt idx="118">
                  <c:v>7.7713999999999999</c:v>
                </c:pt>
                <c:pt idx="119">
                  <c:v>7.5429000000000004</c:v>
                </c:pt>
                <c:pt idx="120">
                  <c:v>7.5429000000000004</c:v>
                </c:pt>
                <c:pt idx="121">
                  <c:v>7.4856999999999996</c:v>
                </c:pt>
                <c:pt idx="122">
                  <c:v>7.4856999999999996</c:v>
                </c:pt>
                <c:pt idx="123">
                  <c:v>7.3714000000000004</c:v>
                </c:pt>
                <c:pt idx="124">
                  <c:v>7.3714000000000004</c:v>
                </c:pt>
                <c:pt idx="125">
                  <c:v>7.3714000000000004</c:v>
                </c:pt>
                <c:pt idx="126">
                  <c:v>7.3714000000000004</c:v>
                </c:pt>
                <c:pt idx="127">
                  <c:v>7.4856999999999996</c:v>
                </c:pt>
                <c:pt idx="128">
                  <c:v>7.3143000000000002</c:v>
                </c:pt>
                <c:pt idx="129">
                  <c:v>7.8856999999999999</c:v>
                </c:pt>
                <c:pt idx="130">
                  <c:v>7.9428999999999998</c:v>
                </c:pt>
                <c:pt idx="131">
                  <c:v>7.9428999999999998</c:v>
                </c:pt>
                <c:pt idx="132">
                  <c:v>7.9428999999999998</c:v>
                </c:pt>
                <c:pt idx="133">
                  <c:v>7.8856999999999999</c:v>
                </c:pt>
                <c:pt idx="134">
                  <c:v>7.9428999999999998</c:v>
                </c:pt>
                <c:pt idx="135">
                  <c:v>8</c:v>
                </c:pt>
                <c:pt idx="136">
                  <c:v>7.8856999999999999</c:v>
                </c:pt>
                <c:pt idx="137">
                  <c:v>7.9428999999999998</c:v>
                </c:pt>
                <c:pt idx="138">
                  <c:v>7.9428999999999998</c:v>
                </c:pt>
                <c:pt idx="139">
                  <c:v>7.8285999999999998</c:v>
                </c:pt>
                <c:pt idx="140">
                  <c:v>7.7713999999999999</c:v>
                </c:pt>
                <c:pt idx="141">
                  <c:v>7.7142999999999997</c:v>
                </c:pt>
                <c:pt idx="142">
                  <c:v>7.7713999999999999</c:v>
                </c:pt>
                <c:pt idx="143">
                  <c:v>7.8285999999999998</c:v>
                </c:pt>
                <c:pt idx="144">
                  <c:v>7.8285999999999998</c:v>
                </c:pt>
                <c:pt idx="145">
                  <c:v>7.7713999999999999</c:v>
                </c:pt>
                <c:pt idx="146">
                  <c:v>7.8285999999999998</c:v>
                </c:pt>
                <c:pt idx="147">
                  <c:v>7.8285999999999998</c:v>
                </c:pt>
                <c:pt idx="148">
                  <c:v>8.2530000000000001</c:v>
                </c:pt>
                <c:pt idx="149">
                  <c:v>8.1325000000000003</c:v>
                </c:pt>
                <c:pt idx="150">
                  <c:v>8.0723000000000003</c:v>
                </c:pt>
                <c:pt idx="151">
                  <c:v>8.0723000000000003</c:v>
                </c:pt>
                <c:pt idx="152">
                  <c:v>8.0723000000000003</c:v>
                </c:pt>
                <c:pt idx="153">
                  <c:v>8.1325000000000003</c:v>
                </c:pt>
                <c:pt idx="154">
                  <c:v>8.0120000000000005</c:v>
                </c:pt>
                <c:pt idx="155">
                  <c:v>8.0120000000000005</c:v>
                </c:pt>
                <c:pt idx="156">
                  <c:v>8.0120000000000005</c:v>
                </c:pt>
                <c:pt idx="157">
                  <c:v>8.0723000000000003</c:v>
                </c:pt>
                <c:pt idx="158">
                  <c:v>7.7710999999999997</c:v>
                </c:pt>
                <c:pt idx="159">
                  <c:v>7.7710999999999997</c:v>
                </c:pt>
                <c:pt idx="160">
                  <c:v>7.5903999999999998</c:v>
                </c:pt>
                <c:pt idx="161">
                  <c:v>7.8916000000000004</c:v>
                </c:pt>
                <c:pt idx="162">
                  <c:v>7.9518000000000004</c:v>
                </c:pt>
                <c:pt idx="163">
                  <c:v>7.8916000000000004</c:v>
                </c:pt>
                <c:pt idx="164">
                  <c:v>7.8312999999999997</c:v>
                </c:pt>
                <c:pt idx="165">
                  <c:v>7.9518000000000004</c:v>
                </c:pt>
                <c:pt idx="166">
                  <c:v>8.0120000000000005</c:v>
                </c:pt>
                <c:pt idx="167">
                  <c:v>7.9518000000000004</c:v>
                </c:pt>
                <c:pt idx="168">
                  <c:v>7.8916000000000004</c:v>
                </c:pt>
                <c:pt idx="169">
                  <c:v>7.8312999999999997</c:v>
                </c:pt>
                <c:pt idx="170">
                  <c:v>8.0120000000000005</c:v>
                </c:pt>
                <c:pt idx="171">
                  <c:v>8.0120000000000005</c:v>
                </c:pt>
                <c:pt idx="172">
                  <c:v>7.8312999999999997</c:v>
                </c:pt>
                <c:pt idx="173">
                  <c:v>7.7107999999999999</c:v>
                </c:pt>
                <c:pt idx="174">
                  <c:v>7.5903999999999998</c:v>
                </c:pt>
                <c:pt idx="175">
                  <c:v>7.5301</c:v>
                </c:pt>
                <c:pt idx="176">
                  <c:v>7.4699</c:v>
                </c:pt>
                <c:pt idx="177">
                  <c:v>7.5903999999999998</c:v>
                </c:pt>
                <c:pt idx="178">
                  <c:v>7.5301</c:v>
                </c:pt>
                <c:pt idx="179">
                  <c:v>7.4699</c:v>
                </c:pt>
                <c:pt idx="180">
                  <c:v>7.4699</c:v>
                </c:pt>
                <c:pt idx="181">
                  <c:v>7.4699</c:v>
                </c:pt>
                <c:pt idx="182">
                  <c:v>7.5301</c:v>
                </c:pt>
                <c:pt idx="183">
                  <c:v>7.5903999999999998</c:v>
                </c:pt>
                <c:pt idx="184">
                  <c:v>7.7107999999999999</c:v>
                </c:pt>
                <c:pt idx="185">
                  <c:v>7.7107999999999999</c:v>
                </c:pt>
                <c:pt idx="186">
                  <c:v>7.7107999999999999</c:v>
                </c:pt>
                <c:pt idx="187">
                  <c:v>7.7107999999999999</c:v>
                </c:pt>
                <c:pt idx="188">
                  <c:v>7.5903999999999998</c:v>
                </c:pt>
                <c:pt idx="189">
                  <c:v>7.5903999999999998</c:v>
                </c:pt>
                <c:pt idx="190">
                  <c:v>7.4699</c:v>
                </c:pt>
                <c:pt idx="191">
                  <c:v>7.5903999999999998</c:v>
                </c:pt>
                <c:pt idx="192">
                  <c:v>7.5903999999999998</c:v>
                </c:pt>
                <c:pt idx="193">
                  <c:v>7.2892000000000001</c:v>
                </c:pt>
                <c:pt idx="194">
                  <c:v>7.1687000000000003</c:v>
                </c:pt>
                <c:pt idx="195">
                  <c:v>7.2289000000000003</c:v>
                </c:pt>
                <c:pt idx="196">
                  <c:v>7.1687000000000003</c:v>
                </c:pt>
                <c:pt idx="197">
                  <c:v>7.2289000000000003</c:v>
                </c:pt>
                <c:pt idx="198">
                  <c:v>7.2892000000000001</c:v>
                </c:pt>
                <c:pt idx="199">
                  <c:v>7.3494000000000002</c:v>
                </c:pt>
                <c:pt idx="200">
                  <c:v>7.3494000000000002</c:v>
                </c:pt>
                <c:pt idx="201">
                  <c:v>7.3494000000000002</c:v>
                </c:pt>
                <c:pt idx="202">
                  <c:v>7.2892000000000001</c:v>
                </c:pt>
                <c:pt idx="203">
                  <c:v>7.2289000000000003</c:v>
                </c:pt>
                <c:pt idx="204">
                  <c:v>7.1687000000000003</c:v>
                </c:pt>
                <c:pt idx="205">
                  <c:v>7.1083999999999996</c:v>
                </c:pt>
                <c:pt idx="206">
                  <c:v>7.0481999999999996</c:v>
                </c:pt>
                <c:pt idx="207">
                  <c:v>6.7835999999999999</c:v>
                </c:pt>
                <c:pt idx="208">
                  <c:v>6.9005999999999998</c:v>
                </c:pt>
                <c:pt idx="209">
                  <c:v>6.9591000000000003</c:v>
                </c:pt>
                <c:pt idx="210">
                  <c:v>6.9591000000000003</c:v>
                </c:pt>
                <c:pt idx="211">
                  <c:v>7.0175000000000001</c:v>
                </c:pt>
                <c:pt idx="212">
                  <c:v>7.0175000000000001</c:v>
                </c:pt>
                <c:pt idx="213">
                  <c:v>6.9005999999999998</c:v>
                </c:pt>
                <c:pt idx="214">
                  <c:v>7.1929999999999996</c:v>
                </c:pt>
                <c:pt idx="215">
                  <c:v>7.0759999999999996</c:v>
                </c:pt>
                <c:pt idx="216">
                  <c:v>7.0759999999999996</c:v>
                </c:pt>
                <c:pt idx="217">
                  <c:v>7.1345000000000001</c:v>
                </c:pt>
                <c:pt idx="218">
                  <c:v>7.1345000000000001</c:v>
                </c:pt>
                <c:pt idx="219">
                  <c:v>7.1345000000000001</c:v>
                </c:pt>
                <c:pt idx="220">
                  <c:v>7.0175000000000001</c:v>
                </c:pt>
                <c:pt idx="221">
                  <c:v>7.0759999999999996</c:v>
                </c:pt>
                <c:pt idx="222">
                  <c:v>6.9591000000000003</c:v>
                </c:pt>
                <c:pt idx="223">
                  <c:v>7.0175000000000001</c:v>
                </c:pt>
                <c:pt idx="224">
                  <c:v>7.0175000000000001</c:v>
                </c:pt>
                <c:pt idx="225">
                  <c:v>7.0759999999999996</c:v>
                </c:pt>
                <c:pt idx="226">
                  <c:v>7.0175000000000001</c:v>
                </c:pt>
                <c:pt idx="227">
                  <c:v>7.0175000000000001</c:v>
                </c:pt>
                <c:pt idx="228">
                  <c:v>6.9591000000000003</c:v>
                </c:pt>
                <c:pt idx="229">
                  <c:v>6.9591000000000003</c:v>
                </c:pt>
                <c:pt idx="230">
                  <c:v>6.9591000000000003</c:v>
                </c:pt>
                <c:pt idx="231">
                  <c:v>6.7251000000000003</c:v>
                </c:pt>
                <c:pt idx="232">
                  <c:v>6.7251000000000003</c:v>
                </c:pt>
                <c:pt idx="233">
                  <c:v>6.7251000000000003</c:v>
                </c:pt>
                <c:pt idx="234">
                  <c:v>6.7251000000000003</c:v>
                </c:pt>
                <c:pt idx="235">
                  <c:v>6.6082000000000001</c:v>
                </c:pt>
                <c:pt idx="236">
                  <c:v>6.6082000000000001</c:v>
                </c:pt>
                <c:pt idx="237">
                  <c:v>6.5496999999999996</c:v>
                </c:pt>
                <c:pt idx="238">
                  <c:v>6.6666999999999996</c:v>
                </c:pt>
                <c:pt idx="239">
                  <c:v>6.7251000000000003</c:v>
                </c:pt>
                <c:pt idx="240">
                  <c:v>6.6666999999999996</c:v>
                </c:pt>
                <c:pt idx="241">
                  <c:v>6.6666999999999996</c:v>
                </c:pt>
                <c:pt idx="242">
                  <c:v>6.6082000000000001</c:v>
                </c:pt>
                <c:pt idx="243">
                  <c:v>6.4912000000000001</c:v>
                </c:pt>
                <c:pt idx="244">
                  <c:v>6.5496999999999996</c:v>
                </c:pt>
                <c:pt idx="245">
                  <c:v>6.6082000000000001</c:v>
                </c:pt>
                <c:pt idx="246">
                  <c:v>6.7251000000000003</c:v>
                </c:pt>
                <c:pt idx="247">
                  <c:v>6.3742999999999999</c:v>
                </c:pt>
                <c:pt idx="248">
                  <c:v>6.4912000000000001</c:v>
                </c:pt>
                <c:pt idx="249">
                  <c:v>6.5496999999999996</c:v>
                </c:pt>
                <c:pt idx="250">
                  <c:v>6.4912000000000001</c:v>
                </c:pt>
                <c:pt idx="251">
                  <c:v>6.4912000000000001</c:v>
                </c:pt>
                <c:pt idx="252">
                  <c:v>6.4912000000000001</c:v>
                </c:pt>
                <c:pt idx="253">
                  <c:v>6.4326999999999996</c:v>
                </c:pt>
                <c:pt idx="254">
                  <c:v>6.4326999999999996</c:v>
                </c:pt>
                <c:pt idx="255">
                  <c:v>6.4326999999999996</c:v>
                </c:pt>
                <c:pt idx="256">
                  <c:v>6.4326999999999996</c:v>
                </c:pt>
                <c:pt idx="257">
                  <c:v>6.2572999999999999</c:v>
                </c:pt>
                <c:pt idx="258">
                  <c:v>6.2572999999999999</c:v>
                </c:pt>
                <c:pt idx="259">
                  <c:v>6.2572999999999999</c:v>
                </c:pt>
                <c:pt idx="260">
                  <c:v>6.4326999999999996</c:v>
                </c:pt>
                <c:pt idx="261">
                  <c:v>6.3158000000000003</c:v>
                </c:pt>
                <c:pt idx="262">
                  <c:v>6.3158000000000003</c:v>
                </c:pt>
                <c:pt idx="263">
                  <c:v>6.0819000000000001</c:v>
                </c:pt>
                <c:pt idx="264">
                  <c:v>6.1403999999999996</c:v>
                </c:pt>
                <c:pt idx="265">
                  <c:v>6.1403999999999996</c:v>
                </c:pt>
                <c:pt idx="266">
                  <c:v>6.3742999999999999</c:v>
                </c:pt>
                <c:pt idx="267">
                  <c:v>6.4326999999999996</c:v>
                </c:pt>
                <c:pt idx="268">
                  <c:v>6.4326999999999996</c:v>
                </c:pt>
                <c:pt idx="269">
                  <c:v>6.2572999999999999</c:v>
                </c:pt>
                <c:pt idx="270">
                  <c:v>6.2572999999999999</c:v>
                </c:pt>
                <c:pt idx="271">
                  <c:v>6.2572999999999999</c:v>
                </c:pt>
                <c:pt idx="272">
                  <c:v>6.75</c:v>
                </c:pt>
                <c:pt idx="273">
                  <c:v>6.75</c:v>
                </c:pt>
                <c:pt idx="274">
                  <c:v>6.8125</c:v>
                </c:pt>
                <c:pt idx="275">
                  <c:v>6.8125</c:v>
                </c:pt>
                <c:pt idx="276">
                  <c:v>6.625</c:v>
                </c:pt>
                <c:pt idx="277">
                  <c:v>6.75</c:v>
                </c:pt>
                <c:pt idx="278">
                  <c:v>6.75</c:v>
                </c:pt>
                <c:pt idx="279">
                  <c:v>6.6875</c:v>
                </c:pt>
                <c:pt idx="280">
                  <c:v>6.5625</c:v>
                </c:pt>
                <c:pt idx="281">
                  <c:v>6.5625</c:v>
                </c:pt>
                <c:pt idx="282">
                  <c:v>6.75</c:v>
                </c:pt>
                <c:pt idx="283">
                  <c:v>6.875</c:v>
                </c:pt>
                <c:pt idx="284">
                  <c:v>7.0625</c:v>
                </c:pt>
                <c:pt idx="285">
                  <c:v>7.0625</c:v>
                </c:pt>
                <c:pt idx="286">
                  <c:v>6.875</c:v>
                </c:pt>
                <c:pt idx="287">
                  <c:v>6.75</c:v>
                </c:pt>
                <c:pt idx="288">
                  <c:v>6.6875</c:v>
                </c:pt>
                <c:pt idx="289">
                  <c:v>6.625</c:v>
                </c:pt>
                <c:pt idx="290">
                  <c:v>6.625</c:v>
                </c:pt>
                <c:pt idx="291">
                  <c:v>6.625</c:v>
                </c:pt>
                <c:pt idx="292">
                  <c:v>6.625</c:v>
                </c:pt>
                <c:pt idx="293">
                  <c:v>6.5625</c:v>
                </c:pt>
                <c:pt idx="294">
                  <c:v>6.4375</c:v>
                </c:pt>
                <c:pt idx="295">
                  <c:v>6.5625</c:v>
                </c:pt>
                <c:pt idx="296">
                  <c:v>6.5625</c:v>
                </c:pt>
                <c:pt idx="297">
                  <c:v>6.5</c:v>
                </c:pt>
                <c:pt idx="298">
                  <c:v>6.5</c:v>
                </c:pt>
                <c:pt idx="299">
                  <c:v>6.4375</c:v>
                </c:pt>
                <c:pt idx="300">
                  <c:v>6.4375</c:v>
                </c:pt>
                <c:pt idx="301">
                  <c:v>6.5625</c:v>
                </c:pt>
                <c:pt idx="302">
                  <c:v>6.5625</c:v>
                </c:pt>
                <c:pt idx="303">
                  <c:v>6.625</c:v>
                </c:pt>
                <c:pt idx="304">
                  <c:v>6.625</c:v>
                </c:pt>
                <c:pt idx="305">
                  <c:v>6.625</c:v>
                </c:pt>
                <c:pt idx="306">
                  <c:v>6.5625</c:v>
                </c:pt>
                <c:pt idx="307">
                  <c:v>6.625</c:v>
                </c:pt>
                <c:pt idx="308">
                  <c:v>6.6875</c:v>
                </c:pt>
                <c:pt idx="309">
                  <c:v>6.625</c:v>
                </c:pt>
                <c:pt idx="310">
                  <c:v>6.6875</c:v>
                </c:pt>
                <c:pt idx="311">
                  <c:v>6.5625</c:v>
                </c:pt>
                <c:pt idx="312">
                  <c:v>6.5</c:v>
                </c:pt>
                <c:pt idx="313">
                  <c:v>6.5625</c:v>
                </c:pt>
                <c:pt idx="314">
                  <c:v>6.5625</c:v>
                </c:pt>
                <c:pt idx="315">
                  <c:v>6.5625</c:v>
                </c:pt>
                <c:pt idx="316">
                  <c:v>6.4375</c:v>
                </c:pt>
                <c:pt idx="317">
                  <c:v>6.375</c:v>
                </c:pt>
                <c:pt idx="318">
                  <c:v>6.3125</c:v>
                </c:pt>
                <c:pt idx="319">
                  <c:v>6.3125</c:v>
                </c:pt>
                <c:pt idx="320">
                  <c:v>6.25</c:v>
                </c:pt>
                <c:pt idx="321">
                  <c:v>6.375</c:v>
                </c:pt>
                <c:pt idx="322">
                  <c:v>6.3125</c:v>
                </c:pt>
                <c:pt idx="323">
                  <c:v>6.375</c:v>
                </c:pt>
                <c:pt idx="324">
                  <c:v>6.375</c:v>
                </c:pt>
                <c:pt idx="325">
                  <c:v>6.375</c:v>
                </c:pt>
                <c:pt idx="326">
                  <c:v>6.3125</c:v>
                </c:pt>
                <c:pt idx="327">
                  <c:v>6.4375</c:v>
                </c:pt>
                <c:pt idx="328">
                  <c:v>6.4375</c:v>
                </c:pt>
                <c:pt idx="329">
                  <c:v>6.4375</c:v>
                </c:pt>
                <c:pt idx="330">
                  <c:v>6.4375</c:v>
                </c:pt>
                <c:pt idx="331">
                  <c:v>6.375</c:v>
                </c:pt>
                <c:pt idx="332">
                  <c:v>6.4375</c:v>
                </c:pt>
                <c:pt idx="333">
                  <c:v>6.4375</c:v>
                </c:pt>
                <c:pt idx="334">
                  <c:v>6.5</c:v>
                </c:pt>
                <c:pt idx="335">
                  <c:v>6.5</c:v>
                </c:pt>
                <c:pt idx="336">
                  <c:v>6.8647</c:v>
                </c:pt>
                <c:pt idx="337">
                  <c:v>6.7987000000000002</c:v>
                </c:pt>
                <c:pt idx="338">
                  <c:v>6.7987000000000002</c:v>
                </c:pt>
                <c:pt idx="339">
                  <c:v>6.7327000000000004</c:v>
                </c:pt>
                <c:pt idx="340">
                  <c:v>6.5677000000000003</c:v>
                </c:pt>
                <c:pt idx="341">
                  <c:v>6.7987000000000002</c:v>
                </c:pt>
                <c:pt idx="342">
                  <c:v>6.7987000000000002</c:v>
                </c:pt>
                <c:pt idx="343">
                  <c:v>6.7987000000000002</c:v>
                </c:pt>
                <c:pt idx="344">
                  <c:v>7.0627000000000004</c:v>
                </c:pt>
                <c:pt idx="345">
                  <c:v>7.1947000000000001</c:v>
                </c:pt>
                <c:pt idx="346">
                  <c:v>7.1947000000000001</c:v>
                </c:pt>
                <c:pt idx="347">
                  <c:v>7.1947000000000001</c:v>
                </c:pt>
                <c:pt idx="348">
                  <c:v>7.1947000000000001</c:v>
                </c:pt>
                <c:pt idx="349">
                  <c:v>7.3926999999999996</c:v>
                </c:pt>
                <c:pt idx="350">
                  <c:v>7.4587000000000003</c:v>
                </c:pt>
                <c:pt idx="351">
                  <c:v>7.5247999999999999</c:v>
                </c:pt>
                <c:pt idx="352">
                  <c:v>7.4587000000000003</c:v>
                </c:pt>
                <c:pt idx="353">
                  <c:v>7.4587000000000003</c:v>
                </c:pt>
                <c:pt idx="354">
                  <c:v>7.4587000000000003</c:v>
                </c:pt>
                <c:pt idx="355">
                  <c:v>7.3266999999999998</c:v>
                </c:pt>
                <c:pt idx="356">
                  <c:v>7.3926999999999996</c:v>
                </c:pt>
                <c:pt idx="357">
                  <c:v>7.3926999999999996</c:v>
                </c:pt>
                <c:pt idx="358">
                  <c:v>7.3926999999999996</c:v>
                </c:pt>
                <c:pt idx="359">
                  <c:v>7.4587000000000003</c:v>
                </c:pt>
                <c:pt idx="360">
                  <c:v>7.4587000000000003</c:v>
                </c:pt>
                <c:pt idx="361">
                  <c:v>7.4587000000000003</c:v>
                </c:pt>
                <c:pt idx="362">
                  <c:v>7.3926999999999996</c:v>
                </c:pt>
                <c:pt idx="363">
                  <c:v>7.4587000000000003</c:v>
                </c:pt>
                <c:pt idx="364">
                  <c:v>7.5247999999999999</c:v>
                </c:pt>
                <c:pt idx="365">
                  <c:v>7.4587000000000003</c:v>
                </c:pt>
                <c:pt idx="366">
                  <c:v>7.6567999999999996</c:v>
                </c:pt>
                <c:pt idx="367">
                  <c:v>7.5907999999999998</c:v>
                </c:pt>
                <c:pt idx="368">
                  <c:v>7.5907999999999998</c:v>
                </c:pt>
                <c:pt idx="369">
                  <c:v>7.5247999999999999</c:v>
                </c:pt>
                <c:pt idx="370">
                  <c:v>7.4587000000000003</c:v>
                </c:pt>
                <c:pt idx="371">
                  <c:v>7.5907999999999998</c:v>
                </c:pt>
                <c:pt idx="372">
                  <c:v>7.5907999999999998</c:v>
                </c:pt>
                <c:pt idx="373">
                  <c:v>7.5907999999999998</c:v>
                </c:pt>
                <c:pt idx="374">
                  <c:v>7.6567999999999996</c:v>
                </c:pt>
                <c:pt idx="375">
                  <c:v>7.7888000000000002</c:v>
                </c:pt>
                <c:pt idx="376">
                  <c:v>7.7888000000000002</c:v>
                </c:pt>
                <c:pt idx="377">
                  <c:v>7.9207999999999998</c:v>
                </c:pt>
                <c:pt idx="378">
                  <c:v>7.8548</c:v>
                </c:pt>
                <c:pt idx="379">
                  <c:v>7.7888000000000002</c:v>
                </c:pt>
                <c:pt idx="380">
                  <c:v>7.7888000000000002</c:v>
                </c:pt>
                <c:pt idx="381">
                  <c:v>7.8548</c:v>
                </c:pt>
                <c:pt idx="382">
                  <c:v>7.9867999999999997</c:v>
                </c:pt>
                <c:pt idx="383">
                  <c:v>8.0527999999999995</c:v>
                </c:pt>
                <c:pt idx="384">
                  <c:v>7.9207999999999998</c:v>
                </c:pt>
                <c:pt idx="385">
                  <c:v>7.9207999999999998</c:v>
                </c:pt>
                <c:pt idx="386">
                  <c:v>8.3168000000000006</c:v>
                </c:pt>
                <c:pt idx="387">
                  <c:v>8.1847999999999992</c:v>
                </c:pt>
                <c:pt idx="388">
                  <c:v>8.2507999999999999</c:v>
                </c:pt>
                <c:pt idx="389">
                  <c:v>8.3827999999999996</c:v>
                </c:pt>
                <c:pt idx="390">
                  <c:v>8.3168000000000006</c:v>
                </c:pt>
                <c:pt idx="391">
                  <c:v>8.5149000000000008</c:v>
                </c:pt>
                <c:pt idx="392">
                  <c:v>8.5149000000000008</c:v>
                </c:pt>
                <c:pt idx="393">
                  <c:v>8.3827999999999996</c:v>
                </c:pt>
                <c:pt idx="394">
                  <c:v>8.1847999999999992</c:v>
                </c:pt>
                <c:pt idx="395">
                  <c:v>7.9207999999999998</c:v>
                </c:pt>
                <c:pt idx="396">
                  <c:v>7.9207999999999998</c:v>
                </c:pt>
                <c:pt idx="397">
                  <c:v>7.8548</c:v>
                </c:pt>
                <c:pt idx="398">
                  <c:v>7.5974000000000004</c:v>
                </c:pt>
                <c:pt idx="399">
                  <c:v>7.5974000000000004</c:v>
                </c:pt>
                <c:pt idx="400">
                  <c:v>7.5974000000000004</c:v>
                </c:pt>
                <c:pt idx="401">
                  <c:v>7.5974000000000004</c:v>
                </c:pt>
                <c:pt idx="402">
                  <c:v>7.6623000000000001</c:v>
                </c:pt>
                <c:pt idx="403">
                  <c:v>7.7272999999999996</c:v>
                </c:pt>
                <c:pt idx="404">
                  <c:v>7.5974000000000004</c:v>
                </c:pt>
                <c:pt idx="405">
                  <c:v>7.5324999999999998</c:v>
                </c:pt>
                <c:pt idx="406">
                  <c:v>7.4675000000000002</c:v>
                </c:pt>
                <c:pt idx="407">
                  <c:v>7.5324999999999998</c:v>
                </c:pt>
                <c:pt idx="408">
                  <c:v>7.4675000000000002</c:v>
                </c:pt>
                <c:pt idx="409">
                  <c:v>7.3376999999999999</c:v>
                </c:pt>
                <c:pt idx="410">
                  <c:v>7.4675000000000002</c:v>
                </c:pt>
                <c:pt idx="411">
                  <c:v>7.5324999999999998</c:v>
                </c:pt>
                <c:pt idx="412">
                  <c:v>7.4675000000000002</c:v>
                </c:pt>
                <c:pt idx="413">
                  <c:v>7.4675000000000002</c:v>
                </c:pt>
                <c:pt idx="414">
                  <c:v>7.2077999999999998</c:v>
                </c:pt>
                <c:pt idx="415">
                  <c:v>7.2727000000000004</c:v>
                </c:pt>
                <c:pt idx="416">
                  <c:v>7.4675000000000002</c:v>
                </c:pt>
                <c:pt idx="417">
                  <c:v>7.5324999999999998</c:v>
                </c:pt>
                <c:pt idx="418">
                  <c:v>7.5324999999999998</c:v>
                </c:pt>
                <c:pt idx="419">
                  <c:v>7.6623000000000001</c:v>
                </c:pt>
                <c:pt idx="420">
                  <c:v>7.7272999999999996</c:v>
                </c:pt>
                <c:pt idx="421">
                  <c:v>7.7272999999999996</c:v>
                </c:pt>
                <c:pt idx="422">
                  <c:v>7.6623000000000001</c:v>
                </c:pt>
                <c:pt idx="423">
                  <c:v>7.7922000000000002</c:v>
                </c:pt>
                <c:pt idx="424">
                  <c:v>7.7922000000000002</c:v>
                </c:pt>
                <c:pt idx="425">
                  <c:v>7.7922000000000002</c:v>
                </c:pt>
                <c:pt idx="426">
                  <c:v>7.3376999999999999</c:v>
                </c:pt>
                <c:pt idx="427">
                  <c:v>7.2727000000000004</c:v>
                </c:pt>
                <c:pt idx="428">
                  <c:v>7.2727000000000004</c:v>
                </c:pt>
                <c:pt idx="429">
                  <c:v>7.2727000000000004</c:v>
                </c:pt>
                <c:pt idx="430">
                  <c:v>7.2727000000000004</c:v>
                </c:pt>
                <c:pt idx="431">
                  <c:v>7.3376999999999999</c:v>
                </c:pt>
                <c:pt idx="432">
                  <c:v>7.4025999999999996</c:v>
                </c:pt>
                <c:pt idx="433">
                  <c:v>7.3376999999999999</c:v>
                </c:pt>
                <c:pt idx="434">
                  <c:v>7.3376999999999999</c:v>
                </c:pt>
                <c:pt idx="435">
                  <c:v>7.3376999999999999</c:v>
                </c:pt>
                <c:pt idx="436">
                  <c:v>7.2727000000000004</c:v>
                </c:pt>
                <c:pt idx="437">
                  <c:v>7.1429</c:v>
                </c:pt>
                <c:pt idx="438">
                  <c:v>7.3376999999999999</c:v>
                </c:pt>
                <c:pt idx="439">
                  <c:v>7.1429</c:v>
                </c:pt>
                <c:pt idx="440">
                  <c:v>7.2077999999999998</c:v>
                </c:pt>
                <c:pt idx="441">
                  <c:v>7.2727000000000004</c:v>
                </c:pt>
                <c:pt idx="442">
                  <c:v>7.4675000000000002</c:v>
                </c:pt>
                <c:pt idx="443">
                  <c:v>7.4675000000000002</c:v>
                </c:pt>
                <c:pt idx="444">
                  <c:v>7.4675000000000002</c:v>
                </c:pt>
                <c:pt idx="445">
                  <c:v>7.6623000000000001</c:v>
                </c:pt>
                <c:pt idx="446">
                  <c:v>7.6623000000000001</c:v>
                </c:pt>
                <c:pt idx="447">
                  <c:v>7.6623000000000001</c:v>
                </c:pt>
                <c:pt idx="448">
                  <c:v>7.7922000000000002</c:v>
                </c:pt>
                <c:pt idx="449">
                  <c:v>7.7272999999999996</c:v>
                </c:pt>
                <c:pt idx="450">
                  <c:v>7.5974000000000004</c:v>
                </c:pt>
                <c:pt idx="451">
                  <c:v>7.7272999999999996</c:v>
                </c:pt>
                <c:pt idx="452">
                  <c:v>7.7922000000000002</c:v>
                </c:pt>
                <c:pt idx="453">
                  <c:v>7.7922000000000002</c:v>
                </c:pt>
                <c:pt idx="454">
                  <c:v>7.7922000000000002</c:v>
                </c:pt>
                <c:pt idx="455">
                  <c:v>8.0518999999999998</c:v>
                </c:pt>
                <c:pt idx="456">
                  <c:v>9.2537000000000003</c:v>
                </c:pt>
                <c:pt idx="457">
                  <c:v>9.0298999999999996</c:v>
                </c:pt>
                <c:pt idx="458">
                  <c:v>9.1791</c:v>
                </c:pt>
                <c:pt idx="459">
                  <c:v>9.3284000000000002</c:v>
                </c:pt>
                <c:pt idx="460">
                  <c:v>9.2537000000000003</c:v>
                </c:pt>
                <c:pt idx="461">
                  <c:v>9.1791</c:v>
                </c:pt>
                <c:pt idx="462">
                  <c:v>9.1791</c:v>
                </c:pt>
                <c:pt idx="463">
                  <c:v>9.0298999999999996</c:v>
                </c:pt>
                <c:pt idx="464">
                  <c:v>9.2537000000000003</c:v>
                </c:pt>
                <c:pt idx="465">
                  <c:v>9.3284000000000002</c:v>
                </c:pt>
                <c:pt idx="466">
                  <c:v>9.3284000000000002</c:v>
                </c:pt>
                <c:pt idx="467">
                  <c:v>9.3284000000000002</c:v>
                </c:pt>
                <c:pt idx="468">
                  <c:v>9.3284000000000002</c:v>
                </c:pt>
                <c:pt idx="469">
                  <c:v>9.2537000000000003</c:v>
                </c:pt>
                <c:pt idx="470">
                  <c:v>9.2537000000000003</c:v>
                </c:pt>
                <c:pt idx="471">
                  <c:v>9.2537000000000003</c:v>
                </c:pt>
                <c:pt idx="472">
                  <c:v>9.3284000000000002</c:v>
                </c:pt>
                <c:pt idx="473">
                  <c:v>9.3284000000000002</c:v>
                </c:pt>
                <c:pt idx="474">
                  <c:v>9.1791</c:v>
                </c:pt>
                <c:pt idx="475">
                  <c:v>9.1791</c:v>
                </c:pt>
                <c:pt idx="476">
                  <c:v>9.4030000000000005</c:v>
                </c:pt>
                <c:pt idx="477">
                  <c:v>9.5521999999999991</c:v>
                </c:pt>
                <c:pt idx="478">
                  <c:v>9.7014999999999993</c:v>
                </c:pt>
                <c:pt idx="479">
                  <c:v>9.7760999999999996</c:v>
                </c:pt>
                <c:pt idx="480">
                  <c:v>9.7760999999999996</c:v>
                </c:pt>
                <c:pt idx="481">
                  <c:v>9.9253999999999998</c:v>
                </c:pt>
                <c:pt idx="482">
                  <c:v>10</c:v>
                </c:pt>
                <c:pt idx="483">
                  <c:v>10.0746</c:v>
                </c:pt>
                <c:pt idx="484">
                  <c:v>10.0746</c:v>
                </c:pt>
                <c:pt idx="485">
                  <c:v>10.0746</c:v>
                </c:pt>
                <c:pt idx="486">
                  <c:v>9.8506999999999998</c:v>
                </c:pt>
                <c:pt idx="487">
                  <c:v>10</c:v>
                </c:pt>
                <c:pt idx="488">
                  <c:v>10.2239</c:v>
                </c:pt>
                <c:pt idx="489">
                  <c:v>10.373100000000001</c:v>
                </c:pt>
                <c:pt idx="490">
                  <c:v>10.373100000000001</c:v>
                </c:pt>
                <c:pt idx="491">
                  <c:v>10.373100000000001</c:v>
                </c:pt>
                <c:pt idx="492">
                  <c:v>10.447800000000001</c:v>
                </c:pt>
                <c:pt idx="493">
                  <c:v>10.447800000000001</c:v>
                </c:pt>
                <c:pt idx="494">
                  <c:v>9.9253999999999998</c:v>
                </c:pt>
                <c:pt idx="495">
                  <c:v>9.8506999999999998</c:v>
                </c:pt>
                <c:pt idx="496">
                  <c:v>9.8506999999999998</c:v>
                </c:pt>
                <c:pt idx="497">
                  <c:v>9.8506999999999998</c:v>
                </c:pt>
                <c:pt idx="498">
                  <c:v>9.8506999999999998</c:v>
                </c:pt>
                <c:pt idx="499">
                  <c:v>9.6268999999999991</c:v>
                </c:pt>
                <c:pt idx="500">
                  <c:v>10.0746</c:v>
                </c:pt>
                <c:pt idx="501">
                  <c:v>9.9253999999999998</c:v>
                </c:pt>
                <c:pt idx="502">
                  <c:v>10.0746</c:v>
                </c:pt>
                <c:pt idx="503">
                  <c:v>10.298500000000001</c:v>
                </c:pt>
                <c:pt idx="504">
                  <c:v>10.2239</c:v>
                </c:pt>
                <c:pt idx="505">
                  <c:v>10.298500000000001</c:v>
                </c:pt>
                <c:pt idx="506">
                  <c:v>10.373100000000001</c:v>
                </c:pt>
                <c:pt idx="507">
                  <c:v>10.522399999999999</c:v>
                </c:pt>
                <c:pt idx="508">
                  <c:v>10.522399999999999</c:v>
                </c:pt>
                <c:pt idx="509">
                  <c:v>10.7463</c:v>
                </c:pt>
                <c:pt idx="510">
                  <c:v>10.6716</c:v>
                </c:pt>
                <c:pt idx="511">
                  <c:v>10.6716</c:v>
                </c:pt>
                <c:pt idx="512">
                  <c:v>10.522399999999999</c:v>
                </c:pt>
                <c:pt idx="513">
                  <c:v>10.597</c:v>
                </c:pt>
                <c:pt idx="514">
                  <c:v>10.447800000000001</c:v>
                </c:pt>
                <c:pt idx="515">
                  <c:v>10.6716</c:v>
                </c:pt>
                <c:pt idx="516">
                  <c:v>10.597</c:v>
                </c:pt>
                <c:pt idx="517">
                  <c:v>10.522399999999999</c:v>
                </c:pt>
                <c:pt idx="518">
                  <c:v>10.597</c:v>
                </c:pt>
                <c:pt idx="519">
                  <c:v>10.0746</c:v>
                </c:pt>
                <c:pt idx="520">
                  <c:v>10.0746</c:v>
                </c:pt>
                <c:pt idx="521">
                  <c:v>10.2239</c:v>
                </c:pt>
                <c:pt idx="522">
                  <c:v>10.823499999999999</c:v>
                </c:pt>
                <c:pt idx="523">
                  <c:v>10.666700000000001</c:v>
                </c:pt>
                <c:pt idx="524">
                  <c:v>10.823499999999999</c:v>
                </c:pt>
                <c:pt idx="525">
                  <c:v>10.666700000000001</c:v>
                </c:pt>
                <c:pt idx="526">
                  <c:v>10.117599999999999</c:v>
                </c:pt>
                <c:pt idx="527">
                  <c:v>9.9608000000000008</c:v>
                </c:pt>
                <c:pt idx="528">
                  <c:v>9.7255000000000003</c:v>
                </c:pt>
                <c:pt idx="529">
                  <c:v>9.8824000000000005</c:v>
                </c:pt>
                <c:pt idx="530">
                  <c:v>10.117599999999999</c:v>
                </c:pt>
                <c:pt idx="531">
                  <c:v>10.117599999999999</c:v>
                </c:pt>
                <c:pt idx="532">
                  <c:v>10.196099999999999</c:v>
                </c:pt>
                <c:pt idx="533">
                  <c:v>10.196099999999999</c:v>
                </c:pt>
                <c:pt idx="534">
                  <c:v>10.2745</c:v>
                </c:pt>
                <c:pt idx="535">
                  <c:v>10.2745</c:v>
                </c:pt>
                <c:pt idx="536">
                  <c:v>10.196099999999999</c:v>
                </c:pt>
                <c:pt idx="537">
                  <c:v>10.3529</c:v>
                </c:pt>
                <c:pt idx="538">
                  <c:v>10.5098</c:v>
                </c:pt>
                <c:pt idx="539">
                  <c:v>10.5098</c:v>
                </c:pt>
                <c:pt idx="540">
                  <c:v>10.4314</c:v>
                </c:pt>
                <c:pt idx="541">
                  <c:v>10.4314</c:v>
                </c:pt>
                <c:pt idx="542">
                  <c:v>10.3529</c:v>
                </c:pt>
                <c:pt idx="543">
                  <c:v>10.5098</c:v>
                </c:pt>
                <c:pt idx="544">
                  <c:v>10.588200000000001</c:v>
                </c:pt>
                <c:pt idx="545">
                  <c:v>10.5098</c:v>
                </c:pt>
                <c:pt idx="546">
                  <c:v>10.666700000000001</c:v>
                </c:pt>
                <c:pt idx="547">
                  <c:v>10.980399999999999</c:v>
                </c:pt>
                <c:pt idx="548">
                  <c:v>11.1373</c:v>
                </c:pt>
                <c:pt idx="549">
                  <c:v>10.901999999999999</c:v>
                </c:pt>
                <c:pt idx="550">
                  <c:v>10.823499999999999</c:v>
                </c:pt>
                <c:pt idx="551">
                  <c:v>10.901999999999999</c:v>
                </c:pt>
                <c:pt idx="552">
                  <c:v>10.823499999999999</c:v>
                </c:pt>
                <c:pt idx="553">
                  <c:v>10.823499999999999</c:v>
                </c:pt>
                <c:pt idx="554">
                  <c:v>11.1373</c:v>
                </c:pt>
                <c:pt idx="555">
                  <c:v>10.980399999999999</c:v>
                </c:pt>
                <c:pt idx="556">
                  <c:v>10.980399999999999</c:v>
                </c:pt>
                <c:pt idx="557">
                  <c:v>11.529400000000001</c:v>
                </c:pt>
                <c:pt idx="558">
                  <c:v>11.0588</c:v>
                </c:pt>
                <c:pt idx="559">
                  <c:v>11.1373</c:v>
                </c:pt>
                <c:pt idx="560">
                  <c:v>11.451000000000001</c:v>
                </c:pt>
                <c:pt idx="561">
                  <c:v>11.529400000000001</c:v>
                </c:pt>
                <c:pt idx="562">
                  <c:v>10.666700000000001</c:v>
                </c:pt>
                <c:pt idx="563">
                  <c:v>10.6275</c:v>
                </c:pt>
                <c:pt idx="564">
                  <c:v>10.823499999999999</c:v>
                </c:pt>
                <c:pt idx="565">
                  <c:v>10.901999999999999</c:v>
                </c:pt>
                <c:pt idx="566">
                  <c:v>10.666700000000001</c:v>
                </c:pt>
                <c:pt idx="567">
                  <c:v>10.823499999999999</c:v>
                </c:pt>
                <c:pt idx="568">
                  <c:v>11.0588</c:v>
                </c:pt>
                <c:pt idx="569">
                  <c:v>10.823499999999999</c:v>
                </c:pt>
                <c:pt idx="570">
                  <c:v>10.4314</c:v>
                </c:pt>
                <c:pt idx="571">
                  <c:v>10.4314</c:v>
                </c:pt>
                <c:pt idx="572">
                  <c:v>10.3529</c:v>
                </c:pt>
                <c:pt idx="573">
                  <c:v>10.2745</c:v>
                </c:pt>
                <c:pt idx="574">
                  <c:v>10.2745</c:v>
                </c:pt>
                <c:pt idx="575">
                  <c:v>10.1569</c:v>
                </c:pt>
                <c:pt idx="576">
                  <c:v>10.235300000000001</c:v>
                </c:pt>
                <c:pt idx="577">
                  <c:v>10.196099999999999</c:v>
                </c:pt>
                <c:pt idx="578">
                  <c:v>10.3529</c:v>
                </c:pt>
                <c:pt idx="579">
                  <c:v>10.2745</c:v>
                </c:pt>
                <c:pt idx="580">
                  <c:v>10.4314</c:v>
                </c:pt>
                <c:pt idx="581">
                  <c:v>10.196099999999999</c:v>
                </c:pt>
                <c:pt idx="582">
                  <c:v>10.117599999999999</c:v>
                </c:pt>
                <c:pt idx="583">
                  <c:v>10.235300000000001</c:v>
                </c:pt>
                <c:pt idx="584">
                  <c:v>10.196099999999999</c:v>
                </c:pt>
                <c:pt idx="585">
                  <c:v>10.2745</c:v>
                </c:pt>
                <c:pt idx="586">
                  <c:v>11.004200000000001</c:v>
                </c:pt>
                <c:pt idx="587">
                  <c:v>10.795</c:v>
                </c:pt>
                <c:pt idx="588">
                  <c:v>10.8368</c:v>
                </c:pt>
                <c:pt idx="589">
                  <c:v>11.045999999999999</c:v>
                </c:pt>
                <c:pt idx="590">
                  <c:v>11.5481</c:v>
                </c:pt>
                <c:pt idx="591">
                  <c:v>11.6736</c:v>
                </c:pt>
                <c:pt idx="592">
                  <c:v>11.7155</c:v>
                </c:pt>
                <c:pt idx="593">
                  <c:v>11.8828</c:v>
                </c:pt>
                <c:pt idx="594">
                  <c:v>11.8828</c:v>
                </c:pt>
                <c:pt idx="595">
                  <c:v>11.9247</c:v>
                </c:pt>
                <c:pt idx="596">
                  <c:v>12.0502</c:v>
                </c:pt>
                <c:pt idx="597">
                  <c:v>11.799200000000001</c:v>
                </c:pt>
                <c:pt idx="598">
                  <c:v>11.840999999999999</c:v>
                </c:pt>
                <c:pt idx="599">
                  <c:v>11.840999999999999</c:v>
                </c:pt>
                <c:pt idx="600">
                  <c:v>11.9247</c:v>
                </c:pt>
                <c:pt idx="601">
                  <c:v>11.799200000000001</c:v>
                </c:pt>
                <c:pt idx="602">
                  <c:v>11.799200000000001</c:v>
                </c:pt>
                <c:pt idx="603">
                  <c:v>11.757300000000001</c:v>
                </c:pt>
                <c:pt idx="604">
                  <c:v>12.0502</c:v>
                </c:pt>
                <c:pt idx="605">
                  <c:v>12.133900000000001</c:v>
                </c:pt>
                <c:pt idx="606">
                  <c:v>11.6318</c:v>
                </c:pt>
                <c:pt idx="607">
                  <c:v>11.5063</c:v>
                </c:pt>
                <c:pt idx="608">
                  <c:v>11.6736</c:v>
                </c:pt>
                <c:pt idx="609">
                  <c:v>11.6736</c:v>
                </c:pt>
                <c:pt idx="610">
                  <c:v>11.6736</c:v>
                </c:pt>
                <c:pt idx="611">
                  <c:v>11.2971</c:v>
                </c:pt>
                <c:pt idx="612">
                  <c:v>10.8787</c:v>
                </c:pt>
                <c:pt idx="613">
                  <c:v>10.543900000000001</c:v>
                </c:pt>
                <c:pt idx="614">
                  <c:v>10.669499999999999</c:v>
                </c:pt>
                <c:pt idx="615">
                  <c:v>10.669499999999999</c:v>
                </c:pt>
                <c:pt idx="616">
                  <c:v>10.627599999999999</c:v>
                </c:pt>
                <c:pt idx="617">
                  <c:v>10.209199999999999</c:v>
                </c:pt>
                <c:pt idx="618">
                  <c:v>10.209199999999999</c:v>
                </c:pt>
                <c:pt idx="619">
                  <c:v>10.209199999999999</c:v>
                </c:pt>
                <c:pt idx="620">
                  <c:v>10.4603</c:v>
                </c:pt>
                <c:pt idx="621">
                  <c:v>10.3347</c:v>
                </c:pt>
                <c:pt idx="622">
                  <c:v>10.3347</c:v>
                </c:pt>
                <c:pt idx="623">
                  <c:v>10.543900000000001</c:v>
                </c:pt>
                <c:pt idx="624">
                  <c:v>10.543900000000001</c:v>
                </c:pt>
                <c:pt idx="625">
                  <c:v>10.7531</c:v>
                </c:pt>
                <c:pt idx="626">
                  <c:v>11.004200000000001</c:v>
                </c:pt>
                <c:pt idx="627">
                  <c:v>11.004200000000001</c:v>
                </c:pt>
                <c:pt idx="628">
                  <c:v>10.962300000000001</c:v>
                </c:pt>
                <c:pt idx="629">
                  <c:v>10.962300000000001</c:v>
                </c:pt>
                <c:pt idx="630">
                  <c:v>11.5063</c:v>
                </c:pt>
                <c:pt idx="631">
                  <c:v>11.2552</c:v>
                </c:pt>
                <c:pt idx="632">
                  <c:v>11.087899999999999</c:v>
                </c:pt>
                <c:pt idx="633">
                  <c:v>11.2134</c:v>
                </c:pt>
                <c:pt idx="634">
                  <c:v>11.1715</c:v>
                </c:pt>
                <c:pt idx="635">
                  <c:v>11.2971</c:v>
                </c:pt>
                <c:pt idx="636">
                  <c:v>11.004200000000001</c:v>
                </c:pt>
                <c:pt idx="637">
                  <c:v>11.2552</c:v>
                </c:pt>
                <c:pt idx="638">
                  <c:v>11.2971</c:v>
                </c:pt>
                <c:pt idx="639">
                  <c:v>11.004200000000001</c:v>
                </c:pt>
                <c:pt idx="640">
                  <c:v>10.8368</c:v>
                </c:pt>
                <c:pt idx="641">
                  <c:v>10.795</c:v>
                </c:pt>
                <c:pt idx="642">
                  <c:v>10.8787</c:v>
                </c:pt>
                <c:pt idx="643">
                  <c:v>10.920500000000001</c:v>
                </c:pt>
                <c:pt idx="644">
                  <c:v>10.795</c:v>
                </c:pt>
                <c:pt idx="645">
                  <c:v>10.5021</c:v>
                </c:pt>
                <c:pt idx="646">
                  <c:v>10.250999999999999</c:v>
                </c:pt>
                <c:pt idx="647">
                  <c:v>10.0418</c:v>
                </c:pt>
                <c:pt idx="648">
                  <c:v>11.8932</c:v>
                </c:pt>
                <c:pt idx="649">
                  <c:v>11.796099999999999</c:v>
                </c:pt>
                <c:pt idx="650">
                  <c:v>11.9903</c:v>
                </c:pt>
                <c:pt idx="651">
                  <c:v>11.796099999999999</c:v>
                </c:pt>
                <c:pt idx="652">
                  <c:v>11.8447</c:v>
                </c:pt>
                <c:pt idx="653">
                  <c:v>11.650499999999999</c:v>
                </c:pt>
                <c:pt idx="654">
                  <c:v>11.796099999999999</c:v>
                </c:pt>
                <c:pt idx="655">
                  <c:v>11.941700000000001</c:v>
                </c:pt>
                <c:pt idx="656">
                  <c:v>12.135899999999999</c:v>
                </c:pt>
                <c:pt idx="657">
                  <c:v>11.650499999999999</c:v>
                </c:pt>
                <c:pt idx="658">
                  <c:v>11.5534</c:v>
                </c:pt>
                <c:pt idx="659">
                  <c:v>11.650499999999999</c:v>
                </c:pt>
                <c:pt idx="660">
                  <c:v>11.8447</c:v>
                </c:pt>
                <c:pt idx="661">
                  <c:v>11.8932</c:v>
                </c:pt>
                <c:pt idx="662">
                  <c:v>11.5534</c:v>
                </c:pt>
                <c:pt idx="663">
                  <c:v>11.650499999999999</c:v>
                </c:pt>
                <c:pt idx="664">
                  <c:v>11.650499999999999</c:v>
                </c:pt>
                <c:pt idx="665">
                  <c:v>12.6214</c:v>
                </c:pt>
                <c:pt idx="666">
                  <c:v>13.058299999999999</c:v>
                </c:pt>
                <c:pt idx="667">
                  <c:v>13.0097</c:v>
                </c:pt>
                <c:pt idx="668">
                  <c:v>12.6214</c:v>
                </c:pt>
                <c:pt idx="669">
                  <c:v>13.349500000000001</c:v>
                </c:pt>
                <c:pt idx="670">
                  <c:v>13.4466</c:v>
                </c:pt>
                <c:pt idx="671">
                  <c:v>13.7379</c:v>
                </c:pt>
                <c:pt idx="672">
                  <c:v>13.349500000000001</c:v>
                </c:pt>
                <c:pt idx="673">
                  <c:v>13.689299999999999</c:v>
                </c:pt>
                <c:pt idx="674">
                  <c:v>13.932</c:v>
                </c:pt>
                <c:pt idx="675">
                  <c:v>14.271800000000001</c:v>
                </c:pt>
                <c:pt idx="676">
                  <c:v>13.835000000000001</c:v>
                </c:pt>
                <c:pt idx="677">
                  <c:v>14.2233</c:v>
                </c:pt>
                <c:pt idx="678">
                  <c:v>11.941700000000001</c:v>
                </c:pt>
                <c:pt idx="679">
                  <c:v>12.0388</c:v>
                </c:pt>
                <c:pt idx="680">
                  <c:v>12.6214</c:v>
                </c:pt>
                <c:pt idx="681">
                  <c:v>11.5534</c:v>
                </c:pt>
                <c:pt idx="682">
                  <c:v>11.601900000000001</c:v>
                </c:pt>
                <c:pt idx="683">
                  <c:v>11.2621</c:v>
                </c:pt>
                <c:pt idx="684">
                  <c:v>11.2621</c:v>
                </c:pt>
                <c:pt idx="685">
                  <c:v>11.164999999999999</c:v>
                </c:pt>
                <c:pt idx="686">
                  <c:v>11.164999999999999</c:v>
                </c:pt>
                <c:pt idx="687">
                  <c:v>11.699</c:v>
                </c:pt>
                <c:pt idx="688">
                  <c:v>10.388299999999999</c:v>
                </c:pt>
                <c:pt idx="689">
                  <c:v>10.3398</c:v>
                </c:pt>
                <c:pt idx="690">
                  <c:v>11.019399999999999</c:v>
                </c:pt>
                <c:pt idx="691">
                  <c:v>10.7767</c:v>
                </c:pt>
                <c:pt idx="692">
                  <c:v>11.164999999999999</c:v>
                </c:pt>
                <c:pt idx="693">
                  <c:v>11.068</c:v>
                </c:pt>
                <c:pt idx="694">
                  <c:v>11.941700000000001</c:v>
                </c:pt>
                <c:pt idx="695">
                  <c:v>10.4854</c:v>
                </c:pt>
                <c:pt idx="696">
                  <c:v>10.097099999999999</c:v>
                </c:pt>
                <c:pt idx="697">
                  <c:v>9.9029000000000007</c:v>
                </c:pt>
                <c:pt idx="698">
                  <c:v>9.6117000000000008</c:v>
                </c:pt>
                <c:pt idx="699">
                  <c:v>9.4175000000000004</c:v>
                </c:pt>
                <c:pt idx="700">
                  <c:v>9.5631000000000004</c:v>
                </c:pt>
                <c:pt idx="701">
                  <c:v>9.9029000000000007</c:v>
                </c:pt>
                <c:pt idx="702">
                  <c:v>9.8544</c:v>
                </c:pt>
                <c:pt idx="703">
                  <c:v>9.9029000000000007</c:v>
                </c:pt>
                <c:pt idx="704">
                  <c:v>9.7573000000000008</c:v>
                </c:pt>
                <c:pt idx="705">
                  <c:v>9.7573000000000008</c:v>
                </c:pt>
                <c:pt idx="706">
                  <c:v>10.569900000000001</c:v>
                </c:pt>
                <c:pt idx="707">
                  <c:v>10.621499999999999</c:v>
                </c:pt>
                <c:pt idx="708">
                  <c:v>10.4152</c:v>
                </c:pt>
                <c:pt idx="709">
                  <c:v>10.4152</c:v>
                </c:pt>
                <c:pt idx="710">
                  <c:v>10.3637</c:v>
                </c:pt>
                <c:pt idx="711">
                  <c:v>10.466799999999999</c:v>
                </c:pt>
                <c:pt idx="712">
                  <c:v>10.312099999999999</c:v>
                </c:pt>
                <c:pt idx="713">
                  <c:v>10.3637</c:v>
                </c:pt>
                <c:pt idx="714">
                  <c:v>10.466799999999999</c:v>
                </c:pt>
                <c:pt idx="715">
                  <c:v>10.673</c:v>
                </c:pt>
                <c:pt idx="716">
                  <c:v>10.724600000000001</c:v>
                </c:pt>
                <c:pt idx="717">
                  <c:v>10.724600000000001</c:v>
                </c:pt>
                <c:pt idx="718">
                  <c:v>10.4152</c:v>
                </c:pt>
                <c:pt idx="719">
                  <c:v>10.673</c:v>
                </c:pt>
                <c:pt idx="720">
                  <c:v>10.9308</c:v>
                </c:pt>
                <c:pt idx="721">
                  <c:v>10.9824</c:v>
                </c:pt>
                <c:pt idx="722">
                  <c:v>11.033899999999999</c:v>
                </c:pt>
                <c:pt idx="723">
                  <c:v>11.1371</c:v>
                </c:pt>
                <c:pt idx="724">
                  <c:v>11.3949</c:v>
                </c:pt>
                <c:pt idx="725">
                  <c:v>11.601100000000001</c:v>
                </c:pt>
                <c:pt idx="726">
                  <c:v>11.188599999999999</c:v>
                </c:pt>
                <c:pt idx="727">
                  <c:v>11.188599999999999</c:v>
                </c:pt>
                <c:pt idx="728">
                  <c:v>10.9824</c:v>
                </c:pt>
                <c:pt idx="729">
                  <c:v>11.188599999999999</c:v>
                </c:pt>
                <c:pt idx="730">
                  <c:v>11.343299999999999</c:v>
                </c:pt>
                <c:pt idx="731">
                  <c:v>11.033899999999999</c:v>
                </c:pt>
                <c:pt idx="732">
                  <c:v>11.1371</c:v>
                </c:pt>
                <c:pt idx="733">
                  <c:v>11.446400000000001</c:v>
                </c:pt>
                <c:pt idx="734">
                  <c:v>11.8589</c:v>
                </c:pt>
                <c:pt idx="735">
                  <c:v>11.446400000000001</c:v>
                </c:pt>
                <c:pt idx="736">
                  <c:v>11.601100000000001</c:v>
                </c:pt>
                <c:pt idx="737">
                  <c:v>11.446400000000001</c:v>
                </c:pt>
                <c:pt idx="738">
                  <c:v>11.652699999999999</c:v>
                </c:pt>
                <c:pt idx="739">
                  <c:v>11.601100000000001</c:v>
                </c:pt>
                <c:pt idx="740">
                  <c:v>11.8073</c:v>
                </c:pt>
                <c:pt idx="741">
                  <c:v>10.8277</c:v>
                </c:pt>
                <c:pt idx="742">
                  <c:v>10.8277</c:v>
                </c:pt>
                <c:pt idx="743">
                  <c:v>11.033899999999999</c:v>
                </c:pt>
                <c:pt idx="744">
                  <c:v>10.879300000000001</c:v>
                </c:pt>
                <c:pt idx="745">
                  <c:v>10.673</c:v>
                </c:pt>
                <c:pt idx="746">
                  <c:v>10.002700000000001</c:v>
                </c:pt>
                <c:pt idx="747">
                  <c:v>9.8995999999999995</c:v>
                </c:pt>
                <c:pt idx="748">
                  <c:v>9.6417999999999999</c:v>
                </c:pt>
                <c:pt idx="749">
                  <c:v>9.8481000000000005</c:v>
                </c:pt>
                <c:pt idx="750">
                  <c:v>9.8481000000000005</c:v>
                </c:pt>
                <c:pt idx="751">
                  <c:v>10.312099999999999</c:v>
                </c:pt>
                <c:pt idx="752">
                  <c:v>10.5183</c:v>
                </c:pt>
                <c:pt idx="753">
                  <c:v>10.466799999999999</c:v>
                </c:pt>
                <c:pt idx="754">
                  <c:v>10.569900000000001</c:v>
                </c:pt>
                <c:pt idx="755">
                  <c:v>10.673</c:v>
                </c:pt>
                <c:pt idx="756">
                  <c:v>10.724600000000001</c:v>
                </c:pt>
                <c:pt idx="757">
                  <c:v>10.9824</c:v>
                </c:pt>
                <c:pt idx="758">
                  <c:v>11.188599999999999</c:v>
                </c:pt>
                <c:pt idx="759">
                  <c:v>10.5183</c:v>
                </c:pt>
                <c:pt idx="760">
                  <c:v>10.621499999999999</c:v>
                </c:pt>
                <c:pt idx="761">
                  <c:v>10.621499999999999</c:v>
                </c:pt>
                <c:pt idx="762">
                  <c:v>10.312099999999999</c:v>
                </c:pt>
                <c:pt idx="763">
                  <c:v>10.3637</c:v>
                </c:pt>
                <c:pt idx="764">
                  <c:v>10.312099999999999</c:v>
                </c:pt>
                <c:pt idx="765">
                  <c:v>10.4152</c:v>
                </c:pt>
                <c:pt idx="766">
                  <c:v>10.466799999999999</c:v>
                </c:pt>
                <c:pt idx="767">
                  <c:v>10.2605</c:v>
                </c:pt>
                <c:pt idx="768">
                  <c:v>9.8995999999999995</c:v>
                </c:pt>
                <c:pt idx="769">
                  <c:v>9.8995999999999995</c:v>
                </c:pt>
                <c:pt idx="770">
                  <c:v>10.1059</c:v>
                </c:pt>
              </c:numCache>
            </c:numRef>
          </c:val>
          <c:smooth val="0"/>
          <c:extLst>
            <c:ext xmlns:c16="http://schemas.microsoft.com/office/drawing/2014/chart" uri="{C3380CC4-5D6E-409C-BE32-E72D297353CC}">
              <c16:uniqueId val="{00000003-FF01-4B80-8D20-30CD9BED09B4}"/>
            </c:ext>
          </c:extLst>
        </c:ser>
        <c:ser>
          <c:idx val="4"/>
          <c:order val="4"/>
          <c:tx>
            <c:strRef>
              <c:f>'C. Peers'!$F$4</c:f>
              <c:strCache>
                <c:ptCount val="1"/>
                <c:pt idx="0">
                  <c:v>SYNEX TB EQUITY</c:v>
                </c:pt>
              </c:strCache>
            </c:strRef>
          </c:tx>
          <c:spPr>
            <a:ln w="28575" cap="rnd">
              <a:solidFill>
                <a:schemeClr val="accent5"/>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Peers'!$F$5:$F$775</c:f>
              <c:numCache>
                <c:formatCode>_(* #,##0.0_);_(* \(#,##0.0\);_(* "-"??_);_(@_)</c:formatCode>
                <c:ptCount val="771"/>
                <c:pt idx="0">
                  <c:v>12.6244</c:v>
                </c:pt>
                <c:pt idx="1">
                  <c:v>13.031700000000001</c:v>
                </c:pt>
                <c:pt idx="2">
                  <c:v>12.5566</c:v>
                </c:pt>
                <c:pt idx="3">
                  <c:v>12.2172</c:v>
                </c:pt>
                <c:pt idx="4">
                  <c:v>12.963800000000001</c:v>
                </c:pt>
                <c:pt idx="5">
                  <c:v>12.963800000000001</c:v>
                </c:pt>
                <c:pt idx="6">
                  <c:v>12.963800000000001</c:v>
                </c:pt>
                <c:pt idx="7">
                  <c:v>13.099500000000001</c:v>
                </c:pt>
                <c:pt idx="8">
                  <c:v>13.8461</c:v>
                </c:pt>
                <c:pt idx="9">
                  <c:v>14.389099999999999</c:v>
                </c:pt>
                <c:pt idx="10">
                  <c:v>15.0679</c:v>
                </c:pt>
                <c:pt idx="11">
                  <c:v>14.7964</c:v>
                </c:pt>
                <c:pt idx="12">
                  <c:v>14.7964</c:v>
                </c:pt>
                <c:pt idx="13">
                  <c:v>15.2036</c:v>
                </c:pt>
                <c:pt idx="14">
                  <c:v>15.475099999999999</c:v>
                </c:pt>
                <c:pt idx="15">
                  <c:v>14.9321</c:v>
                </c:pt>
                <c:pt idx="16">
                  <c:v>15.0679</c:v>
                </c:pt>
                <c:pt idx="17">
                  <c:v>15.339399999999999</c:v>
                </c:pt>
                <c:pt idx="18">
                  <c:v>15.610900000000001</c:v>
                </c:pt>
                <c:pt idx="19">
                  <c:v>15.610900000000001</c:v>
                </c:pt>
                <c:pt idx="20">
                  <c:v>15.339399999999999</c:v>
                </c:pt>
                <c:pt idx="21">
                  <c:v>15.746600000000001</c:v>
                </c:pt>
                <c:pt idx="22">
                  <c:v>16.6968</c:v>
                </c:pt>
                <c:pt idx="23">
                  <c:v>16.832599999999999</c:v>
                </c:pt>
                <c:pt idx="24">
                  <c:v>17.239799999999999</c:v>
                </c:pt>
                <c:pt idx="25">
                  <c:v>16.6968</c:v>
                </c:pt>
                <c:pt idx="26">
                  <c:v>17.647099999999998</c:v>
                </c:pt>
                <c:pt idx="27">
                  <c:v>17.511299999999999</c:v>
                </c:pt>
                <c:pt idx="28">
                  <c:v>17.375599999999999</c:v>
                </c:pt>
                <c:pt idx="29">
                  <c:v>17.511299999999999</c:v>
                </c:pt>
                <c:pt idx="30">
                  <c:v>17.918500000000002</c:v>
                </c:pt>
                <c:pt idx="31">
                  <c:v>16.832599999999999</c:v>
                </c:pt>
                <c:pt idx="32">
                  <c:v>16.968299999999999</c:v>
                </c:pt>
                <c:pt idx="33">
                  <c:v>16.968299999999999</c:v>
                </c:pt>
                <c:pt idx="34">
                  <c:v>16.4253</c:v>
                </c:pt>
                <c:pt idx="35">
                  <c:v>17.647099999999998</c:v>
                </c:pt>
                <c:pt idx="36">
                  <c:v>17.918500000000002</c:v>
                </c:pt>
                <c:pt idx="37">
                  <c:v>18.190000000000001</c:v>
                </c:pt>
                <c:pt idx="38">
                  <c:v>18.054300000000001</c:v>
                </c:pt>
                <c:pt idx="39">
                  <c:v>18.054300000000001</c:v>
                </c:pt>
                <c:pt idx="40">
                  <c:v>18.461500000000001</c:v>
                </c:pt>
                <c:pt idx="41">
                  <c:v>18.597300000000001</c:v>
                </c:pt>
                <c:pt idx="42">
                  <c:v>18.190000000000001</c:v>
                </c:pt>
                <c:pt idx="43">
                  <c:v>17.647099999999998</c:v>
                </c:pt>
                <c:pt idx="44">
                  <c:v>17.918500000000002</c:v>
                </c:pt>
                <c:pt idx="45">
                  <c:v>17.918500000000002</c:v>
                </c:pt>
                <c:pt idx="46">
                  <c:v>17.375599999999999</c:v>
                </c:pt>
                <c:pt idx="47">
                  <c:v>16.968299999999999</c:v>
                </c:pt>
                <c:pt idx="48">
                  <c:v>16.6968</c:v>
                </c:pt>
                <c:pt idx="49">
                  <c:v>15.882300000000001</c:v>
                </c:pt>
                <c:pt idx="50">
                  <c:v>15.746600000000001</c:v>
                </c:pt>
                <c:pt idx="51">
                  <c:v>16.1538</c:v>
                </c:pt>
                <c:pt idx="52">
                  <c:v>15.610900000000001</c:v>
                </c:pt>
                <c:pt idx="53">
                  <c:v>15.0679</c:v>
                </c:pt>
                <c:pt idx="54">
                  <c:v>15.0679</c:v>
                </c:pt>
                <c:pt idx="55">
                  <c:v>15.2036</c:v>
                </c:pt>
                <c:pt idx="56">
                  <c:v>15.2036</c:v>
                </c:pt>
                <c:pt idx="57">
                  <c:v>14.9321</c:v>
                </c:pt>
                <c:pt idx="58">
                  <c:v>14.7964</c:v>
                </c:pt>
                <c:pt idx="59">
                  <c:v>15.0679</c:v>
                </c:pt>
                <c:pt idx="60">
                  <c:v>15.475099999999999</c:v>
                </c:pt>
                <c:pt idx="61">
                  <c:v>15.610900000000001</c:v>
                </c:pt>
                <c:pt idx="62">
                  <c:v>15.882300000000001</c:v>
                </c:pt>
                <c:pt idx="63">
                  <c:v>15.882300000000001</c:v>
                </c:pt>
                <c:pt idx="64">
                  <c:v>16.0181</c:v>
                </c:pt>
                <c:pt idx="65">
                  <c:v>16.0181</c:v>
                </c:pt>
                <c:pt idx="66">
                  <c:v>15.475099999999999</c:v>
                </c:pt>
                <c:pt idx="67">
                  <c:v>15.746600000000001</c:v>
                </c:pt>
                <c:pt idx="68">
                  <c:v>15.882300000000001</c:v>
                </c:pt>
                <c:pt idx="69">
                  <c:v>16.0181</c:v>
                </c:pt>
                <c:pt idx="70">
                  <c:v>16.1538</c:v>
                </c:pt>
                <c:pt idx="71">
                  <c:v>16.0181</c:v>
                </c:pt>
                <c:pt idx="72">
                  <c:v>16.2896</c:v>
                </c:pt>
                <c:pt idx="73">
                  <c:v>16.5611</c:v>
                </c:pt>
                <c:pt idx="74">
                  <c:v>16.6968</c:v>
                </c:pt>
                <c:pt idx="75">
                  <c:v>16.0181</c:v>
                </c:pt>
                <c:pt idx="76">
                  <c:v>15.882300000000001</c:v>
                </c:pt>
                <c:pt idx="77">
                  <c:v>15.882300000000001</c:v>
                </c:pt>
                <c:pt idx="78">
                  <c:v>16.4253</c:v>
                </c:pt>
                <c:pt idx="79">
                  <c:v>16.2896</c:v>
                </c:pt>
                <c:pt idx="80">
                  <c:v>16.2896</c:v>
                </c:pt>
                <c:pt idx="81">
                  <c:v>16.2896</c:v>
                </c:pt>
                <c:pt idx="82">
                  <c:v>16.4253</c:v>
                </c:pt>
                <c:pt idx="83">
                  <c:v>16.4253</c:v>
                </c:pt>
                <c:pt idx="84">
                  <c:v>16.2896</c:v>
                </c:pt>
                <c:pt idx="85">
                  <c:v>16.1538</c:v>
                </c:pt>
                <c:pt idx="86">
                  <c:v>13.891</c:v>
                </c:pt>
                <c:pt idx="87">
                  <c:v>13.891</c:v>
                </c:pt>
                <c:pt idx="88">
                  <c:v>14.358000000000001</c:v>
                </c:pt>
                <c:pt idx="89">
                  <c:v>14.124499999999999</c:v>
                </c:pt>
                <c:pt idx="90">
                  <c:v>14.7082</c:v>
                </c:pt>
                <c:pt idx="91">
                  <c:v>14.8249</c:v>
                </c:pt>
                <c:pt idx="92">
                  <c:v>14.941599999999999</c:v>
                </c:pt>
                <c:pt idx="93">
                  <c:v>14.941599999999999</c:v>
                </c:pt>
                <c:pt idx="94">
                  <c:v>15.2918</c:v>
                </c:pt>
                <c:pt idx="95">
                  <c:v>15.2918</c:v>
                </c:pt>
                <c:pt idx="96">
                  <c:v>15.1751</c:v>
                </c:pt>
                <c:pt idx="97">
                  <c:v>15.5253</c:v>
                </c:pt>
                <c:pt idx="98">
                  <c:v>15.5253</c:v>
                </c:pt>
                <c:pt idx="99">
                  <c:v>15.4086</c:v>
                </c:pt>
                <c:pt idx="100">
                  <c:v>15.5253</c:v>
                </c:pt>
                <c:pt idx="101">
                  <c:v>15.1751</c:v>
                </c:pt>
                <c:pt idx="102">
                  <c:v>15.058400000000001</c:v>
                </c:pt>
                <c:pt idx="103">
                  <c:v>15.1751</c:v>
                </c:pt>
                <c:pt idx="104">
                  <c:v>15.1751</c:v>
                </c:pt>
                <c:pt idx="105">
                  <c:v>15.058400000000001</c:v>
                </c:pt>
                <c:pt idx="106">
                  <c:v>15.1751</c:v>
                </c:pt>
                <c:pt idx="107">
                  <c:v>15.5253</c:v>
                </c:pt>
                <c:pt idx="108">
                  <c:v>15.2918</c:v>
                </c:pt>
                <c:pt idx="109">
                  <c:v>15.2918</c:v>
                </c:pt>
                <c:pt idx="110">
                  <c:v>15.1751</c:v>
                </c:pt>
                <c:pt idx="111">
                  <c:v>15.4086</c:v>
                </c:pt>
                <c:pt idx="112">
                  <c:v>15.2918</c:v>
                </c:pt>
                <c:pt idx="113">
                  <c:v>15.2918</c:v>
                </c:pt>
                <c:pt idx="114">
                  <c:v>15.058400000000001</c:v>
                </c:pt>
                <c:pt idx="115">
                  <c:v>14.8249</c:v>
                </c:pt>
                <c:pt idx="116">
                  <c:v>15.058400000000001</c:v>
                </c:pt>
                <c:pt idx="117">
                  <c:v>14.8249</c:v>
                </c:pt>
                <c:pt idx="118">
                  <c:v>15.1751</c:v>
                </c:pt>
                <c:pt idx="119">
                  <c:v>14.8249</c:v>
                </c:pt>
                <c:pt idx="120">
                  <c:v>14.8249</c:v>
                </c:pt>
                <c:pt idx="121">
                  <c:v>15.5253</c:v>
                </c:pt>
                <c:pt idx="122">
                  <c:v>15.641999999999999</c:v>
                </c:pt>
                <c:pt idx="123">
                  <c:v>15.4086</c:v>
                </c:pt>
                <c:pt idx="124">
                  <c:v>15.1751</c:v>
                </c:pt>
                <c:pt idx="125">
                  <c:v>15.1751</c:v>
                </c:pt>
                <c:pt idx="126">
                  <c:v>15.1751</c:v>
                </c:pt>
                <c:pt idx="127">
                  <c:v>15.058400000000001</c:v>
                </c:pt>
                <c:pt idx="128">
                  <c:v>14.941599999999999</c:v>
                </c:pt>
                <c:pt idx="129">
                  <c:v>15.058400000000001</c:v>
                </c:pt>
                <c:pt idx="130">
                  <c:v>14.941599999999999</c:v>
                </c:pt>
                <c:pt idx="131">
                  <c:v>15.5253</c:v>
                </c:pt>
                <c:pt idx="132">
                  <c:v>15.5253</c:v>
                </c:pt>
                <c:pt idx="133">
                  <c:v>15.875500000000001</c:v>
                </c:pt>
                <c:pt idx="134">
                  <c:v>16.108899999999998</c:v>
                </c:pt>
                <c:pt idx="135">
                  <c:v>16.342400000000001</c:v>
                </c:pt>
                <c:pt idx="136">
                  <c:v>16.459099999999999</c:v>
                </c:pt>
                <c:pt idx="137">
                  <c:v>16.459099999999999</c:v>
                </c:pt>
                <c:pt idx="138">
                  <c:v>16.459099999999999</c:v>
                </c:pt>
                <c:pt idx="139">
                  <c:v>15.9922</c:v>
                </c:pt>
                <c:pt idx="140">
                  <c:v>16.2257</c:v>
                </c:pt>
                <c:pt idx="141">
                  <c:v>16.108899999999998</c:v>
                </c:pt>
                <c:pt idx="142">
                  <c:v>16.342400000000001</c:v>
                </c:pt>
                <c:pt idx="143">
                  <c:v>16.342400000000001</c:v>
                </c:pt>
                <c:pt idx="144">
                  <c:v>16.459099999999999</c:v>
                </c:pt>
                <c:pt idx="145">
                  <c:v>16.692599999999999</c:v>
                </c:pt>
                <c:pt idx="146">
                  <c:v>16.926100000000002</c:v>
                </c:pt>
                <c:pt idx="147">
                  <c:v>17.0428</c:v>
                </c:pt>
                <c:pt idx="148">
                  <c:v>15.2613</c:v>
                </c:pt>
                <c:pt idx="149">
                  <c:v>15.784000000000001</c:v>
                </c:pt>
                <c:pt idx="150">
                  <c:v>15.784000000000001</c:v>
                </c:pt>
                <c:pt idx="151">
                  <c:v>15.5749</c:v>
                </c:pt>
                <c:pt idx="152">
                  <c:v>15.784000000000001</c:v>
                </c:pt>
                <c:pt idx="153">
                  <c:v>15.784000000000001</c:v>
                </c:pt>
                <c:pt idx="154">
                  <c:v>15.888500000000001</c:v>
                </c:pt>
                <c:pt idx="155">
                  <c:v>15.784000000000001</c:v>
                </c:pt>
                <c:pt idx="156">
                  <c:v>15.4704</c:v>
                </c:pt>
                <c:pt idx="157">
                  <c:v>15.679399999999999</c:v>
                </c:pt>
                <c:pt idx="158">
                  <c:v>15.4704</c:v>
                </c:pt>
                <c:pt idx="159">
                  <c:v>15.679399999999999</c:v>
                </c:pt>
                <c:pt idx="160">
                  <c:v>15.2613</c:v>
                </c:pt>
                <c:pt idx="161">
                  <c:v>16.0976</c:v>
                </c:pt>
                <c:pt idx="162">
                  <c:v>16.202100000000002</c:v>
                </c:pt>
                <c:pt idx="163">
                  <c:v>16.3066</c:v>
                </c:pt>
                <c:pt idx="164">
                  <c:v>16.8293</c:v>
                </c:pt>
                <c:pt idx="165">
                  <c:v>16.724699999999999</c:v>
                </c:pt>
                <c:pt idx="166">
                  <c:v>16.724699999999999</c:v>
                </c:pt>
                <c:pt idx="167">
                  <c:v>16.3066</c:v>
                </c:pt>
                <c:pt idx="168">
                  <c:v>16.724699999999999</c:v>
                </c:pt>
                <c:pt idx="169">
                  <c:v>16.620200000000001</c:v>
                </c:pt>
                <c:pt idx="170">
                  <c:v>16.8293</c:v>
                </c:pt>
                <c:pt idx="171">
                  <c:v>16.933800000000002</c:v>
                </c:pt>
                <c:pt idx="172">
                  <c:v>16.933800000000002</c:v>
                </c:pt>
                <c:pt idx="173">
                  <c:v>17.142900000000001</c:v>
                </c:pt>
                <c:pt idx="174">
                  <c:v>17.456399999999999</c:v>
                </c:pt>
                <c:pt idx="175">
                  <c:v>17.351900000000001</c:v>
                </c:pt>
                <c:pt idx="176">
                  <c:v>17.142900000000001</c:v>
                </c:pt>
                <c:pt idx="177">
                  <c:v>16.8293</c:v>
                </c:pt>
                <c:pt idx="178">
                  <c:v>16.933800000000002</c:v>
                </c:pt>
                <c:pt idx="179">
                  <c:v>16.8293</c:v>
                </c:pt>
                <c:pt idx="180">
                  <c:v>16.515699999999999</c:v>
                </c:pt>
                <c:pt idx="181">
                  <c:v>16.933800000000002</c:v>
                </c:pt>
                <c:pt idx="182">
                  <c:v>17.247399999999999</c:v>
                </c:pt>
                <c:pt idx="183">
                  <c:v>17.351900000000001</c:v>
                </c:pt>
                <c:pt idx="184">
                  <c:v>17.0383</c:v>
                </c:pt>
                <c:pt idx="185">
                  <c:v>17.874600000000001</c:v>
                </c:pt>
                <c:pt idx="186">
                  <c:v>17.874600000000001</c:v>
                </c:pt>
                <c:pt idx="187">
                  <c:v>17.351900000000001</c:v>
                </c:pt>
                <c:pt idx="188">
                  <c:v>17.247399999999999</c:v>
                </c:pt>
                <c:pt idx="189">
                  <c:v>17.247399999999999</c:v>
                </c:pt>
                <c:pt idx="190">
                  <c:v>16.8293</c:v>
                </c:pt>
                <c:pt idx="191">
                  <c:v>16.933800000000002</c:v>
                </c:pt>
                <c:pt idx="192">
                  <c:v>16.8293</c:v>
                </c:pt>
                <c:pt idx="193">
                  <c:v>17.665500000000002</c:v>
                </c:pt>
                <c:pt idx="194">
                  <c:v>17.665500000000002</c:v>
                </c:pt>
                <c:pt idx="195">
                  <c:v>17.665500000000002</c:v>
                </c:pt>
                <c:pt idx="196">
                  <c:v>17.874600000000001</c:v>
                </c:pt>
                <c:pt idx="197">
                  <c:v>17.874600000000001</c:v>
                </c:pt>
                <c:pt idx="198">
                  <c:v>17.979099999999999</c:v>
                </c:pt>
                <c:pt idx="199">
                  <c:v>17.874600000000001</c:v>
                </c:pt>
                <c:pt idx="200">
                  <c:v>17.77</c:v>
                </c:pt>
                <c:pt idx="201">
                  <c:v>17.979099999999999</c:v>
                </c:pt>
                <c:pt idx="202">
                  <c:v>17.77</c:v>
                </c:pt>
                <c:pt idx="203">
                  <c:v>17.247399999999999</c:v>
                </c:pt>
                <c:pt idx="204">
                  <c:v>17.142900000000001</c:v>
                </c:pt>
                <c:pt idx="205">
                  <c:v>17.456399999999999</c:v>
                </c:pt>
                <c:pt idx="206">
                  <c:v>17.142900000000001</c:v>
                </c:pt>
                <c:pt idx="207">
                  <c:v>17.147200000000002</c:v>
                </c:pt>
                <c:pt idx="208">
                  <c:v>17.147200000000002</c:v>
                </c:pt>
                <c:pt idx="209">
                  <c:v>17.3629</c:v>
                </c:pt>
                <c:pt idx="210">
                  <c:v>16.9315</c:v>
                </c:pt>
                <c:pt idx="211">
                  <c:v>16.9315</c:v>
                </c:pt>
                <c:pt idx="212">
                  <c:v>17.147200000000002</c:v>
                </c:pt>
                <c:pt idx="213">
                  <c:v>16.823699999999999</c:v>
                </c:pt>
                <c:pt idx="214">
                  <c:v>16.823699999999999</c:v>
                </c:pt>
                <c:pt idx="215">
                  <c:v>17.147200000000002</c:v>
                </c:pt>
                <c:pt idx="216">
                  <c:v>17.147200000000002</c:v>
                </c:pt>
                <c:pt idx="217">
                  <c:v>17.039300000000001</c:v>
                </c:pt>
                <c:pt idx="218">
                  <c:v>18.117799999999999</c:v>
                </c:pt>
                <c:pt idx="219">
                  <c:v>18.009899999999998</c:v>
                </c:pt>
                <c:pt idx="220">
                  <c:v>18.009899999999998</c:v>
                </c:pt>
                <c:pt idx="221">
                  <c:v>19.0884</c:v>
                </c:pt>
                <c:pt idx="222">
                  <c:v>19.196200000000001</c:v>
                </c:pt>
                <c:pt idx="223">
                  <c:v>19.196200000000001</c:v>
                </c:pt>
                <c:pt idx="224">
                  <c:v>19.0884</c:v>
                </c:pt>
                <c:pt idx="225">
                  <c:v>19.0884</c:v>
                </c:pt>
                <c:pt idx="226">
                  <c:v>18.980499999999999</c:v>
                </c:pt>
                <c:pt idx="227">
                  <c:v>19.411899999999999</c:v>
                </c:pt>
                <c:pt idx="228">
                  <c:v>19.196200000000001</c:v>
                </c:pt>
                <c:pt idx="229">
                  <c:v>19.196200000000001</c:v>
                </c:pt>
                <c:pt idx="230">
                  <c:v>18.441299999999998</c:v>
                </c:pt>
                <c:pt idx="231">
                  <c:v>18.549199999999999</c:v>
                </c:pt>
                <c:pt idx="232">
                  <c:v>18.764800000000001</c:v>
                </c:pt>
                <c:pt idx="233">
                  <c:v>18.872699999999998</c:v>
                </c:pt>
                <c:pt idx="234">
                  <c:v>18.549199999999999</c:v>
                </c:pt>
                <c:pt idx="235">
                  <c:v>18.764800000000001</c:v>
                </c:pt>
                <c:pt idx="236">
                  <c:v>18.657</c:v>
                </c:pt>
                <c:pt idx="237">
                  <c:v>18.441299999999998</c:v>
                </c:pt>
                <c:pt idx="238">
                  <c:v>18.764800000000001</c:v>
                </c:pt>
                <c:pt idx="239">
                  <c:v>18.441299999999998</c:v>
                </c:pt>
                <c:pt idx="240">
                  <c:v>17.7942</c:v>
                </c:pt>
                <c:pt idx="241">
                  <c:v>17.7942</c:v>
                </c:pt>
                <c:pt idx="242">
                  <c:v>17.039300000000001</c:v>
                </c:pt>
                <c:pt idx="243">
                  <c:v>17.039300000000001</c:v>
                </c:pt>
                <c:pt idx="244">
                  <c:v>17.578600000000002</c:v>
                </c:pt>
                <c:pt idx="245">
                  <c:v>17.578600000000002</c:v>
                </c:pt>
                <c:pt idx="246">
                  <c:v>18.009899999999998</c:v>
                </c:pt>
                <c:pt idx="247">
                  <c:v>17.470700000000001</c:v>
                </c:pt>
                <c:pt idx="248">
                  <c:v>17.470700000000001</c:v>
                </c:pt>
                <c:pt idx="249">
                  <c:v>17.039300000000001</c:v>
                </c:pt>
                <c:pt idx="250">
                  <c:v>16.5001</c:v>
                </c:pt>
                <c:pt idx="251">
                  <c:v>16.392299999999999</c:v>
                </c:pt>
                <c:pt idx="252">
                  <c:v>16.715800000000002</c:v>
                </c:pt>
                <c:pt idx="253">
                  <c:v>16.392299999999999</c:v>
                </c:pt>
                <c:pt idx="254">
                  <c:v>16.392299999999999</c:v>
                </c:pt>
                <c:pt idx="255">
                  <c:v>16.392299999999999</c:v>
                </c:pt>
                <c:pt idx="256">
                  <c:v>16.715800000000002</c:v>
                </c:pt>
                <c:pt idx="257">
                  <c:v>17.147200000000002</c:v>
                </c:pt>
                <c:pt idx="258">
                  <c:v>16.608000000000001</c:v>
                </c:pt>
                <c:pt idx="259">
                  <c:v>17.147200000000002</c:v>
                </c:pt>
                <c:pt idx="260">
                  <c:v>16.392299999999999</c:v>
                </c:pt>
                <c:pt idx="261">
                  <c:v>16.392299999999999</c:v>
                </c:pt>
                <c:pt idx="262">
                  <c:v>16.392299999999999</c:v>
                </c:pt>
                <c:pt idx="263">
                  <c:v>15.745200000000001</c:v>
                </c:pt>
                <c:pt idx="264">
                  <c:v>15.960900000000001</c:v>
                </c:pt>
                <c:pt idx="265">
                  <c:v>16.176600000000001</c:v>
                </c:pt>
                <c:pt idx="266">
                  <c:v>16.608000000000001</c:v>
                </c:pt>
                <c:pt idx="267">
                  <c:v>17.039300000000001</c:v>
                </c:pt>
                <c:pt idx="268">
                  <c:v>16.5001</c:v>
                </c:pt>
                <c:pt idx="269">
                  <c:v>17.147200000000002</c:v>
                </c:pt>
                <c:pt idx="270">
                  <c:v>17.147200000000002</c:v>
                </c:pt>
                <c:pt idx="271">
                  <c:v>18.117799999999999</c:v>
                </c:pt>
                <c:pt idx="272">
                  <c:v>13.741400000000001</c:v>
                </c:pt>
                <c:pt idx="273">
                  <c:v>14.1456</c:v>
                </c:pt>
                <c:pt idx="274">
                  <c:v>14.3881</c:v>
                </c:pt>
                <c:pt idx="275">
                  <c:v>14.792299999999999</c:v>
                </c:pt>
                <c:pt idx="276">
                  <c:v>15.3581</c:v>
                </c:pt>
                <c:pt idx="277">
                  <c:v>16.0047</c:v>
                </c:pt>
                <c:pt idx="278">
                  <c:v>16.166399999999999</c:v>
                </c:pt>
                <c:pt idx="279">
                  <c:v>16.328099999999999</c:v>
                </c:pt>
                <c:pt idx="280">
                  <c:v>16.247199999999999</c:v>
                </c:pt>
                <c:pt idx="281">
                  <c:v>16.570599999999999</c:v>
                </c:pt>
                <c:pt idx="282">
                  <c:v>16.651399999999999</c:v>
                </c:pt>
                <c:pt idx="283">
                  <c:v>16.328099999999999</c:v>
                </c:pt>
                <c:pt idx="284">
                  <c:v>16.085599999999999</c:v>
                </c:pt>
                <c:pt idx="285">
                  <c:v>16.166399999999999</c:v>
                </c:pt>
                <c:pt idx="286">
                  <c:v>16.085599999999999</c:v>
                </c:pt>
                <c:pt idx="287">
                  <c:v>16.085599999999999</c:v>
                </c:pt>
                <c:pt idx="288">
                  <c:v>16.328099999999999</c:v>
                </c:pt>
                <c:pt idx="289">
                  <c:v>16.247199999999999</c:v>
                </c:pt>
                <c:pt idx="290">
                  <c:v>16.085599999999999</c:v>
                </c:pt>
                <c:pt idx="291">
                  <c:v>16.813099999999999</c:v>
                </c:pt>
                <c:pt idx="292">
                  <c:v>17.136399999999998</c:v>
                </c:pt>
                <c:pt idx="293">
                  <c:v>16.489699999999999</c:v>
                </c:pt>
                <c:pt idx="294">
                  <c:v>16.893899999999999</c:v>
                </c:pt>
                <c:pt idx="295">
                  <c:v>17.298100000000002</c:v>
                </c:pt>
                <c:pt idx="296">
                  <c:v>15.9239</c:v>
                </c:pt>
                <c:pt idx="297">
                  <c:v>15.6006</c:v>
                </c:pt>
                <c:pt idx="298">
                  <c:v>15.3581</c:v>
                </c:pt>
                <c:pt idx="299">
                  <c:v>15.7622</c:v>
                </c:pt>
                <c:pt idx="300">
                  <c:v>15.9239</c:v>
                </c:pt>
                <c:pt idx="301">
                  <c:v>15.7622</c:v>
                </c:pt>
                <c:pt idx="302">
                  <c:v>15.6006</c:v>
                </c:pt>
                <c:pt idx="303">
                  <c:v>15.7622</c:v>
                </c:pt>
                <c:pt idx="304">
                  <c:v>15.7622</c:v>
                </c:pt>
                <c:pt idx="305">
                  <c:v>15.7622</c:v>
                </c:pt>
                <c:pt idx="306">
                  <c:v>15.5198</c:v>
                </c:pt>
                <c:pt idx="307">
                  <c:v>16.0047</c:v>
                </c:pt>
                <c:pt idx="308">
                  <c:v>16.570599999999999</c:v>
                </c:pt>
                <c:pt idx="309">
                  <c:v>16.328099999999999</c:v>
                </c:pt>
                <c:pt idx="310">
                  <c:v>15.6006</c:v>
                </c:pt>
                <c:pt idx="311">
                  <c:v>15.4389</c:v>
                </c:pt>
                <c:pt idx="312">
                  <c:v>15.6006</c:v>
                </c:pt>
                <c:pt idx="313">
                  <c:v>15.7622</c:v>
                </c:pt>
                <c:pt idx="314">
                  <c:v>15.7622</c:v>
                </c:pt>
                <c:pt idx="315">
                  <c:v>15.7622</c:v>
                </c:pt>
                <c:pt idx="316">
                  <c:v>15.196400000000001</c:v>
                </c:pt>
                <c:pt idx="317">
                  <c:v>15.115600000000001</c:v>
                </c:pt>
                <c:pt idx="318">
                  <c:v>15.3581</c:v>
                </c:pt>
                <c:pt idx="319">
                  <c:v>15.034800000000001</c:v>
                </c:pt>
                <c:pt idx="320">
                  <c:v>14.4689</c:v>
                </c:pt>
                <c:pt idx="321">
                  <c:v>13.9839</c:v>
                </c:pt>
                <c:pt idx="322">
                  <c:v>13.741400000000001</c:v>
                </c:pt>
                <c:pt idx="323">
                  <c:v>13.9839</c:v>
                </c:pt>
                <c:pt idx="324">
                  <c:v>14.0648</c:v>
                </c:pt>
                <c:pt idx="325">
                  <c:v>13.499000000000001</c:v>
                </c:pt>
                <c:pt idx="326">
                  <c:v>13.499000000000001</c:v>
                </c:pt>
                <c:pt idx="327">
                  <c:v>13.8223</c:v>
                </c:pt>
                <c:pt idx="328">
                  <c:v>13.579800000000001</c:v>
                </c:pt>
                <c:pt idx="329">
                  <c:v>13.499000000000001</c:v>
                </c:pt>
                <c:pt idx="330">
                  <c:v>13.741400000000001</c:v>
                </c:pt>
                <c:pt idx="331">
                  <c:v>13.499000000000001</c:v>
                </c:pt>
                <c:pt idx="332">
                  <c:v>13.660600000000001</c:v>
                </c:pt>
                <c:pt idx="333">
                  <c:v>14.0648</c:v>
                </c:pt>
                <c:pt idx="334">
                  <c:v>14.711399999999999</c:v>
                </c:pt>
                <c:pt idx="335">
                  <c:v>14.711399999999999</c:v>
                </c:pt>
                <c:pt idx="336">
                  <c:v>14.678800000000001</c:v>
                </c:pt>
                <c:pt idx="337">
                  <c:v>14.9156</c:v>
                </c:pt>
                <c:pt idx="338">
                  <c:v>14.9945</c:v>
                </c:pt>
                <c:pt idx="339">
                  <c:v>14.5999</c:v>
                </c:pt>
                <c:pt idx="340">
                  <c:v>14.205299999999999</c:v>
                </c:pt>
                <c:pt idx="341">
                  <c:v>14.363099999999999</c:v>
                </c:pt>
                <c:pt idx="342">
                  <c:v>14.521000000000001</c:v>
                </c:pt>
                <c:pt idx="343">
                  <c:v>14.363099999999999</c:v>
                </c:pt>
                <c:pt idx="344">
                  <c:v>14.363099999999999</c:v>
                </c:pt>
                <c:pt idx="345">
                  <c:v>14.363099999999999</c:v>
                </c:pt>
                <c:pt idx="346">
                  <c:v>14.5999</c:v>
                </c:pt>
                <c:pt idx="347">
                  <c:v>14.9156</c:v>
                </c:pt>
                <c:pt idx="348">
                  <c:v>14.9945</c:v>
                </c:pt>
                <c:pt idx="349">
                  <c:v>15.9415</c:v>
                </c:pt>
                <c:pt idx="350">
                  <c:v>16.257200000000001</c:v>
                </c:pt>
                <c:pt idx="351">
                  <c:v>16.4939</c:v>
                </c:pt>
                <c:pt idx="352">
                  <c:v>16.257200000000001</c:v>
                </c:pt>
                <c:pt idx="353">
                  <c:v>16.4939</c:v>
                </c:pt>
                <c:pt idx="354">
                  <c:v>16.4939</c:v>
                </c:pt>
                <c:pt idx="355">
                  <c:v>16.8096</c:v>
                </c:pt>
                <c:pt idx="356">
                  <c:v>17.283100000000001</c:v>
                </c:pt>
                <c:pt idx="357">
                  <c:v>17.440899999999999</c:v>
                </c:pt>
                <c:pt idx="358">
                  <c:v>17.125299999999999</c:v>
                </c:pt>
                <c:pt idx="359">
                  <c:v>16.8096</c:v>
                </c:pt>
                <c:pt idx="360">
                  <c:v>16.888500000000001</c:v>
                </c:pt>
                <c:pt idx="361">
                  <c:v>16.888500000000001</c:v>
                </c:pt>
                <c:pt idx="362">
                  <c:v>16.730699999999999</c:v>
                </c:pt>
                <c:pt idx="363">
                  <c:v>17.046399999999998</c:v>
                </c:pt>
                <c:pt idx="364">
                  <c:v>17.125299999999999</c:v>
                </c:pt>
                <c:pt idx="365">
                  <c:v>16.967400000000001</c:v>
                </c:pt>
                <c:pt idx="366">
                  <c:v>17.2042</c:v>
                </c:pt>
                <c:pt idx="367">
                  <c:v>17.598800000000001</c:v>
                </c:pt>
                <c:pt idx="368">
                  <c:v>17.598800000000001</c:v>
                </c:pt>
                <c:pt idx="369">
                  <c:v>16.257200000000001</c:v>
                </c:pt>
                <c:pt idx="370">
                  <c:v>17.125299999999999</c:v>
                </c:pt>
                <c:pt idx="371">
                  <c:v>17.677700000000002</c:v>
                </c:pt>
                <c:pt idx="372">
                  <c:v>18.2301</c:v>
                </c:pt>
                <c:pt idx="373">
                  <c:v>17.756599999999999</c:v>
                </c:pt>
                <c:pt idx="374">
                  <c:v>18.151199999999999</c:v>
                </c:pt>
                <c:pt idx="375">
                  <c:v>18.782599999999999</c:v>
                </c:pt>
                <c:pt idx="376">
                  <c:v>18.782599999999999</c:v>
                </c:pt>
                <c:pt idx="377">
                  <c:v>19.098199999999999</c:v>
                </c:pt>
                <c:pt idx="378">
                  <c:v>19.335000000000001</c:v>
                </c:pt>
                <c:pt idx="379">
                  <c:v>19.2561</c:v>
                </c:pt>
                <c:pt idx="380">
                  <c:v>19.650700000000001</c:v>
                </c:pt>
                <c:pt idx="381">
                  <c:v>19.9269</c:v>
                </c:pt>
                <c:pt idx="382">
                  <c:v>19.5717</c:v>
                </c:pt>
                <c:pt idx="383">
                  <c:v>19.729600000000001</c:v>
                </c:pt>
                <c:pt idx="384">
                  <c:v>19.729600000000001</c:v>
                </c:pt>
                <c:pt idx="385">
                  <c:v>19.729600000000001</c:v>
                </c:pt>
                <c:pt idx="386">
                  <c:v>19.9269</c:v>
                </c:pt>
                <c:pt idx="387">
                  <c:v>19.9269</c:v>
                </c:pt>
                <c:pt idx="388">
                  <c:v>19.9269</c:v>
                </c:pt>
                <c:pt idx="389">
                  <c:v>19.9269</c:v>
                </c:pt>
                <c:pt idx="390">
                  <c:v>19.729600000000001</c:v>
                </c:pt>
                <c:pt idx="391">
                  <c:v>20.716100000000001</c:v>
                </c:pt>
                <c:pt idx="392">
                  <c:v>19.729600000000001</c:v>
                </c:pt>
                <c:pt idx="393">
                  <c:v>19.729600000000001</c:v>
                </c:pt>
                <c:pt idx="394">
                  <c:v>20.518799999999999</c:v>
                </c:pt>
                <c:pt idx="395">
                  <c:v>20.518799999999999</c:v>
                </c:pt>
                <c:pt idx="396">
                  <c:v>20.913399999999999</c:v>
                </c:pt>
                <c:pt idx="397">
                  <c:v>20.913399999999999</c:v>
                </c:pt>
                <c:pt idx="398">
                  <c:v>21.595099999999999</c:v>
                </c:pt>
                <c:pt idx="399">
                  <c:v>20.983899999999998</c:v>
                </c:pt>
                <c:pt idx="400">
                  <c:v>21.1876</c:v>
                </c:pt>
                <c:pt idx="401">
                  <c:v>21.1876</c:v>
                </c:pt>
                <c:pt idx="402">
                  <c:v>21.1876</c:v>
                </c:pt>
                <c:pt idx="403">
                  <c:v>21.391300000000001</c:v>
                </c:pt>
                <c:pt idx="404">
                  <c:v>20.780100000000001</c:v>
                </c:pt>
                <c:pt idx="405">
                  <c:v>20.5764</c:v>
                </c:pt>
                <c:pt idx="406">
                  <c:v>22.613700000000001</c:v>
                </c:pt>
                <c:pt idx="407">
                  <c:v>22.002500000000001</c:v>
                </c:pt>
                <c:pt idx="408">
                  <c:v>20.5764</c:v>
                </c:pt>
                <c:pt idx="409">
                  <c:v>20.1282</c:v>
                </c:pt>
                <c:pt idx="410">
                  <c:v>20.372699999999998</c:v>
                </c:pt>
                <c:pt idx="411">
                  <c:v>20.5764</c:v>
                </c:pt>
                <c:pt idx="412">
                  <c:v>20.1282</c:v>
                </c:pt>
                <c:pt idx="413">
                  <c:v>20.372699999999998</c:v>
                </c:pt>
                <c:pt idx="414">
                  <c:v>20.046700000000001</c:v>
                </c:pt>
                <c:pt idx="415">
                  <c:v>20.1282</c:v>
                </c:pt>
                <c:pt idx="416">
                  <c:v>20.983899999999998</c:v>
                </c:pt>
                <c:pt idx="417">
                  <c:v>21.595099999999999</c:v>
                </c:pt>
                <c:pt idx="418">
                  <c:v>22.002500000000001</c:v>
                </c:pt>
                <c:pt idx="419">
                  <c:v>22.613700000000001</c:v>
                </c:pt>
                <c:pt idx="420">
                  <c:v>21.595099999999999</c:v>
                </c:pt>
                <c:pt idx="421">
                  <c:v>21.7988</c:v>
                </c:pt>
                <c:pt idx="422">
                  <c:v>21.391300000000001</c:v>
                </c:pt>
                <c:pt idx="423">
                  <c:v>22.613700000000001</c:v>
                </c:pt>
                <c:pt idx="424">
                  <c:v>22.002500000000001</c:v>
                </c:pt>
                <c:pt idx="425">
                  <c:v>22.41</c:v>
                </c:pt>
                <c:pt idx="426">
                  <c:v>21.7988</c:v>
                </c:pt>
                <c:pt idx="427">
                  <c:v>21.595099999999999</c:v>
                </c:pt>
                <c:pt idx="428">
                  <c:v>21.595099999999999</c:v>
                </c:pt>
                <c:pt idx="429">
                  <c:v>20.5764</c:v>
                </c:pt>
                <c:pt idx="430">
                  <c:v>20.209700000000002</c:v>
                </c:pt>
                <c:pt idx="431">
                  <c:v>21.391300000000001</c:v>
                </c:pt>
                <c:pt idx="432">
                  <c:v>22.002500000000001</c:v>
                </c:pt>
                <c:pt idx="433">
                  <c:v>22.41</c:v>
                </c:pt>
                <c:pt idx="434">
                  <c:v>23.224900000000002</c:v>
                </c:pt>
                <c:pt idx="435">
                  <c:v>23.428599999999999</c:v>
                </c:pt>
                <c:pt idx="436">
                  <c:v>24.447199999999999</c:v>
                </c:pt>
                <c:pt idx="437">
                  <c:v>25.058399999999999</c:v>
                </c:pt>
                <c:pt idx="438">
                  <c:v>25.669599999999999</c:v>
                </c:pt>
                <c:pt idx="439">
                  <c:v>25.465900000000001</c:v>
                </c:pt>
                <c:pt idx="440">
                  <c:v>24.651</c:v>
                </c:pt>
                <c:pt idx="441">
                  <c:v>24.447199999999999</c:v>
                </c:pt>
                <c:pt idx="442">
                  <c:v>24.651</c:v>
                </c:pt>
                <c:pt idx="443">
                  <c:v>25.2621</c:v>
                </c:pt>
                <c:pt idx="444">
                  <c:v>26.077000000000002</c:v>
                </c:pt>
                <c:pt idx="445">
                  <c:v>27.5031</c:v>
                </c:pt>
                <c:pt idx="446">
                  <c:v>27.706900000000001</c:v>
                </c:pt>
                <c:pt idx="447">
                  <c:v>30.151599999999998</c:v>
                </c:pt>
                <c:pt idx="448">
                  <c:v>26.280799999999999</c:v>
                </c:pt>
                <c:pt idx="449">
                  <c:v>26.077000000000002</c:v>
                </c:pt>
                <c:pt idx="450">
                  <c:v>26.280799999999999</c:v>
                </c:pt>
                <c:pt idx="451">
                  <c:v>26.280799999999999</c:v>
                </c:pt>
                <c:pt idx="452">
                  <c:v>26.688199999999998</c:v>
                </c:pt>
                <c:pt idx="453">
                  <c:v>27.706900000000001</c:v>
                </c:pt>
                <c:pt idx="454">
                  <c:v>28.1143</c:v>
                </c:pt>
                <c:pt idx="455">
                  <c:v>28.1143</c:v>
                </c:pt>
                <c:pt idx="456">
                  <c:v>29.7441</c:v>
                </c:pt>
                <c:pt idx="457">
                  <c:v>28.556000000000001</c:v>
                </c:pt>
                <c:pt idx="458">
                  <c:v>27.340900000000001</c:v>
                </c:pt>
                <c:pt idx="459">
                  <c:v>27.745899999999999</c:v>
                </c:pt>
                <c:pt idx="460">
                  <c:v>27.138300000000001</c:v>
                </c:pt>
                <c:pt idx="461">
                  <c:v>27.543399999999998</c:v>
                </c:pt>
                <c:pt idx="462">
                  <c:v>27.948399999999999</c:v>
                </c:pt>
                <c:pt idx="463">
                  <c:v>27.340900000000001</c:v>
                </c:pt>
                <c:pt idx="464">
                  <c:v>25.923200000000001</c:v>
                </c:pt>
                <c:pt idx="465">
                  <c:v>25.720700000000001</c:v>
                </c:pt>
                <c:pt idx="466">
                  <c:v>26.530799999999999</c:v>
                </c:pt>
                <c:pt idx="467">
                  <c:v>25.720700000000001</c:v>
                </c:pt>
                <c:pt idx="468">
                  <c:v>26.328199999999999</c:v>
                </c:pt>
                <c:pt idx="469">
                  <c:v>25.3156</c:v>
                </c:pt>
                <c:pt idx="470">
                  <c:v>25.3156</c:v>
                </c:pt>
                <c:pt idx="471">
                  <c:v>25.113099999999999</c:v>
                </c:pt>
                <c:pt idx="472">
                  <c:v>25.3156</c:v>
                </c:pt>
                <c:pt idx="473">
                  <c:v>26.7333</c:v>
                </c:pt>
                <c:pt idx="474">
                  <c:v>26.7333</c:v>
                </c:pt>
                <c:pt idx="475">
                  <c:v>25.113099999999999</c:v>
                </c:pt>
                <c:pt idx="476">
                  <c:v>25.113099999999999</c:v>
                </c:pt>
                <c:pt idx="477">
                  <c:v>24.1005</c:v>
                </c:pt>
                <c:pt idx="478">
                  <c:v>23.695399999999999</c:v>
                </c:pt>
                <c:pt idx="479">
                  <c:v>22.885300000000001</c:v>
                </c:pt>
                <c:pt idx="480">
                  <c:v>22.885300000000001</c:v>
                </c:pt>
                <c:pt idx="481">
                  <c:v>23.492899999999999</c:v>
                </c:pt>
                <c:pt idx="482">
                  <c:v>22.075199999999999</c:v>
                </c:pt>
                <c:pt idx="483">
                  <c:v>21.0626</c:v>
                </c:pt>
                <c:pt idx="484">
                  <c:v>21.2651</c:v>
                </c:pt>
                <c:pt idx="485">
                  <c:v>21.467600000000001</c:v>
                </c:pt>
                <c:pt idx="486">
                  <c:v>21.467600000000001</c:v>
                </c:pt>
                <c:pt idx="487">
                  <c:v>21.872699999999998</c:v>
                </c:pt>
                <c:pt idx="488">
                  <c:v>21.0626</c:v>
                </c:pt>
                <c:pt idx="489">
                  <c:v>21.2651</c:v>
                </c:pt>
                <c:pt idx="490">
                  <c:v>21.0626</c:v>
                </c:pt>
                <c:pt idx="491">
                  <c:v>21.467600000000001</c:v>
                </c:pt>
                <c:pt idx="492">
                  <c:v>20.454999999999998</c:v>
                </c:pt>
                <c:pt idx="493">
                  <c:v>20.657499999999999</c:v>
                </c:pt>
                <c:pt idx="494">
                  <c:v>20.090499999999999</c:v>
                </c:pt>
                <c:pt idx="495">
                  <c:v>20.252500000000001</c:v>
                </c:pt>
                <c:pt idx="496">
                  <c:v>19.9285</c:v>
                </c:pt>
                <c:pt idx="497">
                  <c:v>19.604399999999998</c:v>
                </c:pt>
                <c:pt idx="498">
                  <c:v>19.685400000000001</c:v>
                </c:pt>
                <c:pt idx="499">
                  <c:v>20.171500000000002</c:v>
                </c:pt>
                <c:pt idx="500">
                  <c:v>20.657499999999999</c:v>
                </c:pt>
                <c:pt idx="501">
                  <c:v>19.8474</c:v>
                </c:pt>
                <c:pt idx="502">
                  <c:v>20.009499999999999</c:v>
                </c:pt>
                <c:pt idx="503">
                  <c:v>19.766400000000001</c:v>
                </c:pt>
                <c:pt idx="504">
                  <c:v>19.604399999999998</c:v>
                </c:pt>
                <c:pt idx="505">
                  <c:v>19.604399999999998</c:v>
                </c:pt>
                <c:pt idx="506">
                  <c:v>19.604399999999998</c:v>
                </c:pt>
                <c:pt idx="507">
                  <c:v>19.766400000000001</c:v>
                </c:pt>
                <c:pt idx="508">
                  <c:v>19.442399999999999</c:v>
                </c:pt>
                <c:pt idx="509">
                  <c:v>19.604399999999998</c:v>
                </c:pt>
                <c:pt idx="510">
                  <c:v>19.442399999999999</c:v>
                </c:pt>
                <c:pt idx="511">
                  <c:v>19.604399999999998</c:v>
                </c:pt>
                <c:pt idx="512">
                  <c:v>19.604399999999998</c:v>
                </c:pt>
                <c:pt idx="513">
                  <c:v>19.8474</c:v>
                </c:pt>
                <c:pt idx="514">
                  <c:v>19.766400000000001</c:v>
                </c:pt>
                <c:pt idx="515">
                  <c:v>19.685400000000001</c:v>
                </c:pt>
                <c:pt idx="516">
                  <c:v>19.766400000000001</c:v>
                </c:pt>
                <c:pt idx="517">
                  <c:v>19.685400000000001</c:v>
                </c:pt>
                <c:pt idx="518">
                  <c:v>19.523399999999999</c:v>
                </c:pt>
                <c:pt idx="519">
                  <c:v>19.604399999999998</c:v>
                </c:pt>
                <c:pt idx="520">
                  <c:v>19.037299999999998</c:v>
                </c:pt>
                <c:pt idx="521">
                  <c:v>18.7943</c:v>
                </c:pt>
                <c:pt idx="522">
                  <c:v>26.985299999999999</c:v>
                </c:pt>
                <c:pt idx="523">
                  <c:v>26.756599999999999</c:v>
                </c:pt>
                <c:pt idx="524">
                  <c:v>26.870999999999999</c:v>
                </c:pt>
                <c:pt idx="525">
                  <c:v>26.870999999999999</c:v>
                </c:pt>
                <c:pt idx="526">
                  <c:v>27.785699999999999</c:v>
                </c:pt>
                <c:pt idx="527">
                  <c:v>27.785699999999999</c:v>
                </c:pt>
                <c:pt idx="528">
                  <c:v>28.128799999999998</c:v>
                </c:pt>
                <c:pt idx="529">
                  <c:v>27.900099999999998</c:v>
                </c:pt>
                <c:pt idx="530">
                  <c:v>28.586200000000002</c:v>
                </c:pt>
                <c:pt idx="531">
                  <c:v>28.014399999999998</c:v>
                </c:pt>
                <c:pt idx="532">
                  <c:v>28.357500000000002</c:v>
                </c:pt>
                <c:pt idx="533">
                  <c:v>30.015499999999999</c:v>
                </c:pt>
                <c:pt idx="534">
                  <c:v>30.015499999999999</c:v>
                </c:pt>
                <c:pt idx="535">
                  <c:v>30.587199999999999</c:v>
                </c:pt>
                <c:pt idx="536">
                  <c:v>29.157900000000001</c:v>
                </c:pt>
                <c:pt idx="537">
                  <c:v>28.471800000000002</c:v>
                </c:pt>
                <c:pt idx="538">
                  <c:v>27.442699999999999</c:v>
                </c:pt>
                <c:pt idx="539">
                  <c:v>27.785699999999999</c:v>
                </c:pt>
                <c:pt idx="540">
                  <c:v>28.014399999999998</c:v>
                </c:pt>
                <c:pt idx="541">
                  <c:v>29.4437</c:v>
                </c:pt>
                <c:pt idx="542">
                  <c:v>28.243099999999998</c:v>
                </c:pt>
                <c:pt idx="543">
                  <c:v>28.128799999999998</c:v>
                </c:pt>
                <c:pt idx="544">
                  <c:v>27.213999999999999</c:v>
                </c:pt>
                <c:pt idx="545">
                  <c:v>27.213999999999999</c:v>
                </c:pt>
                <c:pt idx="546">
                  <c:v>27.213999999999999</c:v>
                </c:pt>
                <c:pt idx="547">
                  <c:v>27.557099999999998</c:v>
                </c:pt>
                <c:pt idx="548">
                  <c:v>28.014399999999998</c:v>
                </c:pt>
                <c:pt idx="549">
                  <c:v>28.471800000000002</c:v>
                </c:pt>
                <c:pt idx="550">
                  <c:v>28.357500000000002</c:v>
                </c:pt>
                <c:pt idx="551">
                  <c:v>27.442699999999999</c:v>
                </c:pt>
                <c:pt idx="552">
                  <c:v>27.671399999999998</c:v>
                </c:pt>
                <c:pt idx="553">
                  <c:v>27.213999999999999</c:v>
                </c:pt>
                <c:pt idx="554">
                  <c:v>27.213999999999999</c:v>
                </c:pt>
                <c:pt idx="555">
                  <c:v>27.442699999999999</c:v>
                </c:pt>
                <c:pt idx="556">
                  <c:v>27.442699999999999</c:v>
                </c:pt>
                <c:pt idx="557">
                  <c:v>26.870999999999999</c:v>
                </c:pt>
                <c:pt idx="558">
                  <c:v>26.756599999999999</c:v>
                </c:pt>
                <c:pt idx="559">
                  <c:v>27.442699999999999</c:v>
                </c:pt>
                <c:pt idx="560">
                  <c:v>27.671399999999998</c:v>
                </c:pt>
                <c:pt idx="561">
                  <c:v>27.442699999999999</c:v>
                </c:pt>
                <c:pt idx="562">
                  <c:v>27.442699999999999</c:v>
                </c:pt>
                <c:pt idx="563">
                  <c:v>28.357500000000002</c:v>
                </c:pt>
                <c:pt idx="564">
                  <c:v>27.671399999999998</c:v>
                </c:pt>
                <c:pt idx="565">
                  <c:v>27.671399999999998</c:v>
                </c:pt>
                <c:pt idx="566">
                  <c:v>28.357500000000002</c:v>
                </c:pt>
                <c:pt idx="567">
                  <c:v>28.357500000000002</c:v>
                </c:pt>
                <c:pt idx="568">
                  <c:v>28.586200000000002</c:v>
                </c:pt>
                <c:pt idx="569">
                  <c:v>28.586200000000002</c:v>
                </c:pt>
                <c:pt idx="570">
                  <c:v>29.157900000000001</c:v>
                </c:pt>
                <c:pt idx="571">
                  <c:v>28.872</c:v>
                </c:pt>
                <c:pt idx="572">
                  <c:v>29.4437</c:v>
                </c:pt>
                <c:pt idx="573">
                  <c:v>30.015499999999999</c:v>
                </c:pt>
                <c:pt idx="574">
                  <c:v>30.015499999999999</c:v>
                </c:pt>
                <c:pt idx="575">
                  <c:v>30.587199999999999</c:v>
                </c:pt>
                <c:pt idx="576">
                  <c:v>30.301300000000001</c:v>
                </c:pt>
                <c:pt idx="577">
                  <c:v>31.444800000000001</c:v>
                </c:pt>
                <c:pt idx="578">
                  <c:v>30.301300000000001</c:v>
                </c:pt>
                <c:pt idx="579">
                  <c:v>30.015499999999999</c:v>
                </c:pt>
                <c:pt idx="580">
                  <c:v>29.729600000000001</c:v>
                </c:pt>
                <c:pt idx="581">
                  <c:v>30.015499999999999</c:v>
                </c:pt>
                <c:pt idx="582">
                  <c:v>29.4437</c:v>
                </c:pt>
                <c:pt idx="583">
                  <c:v>29.729600000000001</c:v>
                </c:pt>
                <c:pt idx="584">
                  <c:v>30.301300000000001</c:v>
                </c:pt>
                <c:pt idx="585">
                  <c:v>30.015499999999999</c:v>
                </c:pt>
                <c:pt idx="586">
                  <c:v>33.048400000000001</c:v>
                </c:pt>
                <c:pt idx="587">
                  <c:v>31.229199999999999</c:v>
                </c:pt>
                <c:pt idx="588">
                  <c:v>31.835599999999999</c:v>
                </c:pt>
                <c:pt idx="589">
                  <c:v>31.532399999999999</c:v>
                </c:pt>
                <c:pt idx="590">
                  <c:v>31.229199999999999</c:v>
                </c:pt>
                <c:pt idx="591">
                  <c:v>30.319600000000001</c:v>
                </c:pt>
                <c:pt idx="592">
                  <c:v>29.9558</c:v>
                </c:pt>
                <c:pt idx="593">
                  <c:v>30.319600000000001</c:v>
                </c:pt>
                <c:pt idx="594">
                  <c:v>29.713200000000001</c:v>
                </c:pt>
                <c:pt idx="595">
                  <c:v>29.9558</c:v>
                </c:pt>
                <c:pt idx="596">
                  <c:v>30.319600000000001</c:v>
                </c:pt>
                <c:pt idx="597">
                  <c:v>29.713200000000001</c:v>
                </c:pt>
                <c:pt idx="598">
                  <c:v>30.1983</c:v>
                </c:pt>
                <c:pt idx="599">
                  <c:v>30.622800000000002</c:v>
                </c:pt>
                <c:pt idx="600">
                  <c:v>30.1983</c:v>
                </c:pt>
                <c:pt idx="601">
                  <c:v>31.229199999999999</c:v>
                </c:pt>
                <c:pt idx="602">
                  <c:v>30.925999999999998</c:v>
                </c:pt>
                <c:pt idx="603">
                  <c:v>30.925999999999998</c:v>
                </c:pt>
                <c:pt idx="604">
                  <c:v>30.925999999999998</c:v>
                </c:pt>
                <c:pt idx="605">
                  <c:v>32.442</c:v>
                </c:pt>
                <c:pt idx="606">
                  <c:v>32.745199999999997</c:v>
                </c:pt>
                <c:pt idx="607">
                  <c:v>32.138800000000003</c:v>
                </c:pt>
                <c:pt idx="608">
                  <c:v>33.048400000000001</c:v>
                </c:pt>
                <c:pt idx="609">
                  <c:v>34.261200000000002</c:v>
                </c:pt>
                <c:pt idx="610">
                  <c:v>34.261200000000002</c:v>
                </c:pt>
                <c:pt idx="611">
                  <c:v>33.351599999999998</c:v>
                </c:pt>
                <c:pt idx="612">
                  <c:v>31.835599999999999</c:v>
                </c:pt>
                <c:pt idx="613">
                  <c:v>31.835599999999999</c:v>
                </c:pt>
                <c:pt idx="614">
                  <c:v>31.532399999999999</c:v>
                </c:pt>
                <c:pt idx="615">
                  <c:v>33.351599999999998</c:v>
                </c:pt>
                <c:pt idx="616">
                  <c:v>33.654800000000002</c:v>
                </c:pt>
                <c:pt idx="617">
                  <c:v>33.351599999999998</c:v>
                </c:pt>
                <c:pt idx="618">
                  <c:v>35.170699999999997</c:v>
                </c:pt>
                <c:pt idx="619">
                  <c:v>33.048400000000001</c:v>
                </c:pt>
                <c:pt idx="620">
                  <c:v>33.654800000000002</c:v>
                </c:pt>
                <c:pt idx="621">
                  <c:v>33.957999999999998</c:v>
                </c:pt>
                <c:pt idx="622">
                  <c:v>35.4739</c:v>
                </c:pt>
                <c:pt idx="623">
                  <c:v>34.8675</c:v>
                </c:pt>
                <c:pt idx="624">
                  <c:v>36.080300000000001</c:v>
                </c:pt>
                <c:pt idx="625">
                  <c:v>33.351599999999998</c:v>
                </c:pt>
                <c:pt idx="626">
                  <c:v>33.351599999999998</c:v>
                </c:pt>
                <c:pt idx="627">
                  <c:v>35.777099999999997</c:v>
                </c:pt>
                <c:pt idx="628">
                  <c:v>35.170699999999997</c:v>
                </c:pt>
                <c:pt idx="629">
                  <c:v>32.138800000000003</c:v>
                </c:pt>
                <c:pt idx="630">
                  <c:v>31.835599999999999</c:v>
                </c:pt>
                <c:pt idx="631">
                  <c:v>31.229199999999999</c:v>
                </c:pt>
                <c:pt idx="632">
                  <c:v>31.229199999999999</c:v>
                </c:pt>
                <c:pt idx="633">
                  <c:v>31.229199999999999</c:v>
                </c:pt>
                <c:pt idx="634">
                  <c:v>32.745199999999997</c:v>
                </c:pt>
                <c:pt idx="635">
                  <c:v>29.591899999999999</c:v>
                </c:pt>
                <c:pt idx="636">
                  <c:v>29.591899999999999</c:v>
                </c:pt>
                <c:pt idx="637">
                  <c:v>29.591899999999999</c:v>
                </c:pt>
                <c:pt idx="638">
                  <c:v>29.591899999999999</c:v>
                </c:pt>
                <c:pt idx="639">
                  <c:v>29.1068</c:v>
                </c:pt>
                <c:pt idx="640">
                  <c:v>30.319600000000001</c:v>
                </c:pt>
                <c:pt idx="641">
                  <c:v>29.470700000000001</c:v>
                </c:pt>
                <c:pt idx="642">
                  <c:v>28.621700000000001</c:v>
                </c:pt>
                <c:pt idx="643">
                  <c:v>28.621700000000001</c:v>
                </c:pt>
                <c:pt idx="644">
                  <c:v>28.742999999999999</c:v>
                </c:pt>
                <c:pt idx="645">
                  <c:v>28.500399999999999</c:v>
                </c:pt>
                <c:pt idx="646">
                  <c:v>28.8643</c:v>
                </c:pt>
                <c:pt idx="647">
                  <c:v>28.8643</c:v>
                </c:pt>
                <c:pt idx="648">
                  <c:v>30.083100000000002</c:v>
                </c:pt>
                <c:pt idx="649">
                  <c:v>30.3447</c:v>
                </c:pt>
                <c:pt idx="650">
                  <c:v>30.737100000000002</c:v>
                </c:pt>
                <c:pt idx="651">
                  <c:v>31.1295</c:v>
                </c:pt>
                <c:pt idx="652">
                  <c:v>31.6526</c:v>
                </c:pt>
                <c:pt idx="653">
                  <c:v>31.391100000000002</c:v>
                </c:pt>
                <c:pt idx="654">
                  <c:v>31.391100000000002</c:v>
                </c:pt>
                <c:pt idx="655">
                  <c:v>31.6526</c:v>
                </c:pt>
                <c:pt idx="656">
                  <c:v>31.521899999999999</c:v>
                </c:pt>
                <c:pt idx="657">
                  <c:v>31.6526</c:v>
                </c:pt>
                <c:pt idx="658">
                  <c:v>32.698999999999998</c:v>
                </c:pt>
                <c:pt idx="659">
                  <c:v>30.998699999999999</c:v>
                </c:pt>
                <c:pt idx="660">
                  <c:v>31.521899999999999</c:v>
                </c:pt>
                <c:pt idx="661">
                  <c:v>31.7834</c:v>
                </c:pt>
                <c:pt idx="662">
                  <c:v>32.698999999999998</c:v>
                </c:pt>
                <c:pt idx="663">
                  <c:v>33.68</c:v>
                </c:pt>
                <c:pt idx="664">
                  <c:v>29.559899999999999</c:v>
                </c:pt>
                <c:pt idx="665">
                  <c:v>29.1675</c:v>
                </c:pt>
                <c:pt idx="666">
                  <c:v>29.0367</c:v>
                </c:pt>
                <c:pt idx="667">
                  <c:v>30.867899999999999</c:v>
                </c:pt>
                <c:pt idx="668">
                  <c:v>23.935700000000001</c:v>
                </c:pt>
                <c:pt idx="669">
                  <c:v>22.366099999999999</c:v>
                </c:pt>
                <c:pt idx="670">
                  <c:v>22.366099999999999</c:v>
                </c:pt>
                <c:pt idx="671">
                  <c:v>22.366099999999999</c:v>
                </c:pt>
                <c:pt idx="672">
                  <c:v>21.581399999999999</c:v>
                </c:pt>
                <c:pt idx="673">
                  <c:v>22.366099999999999</c:v>
                </c:pt>
                <c:pt idx="674">
                  <c:v>21.973700000000001</c:v>
                </c:pt>
                <c:pt idx="675">
                  <c:v>22.627700000000001</c:v>
                </c:pt>
                <c:pt idx="676">
                  <c:v>22.889299999999999</c:v>
                </c:pt>
                <c:pt idx="677">
                  <c:v>23.281700000000001</c:v>
                </c:pt>
                <c:pt idx="678">
                  <c:v>23.674099999999999</c:v>
                </c:pt>
                <c:pt idx="679">
                  <c:v>23.935700000000001</c:v>
                </c:pt>
                <c:pt idx="680">
                  <c:v>23.935700000000001</c:v>
                </c:pt>
                <c:pt idx="681">
                  <c:v>24.197299999999998</c:v>
                </c:pt>
                <c:pt idx="682">
                  <c:v>23.543299999999999</c:v>
                </c:pt>
                <c:pt idx="683">
                  <c:v>23.281700000000001</c:v>
                </c:pt>
                <c:pt idx="684">
                  <c:v>23.674099999999999</c:v>
                </c:pt>
                <c:pt idx="685">
                  <c:v>23.281700000000001</c:v>
                </c:pt>
                <c:pt idx="686">
                  <c:v>22.104500000000002</c:v>
                </c:pt>
                <c:pt idx="687">
                  <c:v>22.4969</c:v>
                </c:pt>
                <c:pt idx="688">
                  <c:v>22.627700000000001</c:v>
                </c:pt>
                <c:pt idx="689">
                  <c:v>21.450600000000001</c:v>
                </c:pt>
                <c:pt idx="690">
                  <c:v>21.581399999999999</c:v>
                </c:pt>
                <c:pt idx="691">
                  <c:v>22.235299999999999</c:v>
                </c:pt>
                <c:pt idx="692">
                  <c:v>21.973700000000001</c:v>
                </c:pt>
                <c:pt idx="693">
                  <c:v>22.366099999999999</c:v>
                </c:pt>
                <c:pt idx="694">
                  <c:v>22.4969</c:v>
                </c:pt>
                <c:pt idx="695">
                  <c:v>21.7121</c:v>
                </c:pt>
                <c:pt idx="696">
                  <c:v>22.235299999999999</c:v>
                </c:pt>
                <c:pt idx="697">
                  <c:v>21.319800000000001</c:v>
                </c:pt>
                <c:pt idx="698">
                  <c:v>20.796600000000002</c:v>
                </c:pt>
                <c:pt idx="699">
                  <c:v>21.058199999999999</c:v>
                </c:pt>
                <c:pt idx="700">
                  <c:v>21.058199999999999</c:v>
                </c:pt>
                <c:pt idx="701">
                  <c:v>20.273399999999999</c:v>
                </c:pt>
                <c:pt idx="702">
                  <c:v>19.357800000000001</c:v>
                </c:pt>
                <c:pt idx="703">
                  <c:v>19.357800000000001</c:v>
                </c:pt>
                <c:pt idx="704">
                  <c:v>19.619399999999999</c:v>
                </c:pt>
                <c:pt idx="705">
                  <c:v>19.619399999999999</c:v>
                </c:pt>
                <c:pt idx="706">
                  <c:v>19.619399999999999</c:v>
                </c:pt>
                <c:pt idx="707">
                  <c:v>21.126200000000001</c:v>
                </c:pt>
                <c:pt idx="708">
                  <c:v>20.703700000000001</c:v>
                </c:pt>
                <c:pt idx="709">
                  <c:v>21.689599999999999</c:v>
                </c:pt>
                <c:pt idx="710">
                  <c:v>20.8445</c:v>
                </c:pt>
                <c:pt idx="711">
                  <c:v>20.8445</c:v>
                </c:pt>
                <c:pt idx="712">
                  <c:v>20.562799999999999</c:v>
                </c:pt>
                <c:pt idx="713">
                  <c:v>20.8445</c:v>
                </c:pt>
                <c:pt idx="714">
                  <c:v>21.126200000000001</c:v>
                </c:pt>
                <c:pt idx="715">
                  <c:v>20.1403</c:v>
                </c:pt>
                <c:pt idx="716">
                  <c:v>19.7178</c:v>
                </c:pt>
                <c:pt idx="717">
                  <c:v>20.281099999999999</c:v>
                </c:pt>
                <c:pt idx="718">
                  <c:v>19.999500000000001</c:v>
                </c:pt>
                <c:pt idx="719">
                  <c:v>19.999500000000001</c:v>
                </c:pt>
                <c:pt idx="720">
                  <c:v>19.999500000000001</c:v>
                </c:pt>
                <c:pt idx="721">
                  <c:v>20.703700000000001</c:v>
                </c:pt>
                <c:pt idx="722">
                  <c:v>21.266999999999999</c:v>
                </c:pt>
                <c:pt idx="723">
                  <c:v>21.266999999999999</c:v>
                </c:pt>
                <c:pt idx="724">
                  <c:v>21.266999999999999</c:v>
                </c:pt>
                <c:pt idx="725">
                  <c:v>20.562799999999999</c:v>
                </c:pt>
                <c:pt idx="726">
                  <c:v>20.985399999999998</c:v>
                </c:pt>
                <c:pt idx="727">
                  <c:v>21.266999999999999</c:v>
                </c:pt>
                <c:pt idx="728">
                  <c:v>20.985399999999998</c:v>
                </c:pt>
                <c:pt idx="729">
                  <c:v>19.7178</c:v>
                </c:pt>
                <c:pt idx="730">
                  <c:v>17.886800000000001</c:v>
                </c:pt>
                <c:pt idx="731">
                  <c:v>18.027699999999999</c:v>
                </c:pt>
                <c:pt idx="732">
                  <c:v>17.745999999999999</c:v>
                </c:pt>
                <c:pt idx="733">
                  <c:v>18.168500000000002</c:v>
                </c:pt>
                <c:pt idx="734">
                  <c:v>18.168500000000002</c:v>
                </c:pt>
                <c:pt idx="735">
                  <c:v>18.3094</c:v>
                </c:pt>
                <c:pt idx="736">
                  <c:v>18.168500000000002</c:v>
                </c:pt>
                <c:pt idx="737">
                  <c:v>18.168500000000002</c:v>
                </c:pt>
                <c:pt idx="738">
                  <c:v>18.450199999999999</c:v>
                </c:pt>
                <c:pt idx="739">
                  <c:v>18.168500000000002</c:v>
                </c:pt>
                <c:pt idx="740">
                  <c:v>18.168500000000002</c:v>
                </c:pt>
                <c:pt idx="741">
                  <c:v>17.6052</c:v>
                </c:pt>
                <c:pt idx="742">
                  <c:v>17.323499999999999</c:v>
                </c:pt>
                <c:pt idx="743">
                  <c:v>19.858599999999999</c:v>
                </c:pt>
                <c:pt idx="744">
                  <c:v>20.281099999999999</c:v>
                </c:pt>
                <c:pt idx="745">
                  <c:v>20.985399999999998</c:v>
                </c:pt>
                <c:pt idx="746">
                  <c:v>20.8445</c:v>
                </c:pt>
                <c:pt idx="747">
                  <c:v>21.407900000000001</c:v>
                </c:pt>
                <c:pt idx="748">
                  <c:v>20.703700000000001</c:v>
                </c:pt>
                <c:pt idx="749">
                  <c:v>20.8445</c:v>
                </c:pt>
                <c:pt idx="750">
                  <c:v>21.689599999999999</c:v>
                </c:pt>
                <c:pt idx="751">
                  <c:v>21.830400000000001</c:v>
                </c:pt>
                <c:pt idx="752">
                  <c:v>22.112100000000002</c:v>
                </c:pt>
                <c:pt idx="753">
                  <c:v>21.9712</c:v>
                </c:pt>
                <c:pt idx="754">
                  <c:v>21.9712</c:v>
                </c:pt>
                <c:pt idx="755">
                  <c:v>20.985399999999998</c:v>
                </c:pt>
                <c:pt idx="756">
                  <c:v>20.1403</c:v>
                </c:pt>
                <c:pt idx="757">
                  <c:v>20.422000000000001</c:v>
                </c:pt>
                <c:pt idx="758">
                  <c:v>20.281099999999999</c:v>
                </c:pt>
                <c:pt idx="759">
                  <c:v>20.985399999999998</c:v>
                </c:pt>
                <c:pt idx="760">
                  <c:v>21.266999999999999</c:v>
                </c:pt>
                <c:pt idx="761">
                  <c:v>22.816299999999998</c:v>
                </c:pt>
                <c:pt idx="762">
                  <c:v>22.816299999999998</c:v>
                </c:pt>
                <c:pt idx="763">
                  <c:v>22.957100000000001</c:v>
                </c:pt>
                <c:pt idx="764">
                  <c:v>23.238800000000001</c:v>
                </c:pt>
                <c:pt idx="765">
                  <c:v>23.943000000000001</c:v>
                </c:pt>
                <c:pt idx="766">
                  <c:v>21.9712</c:v>
                </c:pt>
                <c:pt idx="767">
                  <c:v>20.422000000000001</c:v>
                </c:pt>
                <c:pt idx="768">
                  <c:v>19.999500000000001</c:v>
                </c:pt>
                <c:pt idx="769">
                  <c:v>19.858599999999999</c:v>
                </c:pt>
                <c:pt idx="770">
                  <c:v>19.295300000000001</c:v>
                </c:pt>
              </c:numCache>
            </c:numRef>
          </c:val>
          <c:smooth val="0"/>
          <c:extLst>
            <c:ext xmlns:c16="http://schemas.microsoft.com/office/drawing/2014/chart" uri="{C3380CC4-5D6E-409C-BE32-E72D297353CC}">
              <c16:uniqueId val="{00000004-FF01-4B80-8D20-30CD9BED09B4}"/>
            </c:ext>
          </c:extLst>
        </c:ser>
        <c:ser>
          <c:idx val="5"/>
          <c:order val="5"/>
          <c:tx>
            <c:strRef>
              <c:f>'C. Peers'!$G$4</c:f>
              <c:strCache>
                <c:ptCount val="1"/>
                <c:pt idx="0">
                  <c:v>SIS TB EQUITY</c:v>
                </c:pt>
              </c:strCache>
            </c:strRef>
          </c:tx>
          <c:spPr>
            <a:ln w="28575" cap="rnd">
              <a:solidFill>
                <a:schemeClr val="accent6"/>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Peers'!$G$5:$G$775</c:f>
              <c:numCache>
                <c:formatCode>_(* #,##0.0_);_(* \(#,##0.0\);_(* "-"??_);_(@_)</c:formatCode>
                <c:ptCount val="771"/>
                <c:pt idx="0">
                  <c:v>10.826000000000001</c:v>
                </c:pt>
                <c:pt idx="1">
                  <c:v>11.113899999999999</c:v>
                </c:pt>
                <c:pt idx="2">
                  <c:v>10.9412</c:v>
                </c:pt>
                <c:pt idx="3">
                  <c:v>10.7684</c:v>
                </c:pt>
                <c:pt idx="4">
                  <c:v>10.998699999999999</c:v>
                </c:pt>
                <c:pt idx="5">
                  <c:v>10.826000000000001</c:v>
                </c:pt>
                <c:pt idx="6">
                  <c:v>10.826000000000001</c:v>
                </c:pt>
                <c:pt idx="7">
                  <c:v>10.998699999999999</c:v>
                </c:pt>
                <c:pt idx="8">
                  <c:v>11.4594</c:v>
                </c:pt>
                <c:pt idx="9">
                  <c:v>11.2867</c:v>
                </c:pt>
                <c:pt idx="10">
                  <c:v>11.632199999999999</c:v>
                </c:pt>
                <c:pt idx="11">
                  <c:v>11.9777</c:v>
                </c:pt>
                <c:pt idx="12">
                  <c:v>11.9777</c:v>
                </c:pt>
                <c:pt idx="13">
                  <c:v>12.380800000000001</c:v>
                </c:pt>
                <c:pt idx="14">
                  <c:v>12.668699999999999</c:v>
                </c:pt>
                <c:pt idx="15">
                  <c:v>12.265599999999999</c:v>
                </c:pt>
                <c:pt idx="16">
                  <c:v>12.265599999999999</c:v>
                </c:pt>
                <c:pt idx="17">
                  <c:v>12.4384</c:v>
                </c:pt>
                <c:pt idx="18">
                  <c:v>12.8415</c:v>
                </c:pt>
                <c:pt idx="19">
                  <c:v>12.898999999999999</c:v>
                </c:pt>
                <c:pt idx="20">
                  <c:v>12.6111</c:v>
                </c:pt>
                <c:pt idx="21">
                  <c:v>12.150399999999999</c:v>
                </c:pt>
                <c:pt idx="22">
                  <c:v>12.783899999999999</c:v>
                </c:pt>
                <c:pt idx="23">
                  <c:v>13.0718</c:v>
                </c:pt>
                <c:pt idx="24">
                  <c:v>13.014200000000001</c:v>
                </c:pt>
                <c:pt idx="25">
                  <c:v>12.9566</c:v>
                </c:pt>
                <c:pt idx="26">
                  <c:v>13.417299999999999</c:v>
                </c:pt>
                <c:pt idx="27">
                  <c:v>13.014200000000001</c:v>
                </c:pt>
                <c:pt idx="28">
                  <c:v>13.0718</c:v>
                </c:pt>
                <c:pt idx="29">
                  <c:v>13.1294</c:v>
                </c:pt>
                <c:pt idx="30">
                  <c:v>12.898999999999999</c:v>
                </c:pt>
                <c:pt idx="31">
                  <c:v>12.5535</c:v>
                </c:pt>
                <c:pt idx="32">
                  <c:v>12.9566</c:v>
                </c:pt>
                <c:pt idx="33">
                  <c:v>13.186999999999999</c:v>
                </c:pt>
                <c:pt idx="34">
                  <c:v>13.0718</c:v>
                </c:pt>
                <c:pt idx="35">
                  <c:v>13.4749</c:v>
                </c:pt>
                <c:pt idx="36">
                  <c:v>13.4749</c:v>
                </c:pt>
                <c:pt idx="37">
                  <c:v>13.4749</c:v>
                </c:pt>
                <c:pt idx="38">
                  <c:v>13.532500000000001</c:v>
                </c:pt>
                <c:pt idx="39">
                  <c:v>13.647600000000001</c:v>
                </c:pt>
                <c:pt idx="40">
                  <c:v>13.820399999999999</c:v>
                </c:pt>
                <c:pt idx="41">
                  <c:v>13.820399999999999</c:v>
                </c:pt>
                <c:pt idx="42">
                  <c:v>13.878</c:v>
                </c:pt>
                <c:pt idx="43">
                  <c:v>12.668699999999999</c:v>
                </c:pt>
                <c:pt idx="44">
                  <c:v>12.668699999999999</c:v>
                </c:pt>
                <c:pt idx="45">
                  <c:v>12.668699999999999</c:v>
                </c:pt>
                <c:pt idx="46">
                  <c:v>12.495900000000001</c:v>
                </c:pt>
                <c:pt idx="47">
                  <c:v>12.783899999999999</c:v>
                </c:pt>
                <c:pt idx="48">
                  <c:v>12.150399999999999</c:v>
                </c:pt>
                <c:pt idx="49">
                  <c:v>12.0929</c:v>
                </c:pt>
                <c:pt idx="50">
                  <c:v>11.5746</c:v>
                </c:pt>
                <c:pt idx="51">
                  <c:v>11.5746</c:v>
                </c:pt>
                <c:pt idx="52">
                  <c:v>12.035299999999999</c:v>
                </c:pt>
                <c:pt idx="53">
                  <c:v>11.1715</c:v>
                </c:pt>
                <c:pt idx="54">
                  <c:v>11.1715</c:v>
                </c:pt>
                <c:pt idx="55">
                  <c:v>8.9832999999999998</c:v>
                </c:pt>
                <c:pt idx="56">
                  <c:v>8.9257000000000009</c:v>
                </c:pt>
                <c:pt idx="57">
                  <c:v>8.8104999999999993</c:v>
                </c:pt>
                <c:pt idx="58">
                  <c:v>8.9257000000000009</c:v>
                </c:pt>
                <c:pt idx="59">
                  <c:v>9.3287999999999993</c:v>
                </c:pt>
                <c:pt idx="60">
                  <c:v>9.5591000000000008</c:v>
                </c:pt>
                <c:pt idx="61">
                  <c:v>9.6166999999999998</c:v>
                </c:pt>
                <c:pt idx="62">
                  <c:v>9.6743000000000006</c:v>
                </c:pt>
                <c:pt idx="63">
                  <c:v>9.6743000000000006</c:v>
                </c:pt>
                <c:pt idx="64">
                  <c:v>9.5591000000000008</c:v>
                </c:pt>
                <c:pt idx="65">
                  <c:v>9.5591000000000008</c:v>
                </c:pt>
                <c:pt idx="66">
                  <c:v>9.5015000000000001</c:v>
                </c:pt>
                <c:pt idx="67">
                  <c:v>9.5015000000000001</c:v>
                </c:pt>
                <c:pt idx="68">
                  <c:v>9.5015000000000001</c:v>
                </c:pt>
                <c:pt idx="69">
                  <c:v>9.5591000000000008</c:v>
                </c:pt>
                <c:pt idx="70">
                  <c:v>9.7318999999999996</c:v>
                </c:pt>
                <c:pt idx="71">
                  <c:v>9.4438999999999993</c:v>
                </c:pt>
                <c:pt idx="72">
                  <c:v>9.8469999999999995</c:v>
                </c:pt>
                <c:pt idx="73">
                  <c:v>9.6743000000000006</c:v>
                </c:pt>
                <c:pt idx="74">
                  <c:v>9.7895000000000003</c:v>
                </c:pt>
                <c:pt idx="75">
                  <c:v>9.6166999999999998</c:v>
                </c:pt>
                <c:pt idx="76">
                  <c:v>9.3287999999999993</c:v>
                </c:pt>
                <c:pt idx="77">
                  <c:v>9.4438999999999993</c:v>
                </c:pt>
                <c:pt idx="78">
                  <c:v>9.5015000000000001</c:v>
                </c:pt>
                <c:pt idx="79">
                  <c:v>9.5015000000000001</c:v>
                </c:pt>
                <c:pt idx="80">
                  <c:v>9.5591000000000008</c:v>
                </c:pt>
                <c:pt idx="81">
                  <c:v>9.6743000000000006</c:v>
                </c:pt>
                <c:pt idx="82">
                  <c:v>10.192500000000001</c:v>
                </c:pt>
                <c:pt idx="83">
                  <c:v>10.192500000000001</c:v>
                </c:pt>
                <c:pt idx="84">
                  <c:v>10.077400000000001</c:v>
                </c:pt>
                <c:pt idx="85">
                  <c:v>10.077400000000001</c:v>
                </c:pt>
                <c:pt idx="86">
                  <c:v>9.5738000000000003</c:v>
                </c:pt>
                <c:pt idx="87">
                  <c:v>9.7408000000000001</c:v>
                </c:pt>
                <c:pt idx="88">
                  <c:v>10.1305</c:v>
                </c:pt>
                <c:pt idx="89">
                  <c:v>9.9634999999999998</c:v>
                </c:pt>
                <c:pt idx="90">
                  <c:v>10.1861</c:v>
                </c:pt>
                <c:pt idx="91">
                  <c:v>10.2418</c:v>
                </c:pt>
                <c:pt idx="92">
                  <c:v>10.1861</c:v>
                </c:pt>
                <c:pt idx="93">
                  <c:v>10.464399999999999</c:v>
                </c:pt>
                <c:pt idx="94">
                  <c:v>10.520099999999999</c:v>
                </c:pt>
                <c:pt idx="95">
                  <c:v>10.1305</c:v>
                </c:pt>
                <c:pt idx="96">
                  <c:v>10.408799999999999</c:v>
                </c:pt>
                <c:pt idx="97">
                  <c:v>10.965400000000001</c:v>
                </c:pt>
                <c:pt idx="98">
                  <c:v>11.188000000000001</c:v>
                </c:pt>
                <c:pt idx="99">
                  <c:v>10.909700000000001</c:v>
                </c:pt>
                <c:pt idx="100">
                  <c:v>10.965400000000001</c:v>
                </c:pt>
                <c:pt idx="101">
                  <c:v>10.965400000000001</c:v>
                </c:pt>
                <c:pt idx="102">
                  <c:v>10.854100000000001</c:v>
                </c:pt>
                <c:pt idx="103">
                  <c:v>10.854100000000001</c:v>
                </c:pt>
                <c:pt idx="104">
                  <c:v>10.854100000000001</c:v>
                </c:pt>
                <c:pt idx="105">
                  <c:v>10.854100000000001</c:v>
                </c:pt>
                <c:pt idx="106">
                  <c:v>10.742699999999999</c:v>
                </c:pt>
                <c:pt idx="107">
                  <c:v>11.021000000000001</c:v>
                </c:pt>
                <c:pt idx="108">
                  <c:v>11.021000000000001</c:v>
                </c:pt>
                <c:pt idx="109">
                  <c:v>10.909700000000001</c:v>
                </c:pt>
                <c:pt idx="110">
                  <c:v>10.909700000000001</c:v>
                </c:pt>
                <c:pt idx="111">
                  <c:v>11.021000000000001</c:v>
                </c:pt>
                <c:pt idx="112">
                  <c:v>11.021000000000001</c:v>
                </c:pt>
                <c:pt idx="113">
                  <c:v>11.076700000000001</c:v>
                </c:pt>
                <c:pt idx="114">
                  <c:v>10.909700000000001</c:v>
                </c:pt>
                <c:pt idx="115">
                  <c:v>10.909700000000001</c:v>
                </c:pt>
                <c:pt idx="116">
                  <c:v>11.076700000000001</c:v>
                </c:pt>
                <c:pt idx="117">
                  <c:v>11.076700000000001</c:v>
                </c:pt>
                <c:pt idx="118">
                  <c:v>11.188000000000001</c:v>
                </c:pt>
                <c:pt idx="119">
                  <c:v>11.2437</c:v>
                </c:pt>
                <c:pt idx="120">
                  <c:v>11.5777</c:v>
                </c:pt>
                <c:pt idx="121">
                  <c:v>11.7446</c:v>
                </c:pt>
                <c:pt idx="122">
                  <c:v>11.8003</c:v>
                </c:pt>
                <c:pt idx="123">
                  <c:v>11.7446</c:v>
                </c:pt>
                <c:pt idx="124">
                  <c:v>11.522</c:v>
                </c:pt>
                <c:pt idx="125">
                  <c:v>11.522</c:v>
                </c:pt>
                <c:pt idx="126">
                  <c:v>11.522</c:v>
                </c:pt>
                <c:pt idx="127">
                  <c:v>11.5777</c:v>
                </c:pt>
                <c:pt idx="128">
                  <c:v>11.856</c:v>
                </c:pt>
                <c:pt idx="129">
                  <c:v>12.2456</c:v>
                </c:pt>
                <c:pt idx="130">
                  <c:v>12.1899</c:v>
                </c:pt>
                <c:pt idx="131">
                  <c:v>12.412599999999999</c:v>
                </c:pt>
                <c:pt idx="132">
                  <c:v>12.412599999999999</c:v>
                </c:pt>
                <c:pt idx="133">
                  <c:v>12.690899999999999</c:v>
                </c:pt>
                <c:pt idx="134">
                  <c:v>12.913500000000001</c:v>
                </c:pt>
                <c:pt idx="135">
                  <c:v>13.3588</c:v>
                </c:pt>
                <c:pt idx="136">
                  <c:v>13.4145</c:v>
                </c:pt>
                <c:pt idx="137">
                  <c:v>13.4145</c:v>
                </c:pt>
                <c:pt idx="138">
                  <c:v>13.4145</c:v>
                </c:pt>
                <c:pt idx="139">
                  <c:v>13.024900000000001</c:v>
                </c:pt>
                <c:pt idx="140">
                  <c:v>13.080500000000001</c:v>
                </c:pt>
                <c:pt idx="141">
                  <c:v>13.136200000000001</c:v>
                </c:pt>
                <c:pt idx="142">
                  <c:v>12.857900000000001</c:v>
                </c:pt>
                <c:pt idx="143">
                  <c:v>12.857900000000001</c:v>
                </c:pt>
                <c:pt idx="144">
                  <c:v>12.857900000000001</c:v>
                </c:pt>
                <c:pt idx="145">
                  <c:v>13.136200000000001</c:v>
                </c:pt>
                <c:pt idx="146">
                  <c:v>13.3588</c:v>
                </c:pt>
                <c:pt idx="147">
                  <c:v>13.080500000000001</c:v>
                </c:pt>
                <c:pt idx="148">
                  <c:v>11.898899999999999</c:v>
                </c:pt>
                <c:pt idx="149">
                  <c:v>12.204000000000001</c:v>
                </c:pt>
                <c:pt idx="150">
                  <c:v>12.254899999999999</c:v>
                </c:pt>
                <c:pt idx="151">
                  <c:v>11.9498</c:v>
                </c:pt>
                <c:pt idx="152">
                  <c:v>12.1023</c:v>
                </c:pt>
                <c:pt idx="153">
                  <c:v>12.051500000000001</c:v>
                </c:pt>
                <c:pt idx="154">
                  <c:v>12.204000000000001</c:v>
                </c:pt>
                <c:pt idx="155">
                  <c:v>12.3566</c:v>
                </c:pt>
                <c:pt idx="156">
                  <c:v>12.3566</c:v>
                </c:pt>
                <c:pt idx="157">
                  <c:v>12.407400000000001</c:v>
                </c:pt>
                <c:pt idx="158">
                  <c:v>12.254899999999999</c:v>
                </c:pt>
                <c:pt idx="159">
                  <c:v>12.3566</c:v>
                </c:pt>
                <c:pt idx="160">
                  <c:v>12.1023</c:v>
                </c:pt>
                <c:pt idx="161">
                  <c:v>12.5091</c:v>
                </c:pt>
                <c:pt idx="162">
                  <c:v>12.7125</c:v>
                </c:pt>
                <c:pt idx="163">
                  <c:v>12.839700000000001</c:v>
                </c:pt>
                <c:pt idx="164">
                  <c:v>13.475300000000001</c:v>
                </c:pt>
                <c:pt idx="165">
                  <c:v>13.3482</c:v>
                </c:pt>
                <c:pt idx="166">
                  <c:v>13.3482</c:v>
                </c:pt>
                <c:pt idx="167">
                  <c:v>12.966799999999999</c:v>
                </c:pt>
                <c:pt idx="168">
                  <c:v>13.0939</c:v>
                </c:pt>
                <c:pt idx="169">
                  <c:v>13.221</c:v>
                </c:pt>
                <c:pt idx="170">
                  <c:v>13.221</c:v>
                </c:pt>
                <c:pt idx="171">
                  <c:v>13.475300000000001</c:v>
                </c:pt>
                <c:pt idx="172">
                  <c:v>13.221</c:v>
                </c:pt>
                <c:pt idx="173">
                  <c:v>13.475300000000001</c:v>
                </c:pt>
                <c:pt idx="174">
                  <c:v>13.3482</c:v>
                </c:pt>
                <c:pt idx="175">
                  <c:v>13.3482</c:v>
                </c:pt>
                <c:pt idx="176">
                  <c:v>12.839700000000001</c:v>
                </c:pt>
                <c:pt idx="177">
                  <c:v>12.839700000000001</c:v>
                </c:pt>
                <c:pt idx="178">
                  <c:v>12.7125</c:v>
                </c:pt>
                <c:pt idx="179">
                  <c:v>12.6617</c:v>
                </c:pt>
                <c:pt idx="180">
                  <c:v>13.0939</c:v>
                </c:pt>
                <c:pt idx="181">
                  <c:v>13.3482</c:v>
                </c:pt>
                <c:pt idx="182">
                  <c:v>13.475300000000001</c:v>
                </c:pt>
                <c:pt idx="183">
                  <c:v>13.3482</c:v>
                </c:pt>
                <c:pt idx="184">
                  <c:v>13.3482</c:v>
                </c:pt>
                <c:pt idx="185">
                  <c:v>13.7295</c:v>
                </c:pt>
                <c:pt idx="186">
                  <c:v>13.602399999999999</c:v>
                </c:pt>
                <c:pt idx="187">
                  <c:v>13.7295</c:v>
                </c:pt>
                <c:pt idx="188">
                  <c:v>13.8567</c:v>
                </c:pt>
                <c:pt idx="189">
                  <c:v>13.7295</c:v>
                </c:pt>
                <c:pt idx="190">
                  <c:v>13.602399999999999</c:v>
                </c:pt>
                <c:pt idx="191">
                  <c:v>14.110900000000001</c:v>
                </c:pt>
                <c:pt idx="192">
                  <c:v>14.4923</c:v>
                </c:pt>
                <c:pt idx="193">
                  <c:v>14.4923</c:v>
                </c:pt>
                <c:pt idx="194">
                  <c:v>14.3652</c:v>
                </c:pt>
                <c:pt idx="195">
                  <c:v>14.238</c:v>
                </c:pt>
                <c:pt idx="196">
                  <c:v>14.238</c:v>
                </c:pt>
                <c:pt idx="197">
                  <c:v>14.238</c:v>
                </c:pt>
                <c:pt idx="198">
                  <c:v>14.238</c:v>
                </c:pt>
                <c:pt idx="199">
                  <c:v>13.9838</c:v>
                </c:pt>
                <c:pt idx="200">
                  <c:v>14.4923</c:v>
                </c:pt>
                <c:pt idx="201">
                  <c:v>14.3652</c:v>
                </c:pt>
                <c:pt idx="202">
                  <c:v>14.3652</c:v>
                </c:pt>
                <c:pt idx="203">
                  <c:v>13.9838</c:v>
                </c:pt>
                <c:pt idx="204">
                  <c:v>13.221</c:v>
                </c:pt>
                <c:pt idx="205">
                  <c:v>13.602399999999999</c:v>
                </c:pt>
                <c:pt idx="206">
                  <c:v>13.221</c:v>
                </c:pt>
                <c:pt idx="207">
                  <c:v>11.6951</c:v>
                </c:pt>
                <c:pt idx="208">
                  <c:v>11.580399999999999</c:v>
                </c:pt>
                <c:pt idx="209">
                  <c:v>11.9244</c:v>
                </c:pt>
                <c:pt idx="210">
                  <c:v>11.809799999999999</c:v>
                </c:pt>
                <c:pt idx="211">
                  <c:v>11.809799999999999</c:v>
                </c:pt>
                <c:pt idx="212">
                  <c:v>11.809799999999999</c:v>
                </c:pt>
                <c:pt idx="213">
                  <c:v>11.809799999999999</c:v>
                </c:pt>
                <c:pt idx="214">
                  <c:v>11.809799999999999</c:v>
                </c:pt>
                <c:pt idx="215">
                  <c:v>11.9244</c:v>
                </c:pt>
                <c:pt idx="216">
                  <c:v>11.6951</c:v>
                </c:pt>
                <c:pt idx="217">
                  <c:v>11.6951</c:v>
                </c:pt>
                <c:pt idx="218">
                  <c:v>11.809799999999999</c:v>
                </c:pt>
                <c:pt idx="219">
                  <c:v>11.6951</c:v>
                </c:pt>
                <c:pt idx="220">
                  <c:v>11.6951</c:v>
                </c:pt>
                <c:pt idx="221">
                  <c:v>11.809799999999999</c:v>
                </c:pt>
                <c:pt idx="222">
                  <c:v>11.6951</c:v>
                </c:pt>
                <c:pt idx="223">
                  <c:v>11.580399999999999</c:v>
                </c:pt>
                <c:pt idx="224">
                  <c:v>11.809799999999999</c:v>
                </c:pt>
                <c:pt idx="225">
                  <c:v>11.809799999999999</c:v>
                </c:pt>
                <c:pt idx="226">
                  <c:v>12.039099999999999</c:v>
                </c:pt>
                <c:pt idx="227">
                  <c:v>12.382999999999999</c:v>
                </c:pt>
                <c:pt idx="228">
                  <c:v>12.153700000000001</c:v>
                </c:pt>
                <c:pt idx="229">
                  <c:v>12.153700000000001</c:v>
                </c:pt>
                <c:pt idx="230">
                  <c:v>11.6951</c:v>
                </c:pt>
                <c:pt idx="231">
                  <c:v>11.9244</c:v>
                </c:pt>
                <c:pt idx="232">
                  <c:v>11.809799999999999</c:v>
                </c:pt>
                <c:pt idx="233">
                  <c:v>11.9244</c:v>
                </c:pt>
                <c:pt idx="234">
                  <c:v>11.9244</c:v>
                </c:pt>
                <c:pt idx="235">
                  <c:v>12.2684</c:v>
                </c:pt>
                <c:pt idx="236">
                  <c:v>12.2684</c:v>
                </c:pt>
                <c:pt idx="237">
                  <c:v>12.153700000000001</c:v>
                </c:pt>
                <c:pt idx="238">
                  <c:v>12.4977</c:v>
                </c:pt>
                <c:pt idx="239">
                  <c:v>12.2684</c:v>
                </c:pt>
                <c:pt idx="240">
                  <c:v>12.382999999999999</c:v>
                </c:pt>
                <c:pt idx="241">
                  <c:v>12.2684</c:v>
                </c:pt>
                <c:pt idx="242">
                  <c:v>12.039099999999999</c:v>
                </c:pt>
                <c:pt idx="243">
                  <c:v>11.9244</c:v>
                </c:pt>
                <c:pt idx="244">
                  <c:v>12.2684</c:v>
                </c:pt>
                <c:pt idx="245">
                  <c:v>12.2684</c:v>
                </c:pt>
                <c:pt idx="246">
                  <c:v>12.612399999999999</c:v>
                </c:pt>
                <c:pt idx="247">
                  <c:v>12.2684</c:v>
                </c:pt>
                <c:pt idx="248">
                  <c:v>12.153700000000001</c:v>
                </c:pt>
                <c:pt idx="249">
                  <c:v>12.039099999999999</c:v>
                </c:pt>
                <c:pt idx="250">
                  <c:v>11.9244</c:v>
                </c:pt>
                <c:pt idx="251">
                  <c:v>11.809799999999999</c:v>
                </c:pt>
                <c:pt idx="252">
                  <c:v>11.9244</c:v>
                </c:pt>
                <c:pt idx="253">
                  <c:v>11.6951</c:v>
                </c:pt>
                <c:pt idx="254">
                  <c:v>11.809799999999999</c:v>
                </c:pt>
                <c:pt idx="255">
                  <c:v>11.809799999999999</c:v>
                </c:pt>
                <c:pt idx="256">
                  <c:v>11.9244</c:v>
                </c:pt>
                <c:pt idx="257">
                  <c:v>12.039099999999999</c:v>
                </c:pt>
                <c:pt idx="258">
                  <c:v>11.6951</c:v>
                </c:pt>
                <c:pt idx="259">
                  <c:v>11.580399999999999</c:v>
                </c:pt>
                <c:pt idx="260">
                  <c:v>11.282299999999999</c:v>
                </c:pt>
                <c:pt idx="261">
                  <c:v>11.282299999999999</c:v>
                </c:pt>
                <c:pt idx="262">
                  <c:v>11.282299999999999</c:v>
                </c:pt>
                <c:pt idx="263">
                  <c:v>10.9613</c:v>
                </c:pt>
                <c:pt idx="264">
                  <c:v>11.1447</c:v>
                </c:pt>
                <c:pt idx="265">
                  <c:v>11.282299999999999</c:v>
                </c:pt>
                <c:pt idx="266">
                  <c:v>11.4658</c:v>
                </c:pt>
                <c:pt idx="267">
                  <c:v>12.039099999999999</c:v>
                </c:pt>
                <c:pt idx="268">
                  <c:v>11.9244</c:v>
                </c:pt>
                <c:pt idx="269">
                  <c:v>11.580399999999999</c:v>
                </c:pt>
                <c:pt idx="270">
                  <c:v>11.282299999999999</c:v>
                </c:pt>
                <c:pt idx="271">
                  <c:v>11.6951</c:v>
                </c:pt>
                <c:pt idx="272">
                  <c:v>11.3918</c:v>
                </c:pt>
                <c:pt idx="273">
                  <c:v>11.5024</c:v>
                </c:pt>
                <c:pt idx="274">
                  <c:v>11.944800000000001</c:v>
                </c:pt>
                <c:pt idx="275">
                  <c:v>12.4978</c:v>
                </c:pt>
                <c:pt idx="276">
                  <c:v>12.718999999999999</c:v>
                </c:pt>
                <c:pt idx="277">
                  <c:v>13.4932</c:v>
                </c:pt>
                <c:pt idx="278">
                  <c:v>13.4932</c:v>
                </c:pt>
                <c:pt idx="279">
                  <c:v>13.6038</c:v>
                </c:pt>
                <c:pt idx="280">
                  <c:v>13.6038</c:v>
                </c:pt>
                <c:pt idx="281">
                  <c:v>14.046200000000001</c:v>
                </c:pt>
                <c:pt idx="282">
                  <c:v>14.046200000000001</c:v>
                </c:pt>
                <c:pt idx="283">
                  <c:v>13.935600000000001</c:v>
                </c:pt>
                <c:pt idx="284">
                  <c:v>13.935600000000001</c:v>
                </c:pt>
                <c:pt idx="285">
                  <c:v>13.1614</c:v>
                </c:pt>
                <c:pt idx="286">
                  <c:v>13.1614</c:v>
                </c:pt>
                <c:pt idx="287">
                  <c:v>12.718999999999999</c:v>
                </c:pt>
                <c:pt idx="288">
                  <c:v>12.829599999999999</c:v>
                </c:pt>
                <c:pt idx="289">
                  <c:v>12.718999999999999</c:v>
                </c:pt>
                <c:pt idx="290">
                  <c:v>12.6084</c:v>
                </c:pt>
                <c:pt idx="291">
                  <c:v>12.940200000000001</c:v>
                </c:pt>
                <c:pt idx="292">
                  <c:v>13.272</c:v>
                </c:pt>
                <c:pt idx="293">
                  <c:v>12.940200000000001</c:v>
                </c:pt>
                <c:pt idx="294">
                  <c:v>13.272</c:v>
                </c:pt>
                <c:pt idx="295">
                  <c:v>13.272</c:v>
                </c:pt>
                <c:pt idx="296">
                  <c:v>13.050800000000001</c:v>
                </c:pt>
                <c:pt idx="297">
                  <c:v>12.829599999999999</c:v>
                </c:pt>
                <c:pt idx="298">
                  <c:v>12.4978</c:v>
                </c:pt>
                <c:pt idx="299">
                  <c:v>13.050800000000001</c:v>
                </c:pt>
                <c:pt idx="300">
                  <c:v>12.829599999999999</c:v>
                </c:pt>
                <c:pt idx="301">
                  <c:v>12.940200000000001</c:v>
                </c:pt>
                <c:pt idx="302">
                  <c:v>13.1614</c:v>
                </c:pt>
                <c:pt idx="303">
                  <c:v>13.3826</c:v>
                </c:pt>
                <c:pt idx="304">
                  <c:v>13.3826</c:v>
                </c:pt>
                <c:pt idx="305">
                  <c:v>12.718999999999999</c:v>
                </c:pt>
                <c:pt idx="306">
                  <c:v>13.050800000000001</c:v>
                </c:pt>
                <c:pt idx="307">
                  <c:v>12.6084</c:v>
                </c:pt>
                <c:pt idx="308">
                  <c:v>12.718999999999999</c:v>
                </c:pt>
                <c:pt idx="309">
                  <c:v>12.829599999999999</c:v>
                </c:pt>
                <c:pt idx="310">
                  <c:v>12.166</c:v>
                </c:pt>
                <c:pt idx="311">
                  <c:v>12.166</c:v>
                </c:pt>
                <c:pt idx="312">
                  <c:v>12.166</c:v>
                </c:pt>
                <c:pt idx="313">
                  <c:v>12.4978</c:v>
                </c:pt>
                <c:pt idx="314">
                  <c:v>12.4978</c:v>
                </c:pt>
                <c:pt idx="315">
                  <c:v>12.4978</c:v>
                </c:pt>
                <c:pt idx="316">
                  <c:v>12.4978</c:v>
                </c:pt>
                <c:pt idx="317">
                  <c:v>12.3872</c:v>
                </c:pt>
                <c:pt idx="318">
                  <c:v>12.718999999999999</c:v>
                </c:pt>
                <c:pt idx="319">
                  <c:v>12.6084</c:v>
                </c:pt>
                <c:pt idx="320">
                  <c:v>11.834199999999999</c:v>
                </c:pt>
                <c:pt idx="321">
                  <c:v>11.613</c:v>
                </c:pt>
                <c:pt idx="322">
                  <c:v>11.5024</c:v>
                </c:pt>
                <c:pt idx="323">
                  <c:v>11.834199999999999</c:v>
                </c:pt>
                <c:pt idx="324">
                  <c:v>11.834199999999999</c:v>
                </c:pt>
                <c:pt idx="325">
                  <c:v>11.613</c:v>
                </c:pt>
                <c:pt idx="326">
                  <c:v>11.613</c:v>
                </c:pt>
                <c:pt idx="327">
                  <c:v>11.944800000000001</c:v>
                </c:pt>
                <c:pt idx="328">
                  <c:v>11.723599999999999</c:v>
                </c:pt>
                <c:pt idx="329">
                  <c:v>11.613</c:v>
                </c:pt>
                <c:pt idx="330">
                  <c:v>11.613</c:v>
                </c:pt>
                <c:pt idx="331">
                  <c:v>11.5024</c:v>
                </c:pt>
                <c:pt idx="332">
                  <c:v>11.613</c:v>
                </c:pt>
                <c:pt idx="333">
                  <c:v>11.944800000000001</c:v>
                </c:pt>
                <c:pt idx="334">
                  <c:v>12.2766</c:v>
                </c:pt>
                <c:pt idx="335">
                  <c:v>11.723599999999999</c:v>
                </c:pt>
                <c:pt idx="336">
                  <c:v>12.3872</c:v>
                </c:pt>
                <c:pt idx="337">
                  <c:v>12.4978</c:v>
                </c:pt>
                <c:pt idx="338">
                  <c:v>12.2766</c:v>
                </c:pt>
                <c:pt idx="339">
                  <c:v>11.834199999999999</c:v>
                </c:pt>
                <c:pt idx="340">
                  <c:v>11.723599999999999</c:v>
                </c:pt>
                <c:pt idx="341">
                  <c:v>11.723599999999999</c:v>
                </c:pt>
                <c:pt idx="342">
                  <c:v>12.055400000000001</c:v>
                </c:pt>
                <c:pt idx="343">
                  <c:v>11.944800000000001</c:v>
                </c:pt>
                <c:pt idx="344">
                  <c:v>11.723599999999999</c:v>
                </c:pt>
                <c:pt idx="345">
                  <c:v>11.613</c:v>
                </c:pt>
                <c:pt idx="346">
                  <c:v>11.613</c:v>
                </c:pt>
                <c:pt idx="347">
                  <c:v>11.723599999999999</c:v>
                </c:pt>
                <c:pt idx="348">
                  <c:v>12.166</c:v>
                </c:pt>
                <c:pt idx="349">
                  <c:v>12.6084</c:v>
                </c:pt>
                <c:pt idx="350">
                  <c:v>13.050800000000001</c:v>
                </c:pt>
                <c:pt idx="351">
                  <c:v>13.1614</c:v>
                </c:pt>
                <c:pt idx="352">
                  <c:v>12.4978</c:v>
                </c:pt>
                <c:pt idx="353">
                  <c:v>12.6084</c:v>
                </c:pt>
                <c:pt idx="354">
                  <c:v>12.6084</c:v>
                </c:pt>
                <c:pt idx="355">
                  <c:v>12.829599999999999</c:v>
                </c:pt>
                <c:pt idx="356">
                  <c:v>13.050800000000001</c:v>
                </c:pt>
                <c:pt idx="357">
                  <c:v>13.050800000000001</c:v>
                </c:pt>
                <c:pt idx="358">
                  <c:v>13.3826</c:v>
                </c:pt>
                <c:pt idx="359">
                  <c:v>13.4932</c:v>
                </c:pt>
                <c:pt idx="360">
                  <c:v>13.4932</c:v>
                </c:pt>
                <c:pt idx="361">
                  <c:v>13.1614</c:v>
                </c:pt>
                <c:pt idx="362">
                  <c:v>13.4932</c:v>
                </c:pt>
                <c:pt idx="363">
                  <c:v>13.714399999999999</c:v>
                </c:pt>
                <c:pt idx="364">
                  <c:v>13.714399999999999</c:v>
                </c:pt>
                <c:pt idx="365">
                  <c:v>13.935600000000001</c:v>
                </c:pt>
                <c:pt idx="366">
                  <c:v>14.378</c:v>
                </c:pt>
                <c:pt idx="367">
                  <c:v>14.2674</c:v>
                </c:pt>
                <c:pt idx="368">
                  <c:v>14.2674</c:v>
                </c:pt>
                <c:pt idx="369">
                  <c:v>13.4932</c:v>
                </c:pt>
                <c:pt idx="370">
                  <c:v>15.041600000000001</c:v>
                </c:pt>
                <c:pt idx="371">
                  <c:v>15.815799999999999</c:v>
                </c:pt>
                <c:pt idx="372">
                  <c:v>16.3688</c:v>
                </c:pt>
                <c:pt idx="373">
                  <c:v>15.815799999999999</c:v>
                </c:pt>
                <c:pt idx="374">
                  <c:v>16.59</c:v>
                </c:pt>
                <c:pt idx="375">
                  <c:v>16.811199999999999</c:v>
                </c:pt>
                <c:pt idx="376">
                  <c:v>16.811199999999999</c:v>
                </c:pt>
                <c:pt idx="377">
                  <c:v>18.027799999999999</c:v>
                </c:pt>
                <c:pt idx="378">
                  <c:v>17.3642</c:v>
                </c:pt>
                <c:pt idx="379">
                  <c:v>17.143000000000001</c:v>
                </c:pt>
                <c:pt idx="380">
                  <c:v>17.253599999999999</c:v>
                </c:pt>
                <c:pt idx="381">
                  <c:v>17.696000000000002</c:v>
                </c:pt>
                <c:pt idx="382">
                  <c:v>17.696000000000002</c:v>
                </c:pt>
                <c:pt idx="383">
                  <c:v>17.8066</c:v>
                </c:pt>
                <c:pt idx="384">
                  <c:v>18.248999999999999</c:v>
                </c:pt>
                <c:pt idx="385">
                  <c:v>18.027799999999999</c:v>
                </c:pt>
                <c:pt idx="386">
                  <c:v>17.917200000000001</c:v>
                </c:pt>
                <c:pt idx="387">
                  <c:v>17.917200000000001</c:v>
                </c:pt>
                <c:pt idx="388">
                  <c:v>17.917200000000001</c:v>
                </c:pt>
                <c:pt idx="389">
                  <c:v>17.917200000000001</c:v>
                </c:pt>
                <c:pt idx="390">
                  <c:v>18.027799999999999</c:v>
                </c:pt>
                <c:pt idx="391">
                  <c:v>18.470199999999998</c:v>
                </c:pt>
                <c:pt idx="392">
                  <c:v>18.802</c:v>
                </c:pt>
                <c:pt idx="393">
                  <c:v>18.802</c:v>
                </c:pt>
                <c:pt idx="394">
                  <c:v>18.802</c:v>
                </c:pt>
                <c:pt idx="395">
                  <c:v>18.138400000000001</c:v>
                </c:pt>
                <c:pt idx="396">
                  <c:v>17.8066</c:v>
                </c:pt>
                <c:pt idx="397">
                  <c:v>17.8066</c:v>
                </c:pt>
                <c:pt idx="398">
                  <c:v>17.7746</c:v>
                </c:pt>
                <c:pt idx="399">
                  <c:v>17.219200000000001</c:v>
                </c:pt>
                <c:pt idx="400">
                  <c:v>16.552600000000002</c:v>
                </c:pt>
                <c:pt idx="401">
                  <c:v>16.997</c:v>
                </c:pt>
                <c:pt idx="402">
                  <c:v>17.219200000000001</c:v>
                </c:pt>
                <c:pt idx="403">
                  <c:v>17.1081</c:v>
                </c:pt>
                <c:pt idx="404">
                  <c:v>16.774799999999999</c:v>
                </c:pt>
                <c:pt idx="405">
                  <c:v>17.1081</c:v>
                </c:pt>
                <c:pt idx="406">
                  <c:v>17.1081</c:v>
                </c:pt>
                <c:pt idx="407">
                  <c:v>16.885899999999999</c:v>
                </c:pt>
                <c:pt idx="408">
                  <c:v>16.885899999999999</c:v>
                </c:pt>
                <c:pt idx="409">
                  <c:v>16.330400000000001</c:v>
                </c:pt>
                <c:pt idx="410">
                  <c:v>16.1082</c:v>
                </c:pt>
                <c:pt idx="411">
                  <c:v>16.441500000000001</c:v>
                </c:pt>
                <c:pt idx="412">
                  <c:v>16.441500000000001</c:v>
                </c:pt>
                <c:pt idx="413">
                  <c:v>16.774799999999999</c:v>
                </c:pt>
                <c:pt idx="414">
                  <c:v>16.1082</c:v>
                </c:pt>
                <c:pt idx="415">
                  <c:v>16.441500000000001</c:v>
                </c:pt>
                <c:pt idx="416">
                  <c:v>17.219200000000001</c:v>
                </c:pt>
                <c:pt idx="417">
                  <c:v>17.7746</c:v>
                </c:pt>
                <c:pt idx="418">
                  <c:v>17.552399999999999</c:v>
                </c:pt>
                <c:pt idx="419">
                  <c:v>17.7746</c:v>
                </c:pt>
                <c:pt idx="420">
                  <c:v>17.7746</c:v>
                </c:pt>
                <c:pt idx="421">
                  <c:v>17.441299999999998</c:v>
                </c:pt>
                <c:pt idx="422">
                  <c:v>16.330400000000001</c:v>
                </c:pt>
                <c:pt idx="423">
                  <c:v>17.219200000000001</c:v>
                </c:pt>
                <c:pt idx="424">
                  <c:v>17.1081</c:v>
                </c:pt>
                <c:pt idx="425">
                  <c:v>17.219200000000001</c:v>
                </c:pt>
                <c:pt idx="426">
                  <c:v>16.663699999999999</c:v>
                </c:pt>
                <c:pt idx="427">
                  <c:v>16.441500000000001</c:v>
                </c:pt>
                <c:pt idx="428">
                  <c:v>16.441500000000001</c:v>
                </c:pt>
                <c:pt idx="429">
                  <c:v>16.552600000000002</c:v>
                </c:pt>
                <c:pt idx="430">
                  <c:v>15.9971</c:v>
                </c:pt>
                <c:pt idx="431">
                  <c:v>16.330400000000001</c:v>
                </c:pt>
                <c:pt idx="432">
                  <c:v>16.441500000000001</c:v>
                </c:pt>
                <c:pt idx="433">
                  <c:v>16.441500000000001</c:v>
                </c:pt>
                <c:pt idx="434">
                  <c:v>17.663499999999999</c:v>
                </c:pt>
                <c:pt idx="435">
                  <c:v>17.552399999999999</c:v>
                </c:pt>
                <c:pt idx="436">
                  <c:v>18.6633</c:v>
                </c:pt>
                <c:pt idx="437">
                  <c:v>18.441199999999998</c:v>
                </c:pt>
                <c:pt idx="438">
                  <c:v>18.441199999999998</c:v>
                </c:pt>
                <c:pt idx="439">
                  <c:v>18.330100000000002</c:v>
                </c:pt>
                <c:pt idx="440">
                  <c:v>17.9968</c:v>
                </c:pt>
                <c:pt idx="441">
                  <c:v>17.9968</c:v>
                </c:pt>
                <c:pt idx="442">
                  <c:v>18.552199999999999</c:v>
                </c:pt>
                <c:pt idx="443">
                  <c:v>19.218800000000002</c:v>
                </c:pt>
                <c:pt idx="444">
                  <c:v>18.996600000000001</c:v>
                </c:pt>
                <c:pt idx="445">
                  <c:v>19.440999999999999</c:v>
                </c:pt>
                <c:pt idx="446">
                  <c:v>20.218599999999999</c:v>
                </c:pt>
                <c:pt idx="447">
                  <c:v>19.329899999999999</c:v>
                </c:pt>
                <c:pt idx="448">
                  <c:v>18.6633</c:v>
                </c:pt>
                <c:pt idx="449">
                  <c:v>18.8855</c:v>
                </c:pt>
                <c:pt idx="450">
                  <c:v>18.996600000000001</c:v>
                </c:pt>
                <c:pt idx="451">
                  <c:v>19.7743</c:v>
                </c:pt>
                <c:pt idx="452">
                  <c:v>19.440999999999999</c:v>
                </c:pt>
                <c:pt idx="453">
                  <c:v>20.218599999999999</c:v>
                </c:pt>
                <c:pt idx="454">
                  <c:v>21.218399999999999</c:v>
                </c:pt>
                <c:pt idx="455">
                  <c:v>21.218399999999999</c:v>
                </c:pt>
                <c:pt idx="456">
                  <c:v>19.552099999999999</c:v>
                </c:pt>
                <c:pt idx="457">
                  <c:v>20.126899999999999</c:v>
                </c:pt>
                <c:pt idx="458">
                  <c:v>19.783899999999999</c:v>
                </c:pt>
                <c:pt idx="459">
                  <c:v>20.355699999999999</c:v>
                </c:pt>
                <c:pt idx="460">
                  <c:v>20.47</c:v>
                </c:pt>
                <c:pt idx="461">
                  <c:v>20.698699999999999</c:v>
                </c:pt>
                <c:pt idx="462">
                  <c:v>21.270499999999998</c:v>
                </c:pt>
                <c:pt idx="463">
                  <c:v>20.927499999999998</c:v>
                </c:pt>
                <c:pt idx="464">
                  <c:v>20.355699999999999</c:v>
                </c:pt>
                <c:pt idx="465">
                  <c:v>20.813099999999999</c:v>
                </c:pt>
                <c:pt idx="466">
                  <c:v>21.156199999999998</c:v>
                </c:pt>
                <c:pt idx="467">
                  <c:v>20.813099999999999</c:v>
                </c:pt>
                <c:pt idx="468">
                  <c:v>20.584399999999999</c:v>
                </c:pt>
                <c:pt idx="469">
                  <c:v>20.584399999999999</c:v>
                </c:pt>
                <c:pt idx="470">
                  <c:v>20.584399999999999</c:v>
                </c:pt>
                <c:pt idx="471">
                  <c:v>20.355699999999999</c:v>
                </c:pt>
                <c:pt idx="472">
                  <c:v>20.241299999999999</c:v>
                </c:pt>
                <c:pt idx="473">
                  <c:v>20.126899999999999</c:v>
                </c:pt>
                <c:pt idx="474">
                  <c:v>20.126899999999999</c:v>
                </c:pt>
                <c:pt idx="475">
                  <c:v>19.440799999999999</c:v>
                </c:pt>
                <c:pt idx="476">
                  <c:v>19.783899999999999</c:v>
                </c:pt>
                <c:pt idx="477">
                  <c:v>19.783899999999999</c:v>
                </c:pt>
                <c:pt idx="478">
                  <c:v>18.7547</c:v>
                </c:pt>
                <c:pt idx="479">
                  <c:v>18.9834</c:v>
                </c:pt>
                <c:pt idx="480">
                  <c:v>18.4116</c:v>
                </c:pt>
                <c:pt idx="481">
                  <c:v>19.669499999999999</c:v>
                </c:pt>
                <c:pt idx="482">
                  <c:v>19.440799999999999</c:v>
                </c:pt>
                <c:pt idx="483">
                  <c:v>17.6111</c:v>
                </c:pt>
                <c:pt idx="484">
                  <c:v>17.7254</c:v>
                </c:pt>
                <c:pt idx="485">
                  <c:v>17.496700000000001</c:v>
                </c:pt>
                <c:pt idx="486">
                  <c:v>18.0685</c:v>
                </c:pt>
                <c:pt idx="487">
                  <c:v>16.924900000000001</c:v>
                </c:pt>
                <c:pt idx="488">
                  <c:v>18.0685</c:v>
                </c:pt>
                <c:pt idx="489">
                  <c:v>17.153600000000001</c:v>
                </c:pt>
                <c:pt idx="490">
                  <c:v>17.382400000000001</c:v>
                </c:pt>
                <c:pt idx="491">
                  <c:v>17.039300000000001</c:v>
                </c:pt>
                <c:pt idx="492">
                  <c:v>16.696200000000001</c:v>
                </c:pt>
                <c:pt idx="493">
                  <c:v>17.039300000000001</c:v>
                </c:pt>
                <c:pt idx="494">
                  <c:v>16.924900000000001</c:v>
                </c:pt>
                <c:pt idx="495">
                  <c:v>16.924900000000001</c:v>
                </c:pt>
                <c:pt idx="496">
                  <c:v>16.696200000000001</c:v>
                </c:pt>
                <c:pt idx="497">
                  <c:v>16.238800000000001</c:v>
                </c:pt>
                <c:pt idx="498">
                  <c:v>16.467500000000001</c:v>
                </c:pt>
                <c:pt idx="499">
                  <c:v>16.924900000000001</c:v>
                </c:pt>
                <c:pt idx="500">
                  <c:v>16.696200000000001</c:v>
                </c:pt>
                <c:pt idx="501">
                  <c:v>16.010100000000001</c:v>
                </c:pt>
                <c:pt idx="502">
                  <c:v>14.9809</c:v>
                </c:pt>
                <c:pt idx="503">
                  <c:v>15.0952</c:v>
                </c:pt>
                <c:pt idx="504">
                  <c:v>14.9809</c:v>
                </c:pt>
                <c:pt idx="505">
                  <c:v>14.9809</c:v>
                </c:pt>
                <c:pt idx="506">
                  <c:v>14.9809</c:v>
                </c:pt>
                <c:pt idx="507">
                  <c:v>14.9809</c:v>
                </c:pt>
                <c:pt idx="508">
                  <c:v>14.7521</c:v>
                </c:pt>
                <c:pt idx="509">
                  <c:v>14.7521</c:v>
                </c:pt>
                <c:pt idx="510">
                  <c:v>14.8665</c:v>
                </c:pt>
                <c:pt idx="511">
                  <c:v>14.8665</c:v>
                </c:pt>
                <c:pt idx="512">
                  <c:v>14.8665</c:v>
                </c:pt>
                <c:pt idx="513">
                  <c:v>15.0952</c:v>
                </c:pt>
                <c:pt idx="514">
                  <c:v>15.0952</c:v>
                </c:pt>
                <c:pt idx="515">
                  <c:v>15.2096</c:v>
                </c:pt>
                <c:pt idx="516">
                  <c:v>15.3239</c:v>
                </c:pt>
                <c:pt idx="517">
                  <c:v>14.7521</c:v>
                </c:pt>
                <c:pt idx="518">
                  <c:v>14.9809</c:v>
                </c:pt>
                <c:pt idx="519">
                  <c:v>14.8665</c:v>
                </c:pt>
                <c:pt idx="520">
                  <c:v>14.523400000000001</c:v>
                </c:pt>
                <c:pt idx="521">
                  <c:v>14.7521</c:v>
                </c:pt>
                <c:pt idx="522">
                  <c:v>15.872</c:v>
                </c:pt>
                <c:pt idx="523">
                  <c:v>15.747999999999999</c:v>
                </c:pt>
                <c:pt idx="524">
                  <c:v>15.747999999999999</c:v>
                </c:pt>
                <c:pt idx="525">
                  <c:v>15.747999999999999</c:v>
                </c:pt>
                <c:pt idx="526">
                  <c:v>16.492000000000001</c:v>
                </c:pt>
                <c:pt idx="527">
                  <c:v>16.739999999999998</c:v>
                </c:pt>
                <c:pt idx="528">
                  <c:v>17.111999999999998</c:v>
                </c:pt>
                <c:pt idx="529">
                  <c:v>16.739999999999998</c:v>
                </c:pt>
                <c:pt idx="530">
                  <c:v>17.111999999999998</c:v>
                </c:pt>
                <c:pt idx="531">
                  <c:v>17.111999999999998</c:v>
                </c:pt>
                <c:pt idx="532">
                  <c:v>17.111999999999998</c:v>
                </c:pt>
                <c:pt idx="533">
                  <c:v>17.236000000000001</c:v>
                </c:pt>
                <c:pt idx="534">
                  <c:v>17.236000000000001</c:v>
                </c:pt>
                <c:pt idx="535">
                  <c:v>17.111999999999998</c:v>
                </c:pt>
                <c:pt idx="536">
                  <c:v>16.864000000000001</c:v>
                </c:pt>
                <c:pt idx="537">
                  <c:v>16.739999999999998</c:v>
                </c:pt>
                <c:pt idx="538">
                  <c:v>16.616</c:v>
                </c:pt>
                <c:pt idx="539">
                  <c:v>16.739999999999998</c:v>
                </c:pt>
                <c:pt idx="540">
                  <c:v>17.111999999999998</c:v>
                </c:pt>
                <c:pt idx="541">
                  <c:v>17.236000000000001</c:v>
                </c:pt>
                <c:pt idx="542">
                  <c:v>16.988</c:v>
                </c:pt>
                <c:pt idx="543">
                  <c:v>17.36</c:v>
                </c:pt>
                <c:pt idx="544">
                  <c:v>17.111999999999998</c:v>
                </c:pt>
                <c:pt idx="545">
                  <c:v>17.36</c:v>
                </c:pt>
                <c:pt idx="546">
                  <c:v>17.236000000000001</c:v>
                </c:pt>
                <c:pt idx="547">
                  <c:v>17.236000000000001</c:v>
                </c:pt>
                <c:pt idx="548">
                  <c:v>17.111999999999998</c:v>
                </c:pt>
                <c:pt idx="549">
                  <c:v>17.36</c:v>
                </c:pt>
                <c:pt idx="550">
                  <c:v>17.856000000000002</c:v>
                </c:pt>
                <c:pt idx="551">
                  <c:v>17.608000000000001</c:v>
                </c:pt>
                <c:pt idx="552">
                  <c:v>17.111999999999998</c:v>
                </c:pt>
                <c:pt idx="553">
                  <c:v>16.492000000000001</c:v>
                </c:pt>
                <c:pt idx="554">
                  <c:v>16.492000000000001</c:v>
                </c:pt>
                <c:pt idx="555">
                  <c:v>16.616</c:v>
                </c:pt>
                <c:pt idx="556">
                  <c:v>17.111999999999998</c:v>
                </c:pt>
                <c:pt idx="557">
                  <c:v>16.739999999999998</c:v>
                </c:pt>
                <c:pt idx="558">
                  <c:v>16.739999999999998</c:v>
                </c:pt>
                <c:pt idx="559">
                  <c:v>17.36</c:v>
                </c:pt>
                <c:pt idx="560">
                  <c:v>17.484000000000002</c:v>
                </c:pt>
                <c:pt idx="561">
                  <c:v>17.731999999999999</c:v>
                </c:pt>
                <c:pt idx="562">
                  <c:v>17.111999999999998</c:v>
                </c:pt>
                <c:pt idx="563">
                  <c:v>17.36</c:v>
                </c:pt>
                <c:pt idx="564">
                  <c:v>17.856000000000002</c:v>
                </c:pt>
                <c:pt idx="565">
                  <c:v>17.856000000000002</c:v>
                </c:pt>
                <c:pt idx="566">
                  <c:v>18.600000000000001</c:v>
                </c:pt>
                <c:pt idx="567">
                  <c:v>18.600000000000001</c:v>
                </c:pt>
                <c:pt idx="568">
                  <c:v>18.352</c:v>
                </c:pt>
                <c:pt idx="569">
                  <c:v>18.352</c:v>
                </c:pt>
                <c:pt idx="570">
                  <c:v>18.228000000000002</c:v>
                </c:pt>
                <c:pt idx="571">
                  <c:v>18.352</c:v>
                </c:pt>
                <c:pt idx="572">
                  <c:v>18.352</c:v>
                </c:pt>
                <c:pt idx="573">
                  <c:v>18.847999999999999</c:v>
                </c:pt>
                <c:pt idx="574">
                  <c:v>18.972000000000001</c:v>
                </c:pt>
                <c:pt idx="575">
                  <c:v>18.475999999999999</c:v>
                </c:pt>
                <c:pt idx="576">
                  <c:v>17.856000000000002</c:v>
                </c:pt>
                <c:pt idx="577">
                  <c:v>18.475999999999999</c:v>
                </c:pt>
                <c:pt idx="578">
                  <c:v>17.484000000000002</c:v>
                </c:pt>
                <c:pt idx="579">
                  <c:v>17.36</c:v>
                </c:pt>
                <c:pt idx="580">
                  <c:v>17.236000000000001</c:v>
                </c:pt>
                <c:pt idx="581">
                  <c:v>18.847999999999999</c:v>
                </c:pt>
                <c:pt idx="582">
                  <c:v>17.98</c:v>
                </c:pt>
                <c:pt idx="583">
                  <c:v>18.228000000000002</c:v>
                </c:pt>
                <c:pt idx="584">
                  <c:v>18.352</c:v>
                </c:pt>
                <c:pt idx="585">
                  <c:v>18.972000000000001</c:v>
                </c:pt>
                <c:pt idx="586">
                  <c:v>20.787500000000001</c:v>
                </c:pt>
                <c:pt idx="587">
                  <c:v>20.9208</c:v>
                </c:pt>
                <c:pt idx="588">
                  <c:v>19.454999999999998</c:v>
                </c:pt>
                <c:pt idx="589">
                  <c:v>19.854800000000001</c:v>
                </c:pt>
                <c:pt idx="590">
                  <c:v>19.721499999999999</c:v>
                </c:pt>
                <c:pt idx="591">
                  <c:v>17.9892</c:v>
                </c:pt>
                <c:pt idx="592">
                  <c:v>17.322900000000001</c:v>
                </c:pt>
                <c:pt idx="593">
                  <c:v>17.856000000000002</c:v>
                </c:pt>
                <c:pt idx="594">
                  <c:v>17.322900000000001</c:v>
                </c:pt>
                <c:pt idx="595">
                  <c:v>17.189699999999998</c:v>
                </c:pt>
                <c:pt idx="596">
                  <c:v>17.0564</c:v>
                </c:pt>
                <c:pt idx="597">
                  <c:v>17.0564</c:v>
                </c:pt>
                <c:pt idx="598">
                  <c:v>17.456199999999999</c:v>
                </c:pt>
                <c:pt idx="599">
                  <c:v>16.923200000000001</c:v>
                </c:pt>
                <c:pt idx="600">
                  <c:v>16.656700000000001</c:v>
                </c:pt>
                <c:pt idx="601">
                  <c:v>16.523399999999999</c:v>
                </c:pt>
                <c:pt idx="602">
                  <c:v>16.923200000000001</c:v>
                </c:pt>
                <c:pt idx="603">
                  <c:v>17.0564</c:v>
                </c:pt>
                <c:pt idx="604">
                  <c:v>17.0564</c:v>
                </c:pt>
                <c:pt idx="605">
                  <c:v>17.456199999999999</c:v>
                </c:pt>
                <c:pt idx="606">
                  <c:v>17.856000000000002</c:v>
                </c:pt>
                <c:pt idx="607">
                  <c:v>17.322900000000001</c:v>
                </c:pt>
                <c:pt idx="608">
                  <c:v>17.589500000000001</c:v>
                </c:pt>
                <c:pt idx="609">
                  <c:v>18.255700000000001</c:v>
                </c:pt>
                <c:pt idx="610">
                  <c:v>18.255700000000001</c:v>
                </c:pt>
                <c:pt idx="611">
                  <c:v>18.122499999999999</c:v>
                </c:pt>
                <c:pt idx="612">
                  <c:v>17.456199999999999</c:v>
                </c:pt>
                <c:pt idx="613">
                  <c:v>17.456199999999999</c:v>
                </c:pt>
                <c:pt idx="614">
                  <c:v>17.322900000000001</c:v>
                </c:pt>
                <c:pt idx="615">
                  <c:v>17.589500000000001</c:v>
                </c:pt>
                <c:pt idx="616">
                  <c:v>18.255700000000001</c:v>
                </c:pt>
                <c:pt idx="617">
                  <c:v>17.856000000000002</c:v>
                </c:pt>
                <c:pt idx="618">
                  <c:v>17.7227</c:v>
                </c:pt>
                <c:pt idx="619">
                  <c:v>18.122499999999999</c:v>
                </c:pt>
                <c:pt idx="620">
                  <c:v>19.055199999999999</c:v>
                </c:pt>
                <c:pt idx="621">
                  <c:v>18.922000000000001</c:v>
                </c:pt>
                <c:pt idx="622">
                  <c:v>19.5883</c:v>
                </c:pt>
                <c:pt idx="623">
                  <c:v>19.454999999999998</c:v>
                </c:pt>
                <c:pt idx="624">
                  <c:v>21.053999999999998</c:v>
                </c:pt>
                <c:pt idx="625">
                  <c:v>16.789899999999999</c:v>
                </c:pt>
                <c:pt idx="626">
                  <c:v>16.789899999999999</c:v>
                </c:pt>
                <c:pt idx="627">
                  <c:v>17.589500000000001</c:v>
                </c:pt>
                <c:pt idx="628">
                  <c:v>17.589500000000001</c:v>
                </c:pt>
                <c:pt idx="629">
                  <c:v>14.391400000000001</c:v>
                </c:pt>
                <c:pt idx="630">
                  <c:v>14.258100000000001</c:v>
                </c:pt>
                <c:pt idx="631">
                  <c:v>13.9916</c:v>
                </c:pt>
                <c:pt idx="632">
                  <c:v>14.6579</c:v>
                </c:pt>
                <c:pt idx="633">
                  <c:v>14.5246</c:v>
                </c:pt>
                <c:pt idx="634">
                  <c:v>15.057600000000001</c:v>
                </c:pt>
                <c:pt idx="635">
                  <c:v>14.1249</c:v>
                </c:pt>
                <c:pt idx="636">
                  <c:v>14.1249</c:v>
                </c:pt>
                <c:pt idx="637">
                  <c:v>14.1249</c:v>
                </c:pt>
                <c:pt idx="638">
                  <c:v>14.1249</c:v>
                </c:pt>
                <c:pt idx="639">
                  <c:v>13.591900000000001</c:v>
                </c:pt>
                <c:pt idx="640">
                  <c:v>14.391400000000001</c:v>
                </c:pt>
                <c:pt idx="641">
                  <c:v>13.725099999999999</c:v>
                </c:pt>
                <c:pt idx="642">
                  <c:v>13.458600000000001</c:v>
                </c:pt>
                <c:pt idx="643">
                  <c:v>13.458600000000001</c:v>
                </c:pt>
                <c:pt idx="644">
                  <c:v>13.591900000000001</c:v>
                </c:pt>
                <c:pt idx="645">
                  <c:v>13.9916</c:v>
                </c:pt>
                <c:pt idx="646">
                  <c:v>13.9916</c:v>
                </c:pt>
                <c:pt idx="647">
                  <c:v>13.8584</c:v>
                </c:pt>
                <c:pt idx="648">
                  <c:v>14.946199999999999</c:v>
                </c:pt>
                <c:pt idx="649">
                  <c:v>14.946199999999999</c:v>
                </c:pt>
                <c:pt idx="650">
                  <c:v>14.946199999999999</c:v>
                </c:pt>
                <c:pt idx="651">
                  <c:v>15.2392</c:v>
                </c:pt>
                <c:pt idx="652">
                  <c:v>15.532299999999999</c:v>
                </c:pt>
                <c:pt idx="653">
                  <c:v>15.678800000000001</c:v>
                </c:pt>
                <c:pt idx="654">
                  <c:v>15.2392</c:v>
                </c:pt>
                <c:pt idx="655">
                  <c:v>15.678800000000001</c:v>
                </c:pt>
                <c:pt idx="656">
                  <c:v>15.532299999999999</c:v>
                </c:pt>
                <c:pt idx="657">
                  <c:v>15.8253</c:v>
                </c:pt>
                <c:pt idx="658">
                  <c:v>16.264900000000001</c:v>
                </c:pt>
                <c:pt idx="659">
                  <c:v>14.6531</c:v>
                </c:pt>
                <c:pt idx="660">
                  <c:v>14.0084</c:v>
                </c:pt>
                <c:pt idx="661">
                  <c:v>14.242800000000001</c:v>
                </c:pt>
                <c:pt idx="662">
                  <c:v>13.4222</c:v>
                </c:pt>
                <c:pt idx="663">
                  <c:v>13.9497</c:v>
                </c:pt>
                <c:pt idx="664">
                  <c:v>13.070600000000001</c:v>
                </c:pt>
                <c:pt idx="665">
                  <c:v>12.8361</c:v>
                </c:pt>
                <c:pt idx="666">
                  <c:v>12.660299999999999</c:v>
                </c:pt>
                <c:pt idx="667">
                  <c:v>13.4222</c:v>
                </c:pt>
                <c:pt idx="668">
                  <c:v>12.1328</c:v>
                </c:pt>
                <c:pt idx="669">
                  <c:v>11.839700000000001</c:v>
                </c:pt>
                <c:pt idx="670">
                  <c:v>11.839700000000001</c:v>
                </c:pt>
                <c:pt idx="671">
                  <c:v>11.7811</c:v>
                </c:pt>
                <c:pt idx="672">
                  <c:v>11.1364</c:v>
                </c:pt>
                <c:pt idx="673">
                  <c:v>11.195</c:v>
                </c:pt>
                <c:pt idx="674">
                  <c:v>11.312200000000001</c:v>
                </c:pt>
                <c:pt idx="675">
                  <c:v>11.5466</c:v>
                </c:pt>
                <c:pt idx="676">
                  <c:v>11.7811</c:v>
                </c:pt>
                <c:pt idx="677">
                  <c:v>12.015499999999999</c:v>
                </c:pt>
                <c:pt idx="678">
                  <c:v>12.660299999999999</c:v>
                </c:pt>
                <c:pt idx="679">
                  <c:v>12.3672</c:v>
                </c:pt>
                <c:pt idx="680">
                  <c:v>12.601699999999999</c:v>
                </c:pt>
                <c:pt idx="681">
                  <c:v>11.6053</c:v>
                </c:pt>
                <c:pt idx="682">
                  <c:v>11.429399999999999</c:v>
                </c:pt>
                <c:pt idx="683">
                  <c:v>11.839700000000001</c:v>
                </c:pt>
                <c:pt idx="684">
                  <c:v>11.898300000000001</c:v>
                </c:pt>
                <c:pt idx="685">
                  <c:v>11.6053</c:v>
                </c:pt>
                <c:pt idx="686">
                  <c:v>11.7225</c:v>
                </c:pt>
                <c:pt idx="687">
                  <c:v>10.9605</c:v>
                </c:pt>
                <c:pt idx="688">
                  <c:v>10.4916</c:v>
                </c:pt>
                <c:pt idx="689">
                  <c:v>10.3744</c:v>
                </c:pt>
                <c:pt idx="690">
                  <c:v>10.433</c:v>
                </c:pt>
                <c:pt idx="691">
                  <c:v>10.315799999999999</c:v>
                </c:pt>
                <c:pt idx="692">
                  <c:v>10.3744</c:v>
                </c:pt>
                <c:pt idx="693">
                  <c:v>10.315799999999999</c:v>
                </c:pt>
                <c:pt idx="694">
                  <c:v>10.433</c:v>
                </c:pt>
                <c:pt idx="695">
                  <c:v>10.257199999999999</c:v>
                </c:pt>
                <c:pt idx="696">
                  <c:v>10.843299999999999</c:v>
                </c:pt>
                <c:pt idx="697">
                  <c:v>10.315799999999999</c:v>
                </c:pt>
                <c:pt idx="698">
                  <c:v>10.3744</c:v>
                </c:pt>
                <c:pt idx="699">
                  <c:v>10.3744</c:v>
                </c:pt>
                <c:pt idx="700">
                  <c:v>10.5502</c:v>
                </c:pt>
                <c:pt idx="701">
                  <c:v>10.843299999999999</c:v>
                </c:pt>
                <c:pt idx="702">
                  <c:v>10.3744</c:v>
                </c:pt>
                <c:pt idx="703">
                  <c:v>10.4916</c:v>
                </c:pt>
                <c:pt idx="704">
                  <c:v>10.433</c:v>
                </c:pt>
                <c:pt idx="705">
                  <c:v>10.433</c:v>
                </c:pt>
                <c:pt idx="706">
                  <c:v>10.257199999999999</c:v>
                </c:pt>
                <c:pt idx="707">
                  <c:v>11.018800000000001</c:v>
                </c:pt>
                <c:pt idx="708">
                  <c:v>10.895</c:v>
                </c:pt>
                <c:pt idx="709">
                  <c:v>11.6378</c:v>
                </c:pt>
                <c:pt idx="710">
                  <c:v>11.0807</c:v>
                </c:pt>
                <c:pt idx="711">
                  <c:v>11.204499999999999</c:v>
                </c:pt>
                <c:pt idx="712">
                  <c:v>11.018800000000001</c:v>
                </c:pt>
                <c:pt idx="713">
                  <c:v>10.895</c:v>
                </c:pt>
                <c:pt idx="714">
                  <c:v>11.204499999999999</c:v>
                </c:pt>
                <c:pt idx="715">
                  <c:v>11.3283</c:v>
                </c:pt>
                <c:pt idx="716">
                  <c:v>10.771100000000001</c:v>
                </c:pt>
                <c:pt idx="717">
                  <c:v>10.709199999999999</c:v>
                </c:pt>
                <c:pt idx="718">
                  <c:v>10.3378</c:v>
                </c:pt>
                <c:pt idx="719">
                  <c:v>10.3378</c:v>
                </c:pt>
                <c:pt idx="720">
                  <c:v>10.3378</c:v>
                </c:pt>
                <c:pt idx="721">
                  <c:v>10.6473</c:v>
                </c:pt>
                <c:pt idx="722">
                  <c:v>11.018800000000001</c:v>
                </c:pt>
                <c:pt idx="723">
                  <c:v>11.018800000000001</c:v>
                </c:pt>
                <c:pt idx="724">
                  <c:v>11.1426</c:v>
                </c:pt>
                <c:pt idx="725">
                  <c:v>11.4521</c:v>
                </c:pt>
                <c:pt idx="726">
                  <c:v>11.3283</c:v>
                </c:pt>
                <c:pt idx="727">
                  <c:v>11.6378</c:v>
                </c:pt>
                <c:pt idx="728">
                  <c:v>11.4521</c:v>
                </c:pt>
                <c:pt idx="729">
                  <c:v>11.885400000000001</c:v>
                </c:pt>
                <c:pt idx="730">
                  <c:v>10.895</c:v>
                </c:pt>
                <c:pt idx="731">
                  <c:v>10.956899999999999</c:v>
                </c:pt>
                <c:pt idx="732">
                  <c:v>11.018800000000001</c:v>
                </c:pt>
                <c:pt idx="733">
                  <c:v>11.1426</c:v>
                </c:pt>
                <c:pt idx="734">
                  <c:v>11.3283</c:v>
                </c:pt>
                <c:pt idx="735">
                  <c:v>11.1426</c:v>
                </c:pt>
                <c:pt idx="736">
                  <c:v>11.3283</c:v>
                </c:pt>
                <c:pt idx="737">
                  <c:v>11.1426</c:v>
                </c:pt>
                <c:pt idx="738">
                  <c:v>11.575900000000001</c:v>
                </c:pt>
                <c:pt idx="739">
                  <c:v>11.6378</c:v>
                </c:pt>
                <c:pt idx="740">
                  <c:v>11.7616</c:v>
                </c:pt>
                <c:pt idx="741">
                  <c:v>11.0807</c:v>
                </c:pt>
                <c:pt idx="742">
                  <c:v>11.018800000000001</c:v>
                </c:pt>
                <c:pt idx="743">
                  <c:v>11.885400000000001</c:v>
                </c:pt>
                <c:pt idx="744">
                  <c:v>12.0092</c:v>
                </c:pt>
                <c:pt idx="745">
                  <c:v>12.5663</c:v>
                </c:pt>
                <c:pt idx="746">
                  <c:v>12.5044</c:v>
                </c:pt>
                <c:pt idx="747">
                  <c:v>12.8139</c:v>
                </c:pt>
                <c:pt idx="748">
                  <c:v>12.937799999999999</c:v>
                </c:pt>
                <c:pt idx="749">
                  <c:v>12.2568</c:v>
                </c:pt>
                <c:pt idx="750">
                  <c:v>12.442500000000001</c:v>
                </c:pt>
                <c:pt idx="751">
                  <c:v>12.5663</c:v>
                </c:pt>
                <c:pt idx="752">
                  <c:v>12.937799999999999</c:v>
                </c:pt>
                <c:pt idx="753">
                  <c:v>13.0616</c:v>
                </c:pt>
                <c:pt idx="754">
                  <c:v>13.0616</c:v>
                </c:pt>
                <c:pt idx="755">
                  <c:v>12.690099999999999</c:v>
                </c:pt>
                <c:pt idx="756">
                  <c:v>13.866300000000001</c:v>
                </c:pt>
                <c:pt idx="757">
                  <c:v>11.6997</c:v>
                </c:pt>
                <c:pt idx="758">
                  <c:v>11.4521</c:v>
                </c:pt>
                <c:pt idx="759">
                  <c:v>11.885400000000001</c:v>
                </c:pt>
                <c:pt idx="760">
                  <c:v>12.380599999999999</c:v>
                </c:pt>
                <c:pt idx="761">
                  <c:v>13.1235</c:v>
                </c:pt>
                <c:pt idx="762">
                  <c:v>13.1235</c:v>
                </c:pt>
                <c:pt idx="763">
                  <c:v>13.3711</c:v>
                </c:pt>
                <c:pt idx="764">
                  <c:v>13.494899999999999</c:v>
                </c:pt>
                <c:pt idx="765">
                  <c:v>13.9901</c:v>
                </c:pt>
                <c:pt idx="766">
                  <c:v>12.6282</c:v>
                </c:pt>
                <c:pt idx="767">
                  <c:v>11.6378</c:v>
                </c:pt>
                <c:pt idx="768">
                  <c:v>11.3902</c:v>
                </c:pt>
                <c:pt idx="769">
                  <c:v>11.3283</c:v>
                </c:pt>
                <c:pt idx="770">
                  <c:v>10.3378</c:v>
                </c:pt>
              </c:numCache>
            </c:numRef>
          </c:val>
          <c:smooth val="0"/>
          <c:extLst>
            <c:ext xmlns:c16="http://schemas.microsoft.com/office/drawing/2014/chart" uri="{C3380CC4-5D6E-409C-BE32-E72D297353CC}">
              <c16:uniqueId val="{00000005-FF01-4B80-8D20-30CD9BED09B4}"/>
            </c:ext>
          </c:extLst>
        </c:ser>
        <c:dLbls>
          <c:showLegendKey val="0"/>
          <c:showVal val="0"/>
          <c:showCatName val="0"/>
          <c:showSerName val="0"/>
          <c:showPercent val="0"/>
          <c:showBubbleSize val="0"/>
        </c:dLbls>
        <c:smooth val="0"/>
        <c:axId val="1807154432"/>
        <c:axId val="828294224"/>
      </c:lineChart>
      <c:dateAx>
        <c:axId val="18071544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94224"/>
        <c:crosses val="autoZero"/>
        <c:auto val="1"/>
        <c:lblOffset val="100"/>
        <c:baseTimeUnit val="days"/>
      </c:dateAx>
      <c:valAx>
        <c:axId val="828294224"/>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154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 Peers'!$I$4</c:f>
              <c:strCache>
                <c:ptCount val="1"/>
                <c:pt idx="0">
                  <c:v>Premium</c:v>
                </c:pt>
              </c:strCache>
            </c:strRef>
          </c:tx>
          <c:spPr>
            <a:ln w="28575" cap="rnd">
              <a:solidFill>
                <a:schemeClr val="accent1"/>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Peers'!$I$5:$I$775</c:f>
              <c:numCache>
                <c:formatCode>0%</c:formatCode>
                <c:ptCount val="771"/>
                <c:pt idx="0">
                  <c:v>0.50596711620173651</c:v>
                </c:pt>
                <c:pt idx="1">
                  <c:v>0.57684521185182525</c:v>
                </c:pt>
                <c:pt idx="2">
                  <c:v>0.72045113881475498</c:v>
                </c:pt>
                <c:pt idx="3">
                  <c:v>0.81106756806953695</c:v>
                </c:pt>
                <c:pt idx="4">
                  <c:v>0.90357951394255709</c:v>
                </c:pt>
                <c:pt idx="5">
                  <c:v>0.93394605579161283</c:v>
                </c:pt>
                <c:pt idx="6">
                  <c:v>0.89096619249953801</c:v>
                </c:pt>
                <c:pt idx="7">
                  <c:v>0.92119977815560028</c:v>
                </c:pt>
                <c:pt idx="8">
                  <c:v>0.81351554182592456</c:v>
                </c:pt>
                <c:pt idx="9">
                  <c:v>0.92026898916423772</c:v>
                </c:pt>
                <c:pt idx="10">
                  <c:v>0.80990698234211944</c:v>
                </c:pt>
                <c:pt idx="11">
                  <c:v>0.88394266011003775</c:v>
                </c:pt>
                <c:pt idx="12">
                  <c:v>0.96486804645299173</c:v>
                </c:pt>
                <c:pt idx="13">
                  <c:v>0.90089493409149646</c:v>
                </c:pt>
                <c:pt idx="14">
                  <c:v>0.8209682129973872</c:v>
                </c:pt>
                <c:pt idx="15">
                  <c:v>0.84920427863292458</c:v>
                </c:pt>
                <c:pt idx="16">
                  <c:v>0.85868608139838254</c:v>
                </c:pt>
                <c:pt idx="17">
                  <c:v>0.80793349626961675</c:v>
                </c:pt>
                <c:pt idx="18">
                  <c:v>0.66060039714986574</c:v>
                </c:pt>
                <c:pt idx="19">
                  <c:v>0.67123032793239812</c:v>
                </c:pt>
                <c:pt idx="20">
                  <c:v>0.65711952169120846</c:v>
                </c:pt>
                <c:pt idx="21">
                  <c:v>0.84759349486436686</c:v>
                </c:pt>
                <c:pt idx="22">
                  <c:v>0.75603689015089315</c:v>
                </c:pt>
                <c:pt idx="23">
                  <c:v>0.41964381339983792</c:v>
                </c:pt>
                <c:pt idx="24">
                  <c:v>0.42843202040847683</c:v>
                </c:pt>
                <c:pt idx="25">
                  <c:v>0.35926863529012243</c:v>
                </c:pt>
                <c:pt idx="26">
                  <c:v>0.31259642401973586</c:v>
                </c:pt>
                <c:pt idx="27">
                  <c:v>0.45348926557145264</c:v>
                </c:pt>
                <c:pt idx="28">
                  <c:v>0.5219403601646293</c:v>
                </c:pt>
                <c:pt idx="29">
                  <c:v>0.55500632169025232</c:v>
                </c:pt>
                <c:pt idx="30">
                  <c:v>0.52462981626482685</c:v>
                </c:pt>
                <c:pt idx="31">
                  <c:v>0.51982315688851721</c:v>
                </c:pt>
                <c:pt idx="32">
                  <c:v>0.48261117885865112</c:v>
                </c:pt>
                <c:pt idx="33">
                  <c:v>0.47154015318116338</c:v>
                </c:pt>
                <c:pt idx="34">
                  <c:v>0.53191603298704071</c:v>
                </c:pt>
                <c:pt idx="35">
                  <c:v>0.50061224944155436</c:v>
                </c:pt>
                <c:pt idx="36">
                  <c:v>0.45220372692932798</c:v>
                </c:pt>
                <c:pt idx="37">
                  <c:v>0.44978441398451929</c:v>
                </c:pt>
                <c:pt idx="38">
                  <c:v>0.41710696471457598</c:v>
                </c:pt>
                <c:pt idx="39">
                  <c:v>0.43143849468038309</c:v>
                </c:pt>
                <c:pt idx="40">
                  <c:v>0.3923041301264798</c:v>
                </c:pt>
                <c:pt idx="41">
                  <c:v>0.36634250817631919</c:v>
                </c:pt>
                <c:pt idx="42">
                  <c:v>0.36772589710332904</c:v>
                </c:pt>
                <c:pt idx="43">
                  <c:v>0.47510794319859184</c:v>
                </c:pt>
                <c:pt idx="44">
                  <c:v>0.46481485866742456</c:v>
                </c:pt>
                <c:pt idx="45">
                  <c:v>0.41589902673518209</c:v>
                </c:pt>
                <c:pt idx="46">
                  <c:v>0.4041645659776405</c:v>
                </c:pt>
                <c:pt idx="47">
                  <c:v>0.31129780426943277</c:v>
                </c:pt>
                <c:pt idx="48">
                  <c:v>0.39308993942586268</c:v>
                </c:pt>
                <c:pt idx="49">
                  <c:v>0.3093633454340976</c:v>
                </c:pt>
                <c:pt idx="50">
                  <c:v>0.4074438857498317</c:v>
                </c:pt>
                <c:pt idx="51">
                  <c:v>0.5131062844504346</c:v>
                </c:pt>
                <c:pt idx="52">
                  <c:v>0.43621679559296411</c:v>
                </c:pt>
                <c:pt idx="53">
                  <c:v>0.57619882936259303</c:v>
                </c:pt>
                <c:pt idx="54">
                  <c:v>0.59106655328290736</c:v>
                </c:pt>
                <c:pt idx="55">
                  <c:v>0.59460346997974955</c:v>
                </c:pt>
                <c:pt idx="56">
                  <c:v>0.60594506685941463</c:v>
                </c:pt>
                <c:pt idx="57">
                  <c:v>0.62873431542771208</c:v>
                </c:pt>
                <c:pt idx="58">
                  <c:v>0.65514128873005917</c:v>
                </c:pt>
                <c:pt idx="59">
                  <c:v>0.68818848321850923</c:v>
                </c:pt>
                <c:pt idx="60">
                  <c:v>0.68218325166709648</c:v>
                </c:pt>
                <c:pt idx="61">
                  <c:v>0.69867371044848303</c:v>
                </c:pt>
                <c:pt idx="62">
                  <c:v>0.63800479919641373</c:v>
                </c:pt>
                <c:pt idx="63">
                  <c:v>0.564691001084207</c:v>
                </c:pt>
                <c:pt idx="64">
                  <c:v>0.62510592049515545</c:v>
                </c:pt>
                <c:pt idx="65">
                  <c:v>0.56160166108794085</c:v>
                </c:pt>
                <c:pt idx="66">
                  <c:v>0.56434581386482741</c:v>
                </c:pt>
                <c:pt idx="67">
                  <c:v>0.5011638835940726</c:v>
                </c:pt>
                <c:pt idx="68">
                  <c:v>0.53267218889171919</c:v>
                </c:pt>
                <c:pt idx="69">
                  <c:v>0.54700296787557567</c:v>
                </c:pt>
                <c:pt idx="70">
                  <c:v>0.55835226333150589</c:v>
                </c:pt>
                <c:pt idx="71">
                  <c:v>0.43271655057476188</c:v>
                </c:pt>
                <c:pt idx="72">
                  <c:v>0.3755736934319045</c:v>
                </c:pt>
                <c:pt idx="73">
                  <c:v>0.39088052777705262</c:v>
                </c:pt>
                <c:pt idx="74">
                  <c:v>0.38807772248622241</c:v>
                </c:pt>
                <c:pt idx="75">
                  <c:v>0.41926246986431326</c:v>
                </c:pt>
                <c:pt idx="76">
                  <c:v>0.48512829779544631</c:v>
                </c:pt>
                <c:pt idx="77">
                  <c:v>0.44387423202023868</c:v>
                </c:pt>
                <c:pt idx="78">
                  <c:v>0.42619262739428998</c:v>
                </c:pt>
                <c:pt idx="79">
                  <c:v>0.40998373689916878</c:v>
                </c:pt>
                <c:pt idx="80">
                  <c:v>0.31781488541236613</c:v>
                </c:pt>
                <c:pt idx="81">
                  <c:v>0.25512377611112091</c:v>
                </c:pt>
                <c:pt idx="82">
                  <c:v>0.26241788533481292</c:v>
                </c:pt>
                <c:pt idx="83">
                  <c:v>0.23469132045751517</c:v>
                </c:pt>
                <c:pt idx="84">
                  <c:v>0.22009415218286277</c:v>
                </c:pt>
                <c:pt idx="85">
                  <c:v>0.21425886480390921</c:v>
                </c:pt>
                <c:pt idx="86">
                  <c:v>6.4546154259222721E-2</c:v>
                </c:pt>
                <c:pt idx="87">
                  <c:v>0.11198023878139152</c:v>
                </c:pt>
                <c:pt idx="88">
                  <c:v>0.13054752439465123</c:v>
                </c:pt>
                <c:pt idx="89">
                  <c:v>8.0562868192459058E-2</c:v>
                </c:pt>
                <c:pt idx="90">
                  <c:v>3.51149489354039E-2</c:v>
                </c:pt>
                <c:pt idx="91">
                  <c:v>5.2788186971024942E-2</c:v>
                </c:pt>
                <c:pt idx="92">
                  <c:v>3.51149489354039E-2</c:v>
                </c:pt>
                <c:pt idx="93">
                  <c:v>4.4881283163243246E-2</c:v>
                </c:pt>
                <c:pt idx="94">
                  <c:v>3.4254655399914347E-2</c:v>
                </c:pt>
                <c:pt idx="95">
                  <c:v>-6.0851575822101767E-3</c:v>
                </c:pt>
                <c:pt idx="96">
                  <c:v>6.6564526041532623E-3</c:v>
                </c:pt>
                <c:pt idx="97">
                  <c:v>7.3488427930747946E-3</c:v>
                </c:pt>
                <c:pt idx="98">
                  <c:v>3.7238048248461553E-2</c:v>
                </c:pt>
                <c:pt idx="99">
                  <c:v>3.51149489354039E-2</c:v>
                </c:pt>
                <c:pt idx="100">
                  <c:v>-4.9555123445878202E-2</c:v>
                </c:pt>
                <c:pt idx="101">
                  <c:v>-9.7093638407617977E-2</c:v>
                </c:pt>
                <c:pt idx="102">
                  <c:v>-7.5188467133976977E-2</c:v>
                </c:pt>
                <c:pt idx="103">
                  <c:v>-7.5574299014284918E-2</c:v>
                </c:pt>
                <c:pt idx="104">
                  <c:v>-8.0284603706854862E-2</c:v>
                </c:pt>
                <c:pt idx="105">
                  <c:v>-8.2745274677610281E-2</c:v>
                </c:pt>
                <c:pt idx="106">
                  <c:v>-0.1109887726673674</c:v>
                </c:pt>
                <c:pt idx="107">
                  <c:v>-0.13063243414577186</c:v>
                </c:pt>
                <c:pt idx="108">
                  <c:v>-0.1082858283704452</c:v>
                </c:pt>
                <c:pt idx="109">
                  <c:v>-0.15488606614645151</c:v>
                </c:pt>
                <c:pt idx="110">
                  <c:v>-0.17966783672988373</c:v>
                </c:pt>
                <c:pt idx="111">
                  <c:v>-0.17064407419158445</c:v>
                </c:pt>
                <c:pt idx="112">
                  <c:v>-0.15928209437732066</c:v>
                </c:pt>
                <c:pt idx="113">
                  <c:v>-0.15456175078797352</c:v>
                </c:pt>
                <c:pt idx="114">
                  <c:v>-0.13781867137724335</c:v>
                </c:pt>
                <c:pt idx="115">
                  <c:v>-0.16559335259867769</c:v>
                </c:pt>
                <c:pt idx="116">
                  <c:v>-0.16685388922712818</c:v>
                </c:pt>
                <c:pt idx="117">
                  <c:v>-0.20646207789228765</c:v>
                </c:pt>
                <c:pt idx="118">
                  <c:v>-0.18462587439076739</c:v>
                </c:pt>
                <c:pt idx="119">
                  <c:v>-0.17729342875731946</c:v>
                </c:pt>
                <c:pt idx="120">
                  <c:v>-0.18599175030043191</c:v>
                </c:pt>
                <c:pt idx="121">
                  <c:v>-0.1800155899834357</c:v>
                </c:pt>
                <c:pt idx="122">
                  <c:v>-0.18246865090224229</c:v>
                </c:pt>
                <c:pt idx="123">
                  <c:v>-0.21659379587668348</c:v>
                </c:pt>
                <c:pt idx="124">
                  <c:v>-0.20646207789228765</c:v>
                </c:pt>
                <c:pt idx="125">
                  <c:v>-0.20498044202630261</c:v>
                </c:pt>
                <c:pt idx="126">
                  <c:v>-0.18349094035180524</c:v>
                </c:pt>
                <c:pt idx="127">
                  <c:v>-0.18720924617291501</c:v>
                </c:pt>
                <c:pt idx="128">
                  <c:v>-0.21659379587668348</c:v>
                </c:pt>
                <c:pt idx="129">
                  <c:v>-0.24360591810987497</c:v>
                </c:pt>
                <c:pt idx="130">
                  <c:v>-0.25936460603280187</c:v>
                </c:pt>
                <c:pt idx="131">
                  <c:v>-0.23684673318805671</c:v>
                </c:pt>
                <c:pt idx="132">
                  <c:v>-0.22446763772603895</c:v>
                </c:pt>
                <c:pt idx="133">
                  <c:v>-0.21433650648010094</c:v>
                </c:pt>
                <c:pt idx="134">
                  <c:v>-0.19632985434109418</c:v>
                </c:pt>
                <c:pt idx="135">
                  <c:v>-0.24955834356379314</c:v>
                </c:pt>
                <c:pt idx="136">
                  <c:v>-0.28340228856834027</c:v>
                </c:pt>
                <c:pt idx="137">
                  <c:v>-0.28010734652801073</c:v>
                </c:pt>
                <c:pt idx="138">
                  <c:v>-0.25267434492526741</c:v>
                </c:pt>
                <c:pt idx="139">
                  <c:v>-0.23597110150557787</c:v>
                </c:pt>
                <c:pt idx="140">
                  <c:v>-0.23021291235044528</c:v>
                </c:pt>
                <c:pt idx="141">
                  <c:v>-0.25028547068406393</c:v>
                </c:pt>
                <c:pt idx="142">
                  <c:v>-0.28328887298859062</c:v>
                </c:pt>
                <c:pt idx="143">
                  <c:v>-0.2826477504915379</c:v>
                </c:pt>
                <c:pt idx="144">
                  <c:v>-0.25767377308300243</c:v>
                </c:pt>
                <c:pt idx="145">
                  <c:v>-0.28502915607253243</c:v>
                </c:pt>
                <c:pt idx="146">
                  <c:v>-0.341018654370153</c:v>
                </c:pt>
                <c:pt idx="147">
                  <c:v>-0.35400787431673109</c:v>
                </c:pt>
                <c:pt idx="148">
                  <c:v>-0.42639092817028768</c:v>
                </c:pt>
                <c:pt idx="149">
                  <c:v>-0.39078171091445435</c:v>
                </c:pt>
                <c:pt idx="150">
                  <c:v>-0.37364670971108072</c:v>
                </c:pt>
                <c:pt idx="151">
                  <c:v>-0.36430768218673415</c:v>
                </c:pt>
                <c:pt idx="152">
                  <c:v>-0.35342868710906183</c:v>
                </c:pt>
                <c:pt idx="153">
                  <c:v>-0.34678670704891512</c:v>
                </c:pt>
                <c:pt idx="154">
                  <c:v>-0.36656833824975421</c:v>
                </c:pt>
                <c:pt idx="155">
                  <c:v>-0.34952171309259839</c:v>
                </c:pt>
                <c:pt idx="156">
                  <c:v>-0.34952171309259839</c:v>
                </c:pt>
                <c:pt idx="157">
                  <c:v>-0.33408288601963354</c:v>
                </c:pt>
                <c:pt idx="158">
                  <c:v>-0.33061877289900354</c:v>
                </c:pt>
                <c:pt idx="159">
                  <c:v>-0.31890649531424498</c:v>
                </c:pt>
                <c:pt idx="160">
                  <c:v>-0.32315345017062869</c:v>
                </c:pt>
                <c:pt idx="161">
                  <c:v>-0.317760670232071</c:v>
                </c:pt>
                <c:pt idx="162">
                  <c:v>-0.31194493608652907</c:v>
                </c:pt>
                <c:pt idx="163">
                  <c:v>-0.31415843049292436</c:v>
                </c:pt>
                <c:pt idx="164">
                  <c:v>-0.38860730373349761</c:v>
                </c:pt>
                <c:pt idx="165">
                  <c:v>-0.37835813068428703</c:v>
                </c:pt>
                <c:pt idx="166">
                  <c:v>-0.36242339791132883</c:v>
                </c:pt>
                <c:pt idx="167">
                  <c:v>-0.3290865903692507</c:v>
                </c:pt>
                <c:pt idx="168">
                  <c:v>-0.32837428115381972</c:v>
                </c:pt>
                <c:pt idx="169">
                  <c:v>-0.32499810906890547</c:v>
                </c:pt>
                <c:pt idx="170">
                  <c:v>-0.34734891460555173</c:v>
                </c:pt>
                <c:pt idx="171">
                  <c:v>-0.34212225330790413</c:v>
                </c:pt>
                <c:pt idx="172">
                  <c:v>-0.2874442175327131</c:v>
                </c:pt>
                <c:pt idx="173">
                  <c:v>-0.28247237538310832</c:v>
                </c:pt>
                <c:pt idx="174">
                  <c:v>-0.26501700603826728</c:v>
                </c:pt>
                <c:pt idx="175">
                  <c:v>-0.25969793680046749</c:v>
                </c:pt>
                <c:pt idx="176">
                  <c:v>-0.2487908595995233</c:v>
                </c:pt>
                <c:pt idx="177">
                  <c:v>-0.26536445555581523</c:v>
                </c:pt>
                <c:pt idx="178">
                  <c:v>-0.24406686332350047</c:v>
                </c:pt>
                <c:pt idx="179">
                  <c:v>-0.25784057433046115</c:v>
                </c:pt>
                <c:pt idx="180">
                  <c:v>-0.29226586425740231</c:v>
                </c:pt>
                <c:pt idx="181">
                  <c:v>-0.30929263870784085</c:v>
                </c:pt>
                <c:pt idx="182">
                  <c:v>-0.30352571000274586</c:v>
                </c:pt>
                <c:pt idx="183">
                  <c:v>-0.27652417554426822</c:v>
                </c:pt>
                <c:pt idx="184">
                  <c:v>-0.26147345709533865</c:v>
                </c:pt>
                <c:pt idx="185">
                  <c:v>-0.29403838450052799</c:v>
                </c:pt>
                <c:pt idx="186">
                  <c:v>-0.28656707639828261</c:v>
                </c:pt>
                <c:pt idx="187">
                  <c:v>-0.28886703812957493</c:v>
                </c:pt>
                <c:pt idx="188">
                  <c:v>-0.30904905208310784</c:v>
                </c:pt>
                <c:pt idx="189">
                  <c:v>-0.28886703812957493</c:v>
                </c:pt>
                <c:pt idx="190">
                  <c:v>-0.23529671234488025</c:v>
                </c:pt>
                <c:pt idx="191">
                  <c:v>-0.28295856394701968</c:v>
                </c:pt>
                <c:pt idx="192">
                  <c:v>-0.28878093884338585</c:v>
                </c:pt>
                <c:pt idx="193">
                  <c:v>-0.29530854315740085</c:v>
                </c:pt>
                <c:pt idx="194">
                  <c:v>-0.29976610141174509</c:v>
                </c:pt>
                <c:pt idx="195">
                  <c:v>-0.31578105342767604</c:v>
                </c:pt>
                <c:pt idx="196">
                  <c:v>-0.31156510578893259</c:v>
                </c:pt>
                <c:pt idx="197">
                  <c:v>-0.30253903921802361</c:v>
                </c:pt>
                <c:pt idx="198">
                  <c:v>-0.31264271606569904</c:v>
                </c:pt>
                <c:pt idx="199">
                  <c:v>-0.30253903921802361</c:v>
                </c:pt>
                <c:pt idx="200">
                  <c:v>-0.27132444168734493</c:v>
                </c:pt>
                <c:pt idx="201">
                  <c:v>-0.29777524683140055</c:v>
                </c:pt>
                <c:pt idx="202">
                  <c:v>-0.30668122871064818</c:v>
                </c:pt>
                <c:pt idx="203">
                  <c:v>-0.27866500023144936</c:v>
                </c:pt>
                <c:pt idx="204">
                  <c:v>-0.26863552901603183</c:v>
                </c:pt>
                <c:pt idx="205">
                  <c:v>-0.27046397876838102</c:v>
                </c:pt>
                <c:pt idx="206">
                  <c:v>-0.27246787973651598</c:v>
                </c:pt>
                <c:pt idx="207">
                  <c:v>-0.38822241793571666</c:v>
                </c:pt>
                <c:pt idx="208">
                  <c:v>-0.37484888259472904</c:v>
                </c:pt>
                <c:pt idx="209">
                  <c:v>-0.39051021435040756</c:v>
                </c:pt>
                <c:pt idx="210">
                  <c:v>-0.41408829954783311</c:v>
                </c:pt>
                <c:pt idx="211">
                  <c:v>-0.37184372300970381</c:v>
                </c:pt>
                <c:pt idx="212">
                  <c:v>-0.36386729665193307</c:v>
                </c:pt>
                <c:pt idx="213">
                  <c:v>-0.36865145895781459</c:v>
                </c:pt>
                <c:pt idx="214">
                  <c:v>-0.34633101322630355</c:v>
                </c:pt>
                <c:pt idx="215">
                  <c:v>-0.32261581295494945</c:v>
                </c:pt>
                <c:pt idx="216">
                  <c:v>-0.27713315833126684</c:v>
                </c:pt>
                <c:pt idx="217">
                  <c:v>-0.28840283537549916</c:v>
                </c:pt>
                <c:pt idx="218">
                  <c:v>-0.30647428406916277</c:v>
                </c:pt>
                <c:pt idx="219">
                  <c:v>-0.29162640764080683</c:v>
                </c:pt>
                <c:pt idx="220">
                  <c:v>-0.3270429496113757</c:v>
                </c:pt>
                <c:pt idx="221">
                  <c:v>-0.30647428406916277</c:v>
                </c:pt>
                <c:pt idx="222">
                  <c:v>-0.29403767389761526</c:v>
                </c:pt>
                <c:pt idx="223">
                  <c:v>-0.33338226658837344</c:v>
                </c:pt>
                <c:pt idx="224">
                  <c:v>-0.29850632525529641</c:v>
                </c:pt>
                <c:pt idx="225">
                  <c:v>-0.24588900743450348</c:v>
                </c:pt>
                <c:pt idx="226">
                  <c:v>-0.26494505403227819</c:v>
                </c:pt>
                <c:pt idx="227">
                  <c:v>-0.30740531373657431</c:v>
                </c:pt>
                <c:pt idx="228">
                  <c:v>-0.31448036400437729</c:v>
                </c:pt>
                <c:pt idx="229">
                  <c:v>-0.35863152784748686</c:v>
                </c:pt>
                <c:pt idx="230">
                  <c:v>-0.37695274089148445</c:v>
                </c:pt>
                <c:pt idx="231">
                  <c:v>-0.42840729931904331</c:v>
                </c:pt>
                <c:pt idx="232">
                  <c:v>-0.44039695845822957</c:v>
                </c:pt>
                <c:pt idx="233">
                  <c:v>-0.40472476602596363</c:v>
                </c:pt>
                <c:pt idx="234">
                  <c:v>-0.40472476602596363</c:v>
                </c:pt>
                <c:pt idx="235">
                  <c:v>-0.38611391868540312</c:v>
                </c:pt>
                <c:pt idx="236">
                  <c:v>-0.34007694564898439</c:v>
                </c:pt>
                <c:pt idx="237">
                  <c:v>-0.36947596205270827</c:v>
                </c:pt>
                <c:pt idx="238">
                  <c:v>-0.40792305784264304</c:v>
                </c:pt>
                <c:pt idx="239">
                  <c:v>-0.43599002314890289</c:v>
                </c:pt>
                <c:pt idx="240">
                  <c:v>-0.39940240652507464</c:v>
                </c:pt>
                <c:pt idx="241">
                  <c:v>-0.34851325356199669</c:v>
                </c:pt>
                <c:pt idx="242">
                  <c:v>-0.28684037843360377</c:v>
                </c:pt>
                <c:pt idx="243">
                  <c:v>-0.2263006943745598</c:v>
                </c:pt>
                <c:pt idx="244">
                  <c:v>-0.19581200482540517</c:v>
                </c:pt>
                <c:pt idx="245">
                  <c:v>-0.21422516383554491</c:v>
                </c:pt>
                <c:pt idx="246">
                  <c:v>-0.17893501633313236</c:v>
                </c:pt>
                <c:pt idx="247">
                  <c:v>-9.2986860552313311E-2</c:v>
                </c:pt>
                <c:pt idx="248">
                  <c:v>-8.5973818672502977E-2</c:v>
                </c:pt>
                <c:pt idx="249">
                  <c:v>-7.7273218097698271E-2</c:v>
                </c:pt>
                <c:pt idx="250">
                  <c:v>-3.6815269531381034E-2</c:v>
                </c:pt>
                <c:pt idx="251">
                  <c:v>-1.153279479754088E-2</c:v>
                </c:pt>
                <c:pt idx="252">
                  <c:v>1.054979705477832E-2</c:v>
                </c:pt>
                <c:pt idx="253">
                  <c:v>-2.1154158579234084E-2</c:v>
                </c:pt>
                <c:pt idx="254">
                  <c:v>-3.5445138783044561E-2</c:v>
                </c:pt>
                <c:pt idx="255">
                  <c:v>-8.6462090805940695E-2</c:v>
                </c:pt>
                <c:pt idx="256">
                  <c:v>-2.7347287913857321E-2</c:v>
                </c:pt>
                <c:pt idx="257">
                  <c:v>3.5326560955553088E-2</c:v>
                </c:pt>
                <c:pt idx="258">
                  <c:v>8.3496507084163341E-2</c:v>
                </c:pt>
                <c:pt idx="259">
                  <c:v>8.1214811232772632E-2</c:v>
                </c:pt>
                <c:pt idx="260">
                  <c:v>0.14817014261276529</c:v>
                </c:pt>
                <c:pt idx="261">
                  <c:v>0.14817014261276529</c:v>
                </c:pt>
                <c:pt idx="262">
                  <c:v>7.3070207315884206E-2</c:v>
                </c:pt>
                <c:pt idx="263">
                  <c:v>9.9340406703584572E-2</c:v>
                </c:pt>
                <c:pt idx="264">
                  <c:v>1.8744335872656892E-2</c:v>
                </c:pt>
                <c:pt idx="265">
                  <c:v>6.3196334080817262E-3</c:v>
                </c:pt>
                <c:pt idx="266">
                  <c:v>-7.3836976050515535E-2</c:v>
                </c:pt>
                <c:pt idx="267">
                  <c:v>-8.3527838459685477E-2</c:v>
                </c:pt>
                <c:pt idx="268">
                  <c:v>-3.6815269531381034E-2</c:v>
                </c:pt>
                <c:pt idx="269">
                  <c:v>-7.1621014818140982E-2</c:v>
                </c:pt>
                <c:pt idx="270">
                  <c:v>-3.6340107956700507E-4</c:v>
                </c:pt>
                <c:pt idx="271">
                  <c:v>3.6801737479799312E-2</c:v>
                </c:pt>
                <c:pt idx="272">
                  <c:v>0.14281325163714254</c:v>
                </c:pt>
                <c:pt idx="273">
                  <c:v>0.11089016056061607</c:v>
                </c:pt>
                <c:pt idx="274">
                  <c:v>9.0526537694390896E-2</c:v>
                </c:pt>
                <c:pt idx="275">
                  <c:v>8.0767504140931035E-2</c:v>
                </c:pt>
                <c:pt idx="276">
                  <c:v>7.4094888144385473E-2</c:v>
                </c:pt>
                <c:pt idx="277">
                  <c:v>6.725683660462134E-2</c:v>
                </c:pt>
                <c:pt idx="278">
                  <c:v>9.3464827322074395E-2</c:v>
                </c:pt>
                <c:pt idx="279">
                  <c:v>6.03943188455347E-2</c:v>
                </c:pt>
                <c:pt idx="280">
                  <c:v>5.0701556179161056E-2</c:v>
                </c:pt>
                <c:pt idx="281">
                  <c:v>6.7242009195370489E-2</c:v>
                </c:pt>
                <c:pt idx="282">
                  <c:v>7.3044262924329528E-2</c:v>
                </c:pt>
                <c:pt idx="283">
                  <c:v>5.1544831036162364E-2</c:v>
                </c:pt>
                <c:pt idx="284">
                  <c:v>2.8564365774802924E-2</c:v>
                </c:pt>
                <c:pt idx="285">
                  <c:v>2.9580491330412295E-2</c:v>
                </c:pt>
                <c:pt idx="286">
                  <c:v>-8.6060228920203929E-4</c:v>
                </c:pt>
                <c:pt idx="287">
                  <c:v>-4.0530681726065332E-3</c:v>
                </c:pt>
                <c:pt idx="288">
                  <c:v>1.2102579797037549E-3</c:v>
                </c:pt>
                <c:pt idx="289">
                  <c:v>-1.4635791221119132E-2</c:v>
                </c:pt>
                <c:pt idx="290">
                  <c:v>-3.9764311724262869E-2</c:v>
                </c:pt>
                <c:pt idx="291">
                  <c:v>-4.7732696897374693E-2</c:v>
                </c:pt>
                <c:pt idx="292">
                  <c:v>-3.7110664940691596E-2</c:v>
                </c:pt>
                <c:pt idx="293">
                  <c:v>-3.3100328947368474E-2</c:v>
                </c:pt>
                <c:pt idx="294">
                  <c:v>2.1602333161777398E-2</c:v>
                </c:pt>
                <c:pt idx="295">
                  <c:v>1.714647306574868E-2</c:v>
                </c:pt>
                <c:pt idx="296">
                  <c:v>1.1725191661786871E-2</c:v>
                </c:pt>
                <c:pt idx="297">
                  <c:v>3.2480691955736107E-2</c:v>
                </c:pt>
                <c:pt idx="298">
                  <c:v>5.0685659615180123E-2</c:v>
                </c:pt>
                <c:pt idx="299">
                  <c:v>7.0322738277692531E-2</c:v>
                </c:pt>
                <c:pt idx="300">
                  <c:v>7.2605534341162459E-2</c:v>
                </c:pt>
                <c:pt idx="301">
                  <c:v>9.7153617946629467E-2</c:v>
                </c:pt>
                <c:pt idx="302">
                  <c:v>6.9928383513592651E-2</c:v>
                </c:pt>
                <c:pt idx="303">
                  <c:v>3.8291232961809918E-2</c:v>
                </c:pt>
                <c:pt idx="304">
                  <c:v>-4.1758290575508727E-3</c:v>
                </c:pt>
                <c:pt idx="305">
                  <c:v>1.1035215780671237E-2</c:v>
                </c:pt>
                <c:pt idx="306">
                  <c:v>-2.5997567920723164E-2</c:v>
                </c:pt>
                <c:pt idx="307">
                  <c:v>-5.1410172683504785E-3</c:v>
                </c:pt>
                <c:pt idx="308">
                  <c:v>-1.4588879029872714E-2</c:v>
                </c:pt>
                <c:pt idx="309">
                  <c:v>-9.8204566014014061E-3</c:v>
                </c:pt>
                <c:pt idx="310">
                  <c:v>-2.8638214213849711E-4</c:v>
                </c:pt>
                <c:pt idx="311">
                  <c:v>-1.4453691444423433E-2</c:v>
                </c:pt>
                <c:pt idx="312">
                  <c:v>1.0752775105302703E-3</c:v>
                </c:pt>
                <c:pt idx="313">
                  <c:v>6.081070268366684E-4</c:v>
                </c:pt>
                <c:pt idx="314">
                  <c:v>-3.7182544127766559E-2</c:v>
                </c:pt>
                <c:pt idx="315">
                  <c:v>-5.9690505528973148E-3</c:v>
                </c:pt>
                <c:pt idx="316">
                  <c:v>-7.6093392437068808E-3</c:v>
                </c:pt>
                <c:pt idx="317">
                  <c:v>6.2241668819427165E-3</c:v>
                </c:pt>
                <c:pt idx="318">
                  <c:v>-4.7472285557040639E-2</c:v>
                </c:pt>
                <c:pt idx="319">
                  <c:v>-6.543256876368142E-3</c:v>
                </c:pt>
                <c:pt idx="320">
                  <c:v>2.8728307482666082E-2</c:v>
                </c:pt>
                <c:pt idx="321">
                  <c:v>-4.0066107897532732E-2</c:v>
                </c:pt>
                <c:pt idx="322">
                  <c:v>-5.5235589096867099E-2</c:v>
                </c:pt>
                <c:pt idx="323">
                  <c:v>-4.5793271261765245E-2</c:v>
                </c:pt>
                <c:pt idx="324">
                  <c:v>-8.9038549289347735E-2</c:v>
                </c:pt>
                <c:pt idx="325">
                  <c:v>-6.2281931996989837E-2</c:v>
                </c:pt>
                <c:pt idx="326">
                  <c:v>-3.97488823035681E-2</c:v>
                </c:pt>
                <c:pt idx="327">
                  <c:v>-5.1059875426964108E-2</c:v>
                </c:pt>
                <c:pt idx="328">
                  <c:v>-6.9935855880446152E-2</c:v>
                </c:pt>
                <c:pt idx="329">
                  <c:v>7.8791010074916734E-3</c:v>
                </c:pt>
                <c:pt idx="330">
                  <c:v>-9.799362783087906E-3</c:v>
                </c:pt>
                <c:pt idx="331">
                  <c:v>-4.1339198775907637E-2</c:v>
                </c:pt>
                <c:pt idx="332">
                  <c:v>1.7868955267476005E-2</c:v>
                </c:pt>
                <c:pt idx="333">
                  <c:v>2.0496172498096099E-2</c:v>
                </c:pt>
                <c:pt idx="334">
                  <c:v>2.4755782243424118E-2</c:v>
                </c:pt>
                <c:pt idx="335">
                  <c:v>-9.794898272236896E-3</c:v>
                </c:pt>
                <c:pt idx="336">
                  <c:v>9.0383621803151737E-2</c:v>
                </c:pt>
                <c:pt idx="337">
                  <c:v>0.12448590952007543</c:v>
                </c:pt>
                <c:pt idx="338">
                  <c:v>0.15422022384047707</c:v>
                </c:pt>
                <c:pt idx="339">
                  <c:v>0.17475621503777194</c:v>
                </c:pt>
                <c:pt idx="340">
                  <c:v>0.17095431437442432</c:v>
                </c:pt>
                <c:pt idx="341">
                  <c:v>0.10744993005561443</c:v>
                </c:pt>
                <c:pt idx="342">
                  <c:v>0.15802876719146597</c:v>
                </c:pt>
                <c:pt idx="343">
                  <c:v>0.15553456866512505</c:v>
                </c:pt>
                <c:pt idx="344">
                  <c:v>0.1552040727868802</c:v>
                </c:pt>
                <c:pt idx="345">
                  <c:v>0.25548651451407545</c:v>
                </c:pt>
                <c:pt idx="346">
                  <c:v>0.24021355377594067</c:v>
                </c:pt>
                <c:pt idx="347">
                  <c:v>0.18428830042520961</c:v>
                </c:pt>
                <c:pt idx="348">
                  <c:v>0.19172129396881732</c:v>
                </c:pt>
                <c:pt idx="349">
                  <c:v>0.19185308643863053</c:v>
                </c:pt>
                <c:pt idx="350">
                  <c:v>0.15144017121364017</c:v>
                </c:pt>
                <c:pt idx="351">
                  <c:v>0.12805320098148565</c:v>
                </c:pt>
                <c:pt idx="352">
                  <c:v>5.4253569038590355E-2</c:v>
                </c:pt>
                <c:pt idx="353">
                  <c:v>7.2951843128352234E-2</c:v>
                </c:pt>
                <c:pt idx="354">
                  <c:v>7.7387115329306866E-2</c:v>
                </c:pt>
                <c:pt idx="355">
                  <c:v>0.12012062814901991</c:v>
                </c:pt>
                <c:pt idx="356">
                  <c:v>0.14458117510037694</c:v>
                </c:pt>
                <c:pt idx="357">
                  <c:v>0.14101817513102644</c:v>
                </c:pt>
                <c:pt idx="358">
                  <c:v>0.10403807929699771</c:v>
                </c:pt>
                <c:pt idx="359">
                  <c:v>9.4988586843743672E-2</c:v>
                </c:pt>
                <c:pt idx="360">
                  <c:v>5.1018290694571977E-2</c:v>
                </c:pt>
                <c:pt idx="361">
                  <c:v>5.8945097026152249E-2</c:v>
                </c:pt>
                <c:pt idx="362">
                  <c:v>-3.4343224735422284E-2</c:v>
                </c:pt>
                <c:pt idx="363">
                  <c:v>-8.2154523712302363E-2</c:v>
                </c:pt>
                <c:pt idx="364">
                  <c:v>-8.3846176281864193E-2</c:v>
                </c:pt>
                <c:pt idx="365">
                  <c:v>-0.10757340911047963</c:v>
                </c:pt>
                <c:pt idx="366">
                  <c:v>-0.13746000834608429</c:v>
                </c:pt>
                <c:pt idx="367">
                  <c:v>-0.18703477858614748</c:v>
                </c:pt>
                <c:pt idx="368">
                  <c:v>-0.24003672708412183</c:v>
                </c:pt>
                <c:pt idx="369">
                  <c:v>-0.13608336050751491</c:v>
                </c:pt>
                <c:pt idx="370">
                  <c:v>-0.16700351026486548</c:v>
                </c:pt>
                <c:pt idx="371">
                  <c:v>-0.12231748472252979</c:v>
                </c:pt>
                <c:pt idx="372">
                  <c:v>-0.10675145358375671</c:v>
                </c:pt>
                <c:pt idx="373">
                  <c:v>-0.12788554205178293</c:v>
                </c:pt>
                <c:pt idx="374">
                  <c:v>-6.2416320088999888E-2</c:v>
                </c:pt>
                <c:pt idx="375">
                  <c:v>7.5611065475691408E-3</c:v>
                </c:pt>
                <c:pt idx="376">
                  <c:v>2.7877133635605178E-2</c:v>
                </c:pt>
                <c:pt idx="377">
                  <c:v>4.5259749074056055E-2</c:v>
                </c:pt>
                <c:pt idx="378">
                  <c:v>-1.2574187707474094E-2</c:v>
                </c:pt>
                <c:pt idx="379">
                  <c:v>1.8623289386652253E-3</c:v>
                </c:pt>
                <c:pt idx="380">
                  <c:v>-3.5656215926698098E-2</c:v>
                </c:pt>
                <c:pt idx="381">
                  <c:v>-2.0818588161779172E-2</c:v>
                </c:pt>
                <c:pt idx="382">
                  <c:v>-1.0542908859879518E-2</c:v>
                </c:pt>
                <c:pt idx="383">
                  <c:v>1.7299510315485156E-2</c:v>
                </c:pt>
                <c:pt idx="384">
                  <c:v>-5.6496246369663994E-2</c:v>
                </c:pt>
                <c:pt idx="385">
                  <c:v>1.9608604488623227E-2</c:v>
                </c:pt>
                <c:pt idx="386">
                  <c:v>9.6722702207931999E-3</c:v>
                </c:pt>
                <c:pt idx="387">
                  <c:v>-5.5907172995780519E-2</c:v>
                </c:pt>
                <c:pt idx="388">
                  <c:v>-6.0455874801866427E-2</c:v>
                </c:pt>
                <c:pt idx="389">
                  <c:v>-0.1052564016699038</c:v>
                </c:pt>
                <c:pt idx="390">
                  <c:v>-0.1061069806462811</c:v>
                </c:pt>
                <c:pt idx="391">
                  <c:v>-0.13393466232092777</c:v>
                </c:pt>
                <c:pt idx="392">
                  <c:v>-0.15107435379214984</c:v>
                </c:pt>
                <c:pt idx="393">
                  <c:v>-7.8787162996446169E-2</c:v>
                </c:pt>
                <c:pt idx="394">
                  <c:v>-9.2910328688437405E-2</c:v>
                </c:pt>
                <c:pt idx="395">
                  <c:v>-5.9724121201429115E-2</c:v>
                </c:pt>
                <c:pt idx="396">
                  <c:v>-3.6975054193388979E-2</c:v>
                </c:pt>
                <c:pt idx="397">
                  <c:v>-7.2259723922590502E-2</c:v>
                </c:pt>
                <c:pt idx="398">
                  <c:v>0.10262396903446502</c:v>
                </c:pt>
                <c:pt idx="399">
                  <c:v>0.10549270581676251</c:v>
                </c:pt>
                <c:pt idx="400">
                  <c:v>0.19184928873510199</c:v>
                </c:pt>
                <c:pt idx="401">
                  <c:v>0.11836794728481492</c:v>
                </c:pt>
                <c:pt idx="402">
                  <c:v>3.2312767143653609E-2</c:v>
                </c:pt>
                <c:pt idx="403">
                  <c:v>3.1961468544140059E-2</c:v>
                </c:pt>
                <c:pt idx="404">
                  <c:v>-1.6256527648615848E-2</c:v>
                </c:pt>
                <c:pt idx="405">
                  <c:v>-8.7853122205272527E-3</c:v>
                </c:pt>
                <c:pt idx="406">
                  <c:v>-2.120714913565791E-2</c:v>
                </c:pt>
                <c:pt idx="407">
                  <c:v>-7.6454319876346766E-3</c:v>
                </c:pt>
                <c:pt idx="408">
                  <c:v>-7.0869549750388283E-2</c:v>
                </c:pt>
                <c:pt idx="409">
                  <c:v>-6.5445058622313756E-2</c:v>
                </c:pt>
                <c:pt idx="410">
                  <c:v>-6.6814588146369203E-2</c:v>
                </c:pt>
                <c:pt idx="411">
                  <c:v>-2.9747894048596568E-2</c:v>
                </c:pt>
                <c:pt idx="412">
                  <c:v>-1.8331660736550903E-2</c:v>
                </c:pt>
                <c:pt idx="413">
                  <c:v>-5.7014092567422514E-2</c:v>
                </c:pt>
                <c:pt idx="414">
                  <c:v>-1.2167715821755354E-2</c:v>
                </c:pt>
                <c:pt idx="415">
                  <c:v>-2.7296779490922463E-2</c:v>
                </c:pt>
                <c:pt idx="416">
                  <c:v>-5.5658799479650689E-2</c:v>
                </c:pt>
                <c:pt idx="417">
                  <c:v>-6.0850672778017145E-2</c:v>
                </c:pt>
                <c:pt idx="418">
                  <c:v>-5.37305439711947E-2</c:v>
                </c:pt>
                <c:pt idx="419">
                  <c:v>-4.2178164346877045E-2</c:v>
                </c:pt>
                <c:pt idx="420">
                  <c:v>-7.3098691391086046E-2</c:v>
                </c:pt>
                <c:pt idx="421">
                  <c:v>-6.8364719137292695E-2</c:v>
                </c:pt>
                <c:pt idx="422">
                  <c:v>-7.2398716504188609E-2</c:v>
                </c:pt>
                <c:pt idx="423">
                  <c:v>-0.12332845004394966</c:v>
                </c:pt>
                <c:pt idx="424">
                  <c:v>-6.49866299327444E-2</c:v>
                </c:pt>
                <c:pt idx="425">
                  <c:v>-6.5669808713807676E-2</c:v>
                </c:pt>
                <c:pt idx="426">
                  <c:v>-6.844822646616E-2</c:v>
                </c:pt>
                <c:pt idx="427">
                  <c:v>-6.8961282200865948E-2</c:v>
                </c:pt>
                <c:pt idx="428">
                  <c:v>-6.2360490222911569E-2</c:v>
                </c:pt>
                <c:pt idx="429">
                  <c:v>-5.292256676277507E-2</c:v>
                </c:pt>
                <c:pt idx="430">
                  <c:v>-7.5694969713260618E-2</c:v>
                </c:pt>
                <c:pt idx="431">
                  <c:v>-9.7021505903100991E-2</c:v>
                </c:pt>
                <c:pt idx="432">
                  <c:v>-0.11943557461302201</c:v>
                </c:pt>
                <c:pt idx="433">
                  <c:v>-0.10312319435574613</c:v>
                </c:pt>
                <c:pt idx="434">
                  <c:v>-0.14902460940896844</c:v>
                </c:pt>
                <c:pt idx="435">
                  <c:v>-0.13051042390346146</c:v>
                </c:pt>
                <c:pt idx="436">
                  <c:v>-0.14199242918360766</c:v>
                </c:pt>
                <c:pt idx="437">
                  <c:v>-0.1580897592101792</c:v>
                </c:pt>
                <c:pt idx="438">
                  <c:v>-0.19922038063768865</c:v>
                </c:pt>
                <c:pt idx="439">
                  <c:v>-0.30082626478904173</c:v>
                </c:pt>
                <c:pt idx="440">
                  <c:v>-0.33854907539118062</c:v>
                </c:pt>
                <c:pt idx="441">
                  <c:v>-0.28938477951635844</c:v>
                </c:pt>
                <c:pt idx="442">
                  <c:v>-0.25936007589396393</c:v>
                </c:pt>
                <c:pt idx="443">
                  <c:v>-0.20475441958614149</c:v>
                </c:pt>
                <c:pt idx="444">
                  <c:v>-0.19011909535213867</c:v>
                </c:pt>
                <c:pt idx="445">
                  <c:v>-0.16223555482338436</c:v>
                </c:pt>
                <c:pt idx="446">
                  <c:v>-0.1293463510452364</c:v>
                </c:pt>
                <c:pt idx="447">
                  <c:v>-0.14470404902696388</c:v>
                </c:pt>
                <c:pt idx="448">
                  <c:v>-0.13088789228057196</c:v>
                </c:pt>
                <c:pt idx="449">
                  <c:v>-0.14442785250057111</c:v>
                </c:pt>
                <c:pt idx="450">
                  <c:v>-0.14048829790594108</c:v>
                </c:pt>
                <c:pt idx="451">
                  <c:v>-9.7952240477164665E-2</c:v>
                </c:pt>
                <c:pt idx="452">
                  <c:v>-0.10513226194475456</c:v>
                </c:pt>
                <c:pt idx="453">
                  <c:v>-0.10951922923630408</c:v>
                </c:pt>
                <c:pt idx="454">
                  <c:v>-0.12136661796250825</c:v>
                </c:pt>
                <c:pt idx="455">
                  <c:v>-0.13942342566398269</c:v>
                </c:pt>
                <c:pt idx="456">
                  <c:v>0.36344450050727839</c:v>
                </c:pt>
                <c:pt idx="457">
                  <c:v>0.27575036394079566</c:v>
                </c:pt>
                <c:pt idx="458">
                  <c:v>0.31934552843473751</c:v>
                </c:pt>
                <c:pt idx="459">
                  <c:v>0.31497336377473362</c:v>
                </c:pt>
                <c:pt idx="460">
                  <c:v>0.22752215703407819</c:v>
                </c:pt>
                <c:pt idx="461">
                  <c:v>0.18991848543244538</c:v>
                </c:pt>
                <c:pt idx="462">
                  <c:v>0.20925695432274383</c:v>
                </c:pt>
                <c:pt idx="463">
                  <c:v>0.23797865096531279</c:v>
                </c:pt>
                <c:pt idx="464">
                  <c:v>0.26808377079969015</c:v>
                </c:pt>
                <c:pt idx="465">
                  <c:v>0.2550131598549934</c:v>
                </c:pt>
                <c:pt idx="466">
                  <c:v>0.20989766081871353</c:v>
                </c:pt>
                <c:pt idx="467">
                  <c:v>0.20273545706371188</c:v>
                </c:pt>
                <c:pt idx="468">
                  <c:v>0.2159402265793513</c:v>
                </c:pt>
                <c:pt idx="469">
                  <c:v>0.24837741202075359</c:v>
                </c:pt>
                <c:pt idx="470">
                  <c:v>0.26803793163755096</c:v>
                </c:pt>
                <c:pt idx="471">
                  <c:v>0.29620204660119787</c:v>
                </c:pt>
                <c:pt idx="472">
                  <c:v>0.26054156600613609</c:v>
                </c:pt>
                <c:pt idx="473">
                  <c:v>0.29887364671161487</c:v>
                </c:pt>
                <c:pt idx="474">
                  <c:v>0.21643670908088186</c:v>
                </c:pt>
                <c:pt idx="475">
                  <c:v>0.28642854203530721</c:v>
                </c:pt>
                <c:pt idx="476">
                  <c:v>0.3091200420543978</c:v>
                </c:pt>
                <c:pt idx="477">
                  <c:v>0.32957101481507678</c:v>
                </c:pt>
                <c:pt idx="478">
                  <c:v>0.39174713538473038</c:v>
                </c:pt>
                <c:pt idx="479">
                  <c:v>0.4485234468008894</c:v>
                </c:pt>
                <c:pt idx="480">
                  <c:v>0.47812791935518906</c:v>
                </c:pt>
                <c:pt idx="481">
                  <c:v>0.40314192023183115</c:v>
                </c:pt>
                <c:pt idx="482">
                  <c:v>0.42901526686144598</c:v>
                </c:pt>
                <c:pt idx="483">
                  <c:v>0.54531517054584899</c:v>
                </c:pt>
                <c:pt idx="484">
                  <c:v>0.59813036659257346</c:v>
                </c:pt>
                <c:pt idx="485">
                  <c:v>0.57276514999971417</c:v>
                </c:pt>
                <c:pt idx="486">
                  <c:v>0.46700058112184184</c:v>
                </c:pt>
                <c:pt idx="487">
                  <c:v>0.49319641474986553</c:v>
                </c:pt>
                <c:pt idx="488">
                  <c:v>0.40540720037634559</c:v>
                </c:pt>
                <c:pt idx="489">
                  <c:v>0.40959332151851502</c:v>
                </c:pt>
                <c:pt idx="490">
                  <c:v>0.30024047312223856</c:v>
                </c:pt>
                <c:pt idx="491">
                  <c:v>0.30148538965802585</c:v>
                </c:pt>
                <c:pt idx="492">
                  <c:v>0.33792719301397911</c:v>
                </c:pt>
                <c:pt idx="493">
                  <c:v>0.32998421296649494</c:v>
                </c:pt>
                <c:pt idx="494">
                  <c:v>0.33897393780760887</c:v>
                </c:pt>
                <c:pt idx="495">
                  <c:v>0.36049252875940163</c:v>
                </c:pt>
                <c:pt idx="496">
                  <c:v>0.34519830859716594</c:v>
                </c:pt>
                <c:pt idx="497">
                  <c:v>0.37062467670024879</c:v>
                </c:pt>
                <c:pt idx="498">
                  <c:v>0.37862456353423402</c:v>
                </c:pt>
                <c:pt idx="499">
                  <c:v>0.35690609693410291</c:v>
                </c:pt>
                <c:pt idx="500">
                  <c:v>0.37549262706484088</c:v>
                </c:pt>
                <c:pt idx="501">
                  <c:v>0.45339504437823597</c:v>
                </c:pt>
                <c:pt idx="502">
                  <c:v>0.5721552109686332</c:v>
                </c:pt>
                <c:pt idx="503">
                  <c:v>0.5052930732948222</c:v>
                </c:pt>
                <c:pt idx="504">
                  <c:v>0.51137782109219065</c:v>
                </c:pt>
                <c:pt idx="505">
                  <c:v>0.50732599510042786</c:v>
                </c:pt>
                <c:pt idx="506">
                  <c:v>0.52488168267594082</c:v>
                </c:pt>
                <c:pt idx="507">
                  <c:v>0.52353329906747903</c:v>
                </c:pt>
                <c:pt idx="508">
                  <c:v>0.56910541550016602</c:v>
                </c:pt>
                <c:pt idx="509">
                  <c:v>0.54030273655954053</c:v>
                </c:pt>
                <c:pt idx="510">
                  <c:v>0.55567214879090576</c:v>
                </c:pt>
                <c:pt idx="511">
                  <c:v>0.53525712171661111</c:v>
                </c:pt>
                <c:pt idx="512">
                  <c:v>0.55023038374869682</c:v>
                </c:pt>
                <c:pt idx="513">
                  <c:v>0.55087047538290301</c:v>
                </c:pt>
                <c:pt idx="514">
                  <c:v>0.55087047538290301</c:v>
                </c:pt>
                <c:pt idx="515">
                  <c:v>0.54186171891436996</c:v>
                </c:pt>
                <c:pt idx="516">
                  <c:v>0.54488739811666753</c:v>
                </c:pt>
                <c:pt idx="517">
                  <c:v>0.61711213996651315</c:v>
                </c:pt>
                <c:pt idx="518">
                  <c:v>0.57350359457709499</c:v>
                </c:pt>
                <c:pt idx="519">
                  <c:v>0.59241919752463601</c:v>
                </c:pt>
                <c:pt idx="520">
                  <c:v>0.67044218295991298</c:v>
                </c:pt>
                <c:pt idx="521">
                  <c:v>0.62808684865205633</c:v>
                </c:pt>
                <c:pt idx="522">
                  <c:v>0.55489458545374082</c:v>
                </c:pt>
                <c:pt idx="523">
                  <c:v>0.60438070503761976</c:v>
                </c:pt>
                <c:pt idx="524">
                  <c:v>0.54530099060198123</c:v>
                </c:pt>
                <c:pt idx="525">
                  <c:v>0.60324485648971304</c:v>
                </c:pt>
                <c:pt idx="526">
                  <c:v>0.61129358744223339</c:v>
                </c:pt>
                <c:pt idx="527">
                  <c:v>0.67851180695127278</c:v>
                </c:pt>
                <c:pt idx="528">
                  <c:v>0.66121088373245995</c:v>
                </c:pt>
                <c:pt idx="529">
                  <c:v>0.64093130135615772</c:v>
                </c:pt>
                <c:pt idx="530">
                  <c:v>0.57961880077124883</c:v>
                </c:pt>
                <c:pt idx="531">
                  <c:v>0.60030615533354825</c:v>
                </c:pt>
                <c:pt idx="532">
                  <c:v>0.67139555741772439</c:v>
                </c:pt>
                <c:pt idx="533">
                  <c:v>0.6900907145856523</c:v>
                </c:pt>
                <c:pt idx="534">
                  <c:v>0.60917909485245714</c:v>
                </c:pt>
                <c:pt idx="535">
                  <c:v>0.45610196774087597</c:v>
                </c:pt>
                <c:pt idx="536">
                  <c:v>0.35167971086091687</c:v>
                </c:pt>
                <c:pt idx="537">
                  <c:v>0.38706909570159675</c:v>
                </c:pt>
                <c:pt idx="538">
                  <c:v>0.39974453669508225</c:v>
                </c:pt>
                <c:pt idx="539">
                  <c:v>0.42397545253990021</c:v>
                </c:pt>
                <c:pt idx="540">
                  <c:v>0.30135303080304165</c:v>
                </c:pt>
                <c:pt idx="541">
                  <c:v>0.30282513226598429</c:v>
                </c:pt>
                <c:pt idx="542">
                  <c:v>0.30135303080304165</c:v>
                </c:pt>
                <c:pt idx="543">
                  <c:v>0.31642872363093955</c:v>
                </c:pt>
                <c:pt idx="544">
                  <c:v>0.31706337179387778</c:v>
                </c:pt>
                <c:pt idx="545">
                  <c:v>0.27727791417407244</c:v>
                </c:pt>
                <c:pt idx="546">
                  <c:v>0.30924249576541807</c:v>
                </c:pt>
                <c:pt idx="547">
                  <c:v>0.28425337847290222</c:v>
                </c:pt>
                <c:pt idx="548">
                  <c:v>0.35064906164231147</c:v>
                </c:pt>
                <c:pt idx="549">
                  <c:v>0.3488224205673276</c:v>
                </c:pt>
                <c:pt idx="550">
                  <c:v>0.32698280292253501</c:v>
                </c:pt>
                <c:pt idx="551">
                  <c:v>0.33021516828409059</c:v>
                </c:pt>
                <c:pt idx="552">
                  <c:v>0.2529398446233746</c:v>
                </c:pt>
                <c:pt idx="553">
                  <c:v>0.18650581975845593</c:v>
                </c:pt>
                <c:pt idx="554">
                  <c:v>0.15990019198993877</c:v>
                </c:pt>
                <c:pt idx="555">
                  <c:v>0.19187621666098043</c:v>
                </c:pt>
                <c:pt idx="556">
                  <c:v>0.24261871493670184</c:v>
                </c:pt>
                <c:pt idx="557">
                  <c:v>0.17268712336920111</c:v>
                </c:pt>
                <c:pt idx="558">
                  <c:v>0.12238137451593345</c:v>
                </c:pt>
                <c:pt idx="559">
                  <c:v>0.11832641540760425</c:v>
                </c:pt>
                <c:pt idx="560">
                  <c:v>0.13300202490768798</c:v>
                </c:pt>
                <c:pt idx="561">
                  <c:v>6.0048600709744493E-2</c:v>
                </c:pt>
                <c:pt idx="562">
                  <c:v>0.12748868464165719</c:v>
                </c:pt>
                <c:pt idx="563">
                  <c:v>0.13074620184102304</c:v>
                </c:pt>
                <c:pt idx="564">
                  <c:v>5.8232639394380392E-2</c:v>
                </c:pt>
                <c:pt idx="565">
                  <c:v>-5.7725785542317554E-2</c:v>
                </c:pt>
                <c:pt idx="566">
                  <c:v>-8.8158023328676838E-2</c:v>
                </c:pt>
                <c:pt idx="567">
                  <c:v>0.14214675299477575</c:v>
                </c:pt>
                <c:pt idx="568">
                  <c:v>9.4448297258824088E-2</c:v>
                </c:pt>
                <c:pt idx="569">
                  <c:v>0.13492767114381565</c:v>
                </c:pt>
                <c:pt idx="570">
                  <c:v>0.1595156724524831</c:v>
                </c:pt>
                <c:pt idx="571">
                  <c:v>8.3702711060715362E-2</c:v>
                </c:pt>
                <c:pt idx="572">
                  <c:v>6.3612749394032608E-2</c:v>
                </c:pt>
                <c:pt idx="573">
                  <c:v>0.1936322287199479</c:v>
                </c:pt>
                <c:pt idx="574">
                  <c:v>0.25501752428115587</c:v>
                </c:pt>
                <c:pt idx="575">
                  <c:v>0.21508831023016795</c:v>
                </c:pt>
                <c:pt idx="576">
                  <c:v>0.26984319816731883</c:v>
                </c:pt>
                <c:pt idx="577">
                  <c:v>0.25364160883016984</c:v>
                </c:pt>
                <c:pt idx="578">
                  <c:v>0.28707034699283773</c:v>
                </c:pt>
                <c:pt idx="579">
                  <c:v>0.2469246396749476</c:v>
                </c:pt>
                <c:pt idx="580">
                  <c:v>0.28003398917252142</c:v>
                </c:pt>
                <c:pt idx="581">
                  <c:v>0.22507893549842128</c:v>
                </c:pt>
                <c:pt idx="582">
                  <c:v>0.3038264099374528</c:v>
                </c:pt>
                <c:pt idx="583">
                  <c:v>0.23760418016150608</c:v>
                </c:pt>
                <c:pt idx="584">
                  <c:v>0.21790387355875107</c:v>
                </c:pt>
                <c:pt idx="585">
                  <c:v>0.18271928498227585</c:v>
                </c:pt>
                <c:pt idx="586">
                  <c:v>0.25668082453337493</c:v>
                </c:pt>
                <c:pt idx="587">
                  <c:v>0.20114583797761831</c:v>
                </c:pt>
                <c:pt idx="588">
                  <c:v>0.30350287335765569</c:v>
                </c:pt>
                <c:pt idx="589">
                  <c:v>0.21764422599163735</c:v>
                </c:pt>
                <c:pt idx="590">
                  <c:v>0.14918066426289078</c:v>
                </c:pt>
                <c:pt idx="591">
                  <c:v>0.22109935491650079</c:v>
                </c:pt>
                <c:pt idx="592">
                  <c:v>0.30280898876404505</c:v>
                </c:pt>
                <c:pt idx="593">
                  <c:v>0.34474995209810322</c:v>
                </c:pt>
                <c:pt idx="594">
                  <c:v>0.38279686457638418</c:v>
                </c:pt>
                <c:pt idx="595">
                  <c:v>0.37944352750944632</c:v>
                </c:pt>
                <c:pt idx="596">
                  <c:v>0.35551277157225591</c:v>
                </c:pt>
                <c:pt idx="597">
                  <c:v>0.34214053698449898</c:v>
                </c:pt>
                <c:pt idx="598">
                  <c:v>0.35258315874895452</c:v>
                </c:pt>
                <c:pt idx="599">
                  <c:v>0.32428004391520981</c:v>
                </c:pt>
                <c:pt idx="600">
                  <c:v>0.21208844809365091</c:v>
                </c:pt>
                <c:pt idx="601">
                  <c:v>0.14859155473511043</c:v>
                </c:pt>
                <c:pt idx="602">
                  <c:v>9.8828928627947565E-2</c:v>
                </c:pt>
                <c:pt idx="603">
                  <c:v>0.10831636068422323</c:v>
                </c:pt>
                <c:pt idx="604">
                  <c:v>0.192546490926228</c:v>
                </c:pt>
                <c:pt idx="605">
                  <c:v>0.24110404442017686</c:v>
                </c:pt>
                <c:pt idx="606">
                  <c:v>0.26437440009908042</c:v>
                </c:pt>
                <c:pt idx="607">
                  <c:v>0.23736148500594756</c:v>
                </c:pt>
                <c:pt idx="608">
                  <c:v>0.3871312866205836</c:v>
                </c:pt>
                <c:pt idx="609">
                  <c:v>0.48879523026315774</c:v>
                </c:pt>
                <c:pt idx="610">
                  <c:v>0.51328540956347934</c:v>
                </c:pt>
                <c:pt idx="611">
                  <c:v>0.50406995520151043</c:v>
                </c:pt>
                <c:pt idx="612">
                  <c:v>0.53878630652627302</c:v>
                </c:pt>
                <c:pt idx="613">
                  <c:v>0.54249867467750468</c:v>
                </c:pt>
                <c:pt idx="614">
                  <c:v>0.6273400830830651</c:v>
                </c:pt>
                <c:pt idx="615">
                  <c:v>0.56833098610262267</c:v>
                </c:pt>
                <c:pt idx="616">
                  <c:v>0.5444337701941635</c:v>
                </c:pt>
                <c:pt idx="617">
                  <c:v>0.47608815765240342</c:v>
                </c:pt>
                <c:pt idx="618">
                  <c:v>0.41093756439315898</c:v>
                </c:pt>
                <c:pt idx="619">
                  <c:v>0.30070162093047714</c:v>
                </c:pt>
                <c:pt idx="620">
                  <c:v>0.29970723215698669</c:v>
                </c:pt>
                <c:pt idx="621">
                  <c:v>0.31725063003007881</c:v>
                </c:pt>
                <c:pt idx="622">
                  <c:v>0.29490753959589511</c:v>
                </c:pt>
                <c:pt idx="623">
                  <c:v>0.33743302169967926</c:v>
                </c:pt>
                <c:pt idx="624">
                  <c:v>0.29750919778407425</c:v>
                </c:pt>
                <c:pt idx="625">
                  <c:v>0.27410753654295728</c:v>
                </c:pt>
                <c:pt idx="626">
                  <c:v>0.35047678599343457</c:v>
                </c:pt>
                <c:pt idx="627">
                  <c:v>0.29698766223361628</c:v>
                </c:pt>
                <c:pt idx="628">
                  <c:v>0.26092684576901837</c:v>
                </c:pt>
                <c:pt idx="629">
                  <c:v>0.244674649087403</c:v>
                </c:pt>
                <c:pt idx="630">
                  <c:v>0.25945786221461287</c:v>
                </c:pt>
                <c:pt idx="631">
                  <c:v>0.29373143661091139</c:v>
                </c:pt>
                <c:pt idx="632">
                  <c:v>0.35271335124088621</c:v>
                </c:pt>
                <c:pt idx="633">
                  <c:v>0.30128701092337007</c:v>
                </c:pt>
                <c:pt idx="634">
                  <c:v>0.25753237900477166</c:v>
                </c:pt>
                <c:pt idx="635">
                  <c:v>0.27348206149380694</c:v>
                </c:pt>
                <c:pt idx="636">
                  <c:v>0.24393631108096758</c:v>
                </c:pt>
                <c:pt idx="637">
                  <c:v>0.22099793401364809</c:v>
                </c:pt>
                <c:pt idx="638">
                  <c:v>0.21388669093210955</c:v>
                </c:pt>
                <c:pt idx="639">
                  <c:v>0.18012705900254877</c:v>
                </c:pt>
                <c:pt idx="640">
                  <c:v>0.19786813336666742</c:v>
                </c:pt>
                <c:pt idx="641">
                  <c:v>0.21937350359138064</c:v>
                </c:pt>
                <c:pt idx="642">
                  <c:v>0.23746751820117118</c:v>
                </c:pt>
                <c:pt idx="643">
                  <c:v>0.31867509367084512</c:v>
                </c:pt>
                <c:pt idx="644">
                  <c:v>0.26277717631019692</c:v>
                </c:pt>
                <c:pt idx="645">
                  <c:v>0.23736148500594756</c:v>
                </c:pt>
                <c:pt idx="646">
                  <c:v>0.21621391993450167</c:v>
                </c:pt>
                <c:pt idx="647">
                  <c:v>0.19776716993453891</c:v>
                </c:pt>
                <c:pt idx="648">
                  <c:v>0.38265386884632546</c:v>
                </c:pt>
                <c:pt idx="649">
                  <c:v>0.3808408561857719</c:v>
                </c:pt>
                <c:pt idx="650">
                  <c:v>0.30697496167603466</c:v>
                </c:pt>
                <c:pt idx="651">
                  <c:v>0.33992647476295912</c:v>
                </c:pt>
                <c:pt idx="652">
                  <c:v>0.33349062495662918</c:v>
                </c:pt>
                <c:pt idx="653">
                  <c:v>0.27133793358958913</c:v>
                </c:pt>
                <c:pt idx="654">
                  <c:v>0.31773321434196022</c:v>
                </c:pt>
                <c:pt idx="655">
                  <c:v>0.27116353521570269</c:v>
                </c:pt>
                <c:pt idx="656">
                  <c:v>0.34145910976247196</c:v>
                </c:pt>
                <c:pt idx="657">
                  <c:v>0.32307612238392314</c:v>
                </c:pt>
                <c:pt idx="658">
                  <c:v>0.34474280788020062</c:v>
                </c:pt>
                <c:pt idx="659">
                  <c:v>0.3606062880892098</c:v>
                </c:pt>
                <c:pt idx="660">
                  <c:v>0.33062305473858555</c:v>
                </c:pt>
                <c:pt idx="661">
                  <c:v>0.27882225707798858</c:v>
                </c:pt>
                <c:pt idx="662">
                  <c:v>0.34817690095513409</c:v>
                </c:pt>
                <c:pt idx="663">
                  <c:v>0.31411536590148237</c:v>
                </c:pt>
                <c:pt idx="664">
                  <c:v>0.37709056967545496</c:v>
                </c:pt>
                <c:pt idx="665">
                  <c:v>0.40776169432300602</c:v>
                </c:pt>
                <c:pt idx="666">
                  <c:v>0.31546645814080243</c:v>
                </c:pt>
                <c:pt idx="667">
                  <c:v>0.27029062929967629</c:v>
                </c:pt>
                <c:pt idx="668">
                  <c:v>0.37926117631544254</c:v>
                </c:pt>
                <c:pt idx="669">
                  <c:v>0.35524548763904495</c:v>
                </c:pt>
                <c:pt idx="670">
                  <c:v>0.27950877133711138</c:v>
                </c:pt>
                <c:pt idx="671">
                  <c:v>0.2831484326590894</c:v>
                </c:pt>
                <c:pt idx="672">
                  <c:v>0.32435975719262955</c:v>
                </c:pt>
                <c:pt idx="673">
                  <c:v>0.35891022778025894</c:v>
                </c:pt>
                <c:pt idx="674">
                  <c:v>0.31935432541857445</c:v>
                </c:pt>
                <c:pt idx="675">
                  <c:v>0.27453969133770983</c:v>
                </c:pt>
                <c:pt idx="676">
                  <c:v>0.26548454728336046</c:v>
                </c:pt>
                <c:pt idx="677">
                  <c:v>0.21013690649577632</c:v>
                </c:pt>
                <c:pt idx="678">
                  <c:v>0.13849786881264792</c:v>
                </c:pt>
                <c:pt idx="679">
                  <c:v>5.6160082400239286E-2</c:v>
                </c:pt>
                <c:pt idx="680">
                  <c:v>5.3461040970662621E-2</c:v>
                </c:pt>
                <c:pt idx="681">
                  <c:v>7.4194609379057308E-2</c:v>
                </c:pt>
                <c:pt idx="682">
                  <c:v>5.362486219749063E-2</c:v>
                </c:pt>
                <c:pt idx="683">
                  <c:v>5.93228616332655E-2</c:v>
                </c:pt>
                <c:pt idx="684">
                  <c:v>3.8713916587491681E-3</c:v>
                </c:pt>
                <c:pt idx="685">
                  <c:v>-7.4787281683832418E-3</c:v>
                </c:pt>
                <c:pt idx="686">
                  <c:v>-6.628750559785046E-2</c:v>
                </c:pt>
                <c:pt idx="687">
                  <c:v>2.2727065371105359E-2</c:v>
                </c:pt>
                <c:pt idx="688">
                  <c:v>0.13203444543425569</c:v>
                </c:pt>
                <c:pt idx="689">
                  <c:v>0.15477306826706694</c:v>
                </c:pt>
                <c:pt idx="690">
                  <c:v>0.13932700510009632</c:v>
                </c:pt>
                <c:pt idx="691">
                  <c:v>0.14269674390119436</c:v>
                </c:pt>
                <c:pt idx="692">
                  <c:v>8.1727205337286835E-2</c:v>
                </c:pt>
                <c:pt idx="693">
                  <c:v>6.4880737260571086E-2</c:v>
                </c:pt>
                <c:pt idx="694">
                  <c:v>6.0719997990235752E-2</c:v>
                </c:pt>
                <c:pt idx="695">
                  <c:v>0.21981625467956034</c:v>
                </c:pt>
                <c:pt idx="696">
                  <c:v>0.19741272535437404</c:v>
                </c:pt>
                <c:pt idx="697">
                  <c:v>0.2259448285954706</c:v>
                </c:pt>
                <c:pt idx="698">
                  <c:v>0.23120326620487175</c:v>
                </c:pt>
                <c:pt idx="699">
                  <c:v>0.24058829985731522</c:v>
                </c:pt>
                <c:pt idx="700">
                  <c:v>0.19590035379509074</c:v>
                </c:pt>
                <c:pt idx="701">
                  <c:v>0.21838370237842719</c:v>
                </c:pt>
                <c:pt idx="702">
                  <c:v>0.24278484346779039</c:v>
                </c:pt>
                <c:pt idx="703">
                  <c:v>0.24881472004816363</c:v>
                </c:pt>
                <c:pt idx="704">
                  <c:v>0.30443958478566047</c:v>
                </c:pt>
                <c:pt idx="705">
                  <c:v>0.31541263299146927</c:v>
                </c:pt>
                <c:pt idx="706">
                  <c:v>0.49105478765172794</c:v>
                </c:pt>
                <c:pt idx="707">
                  <c:v>0.38075196145517931</c:v>
                </c:pt>
                <c:pt idx="708">
                  <c:v>0.37567069081153592</c:v>
                </c:pt>
                <c:pt idx="709">
                  <c:v>0.36678403755868549</c:v>
                </c:pt>
                <c:pt idx="710">
                  <c:v>0.35611819062523264</c:v>
                </c:pt>
                <c:pt idx="711">
                  <c:v>0.39684667372821769</c:v>
                </c:pt>
                <c:pt idx="712">
                  <c:v>0.37949325606583773</c:v>
                </c:pt>
                <c:pt idx="713">
                  <c:v>0.3810082718533423</c:v>
                </c:pt>
                <c:pt idx="714">
                  <c:v>0.38733551867913474</c:v>
                </c:pt>
                <c:pt idx="715">
                  <c:v>0.38501665225311421</c:v>
                </c:pt>
                <c:pt idx="716">
                  <c:v>0.40120321972686157</c:v>
                </c:pt>
                <c:pt idx="717">
                  <c:v>0.40549764093765717</c:v>
                </c:pt>
                <c:pt idx="718">
                  <c:v>0.44908403103156913</c:v>
                </c:pt>
                <c:pt idx="719">
                  <c:v>0.38768984058107714</c:v>
                </c:pt>
                <c:pt idx="720">
                  <c:v>0.37149325535326838</c:v>
                </c:pt>
                <c:pt idx="721">
                  <c:v>0.37627379711288311</c:v>
                </c:pt>
                <c:pt idx="722">
                  <c:v>0.3437307147783788</c:v>
                </c:pt>
                <c:pt idx="723">
                  <c:v>0.30909899444585598</c:v>
                </c:pt>
                <c:pt idx="724">
                  <c:v>0.27058316730386101</c:v>
                </c:pt>
                <c:pt idx="725">
                  <c:v>0.25956811414500391</c:v>
                </c:pt>
                <c:pt idx="726">
                  <c:v>0.25853100477271518</c:v>
                </c:pt>
                <c:pt idx="727">
                  <c:v>0.31821675634127611</c:v>
                </c:pt>
                <c:pt idx="728">
                  <c:v>0.33775859557109555</c:v>
                </c:pt>
                <c:pt idx="729">
                  <c:v>0.32504513522692746</c:v>
                </c:pt>
                <c:pt idx="730">
                  <c:v>0.36775585130793953</c:v>
                </c:pt>
                <c:pt idx="731">
                  <c:v>0.34087196196004355</c:v>
                </c:pt>
                <c:pt idx="732">
                  <c:v>0.2987076632664174</c:v>
                </c:pt>
                <c:pt idx="733">
                  <c:v>0.29797354297919698</c:v>
                </c:pt>
                <c:pt idx="734">
                  <c:v>0.19416858663700642</c:v>
                </c:pt>
                <c:pt idx="735">
                  <c:v>0.14214815213684417</c:v>
                </c:pt>
                <c:pt idx="736">
                  <c:v>0.10826867226326975</c:v>
                </c:pt>
                <c:pt idx="737">
                  <c:v>0.14386229425807251</c:v>
                </c:pt>
                <c:pt idx="738">
                  <c:v>7.3031038623346811E-2</c:v>
                </c:pt>
                <c:pt idx="739">
                  <c:v>0.11017058727189655</c:v>
                </c:pt>
                <c:pt idx="740">
                  <c:v>0.12746565093184592</c:v>
                </c:pt>
                <c:pt idx="741">
                  <c:v>0.12787098288014298</c:v>
                </c:pt>
                <c:pt idx="742">
                  <c:v>0.17912319604493065</c:v>
                </c:pt>
                <c:pt idx="743">
                  <c:v>0.13783884211384922</c:v>
                </c:pt>
                <c:pt idx="744">
                  <c:v>0.10840771005487482</c:v>
                </c:pt>
                <c:pt idx="745">
                  <c:v>4.5656943428714181E-2</c:v>
                </c:pt>
                <c:pt idx="746">
                  <c:v>8.8916139986793485E-2</c:v>
                </c:pt>
                <c:pt idx="747">
                  <c:v>2.9091213950368733E-2</c:v>
                </c:pt>
                <c:pt idx="748">
                  <c:v>-3.6673746180788558E-2</c:v>
                </c:pt>
                <c:pt idx="749">
                  <c:v>-5.0888665325285132E-2</c:v>
                </c:pt>
                <c:pt idx="750">
                  <c:v>-4.0232133541992732E-2</c:v>
                </c:pt>
                <c:pt idx="751">
                  <c:v>-8.2886206125642792E-2</c:v>
                </c:pt>
                <c:pt idx="752">
                  <c:v>-8.3965566874367514E-2</c:v>
                </c:pt>
                <c:pt idx="753">
                  <c:v>-7.7117762300690895E-2</c:v>
                </c:pt>
                <c:pt idx="754">
                  <c:v>-5.8608058608058511E-2</c:v>
                </c:pt>
                <c:pt idx="755">
                  <c:v>-6.5023892064086986E-2</c:v>
                </c:pt>
                <c:pt idx="756">
                  <c:v>-7.577874655339456E-2</c:v>
                </c:pt>
                <c:pt idx="757">
                  <c:v>-7.9208551864801802E-2</c:v>
                </c:pt>
                <c:pt idx="758">
                  <c:v>-8.765171692615692E-2</c:v>
                </c:pt>
                <c:pt idx="759">
                  <c:v>-5.5025318682132562E-2</c:v>
                </c:pt>
                <c:pt idx="760">
                  <c:v>-6.2700233082916279E-2</c:v>
                </c:pt>
                <c:pt idx="761">
                  <c:v>-8.0833902434522709E-2</c:v>
                </c:pt>
                <c:pt idx="762">
                  <c:v>-6.8504402074604509E-2</c:v>
                </c:pt>
                <c:pt idx="763">
                  <c:v>-5.3841225031805218E-2</c:v>
                </c:pt>
                <c:pt idx="764">
                  <c:v>-3.559427159030959E-2</c:v>
                </c:pt>
                <c:pt idx="765">
                  <c:v>-2.7264200878472034E-2</c:v>
                </c:pt>
                <c:pt idx="766">
                  <c:v>-2.4228705566733844E-2</c:v>
                </c:pt>
                <c:pt idx="767">
                  <c:v>-4.3781205753036789E-2</c:v>
                </c:pt>
                <c:pt idx="768">
                  <c:v>-4.4982216980694156E-2</c:v>
                </c:pt>
                <c:pt idx="769">
                  <c:v>-3.5976415669144557E-2</c:v>
                </c:pt>
                <c:pt idx="770">
                  <c:v>5.8910019539941683E-3</c:v>
                </c:pt>
              </c:numCache>
            </c:numRef>
          </c:val>
          <c:smooth val="0"/>
          <c:extLst>
            <c:ext xmlns:c16="http://schemas.microsoft.com/office/drawing/2014/chart" uri="{C3380CC4-5D6E-409C-BE32-E72D297353CC}">
              <c16:uniqueId val="{00000000-6C35-4815-8853-7EA02D710C5F}"/>
            </c:ext>
          </c:extLst>
        </c:ser>
        <c:ser>
          <c:idx val="1"/>
          <c:order val="1"/>
          <c:tx>
            <c:strRef>
              <c:f>'C. Peers'!$J$4</c:f>
              <c:strCache>
                <c:ptCount val="1"/>
                <c:pt idx="0">
                  <c:v>Avg Premium</c:v>
                </c:pt>
              </c:strCache>
            </c:strRef>
          </c:tx>
          <c:spPr>
            <a:ln w="28575" cap="rnd">
              <a:solidFill>
                <a:schemeClr val="accent2"/>
              </a:solidFill>
              <a:round/>
            </a:ln>
            <a:effectLst/>
          </c:spPr>
          <c:marker>
            <c:symbol val="none"/>
          </c:marker>
          <c:cat>
            <c:numRef>
              <c:f>'C. Peers'!$A$5:$A$775</c:f>
              <c:numCache>
                <c:formatCode>m/d/yyyy</c:formatCode>
                <c:ptCount val="771"/>
                <c:pt idx="0">
                  <c:v>45230</c:v>
                </c:pt>
                <c:pt idx="1">
                  <c:v>45229</c:v>
                </c:pt>
                <c:pt idx="2">
                  <c:v>45226</c:v>
                </c:pt>
                <c:pt idx="3">
                  <c:v>45225</c:v>
                </c:pt>
                <c:pt idx="4">
                  <c:v>45224</c:v>
                </c:pt>
                <c:pt idx="5">
                  <c:v>45223</c:v>
                </c:pt>
                <c:pt idx="6">
                  <c:v>45222</c:v>
                </c:pt>
                <c:pt idx="7">
                  <c:v>45219</c:v>
                </c:pt>
                <c:pt idx="8">
                  <c:v>45218</c:v>
                </c:pt>
                <c:pt idx="9">
                  <c:v>45217</c:v>
                </c:pt>
                <c:pt idx="10">
                  <c:v>45216</c:v>
                </c:pt>
                <c:pt idx="11">
                  <c:v>45215</c:v>
                </c:pt>
                <c:pt idx="12">
                  <c:v>45212</c:v>
                </c:pt>
                <c:pt idx="13">
                  <c:v>45211</c:v>
                </c:pt>
                <c:pt idx="14">
                  <c:v>45210</c:v>
                </c:pt>
                <c:pt idx="15">
                  <c:v>45209</c:v>
                </c:pt>
                <c:pt idx="16">
                  <c:v>45208</c:v>
                </c:pt>
                <c:pt idx="17">
                  <c:v>45205</c:v>
                </c:pt>
                <c:pt idx="18">
                  <c:v>45204</c:v>
                </c:pt>
                <c:pt idx="19">
                  <c:v>45203</c:v>
                </c:pt>
                <c:pt idx="20">
                  <c:v>45202</c:v>
                </c:pt>
                <c:pt idx="21">
                  <c:v>45201</c:v>
                </c:pt>
                <c:pt idx="22">
                  <c:v>45198</c:v>
                </c:pt>
                <c:pt idx="23">
                  <c:v>45197</c:v>
                </c:pt>
                <c:pt idx="24">
                  <c:v>45196</c:v>
                </c:pt>
                <c:pt idx="25">
                  <c:v>45195</c:v>
                </c:pt>
                <c:pt idx="26">
                  <c:v>45194</c:v>
                </c:pt>
                <c:pt idx="27">
                  <c:v>45191</c:v>
                </c:pt>
                <c:pt idx="28">
                  <c:v>45190</c:v>
                </c:pt>
                <c:pt idx="29">
                  <c:v>45189</c:v>
                </c:pt>
                <c:pt idx="30">
                  <c:v>45188</c:v>
                </c:pt>
                <c:pt idx="31">
                  <c:v>45187</c:v>
                </c:pt>
                <c:pt idx="32">
                  <c:v>45184</c:v>
                </c:pt>
                <c:pt idx="33">
                  <c:v>45183</c:v>
                </c:pt>
                <c:pt idx="34">
                  <c:v>45182</c:v>
                </c:pt>
                <c:pt idx="35">
                  <c:v>45181</c:v>
                </c:pt>
                <c:pt idx="36">
                  <c:v>45180</c:v>
                </c:pt>
                <c:pt idx="37">
                  <c:v>45177</c:v>
                </c:pt>
                <c:pt idx="38">
                  <c:v>45176</c:v>
                </c:pt>
                <c:pt idx="39">
                  <c:v>45175</c:v>
                </c:pt>
                <c:pt idx="40">
                  <c:v>45174</c:v>
                </c:pt>
                <c:pt idx="41">
                  <c:v>45169</c:v>
                </c:pt>
                <c:pt idx="42">
                  <c:v>45168</c:v>
                </c:pt>
                <c:pt idx="43">
                  <c:v>45167</c:v>
                </c:pt>
                <c:pt idx="44">
                  <c:v>45166</c:v>
                </c:pt>
                <c:pt idx="45">
                  <c:v>45163</c:v>
                </c:pt>
                <c:pt idx="46">
                  <c:v>45162</c:v>
                </c:pt>
                <c:pt idx="47">
                  <c:v>45161</c:v>
                </c:pt>
                <c:pt idx="48">
                  <c:v>45160</c:v>
                </c:pt>
                <c:pt idx="49">
                  <c:v>45159</c:v>
                </c:pt>
                <c:pt idx="50">
                  <c:v>45156</c:v>
                </c:pt>
                <c:pt idx="51">
                  <c:v>45155</c:v>
                </c:pt>
                <c:pt idx="52">
                  <c:v>45154</c:v>
                </c:pt>
                <c:pt idx="53">
                  <c:v>45153</c:v>
                </c:pt>
                <c:pt idx="54">
                  <c:v>45152</c:v>
                </c:pt>
                <c:pt idx="55">
                  <c:v>45149</c:v>
                </c:pt>
                <c:pt idx="56">
                  <c:v>45148</c:v>
                </c:pt>
                <c:pt idx="57">
                  <c:v>45147</c:v>
                </c:pt>
                <c:pt idx="58">
                  <c:v>45146</c:v>
                </c:pt>
                <c:pt idx="59">
                  <c:v>45145</c:v>
                </c:pt>
                <c:pt idx="60">
                  <c:v>45142</c:v>
                </c:pt>
                <c:pt idx="61">
                  <c:v>45141</c:v>
                </c:pt>
                <c:pt idx="62">
                  <c:v>45140</c:v>
                </c:pt>
                <c:pt idx="63">
                  <c:v>45139</c:v>
                </c:pt>
                <c:pt idx="64">
                  <c:v>45138</c:v>
                </c:pt>
                <c:pt idx="65">
                  <c:v>45135</c:v>
                </c:pt>
                <c:pt idx="66">
                  <c:v>45134</c:v>
                </c:pt>
                <c:pt idx="67">
                  <c:v>45133</c:v>
                </c:pt>
                <c:pt idx="68">
                  <c:v>45132</c:v>
                </c:pt>
                <c:pt idx="69">
                  <c:v>45131</c:v>
                </c:pt>
                <c:pt idx="70">
                  <c:v>45128</c:v>
                </c:pt>
                <c:pt idx="71">
                  <c:v>45127</c:v>
                </c:pt>
                <c:pt idx="72">
                  <c:v>45126</c:v>
                </c:pt>
                <c:pt idx="73">
                  <c:v>45125</c:v>
                </c:pt>
                <c:pt idx="74">
                  <c:v>45124</c:v>
                </c:pt>
                <c:pt idx="75">
                  <c:v>45121</c:v>
                </c:pt>
                <c:pt idx="76">
                  <c:v>45120</c:v>
                </c:pt>
                <c:pt idx="77">
                  <c:v>45119</c:v>
                </c:pt>
                <c:pt idx="78">
                  <c:v>45118</c:v>
                </c:pt>
                <c:pt idx="79">
                  <c:v>45117</c:v>
                </c:pt>
                <c:pt idx="80">
                  <c:v>45114</c:v>
                </c:pt>
                <c:pt idx="81">
                  <c:v>45113</c:v>
                </c:pt>
                <c:pt idx="82">
                  <c:v>45112</c:v>
                </c:pt>
                <c:pt idx="83">
                  <c:v>45111</c:v>
                </c:pt>
                <c:pt idx="84">
                  <c:v>45110</c:v>
                </c:pt>
                <c:pt idx="85">
                  <c:v>45107</c:v>
                </c:pt>
                <c:pt idx="86">
                  <c:v>45106</c:v>
                </c:pt>
                <c:pt idx="87">
                  <c:v>45105</c:v>
                </c:pt>
                <c:pt idx="88">
                  <c:v>45104</c:v>
                </c:pt>
                <c:pt idx="89">
                  <c:v>45103</c:v>
                </c:pt>
                <c:pt idx="90">
                  <c:v>45100</c:v>
                </c:pt>
                <c:pt idx="91">
                  <c:v>45099</c:v>
                </c:pt>
                <c:pt idx="92">
                  <c:v>45098</c:v>
                </c:pt>
                <c:pt idx="93">
                  <c:v>45097</c:v>
                </c:pt>
                <c:pt idx="94">
                  <c:v>45096</c:v>
                </c:pt>
                <c:pt idx="95">
                  <c:v>45093</c:v>
                </c:pt>
                <c:pt idx="96">
                  <c:v>45092</c:v>
                </c:pt>
                <c:pt idx="97">
                  <c:v>45091</c:v>
                </c:pt>
                <c:pt idx="98">
                  <c:v>45090</c:v>
                </c:pt>
                <c:pt idx="99">
                  <c:v>45089</c:v>
                </c:pt>
                <c:pt idx="100">
                  <c:v>45086</c:v>
                </c:pt>
                <c:pt idx="101">
                  <c:v>45085</c:v>
                </c:pt>
                <c:pt idx="102">
                  <c:v>45084</c:v>
                </c:pt>
                <c:pt idx="103">
                  <c:v>45083</c:v>
                </c:pt>
                <c:pt idx="104">
                  <c:v>45082</c:v>
                </c:pt>
                <c:pt idx="105">
                  <c:v>45079</c:v>
                </c:pt>
                <c:pt idx="106">
                  <c:v>45078</c:v>
                </c:pt>
                <c:pt idx="107">
                  <c:v>45077</c:v>
                </c:pt>
                <c:pt idx="108">
                  <c:v>45076</c:v>
                </c:pt>
                <c:pt idx="109">
                  <c:v>45075</c:v>
                </c:pt>
                <c:pt idx="110">
                  <c:v>45072</c:v>
                </c:pt>
                <c:pt idx="111">
                  <c:v>45071</c:v>
                </c:pt>
                <c:pt idx="112">
                  <c:v>45070</c:v>
                </c:pt>
                <c:pt idx="113">
                  <c:v>45069</c:v>
                </c:pt>
                <c:pt idx="114">
                  <c:v>45068</c:v>
                </c:pt>
                <c:pt idx="115">
                  <c:v>45065</c:v>
                </c:pt>
                <c:pt idx="116">
                  <c:v>45064</c:v>
                </c:pt>
                <c:pt idx="117">
                  <c:v>45063</c:v>
                </c:pt>
                <c:pt idx="118">
                  <c:v>45062</c:v>
                </c:pt>
                <c:pt idx="119">
                  <c:v>45061</c:v>
                </c:pt>
                <c:pt idx="120">
                  <c:v>45058</c:v>
                </c:pt>
                <c:pt idx="121">
                  <c:v>45057</c:v>
                </c:pt>
                <c:pt idx="122">
                  <c:v>45056</c:v>
                </c:pt>
                <c:pt idx="123">
                  <c:v>45055</c:v>
                </c:pt>
                <c:pt idx="124">
                  <c:v>45054</c:v>
                </c:pt>
                <c:pt idx="125">
                  <c:v>45051</c:v>
                </c:pt>
                <c:pt idx="126">
                  <c:v>45050</c:v>
                </c:pt>
                <c:pt idx="127">
                  <c:v>45044</c:v>
                </c:pt>
                <c:pt idx="128">
                  <c:v>45043</c:v>
                </c:pt>
                <c:pt idx="129">
                  <c:v>45042</c:v>
                </c:pt>
                <c:pt idx="130">
                  <c:v>45041</c:v>
                </c:pt>
                <c:pt idx="131">
                  <c:v>45040</c:v>
                </c:pt>
                <c:pt idx="132">
                  <c:v>45037</c:v>
                </c:pt>
                <c:pt idx="133">
                  <c:v>45036</c:v>
                </c:pt>
                <c:pt idx="134">
                  <c:v>45035</c:v>
                </c:pt>
                <c:pt idx="135">
                  <c:v>45034</c:v>
                </c:pt>
                <c:pt idx="136">
                  <c:v>45033</c:v>
                </c:pt>
                <c:pt idx="137">
                  <c:v>45030</c:v>
                </c:pt>
                <c:pt idx="138">
                  <c:v>45029</c:v>
                </c:pt>
                <c:pt idx="139">
                  <c:v>45028</c:v>
                </c:pt>
                <c:pt idx="140">
                  <c:v>45027</c:v>
                </c:pt>
                <c:pt idx="141">
                  <c:v>45026</c:v>
                </c:pt>
                <c:pt idx="142">
                  <c:v>45023</c:v>
                </c:pt>
                <c:pt idx="143">
                  <c:v>45022</c:v>
                </c:pt>
                <c:pt idx="144">
                  <c:v>45021</c:v>
                </c:pt>
                <c:pt idx="145">
                  <c:v>45020</c:v>
                </c:pt>
                <c:pt idx="146">
                  <c:v>45019</c:v>
                </c:pt>
                <c:pt idx="147">
                  <c:v>45016</c:v>
                </c:pt>
                <c:pt idx="148">
                  <c:v>45015</c:v>
                </c:pt>
                <c:pt idx="149">
                  <c:v>45014</c:v>
                </c:pt>
                <c:pt idx="150">
                  <c:v>45013</c:v>
                </c:pt>
                <c:pt idx="151">
                  <c:v>45012</c:v>
                </c:pt>
                <c:pt idx="152">
                  <c:v>45009</c:v>
                </c:pt>
                <c:pt idx="153">
                  <c:v>45008</c:v>
                </c:pt>
                <c:pt idx="154">
                  <c:v>45007</c:v>
                </c:pt>
                <c:pt idx="155">
                  <c:v>45006</c:v>
                </c:pt>
                <c:pt idx="156">
                  <c:v>45005</c:v>
                </c:pt>
                <c:pt idx="157">
                  <c:v>45002</c:v>
                </c:pt>
                <c:pt idx="158">
                  <c:v>45001</c:v>
                </c:pt>
                <c:pt idx="159">
                  <c:v>45000</c:v>
                </c:pt>
                <c:pt idx="160">
                  <c:v>44999</c:v>
                </c:pt>
                <c:pt idx="161">
                  <c:v>44998</c:v>
                </c:pt>
                <c:pt idx="162">
                  <c:v>44995</c:v>
                </c:pt>
                <c:pt idx="163">
                  <c:v>44994</c:v>
                </c:pt>
                <c:pt idx="164">
                  <c:v>44993</c:v>
                </c:pt>
                <c:pt idx="165">
                  <c:v>44992</c:v>
                </c:pt>
                <c:pt idx="166">
                  <c:v>44991</c:v>
                </c:pt>
                <c:pt idx="167">
                  <c:v>44988</c:v>
                </c:pt>
                <c:pt idx="168">
                  <c:v>44987</c:v>
                </c:pt>
                <c:pt idx="169">
                  <c:v>44986</c:v>
                </c:pt>
                <c:pt idx="170">
                  <c:v>44985</c:v>
                </c:pt>
                <c:pt idx="171">
                  <c:v>44984</c:v>
                </c:pt>
                <c:pt idx="172">
                  <c:v>44981</c:v>
                </c:pt>
                <c:pt idx="173">
                  <c:v>44980</c:v>
                </c:pt>
                <c:pt idx="174">
                  <c:v>44979</c:v>
                </c:pt>
                <c:pt idx="175">
                  <c:v>44978</c:v>
                </c:pt>
                <c:pt idx="176">
                  <c:v>44977</c:v>
                </c:pt>
                <c:pt idx="177">
                  <c:v>44974</c:v>
                </c:pt>
                <c:pt idx="178">
                  <c:v>44973</c:v>
                </c:pt>
                <c:pt idx="179">
                  <c:v>44972</c:v>
                </c:pt>
                <c:pt idx="180">
                  <c:v>44971</c:v>
                </c:pt>
                <c:pt idx="181">
                  <c:v>44970</c:v>
                </c:pt>
                <c:pt idx="182">
                  <c:v>44967</c:v>
                </c:pt>
                <c:pt idx="183">
                  <c:v>44966</c:v>
                </c:pt>
                <c:pt idx="184">
                  <c:v>44965</c:v>
                </c:pt>
                <c:pt idx="185">
                  <c:v>44964</c:v>
                </c:pt>
                <c:pt idx="186">
                  <c:v>44963</c:v>
                </c:pt>
                <c:pt idx="187">
                  <c:v>44960</c:v>
                </c:pt>
                <c:pt idx="188">
                  <c:v>44959</c:v>
                </c:pt>
                <c:pt idx="189">
                  <c:v>44958</c:v>
                </c:pt>
                <c:pt idx="190">
                  <c:v>44957</c:v>
                </c:pt>
                <c:pt idx="191">
                  <c:v>44956</c:v>
                </c:pt>
                <c:pt idx="192">
                  <c:v>44953</c:v>
                </c:pt>
                <c:pt idx="193">
                  <c:v>44945</c:v>
                </c:pt>
                <c:pt idx="194">
                  <c:v>44944</c:v>
                </c:pt>
                <c:pt idx="195">
                  <c:v>44943</c:v>
                </c:pt>
                <c:pt idx="196">
                  <c:v>44942</c:v>
                </c:pt>
                <c:pt idx="197">
                  <c:v>44939</c:v>
                </c:pt>
                <c:pt idx="198">
                  <c:v>44938</c:v>
                </c:pt>
                <c:pt idx="199">
                  <c:v>44937</c:v>
                </c:pt>
                <c:pt idx="200">
                  <c:v>44936</c:v>
                </c:pt>
                <c:pt idx="201">
                  <c:v>44935</c:v>
                </c:pt>
                <c:pt idx="202">
                  <c:v>44932</c:v>
                </c:pt>
                <c:pt idx="203">
                  <c:v>44931</c:v>
                </c:pt>
                <c:pt idx="204">
                  <c:v>44930</c:v>
                </c:pt>
                <c:pt idx="205">
                  <c:v>44929</c:v>
                </c:pt>
                <c:pt idx="206">
                  <c:v>44925</c:v>
                </c:pt>
                <c:pt idx="207">
                  <c:v>44924</c:v>
                </c:pt>
                <c:pt idx="208">
                  <c:v>44923</c:v>
                </c:pt>
                <c:pt idx="209">
                  <c:v>44922</c:v>
                </c:pt>
                <c:pt idx="210">
                  <c:v>44921</c:v>
                </c:pt>
                <c:pt idx="211">
                  <c:v>44918</c:v>
                </c:pt>
                <c:pt idx="212">
                  <c:v>44917</c:v>
                </c:pt>
                <c:pt idx="213">
                  <c:v>44916</c:v>
                </c:pt>
                <c:pt idx="214">
                  <c:v>44915</c:v>
                </c:pt>
                <c:pt idx="215">
                  <c:v>44914</c:v>
                </c:pt>
                <c:pt idx="216">
                  <c:v>44911</c:v>
                </c:pt>
                <c:pt idx="217">
                  <c:v>44910</c:v>
                </c:pt>
                <c:pt idx="218">
                  <c:v>44909</c:v>
                </c:pt>
                <c:pt idx="219">
                  <c:v>44908</c:v>
                </c:pt>
                <c:pt idx="220">
                  <c:v>44907</c:v>
                </c:pt>
                <c:pt idx="221">
                  <c:v>44904</c:v>
                </c:pt>
                <c:pt idx="222">
                  <c:v>44903</c:v>
                </c:pt>
                <c:pt idx="223">
                  <c:v>44902</c:v>
                </c:pt>
                <c:pt idx="224">
                  <c:v>44901</c:v>
                </c:pt>
                <c:pt idx="225">
                  <c:v>44900</c:v>
                </c:pt>
                <c:pt idx="226">
                  <c:v>44897</c:v>
                </c:pt>
                <c:pt idx="227">
                  <c:v>44896</c:v>
                </c:pt>
                <c:pt idx="228">
                  <c:v>44895</c:v>
                </c:pt>
                <c:pt idx="229">
                  <c:v>44894</c:v>
                </c:pt>
                <c:pt idx="230">
                  <c:v>44893</c:v>
                </c:pt>
                <c:pt idx="231">
                  <c:v>44890</c:v>
                </c:pt>
                <c:pt idx="232">
                  <c:v>44889</c:v>
                </c:pt>
                <c:pt idx="233">
                  <c:v>44888</c:v>
                </c:pt>
                <c:pt idx="234">
                  <c:v>44887</c:v>
                </c:pt>
                <c:pt idx="235">
                  <c:v>44886</c:v>
                </c:pt>
                <c:pt idx="236">
                  <c:v>44883</c:v>
                </c:pt>
                <c:pt idx="237">
                  <c:v>44882</c:v>
                </c:pt>
                <c:pt idx="238">
                  <c:v>44881</c:v>
                </c:pt>
                <c:pt idx="239">
                  <c:v>44880</c:v>
                </c:pt>
                <c:pt idx="240">
                  <c:v>44879</c:v>
                </c:pt>
                <c:pt idx="241">
                  <c:v>44876</c:v>
                </c:pt>
                <c:pt idx="242">
                  <c:v>44875</c:v>
                </c:pt>
                <c:pt idx="243">
                  <c:v>44874</c:v>
                </c:pt>
                <c:pt idx="244">
                  <c:v>44873</c:v>
                </c:pt>
                <c:pt idx="245">
                  <c:v>44872</c:v>
                </c:pt>
                <c:pt idx="246">
                  <c:v>44869</c:v>
                </c:pt>
                <c:pt idx="247">
                  <c:v>44868</c:v>
                </c:pt>
                <c:pt idx="248">
                  <c:v>44867</c:v>
                </c:pt>
                <c:pt idx="249">
                  <c:v>44866</c:v>
                </c:pt>
                <c:pt idx="250">
                  <c:v>44865</c:v>
                </c:pt>
                <c:pt idx="251">
                  <c:v>44862</c:v>
                </c:pt>
                <c:pt idx="252">
                  <c:v>44861</c:v>
                </c:pt>
                <c:pt idx="253">
                  <c:v>44860</c:v>
                </c:pt>
                <c:pt idx="254">
                  <c:v>44859</c:v>
                </c:pt>
                <c:pt idx="255">
                  <c:v>44858</c:v>
                </c:pt>
                <c:pt idx="256">
                  <c:v>44855</c:v>
                </c:pt>
                <c:pt idx="257">
                  <c:v>44854</c:v>
                </c:pt>
                <c:pt idx="258">
                  <c:v>44853</c:v>
                </c:pt>
                <c:pt idx="259">
                  <c:v>44852</c:v>
                </c:pt>
                <c:pt idx="260">
                  <c:v>44851</c:v>
                </c:pt>
                <c:pt idx="261">
                  <c:v>44848</c:v>
                </c:pt>
                <c:pt idx="262">
                  <c:v>44847</c:v>
                </c:pt>
                <c:pt idx="263">
                  <c:v>44846</c:v>
                </c:pt>
                <c:pt idx="264">
                  <c:v>44845</c:v>
                </c:pt>
                <c:pt idx="265">
                  <c:v>44844</c:v>
                </c:pt>
                <c:pt idx="266">
                  <c:v>44841</c:v>
                </c:pt>
                <c:pt idx="267">
                  <c:v>44840</c:v>
                </c:pt>
                <c:pt idx="268">
                  <c:v>44839</c:v>
                </c:pt>
                <c:pt idx="269">
                  <c:v>44838</c:v>
                </c:pt>
                <c:pt idx="270">
                  <c:v>44837</c:v>
                </c:pt>
                <c:pt idx="271">
                  <c:v>44834</c:v>
                </c:pt>
                <c:pt idx="272">
                  <c:v>44833</c:v>
                </c:pt>
                <c:pt idx="273">
                  <c:v>44832</c:v>
                </c:pt>
                <c:pt idx="274">
                  <c:v>44831</c:v>
                </c:pt>
                <c:pt idx="275">
                  <c:v>44830</c:v>
                </c:pt>
                <c:pt idx="276">
                  <c:v>44827</c:v>
                </c:pt>
                <c:pt idx="277">
                  <c:v>44826</c:v>
                </c:pt>
                <c:pt idx="278">
                  <c:v>44825</c:v>
                </c:pt>
                <c:pt idx="279">
                  <c:v>44824</c:v>
                </c:pt>
                <c:pt idx="280">
                  <c:v>44823</c:v>
                </c:pt>
                <c:pt idx="281">
                  <c:v>44820</c:v>
                </c:pt>
                <c:pt idx="282">
                  <c:v>44819</c:v>
                </c:pt>
                <c:pt idx="283">
                  <c:v>44818</c:v>
                </c:pt>
                <c:pt idx="284">
                  <c:v>44817</c:v>
                </c:pt>
                <c:pt idx="285">
                  <c:v>44816</c:v>
                </c:pt>
                <c:pt idx="286">
                  <c:v>44813</c:v>
                </c:pt>
                <c:pt idx="287">
                  <c:v>44812</c:v>
                </c:pt>
                <c:pt idx="288">
                  <c:v>44811</c:v>
                </c:pt>
                <c:pt idx="289">
                  <c:v>44810</c:v>
                </c:pt>
                <c:pt idx="290">
                  <c:v>44809</c:v>
                </c:pt>
                <c:pt idx="291">
                  <c:v>44804</c:v>
                </c:pt>
                <c:pt idx="292">
                  <c:v>44803</c:v>
                </c:pt>
                <c:pt idx="293">
                  <c:v>44802</c:v>
                </c:pt>
                <c:pt idx="294">
                  <c:v>44799</c:v>
                </c:pt>
                <c:pt idx="295">
                  <c:v>44798</c:v>
                </c:pt>
                <c:pt idx="296">
                  <c:v>44797</c:v>
                </c:pt>
                <c:pt idx="297">
                  <c:v>44796</c:v>
                </c:pt>
                <c:pt idx="298">
                  <c:v>44795</c:v>
                </c:pt>
                <c:pt idx="299">
                  <c:v>44792</c:v>
                </c:pt>
                <c:pt idx="300">
                  <c:v>44791</c:v>
                </c:pt>
                <c:pt idx="301">
                  <c:v>44790</c:v>
                </c:pt>
                <c:pt idx="302">
                  <c:v>44789</c:v>
                </c:pt>
                <c:pt idx="303">
                  <c:v>44788</c:v>
                </c:pt>
                <c:pt idx="304">
                  <c:v>44785</c:v>
                </c:pt>
                <c:pt idx="305">
                  <c:v>44784</c:v>
                </c:pt>
                <c:pt idx="306">
                  <c:v>44783</c:v>
                </c:pt>
                <c:pt idx="307">
                  <c:v>44782</c:v>
                </c:pt>
                <c:pt idx="308">
                  <c:v>44781</c:v>
                </c:pt>
                <c:pt idx="309">
                  <c:v>44778</c:v>
                </c:pt>
                <c:pt idx="310">
                  <c:v>44777</c:v>
                </c:pt>
                <c:pt idx="311">
                  <c:v>44776</c:v>
                </c:pt>
                <c:pt idx="312">
                  <c:v>44775</c:v>
                </c:pt>
                <c:pt idx="313">
                  <c:v>44774</c:v>
                </c:pt>
                <c:pt idx="314">
                  <c:v>44771</c:v>
                </c:pt>
                <c:pt idx="315">
                  <c:v>44770</c:v>
                </c:pt>
                <c:pt idx="316">
                  <c:v>44769</c:v>
                </c:pt>
                <c:pt idx="317">
                  <c:v>44768</c:v>
                </c:pt>
                <c:pt idx="318">
                  <c:v>44767</c:v>
                </c:pt>
                <c:pt idx="319">
                  <c:v>44764</c:v>
                </c:pt>
                <c:pt idx="320">
                  <c:v>44763</c:v>
                </c:pt>
                <c:pt idx="321">
                  <c:v>44762</c:v>
                </c:pt>
                <c:pt idx="322">
                  <c:v>44761</c:v>
                </c:pt>
                <c:pt idx="323">
                  <c:v>44760</c:v>
                </c:pt>
                <c:pt idx="324">
                  <c:v>44757</c:v>
                </c:pt>
                <c:pt idx="325">
                  <c:v>44756</c:v>
                </c:pt>
                <c:pt idx="326">
                  <c:v>44755</c:v>
                </c:pt>
                <c:pt idx="327">
                  <c:v>44754</c:v>
                </c:pt>
                <c:pt idx="328">
                  <c:v>44753</c:v>
                </c:pt>
                <c:pt idx="329">
                  <c:v>44750</c:v>
                </c:pt>
                <c:pt idx="330">
                  <c:v>44749</c:v>
                </c:pt>
                <c:pt idx="331">
                  <c:v>44748</c:v>
                </c:pt>
                <c:pt idx="332">
                  <c:v>44747</c:v>
                </c:pt>
                <c:pt idx="333">
                  <c:v>44746</c:v>
                </c:pt>
                <c:pt idx="334">
                  <c:v>44743</c:v>
                </c:pt>
                <c:pt idx="335">
                  <c:v>44742</c:v>
                </c:pt>
                <c:pt idx="336">
                  <c:v>44741</c:v>
                </c:pt>
                <c:pt idx="337">
                  <c:v>44740</c:v>
                </c:pt>
                <c:pt idx="338">
                  <c:v>44739</c:v>
                </c:pt>
                <c:pt idx="339">
                  <c:v>44736</c:v>
                </c:pt>
                <c:pt idx="340">
                  <c:v>44735</c:v>
                </c:pt>
                <c:pt idx="341">
                  <c:v>44734</c:v>
                </c:pt>
                <c:pt idx="342">
                  <c:v>44733</c:v>
                </c:pt>
                <c:pt idx="343">
                  <c:v>44732</c:v>
                </c:pt>
                <c:pt idx="344">
                  <c:v>44729</c:v>
                </c:pt>
                <c:pt idx="345">
                  <c:v>44728</c:v>
                </c:pt>
                <c:pt idx="346">
                  <c:v>44727</c:v>
                </c:pt>
                <c:pt idx="347">
                  <c:v>44726</c:v>
                </c:pt>
                <c:pt idx="348">
                  <c:v>44725</c:v>
                </c:pt>
                <c:pt idx="349">
                  <c:v>44722</c:v>
                </c:pt>
                <c:pt idx="350">
                  <c:v>44721</c:v>
                </c:pt>
                <c:pt idx="351">
                  <c:v>44720</c:v>
                </c:pt>
                <c:pt idx="352">
                  <c:v>44719</c:v>
                </c:pt>
                <c:pt idx="353">
                  <c:v>44718</c:v>
                </c:pt>
                <c:pt idx="354">
                  <c:v>44715</c:v>
                </c:pt>
                <c:pt idx="355">
                  <c:v>44714</c:v>
                </c:pt>
                <c:pt idx="356">
                  <c:v>44713</c:v>
                </c:pt>
                <c:pt idx="357">
                  <c:v>44712</c:v>
                </c:pt>
                <c:pt idx="358">
                  <c:v>44711</c:v>
                </c:pt>
                <c:pt idx="359">
                  <c:v>44708</c:v>
                </c:pt>
                <c:pt idx="360">
                  <c:v>44707</c:v>
                </c:pt>
                <c:pt idx="361">
                  <c:v>44706</c:v>
                </c:pt>
                <c:pt idx="362">
                  <c:v>44705</c:v>
                </c:pt>
                <c:pt idx="363">
                  <c:v>44704</c:v>
                </c:pt>
                <c:pt idx="364">
                  <c:v>44701</c:v>
                </c:pt>
                <c:pt idx="365">
                  <c:v>44700</c:v>
                </c:pt>
                <c:pt idx="366">
                  <c:v>44699</c:v>
                </c:pt>
                <c:pt idx="367">
                  <c:v>44698</c:v>
                </c:pt>
                <c:pt idx="368">
                  <c:v>44697</c:v>
                </c:pt>
                <c:pt idx="369">
                  <c:v>44694</c:v>
                </c:pt>
                <c:pt idx="370">
                  <c:v>44693</c:v>
                </c:pt>
                <c:pt idx="371">
                  <c:v>44692</c:v>
                </c:pt>
                <c:pt idx="372">
                  <c:v>44691</c:v>
                </c:pt>
                <c:pt idx="373">
                  <c:v>44690</c:v>
                </c:pt>
                <c:pt idx="374">
                  <c:v>44687</c:v>
                </c:pt>
                <c:pt idx="375">
                  <c:v>44686</c:v>
                </c:pt>
                <c:pt idx="376">
                  <c:v>44685</c:v>
                </c:pt>
                <c:pt idx="377">
                  <c:v>44680</c:v>
                </c:pt>
                <c:pt idx="378">
                  <c:v>44679</c:v>
                </c:pt>
                <c:pt idx="379">
                  <c:v>44678</c:v>
                </c:pt>
                <c:pt idx="380">
                  <c:v>44677</c:v>
                </c:pt>
                <c:pt idx="381">
                  <c:v>44676</c:v>
                </c:pt>
                <c:pt idx="382">
                  <c:v>44673</c:v>
                </c:pt>
                <c:pt idx="383">
                  <c:v>44672</c:v>
                </c:pt>
                <c:pt idx="384">
                  <c:v>44671</c:v>
                </c:pt>
                <c:pt idx="385">
                  <c:v>44670</c:v>
                </c:pt>
                <c:pt idx="386">
                  <c:v>44669</c:v>
                </c:pt>
                <c:pt idx="387">
                  <c:v>44666</c:v>
                </c:pt>
                <c:pt idx="388">
                  <c:v>44665</c:v>
                </c:pt>
                <c:pt idx="389">
                  <c:v>44664</c:v>
                </c:pt>
                <c:pt idx="390">
                  <c:v>44663</c:v>
                </c:pt>
                <c:pt idx="391">
                  <c:v>44659</c:v>
                </c:pt>
                <c:pt idx="392">
                  <c:v>44658</c:v>
                </c:pt>
                <c:pt idx="393">
                  <c:v>44657</c:v>
                </c:pt>
                <c:pt idx="394">
                  <c:v>44656</c:v>
                </c:pt>
                <c:pt idx="395">
                  <c:v>44655</c:v>
                </c:pt>
                <c:pt idx="396">
                  <c:v>44652</c:v>
                </c:pt>
                <c:pt idx="397">
                  <c:v>44651</c:v>
                </c:pt>
                <c:pt idx="398">
                  <c:v>44650</c:v>
                </c:pt>
                <c:pt idx="399">
                  <c:v>44649</c:v>
                </c:pt>
                <c:pt idx="400">
                  <c:v>44648</c:v>
                </c:pt>
                <c:pt idx="401">
                  <c:v>44645</c:v>
                </c:pt>
                <c:pt idx="402">
                  <c:v>44644</c:v>
                </c:pt>
                <c:pt idx="403">
                  <c:v>44643</c:v>
                </c:pt>
                <c:pt idx="404">
                  <c:v>44642</c:v>
                </c:pt>
                <c:pt idx="405">
                  <c:v>44641</c:v>
                </c:pt>
                <c:pt idx="406">
                  <c:v>44638</c:v>
                </c:pt>
                <c:pt idx="407">
                  <c:v>44637</c:v>
                </c:pt>
                <c:pt idx="408">
                  <c:v>44636</c:v>
                </c:pt>
                <c:pt idx="409">
                  <c:v>44635</c:v>
                </c:pt>
                <c:pt idx="410">
                  <c:v>44634</c:v>
                </c:pt>
                <c:pt idx="411">
                  <c:v>44631</c:v>
                </c:pt>
                <c:pt idx="412">
                  <c:v>44630</c:v>
                </c:pt>
                <c:pt idx="413">
                  <c:v>44629</c:v>
                </c:pt>
                <c:pt idx="414">
                  <c:v>44628</c:v>
                </c:pt>
                <c:pt idx="415">
                  <c:v>44627</c:v>
                </c:pt>
                <c:pt idx="416">
                  <c:v>44624</c:v>
                </c:pt>
                <c:pt idx="417">
                  <c:v>44623</c:v>
                </c:pt>
                <c:pt idx="418">
                  <c:v>44622</c:v>
                </c:pt>
                <c:pt idx="419">
                  <c:v>44621</c:v>
                </c:pt>
                <c:pt idx="420">
                  <c:v>44620</c:v>
                </c:pt>
                <c:pt idx="421">
                  <c:v>44617</c:v>
                </c:pt>
                <c:pt idx="422">
                  <c:v>44616</c:v>
                </c:pt>
                <c:pt idx="423">
                  <c:v>44615</c:v>
                </c:pt>
                <c:pt idx="424">
                  <c:v>44614</c:v>
                </c:pt>
                <c:pt idx="425">
                  <c:v>44613</c:v>
                </c:pt>
                <c:pt idx="426">
                  <c:v>44610</c:v>
                </c:pt>
                <c:pt idx="427">
                  <c:v>44609</c:v>
                </c:pt>
                <c:pt idx="428">
                  <c:v>44608</c:v>
                </c:pt>
                <c:pt idx="429">
                  <c:v>44607</c:v>
                </c:pt>
                <c:pt idx="430">
                  <c:v>44606</c:v>
                </c:pt>
                <c:pt idx="431">
                  <c:v>44603</c:v>
                </c:pt>
                <c:pt idx="432">
                  <c:v>44602</c:v>
                </c:pt>
                <c:pt idx="433">
                  <c:v>44601</c:v>
                </c:pt>
                <c:pt idx="434">
                  <c:v>44600</c:v>
                </c:pt>
                <c:pt idx="435">
                  <c:v>44599</c:v>
                </c:pt>
                <c:pt idx="436">
                  <c:v>44589</c:v>
                </c:pt>
                <c:pt idx="437">
                  <c:v>44588</c:v>
                </c:pt>
                <c:pt idx="438">
                  <c:v>44587</c:v>
                </c:pt>
                <c:pt idx="439">
                  <c:v>44586</c:v>
                </c:pt>
                <c:pt idx="440">
                  <c:v>44585</c:v>
                </c:pt>
                <c:pt idx="441">
                  <c:v>44582</c:v>
                </c:pt>
                <c:pt idx="442">
                  <c:v>44581</c:v>
                </c:pt>
                <c:pt idx="443">
                  <c:v>44580</c:v>
                </c:pt>
                <c:pt idx="444">
                  <c:v>44579</c:v>
                </c:pt>
                <c:pt idx="445">
                  <c:v>44578</c:v>
                </c:pt>
                <c:pt idx="446">
                  <c:v>44575</c:v>
                </c:pt>
                <c:pt idx="447">
                  <c:v>44574</c:v>
                </c:pt>
                <c:pt idx="448">
                  <c:v>44573</c:v>
                </c:pt>
                <c:pt idx="449">
                  <c:v>44572</c:v>
                </c:pt>
                <c:pt idx="450">
                  <c:v>44571</c:v>
                </c:pt>
                <c:pt idx="451">
                  <c:v>44568</c:v>
                </c:pt>
                <c:pt idx="452">
                  <c:v>44567</c:v>
                </c:pt>
                <c:pt idx="453">
                  <c:v>44566</c:v>
                </c:pt>
                <c:pt idx="454">
                  <c:v>44565</c:v>
                </c:pt>
                <c:pt idx="455">
                  <c:v>44561</c:v>
                </c:pt>
                <c:pt idx="456">
                  <c:v>44560</c:v>
                </c:pt>
                <c:pt idx="457">
                  <c:v>44559</c:v>
                </c:pt>
                <c:pt idx="458">
                  <c:v>44558</c:v>
                </c:pt>
                <c:pt idx="459">
                  <c:v>44557</c:v>
                </c:pt>
                <c:pt idx="460">
                  <c:v>44554</c:v>
                </c:pt>
                <c:pt idx="461">
                  <c:v>44553</c:v>
                </c:pt>
                <c:pt idx="462">
                  <c:v>44552</c:v>
                </c:pt>
                <c:pt idx="463">
                  <c:v>44551</c:v>
                </c:pt>
                <c:pt idx="464">
                  <c:v>44550</c:v>
                </c:pt>
                <c:pt idx="465">
                  <c:v>44547</c:v>
                </c:pt>
                <c:pt idx="466">
                  <c:v>44546</c:v>
                </c:pt>
                <c:pt idx="467">
                  <c:v>44545</c:v>
                </c:pt>
                <c:pt idx="468">
                  <c:v>44544</c:v>
                </c:pt>
                <c:pt idx="469">
                  <c:v>44543</c:v>
                </c:pt>
                <c:pt idx="470">
                  <c:v>44540</c:v>
                </c:pt>
                <c:pt idx="471">
                  <c:v>44539</c:v>
                </c:pt>
                <c:pt idx="472">
                  <c:v>44538</c:v>
                </c:pt>
                <c:pt idx="473">
                  <c:v>44537</c:v>
                </c:pt>
                <c:pt idx="474">
                  <c:v>44536</c:v>
                </c:pt>
                <c:pt idx="475">
                  <c:v>44533</c:v>
                </c:pt>
                <c:pt idx="476">
                  <c:v>44532</c:v>
                </c:pt>
                <c:pt idx="477">
                  <c:v>44531</c:v>
                </c:pt>
                <c:pt idx="478">
                  <c:v>44530</c:v>
                </c:pt>
                <c:pt idx="479">
                  <c:v>44529</c:v>
                </c:pt>
                <c:pt idx="480">
                  <c:v>44526</c:v>
                </c:pt>
                <c:pt idx="481">
                  <c:v>44525</c:v>
                </c:pt>
                <c:pt idx="482">
                  <c:v>44524</c:v>
                </c:pt>
                <c:pt idx="483">
                  <c:v>44523</c:v>
                </c:pt>
                <c:pt idx="484">
                  <c:v>44522</c:v>
                </c:pt>
                <c:pt idx="485">
                  <c:v>44519</c:v>
                </c:pt>
                <c:pt idx="486">
                  <c:v>44518</c:v>
                </c:pt>
                <c:pt idx="487">
                  <c:v>44517</c:v>
                </c:pt>
                <c:pt idx="488">
                  <c:v>44516</c:v>
                </c:pt>
                <c:pt idx="489">
                  <c:v>44515</c:v>
                </c:pt>
                <c:pt idx="490">
                  <c:v>44512</c:v>
                </c:pt>
                <c:pt idx="491">
                  <c:v>44511</c:v>
                </c:pt>
                <c:pt idx="492">
                  <c:v>44510</c:v>
                </c:pt>
                <c:pt idx="493">
                  <c:v>44509</c:v>
                </c:pt>
                <c:pt idx="494">
                  <c:v>44508</c:v>
                </c:pt>
                <c:pt idx="495">
                  <c:v>44505</c:v>
                </c:pt>
                <c:pt idx="496">
                  <c:v>44504</c:v>
                </c:pt>
                <c:pt idx="497">
                  <c:v>44503</c:v>
                </c:pt>
                <c:pt idx="498">
                  <c:v>44502</c:v>
                </c:pt>
                <c:pt idx="499">
                  <c:v>44501</c:v>
                </c:pt>
                <c:pt idx="500">
                  <c:v>44498</c:v>
                </c:pt>
                <c:pt idx="501">
                  <c:v>44497</c:v>
                </c:pt>
                <c:pt idx="502">
                  <c:v>44496</c:v>
                </c:pt>
                <c:pt idx="503">
                  <c:v>44495</c:v>
                </c:pt>
                <c:pt idx="504">
                  <c:v>44494</c:v>
                </c:pt>
                <c:pt idx="505">
                  <c:v>44491</c:v>
                </c:pt>
                <c:pt idx="506">
                  <c:v>44490</c:v>
                </c:pt>
                <c:pt idx="507">
                  <c:v>44489</c:v>
                </c:pt>
                <c:pt idx="508">
                  <c:v>44488</c:v>
                </c:pt>
                <c:pt idx="509">
                  <c:v>44487</c:v>
                </c:pt>
                <c:pt idx="510">
                  <c:v>44484</c:v>
                </c:pt>
                <c:pt idx="511">
                  <c:v>44483</c:v>
                </c:pt>
                <c:pt idx="512">
                  <c:v>44482</c:v>
                </c:pt>
                <c:pt idx="513">
                  <c:v>44481</c:v>
                </c:pt>
                <c:pt idx="514">
                  <c:v>44480</c:v>
                </c:pt>
                <c:pt idx="515">
                  <c:v>44477</c:v>
                </c:pt>
                <c:pt idx="516">
                  <c:v>44476</c:v>
                </c:pt>
                <c:pt idx="517">
                  <c:v>44475</c:v>
                </c:pt>
                <c:pt idx="518">
                  <c:v>44474</c:v>
                </c:pt>
                <c:pt idx="519">
                  <c:v>44473</c:v>
                </c:pt>
                <c:pt idx="520">
                  <c:v>44470</c:v>
                </c:pt>
                <c:pt idx="521">
                  <c:v>44469</c:v>
                </c:pt>
                <c:pt idx="522">
                  <c:v>44468</c:v>
                </c:pt>
                <c:pt idx="523">
                  <c:v>44467</c:v>
                </c:pt>
                <c:pt idx="524">
                  <c:v>44466</c:v>
                </c:pt>
                <c:pt idx="525">
                  <c:v>44463</c:v>
                </c:pt>
                <c:pt idx="526">
                  <c:v>44462</c:v>
                </c:pt>
                <c:pt idx="527">
                  <c:v>44461</c:v>
                </c:pt>
                <c:pt idx="528">
                  <c:v>44460</c:v>
                </c:pt>
                <c:pt idx="529">
                  <c:v>44459</c:v>
                </c:pt>
                <c:pt idx="530">
                  <c:v>44456</c:v>
                </c:pt>
                <c:pt idx="531">
                  <c:v>44455</c:v>
                </c:pt>
                <c:pt idx="532">
                  <c:v>44454</c:v>
                </c:pt>
                <c:pt idx="533">
                  <c:v>44453</c:v>
                </c:pt>
                <c:pt idx="534">
                  <c:v>44452</c:v>
                </c:pt>
                <c:pt idx="535">
                  <c:v>44449</c:v>
                </c:pt>
                <c:pt idx="536">
                  <c:v>44448</c:v>
                </c:pt>
                <c:pt idx="537">
                  <c:v>44447</c:v>
                </c:pt>
                <c:pt idx="538">
                  <c:v>44446</c:v>
                </c:pt>
                <c:pt idx="539">
                  <c:v>44445</c:v>
                </c:pt>
                <c:pt idx="540">
                  <c:v>44440</c:v>
                </c:pt>
                <c:pt idx="541">
                  <c:v>44439</c:v>
                </c:pt>
                <c:pt idx="542">
                  <c:v>44438</c:v>
                </c:pt>
                <c:pt idx="543">
                  <c:v>44435</c:v>
                </c:pt>
                <c:pt idx="544">
                  <c:v>44434</c:v>
                </c:pt>
                <c:pt idx="545">
                  <c:v>44433</c:v>
                </c:pt>
                <c:pt idx="546">
                  <c:v>44432</c:v>
                </c:pt>
                <c:pt idx="547">
                  <c:v>44431</c:v>
                </c:pt>
                <c:pt idx="548">
                  <c:v>44428</c:v>
                </c:pt>
                <c:pt idx="549">
                  <c:v>44427</c:v>
                </c:pt>
                <c:pt idx="550">
                  <c:v>44426</c:v>
                </c:pt>
                <c:pt idx="551">
                  <c:v>44425</c:v>
                </c:pt>
                <c:pt idx="552">
                  <c:v>44424</c:v>
                </c:pt>
                <c:pt idx="553">
                  <c:v>44421</c:v>
                </c:pt>
                <c:pt idx="554">
                  <c:v>44420</c:v>
                </c:pt>
                <c:pt idx="555">
                  <c:v>44419</c:v>
                </c:pt>
                <c:pt idx="556">
                  <c:v>44418</c:v>
                </c:pt>
                <c:pt idx="557">
                  <c:v>44417</c:v>
                </c:pt>
                <c:pt idx="558">
                  <c:v>44414</c:v>
                </c:pt>
                <c:pt idx="559">
                  <c:v>44413</c:v>
                </c:pt>
                <c:pt idx="560">
                  <c:v>44412</c:v>
                </c:pt>
                <c:pt idx="561">
                  <c:v>44411</c:v>
                </c:pt>
                <c:pt idx="562">
                  <c:v>44410</c:v>
                </c:pt>
                <c:pt idx="563">
                  <c:v>44407</c:v>
                </c:pt>
                <c:pt idx="564">
                  <c:v>44406</c:v>
                </c:pt>
                <c:pt idx="565">
                  <c:v>44405</c:v>
                </c:pt>
                <c:pt idx="566">
                  <c:v>44404</c:v>
                </c:pt>
                <c:pt idx="567">
                  <c:v>44403</c:v>
                </c:pt>
                <c:pt idx="568">
                  <c:v>44400</c:v>
                </c:pt>
                <c:pt idx="569">
                  <c:v>44399</c:v>
                </c:pt>
                <c:pt idx="570">
                  <c:v>44398</c:v>
                </c:pt>
                <c:pt idx="571">
                  <c:v>44397</c:v>
                </c:pt>
                <c:pt idx="572">
                  <c:v>44396</c:v>
                </c:pt>
                <c:pt idx="573">
                  <c:v>44393</c:v>
                </c:pt>
                <c:pt idx="574">
                  <c:v>44392</c:v>
                </c:pt>
                <c:pt idx="575">
                  <c:v>44391</c:v>
                </c:pt>
                <c:pt idx="576">
                  <c:v>44390</c:v>
                </c:pt>
                <c:pt idx="577">
                  <c:v>44389</c:v>
                </c:pt>
                <c:pt idx="578">
                  <c:v>44386</c:v>
                </c:pt>
                <c:pt idx="579">
                  <c:v>44385</c:v>
                </c:pt>
                <c:pt idx="580">
                  <c:v>44384</c:v>
                </c:pt>
                <c:pt idx="581">
                  <c:v>44383</c:v>
                </c:pt>
                <c:pt idx="582">
                  <c:v>44382</c:v>
                </c:pt>
                <c:pt idx="583">
                  <c:v>44379</c:v>
                </c:pt>
                <c:pt idx="584">
                  <c:v>44378</c:v>
                </c:pt>
                <c:pt idx="585">
                  <c:v>44377</c:v>
                </c:pt>
                <c:pt idx="586">
                  <c:v>44376</c:v>
                </c:pt>
                <c:pt idx="587">
                  <c:v>44375</c:v>
                </c:pt>
                <c:pt idx="588">
                  <c:v>44372</c:v>
                </c:pt>
                <c:pt idx="589">
                  <c:v>44371</c:v>
                </c:pt>
                <c:pt idx="590">
                  <c:v>44370</c:v>
                </c:pt>
                <c:pt idx="591">
                  <c:v>44369</c:v>
                </c:pt>
                <c:pt idx="592">
                  <c:v>44368</c:v>
                </c:pt>
                <c:pt idx="593">
                  <c:v>44365</c:v>
                </c:pt>
                <c:pt idx="594">
                  <c:v>44364</c:v>
                </c:pt>
                <c:pt idx="595">
                  <c:v>44363</c:v>
                </c:pt>
                <c:pt idx="596">
                  <c:v>44362</c:v>
                </c:pt>
                <c:pt idx="597">
                  <c:v>44361</c:v>
                </c:pt>
                <c:pt idx="598">
                  <c:v>44358</c:v>
                </c:pt>
                <c:pt idx="599">
                  <c:v>44357</c:v>
                </c:pt>
                <c:pt idx="600">
                  <c:v>44356</c:v>
                </c:pt>
                <c:pt idx="601">
                  <c:v>44355</c:v>
                </c:pt>
                <c:pt idx="602">
                  <c:v>44354</c:v>
                </c:pt>
                <c:pt idx="603">
                  <c:v>44351</c:v>
                </c:pt>
                <c:pt idx="604">
                  <c:v>44350</c:v>
                </c:pt>
                <c:pt idx="605">
                  <c:v>44349</c:v>
                </c:pt>
                <c:pt idx="606">
                  <c:v>44348</c:v>
                </c:pt>
                <c:pt idx="607">
                  <c:v>44347</c:v>
                </c:pt>
                <c:pt idx="608">
                  <c:v>44344</c:v>
                </c:pt>
                <c:pt idx="609">
                  <c:v>44343</c:v>
                </c:pt>
                <c:pt idx="610">
                  <c:v>44342</c:v>
                </c:pt>
                <c:pt idx="611">
                  <c:v>44341</c:v>
                </c:pt>
                <c:pt idx="612">
                  <c:v>44340</c:v>
                </c:pt>
                <c:pt idx="613">
                  <c:v>44337</c:v>
                </c:pt>
                <c:pt idx="614">
                  <c:v>44336</c:v>
                </c:pt>
                <c:pt idx="615">
                  <c:v>44335</c:v>
                </c:pt>
                <c:pt idx="616">
                  <c:v>44334</c:v>
                </c:pt>
                <c:pt idx="617">
                  <c:v>44333</c:v>
                </c:pt>
                <c:pt idx="618">
                  <c:v>44330</c:v>
                </c:pt>
                <c:pt idx="619">
                  <c:v>44329</c:v>
                </c:pt>
                <c:pt idx="620">
                  <c:v>44328</c:v>
                </c:pt>
                <c:pt idx="621">
                  <c:v>44327</c:v>
                </c:pt>
                <c:pt idx="622">
                  <c:v>44326</c:v>
                </c:pt>
                <c:pt idx="623">
                  <c:v>44323</c:v>
                </c:pt>
                <c:pt idx="624">
                  <c:v>44322</c:v>
                </c:pt>
                <c:pt idx="625">
                  <c:v>44321</c:v>
                </c:pt>
                <c:pt idx="626">
                  <c:v>44320</c:v>
                </c:pt>
                <c:pt idx="627">
                  <c:v>44315</c:v>
                </c:pt>
                <c:pt idx="628">
                  <c:v>44314</c:v>
                </c:pt>
                <c:pt idx="629">
                  <c:v>44313</c:v>
                </c:pt>
                <c:pt idx="630">
                  <c:v>44312</c:v>
                </c:pt>
                <c:pt idx="631">
                  <c:v>44309</c:v>
                </c:pt>
                <c:pt idx="632">
                  <c:v>44308</c:v>
                </c:pt>
                <c:pt idx="633">
                  <c:v>44306</c:v>
                </c:pt>
                <c:pt idx="634">
                  <c:v>44305</c:v>
                </c:pt>
                <c:pt idx="635">
                  <c:v>44302</c:v>
                </c:pt>
                <c:pt idx="636">
                  <c:v>44301</c:v>
                </c:pt>
                <c:pt idx="637">
                  <c:v>44300</c:v>
                </c:pt>
                <c:pt idx="638">
                  <c:v>44299</c:v>
                </c:pt>
                <c:pt idx="639">
                  <c:v>44298</c:v>
                </c:pt>
                <c:pt idx="640">
                  <c:v>44295</c:v>
                </c:pt>
                <c:pt idx="641">
                  <c:v>44294</c:v>
                </c:pt>
                <c:pt idx="642">
                  <c:v>44293</c:v>
                </c:pt>
                <c:pt idx="643">
                  <c:v>44292</c:v>
                </c:pt>
                <c:pt idx="644">
                  <c:v>44291</c:v>
                </c:pt>
                <c:pt idx="645">
                  <c:v>44288</c:v>
                </c:pt>
                <c:pt idx="646">
                  <c:v>44287</c:v>
                </c:pt>
                <c:pt idx="647">
                  <c:v>44286</c:v>
                </c:pt>
                <c:pt idx="648">
                  <c:v>44285</c:v>
                </c:pt>
                <c:pt idx="649">
                  <c:v>44284</c:v>
                </c:pt>
                <c:pt idx="650">
                  <c:v>44281</c:v>
                </c:pt>
                <c:pt idx="651">
                  <c:v>44280</c:v>
                </c:pt>
                <c:pt idx="652">
                  <c:v>44279</c:v>
                </c:pt>
                <c:pt idx="653">
                  <c:v>44278</c:v>
                </c:pt>
                <c:pt idx="654">
                  <c:v>44277</c:v>
                </c:pt>
                <c:pt idx="655">
                  <c:v>44274</c:v>
                </c:pt>
                <c:pt idx="656">
                  <c:v>44273</c:v>
                </c:pt>
                <c:pt idx="657">
                  <c:v>44272</c:v>
                </c:pt>
                <c:pt idx="658">
                  <c:v>44271</c:v>
                </c:pt>
                <c:pt idx="659">
                  <c:v>44270</c:v>
                </c:pt>
                <c:pt idx="660">
                  <c:v>44267</c:v>
                </c:pt>
                <c:pt idx="661">
                  <c:v>44266</c:v>
                </c:pt>
                <c:pt idx="662">
                  <c:v>44265</c:v>
                </c:pt>
                <c:pt idx="663">
                  <c:v>44264</c:v>
                </c:pt>
                <c:pt idx="664">
                  <c:v>44263</c:v>
                </c:pt>
                <c:pt idx="665">
                  <c:v>44260</c:v>
                </c:pt>
                <c:pt idx="666">
                  <c:v>44259</c:v>
                </c:pt>
                <c:pt idx="667">
                  <c:v>44258</c:v>
                </c:pt>
                <c:pt idx="668">
                  <c:v>44257</c:v>
                </c:pt>
                <c:pt idx="669">
                  <c:v>44256</c:v>
                </c:pt>
                <c:pt idx="670">
                  <c:v>44253</c:v>
                </c:pt>
                <c:pt idx="671">
                  <c:v>44252</c:v>
                </c:pt>
                <c:pt idx="672">
                  <c:v>44251</c:v>
                </c:pt>
                <c:pt idx="673">
                  <c:v>44250</c:v>
                </c:pt>
                <c:pt idx="674">
                  <c:v>44249</c:v>
                </c:pt>
                <c:pt idx="675">
                  <c:v>44246</c:v>
                </c:pt>
                <c:pt idx="676">
                  <c:v>44245</c:v>
                </c:pt>
                <c:pt idx="677">
                  <c:v>44244</c:v>
                </c:pt>
                <c:pt idx="678">
                  <c:v>44236</c:v>
                </c:pt>
                <c:pt idx="679">
                  <c:v>44235</c:v>
                </c:pt>
                <c:pt idx="680">
                  <c:v>44232</c:v>
                </c:pt>
                <c:pt idx="681">
                  <c:v>44231</c:v>
                </c:pt>
                <c:pt idx="682">
                  <c:v>44230</c:v>
                </c:pt>
                <c:pt idx="683">
                  <c:v>44229</c:v>
                </c:pt>
                <c:pt idx="684">
                  <c:v>44228</c:v>
                </c:pt>
                <c:pt idx="685">
                  <c:v>44225</c:v>
                </c:pt>
                <c:pt idx="686">
                  <c:v>44224</c:v>
                </c:pt>
                <c:pt idx="687">
                  <c:v>44223</c:v>
                </c:pt>
                <c:pt idx="688">
                  <c:v>44222</c:v>
                </c:pt>
                <c:pt idx="689">
                  <c:v>44221</c:v>
                </c:pt>
                <c:pt idx="690">
                  <c:v>44218</c:v>
                </c:pt>
                <c:pt idx="691">
                  <c:v>44217</c:v>
                </c:pt>
                <c:pt idx="692">
                  <c:v>44216</c:v>
                </c:pt>
                <c:pt idx="693">
                  <c:v>44215</c:v>
                </c:pt>
                <c:pt idx="694">
                  <c:v>44214</c:v>
                </c:pt>
                <c:pt idx="695">
                  <c:v>44211</c:v>
                </c:pt>
                <c:pt idx="696">
                  <c:v>44210</c:v>
                </c:pt>
                <c:pt idx="697">
                  <c:v>44209</c:v>
                </c:pt>
                <c:pt idx="698">
                  <c:v>44208</c:v>
                </c:pt>
                <c:pt idx="699">
                  <c:v>44207</c:v>
                </c:pt>
                <c:pt idx="700">
                  <c:v>44204</c:v>
                </c:pt>
                <c:pt idx="701">
                  <c:v>44203</c:v>
                </c:pt>
                <c:pt idx="702">
                  <c:v>44202</c:v>
                </c:pt>
                <c:pt idx="703">
                  <c:v>44201</c:v>
                </c:pt>
                <c:pt idx="704">
                  <c:v>44200</c:v>
                </c:pt>
                <c:pt idx="705">
                  <c:v>44196</c:v>
                </c:pt>
                <c:pt idx="706">
                  <c:v>44195</c:v>
                </c:pt>
                <c:pt idx="707">
                  <c:v>44194</c:v>
                </c:pt>
                <c:pt idx="708">
                  <c:v>44193</c:v>
                </c:pt>
                <c:pt idx="709">
                  <c:v>44190</c:v>
                </c:pt>
                <c:pt idx="710">
                  <c:v>44189</c:v>
                </c:pt>
                <c:pt idx="711">
                  <c:v>44188</c:v>
                </c:pt>
                <c:pt idx="712">
                  <c:v>44187</c:v>
                </c:pt>
                <c:pt idx="713">
                  <c:v>44186</c:v>
                </c:pt>
                <c:pt idx="714">
                  <c:v>44183</c:v>
                </c:pt>
                <c:pt idx="715">
                  <c:v>44182</c:v>
                </c:pt>
                <c:pt idx="716">
                  <c:v>44181</c:v>
                </c:pt>
                <c:pt idx="717">
                  <c:v>44180</c:v>
                </c:pt>
                <c:pt idx="718">
                  <c:v>44179</c:v>
                </c:pt>
                <c:pt idx="719">
                  <c:v>44176</c:v>
                </c:pt>
                <c:pt idx="720">
                  <c:v>44175</c:v>
                </c:pt>
                <c:pt idx="721">
                  <c:v>44174</c:v>
                </c:pt>
                <c:pt idx="722">
                  <c:v>44173</c:v>
                </c:pt>
                <c:pt idx="723">
                  <c:v>44172</c:v>
                </c:pt>
                <c:pt idx="724">
                  <c:v>44169</c:v>
                </c:pt>
                <c:pt idx="725">
                  <c:v>44168</c:v>
                </c:pt>
                <c:pt idx="726">
                  <c:v>44167</c:v>
                </c:pt>
                <c:pt idx="727">
                  <c:v>44166</c:v>
                </c:pt>
                <c:pt idx="728">
                  <c:v>44165</c:v>
                </c:pt>
                <c:pt idx="729">
                  <c:v>44162</c:v>
                </c:pt>
                <c:pt idx="730">
                  <c:v>44161</c:v>
                </c:pt>
                <c:pt idx="731">
                  <c:v>44160</c:v>
                </c:pt>
                <c:pt idx="732">
                  <c:v>44159</c:v>
                </c:pt>
                <c:pt idx="733">
                  <c:v>44158</c:v>
                </c:pt>
                <c:pt idx="734">
                  <c:v>44155</c:v>
                </c:pt>
                <c:pt idx="735">
                  <c:v>44154</c:v>
                </c:pt>
                <c:pt idx="736">
                  <c:v>44153</c:v>
                </c:pt>
                <c:pt idx="737">
                  <c:v>44152</c:v>
                </c:pt>
                <c:pt idx="738">
                  <c:v>44151</c:v>
                </c:pt>
                <c:pt idx="739">
                  <c:v>44148</c:v>
                </c:pt>
                <c:pt idx="740">
                  <c:v>44147</c:v>
                </c:pt>
                <c:pt idx="741">
                  <c:v>44146</c:v>
                </c:pt>
                <c:pt idx="742">
                  <c:v>44145</c:v>
                </c:pt>
                <c:pt idx="743">
                  <c:v>44144</c:v>
                </c:pt>
                <c:pt idx="744">
                  <c:v>44141</c:v>
                </c:pt>
                <c:pt idx="745">
                  <c:v>44140</c:v>
                </c:pt>
                <c:pt idx="746">
                  <c:v>44139</c:v>
                </c:pt>
                <c:pt idx="747">
                  <c:v>44138</c:v>
                </c:pt>
                <c:pt idx="748">
                  <c:v>44137</c:v>
                </c:pt>
                <c:pt idx="749">
                  <c:v>44134</c:v>
                </c:pt>
                <c:pt idx="750">
                  <c:v>44133</c:v>
                </c:pt>
                <c:pt idx="751">
                  <c:v>44132</c:v>
                </c:pt>
                <c:pt idx="752">
                  <c:v>44131</c:v>
                </c:pt>
                <c:pt idx="753">
                  <c:v>44130</c:v>
                </c:pt>
                <c:pt idx="754">
                  <c:v>44127</c:v>
                </c:pt>
                <c:pt idx="755">
                  <c:v>44126</c:v>
                </c:pt>
                <c:pt idx="756">
                  <c:v>44125</c:v>
                </c:pt>
                <c:pt idx="757">
                  <c:v>44124</c:v>
                </c:pt>
                <c:pt idx="758">
                  <c:v>44123</c:v>
                </c:pt>
                <c:pt idx="759">
                  <c:v>44120</c:v>
                </c:pt>
                <c:pt idx="760">
                  <c:v>44119</c:v>
                </c:pt>
                <c:pt idx="761">
                  <c:v>44118</c:v>
                </c:pt>
                <c:pt idx="762">
                  <c:v>44117</c:v>
                </c:pt>
                <c:pt idx="763">
                  <c:v>44116</c:v>
                </c:pt>
                <c:pt idx="764">
                  <c:v>44113</c:v>
                </c:pt>
                <c:pt idx="765">
                  <c:v>44112</c:v>
                </c:pt>
                <c:pt idx="766">
                  <c:v>44111</c:v>
                </c:pt>
                <c:pt idx="767">
                  <c:v>44110</c:v>
                </c:pt>
                <c:pt idx="768">
                  <c:v>44109</c:v>
                </c:pt>
                <c:pt idx="769">
                  <c:v>44106</c:v>
                </c:pt>
                <c:pt idx="770">
                  <c:v>44105</c:v>
                </c:pt>
              </c:numCache>
            </c:numRef>
          </c:cat>
          <c:val>
            <c:numRef>
              <c:f>'C. Peers'!$J$5:$J$775</c:f>
              <c:numCache>
                <c:formatCode>0%</c:formatCode>
                <c:ptCount val="771"/>
                <c:pt idx="0">
                  <c:v>0.12093838824177333</c:v>
                </c:pt>
                <c:pt idx="1">
                  <c:v>0.12093838824177333</c:v>
                </c:pt>
                <c:pt idx="2">
                  <c:v>0.12093838824177333</c:v>
                </c:pt>
                <c:pt idx="3">
                  <c:v>0.12093838824177333</c:v>
                </c:pt>
                <c:pt idx="4">
                  <c:v>0.12093838824177333</c:v>
                </c:pt>
                <c:pt idx="5">
                  <c:v>0.12093838824177333</c:v>
                </c:pt>
                <c:pt idx="6">
                  <c:v>0.12093838824177333</c:v>
                </c:pt>
                <c:pt idx="7">
                  <c:v>0.12093838824177333</c:v>
                </c:pt>
                <c:pt idx="8">
                  <c:v>0.12093838824177333</c:v>
                </c:pt>
                <c:pt idx="9">
                  <c:v>0.12093838824177333</c:v>
                </c:pt>
                <c:pt idx="10">
                  <c:v>0.12093838824177333</c:v>
                </c:pt>
                <c:pt idx="11">
                  <c:v>0.12093838824177333</c:v>
                </c:pt>
                <c:pt idx="12">
                  <c:v>0.12093838824177333</c:v>
                </c:pt>
                <c:pt idx="13">
                  <c:v>0.12093838824177333</c:v>
                </c:pt>
                <c:pt idx="14">
                  <c:v>0.12093838824177333</c:v>
                </c:pt>
                <c:pt idx="15">
                  <c:v>0.12093838824177333</c:v>
                </c:pt>
                <c:pt idx="16">
                  <c:v>0.12093838824177333</c:v>
                </c:pt>
                <c:pt idx="17">
                  <c:v>0.12093838824177333</c:v>
                </c:pt>
                <c:pt idx="18">
                  <c:v>0.12093838824177333</c:v>
                </c:pt>
                <c:pt idx="19">
                  <c:v>0.12093838824177333</c:v>
                </c:pt>
                <c:pt idx="20">
                  <c:v>0.12093838824177333</c:v>
                </c:pt>
                <c:pt idx="21">
                  <c:v>0.12093838824177333</c:v>
                </c:pt>
                <c:pt idx="22">
                  <c:v>0.12093838824177333</c:v>
                </c:pt>
                <c:pt idx="23">
                  <c:v>0.12093838824177333</c:v>
                </c:pt>
                <c:pt idx="24">
                  <c:v>0.12093838824177333</c:v>
                </c:pt>
                <c:pt idx="25">
                  <c:v>0.12093838824177333</c:v>
                </c:pt>
                <c:pt idx="26">
                  <c:v>0.12093838824177333</c:v>
                </c:pt>
                <c:pt idx="27">
                  <c:v>0.12093838824177333</c:v>
                </c:pt>
                <c:pt idx="28">
                  <c:v>0.12093838824177333</c:v>
                </c:pt>
                <c:pt idx="29">
                  <c:v>0.12093838824177333</c:v>
                </c:pt>
                <c:pt idx="30">
                  <c:v>0.12093838824177333</c:v>
                </c:pt>
                <c:pt idx="31">
                  <c:v>0.12093838824177333</c:v>
                </c:pt>
                <c:pt idx="32">
                  <c:v>0.12093838824177333</c:v>
                </c:pt>
                <c:pt idx="33">
                  <c:v>0.12093838824177333</c:v>
                </c:pt>
                <c:pt idx="34">
                  <c:v>0.12093838824177333</c:v>
                </c:pt>
                <c:pt idx="35">
                  <c:v>0.12093838824177333</c:v>
                </c:pt>
                <c:pt idx="36">
                  <c:v>0.12093838824177333</c:v>
                </c:pt>
                <c:pt idx="37">
                  <c:v>0.12093838824177333</c:v>
                </c:pt>
                <c:pt idx="38">
                  <c:v>0.12093838824177333</c:v>
                </c:pt>
                <c:pt idx="39">
                  <c:v>0.12093838824177333</c:v>
                </c:pt>
                <c:pt idx="40">
                  <c:v>0.12093838824177333</c:v>
                </c:pt>
                <c:pt idx="41">
                  <c:v>0.12093838824177333</c:v>
                </c:pt>
                <c:pt idx="42">
                  <c:v>0.12093838824177333</c:v>
                </c:pt>
                <c:pt idx="43">
                  <c:v>0.12093838824177333</c:v>
                </c:pt>
                <c:pt idx="44">
                  <c:v>0.12093838824177333</c:v>
                </c:pt>
                <c:pt idx="45">
                  <c:v>0.12093838824177333</c:v>
                </c:pt>
                <c:pt idx="46">
                  <c:v>0.12093838824177333</c:v>
                </c:pt>
                <c:pt idx="47">
                  <c:v>0.12093838824177333</c:v>
                </c:pt>
                <c:pt idx="48">
                  <c:v>0.12093838824177333</c:v>
                </c:pt>
                <c:pt idx="49">
                  <c:v>0.12093838824177333</c:v>
                </c:pt>
                <c:pt idx="50">
                  <c:v>0.12093838824177333</c:v>
                </c:pt>
                <c:pt idx="51">
                  <c:v>0.12093838824177333</c:v>
                </c:pt>
                <c:pt idx="52">
                  <c:v>0.12093838824177333</c:v>
                </c:pt>
                <c:pt idx="53">
                  <c:v>0.12093838824177333</c:v>
                </c:pt>
                <c:pt idx="54">
                  <c:v>0.12093838824177333</c:v>
                </c:pt>
                <c:pt idx="55">
                  <c:v>0.12093838824177333</c:v>
                </c:pt>
                <c:pt idx="56">
                  <c:v>0.12093838824177333</c:v>
                </c:pt>
                <c:pt idx="57">
                  <c:v>0.12093838824177333</c:v>
                </c:pt>
                <c:pt idx="58">
                  <c:v>0.12093838824177333</c:v>
                </c:pt>
                <c:pt idx="59">
                  <c:v>0.12093838824177333</c:v>
                </c:pt>
                <c:pt idx="60">
                  <c:v>0.12093838824177333</c:v>
                </c:pt>
                <c:pt idx="61">
                  <c:v>0.12093838824177333</c:v>
                </c:pt>
                <c:pt idx="62">
                  <c:v>0.12093838824177333</c:v>
                </c:pt>
                <c:pt idx="63">
                  <c:v>0.12093838824177333</c:v>
                </c:pt>
                <c:pt idx="64">
                  <c:v>0.12093838824177333</c:v>
                </c:pt>
                <c:pt idx="65">
                  <c:v>0.12093838824177333</c:v>
                </c:pt>
                <c:pt idx="66">
                  <c:v>0.12093838824177333</c:v>
                </c:pt>
                <c:pt idx="67">
                  <c:v>0.12093838824177333</c:v>
                </c:pt>
                <c:pt idx="68">
                  <c:v>0.12093838824177333</c:v>
                </c:pt>
                <c:pt idx="69">
                  <c:v>0.12093838824177333</c:v>
                </c:pt>
                <c:pt idx="70">
                  <c:v>0.12093838824177333</c:v>
                </c:pt>
                <c:pt idx="71">
                  <c:v>0.12093838824177333</c:v>
                </c:pt>
                <c:pt idx="72">
                  <c:v>0.12093838824177333</c:v>
                </c:pt>
                <c:pt idx="73">
                  <c:v>0.12093838824177333</c:v>
                </c:pt>
                <c:pt idx="74">
                  <c:v>0.12093838824177333</c:v>
                </c:pt>
                <c:pt idx="75">
                  <c:v>0.12093838824177333</c:v>
                </c:pt>
                <c:pt idx="76">
                  <c:v>0.12093838824177333</c:v>
                </c:pt>
                <c:pt idx="77">
                  <c:v>0.12093838824177333</c:v>
                </c:pt>
                <c:pt idx="78">
                  <c:v>0.12093838824177333</c:v>
                </c:pt>
                <c:pt idx="79">
                  <c:v>0.12093838824177333</c:v>
                </c:pt>
                <c:pt idx="80">
                  <c:v>0.12093838824177333</c:v>
                </c:pt>
                <c:pt idx="81">
                  <c:v>0.12093838824177333</c:v>
                </c:pt>
                <c:pt idx="82">
                  <c:v>0.12093838824177333</c:v>
                </c:pt>
                <c:pt idx="83">
                  <c:v>0.12093838824177333</c:v>
                </c:pt>
                <c:pt idx="84">
                  <c:v>0.12093838824177333</c:v>
                </c:pt>
                <c:pt idx="85">
                  <c:v>0.12093838824177333</c:v>
                </c:pt>
                <c:pt idx="86">
                  <c:v>0.12093838824177333</c:v>
                </c:pt>
                <c:pt idx="87">
                  <c:v>0.12093838824177333</c:v>
                </c:pt>
                <c:pt idx="88">
                  <c:v>0.12093838824177333</c:v>
                </c:pt>
                <c:pt idx="89">
                  <c:v>0.12093838824177333</c:v>
                </c:pt>
                <c:pt idx="90">
                  <c:v>0.12093838824177333</c:v>
                </c:pt>
                <c:pt idx="91">
                  <c:v>0.12093838824177333</c:v>
                </c:pt>
                <c:pt idx="92">
                  <c:v>0.12093838824177333</c:v>
                </c:pt>
                <c:pt idx="93">
                  <c:v>0.12093838824177333</c:v>
                </c:pt>
                <c:pt idx="94">
                  <c:v>0.12093838824177333</c:v>
                </c:pt>
                <c:pt idx="95">
                  <c:v>0.12093838824177333</c:v>
                </c:pt>
                <c:pt idx="96">
                  <c:v>0.12093838824177333</c:v>
                </c:pt>
                <c:pt idx="97">
                  <c:v>0.12093838824177333</c:v>
                </c:pt>
                <c:pt idx="98">
                  <c:v>0.12093838824177333</c:v>
                </c:pt>
                <c:pt idx="99">
                  <c:v>0.12093838824177333</c:v>
                </c:pt>
                <c:pt idx="100">
                  <c:v>0.12093838824177333</c:v>
                </c:pt>
                <c:pt idx="101">
                  <c:v>0.12093838824177333</c:v>
                </c:pt>
                <c:pt idx="102">
                  <c:v>0.12093838824177333</c:v>
                </c:pt>
                <c:pt idx="103">
                  <c:v>0.12093838824177333</c:v>
                </c:pt>
                <c:pt idx="104">
                  <c:v>0.12093838824177333</c:v>
                </c:pt>
                <c:pt idx="105">
                  <c:v>0.12093838824177333</c:v>
                </c:pt>
                <c:pt idx="106">
                  <c:v>0.12093838824177333</c:v>
                </c:pt>
                <c:pt idx="107">
                  <c:v>0.12093838824177333</c:v>
                </c:pt>
                <c:pt idx="108">
                  <c:v>0.12093838824177333</c:v>
                </c:pt>
                <c:pt idx="109">
                  <c:v>0.12093838824177333</c:v>
                </c:pt>
                <c:pt idx="110">
                  <c:v>0.12093838824177333</c:v>
                </c:pt>
                <c:pt idx="111">
                  <c:v>0.12093838824177333</c:v>
                </c:pt>
                <c:pt idx="112">
                  <c:v>0.12093838824177333</c:v>
                </c:pt>
                <c:pt idx="113">
                  <c:v>0.12093838824177333</c:v>
                </c:pt>
                <c:pt idx="114">
                  <c:v>0.12093838824177333</c:v>
                </c:pt>
                <c:pt idx="115">
                  <c:v>0.12093838824177333</c:v>
                </c:pt>
                <c:pt idx="116">
                  <c:v>0.12093838824177333</c:v>
                </c:pt>
                <c:pt idx="117">
                  <c:v>0.12093838824177333</c:v>
                </c:pt>
                <c:pt idx="118">
                  <c:v>0.12093838824177333</c:v>
                </c:pt>
                <c:pt idx="119">
                  <c:v>0.12093838824177333</c:v>
                </c:pt>
                <c:pt idx="120">
                  <c:v>0.12093838824177333</c:v>
                </c:pt>
                <c:pt idx="121">
                  <c:v>0.12093838824177333</c:v>
                </c:pt>
                <c:pt idx="122">
                  <c:v>0.12093838824177333</c:v>
                </c:pt>
                <c:pt idx="123">
                  <c:v>0.12093838824177333</c:v>
                </c:pt>
                <c:pt idx="124">
                  <c:v>0.12093838824177333</c:v>
                </c:pt>
                <c:pt idx="125">
                  <c:v>0.12093838824177333</c:v>
                </c:pt>
                <c:pt idx="126">
                  <c:v>0.12093838824177333</c:v>
                </c:pt>
                <c:pt idx="127">
                  <c:v>0.12093838824177333</c:v>
                </c:pt>
                <c:pt idx="128">
                  <c:v>0.12093838824177333</c:v>
                </c:pt>
                <c:pt idx="129">
                  <c:v>0.12093838824177333</c:v>
                </c:pt>
                <c:pt idx="130">
                  <c:v>0.12093838824177333</c:v>
                </c:pt>
                <c:pt idx="131">
                  <c:v>0.12093838824177333</c:v>
                </c:pt>
                <c:pt idx="132">
                  <c:v>0.12093838824177333</c:v>
                </c:pt>
                <c:pt idx="133">
                  <c:v>0.12093838824177333</c:v>
                </c:pt>
                <c:pt idx="134">
                  <c:v>0.12093838824177333</c:v>
                </c:pt>
                <c:pt idx="135">
                  <c:v>0.12093838824177333</c:v>
                </c:pt>
                <c:pt idx="136">
                  <c:v>0.12093838824177333</c:v>
                </c:pt>
                <c:pt idx="137">
                  <c:v>0.12093838824177333</c:v>
                </c:pt>
                <c:pt idx="138">
                  <c:v>0.12093838824177333</c:v>
                </c:pt>
                <c:pt idx="139">
                  <c:v>0.12093838824177333</c:v>
                </c:pt>
                <c:pt idx="140">
                  <c:v>0.12093838824177333</c:v>
                </c:pt>
                <c:pt idx="141">
                  <c:v>0.12093838824177333</c:v>
                </c:pt>
                <c:pt idx="142">
                  <c:v>0.12093838824177333</c:v>
                </c:pt>
                <c:pt idx="143">
                  <c:v>0.12093838824177333</c:v>
                </c:pt>
                <c:pt idx="144">
                  <c:v>0.12093838824177333</c:v>
                </c:pt>
                <c:pt idx="145">
                  <c:v>0.12093838824177333</c:v>
                </c:pt>
                <c:pt idx="146">
                  <c:v>0.12093838824177333</c:v>
                </c:pt>
                <c:pt idx="147">
                  <c:v>0.12093838824177333</c:v>
                </c:pt>
                <c:pt idx="148">
                  <c:v>0.12093838824177333</c:v>
                </c:pt>
                <c:pt idx="149">
                  <c:v>0.12093838824177333</c:v>
                </c:pt>
                <c:pt idx="150">
                  <c:v>0.12093838824177333</c:v>
                </c:pt>
                <c:pt idx="151">
                  <c:v>0.12093838824177333</c:v>
                </c:pt>
                <c:pt idx="152">
                  <c:v>0.12093838824177333</c:v>
                </c:pt>
                <c:pt idx="153">
                  <c:v>0.12093838824177333</c:v>
                </c:pt>
                <c:pt idx="154">
                  <c:v>0.12093838824177333</c:v>
                </c:pt>
                <c:pt idx="155">
                  <c:v>0.12093838824177333</c:v>
                </c:pt>
                <c:pt idx="156">
                  <c:v>0.12093838824177333</c:v>
                </c:pt>
                <c:pt idx="157">
                  <c:v>0.12093838824177333</c:v>
                </c:pt>
                <c:pt idx="158">
                  <c:v>0.12093838824177333</c:v>
                </c:pt>
                <c:pt idx="159">
                  <c:v>0.12093838824177333</c:v>
                </c:pt>
                <c:pt idx="160">
                  <c:v>0.12093838824177333</c:v>
                </c:pt>
                <c:pt idx="161">
                  <c:v>0.12093838824177333</c:v>
                </c:pt>
                <c:pt idx="162">
                  <c:v>0.12093838824177333</c:v>
                </c:pt>
                <c:pt idx="163">
                  <c:v>0.12093838824177333</c:v>
                </c:pt>
                <c:pt idx="164">
                  <c:v>0.12093838824177333</c:v>
                </c:pt>
                <c:pt idx="165">
                  <c:v>0.12093838824177333</c:v>
                </c:pt>
                <c:pt idx="166">
                  <c:v>0.12093838824177333</c:v>
                </c:pt>
                <c:pt idx="167">
                  <c:v>0.12093838824177333</c:v>
                </c:pt>
                <c:pt idx="168">
                  <c:v>0.12093838824177333</c:v>
                </c:pt>
                <c:pt idx="169">
                  <c:v>0.12093838824177333</c:v>
                </c:pt>
                <c:pt idx="170">
                  <c:v>0.12093838824177333</c:v>
                </c:pt>
                <c:pt idx="171">
                  <c:v>0.12093838824177333</c:v>
                </c:pt>
                <c:pt idx="172">
                  <c:v>0.12093838824177333</c:v>
                </c:pt>
                <c:pt idx="173">
                  <c:v>0.12093838824177333</c:v>
                </c:pt>
                <c:pt idx="174">
                  <c:v>0.12093838824177333</c:v>
                </c:pt>
                <c:pt idx="175">
                  <c:v>0.12093838824177333</c:v>
                </c:pt>
                <c:pt idx="176">
                  <c:v>0.12093838824177333</c:v>
                </c:pt>
                <c:pt idx="177">
                  <c:v>0.12093838824177333</c:v>
                </c:pt>
                <c:pt idx="178">
                  <c:v>0.12093838824177333</c:v>
                </c:pt>
                <c:pt idx="179">
                  <c:v>0.12093838824177333</c:v>
                </c:pt>
                <c:pt idx="180">
                  <c:v>0.12093838824177333</c:v>
                </c:pt>
                <c:pt idx="181">
                  <c:v>0.12093838824177333</c:v>
                </c:pt>
                <c:pt idx="182">
                  <c:v>0.12093838824177333</c:v>
                </c:pt>
                <c:pt idx="183">
                  <c:v>0.12093838824177333</c:v>
                </c:pt>
                <c:pt idx="184">
                  <c:v>0.12093838824177333</c:v>
                </c:pt>
                <c:pt idx="185">
                  <c:v>0.12093838824177333</c:v>
                </c:pt>
                <c:pt idx="186">
                  <c:v>0.12093838824177333</c:v>
                </c:pt>
                <c:pt idx="187">
                  <c:v>0.12093838824177333</c:v>
                </c:pt>
                <c:pt idx="188">
                  <c:v>0.12093838824177333</c:v>
                </c:pt>
                <c:pt idx="189">
                  <c:v>0.12093838824177333</c:v>
                </c:pt>
                <c:pt idx="190">
                  <c:v>0.12093838824177333</c:v>
                </c:pt>
                <c:pt idx="191">
                  <c:v>0.12093838824177333</c:v>
                </c:pt>
                <c:pt idx="192">
                  <c:v>0.12093838824177333</c:v>
                </c:pt>
                <c:pt idx="193">
                  <c:v>0.12093838824177333</c:v>
                </c:pt>
                <c:pt idx="194">
                  <c:v>0.12093838824177333</c:v>
                </c:pt>
                <c:pt idx="195">
                  <c:v>0.12093838824177333</c:v>
                </c:pt>
                <c:pt idx="196">
                  <c:v>0.12093838824177333</c:v>
                </c:pt>
                <c:pt idx="197">
                  <c:v>0.12093838824177333</c:v>
                </c:pt>
                <c:pt idx="198">
                  <c:v>0.12093838824177333</c:v>
                </c:pt>
                <c:pt idx="199">
                  <c:v>0.12093838824177333</c:v>
                </c:pt>
                <c:pt idx="200">
                  <c:v>0.12093838824177333</c:v>
                </c:pt>
                <c:pt idx="201">
                  <c:v>0.12093838824177333</c:v>
                </c:pt>
                <c:pt idx="202">
                  <c:v>0.12093838824177333</c:v>
                </c:pt>
                <c:pt idx="203">
                  <c:v>0.12093838824177333</c:v>
                </c:pt>
                <c:pt idx="204">
                  <c:v>0.12093838824177333</c:v>
                </c:pt>
                <c:pt idx="205">
                  <c:v>0.12093838824177333</c:v>
                </c:pt>
                <c:pt idx="206">
                  <c:v>0.12093838824177333</c:v>
                </c:pt>
                <c:pt idx="207">
                  <c:v>0.12093838824177333</c:v>
                </c:pt>
                <c:pt idx="208">
                  <c:v>0.12093838824177333</c:v>
                </c:pt>
                <c:pt idx="209">
                  <c:v>0.12093838824177333</c:v>
                </c:pt>
                <c:pt idx="210">
                  <c:v>0.12093838824177333</c:v>
                </c:pt>
                <c:pt idx="211">
                  <c:v>0.12093838824177333</c:v>
                </c:pt>
                <c:pt idx="212">
                  <c:v>0.12093838824177333</c:v>
                </c:pt>
                <c:pt idx="213">
                  <c:v>0.12093838824177333</c:v>
                </c:pt>
                <c:pt idx="214">
                  <c:v>0.12093838824177333</c:v>
                </c:pt>
                <c:pt idx="215">
                  <c:v>0.12093838824177333</c:v>
                </c:pt>
                <c:pt idx="216">
                  <c:v>0.12093838824177333</c:v>
                </c:pt>
                <c:pt idx="217">
                  <c:v>0.12093838824177333</c:v>
                </c:pt>
                <c:pt idx="218">
                  <c:v>0.12093838824177333</c:v>
                </c:pt>
                <c:pt idx="219">
                  <c:v>0.12093838824177333</c:v>
                </c:pt>
                <c:pt idx="220">
                  <c:v>0.12093838824177333</c:v>
                </c:pt>
                <c:pt idx="221">
                  <c:v>0.12093838824177333</c:v>
                </c:pt>
                <c:pt idx="222">
                  <c:v>0.12093838824177333</c:v>
                </c:pt>
                <c:pt idx="223">
                  <c:v>0.12093838824177333</c:v>
                </c:pt>
                <c:pt idx="224">
                  <c:v>0.12093838824177333</c:v>
                </c:pt>
                <c:pt idx="225">
                  <c:v>0.12093838824177333</c:v>
                </c:pt>
                <c:pt idx="226">
                  <c:v>0.12093838824177333</c:v>
                </c:pt>
                <c:pt idx="227">
                  <c:v>0.12093838824177333</c:v>
                </c:pt>
                <c:pt idx="228">
                  <c:v>0.12093838824177333</c:v>
                </c:pt>
                <c:pt idx="229">
                  <c:v>0.12093838824177333</c:v>
                </c:pt>
                <c:pt idx="230">
                  <c:v>0.12093838824177333</c:v>
                </c:pt>
                <c:pt idx="231">
                  <c:v>0.12093838824177333</c:v>
                </c:pt>
                <c:pt idx="232">
                  <c:v>0.12093838824177333</c:v>
                </c:pt>
                <c:pt idx="233">
                  <c:v>0.12093838824177333</c:v>
                </c:pt>
                <c:pt idx="234">
                  <c:v>0.12093838824177333</c:v>
                </c:pt>
                <c:pt idx="235">
                  <c:v>0.12093838824177333</c:v>
                </c:pt>
                <c:pt idx="236">
                  <c:v>0.12093838824177333</c:v>
                </c:pt>
                <c:pt idx="237">
                  <c:v>0.12093838824177333</c:v>
                </c:pt>
                <c:pt idx="238">
                  <c:v>0.12093838824177333</c:v>
                </c:pt>
                <c:pt idx="239">
                  <c:v>0.12093838824177333</c:v>
                </c:pt>
                <c:pt idx="240">
                  <c:v>0.12093838824177333</c:v>
                </c:pt>
                <c:pt idx="241">
                  <c:v>0.12093838824177333</c:v>
                </c:pt>
                <c:pt idx="242">
                  <c:v>0.12093838824177333</c:v>
                </c:pt>
                <c:pt idx="243">
                  <c:v>0.12093838824177333</c:v>
                </c:pt>
                <c:pt idx="244">
                  <c:v>0.12093838824177333</c:v>
                </c:pt>
                <c:pt idx="245">
                  <c:v>0.12093838824177333</c:v>
                </c:pt>
                <c:pt idx="246">
                  <c:v>0.12093838824177333</c:v>
                </c:pt>
                <c:pt idx="247">
                  <c:v>0.12093838824177333</c:v>
                </c:pt>
                <c:pt idx="248">
                  <c:v>0.12093838824177333</c:v>
                </c:pt>
                <c:pt idx="249">
                  <c:v>0.12093838824177333</c:v>
                </c:pt>
                <c:pt idx="250">
                  <c:v>0.12093838824177333</c:v>
                </c:pt>
                <c:pt idx="251">
                  <c:v>0.12093838824177333</c:v>
                </c:pt>
                <c:pt idx="252">
                  <c:v>0.12093838824177333</c:v>
                </c:pt>
                <c:pt idx="253">
                  <c:v>0.12093838824177333</c:v>
                </c:pt>
                <c:pt idx="254">
                  <c:v>0.12093838824177333</c:v>
                </c:pt>
                <c:pt idx="255">
                  <c:v>0.12093838824177333</c:v>
                </c:pt>
                <c:pt idx="256">
                  <c:v>0.12093838824177333</c:v>
                </c:pt>
                <c:pt idx="257">
                  <c:v>0.12093838824177333</c:v>
                </c:pt>
                <c:pt idx="258">
                  <c:v>0.12093838824177333</c:v>
                </c:pt>
                <c:pt idx="259">
                  <c:v>0.12093838824177333</c:v>
                </c:pt>
                <c:pt idx="260">
                  <c:v>0.12093838824177333</c:v>
                </c:pt>
                <c:pt idx="261">
                  <c:v>0.12093838824177333</c:v>
                </c:pt>
                <c:pt idx="262">
                  <c:v>0.12093838824177333</c:v>
                </c:pt>
                <c:pt idx="263">
                  <c:v>0.12093838824177333</c:v>
                </c:pt>
                <c:pt idx="264">
                  <c:v>0.12093838824177333</c:v>
                </c:pt>
                <c:pt idx="265">
                  <c:v>0.12093838824177333</c:v>
                </c:pt>
                <c:pt idx="266">
                  <c:v>0.12093838824177333</c:v>
                </c:pt>
                <c:pt idx="267">
                  <c:v>0.12093838824177333</c:v>
                </c:pt>
                <c:pt idx="268">
                  <c:v>0.12093838824177333</c:v>
                </c:pt>
                <c:pt idx="269">
                  <c:v>0.12093838824177333</c:v>
                </c:pt>
                <c:pt idx="270">
                  <c:v>0.12093838824177333</c:v>
                </c:pt>
                <c:pt idx="271">
                  <c:v>0.12093838824177333</c:v>
                </c:pt>
                <c:pt idx="272">
                  <c:v>0.12093838824177333</c:v>
                </c:pt>
                <c:pt idx="273">
                  <c:v>0.12093838824177333</c:v>
                </c:pt>
                <c:pt idx="274">
                  <c:v>0.12093838824177333</c:v>
                </c:pt>
                <c:pt idx="275">
                  <c:v>0.12093838824177333</c:v>
                </c:pt>
                <c:pt idx="276">
                  <c:v>0.12093838824177333</c:v>
                </c:pt>
                <c:pt idx="277">
                  <c:v>0.12093838824177333</c:v>
                </c:pt>
                <c:pt idx="278">
                  <c:v>0.12093838824177333</c:v>
                </c:pt>
                <c:pt idx="279">
                  <c:v>0.12093838824177333</c:v>
                </c:pt>
                <c:pt idx="280">
                  <c:v>0.12093838824177333</c:v>
                </c:pt>
                <c:pt idx="281">
                  <c:v>0.12093838824177333</c:v>
                </c:pt>
                <c:pt idx="282">
                  <c:v>0.12093838824177333</c:v>
                </c:pt>
                <c:pt idx="283">
                  <c:v>0.12093838824177333</c:v>
                </c:pt>
                <c:pt idx="284">
                  <c:v>0.12093838824177333</c:v>
                </c:pt>
                <c:pt idx="285">
                  <c:v>0.12093838824177333</c:v>
                </c:pt>
                <c:pt idx="286">
                  <c:v>0.12093838824177333</c:v>
                </c:pt>
                <c:pt idx="287">
                  <c:v>0.12093838824177333</c:v>
                </c:pt>
                <c:pt idx="288">
                  <c:v>0.12093838824177333</c:v>
                </c:pt>
                <c:pt idx="289">
                  <c:v>0.12093838824177333</c:v>
                </c:pt>
                <c:pt idx="290">
                  <c:v>0.12093838824177333</c:v>
                </c:pt>
                <c:pt idx="291">
                  <c:v>0.12093838824177333</c:v>
                </c:pt>
                <c:pt idx="292">
                  <c:v>0.12093838824177333</c:v>
                </c:pt>
                <c:pt idx="293">
                  <c:v>0.12093838824177333</c:v>
                </c:pt>
                <c:pt idx="294">
                  <c:v>0.12093838824177333</c:v>
                </c:pt>
                <c:pt idx="295">
                  <c:v>0.12093838824177333</c:v>
                </c:pt>
                <c:pt idx="296">
                  <c:v>0.12093838824177333</c:v>
                </c:pt>
                <c:pt idx="297">
                  <c:v>0.12093838824177333</c:v>
                </c:pt>
                <c:pt idx="298">
                  <c:v>0.12093838824177333</c:v>
                </c:pt>
                <c:pt idx="299">
                  <c:v>0.12093838824177333</c:v>
                </c:pt>
                <c:pt idx="300">
                  <c:v>0.12093838824177333</c:v>
                </c:pt>
                <c:pt idx="301">
                  <c:v>0.12093838824177333</c:v>
                </c:pt>
                <c:pt idx="302">
                  <c:v>0.12093838824177333</c:v>
                </c:pt>
                <c:pt idx="303">
                  <c:v>0.12093838824177333</c:v>
                </c:pt>
                <c:pt idx="304">
                  <c:v>0.12093838824177333</c:v>
                </c:pt>
                <c:pt idx="305">
                  <c:v>0.12093838824177333</c:v>
                </c:pt>
                <c:pt idx="306">
                  <c:v>0.12093838824177333</c:v>
                </c:pt>
                <c:pt idx="307">
                  <c:v>0.12093838824177333</c:v>
                </c:pt>
                <c:pt idx="308">
                  <c:v>0.12093838824177333</c:v>
                </c:pt>
                <c:pt idx="309">
                  <c:v>0.12093838824177333</c:v>
                </c:pt>
                <c:pt idx="310">
                  <c:v>0.12093838824177333</c:v>
                </c:pt>
                <c:pt idx="311">
                  <c:v>0.12093838824177333</c:v>
                </c:pt>
                <c:pt idx="312">
                  <c:v>0.12093838824177333</c:v>
                </c:pt>
                <c:pt idx="313">
                  <c:v>0.12093838824177333</c:v>
                </c:pt>
                <c:pt idx="314">
                  <c:v>0.12093838824177333</c:v>
                </c:pt>
                <c:pt idx="315">
                  <c:v>0.12093838824177333</c:v>
                </c:pt>
                <c:pt idx="316">
                  <c:v>0.12093838824177333</c:v>
                </c:pt>
                <c:pt idx="317">
                  <c:v>0.12093838824177333</c:v>
                </c:pt>
                <c:pt idx="318">
                  <c:v>0.12093838824177333</c:v>
                </c:pt>
                <c:pt idx="319">
                  <c:v>0.12093838824177333</c:v>
                </c:pt>
                <c:pt idx="320">
                  <c:v>0.12093838824177333</c:v>
                </c:pt>
                <c:pt idx="321">
                  <c:v>0.12093838824177333</c:v>
                </c:pt>
                <c:pt idx="322">
                  <c:v>0.12093838824177333</c:v>
                </c:pt>
                <c:pt idx="323">
                  <c:v>0.12093838824177333</c:v>
                </c:pt>
                <c:pt idx="324">
                  <c:v>0.12093838824177333</c:v>
                </c:pt>
                <c:pt idx="325">
                  <c:v>0.12093838824177333</c:v>
                </c:pt>
                <c:pt idx="326">
                  <c:v>0.12093838824177333</c:v>
                </c:pt>
                <c:pt idx="327">
                  <c:v>0.12093838824177333</c:v>
                </c:pt>
                <c:pt idx="328">
                  <c:v>0.12093838824177333</c:v>
                </c:pt>
                <c:pt idx="329">
                  <c:v>0.12093838824177333</c:v>
                </c:pt>
                <c:pt idx="330">
                  <c:v>0.12093838824177333</c:v>
                </c:pt>
                <c:pt idx="331">
                  <c:v>0.12093838824177333</c:v>
                </c:pt>
                <c:pt idx="332">
                  <c:v>0.12093838824177333</c:v>
                </c:pt>
                <c:pt idx="333">
                  <c:v>0.12093838824177333</c:v>
                </c:pt>
                <c:pt idx="334">
                  <c:v>0.12093838824177333</c:v>
                </c:pt>
                <c:pt idx="335">
                  <c:v>0.12093838824177333</c:v>
                </c:pt>
                <c:pt idx="336">
                  <c:v>0.12093838824177333</c:v>
                </c:pt>
                <c:pt idx="337">
                  <c:v>0.12093838824177333</c:v>
                </c:pt>
                <c:pt idx="338">
                  <c:v>0.12093838824177333</c:v>
                </c:pt>
                <c:pt idx="339">
                  <c:v>0.12093838824177333</c:v>
                </c:pt>
                <c:pt idx="340">
                  <c:v>0.12093838824177333</c:v>
                </c:pt>
                <c:pt idx="341">
                  <c:v>0.12093838824177333</c:v>
                </c:pt>
                <c:pt idx="342">
                  <c:v>0.12093838824177333</c:v>
                </c:pt>
                <c:pt idx="343">
                  <c:v>0.12093838824177333</c:v>
                </c:pt>
                <c:pt idx="344">
                  <c:v>0.12093838824177333</c:v>
                </c:pt>
                <c:pt idx="345">
                  <c:v>0.12093838824177333</c:v>
                </c:pt>
                <c:pt idx="346">
                  <c:v>0.12093838824177333</c:v>
                </c:pt>
                <c:pt idx="347">
                  <c:v>0.12093838824177333</c:v>
                </c:pt>
                <c:pt idx="348">
                  <c:v>0.12093838824177333</c:v>
                </c:pt>
                <c:pt idx="349">
                  <c:v>0.12093838824177333</c:v>
                </c:pt>
                <c:pt idx="350">
                  <c:v>0.12093838824177333</c:v>
                </c:pt>
                <c:pt idx="351">
                  <c:v>0.12093838824177333</c:v>
                </c:pt>
                <c:pt idx="352">
                  <c:v>0.12093838824177333</c:v>
                </c:pt>
                <c:pt idx="353">
                  <c:v>0.12093838824177333</c:v>
                </c:pt>
                <c:pt idx="354">
                  <c:v>0.12093838824177333</c:v>
                </c:pt>
                <c:pt idx="355">
                  <c:v>0.12093838824177333</c:v>
                </c:pt>
                <c:pt idx="356">
                  <c:v>0.12093838824177333</c:v>
                </c:pt>
                <c:pt idx="357">
                  <c:v>0.12093838824177333</c:v>
                </c:pt>
                <c:pt idx="358">
                  <c:v>0.12093838824177333</c:v>
                </c:pt>
                <c:pt idx="359">
                  <c:v>0.12093838824177333</c:v>
                </c:pt>
                <c:pt idx="360">
                  <c:v>0.12093838824177333</c:v>
                </c:pt>
                <c:pt idx="361">
                  <c:v>0.12093838824177333</c:v>
                </c:pt>
                <c:pt idx="362">
                  <c:v>0.12093838824177333</c:v>
                </c:pt>
                <c:pt idx="363">
                  <c:v>0.12093838824177333</c:v>
                </c:pt>
                <c:pt idx="364">
                  <c:v>0.12093838824177333</c:v>
                </c:pt>
                <c:pt idx="365">
                  <c:v>0.12093838824177333</c:v>
                </c:pt>
                <c:pt idx="366">
                  <c:v>0.12093838824177333</c:v>
                </c:pt>
                <c:pt idx="367">
                  <c:v>0.12093838824177333</c:v>
                </c:pt>
                <c:pt idx="368">
                  <c:v>0.12093838824177333</c:v>
                </c:pt>
                <c:pt idx="369">
                  <c:v>0.12093838824177333</c:v>
                </c:pt>
                <c:pt idx="370">
                  <c:v>0.12093838824177333</c:v>
                </c:pt>
                <c:pt idx="371">
                  <c:v>0.12093838824177333</c:v>
                </c:pt>
                <c:pt idx="372">
                  <c:v>0.12093838824177333</c:v>
                </c:pt>
                <c:pt idx="373">
                  <c:v>0.12093838824177333</c:v>
                </c:pt>
                <c:pt idx="374">
                  <c:v>0.12093838824177333</c:v>
                </c:pt>
                <c:pt idx="375">
                  <c:v>0.12093838824177333</c:v>
                </c:pt>
                <c:pt idx="376">
                  <c:v>0.12093838824177333</c:v>
                </c:pt>
                <c:pt idx="377">
                  <c:v>0.12093838824177333</c:v>
                </c:pt>
                <c:pt idx="378">
                  <c:v>0.12093838824177333</c:v>
                </c:pt>
                <c:pt idx="379">
                  <c:v>0.12093838824177333</c:v>
                </c:pt>
                <c:pt idx="380">
                  <c:v>0.12093838824177333</c:v>
                </c:pt>
                <c:pt idx="381">
                  <c:v>0.12093838824177333</c:v>
                </c:pt>
                <c:pt idx="382">
                  <c:v>0.12093838824177333</c:v>
                </c:pt>
                <c:pt idx="383">
                  <c:v>0.12093838824177333</c:v>
                </c:pt>
                <c:pt idx="384">
                  <c:v>0.12093838824177333</c:v>
                </c:pt>
                <c:pt idx="385">
                  <c:v>0.12093838824177333</c:v>
                </c:pt>
                <c:pt idx="386">
                  <c:v>0.12093838824177333</c:v>
                </c:pt>
                <c:pt idx="387">
                  <c:v>0.12093838824177333</c:v>
                </c:pt>
                <c:pt idx="388">
                  <c:v>0.12093838824177333</c:v>
                </c:pt>
                <c:pt idx="389">
                  <c:v>0.12093838824177333</c:v>
                </c:pt>
                <c:pt idx="390">
                  <c:v>0.12093838824177333</c:v>
                </c:pt>
                <c:pt idx="391">
                  <c:v>0.12093838824177333</c:v>
                </c:pt>
                <c:pt idx="392">
                  <c:v>0.12093838824177333</c:v>
                </c:pt>
                <c:pt idx="393">
                  <c:v>0.12093838824177333</c:v>
                </c:pt>
                <c:pt idx="394">
                  <c:v>0.12093838824177333</c:v>
                </c:pt>
                <c:pt idx="395">
                  <c:v>0.12093838824177333</c:v>
                </c:pt>
                <c:pt idx="396">
                  <c:v>0.12093838824177333</c:v>
                </c:pt>
                <c:pt idx="397">
                  <c:v>0.12093838824177333</c:v>
                </c:pt>
                <c:pt idx="398">
                  <c:v>0.12093838824177333</c:v>
                </c:pt>
                <c:pt idx="399">
                  <c:v>0.12093838824177333</c:v>
                </c:pt>
                <c:pt idx="400">
                  <c:v>0.12093838824177333</c:v>
                </c:pt>
                <c:pt idx="401">
                  <c:v>0.12093838824177333</c:v>
                </c:pt>
                <c:pt idx="402">
                  <c:v>0.12093838824177333</c:v>
                </c:pt>
                <c:pt idx="403">
                  <c:v>0.12093838824177333</c:v>
                </c:pt>
                <c:pt idx="404">
                  <c:v>0.12093838824177333</c:v>
                </c:pt>
                <c:pt idx="405">
                  <c:v>0.12093838824177333</c:v>
                </c:pt>
                <c:pt idx="406">
                  <c:v>0.12093838824177333</c:v>
                </c:pt>
                <c:pt idx="407">
                  <c:v>0.12093838824177333</c:v>
                </c:pt>
                <c:pt idx="408">
                  <c:v>0.12093838824177333</c:v>
                </c:pt>
                <c:pt idx="409">
                  <c:v>0.12093838824177333</c:v>
                </c:pt>
                <c:pt idx="410">
                  <c:v>0.12093838824177333</c:v>
                </c:pt>
                <c:pt idx="411">
                  <c:v>0.12093838824177333</c:v>
                </c:pt>
                <c:pt idx="412">
                  <c:v>0.12093838824177333</c:v>
                </c:pt>
                <c:pt idx="413">
                  <c:v>0.12093838824177333</c:v>
                </c:pt>
                <c:pt idx="414">
                  <c:v>0.12093838824177333</c:v>
                </c:pt>
                <c:pt idx="415">
                  <c:v>0.12093838824177333</c:v>
                </c:pt>
                <c:pt idx="416">
                  <c:v>0.12093838824177333</c:v>
                </c:pt>
                <c:pt idx="417">
                  <c:v>0.12093838824177333</c:v>
                </c:pt>
                <c:pt idx="418">
                  <c:v>0.12093838824177333</c:v>
                </c:pt>
                <c:pt idx="419">
                  <c:v>0.12093838824177333</c:v>
                </c:pt>
                <c:pt idx="420">
                  <c:v>0.12093838824177333</c:v>
                </c:pt>
                <c:pt idx="421">
                  <c:v>0.12093838824177333</c:v>
                </c:pt>
                <c:pt idx="422">
                  <c:v>0.12093838824177333</c:v>
                </c:pt>
                <c:pt idx="423">
                  <c:v>0.12093838824177333</c:v>
                </c:pt>
                <c:pt idx="424">
                  <c:v>0.12093838824177333</c:v>
                </c:pt>
                <c:pt idx="425">
                  <c:v>0.12093838824177333</c:v>
                </c:pt>
                <c:pt idx="426">
                  <c:v>0.12093838824177333</c:v>
                </c:pt>
                <c:pt idx="427">
                  <c:v>0.12093838824177333</c:v>
                </c:pt>
                <c:pt idx="428">
                  <c:v>0.12093838824177333</c:v>
                </c:pt>
                <c:pt idx="429">
                  <c:v>0.12093838824177333</c:v>
                </c:pt>
                <c:pt idx="430">
                  <c:v>0.12093838824177333</c:v>
                </c:pt>
                <c:pt idx="431">
                  <c:v>0.12093838824177333</c:v>
                </c:pt>
                <c:pt idx="432">
                  <c:v>0.12093838824177333</c:v>
                </c:pt>
                <c:pt idx="433">
                  <c:v>0.12093838824177333</c:v>
                </c:pt>
                <c:pt idx="434">
                  <c:v>0.12093838824177333</c:v>
                </c:pt>
                <c:pt idx="435">
                  <c:v>0.12093838824177333</c:v>
                </c:pt>
                <c:pt idx="436">
                  <c:v>0.12093838824177333</c:v>
                </c:pt>
                <c:pt idx="437">
                  <c:v>0.12093838824177333</c:v>
                </c:pt>
                <c:pt idx="438">
                  <c:v>0.12093838824177333</c:v>
                </c:pt>
                <c:pt idx="439">
                  <c:v>0.12093838824177333</c:v>
                </c:pt>
                <c:pt idx="440">
                  <c:v>0.12093838824177333</c:v>
                </c:pt>
                <c:pt idx="441">
                  <c:v>0.12093838824177333</c:v>
                </c:pt>
                <c:pt idx="442">
                  <c:v>0.12093838824177333</c:v>
                </c:pt>
                <c:pt idx="443">
                  <c:v>0.12093838824177333</c:v>
                </c:pt>
                <c:pt idx="444">
                  <c:v>0.12093838824177333</c:v>
                </c:pt>
                <c:pt idx="445">
                  <c:v>0.12093838824177333</c:v>
                </c:pt>
                <c:pt idx="446">
                  <c:v>0.12093838824177333</c:v>
                </c:pt>
                <c:pt idx="447">
                  <c:v>0.12093838824177333</c:v>
                </c:pt>
                <c:pt idx="448">
                  <c:v>0.12093838824177333</c:v>
                </c:pt>
                <c:pt idx="449">
                  <c:v>0.12093838824177333</c:v>
                </c:pt>
                <c:pt idx="450">
                  <c:v>0.12093838824177333</c:v>
                </c:pt>
                <c:pt idx="451">
                  <c:v>0.12093838824177333</c:v>
                </c:pt>
                <c:pt idx="452">
                  <c:v>0.12093838824177333</c:v>
                </c:pt>
                <c:pt idx="453">
                  <c:v>0.12093838824177333</c:v>
                </c:pt>
                <c:pt idx="454">
                  <c:v>0.12093838824177333</c:v>
                </c:pt>
                <c:pt idx="455">
                  <c:v>0.12093838824177333</c:v>
                </c:pt>
                <c:pt idx="456">
                  <c:v>0.12093838824177333</c:v>
                </c:pt>
                <c:pt idx="457">
                  <c:v>0.12093838824177333</c:v>
                </c:pt>
                <c:pt idx="458">
                  <c:v>0.12093838824177333</c:v>
                </c:pt>
                <c:pt idx="459">
                  <c:v>0.12093838824177333</c:v>
                </c:pt>
                <c:pt idx="460">
                  <c:v>0.12093838824177333</c:v>
                </c:pt>
                <c:pt idx="461">
                  <c:v>0.12093838824177333</c:v>
                </c:pt>
                <c:pt idx="462">
                  <c:v>0.12093838824177333</c:v>
                </c:pt>
                <c:pt idx="463">
                  <c:v>0.12093838824177333</c:v>
                </c:pt>
                <c:pt idx="464">
                  <c:v>0.12093838824177333</c:v>
                </c:pt>
                <c:pt idx="465">
                  <c:v>0.12093838824177333</c:v>
                </c:pt>
                <c:pt idx="466">
                  <c:v>0.12093838824177333</c:v>
                </c:pt>
                <c:pt idx="467">
                  <c:v>0.12093838824177333</c:v>
                </c:pt>
                <c:pt idx="468">
                  <c:v>0.12093838824177333</c:v>
                </c:pt>
                <c:pt idx="469">
                  <c:v>0.12093838824177333</c:v>
                </c:pt>
                <c:pt idx="470">
                  <c:v>0.12093838824177333</c:v>
                </c:pt>
                <c:pt idx="471">
                  <c:v>0.12093838824177333</c:v>
                </c:pt>
                <c:pt idx="472">
                  <c:v>0.12093838824177333</c:v>
                </c:pt>
                <c:pt idx="473">
                  <c:v>0.12093838824177333</c:v>
                </c:pt>
                <c:pt idx="474">
                  <c:v>0.12093838824177333</c:v>
                </c:pt>
                <c:pt idx="475">
                  <c:v>0.12093838824177333</c:v>
                </c:pt>
                <c:pt idx="476">
                  <c:v>0.12093838824177333</c:v>
                </c:pt>
                <c:pt idx="477">
                  <c:v>0.12093838824177333</c:v>
                </c:pt>
                <c:pt idx="478">
                  <c:v>0.12093838824177333</c:v>
                </c:pt>
                <c:pt idx="479">
                  <c:v>0.12093838824177333</c:v>
                </c:pt>
                <c:pt idx="480">
                  <c:v>0.12093838824177333</c:v>
                </c:pt>
                <c:pt idx="481">
                  <c:v>0.12093838824177333</c:v>
                </c:pt>
                <c:pt idx="482">
                  <c:v>0.12093838824177333</c:v>
                </c:pt>
                <c:pt idx="483">
                  <c:v>0.12093838824177333</c:v>
                </c:pt>
                <c:pt idx="484">
                  <c:v>0.12093838824177333</c:v>
                </c:pt>
                <c:pt idx="485">
                  <c:v>0.12093838824177333</c:v>
                </c:pt>
                <c:pt idx="486">
                  <c:v>0.12093838824177333</c:v>
                </c:pt>
                <c:pt idx="487">
                  <c:v>0.12093838824177333</c:v>
                </c:pt>
                <c:pt idx="488">
                  <c:v>0.12093838824177333</c:v>
                </c:pt>
                <c:pt idx="489">
                  <c:v>0.12093838824177333</c:v>
                </c:pt>
                <c:pt idx="490">
                  <c:v>0.12093838824177333</c:v>
                </c:pt>
                <c:pt idx="491">
                  <c:v>0.12093838824177333</c:v>
                </c:pt>
                <c:pt idx="492">
                  <c:v>0.12093838824177333</c:v>
                </c:pt>
                <c:pt idx="493">
                  <c:v>0.12093838824177333</c:v>
                </c:pt>
                <c:pt idx="494">
                  <c:v>0.12093838824177333</c:v>
                </c:pt>
                <c:pt idx="495">
                  <c:v>0.12093838824177333</c:v>
                </c:pt>
                <c:pt idx="496">
                  <c:v>0.12093838824177333</c:v>
                </c:pt>
                <c:pt idx="497">
                  <c:v>0.12093838824177333</c:v>
                </c:pt>
                <c:pt idx="498">
                  <c:v>0.12093838824177333</c:v>
                </c:pt>
                <c:pt idx="499">
                  <c:v>0.12093838824177333</c:v>
                </c:pt>
                <c:pt idx="500">
                  <c:v>0.12093838824177333</c:v>
                </c:pt>
                <c:pt idx="501">
                  <c:v>0.12093838824177333</c:v>
                </c:pt>
                <c:pt idx="502">
                  <c:v>0.12093838824177333</c:v>
                </c:pt>
                <c:pt idx="503">
                  <c:v>0.12093838824177333</c:v>
                </c:pt>
                <c:pt idx="504">
                  <c:v>0.12093838824177333</c:v>
                </c:pt>
                <c:pt idx="505">
                  <c:v>0.12093838824177333</c:v>
                </c:pt>
                <c:pt idx="506">
                  <c:v>0.12093838824177333</c:v>
                </c:pt>
                <c:pt idx="507">
                  <c:v>0.12093838824177333</c:v>
                </c:pt>
                <c:pt idx="508">
                  <c:v>0.12093838824177333</c:v>
                </c:pt>
                <c:pt idx="509">
                  <c:v>0.12093838824177333</c:v>
                </c:pt>
                <c:pt idx="510">
                  <c:v>0.12093838824177333</c:v>
                </c:pt>
                <c:pt idx="511">
                  <c:v>0.12093838824177333</c:v>
                </c:pt>
                <c:pt idx="512">
                  <c:v>0.12093838824177333</c:v>
                </c:pt>
                <c:pt idx="513">
                  <c:v>0.12093838824177333</c:v>
                </c:pt>
                <c:pt idx="514">
                  <c:v>0.12093838824177333</c:v>
                </c:pt>
                <c:pt idx="515">
                  <c:v>0.12093838824177333</c:v>
                </c:pt>
                <c:pt idx="516">
                  <c:v>0.12093838824177333</c:v>
                </c:pt>
                <c:pt idx="517">
                  <c:v>0.12093838824177333</c:v>
                </c:pt>
                <c:pt idx="518">
                  <c:v>0.12093838824177333</c:v>
                </c:pt>
                <c:pt idx="519">
                  <c:v>0.12093838824177333</c:v>
                </c:pt>
                <c:pt idx="520">
                  <c:v>0.12093838824177333</c:v>
                </c:pt>
                <c:pt idx="521">
                  <c:v>0.12093838824177333</c:v>
                </c:pt>
                <c:pt idx="522">
                  <c:v>0.12093838824177333</c:v>
                </c:pt>
                <c:pt idx="523">
                  <c:v>0.12093838824177333</c:v>
                </c:pt>
                <c:pt idx="524">
                  <c:v>0.12093838824177333</c:v>
                </c:pt>
                <c:pt idx="525">
                  <c:v>0.12093838824177333</c:v>
                </c:pt>
                <c:pt idx="526">
                  <c:v>0.12093838824177333</c:v>
                </c:pt>
                <c:pt idx="527">
                  <c:v>0.12093838824177333</c:v>
                </c:pt>
                <c:pt idx="528">
                  <c:v>0.12093838824177333</c:v>
                </c:pt>
                <c:pt idx="529">
                  <c:v>0.12093838824177333</c:v>
                </c:pt>
                <c:pt idx="530">
                  <c:v>0.12093838824177333</c:v>
                </c:pt>
                <c:pt idx="531">
                  <c:v>0.12093838824177333</c:v>
                </c:pt>
                <c:pt idx="532">
                  <c:v>0.12093838824177333</c:v>
                </c:pt>
                <c:pt idx="533">
                  <c:v>0.12093838824177333</c:v>
                </c:pt>
                <c:pt idx="534">
                  <c:v>0.12093838824177333</c:v>
                </c:pt>
                <c:pt idx="535">
                  <c:v>0.12093838824177333</c:v>
                </c:pt>
                <c:pt idx="536">
                  <c:v>0.12093838824177333</c:v>
                </c:pt>
                <c:pt idx="537">
                  <c:v>0.12093838824177333</c:v>
                </c:pt>
                <c:pt idx="538">
                  <c:v>0.12093838824177333</c:v>
                </c:pt>
                <c:pt idx="539">
                  <c:v>0.12093838824177333</c:v>
                </c:pt>
                <c:pt idx="540">
                  <c:v>0.12093838824177333</c:v>
                </c:pt>
                <c:pt idx="541">
                  <c:v>0.12093838824177333</c:v>
                </c:pt>
                <c:pt idx="542">
                  <c:v>0.12093838824177333</c:v>
                </c:pt>
                <c:pt idx="543">
                  <c:v>0.12093838824177333</c:v>
                </c:pt>
                <c:pt idx="544">
                  <c:v>0.12093838824177333</c:v>
                </c:pt>
                <c:pt idx="545">
                  <c:v>0.12093838824177333</c:v>
                </c:pt>
                <c:pt idx="546">
                  <c:v>0.12093838824177333</c:v>
                </c:pt>
                <c:pt idx="547">
                  <c:v>0.12093838824177333</c:v>
                </c:pt>
                <c:pt idx="548">
                  <c:v>0.12093838824177333</c:v>
                </c:pt>
                <c:pt idx="549">
                  <c:v>0.12093838824177333</c:v>
                </c:pt>
                <c:pt idx="550">
                  <c:v>0.12093838824177333</c:v>
                </c:pt>
                <c:pt idx="551">
                  <c:v>0.12093838824177333</c:v>
                </c:pt>
                <c:pt idx="552">
                  <c:v>0.12093838824177333</c:v>
                </c:pt>
                <c:pt idx="553">
                  <c:v>0.12093838824177333</c:v>
                </c:pt>
                <c:pt idx="554">
                  <c:v>0.12093838824177333</c:v>
                </c:pt>
                <c:pt idx="555">
                  <c:v>0.12093838824177333</c:v>
                </c:pt>
                <c:pt idx="556">
                  <c:v>0.12093838824177333</c:v>
                </c:pt>
                <c:pt idx="557">
                  <c:v>0.12093838824177333</c:v>
                </c:pt>
                <c:pt idx="558">
                  <c:v>0.12093838824177333</c:v>
                </c:pt>
                <c:pt idx="559">
                  <c:v>0.12093838824177333</c:v>
                </c:pt>
                <c:pt idx="560">
                  <c:v>0.12093838824177333</c:v>
                </c:pt>
                <c:pt idx="561">
                  <c:v>0.12093838824177333</c:v>
                </c:pt>
                <c:pt idx="562">
                  <c:v>0.12093838824177333</c:v>
                </c:pt>
                <c:pt idx="563">
                  <c:v>0.12093838824177333</c:v>
                </c:pt>
                <c:pt idx="564">
                  <c:v>0.12093838824177333</c:v>
                </c:pt>
                <c:pt idx="565">
                  <c:v>0.12093838824177333</c:v>
                </c:pt>
                <c:pt idx="566">
                  <c:v>0.12093838824177333</c:v>
                </c:pt>
                <c:pt idx="567">
                  <c:v>0.12093838824177333</c:v>
                </c:pt>
                <c:pt idx="568">
                  <c:v>0.12093838824177333</c:v>
                </c:pt>
                <c:pt idx="569">
                  <c:v>0.12093838824177333</c:v>
                </c:pt>
                <c:pt idx="570">
                  <c:v>0.12093838824177333</c:v>
                </c:pt>
                <c:pt idx="571">
                  <c:v>0.12093838824177333</c:v>
                </c:pt>
                <c:pt idx="572">
                  <c:v>0.12093838824177333</c:v>
                </c:pt>
                <c:pt idx="573">
                  <c:v>0.12093838824177333</c:v>
                </c:pt>
                <c:pt idx="574">
                  <c:v>0.12093838824177333</c:v>
                </c:pt>
                <c:pt idx="575">
                  <c:v>0.12093838824177333</c:v>
                </c:pt>
                <c:pt idx="576">
                  <c:v>0.12093838824177333</c:v>
                </c:pt>
                <c:pt idx="577">
                  <c:v>0.12093838824177333</c:v>
                </c:pt>
                <c:pt idx="578">
                  <c:v>0.12093838824177333</c:v>
                </c:pt>
                <c:pt idx="579">
                  <c:v>0.12093838824177333</c:v>
                </c:pt>
                <c:pt idx="580">
                  <c:v>0.12093838824177333</c:v>
                </c:pt>
                <c:pt idx="581">
                  <c:v>0.12093838824177333</c:v>
                </c:pt>
                <c:pt idx="582">
                  <c:v>0.12093838824177333</c:v>
                </c:pt>
                <c:pt idx="583">
                  <c:v>0.12093838824177333</c:v>
                </c:pt>
                <c:pt idx="584">
                  <c:v>0.12093838824177333</c:v>
                </c:pt>
                <c:pt idx="585">
                  <c:v>0.12093838824177333</c:v>
                </c:pt>
                <c:pt idx="586">
                  <c:v>0.12093838824177333</c:v>
                </c:pt>
                <c:pt idx="587">
                  <c:v>0.12093838824177333</c:v>
                </c:pt>
                <c:pt idx="588">
                  <c:v>0.12093838824177333</c:v>
                </c:pt>
                <c:pt idx="589">
                  <c:v>0.12093838824177333</c:v>
                </c:pt>
                <c:pt idx="590">
                  <c:v>0.12093838824177333</c:v>
                </c:pt>
                <c:pt idx="591">
                  <c:v>0.12093838824177333</c:v>
                </c:pt>
                <c:pt idx="592">
                  <c:v>0.12093838824177333</c:v>
                </c:pt>
                <c:pt idx="593">
                  <c:v>0.12093838824177333</c:v>
                </c:pt>
                <c:pt idx="594">
                  <c:v>0.12093838824177333</c:v>
                </c:pt>
                <c:pt idx="595">
                  <c:v>0.12093838824177333</c:v>
                </c:pt>
                <c:pt idx="596">
                  <c:v>0.12093838824177333</c:v>
                </c:pt>
                <c:pt idx="597">
                  <c:v>0.12093838824177333</c:v>
                </c:pt>
                <c:pt idx="598">
                  <c:v>0.12093838824177333</c:v>
                </c:pt>
                <c:pt idx="599">
                  <c:v>0.12093838824177333</c:v>
                </c:pt>
                <c:pt idx="600">
                  <c:v>0.12093838824177333</c:v>
                </c:pt>
                <c:pt idx="601">
                  <c:v>0.12093838824177333</c:v>
                </c:pt>
                <c:pt idx="602">
                  <c:v>0.12093838824177333</c:v>
                </c:pt>
                <c:pt idx="603">
                  <c:v>0.12093838824177333</c:v>
                </c:pt>
                <c:pt idx="604">
                  <c:v>0.12093838824177333</c:v>
                </c:pt>
                <c:pt idx="605">
                  <c:v>0.12093838824177333</c:v>
                </c:pt>
                <c:pt idx="606">
                  <c:v>0.12093838824177333</c:v>
                </c:pt>
                <c:pt idx="607">
                  <c:v>0.12093838824177333</c:v>
                </c:pt>
                <c:pt idx="608">
                  <c:v>0.12093838824177333</c:v>
                </c:pt>
                <c:pt idx="609">
                  <c:v>0.12093838824177333</c:v>
                </c:pt>
                <c:pt idx="610">
                  <c:v>0.12093838824177333</c:v>
                </c:pt>
                <c:pt idx="611">
                  <c:v>0.12093838824177333</c:v>
                </c:pt>
                <c:pt idx="612">
                  <c:v>0.12093838824177333</c:v>
                </c:pt>
                <c:pt idx="613">
                  <c:v>0.12093838824177333</c:v>
                </c:pt>
                <c:pt idx="614">
                  <c:v>0.12093838824177333</c:v>
                </c:pt>
                <c:pt idx="615">
                  <c:v>0.12093838824177333</c:v>
                </c:pt>
                <c:pt idx="616">
                  <c:v>0.12093838824177333</c:v>
                </c:pt>
                <c:pt idx="617">
                  <c:v>0.12093838824177333</c:v>
                </c:pt>
                <c:pt idx="618">
                  <c:v>0.12093838824177333</c:v>
                </c:pt>
                <c:pt idx="619">
                  <c:v>0.12093838824177333</c:v>
                </c:pt>
                <c:pt idx="620">
                  <c:v>0.12093838824177333</c:v>
                </c:pt>
                <c:pt idx="621">
                  <c:v>0.12093838824177333</c:v>
                </c:pt>
                <c:pt idx="622">
                  <c:v>0.12093838824177333</c:v>
                </c:pt>
                <c:pt idx="623">
                  <c:v>0.12093838824177333</c:v>
                </c:pt>
                <c:pt idx="624">
                  <c:v>0.12093838824177333</c:v>
                </c:pt>
                <c:pt idx="625">
                  <c:v>0.12093838824177333</c:v>
                </c:pt>
                <c:pt idx="626">
                  <c:v>0.12093838824177333</c:v>
                </c:pt>
                <c:pt idx="627">
                  <c:v>0.12093838824177333</c:v>
                </c:pt>
                <c:pt idx="628">
                  <c:v>0.12093838824177333</c:v>
                </c:pt>
                <c:pt idx="629">
                  <c:v>0.12093838824177333</c:v>
                </c:pt>
                <c:pt idx="630">
                  <c:v>0.12093838824177333</c:v>
                </c:pt>
                <c:pt idx="631">
                  <c:v>0.12093838824177333</c:v>
                </c:pt>
                <c:pt idx="632">
                  <c:v>0.12093838824177333</c:v>
                </c:pt>
                <c:pt idx="633">
                  <c:v>0.12093838824177333</c:v>
                </c:pt>
                <c:pt idx="634">
                  <c:v>0.12093838824177333</c:v>
                </c:pt>
                <c:pt idx="635">
                  <c:v>0.12093838824177333</c:v>
                </c:pt>
                <c:pt idx="636">
                  <c:v>0.12093838824177333</c:v>
                </c:pt>
                <c:pt idx="637">
                  <c:v>0.12093838824177333</c:v>
                </c:pt>
                <c:pt idx="638">
                  <c:v>0.12093838824177333</c:v>
                </c:pt>
                <c:pt idx="639">
                  <c:v>0.12093838824177333</c:v>
                </c:pt>
                <c:pt idx="640">
                  <c:v>0.12093838824177333</c:v>
                </c:pt>
                <c:pt idx="641">
                  <c:v>0.12093838824177333</c:v>
                </c:pt>
                <c:pt idx="642">
                  <c:v>0.12093838824177333</c:v>
                </c:pt>
                <c:pt idx="643">
                  <c:v>0.12093838824177333</c:v>
                </c:pt>
                <c:pt idx="644">
                  <c:v>0.12093838824177333</c:v>
                </c:pt>
                <c:pt idx="645">
                  <c:v>0.12093838824177333</c:v>
                </c:pt>
                <c:pt idx="646">
                  <c:v>0.12093838824177333</c:v>
                </c:pt>
                <c:pt idx="647">
                  <c:v>0.12093838824177333</c:v>
                </c:pt>
                <c:pt idx="648">
                  <c:v>0.12093838824177333</c:v>
                </c:pt>
                <c:pt idx="649">
                  <c:v>0.12093838824177333</c:v>
                </c:pt>
                <c:pt idx="650">
                  <c:v>0.12093838824177333</c:v>
                </c:pt>
                <c:pt idx="651">
                  <c:v>0.12093838824177333</c:v>
                </c:pt>
                <c:pt idx="652">
                  <c:v>0.12093838824177333</c:v>
                </c:pt>
                <c:pt idx="653">
                  <c:v>0.12093838824177333</c:v>
                </c:pt>
                <c:pt idx="654">
                  <c:v>0.12093838824177333</c:v>
                </c:pt>
                <c:pt idx="655">
                  <c:v>0.12093838824177333</c:v>
                </c:pt>
                <c:pt idx="656">
                  <c:v>0.12093838824177333</c:v>
                </c:pt>
                <c:pt idx="657">
                  <c:v>0.12093838824177333</c:v>
                </c:pt>
                <c:pt idx="658">
                  <c:v>0.12093838824177333</c:v>
                </c:pt>
                <c:pt idx="659">
                  <c:v>0.12093838824177333</c:v>
                </c:pt>
                <c:pt idx="660">
                  <c:v>0.12093838824177333</c:v>
                </c:pt>
                <c:pt idx="661">
                  <c:v>0.12093838824177333</c:v>
                </c:pt>
                <c:pt idx="662">
                  <c:v>0.12093838824177333</c:v>
                </c:pt>
                <c:pt idx="663">
                  <c:v>0.12093838824177333</c:v>
                </c:pt>
                <c:pt idx="664">
                  <c:v>0.12093838824177333</c:v>
                </c:pt>
                <c:pt idx="665">
                  <c:v>0.12093838824177333</c:v>
                </c:pt>
                <c:pt idx="666">
                  <c:v>0.12093838824177333</c:v>
                </c:pt>
                <c:pt idx="667">
                  <c:v>0.12093838824177333</c:v>
                </c:pt>
                <c:pt idx="668">
                  <c:v>0.12093838824177333</c:v>
                </c:pt>
                <c:pt idx="669">
                  <c:v>0.12093838824177333</c:v>
                </c:pt>
                <c:pt idx="670">
                  <c:v>0.12093838824177333</c:v>
                </c:pt>
                <c:pt idx="671">
                  <c:v>0.12093838824177333</c:v>
                </c:pt>
                <c:pt idx="672">
                  <c:v>0.12093838824177333</c:v>
                </c:pt>
                <c:pt idx="673">
                  <c:v>0.12093838824177333</c:v>
                </c:pt>
                <c:pt idx="674">
                  <c:v>0.12093838824177333</c:v>
                </c:pt>
                <c:pt idx="675">
                  <c:v>0.12093838824177333</c:v>
                </c:pt>
                <c:pt idx="676">
                  <c:v>0.12093838824177333</c:v>
                </c:pt>
                <c:pt idx="677">
                  <c:v>0.12093838824177333</c:v>
                </c:pt>
                <c:pt idx="678">
                  <c:v>0.12093838824177333</c:v>
                </c:pt>
                <c:pt idx="679">
                  <c:v>0.12093838824177333</c:v>
                </c:pt>
                <c:pt idx="680">
                  <c:v>0.12093838824177333</c:v>
                </c:pt>
                <c:pt idx="681">
                  <c:v>0.12093838824177333</c:v>
                </c:pt>
                <c:pt idx="682">
                  <c:v>0.12093838824177333</c:v>
                </c:pt>
                <c:pt idx="683">
                  <c:v>0.12093838824177333</c:v>
                </c:pt>
                <c:pt idx="684">
                  <c:v>0.12093838824177333</c:v>
                </c:pt>
                <c:pt idx="685">
                  <c:v>0.12093838824177333</c:v>
                </c:pt>
                <c:pt idx="686">
                  <c:v>0.12093838824177333</c:v>
                </c:pt>
                <c:pt idx="687">
                  <c:v>0.12093838824177333</c:v>
                </c:pt>
                <c:pt idx="688">
                  <c:v>0.12093838824177333</c:v>
                </c:pt>
                <c:pt idx="689">
                  <c:v>0.12093838824177333</c:v>
                </c:pt>
                <c:pt idx="690">
                  <c:v>0.12093838824177333</c:v>
                </c:pt>
                <c:pt idx="691">
                  <c:v>0.12093838824177333</c:v>
                </c:pt>
                <c:pt idx="692">
                  <c:v>0.12093838824177333</c:v>
                </c:pt>
                <c:pt idx="693">
                  <c:v>0.12093838824177333</c:v>
                </c:pt>
                <c:pt idx="694">
                  <c:v>0.12093838824177333</c:v>
                </c:pt>
                <c:pt idx="695">
                  <c:v>0.12093838824177333</c:v>
                </c:pt>
                <c:pt idx="696">
                  <c:v>0.12093838824177333</c:v>
                </c:pt>
                <c:pt idx="697">
                  <c:v>0.12093838824177333</c:v>
                </c:pt>
                <c:pt idx="698">
                  <c:v>0.12093838824177333</c:v>
                </c:pt>
                <c:pt idx="699">
                  <c:v>0.12093838824177333</c:v>
                </c:pt>
                <c:pt idx="700">
                  <c:v>0.12093838824177333</c:v>
                </c:pt>
                <c:pt idx="701">
                  <c:v>0.12093838824177333</c:v>
                </c:pt>
                <c:pt idx="702">
                  <c:v>0.12093838824177333</c:v>
                </c:pt>
                <c:pt idx="703">
                  <c:v>0.12093838824177333</c:v>
                </c:pt>
                <c:pt idx="704">
                  <c:v>0.12093838824177333</c:v>
                </c:pt>
                <c:pt idx="705">
                  <c:v>0.12093838824177333</c:v>
                </c:pt>
                <c:pt idx="706">
                  <c:v>0.12093838824177333</c:v>
                </c:pt>
                <c:pt idx="707">
                  <c:v>0.12093838824177333</c:v>
                </c:pt>
                <c:pt idx="708">
                  <c:v>0.12093838824177333</c:v>
                </c:pt>
                <c:pt idx="709">
                  <c:v>0.12093838824177333</c:v>
                </c:pt>
                <c:pt idx="710">
                  <c:v>0.12093838824177333</c:v>
                </c:pt>
                <c:pt idx="711">
                  <c:v>0.12093838824177333</c:v>
                </c:pt>
                <c:pt idx="712">
                  <c:v>0.12093838824177333</c:v>
                </c:pt>
                <c:pt idx="713">
                  <c:v>0.12093838824177333</c:v>
                </c:pt>
                <c:pt idx="714">
                  <c:v>0.12093838824177333</c:v>
                </c:pt>
                <c:pt idx="715">
                  <c:v>0.12093838824177333</c:v>
                </c:pt>
                <c:pt idx="716">
                  <c:v>0.12093838824177333</c:v>
                </c:pt>
                <c:pt idx="717">
                  <c:v>0.12093838824177333</c:v>
                </c:pt>
                <c:pt idx="718">
                  <c:v>0.12093838824177333</c:v>
                </c:pt>
                <c:pt idx="719">
                  <c:v>0.12093838824177333</c:v>
                </c:pt>
                <c:pt idx="720">
                  <c:v>0.12093838824177333</c:v>
                </c:pt>
                <c:pt idx="721">
                  <c:v>0.12093838824177333</c:v>
                </c:pt>
                <c:pt idx="722">
                  <c:v>0.12093838824177333</c:v>
                </c:pt>
                <c:pt idx="723">
                  <c:v>0.12093838824177333</c:v>
                </c:pt>
                <c:pt idx="724">
                  <c:v>0.12093838824177333</c:v>
                </c:pt>
                <c:pt idx="725">
                  <c:v>0.12093838824177333</c:v>
                </c:pt>
                <c:pt idx="726">
                  <c:v>0.12093838824177333</c:v>
                </c:pt>
                <c:pt idx="727">
                  <c:v>0.12093838824177333</c:v>
                </c:pt>
                <c:pt idx="728">
                  <c:v>0.12093838824177333</c:v>
                </c:pt>
                <c:pt idx="729">
                  <c:v>0.12093838824177333</c:v>
                </c:pt>
                <c:pt idx="730">
                  <c:v>0.12093838824177333</c:v>
                </c:pt>
                <c:pt idx="731">
                  <c:v>0.12093838824177333</c:v>
                </c:pt>
                <c:pt idx="732">
                  <c:v>0.12093838824177333</c:v>
                </c:pt>
                <c:pt idx="733">
                  <c:v>0.12093838824177333</c:v>
                </c:pt>
                <c:pt idx="734">
                  <c:v>0.12093838824177333</c:v>
                </c:pt>
                <c:pt idx="735">
                  <c:v>0.12093838824177333</c:v>
                </c:pt>
                <c:pt idx="736">
                  <c:v>0.12093838824177333</c:v>
                </c:pt>
                <c:pt idx="737">
                  <c:v>0.12093838824177333</c:v>
                </c:pt>
                <c:pt idx="738">
                  <c:v>0.12093838824177333</c:v>
                </c:pt>
                <c:pt idx="739">
                  <c:v>0.12093838824177333</c:v>
                </c:pt>
                <c:pt idx="740">
                  <c:v>0.12093838824177333</c:v>
                </c:pt>
                <c:pt idx="741">
                  <c:v>0.12093838824177333</c:v>
                </c:pt>
                <c:pt idx="742">
                  <c:v>0.12093838824177333</c:v>
                </c:pt>
                <c:pt idx="743">
                  <c:v>0.12093838824177333</c:v>
                </c:pt>
                <c:pt idx="744">
                  <c:v>0.12093838824177333</c:v>
                </c:pt>
                <c:pt idx="745">
                  <c:v>0.12093838824177333</c:v>
                </c:pt>
                <c:pt idx="746">
                  <c:v>0.12093838824177333</c:v>
                </c:pt>
                <c:pt idx="747">
                  <c:v>0.12093838824177333</c:v>
                </c:pt>
                <c:pt idx="748">
                  <c:v>0.12093838824177333</c:v>
                </c:pt>
                <c:pt idx="749">
                  <c:v>0.12093838824177333</c:v>
                </c:pt>
                <c:pt idx="750">
                  <c:v>0.12093838824177333</c:v>
                </c:pt>
                <c:pt idx="751">
                  <c:v>0.12093838824177333</c:v>
                </c:pt>
                <c:pt idx="752">
                  <c:v>0.12093838824177333</c:v>
                </c:pt>
                <c:pt idx="753">
                  <c:v>0.12093838824177333</c:v>
                </c:pt>
                <c:pt idx="754">
                  <c:v>0.12093838824177333</c:v>
                </c:pt>
                <c:pt idx="755">
                  <c:v>0.12093838824177333</c:v>
                </c:pt>
                <c:pt idx="756">
                  <c:v>0.12093838824177333</c:v>
                </c:pt>
                <c:pt idx="757">
                  <c:v>0.12093838824177333</c:v>
                </c:pt>
                <c:pt idx="758">
                  <c:v>0.12093838824177333</c:v>
                </c:pt>
                <c:pt idx="759">
                  <c:v>0.12093838824177333</c:v>
                </c:pt>
                <c:pt idx="760">
                  <c:v>0.12093838824177333</c:v>
                </c:pt>
                <c:pt idx="761">
                  <c:v>0.12093838824177333</c:v>
                </c:pt>
                <c:pt idx="762">
                  <c:v>0.12093838824177333</c:v>
                </c:pt>
                <c:pt idx="763">
                  <c:v>0.12093838824177333</c:v>
                </c:pt>
                <c:pt idx="764">
                  <c:v>0.12093838824177333</c:v>
                </c:pt>
                <c:pt idx="765">
                  <c:v>0.12093838824177333</c:v>
                </c:pt>
                <c:pt idx="766">
                  <c:v>0.12093838824177333</c:v>
                </c:pt>
                <c:pt idx="767">
                  <c:v>0.12093838824177333</c:v>
                </c:pt>
                <c:pt idx="768">
                  <c:v>0.12093838824177333</c:v>
                </c:pt>
                <c:pt idx="769">
                  <c:v>0.12093838824177333</c:v>
                </c:pt>
                <c:pt idx="770">
                  <c:v>0.12093838824177333</c:v>
                </c:pt>
              </c:numCache>
            </c:numRef>
          </c:val>
          <c:smooth val="0"/>
          <c:extLst>
            <c:ext xmlns:c16="http://schemas.microsoft.com/office/drawing/2014/chart" uri="{C3380CC4-5D6E-409C-BE32-E72D297353CC}">
              <c16:uniqueId val="{00000001-6C35-4815-8853-7EA02D710C5F}"/>
            </c:ext>
          </c:extLst>
        </c:ser>
        <c:dLbls>
          <c:showLegendKey val="0"/>
          <c:showVal val="0"/>
          <c:showCatName val="0"/>
          <c:showSerName val="0"/>
          <c:showPercent val="0"/>
          <c:showBubbleSize val="0"/>
        </c:dLbls>
        <c:smooth val="0"/>
        <c:axId val="232525632"/>
        <c:axId val="828316544"/>
      </c:lineChart>
      <c:dateAx>
        <c:axId val="2325256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16544"/>
        <c:crosses val="autoZero"/>
        <c:auto val="1"/>
        <c:lblOffset val="100"/>
        <c:baseTimeUnit val="days"/>
      </c:dateAx>
      <c:valAx>
        <c:axId val="828316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2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3"/>
          <c:tx>
            <c:strRef>
              <c:f>'A. FS'!$A$151</c:f>
              <c:strCache>
                <c:ptCount val="1"/>
                <c:pt idx="0">
                  <c:v>Cash conversion cycle</c:v>
                </c:pt>
              </c:strCache>
            </c:strRef>
          </c:tx>
          <c:spPr>
            <a:solidFill>
              <a:schemeClr val="accent4"/>
            </a:solidFill>
            <a:ln>
              <a:noFill/>
            </a:ln>
            <a:effectLst/>
          </c:spPr>
          <c:invertIfNegative val="0"/>
          <c:cat>
            <c:strRef>
              <c:f>'A. FS'!$AB$1:$AV$1</c:f>
              <c:strCache>
                <c:ptCount val="21"/>
                <c:pt idx="0">
                  <c:v>Q2/2018</c:v>
                </c:pt>
                <c:pt idx="1">
                  <c:v>Q3/2018</c:v>
                </c:pt>
                <c:pt idx="2">
                  <c:v>Q4/2018</c:v>
                </c:pt>
                <c:pt idx="3">
                  <c:v>Q1/2019</c:v>
                </c:pt>
                <c:pt idx="4">
                  <c:v>Q2/2019</c:v>
                </c:pt>
                <c:pt idx="5">
                  <c:v>Q3/2019</c:v>
                </c:pt>
                <c:pt idx="6">
                  <c:v>Q4/2019</c:v>
                </c:pt>
                <c:pt idx="7">
                  <c:v>Q1/2020</c:v>
                </c:pt>
                <c:pt idx="8">
                  <c:v>Q2/2020</c:v>
                </c:pt>
                <c:pt idx="9">
                  <c:v>Q3/2020</c:v>
                </c:pt>
                <c:pt idx="10">
                  <c:v>Q4/2020</c:v>
                </c:pt>
                <c:pt idx="11">
                  <c:v>Q1/2021</c:v>
                </c:pt>
                <c:pt idx="12">
                  <c:v>Q2/2021</c:v>
                </c:pt>
                <c:pt idx="13">
                  <c:v>Q3/2021</c:v>
                </c:pt>
                <c:pt idx="14">
                  <c:v>Q4/2021</c:v>
                </c:pt>
                <c:pt idx="15">
                  <c:v>Q1/2022</c:v>
                </c:pt>
                <c:pt idx="16">
                  <c:v>Q2/2022</c:v>
                </c:pt>
                <c:pt idx="17">
                  <c:v>Q3/2022</c:v>
                </c:pt>
                <c:pt idx="18">
                  <c:v>Q4/2022</c:v>
                </c:pt>
                <c:pt idx="19">
                  <c:v>Q1/2023</c:v>
                </c:pt>
                <c:pt idx="20">
                  <c:v>Q2/2023</c:v>
                </c:pt>
              </c:strCache>
            </c:strRef>
          </c:cat>
          <c:val>
            <c:numRef>
              <c:f>'A. FS'!$AB$151:$AV$151</c:f>
              <c:numCache>
                <c:formatCode>_(* #,##0_);_(* \(#,##0\);_(* "-"??_);_(@_)</c:formatCode>
                <c:ptCount val="21"/>
                <c:pt idx="0">
                  <c:v>71.67353193974607</c:v>
                </c:pt>
                <c:pt idx="1">
                  <c:v>58.54915113106243</c:v>
                </c:pt>
                <c:pt idx="2">
                  <c:v>85.303007209687166</c:v>
                </c:pt>
                <c:pt idx="3">
                  <c:v>83.20119748886664</c:v>
                </c:pt>
                <c:pt idx="4">
                  <c:v>69.619003761491498</c:v>
                </c:pt>
                <c:pt idx="5">
                  <c:v>51.114783585136301</c:v>
                </c:pt>
                <c:pt idx="6">
                  <c:v>55.470541020692281</c:v>
                </c:pt>
                <c:pt idx="7">
                  <c:v>46.498920214074744</c:v>
                </c:pt>
                <c:pt idx="8">
                  <c:v>47.404301591255845</c:v>
                </c:pt>
                <c:pt idx="9">
                  <c:v>30.651908193385424</c:v>
                </c:pt>
                <c:pt idx="10">
                  <c:v>26.379467069716767</c:v>
                </c:pt>
                <c:pt idx="11">
                  <c:v>20.429194125251804</c:v>
                </c:pt>
                <c:pt idx="12">
                  <c:v>29.89275060852777</c:v>
                </c:pt>
                <c:pt idx="13">
                  <c:v>43.146951211437283</c:v>
                </c:pt>
                <c:pt idx="14">
                  <c:v>28.439509493628748</c:v>
                </c:pt>
                <c:pt idx="15">
                  <c:v>40.916212957571219</c:v>
                </c:pt>
                <c:pt idx="16">
                  <c:v>72.470545850937981</c:v>
                </c:pt>
                <c:pt idx="17">
                  <c:v>53.404753755622551</c:v>
                </c:pt>
                <c:pt idx="18">
                  <c:v>89.481741437846665</c:v>
                </c:pt>
                <c:pt idx="19">
                  <c:v>88.242301203823814</c:v>
                </c:pt>
                <c:pt idx="20">
                  <c:v>75.292280565326521</c:v>
                </c:pt>
              </c:numCache>
            </c:numRef>
          </c:val>
          <c:extLst>
            <c:ext xmlns:c16="http://schemas.microsoft.com/office/drawing/2014/chart" uri="{C3380CC4-5D6E-409C-BE32-E72D297353CC}">
              <c16:uniqueId val="{00000000-ED5C-4C67-97CA-04A481FEF72C}"/>
            </c:ext>
          </c:extLst>
        </c:ser>
        <c:dLbls>
          <c:showLegendKey val="0"/>
          <c:showVal val="0"/>
          <c:showCatName val="0"/>
          <c:showSerName val="0"/>
          <c:showPercent val="0"/>
          <c:showBubbleSize val="0"/>
        </c:dLbls>
        <c:gapWidth val="219"/>
        <c:axId val="681497040"/>
        <c:axId val="361817696"/>
      </c:barChart>
      <c:lineChart>
        <c:grouping val="standard"/>
        <c:varyColors val="0"/>
        <c:ser>
          <c:idx val="0"/>
          <c:order val="0"/>
          <c:tx>
            <c:strRef>
              <c:f>'A. FS'!$A$144</c:f>
              <c:strCache>
                <c:ptCount val="1"/>
                <c:pt idx="0">
                  <c:v>Days of account receivable</c:v>
                </c:pt>
              </c:strCache>
            </c:strRef>
          </c:tx>
          <c:spPr>
            <a:ln w="28575" cap="rnd">
              <a:solidFill>
                <a:schemeClr val="accent1"/>
              </a:solidFill>
              <a:round/>
            </a:ln>
            <a:effectLst/>
          </c:spPr>
          <c:marker>
            <c:symbol val="none"/>
          </c:marker>
          <c:cat>
            <c:strRef>
              <c:f>'A. FS'!$AB$1:$AV$1</c:f>
              <c:strCache>
                <c:ptCount val="21"/>
                <c:pt idx="0">
                  <c:v>Q2/2018</c:v>
                </c:pt>
                <c:pt idx="1">
                  <c:v>Q3/2018</c:v>
                </c:pt>
                <c:pt idx="2">
                  <c:v>Q4/2018</c:v>
                </c:pt>
                <c:pt idx="3">
                  <c:v>Q1/2019</c:v>
                </c:pt>
                <c:pt idx="4">
                  <c:v>Q2/2019</c:v>
                </c:pt>
                <c:pt idx="5">
                  <c:v>Q3/2019</c:v>
                </c:pt>
                <c:pt idx="6">
                  <c:v>Q4/2019</c:v>
                </c:pt>
                <c:pt idx="7">
                  <c:v>Q1/2020</c:v>
                </c:pt>
                <c:pt idx="8">
                  <c:v>Q2/2020</c:v>
                </c:pt>
                <c:pt idx="9">
                  <c:v>Q3/2020</c:v>
                </c:pt>
                <c:pt idx="10">
                  <c:v>Q4/2020</c:v>
                </c:pt>
                <c:pt idx="11">
                  <c:v>Q1/2021</c:v>
                </c:pt>
                <c:pt idx="12">
                  <c:v>Q2/2021</c:v>
                </c:pt>
                <c:pt idx="13">
                  <c:v>Q3/2021</c:v>
                </c:pt>
                <c:pt idx="14">
                  <c:v>Q4/2021</c:v>
                </c:pt>
                <c:pt idx="15">
                  <c:v>Q1/2022</c:v>
                </c:pt>
                <c:pt idx="16">
                  <c:v>Q2/2022</c:v>
                </c:pt>
                <c:pt idx="17">
                  <c:v>Q3/2022</c:v>
                </c:pt>
                <c:pt idx="18">
                  <c:v>Q4/2022</c:v>
                </c:pt>
                <c:pt idx="19">
                  <c:v>Q1/2023</c:v>
                </c:pt>
                <c:pt idx="20">
                  <c:v>Q2/2023</c:v>
                </c:pt>
              </c:strCache>
            </c:strRef>
          </c:cat>
          <c:val>
            <c:numRef>
              <c:f>'A. FS'!$AB$144:$AV$144</c:f>
              <c:numCache>
                <c:formatCode>_(* #,##0_);_(* \(#,##0\);_(* "-"??_);_(@_)</c:formatCode>
                <c:ptCount val="21"/>
                <c:pt idx="0">
                  <c:v>35.478048920511434</c:v>
                </c:pt>
                <c:pt idx="1">
                  <c:v>32.647519462825883</c:v>
                </c:pt>
                <c:pt idx="2">
                  <c:v>39.830212445495391</c:v>
                </c:pt>
                <c:pt idx="3">
                  <c:v>40.696042733407729</c:v>
                </c:pt>
                <c:pt idx="4">
                  <c:v>34.258424168756555</c:v>
                </c:pt>
                <c:pt idx="5">
                  <c:v>31.80346427435391</c:v>
                </c:pt>
                <c:pt idx="6">
                  <c:v>27.589059383361551</c:v>
                </c:pt>
                <c:pt idx="7">
                  <c:v>26.784360165718656</c:v>
                </c:pt>
                <c:pt idx="8">
                  <c:v>26.521682901494561</c:v>
                </c:pt>
                <c:pt idx="9">
                  <c:v>22.707577399278453</c:v>
                </c:pt>
                <c:pt idx="10">
                  <c:v>25.206275379375029</c:v>
                </c:pt>
                <c:pt idx="11">
                  <c:v>25.188891955944769</c:v>
                </c:pt>
                <c:pt idx="12">
                  <c:v>30.524471286633531</c:v>
                </c:pt>
                <c:pt idx="13">
                  <c:v>38.122694234499882</c:v>
                </c:pt>
                <c:pt idx="14">
                  <c:v>22.133249361940823</c:v>
                </c:pt>
                <c:pt idx="15">
                  <c:v>26.08512957491293</c:v>
                </c:pt>
                <c:pt idx="16">
                  <c:v>40.057530276883547</c:v>
                </c:pt>
                <c:pt idx="17">
                  <c:v>33.080969052572975</c:v>
                </c:pt>
                <c:pt idx="18">
                  <c:v>42.972349377009209</c:v>
                </c:pt>
                <c:pt idx="19">
                  <c:v>42.220946527100004</c:v>
                </c:pt>
                <c:pt idx="20">
                  <c:v>44.096138887620874</c:v>
                </c:pt>
              </c:numCache>
            </c:numRef>
          </c:val>
          <c:smooth val="0"/>
          <c:extLst>
            <c:ext xmlns:c16="http://schemas.microsoft.com/office/drawing/2014/chart" uri="{C3380CC4-5D6E-409C-BE32-E72D297353CC}">
              <c16:uniqueId val="{00000001-ED5C-4C67-97CA-04A481FEF72C}"/>
            </c:ext>
          </c:extLst>
        </c:ser>
        <c:ser>
          <c:idx val="1"/>
          <c:order val="1"/>
          <c:tx>
            <c:strRef>
              <c:f>'A. FS'!$A$145</c:f>
              <c:strCache>
                <c:ptCount val="1"/>
                <c:pt idx="0">
                  <c:v>Days of inventories</c:v>
                </c:pt>
              </c:strCache>
            </c:strRef>
          </c:tx>
          <c:spPr>
            <a:ln w="28575" cap="rnd">
              <a:solidFill>
                <a:schemeClr val="accent2"/>
              </a:solidFill>
              <a:round/>
            </a:ln>
            <a:effectLst/>
          </c:spPr>
          <c:marker>
            <c:symbol val="none"/>
          </c:marker>
          <c:cat>
            <c:strRef>
              <c:f>'A. FS'!$AB$1:$AV$1</c:f>
              <c:strCache>
                <c:ptCount val="21"/>
                <c:pt idx="0">
                  <c:v>Q2/2018</c:v>
                </c:pt>
                <c:pt idx="1">
                  <c:v>Q3/2018</c:v>
                </c:pt>
                <c:pt idx="2">
                  <c:v>Q4/2018</c:v>
                </c:pt>
                <c:pt idx="3">
                  <c:v>Q1/2019</c:v>
                </c:pt>
                <c:pt idx="4">
                  <c:v>Q2/2019</c:v>
                </c:pt>
                <c:pt idx="5">
                  <c:v>Q3/2019</c:v>
                </c:pt>
                <c:pt idx="6">
                  <c:v>Q4/2019</c:v>
                </c:pt>
                <c:pt idx="7">
                  <c:v>Q1/2020</c:v>
                </c:pt>
                <c:pt idx="8">
                  <c:v>Q2/2020</c:v>
                </c:pt>
                <c:pt idx="9">
                  <c:v>Q3/2020</c:v>
                </c:pt>
                <c:pt idx="10">
                  <c:v>Q4/2020</c:v>
                </c:pt>
                <c:pt idx="11">
                  <c:v>Q1/2021</c:v>
                </c:pt>
                <c:pt idx="12">
                  <c:v>Q2/2021</c:v>
                </c:pt>
                <c:pt idx="13">
                  <c:v>Q3/2021</c:v>
                </c:pt>
                <c:pt idx="14">
                  <c:v>Q4/2021</c:v>
                </c:pt>
                <c:pt idx="15">
                  <c:v>Q1/2022</c:v>
                </c:pt>
                <c:pt idx="16">
                  <c:v>Q2/2022</c:v>
                </c:pt>
                <c:pt idx="17">
                  <c:v>Q3/2022</c:v>
                </c:pt>
                <c:pt idx="18">
                  <c:v>Q4/2022</c:v>
                </c:pt>
                <c:pt idx="19">
                  <c:v>Q1/2023</c:v>
                </c:pt>
                <c:pt idx="20">
                  <c:v>Q2/2023</c:v>
                </c:pt>
              </c:strCache>
            </c:strRef>
          </c:cat>
          <c:val>
            <c:numRef>
              <c:f>'A. FS'!$AB$145:$AV$145</c:f>
              <c:numCache>
                <c:formatCode>_(* #,##0_);_(* \(#,##0\);_(* "-"??_);_(@_)</c:formatCode>
                <c:ptCount val="21"/>
                <c:pt idx="0">
                  <c:v>44.6533470036537</c:v>
                </c:pt>
                <c:pt idx="1">
                  <c:v>37.150691568566849</c:v>
                </c:pt>
                <c:pt idx="2">
                  <c:v>62.404831158393911</c:v>
                </c:pt>
                <c:pt idx="3">
                  <c:v>78.277645421344531</c:v>
                </c:pt>
                <c:pt idx="4">
                  <c:v>45.608514233308959</c:v>
                </c:pt>
                <c:pt idx="5">
                  <c:v>34.051025383233089</c:v>
                </c:pt>
                <c:pt idx="6">
                  <c:v>45.418465220190129</c:v>
                </c:pt>
                <c:pt idx="7">
                  <c:v>48.843054123374358</c:v>
                </c:pt>
                <c:pt idx="8">
                  <c:v>35.193659922216831</c:v>
                </c:pt>
                <c:pt idx="9">
                  <c:v>24.519654989457162</c:v>
                </c:pt>
                <c:pt idx="10">
                  <c:v>19.677038483578514</c:v>
                </c:pt>
                <c:pt idx="11">
                  <c:v>14.53872620894664</c:v>
                </c:pt>
                <c:pt idx="12">
                  <c:v>19.141711020061276</c:v>
                </c:pt>
                <c:pt idx="13">
                  <c:v>24.539176078113197</c:v>
                </c:pt>
                <c:pt idx="14">
                  <c:v>23.584099797372293</c:v>
                </c:pt>
                <c:pt idx="15">
                  <c:v>44.320473024167633</c:v>
                </c:pt>
                <c:pt idx="16">
                  <c:v>68.675367561194335</c:v>
                </c:pt>
                <c:pt idx="17">
                  <c:v>49.33722973294028</c:v>
                </c:pt>
                <c:pt idx="18">
                  <c:v>75.644619680679284</c:v>
                </c:pt>
                <c:pt idx="19">
                  <c:v>77.543705449544873</c:v>
                </c:pt>
                <c:pt idx="20">
                  <c:v>61.071454225955684</c:v>
                </c:pt>
              </c:numCache>
            </c:numRef>
          </c:val>
          <c:smooth val="0"/>
          <c:extLst>
            <c:ext xmlns:c16="http://schemas.microsoft.com/office/drawing/2014/chart" uri="{C3380CC4-5D6E-409C-BE32-E72D297353CC}">
              <c16:uniqueId val="{00000002-ED5C-4C67-97CA-04A481FEF72C}"/>
            </c:ext>
          </c:extLst>
        </c:ser>
        <c:ser>
          <c:idx val="2"/>
          <c:order val="2"/>
          <c:tx>
            <c:strRef>
              <c:f>'A. FS'!$A$148</c:f>
              <c:strCache>
                <c:ptCount val="1"/>
                <c:pt idx="0">
                  <c:v>Days of account payable</c:v>
                </c:pt>
              </c:strCache>
            </c:strRef>
          </c:tx>
          <c:spPr>
            <a:ln w="28575" cap="rnd">
              <a:solidFill>
                <a:schemeClr val="accent3"/>
              </a:solidFill>
              <a:round/>
            </a:ln>
            <a:effectLst/>
          </c:spPr>
          <c:marker>
            <c:symbol val="none"/>
          </c:marker>
          <c:cat>
            <c:strRef>
              <c:f>'A. FS'!$AB$1:$AV$1</c:f>
              <c:strCache>
                <c:ptCount val="21"/>
                <c:pt idx="0">
                  <c:v>Q2/2018</c:v>
                </c:pt>
                <c:pt idx="1">
                  <c:v>Q3/2018</c:v>
                </c:pt>
                <c:pt idx="2">
                  <c:v>Q4/2018</c:v>
                </c:pt>
                <c:pt idx="3">
                  <c:v>Q1/2019</c:v>
                </c:pt>
                <c:pt idx="4">
                  <c:v>Q2/2019</c:v>
                </c:pt>
                <c:pt idx="5">
                  <c:v>Q3/2019</c:v>
                </c:pt>
                <c:pt idx="6">
                  <c:v>Q4/2019</c:v>
                </c:pt>
                <c:pt idx="7">
                  <c:v>Q1/2020</c:v>
                </c:pt>
                <c:pt idx="8">
                  <c:v>Q2/2020</c:v>
                </c:pt>
                <c:pt idx="9">
                  <c:v>Q3/2020</c:v>
                </c:pt>
                <c:pt idx="10">
                  <c:v>Q4/2020</c:v>
                </c:pt>
                <c:pt idx="11">
                  <c:v>Q1/2021</c:v>
                </c:pt>
                <c:pt idx="12">
                  <c:v>Q2/2021</c:v>
                </c:pt>
                <c:pt idx="13">
                  <c:v>Q3/2021</c:v>
                </c:pt>
                <c:pt idx="14">
                  <c:v>Q4/2021</c:v>
                </c:pt>
                <c:pt idx="15">
                  <c:v>Q1/2022</c:v>
                </c:pt>
                <c:pt idx="16">
                  <c:v>Q2/2022</c:v>
                </c:pt>
                <c:pt idx="17">
                  <c:v>Q3/2022</c:v>
                </c:pt>
                <c:pt idx="18">
                  <c:v>Q4/2022</c:v>
                </c:pt>
                <c:pt idx="19">
                  <c:v>Q1/2023</c:v>
                </c:pt>
                <c:pt idx="20">
                  <c:v>Q2/2023</c:v>
                </c:pt>
              </c:strCache>
            </c:strRef>
          </c:cat>
          <c:val>
            <c:numRef>
              <c:f>'A. FS'!$AB$148:$AV$148</c:f>
              <c:numCache>
                <c:formatCode>_(* #,##0_);_(* \(#,##0\);_(* "-"??_);_(@_)</c:formatCode>
                <c:ptCount val="21"/>
                <c:pt idx="0">
                  <c:v>8.4578639844190633</c:v>
                </c:pt>
                <c:pt idx="1">
                  <c:v>11.249059900330291</c:v>
                </c:pt>
                <c:pt idx="2">
                  <c:v>16.932036394202132</c:v>
                </c:pt>
                <c:pt idx="3">
                  <c:v>35.772490665885627</c:v>
                </c:pt>
                <c:pt idx="4">
                  <c:v>10.247934640574014</c:v>
                </c:pt>
                <c:pt idx="5">
                  <c:v>14.739706072450694</c:v>
                </c:pt>
                <c:pt idx="6">
                  <c:v>17.536983582859389</c:v>
                </c:pt>
                <c:pt idx="7">
                  <c:v>29.128494075018267</c:v>
                </c:pt>
                <c:pt idx="8">
                  <c:v>14.311041232455553</c:v>
                </c:pt>
                <c:pt idx="9">
                  <c:v>16.575324195350191</c:v>
                </c:pt>
                <c:pt idx="10">
                  <c:v>18.503846793236775</c:v>
                </c:pt>
                <c:pt idx="11">
                  <c:v>19.298424039639606</c:v>
                </c:pt>
                <c:pt idx="12">
                  <c:v>19.773431698167037</c:v>
                </c:pt>
                <c:pt idx="13">
                  <c:v>19.514919101175789</c:v>
                </c:pt>
                <c:pt idx="14">
                  <c:v>17.277839665684368</c:v>
                </c:pt>
                <c:pt idx="15">
                  <c:v>29.489389641509344</c:v>
                </c:pt>
                <c:pt idx="16">
                  <c:v>36.262351987139915</c:v>
                </c:pt>
                <c:pt idx="17">
                  <c:v>29.013445029890701</c:v>
                </c:pt>
                <c:pt idx="18">
                  <c:v>29.135227619841832</c:v>
                </c:pt>
                <c:pt idx="19">
                  <c:v>31.522350772821049</c:v>
                </c:pt>
                <c:pt idx="20">
                  <c:v>29.875312548250033</c:v>
                </c:pt>
              </c:numCache>
            </c:numRef>
          </c:val>
          <c:smooth val="0"/>
          <c:extLst>
            <c:ext xmlns:c16="http://schemas.microsoft.com/office/drawing/2014/chart" uri="{C3380CC4-5D6E-409C-BE32-E72D297353CC}">
              <c16:uniqueId val="{00000003-ED5C-4C67-97CA-04A481FEF72C}"/>
            </c:ext>
          </c:extLst>
        </c:ser>
        <c:dLbls>
          <c:showLegendKey val="0"/>
          <c:showVal val="0"/>
          <c:showCatName val="0"/>
          <c:showSerName val="0"/>
          <c:showPercent val="0"/>
          <c:showBubbleSize val="0"/>
        </c:dLbls>
        <c:marker val="1"/>
        <c:smooth val="0"/>
        <c:axId val="681497040"/>
        <c:axId val="361817696"/>
      </c:lineChart>
      <c:catAx>
        <c:axId val="68149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817696"/>
        <c:crosses val="autoZero"/>
        <c:auto val="1"/>
        <c:lblAlgn val="ctr"/>
        <c:lblOffset val="100"/>
        <c:noMultiLvlLbl val="0"/>
      </c:catAx>
      <c:valAx>
        <c:axId val="3618176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497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 FS'!$A$33</c:f>
              <c:strCache>
                <c:ptCount val="1"/>
                <c:pt idx="0">
                  <c:v>% EBIT margin</c:v>
                </c:pt>
              </c:strCache>
            </c:strRef>
          </c:tx>
          <c:spPr>
            <a:solidFill>
              <a:schemeClr val="accent1"/>
            </a:solidFill>
            <a:ln>
              <a:noFill/>
            </a:ln>
            <a:effectLst/>
          </c:spPr>
          <c:invertIfNegative val="0"/>
          <c:cat>
            <c:strRef>
              <c:f>'A. FS'!$AB$1:$AV$1</c:f>
              <c:strCache>
                <c:ptCount val="21"/>
                <c:pt idx="0">
                  <c:v>Q2/2018</c:v>
                </c:pt>
                <c:pt idx="1">
                  <c:v>Q3/2018</c:v>
                </c:pt>
                <c:pt idx="2">
                  <c:v>Q4/2018</c:v>
                </c:pt>
                <c:pt idx="3">
                  <c:v>Q1/2019</c:v>
                </c:pt>
                <c:pt idx="4">
                  <c:v>Q2/2019</c:v>
                </c:pt>
                <c:pt idx="5">
                  <c:v>Q3/2019</c:v>
                </c:pt>
                <c:pt idx="6">
                  <c:v>Q4/2019</c:v>
                </c:pt>
                <c:pt idx="7">
                  <c:v>Q1/2020</c:v>
                </c:pt>
                <c:pt idx="8">
                  <c:v>Q2/2020</c:v>
                </c:pt>
                <c:pt idx="9">
                  <c:v>Q3/2020</c:v>
                </c:pt>
                <c:pt idx="10">
                  <c:v>Q4/2020</c:v>
                </c:pt>
                <c:pt idx="11">
                  <c:v>Q1/2021</c:v>
                </c:pt>
                <c:pt idx="12">
                  <c:v>Q2/2021</c:v>
                </c:pt>
                <c:pt idx="13">
                  <c:v>Q3/2021</c:v>
                </c:pt>
                <c:pt idx="14">
                  <c:v>Q4/2021</c:v>
                </c:pt>
                <c:pt idx="15">
                  <c:v>Q1/2022</c:v>
                </c:pt>
                <c:pt idx="16">
                  <c:v>Q2/2022</c:v>
                </c:pt>
                <c:pt idx="17">
                  <c:v>Q3/2022</c:v>
                </c:pt>
                <c:pt idx="18">
                  <c:v>Q4/2022</c:v>
                </c:pt>
                <c:pt idx="19">
                  <c:v>Q1/2023</c:v>
                </c:pt>
                <c:pt idx="20">
                  <c:v>Q2/2023</c:v>
                </c:pt>
              </c:strCache>
            </c:strRef>
          </c:cat>
          <c:val>
            <c:numRef>
              <c:f>'A. FS'!$AB$33:$AV$33</c:f>
              <c:numCache>
                <c:formatCode>0.0%</c:formatCode>
                <c:ptCount val="21"/>
                <c:pt idx="0">
                  <c:v>2.1880666717481546E-2</c:v>
                </c:pt>
                <c:pt idx="1">
                  <c:v>2.6418281247224486E-2</c:v>
                </c:pt>
                <c:pt idx="2">
                  <c:v>2.6585779957872421E-2</c:v>
                </c:pt>
                <c:pt idx="3">
                  <c:v>2.0427729654060676E-2</c:v>
                </c:pt>
                <c:pt idx="4">
                  <c:v>2.4699196309675292E-2</c:v>
                </c:pt>
                <c:pt idx="5">
                  <c:v>2.4892449193195932E-2</c:v>
                </c:pt>
                <c:pt idx="6">
                  <c:v>2.3366970432524961E-2</c:v>
                </c:pt>
                <c:pt idx="7">
                  <c:v>2.2065053947412532E-2</c:v>
                </c:pt>
                <c:pt idx="8">
                  <c:v>1.7353199039716639E-2</c:v>
                </c:pt>
                <c:pt idx="9">
                  <c:v>2.4516721855980406E-2</c:v>
                </c:pt>
                <c:pt idx="10">
                  <c:v>2.370117032362561E-2</c:v>
                </c:pt>
                <c:pt idx="11">
                  <c:v>2.3359710965843477E-2</c:v>
                </c:pt>
                <c:pt idx="12">
                  <c:v>2.7555069189622274E-2</c:v>
                </c:pt>
                <c:pt idx="13">
                  <c:v>2.5132608919934938E-2</c:v>
                </c:pt>
                <c:pt idx="14">
                  <c:v>4.5414291198307366E-2</c:v>
                </c:pt>
                <c:pt idx="15">
                  <c:v>2.993064405897702E-2</c:v>
                </c:pt>
                <c:pt idx="16">
                  <c:v>3.4685404236326184E-2</c:v>
                </c:pt>
                <c:pt idx="17">
                  <c:v>3.6011706194167548E-2</c:v>
                </c:pt>
                <c:pt idx="18">
                  <c:v>5.06402771954352E-2</c:v>
                </c:pt>
                <c:pt idx="19">
                  <c:v>2.4445694874390946E-2</c:v>
                </c:pt>
                <c:pt idx="20">
                  <c:v>2.4260950362247891E-2</c:v>
                </c:pt>
              </c:numCache>
            </c:numRef>
          </c:val>
          <c:extLst>
            <c:ext xmlns:c16="http://schemas.microsoft.com/office/drawing/2014/chart" uri="{C3380CC4-5D6E-409C-BE32-E72D297353CC}">
              <c16:uniqueId val="{00000000-4579-4375-BC80-ADBBF078A063}"/>
            </c:ext>
          </c:extLst>
        </c:ser>
        <c:dLbls>
          <c:showLegendKey val="0"/>
          <c:showVal val="0"/>
          <c:showCatName val="0"/>
          <c:showSerName val="0"/>
          <c:showPercent val="0"/>
          <c:showBubbleSize val="0"/>
        </c:dLbls>
        <c:gapWidth val="219"/>
        <c:overlap val="-27"/>
        <c:axId val="683484032"/>
        <c:axId val="358332000"/>
      </c:barChart>
      <c:lineChart>
        <c:grouping val="standard"/>
        <c:varyColors val="0"/>
        <c:ser>
          <c:idx val="1"/>
          <c:order val="1"/>
          <c:tx>
            <c:strRef>
              <c:f>'A. FS'!$A$195</c:f>
              <c:strCache>
                <c:ptCount val="1"/>
                <c:pt idx="0">
                  <c:v>Shorterm debt / inventory</c:v>
                </c:pt>
              </c:strCache>
            </c:strRef>
          </c:tx>
          <c:spPr>
            <a:ln w="28575" cap="rnd">
              <a:solidFill>
                <a:schemeClr val="accent2"/>
              </a:solidFill>
              <a:round/>
            </a:ln>
            <a:effectLst/>
          </c:spPr>
          <c:marker>
            <c:symbol val="none"/>
          </c:marker>
          <c:cat>
            <c:strRef>
              <c:f>'A. FS'!$AB$1:$AV$1</c:f>
              <c:strCache>
                <c:ptCount val="21"/>
                <c:pt idx="0">
                  <c:v>Q2/2018</c:v>
                </c:pt>
                <c:pt idx="1">
                  <c:v>Q3/2018</c:v>
                </c:pt>
                <c:pt idx="2">
                  <c:v>Q4/2018</c:v>
                </c:pt>
                <c:pt idx="3">
                  <c:v>Q1/2019</c:v>
                </c:pt>
                <c:pt idx="4">
                  <c:v>Q2/2019</c:v>
                </c:pt>
                <c:pt idx="5">
                  <c:v>Q3/2019</c:v>
                </c:pt>
                <c:pt idx="6">
                  <c:v>Q4/2019</c:v>
                </c:pt>
                <c:pt idx="7">
                  <c:v>Q1/2020</c:v>
                </c:pt>
                <c:pt idx="8">
                  <c:v>Q2/2020</c:v>
                </c:pt>
                <c:pt idx="9">
                  <c:v>Q3/2020</c:v>
                </c:pt>
                <c:pt idx="10">
                  <c:v>Q4/2020</c:v>
                </c:pt>
                <c:pt idx="11">
                  <c:v>Q1/2021</c:v>
                </c:pt>
                <c:pt idx="12">
                  <c:v>Q2/2021</c:v>
                </c:pt>
                <c:pt idx="13">
                  <c:v>Q3/2021</c:v>
                </c:pt>
                <c:pt idx="14">
                  <c:v>Q4/2021</c:v>
                </c:pt>
                <c:pt idx="15">
                  <c:v>Q1/2022</c:v>
                </c:pt>
                <c:pt idx="16">
                  <c:v>Q2/2022</c:v>
                </c:pt>
                <c:pt idx="17">
                  <c:v>Q3/2022</c:v>
                </c:pt>
                <c:pt idx="18">
                  <c:v>Q4/2022</c:v>
                </c:pt>
                <c:pt idx="19">
                  <c:v>Q1/2023</c:v>
                </c:pt>
                <c:pt idx="20">
                  <c:v>Q2/2023</c:v>
                </c:pt>
              </c:strCache>
            </c:strRef>
          </c:cat>
          <c:val>
            <c:numRef>
              <c:f>'A. FS'!$AB$195:$AV$195</c:f>
              <c:numCache>
                <c:formatCode>0%</c:formatCode>
                <c:ptCount val="21"/>
                <c:pt idx="0">
                  <c:v>0.84066396790325815</c:v>
                </c:pt>
                <c:pt idx="1">
                  <c:v>0.85864890370613511</c:v>
                </c:pt>
                <c:pt idx="2">
                  <c:v>0.7475887359830824</c:v>
                </c:pt>
                <c:pt idx="3">
                  <c:v>0.74342393010604779</c:v>
                </c:pt>
                <c:pt idx="4">
                  <c:v>0.92757385589556385</c:v>
                </c:pt>
                <c:pt idx="5">
                  <c:v>0.84095564173810267</c:v>
                </c:pt>
                <c:pt idx="6">
                  <c:v>0.52278302509592611</c:v>
                </c:pt>
                <c:pt idx="7">
                  <c:v>0.48751137209126222</c:v>
                </c:pt>
                <c:pt idx="8">
                  <c:v>0.55794999000443957</c:v>
                </c:pt>
                <c:pt idx="9">
                  <c:v>0.55011795669681185</c:v>
                </c:pt>
                <c:pt idx="10">
                  <c:v>0.68011017271709051</c:v>
                </c:pt>
                <c:pt idx="11">
                  <c:v>0.87387393076286135</c:v>
                </c:pt>
                <c:pt idx="12">
                  <c:v>0.78455917349944604</c:v>
                </c:pt>
                <c:pt idx="13">
                  <c:v>0.87927086101356</c:v>
                </c:pt>
                <c:pt idx="14">
                  <c:v>0.57825275368001494</c:v>
                </c:pt>
                <c:pt idx="15">
                  <c:v>0.48718334746421077</c:v>
                </c:pt>
                <c:pt idx="16">
                  <c:v>0.46640720697691085</c:v>
                </c:pt>
                <c:pt idx="17">
                  <c:v>0.59085003446417839</c:v>
                </c:pt>
                <c:pt idx="18">
                  <c:v>0.71722300375038628</c:v>
                </c:pt>
                <c:pt idx="19">
                  <c:v>0.58326518275772132</c:v>
                </c:pt>
                <c:pt idx="20">
                  <c:v>0.68845444362352803</c:v>
                </c:pt>
              </c:numCache>
            </c:numRef>
          </c:val>
          <c:smooth val="0"/>
          <c:extLst>
            <c:ext xmlns:c16="http://schemas.microsoft.com/office/drawing/2014/chart" uri="{C3380CC4-5D6E-409C-BE32-E72D297353CC}">
              <c16:uniqueId val="{00000001-4579-4375-BC80-ADBBF078A063}"/>
            </c:ext>
          </c:extLst>
        </c:ser>
        <c:dLbls>
          <c:showLegendKey val="0"/>
          <c:showVal val="0"/>
          <c:showCatName val="0"/>
          <c:showSerName val="0"/>
          <c:showPercent val="0"/>
          <c:showBubbleSize val="0"/>
        </c:dLbls>
        <c:marker val="1"/>
        <c:smooth val="0"/>
        <c:axId val="584805328"/>
        <c:axId val="358333984"/>
      </c:lineChart>
      <c:catAx>
        <c:axId val="68348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32000"/>
        <c:crosses val="autoZero"/>
        <c:auto val="1"/>
        <c:lblAlgn val="ctr"/>
        <c:lblOffset val="100"/>
        <c:noMultiLvlLbl val="0"/>
      </c:catAx>
      <c:valAx>
        <c:axId val="3583320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484032"/>
        <c:crosses val="autoZero"/>
        <c:crossBetween val="between"/>
      </c:valAx>
      <c:valAx>
        <c:axId val="3583339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05328"/>
        <c:crosses val="max"/>
        <c:crossBetween val="between"/>
      </c:valAx>
      <c:catAx>
        <c:axId val="584805328"/>
        <c:scaling>
          <c:orientation val="minMax"/>
        </c:scaling>
        <c:delete val="1"/>
        <c:axPos val="b"/>
        <c:numFmt formatCode="General" sourceLinked="1"/>
        <c:majorTickMark val="out"/>
        <c:minorTickMark val="none"/>
        <c:tickLblPos val="nextTo"/>
        <c:crossAx val="358333984"/>
        <c:crosses val="autoZero"/>
        <c:auto val="1"/>
        <c:lblAlgn val="ctr"/>
        <c:lblOffset val="100"/>
        <c:noMultiLvlLbl val="0"/>
      </c:catAx>
      <c:spPr>
        <a:noFill/>
        <a:ln>
          <a:noFill/>
        </a:ln>
        <a:effectLst/>
      </c:spPr>
    </c:plotArea>
    <c:legend>
      <c:legendPos val="b"/>
      <c:layout>
        <c:manualLayout>
          <c:xMode val="edge"/>
          <c:yMode val="edge"/>
          <c:x val="0.3263339586196326"/>
          <c:y val="0.9402034178643105"/>
          <c:w val="0.34733208276073479"/>
          <c:h val="5.97965821356894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Thị</a:t>
            </a:r>
            <a:r>
              <a:rPr lang="en-US" baseline="0"/>
              <a:t> phần của Xiaomi &amp; Apple liên tục mở rộng duy nhất (vol)</a:t>
            </a:r>
            <a:endParaRPr lang="en-US"/>
          </a:p>
        </c:rich>
      </c:tx>
      <c:layout>
        <c:manualLayout>
          <c:xMode val="edge"/>
          <c:yMode val="edge"/>
          <c:x val="0.12920610769768534"/>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 ICT Market'!$A$151</c:f>
              <c:strCache>
                <c:ptCount val="1"/>
                <c:pt idx="0">
                  <c:v>Apple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ICT Market'!$D$141:$H$141</c:f>
              <c:strCache>
                <c:ptCount val="5"/>
                <c:pt idx="0">
                  <c:v>2020A</c:v>
                </c:pt>
                <c:pt idx="1">
                  <c:v>2021A</c:v>
                </c:pt>
                <c:pt idx="2">
                  <c:v>2022A</c:v>
                </c:pt>
                <c:pt idx="3">
                  <c:v>2023F</c:v>
                </c:pt>
                <c:pt idx="4">
                  <c:v>H1.2023</c:v>
                </c:pt>
              </c:strCache>
            </c:strRef>
          </c:cat>
          <c:val>
            <c:numRef>
              <c:f>'C. ICT Market'!$D$151:$H$151</c:f>
              <c:numCache>
                <c:formatCode>0%</c:formatCode>
                <c:ptCount val="5"/>
                <c:pt idx="0">
                  <c:v>4.2540253139861033E-2</c:v>
                </c:pt>
                <c:pt idx="1">
                  <c:v>8.6251063407735612E-2</c:v>
                </c:pt>
                <c:pt idx="2">
                  <c:v>0.12264946421555845</c:v>
                </c:pt>
                <c:pt idx="3" formatCode="0.00%">
                  <c:v>0.14164935846316665</c:v>
                </c:pt>
                <c:pt idx="4">
                  <c:v>0.15715789297567095</c:v>
                </c:pt>
              </c:numCache>
            </c:numRef>
          </c:val>
          <c:extLst>
            <c:ext xmlns:c16="http://schemas.microsoft.com/office/drawing/2014/chart" uri="{C3380CC4-5D6E-409C-BE32-E72D297353CC}">
              <c16:uniqueId val="{00000000-7277-43E0-916B-4B0864B330C3}"/>
            </c:ext>
          </c:extLst>
        </c:ser>
        <c:ser>
          <c:idx val="1"/>
          <c:order val="1"/>
          <c:tx>
            <c:strRef>
              <c:f>'C. ICT Market'!$A$152</c:f>
              <c:strCache>
                <c:ptCount val="1"/>
                <c:pt idx="0">
                  <c:v>Oppo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ICT Market'!$D$141:$H$141</c:f>
              <c:strCache>
                <c:ptCount val="5"/>
                <c:pt idx="0">
                  <c:v>2020A</c:v>
                </c:pt>
                <c:pt idx="1">
                  <c:v>2021A</c:v>
                </c:pt>
                <c:pt idx="2">
                  <c:v>2022A</c:v>
                </c:pt>
                <c:pt idx="3">
                  <c:v>2023F</c:v>
                </c:pt>
                <c:pt idx="4">
                  <c:v>H1.2023</c:v>
                </c:pt>
              </c:strCache>
            </c:strRef>
          </c:cat>
          <c:val>
            <c:numRef>
              <c:f>'C. ICT Market'!$D$152:$H$152</c:f>
              <c:numCache>
                <c:formatCode>0%</c:formatCode>
                <c:ptCount val="5"/>
                <c:pt idx="0">
                  <c:v>0.22049256474467985</c:v>
                </c:pt>
                <c:pt idx="1">
                  <c:v>0.18587234139949718</c:v>
                </c:pt>
                <c:pt idx="2">
                  <c:v>0.19223151269001104</c:v>
                </c:pt>
                <c:pt idx="3">
                  <c:v>0.18442187170687027</c:v>
                </c:pt>
                <c:pt idx="4">
                  <c:v>0.17780701783738817</c:v>
                </c:pt>
              </c:numCache>
            </c:numRef>
          </c:val>
          <c:extLst>
            <c:ext xmlns:c16="http://schemas.microsoft.com/office/drawing/2014/chart" uri="{C3380CC4-5D6E-409C-BE32-E72D297353CC}">
              <c16:uniqueId val="{00000001-7277-43E0-916B-4B0864B330C3}"/>
            </c:ext>
          </c:extLst>
        </c:ser>
        <c:ser>
          <c:idx val="2"/>
          <c:order val="2"/>
          <c:tx>
            <c:strRef>
              <c:f>'C. ICT Market'!$A$153</c:f>
              <c:strCache>
                <c:ptCount val="1"/>
                <c:pt idx="0">
                  <c:v>Samsung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ICT Market'!$D$141:$H$141</c:f>
              <c:strCache>
                <c:ptCount val="5"/>
                <c:pt idx="0">
                  <c:v>2020A</c:v>
                </c:pt>
                <c:pt idx="1">
                  <c:v>2021A</c:v>
                </c:pt>
                <c:pt idx="2">
                  <c:v>2022A</c:v>
                </c:pt>
                <c:pt idx="3">
                  <c:v>2023F</c:v>
                </c:pt>
                <c:pt idx="4">
                  <c:v>H1.2023</c:v>
                </c:pt>
              </c:strCache>
            </c:strRef>
          </c:cat>
          <c:val>
            <c:numRef>
              <c:f>'C. ICT Market'!$D$153:$H$153</c:f>
              <c:numCache>
                <c:formatCode>0%</c:formatCode>
                <c:ptCount val="5"/>
                <c:pt idx="0">
                  <c:v>0.35032782545263208</c:v>
                </c:pt>
                <c:pt idx="1">
                  <c:v>0.34497872730011636</c:v>
                </c:pt>
                <c:pt idx="2">
                  <c:v>0.35811761484241655</c:v>
                </c:pt>
                <c:pt idx="3">
                  <c:v>0.32686732078265363</c:v>
                </c:pt>
                <c:pt idx="4">
                  <c:v>0.30451754459347047</c:v>
                </c:pt>
              </c:numCache>
            </c:numRef>
          </c:val>
          <c:extLst>
            <c:ext xmlns:c16="http://schemas.microsoft.com/office/drawing/2014/chart" uri="{C3380CC4-5D6E-409C-BE32-E72D297353CC}">
              <c16:uniqueId val="{00000002-7277-43E0-916B-4B0864B330C3}"/>
            </c:ext>
          </c:extLst>
        </c:ser>
        <c:ser>
          <c:idx val="3"/>
          <c:order val="3"/>
          <c:tx>
            <c:strRef>
              <c:f>'C. ICT Market'!$A$154</c:f>
              <c:strCache>
                <c:ptCount val="1"/>
                <c:pt idx="0">
                  <c:v>Vivo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ICT Market'!$D$141:$H$141</c:f>
              <c:strCache>
                <c:ptCount val="5"/>
                <c:pt idx="0">
                  <c:v>2020A</c:v>
                </c:pt>
                <c:pt idx="1">
                  <c:v>2021A</c:v>
                </c:pt>
                <c:pt idx="2">
                  <c:v>2022A</c:v>
                </c:pt>
                <c:pt idx="3">
                  <c:v>2023F</c:v>
                </c:pt>
                <c:pt idx="4">
                  <c:v>H1.2023</c:v>
                </c:pt>
              </c:strCache>
            </c:strRef>
          </c:cat>
          <c:val>
            <c:numRef>
              <c:f>'C. ICT Market'!$D$154:$H$154</c:f>
              <c:numCache>
                <c:formatCode>0%</c:formatCode>
                <c:ptCount val="5"/>
                <c:pt idx="0">
                  <c:v>0.10251781907530438</c:v>
                </c:pt>
                <c:pt idx="1">
                  <c:v>0.1128936157226562</c:v>
                </c:pt>
                <c:pt idx="2">
                  <c:v>8.0254906973973639E-2</c:v>
                </c:pt>
                <c:pt idx="3">
                  <c:v>7.8745924532196893E-2</c:v>
                </c:pt>
                <c:pt idx="4">
                  <c:v>7.7258772296735209E-2</c:v>
                </c:pt>
              </c:numCache>
            </c:numRef>
          </c:val>
          <c:extLst>
            <c:ext xmlns:c16="http://schemas.microsoft.com/office/drawing/2014/chart" uri="{C3380CC4-5D6E-409C-BE32-E72D297353CC}">
              <c16:uniqueId val="{00000003-7277-43E0-916B-4B0864B330C3}"/>
            </c:ext>
          </c:extLst>
        </c:ser>
        <c:ser>
          <c:idx val="4"/>
          <c:order val="4"/>
          <c:tx>
            <c:strRef>
              <c:f>'C. ICT Market'!$A$155</c:f>
              <c:strCache>
                <c:ptCount val="1"/>
                <c:pt idx="0">
                  <c:v>Xiaomi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ICT Market'!$D$141:$H$141</c:f>
              <c:strCache>
                <c:ptCount val="5"/>
                <c:pt idx="0">
                  <c:v>2020A</c:v>
                </c:pt>
                <c:pt idx="1">
                  <c:v>2021A</c:v>
                </c:pt>
                <c:pt idx="2">
                  <c:v>2022A</c:v>
                </c:pt>
                <c:pt idx="3">
                  <c:v>2023F</c:v>
                </c:pt>
                <c:pt idx="4">
                  <c:v>H1.2023</c:v>
                </c:pt>
              </c:strCache>
            </c:strRef>
          </c:cat>
          <c:val>
            <c:numRef>
              <c:f>'C. ICT Market'!$D$155:$H$155</c:f>
              <c:numCache>
                <c:formatCode>0%</c:formatCode>
                <c:ptCount val="5"/>
                <c:pt idx="0">
                  <c:v>0.12231130588140419</c:v>
                </c:pt>
                <c:pt idx="1">
                  <c:v>0.13025531785031583</c:v>
                </c:pt>
                <c:pt idx="2">
                  <c:v>0.13544605591741257</c:v>
                </c:pt>
                <c:pt idx="3">
                  <c:v>0.15536493584631667</c:v>
                </c:pt>
                <c:pt idx="4">
                  <c:v>0.18600877647951677</c:v>
                </c:pt>
              </c:numCache>
            </c:numRef>
          </c:val>
          <c:extLst>
            <c:ext xmlns:c16="http://schemas.microsoft.com/office/drawing/2014/chart" uri="{C3380CC4-5D6E-409C-BE32-E72D297353CC}">
              <c16:uniqueId val="{00000004-7277-43E0-916B-4B0864B330C3}"/>
            </c:ext>
          </c:extLst>
        </c:ser>
        <c:ser>
          <c:idx val="5"/>
          <c:order val="5"/>
          <c:tx>
            <c:strRef>
              <c:f>'C. ICT Market'!$A$156</c:f>
              <c:strCache>
                <c:ptCount val="1"/>
                <c:pt idx="0">
                  <c:v>Others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ICT Market'!$D$141:$H$141</c:f>
              <c:strCache>
                <c:ptCount val="5"/>
                <c:pt idx="0">
                  <c:v>2020A</c:v>
                </c:pt>
                <c:pt idx="1">
                  <c:v>2021A</c:v>
                </c:pt>
                <c:pt idx="2">
                  <c:v>2022A</c:v>
                </c:pt>
                <c:pt idx="3">
                  <c:v>2023F</c:v>
                </c:pt>
                <c:pt idx="4">
                  <c:v>H1.2023</c:v>
                </c:pt>
              </c:strCache>
            </c:strRef>
          </c:cat>
          <c:val>
            <c:numRef>
              <c:f>'C. ICT Market'!$D$156:$H$156</c:f>
              <c:numCache>
                <c:formatCode>0%</c:formatCode>
                <c:ptCount val="5"/>
                <c:pt idx="0">
                  <c:v>0.16181023170611844</c:v>
                </c:pt>
                <c:pt idx="1">
                  <c:v>0.13974893431967877</c:v>
                </c:pt>
                <c:pt idx="2">
                  <c:v>0.11130044536062775</c:v>
                </c:pt>
                <c:pt idx="3">
                  <c:v>0.11295058866879588</c:v>
                </c:pt>
                <c:pt idx="4">
                  <c:v>9.7249995817218424E-2</c:v>
                </c:pt>
              </c:numCache>
            </c:numRef>
          </c:val>
          <c:extLst>
            <c:ext xmlns:c16="http://schemas.microsoft.com/office/drawing/2014/chart" uri="{C3380CC4-5D6E-409C-BE32-E72D297353CC}">
              <c16:uniqueId val="{00000005-7277-43E0-916B-4B0864B330C3}"/>
            </c:ext>
          </c:extLst>
        </c:ser>
        <c:dLbls>
          <c:dLblPos val="ctr"/>
          <c:showLegendKey val="0"/>
          <c:showVal val="1"/>
          <c:showCatName val="0"/>
          <c:showSerName val="0"/>
          <c:showPercent val="0"/>
          <c:showBubbleSize val="0"/>
        </c:dLbls>
        <c:gapWidth val="150"/>
        <c:overlap val="100"/>
        <c:axId val="846333824"/>
        <c:axId val="1091417792"/>
      </c:barChart>
      <c:catAx>
        <c:axId val="8463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417792"/>
        <c:crosses val="autoZero"/>
        <c:auto val="1"/>
        <c:lblAlgn val="ctr"/>
        <c:lblOffset val="100"/>
        <c:noMultiLvlLbl val="0"/>
      </c:catAx>
      <c:valAx>
        <c:axId val="1091417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333824"/>
        <c:crosses val="autoZero"/>
        <c:crossBetween val="between"/>
      </c:valAx>
      <c:spPr>
        <a:noFill/>
        <a:ln>
          <a:noFill/>
        </a:ln>
        <a:effectLst/>
      </c:spPr>
    </c:plotArea>
    <c:legend>
      <c:legendPos val="b"/>
      <c:layout>
        <c:manualLayout>
          <c:xMode val="edge"/>
          <c:yMode val="edge"/>
          <c:x val="0.19721784526952288"/>
          <c:y val="0.91727802453156559"/>
          <c:w val="0.66687190375243754"/>
          <c:h val="7.80942032233344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Smartphone shipment</a:t>
            </a:r>
            <a:r>
              <a:rPr lang="en-US" baseline="0"/>
              <a:t> VN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 ICT Market'!$A$102</c:f>
              <c:strCache>
                <c:ptCount val="1"/>
                <c:pt idx="0">
                  <c:v>Total</c:v>
                </c:pt>
              </c:strCache>
            </c:strRef>
          </c:tx>
          <c:spPr>
            <a:solidFill>
              <a:schemeClr val="accent1"/>
            </a:solidFill>
            <a:ln>
              <a:noFill/>
            </a:ln>
            <a:effectLst/>
          </c:spPr>
          <c:invertIfNegative val="0"/>
          <c:cat>
            <c:strRef>
              <c:f>'C. ICT Market'!$S$95:$Z$95</c:f>
              <c:strCache>
                <c:ptCount val="8"/>
                <c:pt idx="0">
                  <c:v> H1.2020 </c:v>
                </c:pt>
                <c:pt idx="1">
                  <c:v> H2.2020 </c:v>
                </c:pt>
                <c:pt idx="2">
                  <c:v> H1.2021 </c:v>
                </c:pt>
                <c:pt idx="3">
                  <c:v> H2.2021 </c:v>
                </c:pt>
                <c:pt idx="4">
                  <c:v> H1.2022 </c:v>
                </c:pt>
                <c:pt idx="5">
                  <c:v> H2.2022 </c:v>
                </c:pt>
                <c:pt idx="6">
                  <c:v> H1.2023 </c:v>
                </c:pt>
                <c:pt idx="7">
                  <c:v> H2.2023F </c:v>
                </c:pt>
              </c:strCache>
            </c:strRef>
          </c:cat>
          <c:val>
            <c:numRef>
              <c:f>'C. ICT Market'!$S$102:$Z$102</c:f>
              <c:numCache>
                <c:formatCode>_(* #,##0_);_(* \(#,##0\);_(* "-"??_);_(@_)</c:formatCode>
                <c:ptCount val="8"/>
                <c:pt idx="0">
                  <c:v>6266486.5940982327</c:v>
                </c:pt>
                <c:pt idx="1">
                  <c:v>7088527.9867173349</c:v>
                </c:pt>
                <c:pt idx="2">
                  <c:v>7477202.8368360009</c:v>
                </c:pt>
                <c:pt idx="3">
                  <c:v>6808510.7863168893</c:v>
                </c:pt>
                <c:pt idx="4">
                  <c:v>7264438.9763254486</c:v>
                </c:pt>
                <c:pt idx="5">
                  <c:v>6869300.12946779</c:v>
                </c:pt>
                <c:pt idx="6">
                  <c:v>5266869.7616034541</c:v>
                </c:pt>
                <c:pt idx="7">
                  <c:v>6245746.241711719</c:v>
                </c:pt>
              </c:numCache>
            </c:numRef>
          </c:val>
          <c:extLst>
            <c:ext xmlns:c16="http://schemas.microsoft.com/office/drawing/2014/chart" uri="{C3380CC4-5D6E-409C-BE32-E72D297353CC}">
              <c16:uniqueId val="{00000000-2F33-4D2A-B284-348CB052F9F2}"/>
            </c:ext>
          </c:extLst>
        </c:ser>
        <c:dLbls>
          <c:showLegendKey val="0"/>
          <c:showVal val="0"/>
          <c:showCatName val="0"/>
          <c:showSerName val="0"/>
          <c:showPercent val="0"/>
          <c:showBubbleSize val="0"/>
        </c:dLbls>
        <c:gapWidth val="219"/>
        <c:overlap val="-27"/>
        <c:axId val="2098333968"/>
        <c:axId val="2094703392"/>
      </c:barChart>
      <c:lineChart>
        <c:grouping val="standard"/>
        <c:varyColors val="0"/>
        <c:ser>
          <c:idx val="1"/>
          <c:order val="1"/>
          <c:tx>
            <c:strRef>
              <c:f>'C. ICT Market'!$A$103</c:f>
              <c:strCache>
                <c:ptCount val="1"/>
                <c:pt idx="0">
                  <c:v>% yoy</c:v>
                </c:pt>
              </c:strCache>
            </c:strRef>
          </c:tx>
          <c:spPr>
            <a:ln w="28575" cap="rnd">
              <a:solidFill>
                <a:schemeClr val="accent2"/>
              </a:solidFill>
              <a:round/>
            </a:ln>
            <a:effectLst/>
          </c:spPr>
          <c:marker>
            <c:symbol val="none"/>
          </c:marker>
          <c:cat>
            <c:strRef>
              <c:f>'C. ICT Market'!$S$95:$Z$95</c:f>
              <c:strCache>
                <c:ptCount val="8"/>
                <c:pt idx="0">
                  <c:v> H1.2020 </c:v>
                </c:pt>
                <c:pt idx="1">
                  <c:v> H2.2020 </c:v>
                </c:pt>
                <c:pt idx="2">
                  <c:v> H1.2021 </c:v>
                </c:pt>
                <c:pt idx="3">
                  <c:v> H2.2021 </c:v>
                </c:pt>
                <c:pt idx="4">
                  <c:v> H1.2022 </c:v>
                </c:pt>
                <c:pt idx="5">
                  <c:v> H2.2022 </c:v>
                </c:pt>
                <c:pt idx="6">
                  <c:v> H1.2023 </c:v>
                </c:pt>
                <c:pt idx="7">
                  <c:v> H2.2023F </c:v>
                </c:pt>
              </c:strCache>
            </c:strRef>
          </c:cat>
          <c:val>
            <c:numRef>
              <c:f>'C. ICT Market'!$S$103:$Z$103</c:f>
              <c:numCache>
                <c:formatCode>General</c:formatCode>
                <c:ptCount val="8"/>
                <c:pt idx="2" formatCode="0%">
                  <c:v>0.19320495217815026</c:v>
                </c:pt>
                <c:pt idx="3" formatCode="0%">
                  <c:v>-3.9502870119882294E-2</c:v>
                </c:pt>
                <c:pt idx="4" formatCode="0%">
                  <c:v>-2.8455007193650461E-2</c:v>
                </c:pt>
                <c:pt idx="5" formatCode="0%">
                  <c:v>8.9284345811817545E-3</c:v>
                </c:pt>
                <c:pt idx="6" formatCode="0%">
                  <c:v>-0.27497914446414962</c:v>
                </c:pt>
                <c:pt idx="7" formatCode="0%">
                  <c:v>-9.0774005503291622E-2</c:v>
                </c:pt>
              </c:numCache>
            </c:numRef>
          </c:val>
          <c:smooth val="0"/>
          <c:extLst>
            <c:ext xmlns:c16="http://schemas.microsoft.com/office/drawing/2014/chart" uri="{C3380CC4-5D6E-409C-BE32-E72D297353CC}">
              <c16:uniqueId val="{00000001-2F33-4D2A-B284-348CB052F9F2}"/>
            </c:ext>
          </c:extLst>
        </c:ser>
        <c:dLbls>
          <c:showLegendKey val="0"/>
          <c:showVal val="0"/>
          <c:showCatName val="0"/>
          <c:showSerName val="0"/>
          <c:showPercent val="0"/>
          <c:showBubbleSize val="0"/>
        </c:dLbls>
        <c:marker val="1"/>
        <c:smooth val="0"/>
        <c:axId val="2097356688"/>
        <c:axId val="2094694464"/>
      </c:lineChart>
      <c:catAx>
        <c:axId val="209833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094703392"/>
        <c:crosses val="autoZero"/>
        <c:auto val="1"/>
        <c:lblAlgn val="ctr"/>
        <c:lblOffset val="100"/>
        <c:noMultiLvlLbl val="0"/>
      </c:catAx>
      <c:valAx>
        <c:axId val="20947033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333968"/>
        <c:crosses val="autoZero"/>
        <c:crossBetween val="between"/>
      </c:valAx>
      <c:valAx>
        <c:axId val="20946944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356688"/>
        <c:crosses val="max"/>
        <c:crossBetween val="between"/>
      </c:valAx>
      <c:catAx>
        <c:axId val="2097356688"/>
        <c:scaling>
          <c:orientation val="minMax"/>
        </c:scaling>
        <c:delete val="1"/>
        <c:axPos val="b"/>
        <c:numFmt formatCode="General" sourceLinked="1"/>
        <c:majorTickMark val="out"/>
        <c:minorTickMark val="none"/>
        <c:tickLblPos val="nextTo"/>
        <c:crossAx val="20946944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 ICT Market'!$A$182</c:f>
              <c:strCache>
                <c:ptCount val="1"/>
                <c:pt idx="0">
                  <c:v>Rev / capita $</c:v>
                </c:pt>
              </c:strCache>
            </c:strRef>
          </c:tx>
          <c:spPr>
            <a:solidFill>
              <a:schemeClr val="accent1"/>
            </a:solidFill>
            <a:ln>
              <a:noFill/>
            </a:ln>
            <a:effectLst/>
          </c:spPr>
          <c:invertIfNegative val="0"/>
          <c:cat>
            <c:strRef>
              <c:f>'C. ICT Market'!$B$177:$I$177</c:f>
              <c:strCache>
                <c:ptCount val="8"/>
                <c:pt idx="0">
                  <c:v>Vietnam</c:v>
                </c:pt>
                <c:pt idx="1">
                  <c:v>Thailand</c:v>
                </c:pt>
                <c:pt idx="2">
                  <c:v>Malaysia</c:v>
                </c:pt>
                <c:pt idx="3">
                  <c:v>Indonesia</c:v>
                </c:pt>
                <c:pt idx="4">
                  <c:v>Phillipines</c:v>
                </c:pt>
                <c:pt idx="5">
                  <c:v>Singapore</c:v>
                </c:pt>
                <c:pt idx="6">
                  <c:v>Korea</c:v>
                </c:pt>
                <c:pt idx="7">
                  <c:v>China</c:v>
                </c:pt>
              </c:strCache>
            </c:strRef>
          </c:cat>
          <c:val>
            <c:numRef>
              <c:f>'C. ICT Market'!$B$182:$I$182</c:f>
              <c:numCache>
                <c:formatCode>_(* #,##0.0_);_(* \(#,##0.0\);_(* "-"??_);_(@_)</c:formatCode>
                <c:ptCount val="8"/>
                <c:pt idx="0" formatCode="General">
                  <c:v>41.27</c:v>
                </c:pt>
                <c:pt idx="1">
                  <c:v>50.4</c:v>
                </c:pt>
                <c:pt idx="2">
                  <c:v>64.7</c:v>
                </c:pt>
                <c:pt idx="3">
                  <c:v>39.270000000000003</c:v>
                </c:pt>
                <c:pt idx="4">
                  <c:v>42.7</c:v>
                </c:pt>
                <c:pt idx="5">
                  <c:v>182.5</c:v>
                </c:pt>
                <c:pt idx="6">
                  <c:v>169.23076923076923</c:v>
                </c:pt>
                <c:pt idx="7">
                  <c:v>81.67</c:v>
                </c:pt>
              </c:numCache>
            </c:numRef>
          </c:val>
          <c:extLst>
            <c:ext xmlns:c16="http://schemas.microsoft.com/office/drawing/2014/chart" uri="{C3380CC4-5D6E-409C-BE32-E72D297353CC}">
              <c16:uniqueId val="{00000000-B2DE-4C59-BDE8-8F893B7A4A5A}"/>
            </c:ext>
          </c:extLst>
        </c:ser>
        <c:dLbls>
          <c:showLegendKey val="0"/>
          <c:showVal val="0"/>
          <c:showCatName val="0"/>
          <c:showSerName val="0"/>
          <c:showPercent val="0"/>
          <c:showBubbleSize val="0"/>
        </c:dLbls>
        <c:gapWidth val="219"/>
        <c:overlap val="-27"/>
        <c:axId val="65926640"/>
        <c:axId val="1875158047"/>
      </c:barChart>
      <c:scatterChart>
        <c:scatterStyle val="lineMarker"/>
        <c:varyColors val="0"/>
        <c:ser>
          <c:idx val="1"/>
          <c:order val="1"/>
          <c:tx>
            <c:strRef>
              <c:f>'C. ICT Market'!$A$185</c:f>
              <c:strCache>
                <c:ptCount val="1"/>
                <c:pt idx="0">
                  <c:v>Sales vol year 2022 / capita</c:v>
                </c:pt>
              </c:strCache>
            </c:strRef>
          </c:tx>
          <c:spPr>
            <a:ln w="25400" cap="rnd">
              <a:noFill/>
              <a:round/>
            </a:ln>
            <a:effectLst/>
          </c:spPr>
          <c:marker>
            <c:symbol val="circle"/>
            <c:size val="5"/>
            <c:spPr>
              <a:solidFill>
                <a:schemeClr val="accent2"/>
              </a:solidFill>
              <a:ln w="9525">
                <a:solidFill>
                  <a:schemeClr val="accent2"/>
                </a:solidFill>
              </a:ln>
              <a:effectLst/>
            </c:spPr>
          </c:marker>
          <c:xVal>
            <c:strRef>
              <c:f>'C. ICT Market'!$B$177:$I$177</c:f>
              <c:strCache>
                <c:ptCount val="8"/>
                <c:pt idx="0">
                  <c:v>Vietnam</c:v>
                </c:pt>
                <c:pt idx="1">
                  <c:v>Thailand</c:v>
                </c:pt>
                <c:pt idx="2">
                  <c:v>Malaysia</c:v>
                </c:pt>
                <c:pt idx="3">
                  <c:v>Indonesia</c:v>
                </c:pt>
                <c:pt idx="4">
                  <c:v>Phillipines</c:v>
                </c:pt>
                <c:pt idx="5">
                  <c:v>Singapore</c:v>
                </c:pt>
                <c:pt idx="6">
                  <c:v>Korea</c:v>
                </c:pt>
                <c:pt idx="7">
                  <c:v>China</c:v>
                </c:pt>
              </c:strCache>
            </c:strRef>
          </c:xVal>
          <c:yVal>
            <c:numRef>
              <c:f>'C. ICT Market'!$B$185:$I$185</c:f>
              <c:numCache>
                <c:formatCode>_(* #,##0.00_);_(* \(#,##0.00\);_(* "-"??_);_(@_)</c:formatCode>
                <c:ptCount val="8"/>
                <c:pt idx="0">
                  <c:v>0.13413</c:v>
                </c:pt>
                <c:pt idx="1">
                  <c:v>0.23055555555555557</c:v>
                </c:pt>
                <c:pt idx="2">
                  <c:v>0.30882352941176472</c:v>
                </c:pt>
                <c:pt idx="3">
                  <c:v>0.12909090909090909</c:v>
                </c:pt>
                <c:pt idx="4">
                  <c:v>0.14173913043478262</c:v>
                </c:pt>
                <c:pt idx="5">
                  <c:v>0.40366972477064222</c:v>
                </c:pt>
                <c:pt idx="6">
                  <c:v>0.38461538461538464</c:v>
                </c:pt>
                <c:pt idx="7">
                  <c:v>0.20254957507082152</c:v>
                </c:pt>
              </c:numCache>
            </c:numRef>
          </c:yVal>
          <c:smooth val="0"/>
          <c:extLst>
            <c:ext xmlns:c16="http://schemas.microsoft.com/office/drawing/2014/chart" uri="{C3380CC4-5D6E-409C-BE32-E72D297353CC}">
              <c16:uniqueId val="{00000001-B2DE-4C59-BDE8-8F893B7A4A5A}"/>
            </c:ext>
          </c:extLst>
        </c:ser>
        <c:dLbls>
          <c:showLegendKey val="0"/>
          <c:showVal val="0"/>
          <c:showCatName val="0"/>
          <c:showSerName val="0"/>
          <c:showPercent val="0"/>
          <c:showBubbleSize val="0"/>
        </c:dLbls>
        <c:axId val="65926160"/>
        <c:axId val="1875155567"/>
      </c:scatterChart>
      <c:catAx>
        <c:axId val="6592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158047"/>
        <c:crosses val="autoZero"/>
        <c:auto val="1"/>
        <c:lblAlgn val="ctr"/>
        <c:lblOffset val="100"/>
        <c:noMultiLvlLbl val="0"/>
      </c:catAx>
      <c:valAx>
        <c:axId val="187515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26640"/>
        <c:crosses val="autoZero"/>
        <c:crossBetween val="between"/>
      </c:valAx>
      <c:valAx>
        <c:axId val="1875155567"/>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26160"/>
        <c:crosses val="max"/>
        <c:crossBetween val="midCat"/>
      </c:valAx>
      <c:valAx>
        <c:axId val="65926160"/>
        <c:scaling>
          <c:orientation val="minMax"/>
        </c:scaling>
        <c:delete val="1"/>
        <c:axPos val="b"/>
        <c:numFmt formatCode="General" sourceLinked="1"/>
        <c:majorTickMark val="out"/>
        <c:minorTickMark val="none"/>
        <c:tickLblPos val="nextTo"/>
        <c:crossAx val="18751555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Phone net</a:t>
            </a:r>
            <a:r>
              <a:rPr lang="en-US" baseline="0"/>
              <a:t> sales and % yoy</a:t>
            </a:r>
            <a:endParaRPr lang="en-US"/>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 S&amp;L'!$A$5</c:f>
              <c:strCache>
                <c:ptCount val="1"/>
                <c:pt idx="0">
                  <c:v>Xiaomi phone</c:v>
                </c:pt>
              </c:strCache>
            </c:strRef>
          </c:tx>
          <c:spPr>
            <a:solidFill>
              <a:schemeClr val="accent2"/>
            </a:solidFill>
            <a:ln>
              <a:noFill/>
            </a:ln>
            <a:effectLst/>
          </c:spPr>
          <c:invertIfNegative val="0"/>
          <c:cat>
            <c:strRef>
              <c:f>'C. S&amp;L'!$F$1:$M$1</c:f>
              <c:strCache>
                <c:ptCount val="8"/>
                <c:pt idx="0">
                  <c:v>2021A</c:v>
                </c:pt>
                <c:pt idx="1">
                  <c:v>2022A</c:v>
                </c:pt>
                <c:pt idx="2">
                  <c:v>2023E</c:v>
                </c:pt>
                <c:pt idx="3">
                  <c:v>2024E</c:v>
                </c:pt>
                <c:pt idx="4">
                  <c:v>2025E</c:v>
                </c:pt>
                <c:pt idx="5">
                  <c:v>2026E</c:v>
                </c:pt>
                <c:pt idx="6">
                  <c:v>2027E</c:v>
                </c:pt>
                <c:pt idx="7">
                  <c:v>2028E</c:v>
                </c:pt>
              </c:strCache>
            </c:strRef>
          </c:cat>
          <c:val>
            <c:numRef>
              <c:f>'C. S&amp;L'!$F$5:$M$5</c:f>
              <c:numCache>
                <c:formatCode>_(* #,##0_);_(* \(#,##0\);_(* "-"??_);_(@_)</c:formatCode>
                <c:ptCount val="8"/>
                <c:pt idx="0">
                  <c:v>7200</c:v>
                </c:pt>
                <c:pt idx="1">
                  <c:v>6900</c:v>
                </c:pt>
                <c:pt idx="2">
                  <c:v>4871.458471290699</c:v>
                </c:pt>
                <c:pt idx="3">
                  <c:v>5402.1573388627703</c:v>
                </c:pt>
                <c:pt idx="4">
                  <c:v>5886.515609952291</c:v>
                </c:pt>
                <c:pt idx="5">
                  <c:v>5953.3485907451468</c:v>
                </c:pt>
                <c:pt idx="6">
                  <c:v>5994.7467921596462</c:v>
                </c:pt>
                <c:pt idx="7">
                  <c:v>6016.4678895003162</c:v>
                </c:pt>
              </c:numCache>
            </c:numRef>
          </c:val>
          <c:extLst>
            <c:ext xmlns:c16="http://schemas.microsoft.com/office/drawing/2014/chart" uri="{C3380CC4-5D6E-409C-BE32-E72D297353CC}">
              <c16:uniqueId val="{00000001-8CD9-4D18-AA0F-7376A30E8A24}"/>
            </c:ext>
          </c:extLst>
        </c:ser>
        <c:ser>
          <c:idx val="2"/>
          <c:order val="2"/>
          <c:tx>
            <c:strRef>
              <c:f>'C. S&amp;L'!$A$7</c:f>
              <c:strCache>
                <c:ptCount val="1"/>
                <c:pt idx="0">
                  <c:v>Apple phone</c:v>
                </c:pt>
              </c:strCache>
            </c:strRef>
          </c:tx>
          <c:spPr>
            <a:solidFill>
              <a:schemeClr val="accent3"/>
            </a:solidFill>
            <a:ln>
              <a:noFill/>
            </a:ln>
            <a:effectLst/>
          </c:spPr>
          <c:invertIfNegative val="0"/>
          <c:cat>
            <c:strRef>
              <c:f>'C. S&amp;L'!$F$1:$M$1</c:f>
              <c:strCache>
                <c:ptCount val="8"/>
                <c:pt idx="0">
                  <c:v>2021A</c:v>
                </c:pt>
                <c:pt idx="1">
                  <c:v>2022A</c:v>
                </c:pt>
                <c:pt idx="2">
                  <c:v>2023E</c:v>
                </c:pt>
                <c:pt idx="3">
                  <c:v>2024E</c:v>
                </c:pt>
                <c:pt idx="4">
                  <c:v>2025E</c:v>
                </c:pt>
                <c:pt idx="5">
                  <c:v>2026E</c:v>
                </c:pt>
                <c:pt idx="6">
                  <c:v>2027E</c:v>
                </c:pt>
                <c:pt idx="7">
                  <c:v>2028E</c:v>
                </c:pt>
              </c:strCache>
            </c:strRef>
          </c:cat>
          <c:val>
            <c:numRef>
              <c:f>'C. S&amp;L'!$F$7:$M$7</c:f>
              <c:numCache>
                <c:formatCode>_(* #,##0_);_(* \(#,##0\);_(* "-"??_);_(@_)</c:formatCode>
                <c:ptCount val="8"/>
                <c:pt idx="0">
                  <c:v>2600.348306002099</c:v>
                </c:pt>
                <c:pt idx="1">
                  <c:v>3825.9412773692002</c:v>
                </c:pt>
                <c:pt idx="2">
                  <c:v>3999.6989189999999</c:v>
                </c:pt>
                <c:pt idx="3">
                  <c:v>4619.4120734461876</c:v>
                </c:pt>
                <c:pt idx="4">
                  <c:v>5444.45524834974</c:v>
                </c:pt>
                <c:pt idx="5">
                  <c:v>6303.530343969247</c:v>
                </c:pt>
                <c:pt idx="6">
                  <c:v>7237.1230118677204</c:v>
                </c:pt>
                <c:pt idx="7">
                  <c:v>8238.9457111484153</c:v>
                </c:pt>
              </c:numCache>
            </c:numRef>
          </c:val>
          <c:extLst>
            <c:ext xmlns:c16="http://schemas.microsoft.com/office/drawing/2014/chart" uri="{C3380CC4-5D6E-409C-BE32-E72D297353CC}">
              <c16:uniqueId val="{00000002-8CD9-4D18-AA0F-7376A30E8A24}"/>
            </c:ext>
          </c:extLst>
        </c:ser>
        <c:ser>
          <c:idx val="3"/>
          <c:order val="3"/>
          <c:tx>
            <c:strRef>
              <c:f>'C. S&amp;L'!$A$9</c:f>
              <c:strCache>
                <c:ptCount val="1"/>
                <c:pt idx="0">
                  <c:v>Others</c:v>
                </c:pt>
              </c:strCache>
            </c:strRef>
          </c:tx>
          <c:spPr>
            <a:solidFill>
              <a:schemeClr val="accent4"/>
            </a:solidFill>
            <a:ln>
              <a:noFill/>
            </a:ln>
            <a:effectLst/>
          </c:spPr>
          <c:invertIfNegative val="0"/>
          <c:cat>
            <c:strRef>
              <c:f>'C. S&amp;L'!$F$1:$M$1</c:f>
              <c:strCache>
                <c:ptCount val="8"/>
                <c:pt idx="0">
                  <c:v>2021A</c:v>
                </c:pt>
                <c:pt idx="1">
                  <c:v>2022A</c:v>
                </c:pt>
                <c:pt idx="2">
                  <c:v>2023E</c:v>
                </c:pt>
                <c:pt idx="3">
                  <c:v>2024E</c:v>
                </c:pt>
                <c:pt idx="4">
                  <c:v>2025E</c:v>
                </c:pt>
                <c:pt idx="5">
                  <c:v>2026E</c:v>
                </c:pt>
                <c:pt idx="6">
                  <c:v>2027E</c:v>
                </c:pt>
                <c:pt idx="7">
                  <c:v>2028E</c:v>
                </c:pt>
              </c:strCache>
            </c:strRef>
          </c:cat>
          <c:val>
            <c:numRef>
              <c:f>'C. S&amp;L'!$F$9:$M$9</c:f>
              <c:numCache>
                <c:formatCode>_(* #,##0_);_(* \(#,##0\);_(* "-"??_);_(@_)</c:formatCode>
                <c:ptCount val="8"/>
                <c:pt idx="0">
                  <c:v>56.65169399790102</c:v>
                </c:pt>
                <c:pt idx="1">
                  <c:v>59</c:v>
                </c:pt>
                <c:pt idx="2">
                  <c:v>88.5</c:v>
                </c:pt>
                <c:pt idx="3">
                  <c:v>177</c:v>
                </c:pt>
                <c:pt idx="4">
                  <c:v>230.1</c:v>
                </c:pt>
                <c:pt idx="5">
                  <c:v>299.13</c:v>
                </c:pt>
                <c:pt idx="6">
                  <c:v>388.86900000000003</c:v>
                </c:pt>
                <c:pt idx="7">
                  <c:v>505.52970000000005</c:v>
                </c:pt>
              </c:numCache>
            </c:numRef>
          </c:val>
          <c:extLst>
            <c:ext xmlns:c16="http://schemas.microsoft.com/office/drawing/2014/chart" uri="{C3380CC4-5D6E-409C-BE32-E72D297353CC}">
              <c16:uniqueId val="{00000003-8CD9-4D18-AA0F-7376A30E8A24}"/>
            </c:ext>
          </c:extLst>
        </c:ser>
        <c:dLbls>
          <c:showLegendKey val="0"/>
          <c:showVal val="0"/>
          <c:showCatName val="0"/>
          <c:showSerName val="0"/>
          <c:showPercent val="0"/>
          <c:showBubbleSize val="0"/>
        </c:dLbls>
        <c:gapWidth val="219"/>
        <c:overlap val="100"/>
        <c:axId val="1274642032"/>
        <c:axId val="2090162847"/>
      </c:barChart>
      <c:lineChart>
        <c:grouping val="standard"/>
        <c:varyColors val="0"/>
        <c:ser>
          <c:idx val="0"/>
          <c:order val="0"/>
          <c:tx>
            <c:strRef>
              <c:f>'C. S&amp;L'!$A$4</c:f>
              <c:strCache>
                <c:ptCount val="1"/>
                <c:pt idx="0">
                  <c:v>    %yoy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 S&amp;L'!$F$1:$M$1</c:f>
              <c:strCache>
                <c:ptCount val="8"/>
                <c:pt idx="0">
                  <c:v>2021A</c:v>
                </c:pt>
                <c:pt idx="1">
                  <c:v>2022A</c:v>
                </c:pt>
                <c:pt idx="2">
                  <c:v>2023E</c:v>
                </c:pt>
                <c:pt idx="3">
                  <c:v>2024E</c:v>
                </c:pt>
                <c:pt idx="4">
                  <c:v>2025E</c:v>
                </c:pt>
                <c:pt idx="5">
                  <c:v>2026E</c:v>
                </c:pt>
                <c:pt idx="6">
                  <c:v>2027E</c:v>
                </c:pt>
                <c:pt idx="7">
                  <c:v>2028E</c:v>
                </c:pt>
              </c:strCache>
            </c:strRef>
          </c:cat>
          <c:val>
            <c:numRef>
              <c:f>'C. S&amp;L'!$F$4:$M$4</c:f>
              <c:numCache>
                <c:formatCode>0%</c:formatCode>
                <c:ptCount val="8"/>
                <c:pt idx="0">
                  <c:v>0.54401629072681712</c:v>
                </c:pt>
                <c:pt idx="1">
                  <c:v>9.4140334520564029E-2</c:v>
                </c:pt>
                <c:pt idx="2">
                  <c:v>-0.16924374830937872</c:v>
                </c:pt>
                <c:pt idx="3">
                  <c:v>0.13827671841122302</c:v>
                </c:pt>
                <c:pt idx="4">
                  <c:v>0.13359731065306368</c:v>
                </c:pt>
                <c:pt idx="5">
                  <c:v>8.6059335558686056E-2</c:v>
                </c:pt>
                <c:pt idx="6">
                  <c:v>8.4798431957884945E-2</c:v>
                </c:pt>
                <c:pt idx="7">
                  <c:v>8.3710914145437521E-2</c:v>
                </c:pt>
              </c:numCache>
            </c:numRef>
          </c:val>
          <c:smooth val="0"/>
          <c:extLst>
            <c:ext xmlns:c16="http://schemas.microsoft.com/office/drawing/2014/chart" uri="{C3380CC4-5D6E-409C-BE32-E72D297353CC}">
              <c16:uniqueId val="{00000000-8CD9-4D18-AA0F-7376A30E8A24}"/>
            </c:ext>
          </c:extLst>
        </c:ser>
        <c:dLbls>
          <c:showLegendKey val="0"/>
          <c:showVal val="0"/>
          <c:showCatName val="0"/>
          <c:showSerName val="0"/>
          <c:showPercent val="0"/>
          <c:showBubbleSize val="0"/>
        </c:dLbls>
        <c:marker val="1"/>
        <c:smooth val="0"/>
        <c:axId val="1875615599"/>
        <c:axId val="1274827072"/>
      </c:lineChart>
      <c:catAx>
        <c:axId val="127464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90162847"/>
        <c:crosses val="autoZero"/>
        <c:auto val="1"/>
        <c:lblAlgn val="ctr"/>
        <c:lblOffset val="100"/>
        <c:noMultiLvlLbl val="0"/>
      </c:catAx>
      <c:valAx>
        <c:axId val="209016284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74642032"/>
        <c:crosses val="autoZero"/>
        <c:crossBetween val="between"/>
      </c:valAx>
      <c:valAx>
        <c:axId val="1274827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75615599"/>
        <c:crosses val="max"/>
        <c:crossBetween val="between"/>
      </c:valAx>
      <c:catAx>
        <c:axId val="1875615599"/>
        <c:scaling>
          <c:orientation val="minMax"/>
        </c:scaling>
        <c:delete val="1"/>
        <c:axPos val="b"/>
        <c:numFmt formatCode="General" sourceLinked="1"/>
        <c:majorTickMark val="out"/>
        <c:minorTickMark val="none"/>
        <c:tickLblPos val="nextTo"/>
        <c:crossAx val="1274827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a:t>Shipment unit</a:t>
            </a:r>
          </a:p>
        </c:rich>
      </c:tx>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'C. ICT Market'!$A$111</c:f>
              <c:strCache>
                <c:ptCount val="1"/>
                <c:pt idx="0">
                  <c:v>% yoy</c:v>
                </c:pt>
              </c:strCache>
            </c:strRef>
          </c:tx>
          <c:spPr>
            <a:solidFill>
              <a:schemeClr val="accent3"/>
            </a:solidFill>
            <a:ln>
              <a:noFill/>
            </a:ln>
            <a:effectLst/>
          </c:spPr>
          <c:invertIfNegative val="0"/>
          <c:cat>
            <c:strRef>
              <c:f>'C. ICT Market'!$K$104:$P$104</c:f>
              <c:strCache>
                <c:ptCount val="6"/>
                <c:pt idx="0">
                  <c:v> Q2.2022 </c:v>
                </c:pt>
                <c:pt idx="1">
                  <c:v> Q3.2022 </c:v>
                </c:pt>
                <c:pt idx="2">
                  <c:v> Q4.2022 </c:v>
                </c:pt>
                <c:pt idx="3">
                  <c:v>Q1.2023</c:v>
                </c:pt>
                <c:pt idx="4">
                  <c:v>Q2.2023</c:v>
                </c:pt>
                <c:pt idx="5">
                  <c:v>Q3.2023</c:v>
                </c:pt>
              </c:strCache>
            </c:strRef>
          </c:cat>
          <c:val>
            <c:numRef>
              <c:f>'C. ICT Market'!$K$111:$P$111</c:f>
              <c:numCache>
                <c:formatCode>0%</c:formatCode>
                <c:ptCount val="6"/>
                <c:pt idx="0">
                  <c:v>-2.8301459013950092E-2</c:v>
                </c:pt>
                <c:pt idx="1">
                  <c:v>0.36486437723017806</c:v>
                </c:pt>
                <c:pt idx="2">
                  <c:v>-0.16666666666666641</c:v>
                </c:pt>
                <c:pt idx="3">
                  <c:v>-0.30147070579460911</c:v>
                </c:pt>
                <c:pt idx="4">
                  <c:v>-0.23999999999999977</c:v>
                </c:pt>
                <c:pt idx="5">
                  <c:v>-3.1187685399979959E-2</c:v>
                </c:pt>
              </c:numCache>
            </c:numRef>
          </c:val>
          <c:extLst>
            <c:ext xmlns:c16="http://schemas.microsoft.com/office/drawing/2014/chart" uri="{C3380CC4-5D6E-409C-BE32-E72D297353CC}">
              <c16:uniqueId val="{00000000-F303-434F-8A9B-AB5787F4297B}"/>
            </c:ext>
          </c:extLst>
        </c:ser>
        <c:dLbls>
          <c:showLegendKey val="0"/>
          <c:showVal val="0"/>
          <c:showCatName val="0"/>
          <c:showSerName val="0"/>
          <c:showPercent val="0"/>
          <c:showBubbleSize val="0"/>
        </c:dLbls>
        <c:gapWidth val="219"/>
        <c:axId val="1285787647"/>
        <c:axId val="142141040"/>
      </c:barChart>
      <c:lineChart>
        <c:grouping val="standard"/>
        <c:varyColors val="0"/>
        <c:ser>
          <c:idx val="0"/>
          <c:order val="0"/>
          <c:tx>
            <c:strRef>
              <c:f>'C. ICT Market'!$A$105</c:f>
              <c:strCache>
                <c:ptCount val="1"/>
                <c:pt idx="0">
                  <c:v> Apple </c:v>
                </c:pt>
              </c:strCache>
            </c:strRef>
          </c:tx>
          <c:spPr>
            <a:ln w="28575" cap="rnd">
              <a:solidFill>
                <a:schemeClr val="accent1"/>
              </a:solidFill>
              <a:round/>
            </a:ln>
            <a:effectLst/>
          </c:spPr>
          <c:marker>
            <c:symbol val="none"/>
          </c:marker>
          <c:cat>
            <c:strRef>
              <c:f>'C. ICT Market'!$K$104:$P$104</c:f>
              <c:strCache>
                <c:ptCount val="6"/>
                <c:pt idx="0">
                  <c:v> Q2.2022 </c:v>
                </c:pt>
                <c:pt idx="1">
                  <c:v> Q3.2022 </c:v>
                </c:pt>
                <c:pt idx="2">
                  <c:v> Q4.2022 </c:v>
                </c:pt>
                <c:pt idx="3">
                  <c:v>Q1.2023</c:v>
                </c:pt>
                <c:pt idx="4">
                  <c:v>Q2.2023</c:v>
                </c:pt>
                <c:pt idx="5">
                  <c:v>Q3.2023</c:v>
                </c:pt>
              </c:strCache>
            </c:strRef>
          </c:cat>
          <c:val>
            <c:numRef>
              <c:f>'C. ICT Market'!$K$105:$P$105</c:f>
              <c:numCache>
                <c:formatCode>0%</c:formatCode>
                <c:ptCount val="6"/>
                <c:pt idx="0">
                  <c:v>1.0498845933130374</c:v>
                </c:pt>
                <c:pt idx="1">
                  <c:v>1.3657649205323099</c:v>
                </c:pt>
                <c:pt idx="2">
                  <c:v>-9.7222222222221988E-2</c:v>
                </c:pt>
                <c:pt idx="3">
                  <c:v>0.10710303232552532</c:v>
                </c:pt>
                <c:pt idx="4">
                  <c:v>-0.28935064935064936</c:v>
                </c:pt>
                <c:pt idx="5">
                  <c:v>-2.1872182374979898E-2</c:v>
                </c:pt>
              </c:numCache>
            </c:numRef>
          </c:val>
          <c:smooth val="0"/>
          <c:extLst>
            <c:ext xmlns:c16="http://schemas.microsoft.com/office/drawing/2014/chart" uri="{C3380CC4-5D6E-409C-BE32-E72D297353CC}">
              <c16:uniqueId val="{00000001-F303-434F-8A9B-AB5787F4297B}"/>
            </c:ext>
          </c:extLst>
        </c:ser>
        <c:ser>
          <c:idx val="1"/>
          <c:order val="1"/>
          <c:tx>
            <c:strRef>
              <c:f>'C. ICT Market'!$A$109</c:f>
              <c:strCache>
                <c:ptCount val="1"/>
                <c:pt idx="0">
                  <c:v> Xiaomi </c:v>
                </c:pt>
              </c:strCache>
            </c:strRef>
          </c:tx>
          <c:spPr>
            <a:ln w="28575" cap="rnd">
              <a:solidFill>
                <a:schemeClr val="accent2"/>
              </a:solidFill>
              <a:round/>
            </a:ln>
            <a:effectLst/>
          </c:spPr>
          <c:marker>
            <c:symbol val="none"/>
          </c:marker>
          <c:cat>
            <c:strRef>
              <c:f>'C. ICT Market'!$K$104:$P$104</c:f>
              <c:strCache>
                <c:ptCount val="6"/>
                <c:pt idx="0">
                  <c:v> Q2.2022 </c:v>
                </c:pt>
                <c:pt idx="1">
                  <c:v> Q3.2022 </c:v>
                </c:pt>
                <c:pt idx="2">
                  <c:v> Q4.2022 </c:v>
                </c:pt>
                <c:pt idx="3">
                  <c:v>Q1.2023</c:v>
                </c:pt>
                <c:pt idx="4">
                  <c:v>Q2.2023</c:v>
                </c:pt>
                <c:pt idx="5">
                  <c:v>Q3.2023</c:v>
                </c:pt>
              </c:strCache>
            </c:strRef>
          </c:cat>
          <c:val>
            <c:numRef>
              <c:f>'C. ICT Market'!$K$109:$P$109</c:f>
              <c:numCache>
                <c:formatCode>0%</c:formatCode>
                <c:ptCount val="6"/>
                <c:pt idx="0">
                  <c:v>-0.24550466229318457</c:v>
                </c:pt>
                <c:pt idx="1">
                  <c:v>0.5319907755443809</c:v>
                </c:pt>
                <c:pt idx="2">
                  <c:v>-0.59802071966614623</c:v>
                </c:pt>
                <c:pt idx="3">
                  <c:v>-0.464234813182273</c:v>
                </c:pt>
                <c:pt idx="4">
                  <c:v>0.26666666666666683</c:v>
                </c:pt>
                <c:pt idx="5">
                  <c:v>-7.0482260709504474E-2</c:v>
                </c:pt>
              </c:numCache>
            </c:numRef>
          </c:val>
          <c:smooth val="0"/>
          <c:extLst>
            <c:ext xmlns:c16="http://schemas.microsoft.com/office/drawing/2014/chart" uri="{C3380CC4-5D6E-409C-BE32-E72D297353CC}">
              <c16:uniqueId val="{00000002-F303-434F-8A9B-AB5787F4297B}"/>
            </c:ext>
          </c:extLst>
        </c:ser>
        <c:dLbls>
          <c:showLegendKey val="0"/>
          <c:showVal val="0"/>
          <c:showCatName val="0"/>
          <c:showSerName val="0"/>
          <c:showPercent val="0"/>
          <c:showBubbleSize val="0"/>
        </c:dLbls>
        <c:marker val="1"/>
        <c:smooth val="0"/>
        <c:axId val="1285787647"/>
        <c:axId val="142141040"/>
      </c:lineChart>
      <c:catAx>
        <c:axId val="128578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2141040"/>
        <c:crosses val="autoZero"/>
        <c:auto val="1"/>
        <c:lblAlgn val="ctr"/>
        <c:lblOffset val="100"/>
        <c:noMultiLvlLbl val="0"/>
      </c:catAx>
      <c:valAx>
        <c:axId val="14214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285787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7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 Revenue yearly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 Sales &amp; COGS'!$A$5</c:f>
              <c:strCache>
                <c:ptCount val="1"/>
                <c:pt idx="0">
                  <c:v>Smartphone</c:v>
                </c:pt>
              </c:strCache>
            </c:strRef>
          </c:tx>
          <c:spPr>
            <a:solidFill>
              <a:schemeClr val="accent1"/>
            </a:solidFill>
            <a:ln>
              <a:noFill/>
            </a:ln>
            <a:effectLst/>
          </c:spPr>
          <c:invertIfNegative val="0"/>
          <c:cat>
            <c:strRef>
              <c:f>'B. Sales &amp; COGS'!$I$1:$M$1</c:f>
              <c:strCache>
                <c:ptCount val="5"/>
                <c:pt idx="0">
                  <c:v>2018A</c:v>
                </c:pt>
                <c:pt idx="1">
                  <c:v>2019A</c:v>
                </c:pt>
                <c:pt idx="2">
                  <c:v>2020A</c:v>
                </c:pt>
                <c:pt idx="3">
                  <c:v>2021A</c:v>
                </c:pt>
                <c:pt idx="4">
                  <c:v>2022A</c:v>
                </c:pt>
              </c:strCache>
            </c:strRef>
          </c:cat>
          <c:val>
            <c:numRef>
              <c:f>'B. Sales &amp; COGS'!$I$5:$M$5</c:f>
              <c:numCache>
                <c:formatCode>_(* #,##0_);_(* \(#,##0\);_(* "-"??_);_(@_)</c:formatCode>
                <c:ptCount val="5"/>
                <c:pt idx="0">
                  <c:v>2355.0000000000005</c:v>
                </c:pt>
                <c:pt idx="1">
                  <c:v>3896</c:v>
                </c:pt>
                <c:pt idx="2">
                  <c:v>6384</c:v>
                </c:pt>
                <c:pt idx="3">
                  <c:v>9857</c:v>
                </c:pt>
                <c:pt idx="4">
                  <c:v>10784.9412773692</c:v>
                </c:pt>
              </c:numCache>
            </c:numRef>
          </c:val>
          <c:extLst>
            <c:ext xmlns:c16="http://schemas.microsoft.com/office/drawing/2014/chart" uri="{C3380CC4-5D6E-409C-BE32-E72D297353CC}">
              <c16:uniqueId val="{00000000-D084-4AE3-94BB-0AD3DCDD76C9}"/>
            </c:ext>
          </c:extLst>
        </c:ser>
        <c:ser>
          <c:idx val="1"/>
          <c:order val="1"/>
          <c:tx>
            <c:strRef>
              <c:f>'B. Sales &amp; COGS'!$A$9</c:f>
              <c:strCache>
                <c:ptCount val="1"/>
                <c:pt idx="0">
                  <c:v>Laptop &amp; Tablet</c:v>
                </c:pt>
              </c:strCache>
            </c:strRef>
          </c:tx>
          <c:spPr>
            <a:solidFill>
              <a:schemeClr val="accent2"/>
            </a:solidFill>
            <a:ln>
              <a:noFill/>
            </a:ln>
            <a:effectLst/>
          </c:spPr>
          <c:invertIfNegative val="0"/>
          <c:cat>
            <c:strRef>
              <c:f>'B. Sales &amp; COGS'!$I$1:$M$1</c:f>
              <c:strCache>
                <c:ptCount val="5"/>
                <c:pt idx="0">
                  <c:v>2018A</c:v>
                </c:pt>
                <c:pt idx="1">
                  <c:v>2019A</c:v>
                </c:pt>
                <c:pt idx="2">
                  <c:v>2020A</c:v>
                </c:pt>
                <c:pt idx="3">
                  <c:v>2021A</c:v>
                </c:pt>
                <c:pt idx="4">
                  <c:v>2022A</c:v>
                </c:pt>
              </c:strCache>
            </c:strRef>
          </c:cat>
          <c:val>
            <c:numRef>
              <c:f>'B. Sales &amp; COGS'!$I$9:$M$9</c:f>
              <c:numCache>
                <c:formatCode>_(* #,##0_);_(* \(#,##0\);_(* "-"??_);_(@_)</c:formatCode>
                <c:ptCount val="5"/>
                <c:pt idx="0">
                  <c:v>2402</c:v>
                </c:pt>
                <c:pt idx="1">
                  <c:v>2974</c:v>
                </c:pt>
                <c:pt idx="2">
                  <c:v>4350</c:v>
                </c:pt>
                <c:pt idx="3">
                  <c:v>7899</c:v>
                </c:pt>
                <c:pt idx="4">
                  <c:v>7027</c:v>
                </c:pt>
              </c:numCache>
            </c:numRef>
          </c:val>
          <c:extLst>
            <c:ext xmlns:c16="http://schemas.microsoft.com/office/drawing/2014/chart" uri="{C3380CC4-5D6E-409C-BE32-E72D297353CC}">
              <c16:uniqueId val="{00000001-D084-4AE3-94BB-0AD3DCDD76C9}"/>
            </c:ext>
          </c:extLst>
        </c:ser>
        <c:ser>
          <c:idx val="2"/>
          <c:order val="2"/>
          <c:tx>
            <c:strRef>
              <c:f>'B. Sales &amp; COGS'!$A$10</c:f>
              <c:strCache>
                <c:ptCount val="1"/>
                <c:pt idx="0">
                  <c:v>Office equipment (including Achison)</c:v>
                </c:pt>
              </c:strCache>
            </c:strRef>
          </c:tx>
          <c:spPr>
            <a:solidFill>
              <a:schemeClr val="accent3"/>
            </a:solidFill>
            <a:ln>
              <a:noFill/>
            </a:ln>
            <a:effectLst/>
          </c:spPr>
          <c:invertIfNegative val="0"/>
          <c:cat>
            <c:strRef>
              <c:f>'B. Sales &amp; COGS'!$I$1:$M$1</c:f>
              <c:strCache>
                <c:ptCount val="5"/>
                <c:pt idx="0">
                  <c:v>2018A</c:v>
                </c:pt>
                <c:pt idx="1">
                  <c:v>2019A</c:v>
                </c:pt>
                <c:pt idx="2">
                  <c:v>2020A</c:v>
                </c:pt>
                <c:pt idx="3">
                  <c:v>2021A</c:v>
                </c:pt>
                <c:pt idx="4">
                  <c:v>2022A</c:v>
                </c:pt>
              </c:strCache>
            </c:strRef>
          </c:cat>
          <c:val>
            <c:numRef>
              <c:f>'B. Sales &amp; COGS'!$I$144:$M$144</c:f>
              <c:numCache>
                <c:formatCode>_(* #,##0_);_(* \(#,##0\);_(* "-"??_);_(@_)</c:formatCode>
                <c:ptCount val="5"/>
                <c:pt idx="0">
                  <c:v>1111</c:v>
                </c:pt>
                <c:pt idx="1">
                  <c:v>1367</c:v>
                </c:pt>
                <c:pt idx="2">
                  <c:v>1536</c:v>
                </c:pt>
                <c:pt idx="3">
                  <c:v>2616</c:v>
                </c:pt>
                <c:pt idx="4">
                  <c:v>3320</c:v>
                </c:pt>
              </c:numCache>
            </c:numRef>
          </c:val>
          <c:extLst>
            <c:ext xmlns:c16="http://schemas.microsoft.com/office/drawing/2014/chart" uri="{C3380CC4-5D6E-409C-BE32-E72D297353CC}">
              <c16:uniqueId val="{00000002-D084-4AE3-94BB-0AD3DCDD76C9}"/>
            </c:ext>
          </c:extLst>
        </c:ser>
        <c:ser>
          <c:idx val="3"/>
          <c:order val="3"/>
          <c:tx>
            <c:strRef>
              <c:f>'B. Sales &amp; COGS'!$A$11</c:f>
              <c:strCache>
                <c:ptCount val="1"/>
                <c:pt idx="0">
                  <c:v>Home appliance</c:v>
                </c:pt>
              </c:strCache>
            </c:strRef>
          </c:tx>
          <c:spPr>
            <a:solidFill>
              <a:schemeClr val="accent4"/>
            </a:solidFill>
            <a:ln>
              <a:noFill/>
            </a:ln>
            <a:effectLst/>
          </c:spPr>
          <c:invertIfNegative val="0"/>
          <c:cat>
            <c:strRef>
              <c:f>'B. Sales &amp; COGS'!$I$1:$M$1</c:f>
              <c:strCache>
                <c:ptCount val="5"/>
                <c:pt idx="0">
                  <c:v>2018A</c:v>
                </c:pt>
                <c:pt idx="1">
                  <c:v>2019A</c:v>
                </c:pt>
                <c:pt idx="2">
                  <c:v>2020A</c:v>
                </c:pt>
                <c:pt idx="3">
                  <c:v>2021A</c:v>
                </c:pt>
                <c:pt idx="4">
                  <c:v>2022A</c:v>
                </c:pt>
              </c:strCache>
            </c:strRef>
          </c:cat>
          <c:val>
            <c:numRef>
              <c:f>'B. Sales &amp; COGS'!$I$169:$M$169</c:f>
              <c:numCache>
                <c:formatCode>General</c:formatCode>
                <c:ptCount val="5"/>
                <c:pt idx="0">
                  <c:v>0</c:v>
                </c:pt>
                <c:pt idx="1">
                  <c:v>0</c:v>
                </c:pt>
                <c:pt idx="2">
                  <c:v>0</c:v>
                </c:pt>
                <c:pt idx="3" formatCode="_(* #,##0_);_(* \(#,##0\);_(* &quot;-&quot;??_);_(@_)">
                  <c:v>223</c:v>
                </c:pt>
                <c:pt idx="4" formatCode="_(* #,##0_);_(* \(#,##0\);_(* &quot;-&quot;??_);_(@_)">
                  <c:v>556</c:v>
                </c:pt>
              </c:numCache>
            </c:numRef>
          </c:val>
          <c:extLst>
            <c:ext xmlns:c16="http://schemas.microsoft.com/office/drawing/2014/chart" uri="{C3380CC4-5D6E-409C-BE32-E72D297353CC}">
              <c16:uniqueId val="{00000003-D084-4AE3-94BB-0AD3DCDD76C9}"/>
            </c:ext>
          </c:extLst>
        </c:ser>
        <c:ser>
          <c:idx val="4"/>
          <c:order val="4"/>
          <c:tx>
            <c:strRef>
              <c:f>'B. Sales &amp; COGS'!$A$12</c:f>
              <c:strCache>
                <c:ptCount val="1"/>
                <c:pt idx="0">
                  <c:v>Consumers-Health</c:v>
                </c:pt>
              </c:strCache>
            </c:strRef>
          </c:tx>
          <c:spPr>
            <a:solidFill>
              <a:schemeClr val="accent5"/>
            </a:solidFill>
            <a:ln>
              <a:noFill/>
            </a:ln>
            <a:effectLst/>
          </c:spPr>
          <c:invertIfNegative val="0"/>
          <c:cat>
            <c:strRef>
              <c:f>'B. Sales &amp; COGS'!$I$1:$M$1</c:f>
              <c:strCache>
                <c:ptCount val="5"/>
                <c:pt idx="0">
                  <c:v>2018A</c:v>
                </c:pt>
                <c:pt idx="1">
                  <c:v>2019A</c:v>
                </c:pt>
                <c:pt idx="2">
                  <c:v>2020A</c:v>
                </c:pt>
                <c:pt idx="3">
                  <c:v>2021A</c:v>
                </c:pt>
                <c:pt idx="4">
                  <c:v>2022A</c:v>
                </c:pt>
              </c:strCache>
            </c:strRef>
          </c:cat>
          <c:val>
            <c:numRef>
              <c:f>[32]B!#REF!</c:f>
              <c:numCache>
                <c:formatCode>General</c:formatCode>
                <c:ptCount val="1"/>
                <c:pt idx="0">
                  <c:v>1</c:v>
                </c:pt>
              </c:numCache>
            </c:numRef>
          </c:val>
          <c:extLst>
            <c:ext xmlns:c16="http://schemas.microsoft.com/office/drawing/2014/chart" uri="{C3380CC4-5D6E-409C-BE32-E72D297353CC}">
              <c16:uniqueId val="{00000004-D084-4AE3-94BB-0AD3DCDD76C9}"/>
            </c:ext>
          </c:extLst>
        </c:ser>
        <c:dLbls>
          <c:showLegendKey val="0"/>
          <c:showVal val="0"/>
          <c:showCatName val="0"/>
          <c:showSerName val="0"/>
          <c:showPercent val="0"/>
          <c:showBubbleSize val="0"/>
        </c:dLbls>
        <c:gapWidth val="219"/>
        <c:overlap val="100"/>
        <c:axId val="1501967456"/>
        <c:axId val="190213312"/>
      </c:barChart>
      <c:lineChart>
        <c:grouping val="standard"/>
        <c:varyColors val="0"/>
        <c:ser>
          <c:idx val="5"/>
          <c:order val="5"/>
          <c:tx>
            <c:strRef>
              <c:f>'B. Sales &amp; COGS'!$A$18</c:f>
              <c:strCache>
                <c:ptCount val="1"/>
                <c:pt idx="0">
                  <c:v>Change %</c:v>
                </c:pt>
              </c:strCache>
            </c:strRef>
          </c:tx>
          <c:spPr>
            <a:ln w="28575" cap="rnd">
              <a:solidFill>
                <a:schemeClr val="accent6"/>
              </a:solidFill>
              <a:round/>
            </a:ln>
            <a:effectLst/>
          </c:spPr>
          <c:marker>
            <c:symbol val="none"/>
          </c:marker>
          <c:cat>
            <c:strRef>
              <c:f>'B. Sales &amp; COGS'!$I$1:$M$1</c:f>
              <c:strCache>
                <c:ptCount val="5"/>
                <c:pt idx="0">
                  <c:v>2018A</c:v>
                </c:pt>
                <c:pt idx="1">
                  <c:v>2019A</c:v>
                </c:pt>
                <c:pt idx="2">
                  <c:v>2020A</c:v>
                </c:pt>
                <c:pt idx="3">
                  <c:v>2021A</c:v>
                </c:pt>
                <c:pt idx="4">
                  <c:v>2022A</c:v>
                </c:pt>
              </c:strCache>
            </c:strRef>
          </c:cat>
          <c:val>
            <c:numRef>
              <c:f>'B. Sales &amp; COGS'!$I$18:$M$18</c:f>
              <c:numCache>
                <c:formatCode>0%</c:formatCode>
                <c:ptCount val="5"/>
                <c:pt idx="0">
                  <c:v>0.55602094240837707</c:v>
                </c:pt>
                <c:pt idx="1">
                  <c:v>0.42866756393001348</c:v>
                </c:pt>
                <c:pt idx="2">
                  <c:v>0.47609514837494116</c:v>
                </c:pt>
                <c:pt idx="3">
                  <c:v>0.67299561228560023</c:v>
                </c:pt>
                <c:pt idx="4">
                  <c:v>5.3118176404043815E-2</c:v>
                </c:pt>
              </c:numCache>
            </c:numRef>
          </c:val>
          <c:smooth val="0"/>
          <c:extLst>
            <c:ext xmlns:c16="http://schemas.microsoft.com/office/drawing/2014/chart" uri="{C3380CC4-5D6E-409C-BE32-E72D297353CC}">
              <c16:uniqueId val="{00000005-D084-4AE3-94BB-0AD3DCDD76C9}"/>
            </c:ext>
          </c:extLst>
        </c:ser>
        <c:dLbls>
          <c:showLegendKey val="0"/>
          <c:showVal val="0"/>
          <c:showCatName val="0"/>
          <c:showSerName val="0"/>
          <c:showPercent val="0"/>
          <c:showBubbleSize val="0"/>
        </c:dLbls>
        <c:marker val="1"/>
        <c:smooth val="0"/>
        <c:axId val="89754176"/>
        <c:axId val="91052288"/>
      </c:lineChart>
      <c:catAx>
        <c:axId val="150196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13312"/>
        <c:crosses val="autoZero"/>
        <c:auto val="1"/>
        <c:lblAlgn val="ctr"/>
        <c:lblOffset val="100"/>
        <c:noMultiLvlLbl val="0"/>
      </c:catAx>
      <c:valAx>
        <c:axId val="1902133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967456"/>
        <c:crosses val="autoZero"/>
        <c:crossBetween val="between"/>
      </c:valAx>
      <c:valAx>
        <c:axId val="91052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54176"/>
        <c:crosses val="max"/>
        <c:crossBetween val="between"/>
      </c:valAx>
      <c:catAx>
        <c:axId val="89754176"/>
        <c:scaling>
          <c:orientation val="minMax"/>
        </c:scaling>
        <c:delete val="1"/>
        <c:axPos val="b"/>
        <c:numFmt formatCode="General" sourceLinked="1"/>
        <c:majorTickMark val="out"/>
        <c:minorTickMark val="none"/>
        <c:tickLblPos val="nextTo"/>
        <c:crossAx val="91052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1a.</a:t>
            </a:r>
            <a:r>
              <a:rPr lang="en-US" baseline="0"/>
              <a:t> Revenue quarterly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342968849633219E-2"/>
          <c:y val="0.16917685196724663"/>
          <c:w val="0.88045369328107814"/>
          <c:h val="0.53107272396198291"/>
        </c:manualLayout>
      </c:layout>
      <c:barChart>
        <c:barDir val="col"/>
        <c:grouping val="stacked"/>
        <c:varyColors val="0"/>
        <c:ser>
          <c:idx val="0"/>
          <c:order val="0"/>
          <c:tx>
            <c:strRef>
              <c:f>'B. Sales &amp; COGS'!$A$5</c:f>
              <c:strCache>
                <c:ptCount val="1"/>
                <c:pt idx="0">
                  <c:v>Smartphone</c:v>
                </c:pt>
              </c:strCache>
            </c:strRef>
          </c:tx>
          <c:spPr>
            <a:solidFill>
              <a:schemeClr val="accent1"/>
            </a:solidFill>
            <a:ln>
              <a:noFill/>
            </a:ln>
            <a:effectLst/>
          </c:spPr>
          <c:invertIfNegative val="0"/>
          <c:cat>
            <c:strRef>
              <c:f>'B. Sales &amp; COGS'!$AH$1:$AY$1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'B. Sales &amp; COGS'!$AH$5:$AY$5</c:f>
              <c:numCache>
                <c:formatCode>General</c:formatCode>
                <c:ptCount val="18"/>
                <c:pt idx="0">
                  <c:v>584</c:v>
                </c:pt>
                <c:pt idx="1">
                  <c:v>967</c:v>
                </c:pt>
                <c:pt idx="2" formatCode="#,##0">
                  <c:v>1015</c:v>
                </c:pt>
                <c:pt idx="3" formatCode="#,##0">
                  <c:v>1330</c:v>
                </c:pt>
                <c:pt idx="4" formatCode="#,##0">
                  <c:v>1142</c:v>
                </c:pt>
                <c:pt idx="5" formatCode="#,##0">
                  <c:v>1146</c:v>
                </c:pt>
                <c:pt idx="6" formatCode="#,##0">
                  <c:v>1868</c:v>
                </c:pt>
                <c:pt idx="7" formatCode="#,##0">
                  <c:v>2228</c:v>
                </c:pt>
                <c:pt idx="8" formatCode="#,##0">
                  <c:v>2833</c:v>
                </c:pt>
                <c:pt idx="9" formatCode="#,##0">
                  <c:v>2146</c:v>
                </c:pt>
                <c:pt idx="10" formatCode="#,##0">
                  <c:v>1381</c:v>
                </c:pt>
                <c:pt idx="11" formatCode="#,##0">
                  <c:v>3497</c:v>
                </c:pt>
                <c:pt idx="12" formatCode="#,##0">
                  <c:v>3880</c:v>
                </c:pt>
                <c:pt idx="13" formatCode="#,##0">
                  <c:v>2703</c:v>
                </c:pt>
                <c:pt idx="14" formatCode="#,##0">
                  <c:v>2399</c:v>
                </c:pt>
                <c:pt idx="15" formatCode="#,##0">
                  <c:v>1777</c:v>
                </c:pt>
                <c:pt idx="16" formatCode="#,##0">
                  <c:v>1899</c:v>
                </c:pt>
                <c:pt idx="17" formatCode="#,##0">
                  <c:v>2190</c:v>
                </c:pt>
              </c:numCache>
            </c:numRef>
          </c:val>
          <c:extLst>
            <c:ext xmlns:c16="http://schemas.microsoft.com/office/drawing/2014/chart" uri="{C3380CC4-5D6E-409C-BE32-E72D297353CC}">
              <c16:uniqueId val="{00000000-67A1-41AB-B5D1-E4EABF1555A8}"/>
            </c:ext>
          </c:extLst>
        </c:ser>
        <c:ser>
          <c:idx val="1"/>
          <c:order val="1"/>
          <c:tx>
            <c:strRef>
              <c:f>'B. Sales &amp; COGS'!$A$9</c:f>
              <c:strCache>
                <c:ptCount val="1"/>
                <c:pt idx="0">
                  <c:v>Laptop &amp; Tablet</c:v>
                </c:pt>
              </c:strCache>
            </c:strRef>
          </c:tx>
          <c:spPr>
            <a:solidFill>
              <a:schemeClr val="accent2"/>
            </a:solidFill>
            <a:ln>
              <a:noFill/>
            </a:ln>
            <a:effectLst/>
          </c:spPr>
          <c:invertIfNegative val="0"/>
          <c:cat>
            <c:strRef>
              <c:f>'B. Sales &amp; COGS'!$AH$1:$AY$1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'B. Sales &amp; COGS'!$AH$9:$AY$9</c:f>
              <c:numCache>
                <c:formatCode>General</c:formatCode>
                <c:ptCount val="18"/>
                <c:pt idx="0">
                  <c:v>467</c:v>
                </c:pt>
                <c:pt idx="1">
                  <c:v>654</c:v>
                </c:pt>
                <c:pt idx="2" formatCode="#,##0">
                  <c:v>1129</c:v>
                </c:pt>
                <c:pt idx="3">
                  <c:v>724</c:v>
                </c:pt>
                <c:pt idx="4">
                  <c:v>791</c:v>
                </c:pt>
                <c:pt idx="5" formatCode="#,##0">
                  <c:v>1080</c:v>
                </c:pt>
                <c:pt idx="6" formatCode="#,##0">
                  <c:v>1280</c:v>
                </c:pt>
                <c:pt idx="7" formatCode="#,##0">
                  <c:v>1199</c:v>
                </c:pt>
                <c:pt idx="8" formatCode="#,##0">
                  <c:v>1375</c:v>
                </c:pt>
                <c:pt idx="9" formatCode="#,##0">
                  <c:v>1330</c:v>
                </c:pt>
                <c:pt idx="10" formatCode="#,##0">
                  <c:v>1854</c:v>
                </c:pt>
                <c:pt idx="11" formatCode="#,##0">
                  <c:v>3340</c:v>
                </c:pt>
                <c:pt idx="12" formatCode="#,##0">
                  <c:v>2252</c:v>
                </c:pt>
                <c:pt idx="13" formatCode="#,##0">
                  <c:v>1130</c:v>
                </c:pt>
                <c:pt idx="14" formatCode="#,##0">
                  <c:v>2457</c:v>
                </c:pt>
                <c:pt idx="15" formatCode="#,##0">
                  <c:v>1188</c:v>
                </c:pt>
                <c:pt idx="16" formatCode="#,##0">
                  <c:v>1094</c:v>
                </c:pt>
                <c:pt idx="17" formatCode="#,##0">
                  <c:v>1342</c:v>
                </c:pt>
              </c:numCache>
            </c:numRef>
          </c:val>
          <c:extLst>
            <c:ext xmlns:c16="http://schemas.microsoft.com/office/drawing/2014/chart" uri="{C3380CC4-5D6E-409C-BE32-E72D297353CC}">
              <c16:uniqueId val="{00000001-67A1-41AB-B5D1-E4EABF1555A8}"/>
            </c:ext>
          </c:extLst>
        </c:ser>
        <c:ser>
          <c:idx val="2"/>
          <c:order val="2"/>
          <c:tx>
            <c:strRef>
              <c:f>'B. Sales &amp; COGS'!$A$10</c:f>
              <c:strCache>
                <c:ptCount val="1"/>
                <c:pt idx="0">
                  <c:v>Office equipment (including Achison)</c:v>
                </c:pt>
              </c:strCache>
            </c:strRef>
          </c:tx>
          <c:spPr>
            <a:solidFill>
              <a:schemeClr val="accent3"/>
            </a:solidFill>
            <a:ln>
              <a:noFill/>
            </a:ln>
            <a:effectLst/>
          </c:spPr>
          <c:invertIfNegative val="0"/>
          <c:cat>
            <c:strRef>
              <c:f>'B. Sales &amp; COGS'!$AH$1:$AY$1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'B. Sales &amp; COGS'!$AH$10:$AY$10</c:f>
              <c:numCache>
                <c:formatCode>General</c:formatCode>
                <c:ptCount val="18"/>
                <c:pt idx="0">
                  <c:v>267</c:v>
                </c:pt>
                <c:pt idx="1">
                  <c:v>322</c:v>
                </c:pt>
                <c:pt idx="2">
                  <c:v>405</c:v>
                </c:pt>
                <c:pt idx="3">
                  <c:v>373</c:v>
                </c:pt>
                <c:pt idx="4">
                  <c:v>315</c:v>
                </c:pt>
                <c:pt idx="5">
                  <c:v>298</c:v>
                </c:pt>
                <c:pt idx="6">
                  <c:v>414</c:v>
                </c:pt>
                <c:pt idx="7">
                  <c:v>509</c:v>
                </c:pt>
                <c:pt idx="8">
                  <c:v>718</c:v>
                </c:pt>
                <c:pt idx="9">
                  <c:v>663</c:v>
                </c:pt>
                <c:pt idx="10">
                  <c:v>440</c:v>
                </c:pt>
                <c:pt idx="11">
                  <c:v>923</c:v>
                </c:pt>
                <c:pt idx="12">
                  <c:v>742</c:v>
                </c:pt>
                <c:pt idx="13">
                  <c:v>876</c:v>
                </c:pt>
                <c:pt idx="14">
                  <c:v>908</c:v>
                </c:pt>
                <c:pt idx="15">
                  <c:v>794</c:v>
                </c:pt>
                <c:pt idx="16">
                  <c:v>682</c:v>
                </c:pt>
                <c:pt idx="17">
                  <c:v>728</c:v>
                </c:pt>
              </c:numCache>
            </c:numRef>
          </c:val>
          <c:extLst>
            <c:ext xmlns:c16="http://schemas.microsoft.com/office/drawing/2014/chart" uri="{C3380CC4-5D6E-409C-BE32-E72D297353CC}">
              <c16:uniqueId val="{00000002-67A1-41AB-B5D1-E4EABF1555A8}"/>
            </c:ext>
          </c:extLst>
        </c:ser>
        <c:ser>
          <c:idx val="3"/>
          <c:order val="3"/>
          <c:tx>
            <c:strRef>
              <c:f>'B. Sales &amp; COGS'!$A$11</c:f>
              <c:strCache>
                <c:ptCount val="1"/>
                <c:pt idx="0">
                  <c:v>Home appliance</c:v>
                </c:pt>
              </c:strCache>
            </c:strRef>
          </c:tx>
          <c:spPr>
            <a:solidFill>
              <a:schemeClr val="accent4"/>
            </a:solidFill>
            <a:ln>
              <a:noFill/>
            </a:ln>
            <a:effectLst/>
          </c:spPr>
          <c:invertIfNegative val="0"/>
          <c:cat>
            <c:strRef>
              <c:f>'B. Sales &amp; COGS'!$AH$1:$AY$1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'B. Sales &amp; COGS'!$AH$11:$AY$11</c:f>
              <c:numCache>
                <c:formatCode>General</c:formatCode>
                <c:ptCount val="18"/>
                <c:pt idx="0">
                  <c:v>0</c:v>
                </c:pt>
                <c:pt idx="1">
                  <c:v>0</c:v>
                </c:pt>
                <c:pt idx="2">
                  <c:v>0</c:v>
                </c:pt>
                <c:pt idx="3">
                  <c:v>0</c:v>
                </c:pt>
                <c:pt idx="4">
                  <c:v>0</c:v>
                </c:pt>
                <c:pt idx="5">
                  <c:v>0</c:v>
                </c:pt>
                <c:pt idx="6">
                  <c:v>0</c:v>
                </c:pt>
                <c:pt idx="7">
                  <c:v>0</c:v>
                </c:pt>
                <c:pt idx="8">
                  <c:v>0</c:v>
                </c:pt>
                <c:pt idx="9">
                  <c:v>0</c:v>
                </c:pt>
                <c:pt idx="10">
                  <c:v>27</c:v>
                </c:pt>
                <c:pt idx="11">
                  <c:v>69</c:v>
                </c:pt>
                <c:pt idx="12">
                  <c:v>64</c:v>
                </c:pt>
                <c:pt idx="13">
                  <c:v>108</c:v>
                </c:pt>
                <c:pt idx="14">
                  <c:v>205</c:v>
                </c:pt>
                <c:pt idx="15">
                  <c:v>179</c:v>
                </c:pt>
                <c:pt idx="16">
                  <c:v>165</c:v>
                </c:pt>
                <c:pt idx="17">
                  <c:v>166</c:v>
                </c:pt>
              </c:numCache>
            </c:numRef>
          </c:val>
          <c:extLst>
            <c:ext xmlns:c16="http://schemas.microsoft.com/office/drawing/2014/chart" uri="{C3380CC4-5D6E-409C-BE32-E72D297353CC}">
              <c16:uniqueId val="{00000003-67A1-41AB-B5D1-E4EABF1555A8}"/>
            </c:ext>
          </c:extLst>
        </c:ser>
        <c:ser>
          <c:idx val="4"/>
          <c:order val="4"/>
          <c:tx>
            <c:strRef>
              <c:f>'B. Sales &amp; COGS'!$A$12</c:f>
              <c:strCache>
                <c:ptCount val="1"/>
                <c:pt idx="0">
                  <c:v>Consumers-Health</c:v>
                </c:pt>
              </c:strCache>
            </c:strRef>
          </c:tx>
          <c:spPr>
            <a:solidFill>
              <a:schemeClr val="accent5"/>
            </a:solidFill>
            <a:ln>
              <a:noFill/>
            </a:ln>
            <a:effectLst/>
          </c:spPr>
          <c:invertIfNegative val="0"/>
          <c:cat>
            <c:strRef>
              <c:f>'B. Sales &amp; COGS'!$AH$1:$AY$1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'B. Sales &amp; COGS'!$AH$12:$AY$12</c:f>
              <c:numCache>
                <c:formatCode>General</c:formatCode>
                <c:ptCount val="18"/>
                <c:pt idx="0">
                  <c:v>53</c:v>
                </c:pt>
                <c:pt idx="1">
                  <c:v>63</c:v>
                </c:pt>
                <c:pt idx="2">
                  <c:v>66</c:v>
                </c:pt>
                <c:pt idx="3">
                  <c:v>73</c:v>
                </c:pt>
                <c:pt idx="4">
                  <c:v>63</c:v>
                </c:pt>
                <c:pt idx="5">
                  <c:v>59</c:v>
                </c:pt>
                <c:pt idx="6">
                  <c:v>62</c:v>
                </c:pt>
                <c:pt idx="7">
                  <c:v>81</c:v>
                </c:pt>
                <c:pt idx="8">
                  <c:v>81</c:v>
                </c:pt>
                <c:pt idx="9">
                  <c:v>79</c:v>
                </c:pt>
                <c:pt idx="10">
                  <c:v>123</c:v>
                </c:pt>
                <c:pt idx="11">
                  <c:v>93</c:v>
                </c:pt>
                <c:pt idx="12">
                  <c:v>71</c:v>
                </c:pt>
                <c:pt idx="13">
                  <c:v>93</c:v>
                </c:pt>
                <c:pt idx="14">
                  <c:v>96</c:v>
                </c:pt>
                <c:pt idx="15">
                  <c:v>137</c:v>
                </c:pt>
                <c:pt idx="16">
                  <c:v>120</c:v>
                </c:pt>
                <c:pt idx="17">
                  <c:v>170</c:v>
                </c:pt>
              </c:numCache>
            </c:numRef>
          </c:val>
          <c:extLst>
            <c:ext xmlns:c16="http://schemas.microsoft.com/office/drawing/2014/chart" uri="{C3380CC4-5D6E-409C-BE32-E72D297353CC}">
              <c16:uniqueId val="{00000004-67A1-41AB-B5D1-E4EABF1555A8}"/>
            </c:ext>
          </c:extLst>
        </c:ser>
        <c:dLbls>
          <c:showLegendKey val="0"/>
          <c:showVal val="0"/>
          <c:showCatName val="0"/>
          <c:showSerName val="0"/>
          <c:showPercent val="0"/>
          <c:showBubbleSize val="0"/>
        </c:dLbls>
        <c:gapWidth val="219"/>
        <c:overlap val="100"/>
        <c:axId val="474796352"/>
        <c:axId val="365481072"/>
      </c:barChart>
      <c:lineChart>
        <c:grouping val="standard"/>
        <c:varyColors val="0"/>
        <c:ser>
          <c:idx val="5"/>
          <c:order val="5"/>
          <c:tx>
            <c:strRef>
              <c:f>'B. Sales &amp; COGS'!$A$18</c:f>
              <c:strCache>
                <c:ptCount val="1"/>
                <c:pt idx="0">
                  <c:v>Change %</c:v>
                </c:pt>
              </c:strCache>
            </c:strRef>
          </c:tx>
          <c:spPr>
            <a:ln w="28575" cap="rnd">
              <a:solidFill>
                <a:schemeClr val="accent6"/>
              </a:solidFill>
              <a:round/>
            </a:ln>
            <a:effectLst/>
          </c:spPr>
          <c:marker>
            <c:symbol val="none"/>
          </c:marker>
          <c:cat>
            <c:strRef>
              <c:f>'B. Sales &amp; COGS'!$AH$1:$AY$1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'B. Sales &amp; COGS'!$AH$18:$AY$18</c:f>
              <c:numCache>
                <c:formatCode>0%</c:formatCode>
                <c:ptCount val="18"/>
                <c:pt idx="0">
                  <c:v>8.3794466403162016E-2</c:v>
                </c:pt>
                <c:pt idx="1">
                  <c:v>0.45679012345679015</c:v>
                </c:pt>
                <c:pt idx="2">
                  <c:v>0.50114810562571765</c:v>
                </c:pt>
                <c:pt idx="3">
                  <c:v>0.60256410256410264</c:v>
                </c:pt>
                <c:pt idx="4">
                  <c:v>0.68563092633114509</c:v>
                </c:pt>
                <c:pt idx="5">
                  <c:v>0.28763708873379867</c:v>
                </c:pt>
                <c:pt idx="6">
                  <c:v>0.38585086042065009</c:v>
                </c:pt>
                <c:pt idx="7">
                  <c:v>0.60680000000000001</c:v>
                </c:pt>
                <c:pt idx="8">
                  <c:v>1.1665945478147988</c:v>
                </c:pt>
                <c:pt idx="9">
                  <c:v>0.63298490127758411</c:v>
                </c:pt>
                <c:pt idx="10">
                  <c:v>5.5463576158940375E-2</c:v>
                </c:pt>
                <c:pt idx="11">
                  <c:v>0.97211849639034109</c:v>
                </c:pt>
                <c:pt idx="12">
                  <c:v>0.39984022368683836</c:v>
                </c:pt>
                <c:pt idx="13">
                  <c:v>0.16405879563774306</c:v>
                </c:pt>
                <c:pt idx="14">
                  <c:v>0.58562091503267966</c:v>
                </c:pt>
                <c:pt idx="15">
                  <c:v>-0.48560969452158542</c:v>
                </c:pt>
                <c:pt idx="16">
                  <c:v>-0.43501212726494509</c:v>
                </c:pt>
                <c:pt idx="17">
                  <c:v>-6.3951120162932806E-2</c:v>
                </c:pt>
              </c:numCache>
            </c:numRef>
          </c:val>
          <c:smooth val="0"/>
          <c:extLst>
            <c:ext xmlns:c16="http://schemas.microsoft.com/office/drawing/2014/chart" uri="{C3380CC4-5D6E-409C-BE32-E72D297353CC}">
              <c16:uniqueId val="{00000005-67A1-41AB-B5D1-E4EABF1555A8}"/>
            </c:ext>
          </c:extLst>
        </c:ser>
        <c:dLbls>
          <c:showLegendKey val="0"/>
          <c:showVal val="0"/>
          <c:showCatName val="0"/>
          <c:showSerName val="0"/>
          <c:showPercent val="0"/>
          <c:showBubbleSize val="0"/>
        </c:dLbls>
        <c:marker val="1"/>
        <c:smooth val="0"/>
        <c:axId val="1143063648"/>
        <c:axId val="422273200"/>
      </c:lineChart>
      <c:catAx>
        <c:axId val="47479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481072"/>
        <c:crosses val="autoZero"/>
        <c:auto val="1"/>
        <c:lblAlgn val="ctr"/>
        <c:lblOffset val="100"/>
        <c:noMultiLvlLbl val="0"/>
      </c:catAx>
      <c:valAx>
        <c:axId val="36548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796352"/>
        <c:crosses val="autoZero"/>
        <c:crossBetween val="between"/>
      </c:valAx>
      <c:valAx>
        <c:axId val="42227320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63648"/>
        <c:crosses val="max"/>
        <c:crossBetween val="between"/>
      </c:valAx>
      <c:catAx>
        <c:axId val="1143063648"/>
        <c:scaling>
          <c:orientation val="minMax"/>
        </c:scaling>
        <c:delete val="1"/>
        <c:axPos val="b"/>
        <c:numFmt formatCode="General" sourceLinked="1"/>
        <c:majorTickMark val="out"/>
        <c:minorTickMark val="none"/>
        <c:tickLblPos val="nextTo"/>
        <c:crossAx val="422273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1b. Revenue TTM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 Sales &amp; COGS'!$A$5</c:f>
              <c:strCache>
                <c:ptCount val="1"/>
                <c:pt idx="0">
                  <c:v>Smartphone</c:v>
                </c:pt>
              </c:strCache>
            </c:strRef>
          </c:tx>
          <c:spPr>
            <a:solidFill>
              <a:schemeClr val="accent1"/>
            </a:solidFill>
            <a:ln>
              <a:noFill/>
            </a:ln>
            <a:effectLst/>
          </c:spPr>
          <c:invertIfNegative val="0"/>
          <c:cat>
            <c:strRef>
              <c:f>'B. Sales &amp; COGS'!$BP$1:$CD$1</c:f>
              <c:strCache>
                <c:ptCount val="15"/>
                <c:pt idx="0">
                  <c:v>Q4/2019</c:v>
                </c:pt>
                <c:pt idx="1">
                  <c:v>Q1/2020</c:v>
                </c:pt>
                <c:pt idx="2">
                  <c:v>Q2/2020</c:v>
                </c:pt>
                <c:pt idx="3">
                  <c:v>Q3/2020</c:v>
                </c:pt>
                <c:pt idx="4">
                  <c:v>Q4/2020</c:v>
                </c:pt>
                <c:pt idx="5">
                  <c:v>Q1/2021</c:v>
                </c:pt>
                <c:pt idx="6">
                  <c:v>Q2/2021</c:v>
                </c:pt>
                <c:pt idx="7">
                  <c:v>Q3/2021</c:v>
                </c:pt>
                <c:pt idx="8">
                  <c:v>Q4/2021</c:v>
                </c:pt>
                <c:pt idx="9">
                  <c:v>Q1/2022</c:v>
                </c:pt>
                <c:pt idx="10">
                  <c:v>Q2/2022</c:v>
                </c:pt>
                <c:pt idx="11">
                  <c:v>Q3/2022</c:v>
                </c:pt>
                <c:pt idx="12">
                  <c:v>Q4/2022</c:v>
                </c:pt>
                <c:pt idx="13">
                  <c:v>Q1/2023</c:v>
                </c:pt>
                <c:pt idx="14">
                  <c:v>Q2/2023</c:v>
                </c:pt>
              </c:strCache>
            </c:strRef>
          </c:cat>
          <c:val>
            <c:numRef>
              <c:f>'B. Sales &amp; COGS'!$BP$5:$CD$5</c:f>
              <c:numCache>
                <c:formatCode>#,##0</c:formatCode>
                <c:ptCount val="15"/>
                <c:pt idx="0">
                  <c:v>3896</c:v>
                </c:pt>
                <c:pt idx="1">
                  <c:v>4454</c:v>
                </c:pt>
                <c:pt idx="2">
                  <c:v>4633</c:v>
                </c:pt>
                <c:pt idx="3">
                  <c:v>5486</c:v>
                </c:pt>
                <c:pt idx="4">
                  <c:v>6384</c:v>
                </c:pt>
                <c:pt idx="5">
                  <c:v>8075</c:v>
                </c:pt>
                <c:pt idx="6">
                  <c:v>9075</c:v>
                </c:pt>
                <c:pt idx="7">
                  <c:v>8588</c:v>
                </c:pt>
                <c:pt idx="8">
                  <c:v>9857</c:v>
                </c:pt>
                <c:pt idx="9">
                  <c:v>10904</c:v>
                </c:pt>
                <c:pt idx="10">
                  <c:v>11461</c:v>
                </c:pt>
                <c:pt idx="11">
                  <c:v>12479</c:v>
                </c:pt>
                <c:pt idx="12">
                  <c:v>10759</c:v>
                </c:pt>
                <c:pt idx="13">
                  <c:v>8778</c:v>
                </c:pt>
                <c:pt idx="14">
                  <c:v>8265</c:v>
                </c:pt>
              </c:numCache>
            </c:numRef>
          </c:val>
          <c:extLst>
            <c:ext xmlns:c16="http://schemas.microsoft.com/office/drawing/2014/chart" uri="{C3380CC4-5D6E-409C-BE32-E72D297353CC}">
              <c16:uniqueId val="{00000000-C2D1-48A7-96A9-E55792E2A2EE}"/>
            </c:ext>
          </c:extLst>
        </c:ser>
        <c:ser>
          <c:idx val="1"/>
          <c:order val="1"/>
          <c:tx>
            <c:strRef>
              <c:f>'B. Sales &amp; COGS'!$A$9</c:f>
              <c:strCache>
                <c:ptCount val="1"/>
                <c:pt idx="0">
                  <c:v>Laptop &amp; Tablet</c:v>
                </c:pt>
              </c:strCache>
            </c:strRef>
          </c:tx>
          <c:spPr>
            <a:solidFill>
              <a:schemeClr val="accent2"/>
            </a:solidFill>
            <a:ln>
              <a:noFill/>
            </a:ln>
            <a:effectLst/>
          </c:spPr>
          <c:invertIfNegative val="0"/>
          <c:cat>
            <c:strRef>
              <c:f>'B. Sales &amp; COGS'!$BP$1:$CD$1</c:f>
              <c:strCache>
                <c:ptCount val="15"/>
                <c:pt idx="0">
                  <c:v>Q4/2019</c:v>
                </c:pt>
                <c:pt idx="1">
                  <c:v>Q1/2020</c:v>
                </c:pt>
                <c:pt idx="2">
                  <c:v>Q2/2020</c:v>
                </c:pt>
                <c:pt idx="3">
                  <c:v>Q3/2020</c:v>
                </c:pt>
                <c:pt idx="4">
                  <c:v>Q4/2020</c:v>
                </c:pt>
                <c:pt idx="5">
                  <c:v>Q1/2021</c:v>
                </c:pt>
                <c:pt idx="6">
                  <c:v>Q2/2021</c:v>
                </c:pt>
                <c:pt idx="7">
                  <c:v>Q3/2021</c:v>
                </c:pt>
                <c:pt idx="8">
                  <c:v>Q4/2021</c:v>
                </c:pt>
                <c:pt idx="9">
                  <c:v>Q1/2022</c:v>
                </c:pt>
                <c:pt idx="10">
                  <c:v>Q2/2022</c:v>
                </c:pt>
                <c:pt idx="11">
                  <c:v>Q3/2022</c:v>
                </c:pt>
                <c:pt idx="12">
                  <c:v>Q4/2022</c:v>
                </c:pt>
                <c:pt idx="13">
                  <c:v>Q1/2023</c:v>
                </c:pt>
                <c:pt idx="14">
                  <c:v>Q2/2023</c:v>
                </c:pt>
              </c:strCache>
            </c:strRef>
          </c:cat>
          <c:val>
            <c:numRef>
              <c:f>'B. Sales &amp; COGS'!$BP$9:$CD$9</c:f>
              <c:numCache>
                <c:formatCode>General</c:formatCode>
                <c:ptCount val="15"/>
                <c:pt idx="0">
                  <c:v>2974</c:v>
                </c:pt>
                <c:pt idx="1">
                  <c:v>3298</c:v>
                </c:pt>
                <c:pt idx="2" formatCode="#,##0">
                  <c:v>3724</c:v>
                </c:pt>
                <c:pt idx="3" formatCode="#,##0">
                  <c:v>3875</c:v>
                </c:pt>
                <c:pt idx="4" formatCode="#,##0">
                  <c:v>4350</c:v>
                </c:pt>
                <c:pt idx="5" formatCode="#,##0">
                  <c:v>4934</c:v>
                </c:pt>
                <c:pt idx="6" formatCode="#,##0">
                  <c:v>5184</c:v>
                </c:pt>
                <c:pt idx="7" formatCode="#,##0">
                  <c:v>5758</c:v>
                </c:pt>
                <c:pt idx="8" formatCode="#,##0">
                  <c:v>7899</c:v>
                </c:pt>
                <c:pt idx="9" formatCode="#,##0">
                  <c:v>8776</c:v>
                </c:pt>
                <c:pt idx="10" formatCode="#,##0">
                  <c:v>8576</c:v>
                </c:pt>
                <c:pt idx="11" formatCode="#,##0">
                  <c:v>9179</c:v>
                </c:pt>
                <c:pt idx="12" formatCode="#,##0">
                  <c:v>7027</c:v>
                </c:pt>
                <c:pt idx="13" formatCode="#,##0">
                  <c:v>5869</c:v>
                </c:pt>
                <c:pt idx="14" formatCode="#,##0">
                  <c:v>6081</c:v>
                </c:pt>
              </c:numCache>
            </c:numRef>
          </c:val>
          <c:extLst>
            <c:ext xmlns:c16="http://schemas.microsoft.com/office/drawing/2014/chart" uri="{C3380CC4-5D6E-409C-BE32-E72D297353CC}">
              <c16:uniqueId val="{00000001-C2D1-48A7-96A9-E55792E2A2EE}"/>
            </c:ext>
          </c:extLst>
        </c:ser>
        <c:ser>
          <c:idx val="2"/>
          <c:order val="2"/>
          <c:tx>
            <c:strRef>
              <c:f>'B. Sales &amp; COGS'!$A$10</c:f>
              <c:strCache>
                <c:ptCount val="1"/>
                <c:pt idx="0">
                  <c:v>Office equipment (including Achison)</c:v>
                </c:pt>
              </c:strCache>
            </c:strRef>
          </c:tx>
          <c:spPr>
            <a:solidFill>
              <a:schemeClr val="accent3"/>
            </a:solidFill>
            <a:ln>
              <a:noFill/>
            </a:ln>
            <a:effectLst/>
          </c:spPr>
          <c:invertIfNegative val="0"/>
          <c:cat>
            <c:strRef>
              <c:f>'B. Sales &amp; COGS'!$BP$1:$CD$1</c:f>
              <c:strCache>
                <c:ptCount val="15"/>
                <c:pt idx="0">
                  <c:v>Q4/2019</c:v>
                </c:pt>
                <c:pt idx="1">
                  <c:v>Q1/2020</c:v>
                </c:pt>
                <c:pt idx="2">
                  <c:v>Q2/2020</c:v>
                </c:pt>
                <c:pt idx="3">
                  <c:v>Q3/2020</c:v>
                </c:pt>
                <c:pt idx="4">
                  <c:v>Q4/2020</c:v>
                </c:pt>
                <c:pt idx="5">
                  <c:v>Q1/2021</c:v>
                </c:pt>
                <c:pt idx="6">
                  <c:v>Q2/2021</c:v>
                </c:pt>
                <c:pt idx="7">
                  <c:v>Q3/2021</c:v>
                </c:pt>
                <c:pt idx="8">
                  <c:v>Q4/2021</c:v>
                </c:pt>
                <c:pt idx="9">
                  <c:v>Q1/2022</c:v>
                </c:pt>
                <c:pt idx="10">
                  <c:v>Q2/2022</c:v>
                </c:pt>
                <c:pt idx="11">
                  <c:v>Q3/2022</c:v>
                </c:pt>
                <c:pt idx="12">
                  <c:v>Q4/2022</c:v>
                </c:pt>
                <c:pt idx="13">
                  <c:v>Q1/2023</c:v>
                </c:pt>
                <c:pt idx="14">
                  <c:v>Q2/2023</c:v>
                </c:pt>
              </c:strCache>
            </c:strRef>
          </c:cat>
          <c:val>
            <c:numRef>
              <c:f>'B. Sales &amp; COGS'!$BP$10:$CD$10</c:f>
              <c:numCache>
                <c:formatCode>General</c:formatCode>
                <c:ptCount val="15"/>
                <c:pt idx="0">
                  <c:v>1367</c:v>
                </c:pt>
                <c:pt idx="1">
                  <c:v>1415</c:v>
                </c:pt>
                <c:pt idx="2">
                  <c:v>1391</c:v>
                </c:pt>
                <c:pt idx="3">
                  <c:v>1400</c:v>
                </c:pt>
                <c:pt idx="4">
                  <c:v>1536</c:v>
                </c:pt>
                <c:pt idx="5">
                  <c:v>1939</c:v>
                </c:pt>
                <c:pt idx="6">
                  <c:v>2304</c:v>
                </c:pt>
                <c:pt idx="7">
                  <c:v>2330</c:v>
                </c:pt>
                <c:pt idx="8">
                  <c:v>2744</c:v>
                </c:pt>
                <c:pt idx="9">
                  <c:v>2768</c:v>
                </c:pt>
                <c:pt idx="10">
                  <c:v>2981</c:v>
                </c:pt>
                <c:pt idx="11">
                  <c:v>3449</c:v>
                </c:pt>
                <c:pt idx="12">
                  <c:v>3320</c:v>
                </c:pt>
                <c:pt idx="13">
                  <c:v>3260</c:v>
                </c:pt>
                <c:pt idx="14">
                  <c:v>3112</c:v>
                </c:pt>
              </c:numCache>
            </c:numRef>
          </c:val>
          <c:extLst>
            <c:ext xmlns:c16="http://schemas.microsoft.com/office/drawing/2014/chart" uri="{C3380CC4-5D6E-409C-BE32-E72D297353CC}">
              <c16:uniqueId val="{00000002-C2D1-48A7-96A9-E55792E2A2EE}"/>
            </c:ext>
          </c:extLst>
        </c:ser>
        <c:ser>
          <c:idx val="3"/>
          <c:order val="3"/>
          <c:tx>
            <c:strRef>
              <c:f>'B. Sales &amp; COGS'!$A$11</c:f>
              <c:strCache>
                <c:ptCount val="1"/>
                <c:pt idx="0">
                  <c:v>Home appliance</c:v>
                </c:pt>
              </c:strCache>
            </c:strRef>
          </c:tx>
          <c:spPr>
            <a:solidFill>
              <a:schemeClr val="accent4"/>
            </a:solidFill>
            <a:ln>
              <a:noFill/>
            </a:ln>
            <a:effectLst/>
          </c:spPr>
          <c:invertIfNegative val="0"/>
          <c:cat>
            <c:strRef>
              <c:f>'B. Sales &amp; COGS'!$BP$1:$CD$1</c:f>
              <c:strCache>
                <c:ptCount val="15"/>
                <c:pt idx="0">
                  <c:v>Q4/2019</c:v>
                </c:pt>
                <c:pt idx="1">
                  <c:v>Q1/2020</c:v>
                </c:pt>
                <c:pt idx="2">
                  <c:v>Q2/2020</c:v>
                </c:pt>
                <c:pt idx="3">
                  <c:v>Q3/2020</c:v>
                </c:pt>
                <c:pt idx="4">
                  <c:v>Q4/2020</c:v>
                </c:pt>
                <c:pt idx="5">
                  <c:v>Q1/2021</c:v>
                </c:pt>
                <c:pt idx="6">
                  <c:v>Q2/2021</c:v>
                </c:pt>
                <c:pt idx="7">
                  <c:v>Q3/2021</c:v>
                </c:pt>
                <c:pt idx="8">
                  <c:v>Q4/2021</c:v>
                </c:pt>
                <c:pt idx="9">
                  <c:v>Q1/2022</c:v>
                </c:pt>
                <c:pt idx="10">
                  <c:v>Q2/2022</c:v>
                </c:pt>
                <c:pt idx="11">
                  <c:v>Q3/2022</c:v>
                </c:pt>
                <c:pt idx="12">
                  <c:v>Q4/2022</c:v>
                </c:pt>
                <c:pt idx="13">
                  <c:v>Q1/2023</c:v>
                </c:pt>
                <c:pt idx="14">
                  <c:v>Q2/2023</c:v>
                </c:pt>
              </c:strCache>
            </c:strRef>
          </c:cat>
          <c:val>
            <c:numRef>
              <c:f>'B. Sales &amp; COGS'!$BP$11:$CD$11</c:f>
              <c:numCache>
                <c:formatCode>General</c:formatCode>
                <c:ptCount val="15"/>
                <c:pt idx="0">
                  <c:v>0</c:v>
                </c:pt>
                <c:pt idx="1">
                  <c:v>0</c:v>
                </c:pt>
                <c:pt idx="2">
                  <c:v>0</c:v>
                </c:pt>
                <c:pt idx="3">
                  <c:v>0</c:v>
                </c:pt>
                <c:pt idx="4">
                  <c:v>0</c:v>
                </c:pt>
                <c:pt idx="5">
                  <c:v>0</c:v>
                </c:pt>
                <c:pt idx="6">
                  <c:v>0</c:v>
                </c:pt>
                <c:pt idx="7">
                  <c:v>27</c:v>
                </c:pt>
                <c:pt idx="8">
                  <c:v>96</c:v>
                </c:pt>
                <c:pt idx="9">
                  <c:v>160</c:v>
                </c:pt>
                <c:pt idx="10">
                  <c:v>268</c:v>
                </c:pt>
                <c:pt idx="11">
                  <c:v>446</c:v>
                </c:pt>
                <c:pt idx="12">
                  <c:v>556</c:v>
                </c:pt>
                <c:pt idx="13">
                  <c:v>657</c:v>
                </c:pt>
                <c:pt idx="14">
                  <c:v>715</c:v>
                </c:pt>
              </c:numCache>
            </c:numRef>
          </c:val>
          <c:extLst>
            <c:ext xmlns:c16="http://schemas.microsoft.com/office/drawing/2014/chart" uri="{C3380CC4-5D6E-409C-BE32-E72D297353CC}">
              <c16:uniqueId val="{00000003-C2D1-48A7-96A9-E55792E2A2EE}"/>
            </c:ext>
          </c:extLst>
        </c:ser>
        <c:ser>
          <c:idx val="4"/>
          <c:order val="4"/>
          <c:tx>
            <c:strRef>
              <c:f>'B. Sales &amp; COGS'!$A$12</c:f>
              <c:strCache>
                <c:ptCount val="1"/>
                <c:pt idx="0">
                  <c:v>Consumers-Health</c:v>
                </c:pt>
              </c:strCache>
            </c:strRef>
          </c:tx>
          <c:spPr>
            <a:solidFill>
              <a:schemeClr val="accent5"/>
            </a:solidFill>
            <a:ln>
              <a:noFill/>
            </a:ln>
            <a:effectLst/>
          </c:spPr>
          <c:invertIfNegative val="0"/>
          <c:cat>
            <c:strRef>
              <c:f>'B. Sales &amp; COGS'!$BP$1:$CD$1</c:f>
              <c:strCache>
                <c:ptCount val="15"/>
                <c:pt idx="0">
                  <c:v>Q4/2019</c:v>
                </c:pt>
                <c:pt idx="1">
                  <c:v>Q1/2020</c:v>
                </c:pt>
                <c:pt idx="2">
                  <c:v>Q2/2020</c:v>
                </c:pt>
                <c:pt idx="3">
                  <c:v>Q3/2020</c:v>
                </c:pt>
                <c:pt idx="4">
                  <c:v>Q4/2020</c:v>
                </c:pt>
                <c:pt idx="5">
                  <c:v>Q1/2021</c:v>
                </c:pt>
                <c:pt idx="6">
                  <c:v>Q2/2021</c:v>
                </c:pt>
                <c:pt idx="7">
                  <c:v>Q3/2021</c:v>
                </c:pt>
                <c:pt idx="8">
                  <c:v>Q4/2021</c:v>
                </c:pt>
                <c:pt idx="9">
                  <c:v>Q1/2022</c:v>
                </c:pt>
                <c:pt idx="10">
                  <c:v>Q2/2022</c:v>
                </c:pt>
                <c:pt idx="11">
                  <c:v>Q3/2022</c:v>
                </c:pt>
                <c:pt idx="12">
                  <c:v>Q4/2022</c:v>
                </c:pt>
                <c:pt idx="13">
                  <c:v>Q1/2023</c:v>
                </c:pt>
                <c:pt idx="14">
                  <c:v>Q2/2023</c:v>
                </c:pt>
              </c:strCache>
            </c:strRef>
          </c:cat>
          <c:val>
            <c:numRef>
              <c:f>'B. Sales &amp; COGS'!$BP$12:$CD$12</c:f>
              <c:numCache>
                <c:formatCode>General</c:formatCode>
                <c:ptCount val="15"/>
                <c:pt idx="0">
                  <c:v>255</c:v>
                </c:pt>
                <c:pt idx="1">
                  <c:v>265</c:v>
                </c:pt>
                <c:pt idx="2">
                  <c:v>261</c:v>
                </c:pt>
                <c:pt idx="3">
                  <c:v>257</c:v>
                </c:pt>
                <c:pt idx="4">
                  <c:v>265</c:v>
                </c:pt>
                <c:pt idx="5">
                  <c:v>283</c:v>
                </c:pt>
                <c:pt idx="6">
                  <c:v>303</c:v>
                </c:pt>
                <c:pt idx="7">
                  <c:v>364</c:v>
                </c:pt>
                <c:pt idx="8">
                  <c:v>376</c:v>
                </c:pt>
                <c:pt idx="9">
                  <c:v>366</c:v>
                </c:pt>
                <c:pt idx="10">
                  <c:v>380</c:v>
                </c:pt>
                <c:pt idx="11">
                  <c:v>353</c:v>
                </c:pt>
                <c:pt idx="12">
                  <c:v>397</c:v>
                </c:pt>
                <c:pt idx="13">
                  <c:v>446</c:v>
                </c:pt>
                <c:pt idx="14">
                  <c:v>523</c:v>
                </c:pt>
              </c:numCache>
            </c:numRef>
          </c:val>
          <c:extLst>
            <c:ext xmlns:c16="http://schemas.microsoft.com/office/drawing/2014/chart" uri="{C3380CC4-5D6E-409C-BE32-E72D297353CC}">
              <c16:uniqueId val="{00000004-C2D1-48A7-96A9-E55792E2A2EE}"/>
            </c:ext>
          </c:extLst>
        </c:ser>
        <c:dLbls>
          <c:showLegendKey val="0"/>
          <c:showVal val="0"/>
          <c:showCatName val="0"/>
          <c:showSerName val="0"/>
          <c:showPercent val="0"/>
          <c:showBubbleSize val="0"/>
        </c:dLbls>
        <c:gapWidth val="219"/>
        <c:overlap val="100"/>
        <c:axId val="1500669168"/>
        <c:axId val="366790848"/>
      </c:barChart>
      <c:lineChart>
        <c:grouping val="standard"/>
        <c:varyColors val="0"/>
        <c:ser>
          <c:idx val="5"/>
          <c:order val="5"/>
          <c:tx>
            <c:strRef>
              <c:f>'B. Sales &amp; COGS'!$A$18</c:f>
              <c:strCache>
                <c:ptCount val="1"/>
                <c:pt idx="0">
                  <c:v>Change %</c:v>
                </c:pt>
              </c:strCache>
            </c:strRef>
          </c:tx>
          <c:spPr>
            <a:ln w="28575" cap="rnd">
              <a:solidFill>
                <a:schemeClr val="accent6"/>
              </a:solidFill>
              <a:round/>
            </a:ln>
            <a:effectLst/>
          </c:spPr>
          <c:marker>
            <c:symbol val="none"/>
          </c:marker>
          <c:cat>
            <c:strRef>
              <c:f>'B. Sales &amp; COGS'!$BP$1:$CD$1</c:f>
              <c:strCache>
                <c:ptCount val="15"/>
                <c:pt idx="0">
                  <c:v>Q4/2019</c:v>
                </c:pt>
                <c:pt idx="1">
                  <c:v>Q1/2020</c:v>
                </c:pt>
                <c:pt idx="2">
                  <c:v>Q2/2020</c:v>
                </c:pt>
                <c:pt idx="3">
                  <c:v>Q3/2020</c:v>
                </c:pt>
                <c:pt idx="4">
                  <c:v>Q4/2020</c:v>
                </c:pt>
                <c:pt idx="5">
                  <c:v>Q1/2021</c:v>
                </c:pt>
                <c:pt idx="6">
                  <c:v>Q2/2021</c:v>
                </c:pt>
                <c:pt idx="7">
                  <c:v>Q3/2021</c:v>
                </c:pt>
                <c:pt idx="8">
                  <c:v>Q4/2021</c:v>
                </c:pt>
                <c:pt idx="9">
                  <c:v>Q1/2022</c:v>
                </c:pt>
                <c:pt idx="10">
                  <c:v>Q2/2022</c:v>
                </c:pt>
                <c:pt idx="11">
                  <c:v>Q3/2022</c:v>
                </c:pt>
                <c:pt idx="12">
                  <c:v>Q4/2022</c:v>
                </c:pt>
                <c:pt idx="13">
                  <c:v>Q1/2023</c:v>
                </c:pt>
                <c:pt idx="14">
                  <c:v>Q2/2023</c:v>
                </c:pt>
              </c:strCache>
            </c:strRef>
          </c:cat>
          <c:val>
            <c:numRef>
              <c:f>'B. Sales &amp; COGS'!$BP$18:$CD$18</c:f>
              <c:numCache>
                <c:formatCode>0%</c:formatCode>
                <c:ptCount val="15"/>
                <c:pt idx="0">
                  <c:v>0.42866756393001348</c:v>
                </c:pt>
                <c:pt idx="1">
                  <c:v>0.55900826446280982</c:v>
                </c:pt>
                <c:pt idx="2">
                  <c:v>0.49857763138194344</c:v>
                </c:pt>
                <c:pt idx="3">
                  <c:v>0.45895127118644075</c:v>
                </c:pt>
                <c:pt idx="4">
                  <c:v>0.47609514837494116</c:v>
                </c:pt>
                <c:pt idx="5">
                  <c:v>0.61482188295165385</c:v>
                </c:pt>
                <c:pt idx="6">
                  <c:v>0.68508342491757412</c:v>
                </c:pt>
                <c:pt idx="7">
                  <c:v>0.54901070974768551</c:v>
                </c:pt>
                <c:pt idx="8">
                  <c:v>0.67307538891104901</c:v>
                </c:pt>
                <c:pt idx="9">
                  <c:v>0.50837108528658659</c:v>
                </c:pt>
                <c:pt idx="10">
                  <c:v>0.40317799122494957</c:v>
                </c:pt>
                <c:pt idx="11">
                  <c:v>0.51790004101482401</c:v>
                </c:pt>
                <c:pt idx="12">
                  <c:v>5.1831012778943419E-2</c:v>
                </c:pt>
                <c:pt idx="13">
                  <c:v>-0.17254287455384343</c:v>
                </c:pt>
                <c:pt idx="14">
                  <c:v>-0.21000591565959603</c:v>
                </c:pt>
              </c:numCache>
            </c:numRef>
          </c:val>
          <c:smooth val="0"/>
          <c:extLst>
            <c:ext xmlns:c16="http://schemas.microsoft.com/office/drawing/2014/chart" uri="{C3380CC4-5D6E-409C-BE32-E72D297353CC}">
              <c16:uniqueId val="{00000005-C2D1-48A7-96A9-E55792E2A2EE}"/>
            </c:ext>
          </c:extLst>
        </c:ser>
        <c:dLbls>
          <c:showLegendKey val="0"/>
          <c:showVal val="0"/>
          <c:showCatName val="0"/>
          <c:showSerName val="0"/>
          <c:showPercent val="0"/>
          <c:showBubbleSize val="0"/>
        </c:dLbls>
        <c:marker val="1"/>
        <c:smooth val="0"/>
        <c:axId val="1500693760"/>
        <c:axId val="191707712"/>
      </c:lineChart>
      <c:catAx>
        <c:axId val="150066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790848"/>
        <c:crosses val="autoZero"/>
        <c:auto val="1"/>
        <c:lblAlgn val="ctr"/>
        <c:lblOffset val="100"/>
        <c:noMultiLvlLbl val="0"/>
      </c:catAx>
      <c:valAx>
        <c:axId val="366790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669168"/>
        <c:crosses val="autoZero"/>
        <c:crossBetween val="between"/>
      </c:valAx>
      <c:valAx>
        <c:axId val="1917077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693760"/>
        <c:crosses val="max"/>
        <c:crossBetween val="between"/>
      </c:valAx>
      <c:catAx>
        <c:axId val="1500693760"/>
        <c:scaling>
          <c:orientation val="minMax"/>
        </c:scaling>
        <c:delete val="1"/>
        <c:axPos val="b"/>
        <c:numFmt formatCode="General" sourceLinked="1"/>
        <c:majorTickMark val="out"/>
        <c:minorTickMark val="none"/>
        <c:tickLblPos val="nextTo"/>
        <c:crossAx val="1917077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 NPAT yearly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 FS'!$A$72</c:f>
              <c:strCache>
                <c:ptCount val="1"/>
                <c:pt idx="0">
                  <c:v>NPAT</c:v>
                </c:pt>
              </c:strCache>
            </c:strRef>
          </c:tx>
          <c:spPr>
            <a:solidFill>
              <a:schemeClr val="accent1"/>
            </a:solidFill>
            <a:ln>
              <a:noFill/>
            </a:ln>
            <a:effectLst/>
          </c:spPr>
          <c:invertIfNegative val="0"/>
          <c:cat>
            <c:strRef>
              <c:f>'A. FS'!$I$1:$M$1</c:f>
              <c:strCache>
                <c:ptCount val="5"/>
                <c:pt idx="0">
                  <c:v>2018A</c:v>
                </c:pt>
                <c:pt idx="1">
                  <c:v>2019A</c:v>
                </c:pt>
                <c:pt idx="2">
                  <c:v>2020A</c:v>
                </c:pt>
                <c:pt idx="3">
                  <c:v>2021A</c:v>
                </c:pt>
                <c:pt idx="4">
                  <c:v>2022A</c:v>
                </c:pt>
              </c:strCache>
            </c:strRef>
          </c:cat>
          <c:val>
            <c:numRef>
              <c:f>'A. FS'!$I$72:$M$72</c:f>
              <c:numCache>
                <c:formatCode>_(* #,##0_);_(* \(#,##0\);_(* "-"??_);_(@_)</c:formatCode>
                <c:ptCount val="5"/>
                <c:pt idx="0">
                  <c:v>109.55593822500001</c:v>
                </c:pt>
                <c:pt idx="1">
                  <c:v>163.16246115099995</c:v>
                </c:pt>
                <c:pt idx="2">
                  <c:v>267.29643344800002</c:v>
                </c:pt>
                <c:pt idx="3">
                  <c:v>654.88155501900019</c:v>
                </c:pt>
                <c:pt idx="4">
                  <c:v>683.70984418900025</c:v>
                </c:pt>
              </c:numCache>
            </c:numRef>
          </c:val>
          <c:extLst>
            <c:ext xmlns:c16="http://schemas.microsoft.com/office/drawing/2014/chart" uri="{C3380CC4-5D6E-409C-BE32-E72D297353CC}">
              <c16:uniqueId val="{00000000-D0A3-4D05-A13D-2B14A217F8B2}"/>
            </c:ext>
          </c:extLst>
        </c:ser>
        <c:dLbls>
          <c:showLegendKey val="0"/>
          <c:showVal val="0"/>
          <c:showCatName val="0"/>
          <c:showSerName val="0"/>
          <c:showPercent val="0"/>
          <c:showBubbleSize val="0"/>
        </c:dLbls>
        <c:gapWidth val="219"/>
        <c:overlap val="-27"/>
        <c:axId val="1663752863"/>
        <c:axId val="422155616"/>
      </c:barChart>
      <c:lineChart>
        <c:grouping val="standard"/>
        <c:varyColors val="0"/>
        <c:ser>
          <c:idx val="1"/>
          <c:order val="1"/>
          <c:tx>
            <c:strRef>
              <c:f>'A. FS'!$A$74</c:f>
              <c:strCache>
                <c:ptCount val="1"/>
                <c:pt idx="0">
                  <c:v>  % yoy</c:v>
                </c:pt>
              </c:strCache>
            </c:strRef>
          </c:tx>
          <c:spPr>
            <a:ln w="28575" cap="rnd">
              <a:solidFill>
                <a:schemeClr val="accent2"/>
              </a:solidFill>
              <a:round/>
            </a:ln>
            <a:effectLst/>
          </c:spPr>
          <c:marker>
            <c:symbol val="none"/>
          </c:marker>
          <c:cat>
            <c:strRef>
              <c:f>'A. FS'!$I$1:$M$1</c:f>
              <c:strCache>
                <c:ptCount val="5"/>
                <c:pt idx="0">
                  <c:v>2018A</c:v>
                </c:pt>
                <c:pt idx="1">
                  <c:v>2019A</c:v>
                </c:pt>
                <c:pt idx="2">
                  <c:v>2020A</c:v>
                </c:pt>
                <c:pt idx="3">
                  <c:v>2021A</c:v>
                </c:pt>
                <c:pt idx="4">
                  <c:v>2022A</c:v>
                </c:pt>
              </c:strCache>
            </c:strRef>
          </c:cat>
          <c:val>
            <c:numRef>
              <c:f>'A. FS'!$I$74:$M$74</c:f>
              <c:numCache>
                <c:formatCode>0%</c:formatCode>
                <c:ptCount val="5"/>
                <c:pt idx="0">
                  <c:v>0.39613007298365277</c:v>
                </c:pt>
                <c:pt idx="1">
                  <c:v>0.48930732367884788</c:v>
                </c:pt>
                <c:pt idx="2">
                  <c:v>0.63822261298589078</c:v>
                </c:pt>
                <c:pt idx="3">
                  <c:v>1.4500198022522479</c:v>
                </c:pt>
                <c:pt idx="4" formatCode="0.0%">
                  <c:v>4.4020615558738152E-2</c:v>
                </c:pt>
              </c:numCache>
            </c:numRef>
          </c:val>
          <c:smooth val="0"/>
          <c:extLst>
            <c:ext xmlns:c16="http://schemas.microsoft.com/office/drawing/2014/chart" uri="{C3380CC4-5D6E-409C-BE32-E72D297353CC}">
              <c16:uniqueId val="{00000001-D0A3-4D05-A13D-2B14A217F8B2}"/>
            </c:ext>
          </c:extLst>
        </c:ser>
        <c:dLbls>
          <c:showLegendKey val="0"/>
          <c:showVal val="0"/>
          <c:showCatName val="0"/>
          <c:showSerName val="0"/>
          <c:showPercent val="0"/>
          <c:showBubbleSize val="0"/>
        </c:dLbls>
        <c:marker val="1"/>
        <c:smooth val="0"/>
        <c:axId val="98887648"/>
        <c:axId val="1666257279"/>
      </c:lineChart>
      <c:catAx>
        <c:axId val="166375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55616"/>
        <c:crosses val="autoZero"/>
        <c:auto val="1"/>
        <c:lblAlgn val="ctr"/>
        <c:lblOffset val="100"/>
        <c:noMultiLvlLbl val="0"/>
      </c:catAx>
      <c:valAx>
        <c:axId val="4221556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752863"/>
        <c:crosses val="autoZero"/>
        <c:crossBetween val="between"/>
      </c:valAx>
      <c:valAx>
        <c:axId val="166625727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87648"/>
        <c:crosses val="max"/>
        <c:crossBetween val="between"/>
      </c:valAx>
      <c:catAx>
        <c:axId val="98887648"/>
        <c:scaling>
          <c:orientation val="minMax"/>
        </c:scaling>
        <c:delete val="1"/>
        <c:axPos val="b"/>
        <c:numFmt formatCode="General" sourceLinked="1"/>
        <c:majorTickMark val="out"/>
        <c:minorTickMark val="none"/>
        <c:tickLblPos val="nextTo"/>
        <c:crossAx val="16662572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2a. NPAT quarterly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84315922479416E-2"/>
          <c:y val="0.16603507979295978"/>
          <c:w val="0.86376799169285023"/>
          <c:h val="0.50512389101123556"/>
        </c:manualLayout>
      </c:layout>
      <c:barChart>
        <c:barDir val="col"/>
        <c:grouping val="clustered"/>
        <c:varyColors val="0"/>
        <c:ser>
          <c:idx val="0"/>
          <c:order val="0"/>
          <c:tx>
            <c:strRef>
              <c:f>'A. FS'!$A$72</c:f>
              <c:strCache>
                <c:ptCount val="1"/>
                <c:pt idx="0">
                  <c:v>NPAT</c:v>
                </c:pt>
              </c:strCache>
            </c:strRef>
          </c:tx>
          <c:spPr>
            <a:solidFill>
              <a:schemeClr val="accent1"/>
            </a:solidFill>
            <a:ln>
              <a:noFill/>
            </a:ln>
            <a:effectLst/>
          </c:spPr>
          <c:invertIfNegative val="0"/>
          <c:cat>
            <c:strRef>
              <c:f>'A. FS'!$AE$1:$AV$1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'A. FS'!$AE$72:$AV$72</c:f>
              <c:numCache>
                <c:formatCode>_(* #,##0_);_(* \(#,##0\);_(* "-"??_);_(@_)</c:formatCode>
                <c:ptCount val="18"/>
                <c:pt idx="0">
                  <c:v>24.488237235000007</c:v>
                </c:pt>
                <c:pt idx="1">
                  <c:v>32.681052165000004</c:v>
                </c:pt>
                <c:pt idx="2">
                  <c:v>50.638304533999985</c:v>
                </c:pt>
                <c:pt idx="3">
                  <c:v>50.873433209999988</c:v>
                </c:pt>
                <c:pt idx="4">
                  <c:v>44.783891941999997</c:v>
                </c:pt>
                <c:pt idx="5">
                  <c:v>48.336672941999993</c:v>
                </c:pt>
                <c:pt idx="6">
                  <c:v>75.187497619999988</c:v>
                </c:pt>
                <c:pt idx="7">
                  <c:v>63.50116774</c:v>
                </c:pt>
                <c:pt idx="8">
                  <c:v>106.89291670199998</c:v>
                </c:pt>
                <c:pt idx="9">
                  <c:v>116.57216688000003</c:v>
                </c:pt>
                <c:pt idx="10">
                  <c:v>107.25596150300004</c:v>
                </c:pt>
                <c:pt idx="11">
                  <c:v>327.1945493259999</c:v>
                </c:pt>
                <c:pt idx="12">
                  <c:v>210.83717257200001</c:v>
                </c:pt>
                <c:pt idx="13">
                  <c:v>136.921022792</c:v>
                </c:pt>
                <c:pt idx="14">
                  <c:v>180.29346828299998</c:v>
                </c:pt>
                <c:pt idx="15">
                  <c:v>155.550683144</c:v>
                </c:pt>
                <c:pt idx="16">
                  <c:v>81.90848403599999</c:v>
                </c:pt>
                <c:pt idx="17">
                  <c:v>87.136091905000001</c:v>
                </c:pt>
              </c:numCache>
            </c:numRef>
          </c:val>
          <c:extLst>
            <c:ext xmlns:c16="http://schemas.microsoft.com/office/drawing/2014/chart" uri="{C3380CC4-5D6E-409C-BE32-E72D297353CC}">
              <c16:uniqueId val="{00000000-F7FE-43EC-A65E-FE202F2C37ED}"/>
            </c:ext>
          </c:extLst>
        </c:ser>
        <c:dLbls>
          <c:showLegendKey val="0"/>
          <c:showVal val="0"/>
          <c:showCatName val="0"/>
          <c:showSerName val="0"/>
          <c:showPercent val="0"/>
          <c:showBubbleSize val="0"/>
        </c:dLbls>
        <c:gapWidth val="219"/>
        <c:overlap val="-27"/>
        <c:axId val="1500761968"/>
        <c:axId val="1663748687"/>
      </c:barChart>
      <c:lineChart>
        <c:grouping val="standard"/>
        <c:varyColors val="0"/>
        <c:ser>
          <c:idx val="1"/>
          <c:order val="1"/>
          <c:tx>
            <c:strRef>
              <c:f>'A. FS'!$A$74</c:f>
              <c:strCache>
                <c:ptCount val="1"/>
                <c:pt idx="0">
                  <c:v>  % yoy</c:v>
                </c:pt>
              </c:strCache>
            </c:strRef>
          </c:tx>
          <c:spPr>
            <a:ln w="28575" cap="rnd">
              <a:solidFill>
                <a:schemeClr val="accent2"/>
              </a:solidFill>
              <a:round/>
            </a:ln>
            <a:effectLst/>
          </c:spPr>
          <c:marker>
            <c:symbol val="none"/>
          </c:marker>
          <c:cat>
            <c:strRef>
              <c:f>'A. FS'!$AE$1:$AV$1</c:f>
              <c:strCache>
                <c:ptCount val="18"/>
                <c:pt idx="0">
                  <c:v>Q1/2019</c:v>
                </c:pt>
                <c:pt idx="1">
                  <c:v>Q2/2019</c:v>
                </c:pt>
                <c:pt idx="2">
                  <c:v>Q3/2019</c:v>
                </c:pt>
                <c:pt idx="3">
                  <c:v>Q4/2019</c:v>
                </c:pt>
                <c:pt idx="4">
                  <c:v>Q1/2020</c:v>
                </c:pt>
                <c:pt idx="5">
                  <c:v>Q2/2020</c:v>
                </c:pt>
                <c:pt idx="6">
                  <c:v>Q3/2020</c:v>
                </c:pt>
                <c:pt idx="7">
                  <c:v>Q4/2020</c:v>
                </c:pt>
                <c:pt idx="8">
                  <c:v>Q1/2021</c:v>
                </c:pt>
                <c:pt idx="9">
                  <c:v>Q2/2021</c:v>
                </c:pt>
                <c:pt idx="10">
                  <c:v>Q3/2021</c:v>
                </c:pt>
                <c:pt idx="11">
                  <c:v>Q4/2021</c:v>
                </c:pt>
                <c:pt idx="12">
                  <c:v>Q1/2022</c:v>
                </c:pt>
                <c:pt idx="13">
                  <c:v>Q2/2022</c:v>
                </c:pt>
                <c:pt idx="14">
                  <c:v>Q3/2022</c:v>
                </c:pt>
                <c:pt idx="15">
                  <c:v>Q4/2022</c:v>
                </c:pt>
                <c:pt idx="16">
                  <c:v>Q1/2023</c:v>
                </c:pt>
                <c:pt idx="17">
                  <c:v>Q2/2023</c:v>
                </c:pt>
              </c:strCache>
            </c:strRef>
          </c:cat>
          <c:val>
            <c:numRef>
              <c:f>'A. FS'!$AE$74:$AV$74</c:f>
              <c:numCache>
                <c:formatCode>0%</c:formatCode>
                <c:ptCount val="18"/>
                <c:pt idx="0">
                  <c:v>-0.22807121163346711</c:v>
                </c:pt>
                <c:pt idx="1">
                  <c:v>0.33456123653891878</c:v>
                </c:pt>
                <c:pt idx="2">
                  <c:v>0.54946983586505893</c:v>
                </c:pt>
                <c:pt idx="3">
                  <c:v>4.6432967723499807E-3</c:v>
                </c:pt>
                <c:pt idx="4">
                  <c:v>-0.11969982923823974</c:v>
                </c:pt>
                <c:pt idx="5">
                  <c:v>7.9331671409917481E-2</c:v>
                </c:pt>
                <c:pt idx="6">
                  <c:v>0.55549592149668148</c:v>
                </c:pt>
                <c:pt idx="7">
                  <c:v>-0.15542916375622806</c:v>
                </c:pt>
                <c:pt idx="8">
                  <c:v>0.6833220632991146</c:v>
                </c:pt>
                <c:pt idx="9">
                  <c:v>9.0550903433425978E-2</c:v>
                </c:pt>
                <c:pt idx="10">
                  <c:v>-7.9917922316655066E-2</c:v>
                </c:pt>
                <c:pt idx="11">
                  <c:v>2.0505954609977368</c:v>
                </c:pt>
                <c:pt idx="12">
                  <c:v>-0.35562137875978905</c:v>
                </c:pt>
                <c:pt idx="13">
                  <c:v>-0.35058404966400292</c:v>
                </c:pt>
                <c:pt idx="14">
                  <c:v>0.31676980354498308</c:v>
                </c:pt>
                <c:pt idx="15">
                  <c:v>-0.13723617042056202</c:v>
                </c:pt>
                <c:pt idx="16">
                  <c:v>-0.47342896617063546</c:v>
                </c:pt>
                <c:pt idx="17">
                  <c:v>6.3822544520570013E-2</c:v>
                </c:pt>
              </c:numCache>
            </c:numRef>
          </c:val>
          <c:smooth val="0"/>
          <c:extLst>
            <c:ext xmlns:c16="http://schemas.microsoft.com/office/drawing/2014/chart" uri="{C3380CC4-5D6E-409C-BE32-E72D297353CC}">
              <c16:uniqueId val="{00000001-F7FE-43EC-A65E-FE202F2C37ED}"/>
            </c:ext>
          </c:extLst>
        </c:ser>
        <c:dLbls>
          <c:showLegendKey val="0"/>
          <c:showVal val="0"/>
          <c:showCatName val="0"/>
          <c:showSerName val="0"/>
          <c:showPercent val="0"/>
          <c:showBubbleSize val="0"/>
        </c:dLbls>
        <c:marker val="1"/>
        <c:smooth val="0"/>
        <c:axId val="1500758256"/>
        <c:axId val="1663749647"/>
      </c:lineChart>
      <c:catAx>
        <c:axId val="150076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748687"/>
        <c:crosses val="autoZero"/>
        <c:auto val="1"/>
        <c:lblAlgn val="ctr"/>
        <c:lblOffset val="100"/>
        <c:noMultiLvlLbl val="0"/>
      </c:catAx>
      <c:valAx>
        <c:axId val="16637486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61968"/>
        <c:crosses val="autoZero"/>
        <c:crossBetween val="between"/>
      </c:valAx>
      <c:valAx>
        <c:axId val="16637496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58256"/>
        <c:crosses val="max"/>
        <c:crossBetween val="between"/>
      </c:valAx>
      <c:catAx>
        <c:axId val="1500758256"/>
        <c:scaling>
          <c:orientation val="minMax"/>
        </c:scaling>
        <c:delete val="1"/>
        <c:axPos val="b"/>
        <c:numFmt formatCode="General" sourceLinked="1"/>
        <c:majorTickMark val="out"/>
        <c:minorTickMark val="none"/>
        <c:tickLblPos val="nextTo"/>
        <c:crossAx val="16637496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2b. NPAT TTM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 FS'!$A$72</c:f>
              <c:strCache>
                <c:ptCount val="1"/>
                <c:pt idx="0">
                  <c:v>NPAT</c:v>
                </c:pt>
              </c:strCache>
            </c:strRef>
          </c:tx>
          <c:spPr>
            <a:solidFill>
              <a:schemeClr val="accent1"/>
            </a:solidFill>
            <a:ln>
              <a:noFill/>
            </a:ln>
            <a:effectLst/>
          </c:spPr>
          <c:invertIfNegative val="0"/>
          <c:cat>
            <c:strRef>
              <c:f>'A. FS'!$BI$1:$CA$1</c:f>
              <c:strCache>
                <c:ptCount val="2"/>
                <c:pt idx="0">
                  <c:v>Q1/2023</c:v>
                </c:pt>
                <c:pt idx="1">
                  <c:v>Q2/2023</c:v>
                </c:pt>
              </c:strCache>
            </c:strRef>
          </c:cat>
          <c:val>
            <c:numRef>
              <c:f>'A. FS'!$BI$72:$CA$72</c:f>
              <c:numCache>
                <c:formatCode>_(* #,##0_);_(* \(#,##0\);_(* "-"??_);_(@_)</c:formatCode>
                <c:ptCount val="2"/>
                <c:pt idx="0">
                  <c:v>554.67365825499996</c:v>
                </c:pt>
                <c:pt idx="1">
                  <c:v>504.88872736799999</c:v>
                </c:pt>
              </c:numCache>
            </c:numRef>
          </c:val>
          <c:extLst>
            <c:ext xmlns:c16="http://schemas.microsoft.com/office/drawing/2014/chart" uri="{C3380CC4-5D6E-409C-BE32-E72D297353CC}">
              <c16:uniqueId val="{00000000-F4D5-45BF-97EA-14B6BEF2A06D}"/>
            </c:ext>
          </c:extLst>
        </c:ser>
        <c:dLbls>
          <c:showLegendKey val="0"/>
          <c:showVal val="0"/>
          <c:showCatName val="0"/>
          <c:showSerName val="0"/>
          <c:showPercent val="0"/>
          <c:showBubbleSize val="0"/>
        </c:dLbls>
        <c:gapWidth val="219"/>
        <c:overlap val="-27"/>
        <c:axId val="419142560"/>
        <c:axId val="182597168"/>
      </c:barChart>
      <c:lineChart>
        <c:grouping val="standard"/>
        <c:varyColors val="0"/>
        <c:ser>
          <c:idx val="1"/>
          <c:order val="1"/>
          <c:tx>
            <c:strRef>
              <c:f>'A. FS'!$A$74</c:f>
              <c:strCache>
                <c:ptCount val="1"/>
                <c:pt idx="0">
                  <c:v>  % yoy</c:v>
                </c:pt>
              </c:strCache>
            </c:strRef>
          </c:tx>
          <c:spPr>
            <a:ln w="28575" cap="rnd">
              <a:solidFill>
                <a:schemeClr val="accent2"/>
              </a:solidFill>
              <a:round/>
            </a:ln>
            <a:effectLst/>
          </c:spPr>
          <c:marker>
            <c:symbol val="none"/>
          </c:marker>
          <c:cat>
            <c:strRef>
              <c:f>'A. FS'!$BI$1:$CA$1</c:f>
              <c:strCache>
                <c:ptCount val="2"/>
                <c:pt idx="0">
                  <c:v>Q1/2023</c:v>
                </c:pt>
                <c:pt idx="1">
                  <c:v>Q2/2023</c:v>
                </c:pt>
              </c:strCache>
            </c:strRef>
          </c:cat>
          <c:val>
            <c:numRef>
              <c:f>'A. FS'!$BI$74:$CA$74</c:f>
              <c:numCache>
                <c:formatCode>0%</c:formatCode>
                <c:ptCount val="2"/>
                <c:pt idx="0">
                  <c:v>-0.27194790741313202</c:v>
                </c:pt>
                <c:pt idx="1">
                  <c:v>-0.35453450802754793</c:v>
                </c:pt>
              </c:numCache>
            </c:numRef>
          </c:val>
          <c:smooth val="0"/>
          <c:extLst>
            <c:ext xmlns:c16="http://schemas.microsoft.com/office/drawing/2014/chart" uri="{C3380CC4-5D6E-409C-BE32-E72D297353CC}">
              <c16:uniqueId val="{00000001-F4D5-45BF-97EA-14B6BEF2A06D}"/>
            </c:ext>
          </c:extLst>
        </c:ser>
        <c:dLbls>
          <c:showLegendKey val="0"/>
          <c:showVal val="0"/>
          <c:showCatName val="0"/>
          <c:showSerName val="0"/>
          <c:showPercent val="0"/>
          <c:showBubbleSize val="0"/>
        </c:dLbls>
        <c:marker val="1"/>
        <c:smooth val="0"/>
        <c:axId val="101517344"/>
        <c:axId val="415499184"/>
      </c:lineChart>
      <c:catAx>
        <c:axId val="41914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7168"/>
        <c:crosses val="autoZero"/>
        <c:auto val="1"/>
        <c:lblAlgn val="ctr"/>
        <c:lblOffset val="100"/>
        <c:noMultiLvlLbl val="0"/>
      </c:catAx>
      <c:valAx>
        <c:axId val="18259716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142560"/>
        <c:crosses val="autoZero"/>
        <c:crossBetween val="between"/>
      </c:valAx>
      <c:valAx>
        <c:axId val="4154991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17344"/>
        <c:crosses val="max"/>
        <c:crossBetween val="between"/>
      </c:valAx>
      <c:catAx>
        <c:axId val="101517344"/>
        <c:scaling>
          <c:orientation val="minMax"/>
        </c:scaling>
        <c:delete val="1"/>
        <c:axPos val="b"/>
        <c:numFmt formatCode="General" sourceLinked="1"/>
        <c:majorTickMark val="out"/>
        <c:minorTickMark val="none"/>
        <c:tickLblPos val="nextTo"/>
        <c:crossAx val="415499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a:t>
            </a:r>
            <a:r>
              <a:rPr lang="en-US" baseline="0"/>
              <a:t> Margins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 FS'!$A$14</c:f>
              <c:strCache>
                <c:ptCount val="1"/>
                <c:pt idx="0">
                  <c:v>% Gross margin</c:v>
                </c:pt>
              </c:strCache>
            </c:strRef>
          </c:tx>
          <c:spPr>
            <a:ln w="28575" cap="rnd">
              <a:solidFill>
                <a:schemeClr val="accent1"/>
              </a:solidFill>
              <a:round/>
            </a:ln>
            <a:effectLst/>
          </c:spPr>
          <c:marker>
            <c:symbol val="none"/>
          </c:marker>
          <c:cat>
            <c:strRef>
              <c:f>'A. FS'!$I$1:$M$1</c:f>
              <c:strCache>
                <c:ptCount val="5"/>
                <c:pt idx="0">
                  <c:v>2018A</c:v>
                </c:pt>
                <c:pt idx="1">
                  <c:v>2019A</c:v>
                </c:pt>
                <c:pt idx="2">
                  <c:v>2020A</c:v>
                </c:pt>
                <c:pt idx="3">
                  <c:v>2021A</c:v>
                </c:pt>
                <c:pt idx="4">
                  <c:v>2022A</c:v>
                </c:pt>
              </c:strCache>
            </c:strRef>
          </c:cat>
          <c:val>
            <c:numRef>
              <c:f>'A. FS'!$I$14:$M$14</c:f>
              <c:numCache>
                <c:formatCode>0.00%</c:formatCode>
                <c:ptCount val="5"/>
                <c:pt idx="0">
                  <c:v>6.2132937816634926E-2</c:v>
                </c:pt>
                <c:pt idx="1">
                  <c:v>6.457610752849155E-2</c:v>
                </c:pt>
                <c:pt idx="2">
                  <c:v>6.4040005552328791E-2</c:v>
                </c:pt>
                <c:pt idx="3">
                  <c:v>7.2074158227010313E-2</c:v>
                </c:pt>
                <c:pt idx="4">
                  <c:v>7.5498738263184512E-2</c:v>
                </c:pt>
              </c:numCache>
            </c:numRef>
          </c:val>
          <c:smooth val="0"/>
          <c:extLst>
            <c:ext xmlns:c16="http://schemas.microsoft.com/office/drawing/2014/chart" uri="{C3380CC4-5D6E-409C-BE32-E72D297353CC}">
              <c16:uniqueId val="{00000000-EDA6-4545-AAC0-2E8E8A5122F6}"/>
            </c:ext>
          </c:extLst>
        </c:ser>
        <c:ser>
          <c:idx val="1"/>
          <c:order val="1"/>
          <c:tx>
            <c:strRef>
              <c:f>'A. FS'!$A$33</c:f>
              <c:strCache>
                <c:ptCount val="1"/>
                <c:pt idx="0">
                  <c:v>% EBIT margin</c:v>
                </c:pt>
              </c:strCache>
            </c:strRef>
          </c:tx>
          <c:spPr>
            <a:ln w="28575" cap="rnd">
              <a:solidFill>
                <a:schemeClr val="accent2"/>
              </a:solidFill>
              <a:round/>
            </a:ln>
            <a:effectLst/>
          </c:spPr>
          <c:marker>
            <c:symbol val="none"/>
          </c:marker>
          <c:cat>
            <c:strRef>
              <c:f>'A. FS'!$I$1:$M$1</c:f>
              <c:strCache>
                <c:ptCount val="5"/>
                <c:pt idx="0">
                  <c:v>2018A</c:v>
                </c:pt>
                <c:pt idx="1">
                  <c:v>2019A</c:v>
                </c:pt>
                <c:pt idx="2">
                  <c:v>2020A</c:v>
                </c:pt>
                <c:pt idx="3">
                  <c:v>2021A</c:v>
                </c:pt>
                <c:pt idx="4">
                  <c:v>2022A</c:v>
                </c:pt>
              </c:strCache>
            </c:strRef>
          </c:cat>
          <c:val>
            <c:numRef>
              <c:f>'A. FS'!$I$33:$M$33</c:f>
              <c:numCache>
                <c:formatCode>0.0%</c:formatCode>
                <c:ptCount val="5"/>
                <c:pt idx="0">
                  <c:v>2.4113116218058218E-2</c:v>
                </c:pt>
                <c:pt idx="1">
                  <c:v>2.3479952818772017E-2</c:v>
                </c:pt>
                <c:pt idx="2">
                  <c:v>2.2189994474427821E-2</c:v>
                </c:pt>
                <c:pt idx="3">
                  <c:v>3.2786711043552241E-2</c:v>
                </c:pt>
                <c:pt idx="4">
                  <c:v>3.6543162925324849E-2</c:v>
                </c:pt>
              </c:numCache>
            </c:numRef>
          </c:val>
          <c:smooth val="0"/>
          <c:extLst>
            <c:ext xmlns:c16="http://schemas.microsoft.com/office/drawing/2014/chart" uri="{C3380CC4-5D6E-409C-BE32-E72D297353CC}">
              <c16:uniqueId val="{00000001-EDA6-4545-AAC0-2E8E8A5122F6}"/>
            </c:ext>
          </c:extLst>
        </c:ser>
        <c:ser>
          <c:idx val="2"/>
          <c:order val="2"/>
          <c:tx>
            <c:strRef>
              <c:f>'A. FS'!$A$73</c:f>
              <c:strCache>
                <c:ptCount val="1"/>
                <c:pt idx="0">
                  <c:v>% net margin</c:v>
                </c:pt>
              </c:strCache>
            </c:strRef>
          </c:tx>
          <c:spPr>
            <a:ln w="28575" cap="rnd">
              <a:solidFill>
                <a:schemeClr val="accent3"/>
              </a:solidFill>
              <a:round/>
            </a:ln>
            <a:effectLst/>
          </c:spPr>
          <c:marker>
            <c:symbol val="none"/>
          </c:marker>
          <c:cat>
            <c:strRef>
              <c:f>'A. FS'!$I$1:$M$1</c:f>
              <c:strCache>
                <c:ptCount val="5"/>
                <c:pt idx="0">
                  <c:v>2018A</c:v>
                </c:pt>
                <c:pt idx="1">
                  <c:v>2019A</c:v>
                </c:pt>
                <c:pt idx="2">
                  <c:v>2020A</c:v>
                </c:pt>
                <c:pt idx="3">
                  <c:v>2021A</c:v>
                </c:pt>
                <c:pt idx="4">
                  <c:v>2022A</c:v>
                </c:pt>
              </c:strCache>
            </c:strRef>
          </c:cat>
          <c:val>
            <c:numRef>
              <c:f>'A. FS'!$I$73:$M$73</c:f>
              <c:numCache>
                <c:formatCode>0.0%</c:formatCode>
                <c:ptCount val="5"/>
                <c:pt idx="0">
                  <c:v>1.8451928427952822E-2</c:v>
                </c:pt>
                <c:pt idx="1">
                  <c:v>1.922256624511302E-2</c:v>
                </c:pt>
                <c:pt idx="2">
                  <c:v>2.1322922448340286E-2</c:v>
                </c:pt>
                <c:pt idx="3">
                  <c:v>3.1299880199965158E-2</c:v>
                </c:pt>
                <c:pt idx="4">
                  <c:v>3.1038026885895055E-2</c:v>
                </c:pt>
              </c:numCache>
            </c:numRef>
          </c:val>
          <c:smooth val="0"/>
          <c:extLst>
            <c:ext xmlns:c16="http://schemas.microsoft.com/office/drawing/2014/chart" uri="{C3380CC4-5D6E-409C-BE32-E72D297353CC}">
              <c16:uniqueId val="{00000002-EDA6-4545-AAC0-2E8E8A5122F6}"/>
            </c:ext>
          </c:extLst>
        </c:ser>
        <c:dLbls>
          <c:showLegendKey val="0"/>
          <c:showVal val="0"/>
          <c:showCatName val="0"/>
          <c:showSerName val="0"/>
          <c:showPercent val="0"/>
          <c:showBubbleSize val="0"/>
        </c:dLbls>
        <c:smooth val="0"/>
        <c:axId val="2117843039"/>
        <c:axId val="2122838303"/>
      </c:lineChart>
      <c:catAx>
        <c:axId val="211784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838303"/>
        <c:crosses val="autoZero"/>
        <c:auto val="1"/>
        <c:lblAlgn val="ctr"/>
        <c:lblOffset val="100"/>
        <c:noMultiLvlLbl val="0"/>
      </c:catAx>
      <c:valAx>
        <c:axId val="21228383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43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3a. Margin</a:t>
            </a:r>
            <a:r>
              <a:rPr lang="en-US" baseline="0"/>
              <a:t> quarterly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'A. FS'!$AA$1:$AV$1</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'A. FS'!$AA$14:$AV$14</c:f>
              <c:numCache>
                <c:formatCode>0.0%</c:formatCode>
                <c:ptCount val="22"/>
                <c:pt idx="0">
                  <c:v>5.7150143147621464E-2</c:v>
                </c:pt>
                <c:pt idx="1">
                  <c:v>5.9536095229458394E-2</c:v>
                </c:pt>
                <c:pt idx="2">
                  <c:v>5.932219964221945E-2</c:v>
                </c:pt>
                <c:pt idx="3">
                  <c:v>7.167681301001054E-2</c:v>
                </c:pt>
                <c:pt idx="4">
                  <c:v>5.8843521914169278E-2</c:v>
                </c:pt>
                <c:pt idx="5">
                  <c:v>6.0491624351087021E-2</c:v>
                </c:pt>
                <c:pt idx="6">
                  <c:v>6.8517551134984839E-2</c:v>
                </c:pt>
                <c:pt idx="7">
                  <c:v>6.6486743003159071E-2</c:v>
                </c:pt>
                <c:pt idx="8">
                  <c:v>6.199983942693129E-2</c:v>
                </c:pt>
                <c:pt idx="9">
                  <c:v>6.4114981038524296E-2</c:v>
                </c:pt>
                <c:pt idx="10">
                  <c:v>6.3821158532663055E-2</c:v>
                </c:pt>
                <c:pt idx="11">
                  <c:v>6.3359698779680604E-2</c:v>
                </c:pt>
                <c:pt idx="12">
                  <c:v>6.3719092106794384E-2</c:v>
                </c:pt>
                <c:pt idx="13">
                  <c:v>7.2345874775247995E-2</c:v>
                </c:pt>
                <c:pt idx="14">
                  <c:v>7.1624114173836156E-2</c:v>
                </c:pt>
                <c:pt idx="15">
                  <c:v>7.7374280278800139E-2</c:v>
                </c:pt>
                <c:pt idx="16">
                  <c:v>6.6553374239149587E-2</c:v>
                </c:pt>
                <c:pt idx="17">
                  <c:v>6.5217404847745811E-2</c:v>
                </c:pt>
                <c:pt idx="18">
                  <c:v>6.6931799976514161E-2</c:v>
                </c:pt>
                <c:pt idx="19">
                  <c:v>0.11529046853713336</c:v>
                </c:pt>
                <c:pt idx="20">
                  <c:v>6.5843030918274356E-2</c:v>
                </c:pt>
                <c:pt idx="21">
                  <c:v>8.5507618694512386E-2</c:v>
                </c:pt>
              </c:numCache>
            </c:numRef>
          </c:val>
          <c:smooth val="0"/>
          <c:extLst>
            <c:ext xmlns:c16="http://schemas.microsoft.com/office/drawing/2014/chart" uri="{C3380CC4-5D6E-409C-BE32-E72D297353CC}">
              <c16:uniqueId val="{00000000-E76E-48C1-85ED-9274B74F3B9C}"/>
            </c:ext>
          </c:extLst>
        </c:ser>
        <c:ser>
          <c:idx val="1"/>
          <c:order val="1"/>
          <c:spPr>
            <a:ln w="28575" cap="rnd">
              <a:solidFill>
                <a:schemeClr val="accent2"/>
              </a:solidFill>
              <a:round/>
            </a:ln>
            <a:effectLst/>
          </c:spPr>
          <c:marker>
            <c:symbol val="none"/>
          </c:marker>
          <c:cat>
            <c:strRef>
              <c:f>'A. FS'!$AA$1:$AV$1</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'A. FS'!$AA$33:$AV$33</c:f>
              <c:numCache>
                <c:formatCode>0.0%</c:formatCode>
                <c:ptCount val="22"/>
                <c:pt idx="0">
                  <c:v>2.0991272386456306E-2</c:v>
                </c:pt>
                <c:pt idx="1">
                  <c:v>2.1880666717481546E-2</c:v>
                </c:pt>
                <c:pt idx="2">
                  <c:v>2.6418281247224486E-2</c:v>
                </c:pt>
                <c:pt idx="3">
                  <c:v>2.6585779957872421E-2</c:v>
                </c:pt>
                <c:pt idx="4">
                  <c:v>2.0427729654060676E-2</c:v>
                </c:pt>
                <c:pt idx="5">
                  <c:v>2.4699196309675292E-2</c:v>
                </c:pt>
                <c:pt idx="6">
                  <c:v>2.4892449193195932E-2</c:v>
                </c:pt>
                <c:pt idx="7">
                  <c:v>2.3366970432524961E-2</c:v>
                </c:pt>
                <c:pt idx="8">
                  <c:v>2.2065053947412532E-2</c:v>
                </c:pt>
                <c:pt idx="9">
                  <c:v>1.7353199039716639E-2</c:v>
                </c:pt>
                <c:pt idx="10">
                  <c:v>2.4516721855980406E-2</c:v>
                </c:pt>
                <c:pt idx="11">
                  <c:v>2.370117032362561E-2</c:v>
                </c:pt>
                <c:pt idx="12">
                  <c:v>2.3359710965843477E-2</c:v>
                </c:pt>
                <c:pt idx="13">
                  <c:v>2.7555069189622274E-2</c:v>
                </c:pt>
                <c:pt idx="14">
                  <c:v>2.5132608919934938E-2</c:v>
                </c:pt>
                <c:pt idx="15">
                  <c:v>4.5414291198307366E-2</c:v>
                </c:pt>
                <c:pt idx="16">
                  <c:v>2.993064405897702E-2</c:v>
                </c:pt>
                <c:pt idx="17">
                  <c:v>3.4685404236326184E-2</c:v>
                </c:pt>
                <c:pt idx="18">
                  <c:v>3.6011706194167548E-2</c:v>
                </c:pt>
                <c:pt idx="19">
                  <c:v>5.06402771954352E-2</c:v>
                </c:pt>
                <c:pt idx="20">
                  <c:v>2.4445694874390946E-2</c:v>
                </c:pt>
                <c:pt idx="21">
                  <c:v>2.4260950362247891E-2</c:v>
                </c:pt>
              </c:numCache>
            </c:numRef>
          </c:val>
          <c:smooth val="0"/>
          <c:extLst>
            <c:ext xmlns:c16="http://schemas.microsoft.com/office/drawing/2014/chart" uri="{C3380CC4-5D6E-409C-BE32-E72D297353CC}">
              <c16:uniqueId val="{00000001-E76E-48C1-85ED-9274B74F3B9C}"/>
            </c:ext>
          </c:extLst>
        </c:ser>
        <c:ser>
          <c:idx val="2"/>
          <c:order val="2"/>
          <c:spPr>
            <a:ln w="28575" cap="rnd">
              <a:solidFill>
                <a:schemeClr val="accent3"/>
              </a:solidFill>
              <a:round/>
            </a:ln>
            <a:effectLst/>
          </c:spPr>
          <c:marker>
            <c:symbol val="none"/>
          </c:marker>
          <c:cat>
            <c:strRef>
              <c:f>'A. FS'!$AA$1:$AV$1</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'A. FS'!$AA$73:$AV$73</c:f>
              <c:numCache>
                <c:formatCode>0.0%</c:formatCode>
                <c:ptCount val="22"/>
                <c:pt idx="0">
                  <c:v>1.5422134951818753E-2</c:v>
                </c:pt>
                <c:pt idx="1">
                  <c:v>1.6784396680779617E-2</c:v>
                </c:pt>
                <c:pt idx="2">
                  <c:v>2.0299598986957712E-2</c:v>
                </c:pt>
                <c:pt idx="3">
                  <c:v>2.0326154006596091E-2</c:v>
                </c:pt>
                <c:pt idx="4">
                  <c:v>1.785124477683489E-2</c:v>
                </c:pt>
                <c:pt idx="5">
                  <c:v>1.632294425760154E-2</c:v>
                </c:pt>
                <c:pt idx="6">
                  <c:v>1.9367902335372892E-2</c:v>
                </c:pt>
                <c:pt idx="7">
                  <c:v>2.0350948450731352E-2</c:v>
                </c:pt>
                <c:pt idx="8">
                  <c:v>1.9380966110054597E-2</c:v>
                </c:pt>
                <c:pt idx="9">
                  <c:v>1.8720804971382558E-2</c:v>
                </c:pt>
                <c:pt idx="10">
                  <c:v>2.0745531860008704E-2</c:v>
                </c:pt>
                <c:pt idx="11">
                  <c:v>1.5807410640248442E-2</c:v>
                </c:pt>
                <c:pt idx="12">
                  <c:v>2.1349558687841358E-2</c:v>
                </c:pt>
                <c:pt idx="13">
                  <c:v>2.7639844394876802E-2</c:v>
                </c:pt>
                <c:pt idx="14">
                  <c:v>2.8039864385181662E-2</c:v>
                </c:pt>
                <c:pt idx="15">
                  <c:v>4.1304341195562491E-2</c:v>
                </c:pt>
                <c:pt idx="16">
                  <c:v>3.0082207368698263E-2</c:v>
                </c:pt>
                <c:pt idx="17">
                  <c:v>2.7885224335012899E-2</c:v>
                </c:pt>
                <c:pt idx="18">
                  <c:v>2.9725787747835419E-2</c:v>
                </c:pt>
                <c:pt idx="19">
                  <c:v>3.8170797547987786E-2</c:v>
                </c:pt>
                <c:pt idx="20">
                  <c:v>2.0684340803928378E-2</c:v>
                </c:pt>
                <c:pt idx="21">
                  <c:v>1.8959912746291819E-2</c:v>
                </c:pt>
              </c:numCache>
            </c:numRef>
          </c:val>
          <c:smooth val="0"/>
          <c:extLst>
            <c:ext xmlns:c16="http://schemas.microsoft.com/office/drawing/2014/chart" uri="{C3380CC4-5D6E-409C-BE32-E72D297353CC}">
              <c16:uniqueId val="{00000002-E76E-48C1-85ED-9274B74F3B9C}"/>
            </c:ext>
          </c:extLst>
        </c:ser>
        <c:dLbls>
          <c:showLegendKey val="0"/>
          <c:showVal val="0"/>
          <c:showCatName val="0"/>
          <c:showSerName val="0"/>
          <c:showPercent val="0"/>
          <c:showBubbleSize val="0"/>
        </c:dLbls>
        <c:smooth val="0"/>
        <c:axId val="1503678880"/>
        <c:axId val="422155136"/>
      </c:lineChart>
      <c:catAx>
        <c:axId val="150367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55136"/>
        <c:crosses val="autoZero"/>
        <c:auto val="1"/>
        <c:lblAlgn val="ctr"/>
        <c:lblOffset val="100"/>
        <c:noMultiLvlLbl val="0"/>
      </c:catAx>
      <c:valAx>
        <c:axId val="4221551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67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a:t>
            </a:r>
            <a:r>
              <a:rPr lang="en-US" baseline="0"/>
              <a:t> Assets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 FS'!$A$102</c:f>
              <c:strCache>
                <c:ptCount val="1"/>
                <c:pt idx="0">
                  <c:v>Cash &amp; Cash Equivalents</c:v>
                </c:pt>
              </c:strCache>
            </c:strRef>
          </c:tx>
          <c:spPr>
            <a:solidFill>
              <a:schemeClr val="accent1"/>
            </a:solidFill>
            <a:ln>
              <a:noFill/>
            </a:ln>
            <a:effectLst/>
          </c:spPr>
          <c:invertIfNegative val="0"/>
          <c:cat>
            <c:strRef>
              <c:f>'A. FS'!$I$1:$M$1</c:f>
              <c:strCache>
                <c:ptCount val="5"/>
                <c:pt idx="0">
                  <c:v>2018A</c:v>
                </c:pt>
                <c:pt idx="1">
                  <c:v>2019A</c:v>
                </c:pt>
                <c:pt idx="2">
                  <c:v>2020A</c:v>
                </c:pt>
                <c:pt idx="3">
                  <c:v>2021A</c:v>
                </c:pt>
                <c:pt idx="4">
                  <c:v>2022A</c:v>
                </c:pt>
              </c:strCache>
            </c:strRef>
          </c:cat>
          <c:val>
            <c:numRef>
              <c:f>'A. FS'!$I$102:$M$102</c:f>
              <c:numCache>
                <c:formatCode>#,##0</c:formatCode>
                <c:ptCount val="5"/>
                <c:pt idx="0">
                  <c:v>71.264154680999994</c:v>
                </c:pt>
                <c:pt idx="1">
                  <c:v>131.05729112500001</c:v>
                </c:pt>
                <c:pt idx="2">
                  <c:v>878.05623956199997</c:v>
                </c:pt>
                <c:pt idx="3">
                  <c:v>1494.3321708460001</c:v>
                </c:pt>
                <c:pt idx="4">
                  <c:v>827.78377017699995</c:v>
                </c:pt>
              </c:numCache>
            </c:numRef>
          </c:val>
          <c:extLst>
            <c:ext xmlns:c16="http://schemas.microsoft.com/office/drawing/2014/chart" uri="{C3380CC4-5D6E-409C-BE32-E72D297353CC}">
              <c16:uniqueId val="{00000000-B42D-4068-B671-A2F7748F8067}"/>
            </c:ext>
          </c:extLst>
        </c:ser>
        <c:ser>
          <c:idx val="1"/>
          <c:order val="1"/>
          <c:tx>
            <c:strRef>
              <c:f>'A. FS'!$A$104</c:f>
              <c:strCache>
                <c:ptCount val="1"/>
                <c:pt idx="0">
                  <c:v>Account receivable</c:v>
                </c:pt>
              </c:strCache>
            </c:strRef>
          </c:tx>
          <c:spPr>
            <a:solidFill>
              <a:schemeClr val="accent2"/>
            </a:solidFill>
            <a:ln>
              <a:noFill/>
            </a:ln>
            <a:effectLst/>
          </c:spPr>
          <c:invertIfNegative val="0"/>
          <c:cat>
            <c:strRef>
              <c:f>'A. FS'!$I$1:$M$1</c:f>
              <c:strCache>
                <c:ptCount val="5"/>
                <c:pt idx="0">
                  <c:v>2018A</c:v>
                </c:pt>
                <c:pt idx="1">
                  <c:v>2019A</c:v>
                </c:pt>
                <c:pt idx="2">
                  <c:v>2020A</c:v>
                </c:pt>
                <c:pt idx="3">
                  <c:v>2021A</c:v>
                </c:pt>
                <c:pt idx="4">
                  <c:v>2022A</c:v>
                </c:pt>
              </c:strCache>
            </c:strRef>
          </c:cat>
          <c:val>
            <c:numRef>
              <c:f>'A. FS'!$I$104:$M$104</c:f>
              <c:numCache>
                <c:formatCode>#,##0</c:formatCode>
                <c:ptCount val="5"/>
                <c:pt idx="0">
                  <c:v>600.82576649199996</c:v>
                </c:pt>
                <c:pt idx="1">
                  <c:v>584.63787762599998</c:v>
                </c:pt>
                <c:pt idx="2">
                  <c:v>1131.2442672960001</c:v>
                </c:pt>
                <c:pt idx="3">
                  <c:v>1786.3175981329985</c:v>
                </c:pt>
                <c:pt idx="4">
                  <c:v>1578.7807071570001</c:v>
                </c:pt>
              </c:numCache>
            </c:numRef>
          </c:val>
          <c:extLst>
            <c:ext xmlns:c16="http://schemas.microsoft.com/office/drawing/2014/chart" uri="{C3380CC4-5D6E-409C-BE32-E72D297353CC}">
              <c16:uniqueId val="{00000001-B42D-4068-B671-A2F7748F8067}"/>
            </c:ext>
          </c:extLst>
        </c:ser>
        <c:ser>
          <c:idx val="2"/>
          <c:order val="2"/>
          <c:tx>
            <c:strRef>
              <c:f>'A. FS'!$A$105</c:f>
              <c:strCache>
                <c:ptCount val="1"/>
                <c:pt idx="0">
                  <c:v>Inventories</c:v>
                </c:pt>
              </c:strCache>
            </c:strRef>
          </c:tx>
          <c:spPr>
            <a:solidFill>
              <a:schemeClr val="accent3"/>
            </a:solidFill>
            <a:ln>
              <a:noFill/>
            </a:ln>
            <a:effectLst/>
          </c:spPr>
          <c:invertIfNegative val="0"/>
          <c:cat>
            <c:strRef>
              <c:f>'A. FS'!$I$1:$M$1</c:f>
              <c:strCache>
                <c:ptCount val="5"/>
                <c:pt idx="0">
                  <c:v>2018A</c:v>
                </c:pt>
                <c:pt idx="1">
                  <c:v>2019A</c:v>
                </c:pt>
                <c:pt idx="2">
                  <c:v>2020A</c:v>
                </c:pt>
                <c:pt idx="3">
                  <c:v>2021A</c:v>
                </c:pt>
                <c:pt idx="4">
                  <c:v>2022A</c:v>
                </c:pt>
              </c:strCache>
            </c:strRef>
          </c:cat>
          <c:val>
            <c:numRef>
              <c:f>'A. FS'!$I$105:$M$105</c:f>
              <c:numCache>
                <c:formatCode>#,##0</c:formatCode>
                <c:ptCount val="5"/>
                <c:pt idx="0">
                  <c:v>1314.1752568320001</c:v>
                </c:pt>
                <c:pt idx="1">
                  <c:v>1453.645856457</c:v>
                </c:pt>
                <c:pt idx="2">
                  <c:v>827.37117436300002</c:v>
                </c:pt>
                <c:pt idx="3">
                  <c:v>2888.1112744799998</c:v>
                </c:pt>
                <c:pt idx="4">
                  <c:v>3254.3385936220002</c:v>
                </c:pt>
              </c:numCache>
            </c:numRef>
          </c:val>
          <c:extLst>
            <c:ext xmlns:c16="http://schemas.microsoft.com/office/drawing/2014/chart" uri="{C3380CC4-5D6E-409C-BE32-E72D297353CC}">
              <c16:uniqueId val="{00000002-B42D-4068-B671-A2F7748F8067}"/>
            </c:ext>
          </c:extLst>
        </c:ser>
        <c:ser>
          <c:idx val="3"/>
          <c:order val="3"/>
          <c:tx>
            <c:strRef>
              <c:f>'A. FS'!$A$106</c:f>
              <c:strCache>
                <c:ptCount val="1"/>
                <c:pt idx="0">
                  <c:v>Others</c:v>
                </c:pt>
              </c:strCache>
            </c:strRef>
          </c:tx>
          <c:spPr>
            <a:solidFill>
              <a:schemeClr val="accent4"/>
            </a:solidFill>
            <a:ln>
              <a:noFill/>
            </a:ln>
            <a:effectLst/>
          </c:spPr>
          <c:invertIfNegative val="0"/>
          <c:cat>
            <c:strRef>
              <c:f>'A. FS'!$I$1:$M$1</c:f>
              <c:strCache>
                <c:ptCount val="5"/>
                <c:pt idx="0">
                  <c:v>2018A</c:v>
                </c:pt>
                <c:pt idx="1">
                  <c:v>2019A</c:v>
                </c:pt>
                <c:pt idx="2">
                  <c:v>2020A</c:v>
                </c:pt>
                <c:pt idx="3">
                  <c:v>2021A</c:v>
                </c:pt>
                <c:pt idx="4">
                  <c:v>2022A</c:v>
                </c:pt>
              </c:strCache>
            </c:strRef>
          </c:cat>
          <c:val>
            <c:numRef>
              <c:f>'A. FS'!$I$106:$M$106</c:f>
              <c:numCache>
                <c:formatCode>#,##0</c:formatCode>
                <c:ptCount val="5"/>
                <c:pt idx="0">
                  <c:v>132.067382071</c:v>
                </c:pt>
                <c:pt idx="1">
                  <c:v>118.212939898</c:v>
                </c:pt>
                <c:pt idx="2">
                  <c:v>25.332806242</c:v>
                </c:pt>
                <c:pt idx="3">
                  <c:v>87.053607631999995</c:v>
                </c:pt>
                <c:pt idx="4">
                  <c:v>121.447033901</c:v>
                </c:pt>
              </c:numCache>
            </c:numRef>
          </c:val>
          <c:extLst>
            <c:ext xmlns:c16="http://schemas.microsoft.com/office/drawing/2014/chart" uri="{C3380CC4-5D6E-409C-BE32-E72D297353CC}">
              <c16:uniqueId val="{00000003-B42D-4068-B671-A2F7748F8067}"/>
            </c:ext>
          </c:extLst>
        </c:ser>
        <c:ser>
          <c:idx val="4"/>
          <c:order val="4"/>
          <c:tx>
            <c:strRef>
              <c:f>'A. FS'!$A$109</c:f>
              <c:strCache>
                <c:ptCount val="1"/>
                <c:pt idx="0">
                  <c:v>Non-current assets</c:v>
                </c:pt>
              </c:strCache>
            </c:strRef>
          </c:tx>
          <c:spPr>
            <a:solidFill>
              <a:schemeClr val="accent5"/>
            </a:solidFill>
            <a:ln>
              <a:noFill/>
            </a:ln>
            <a:effectLst/>
          </c:spPr>
          <c:invertIfNegative val="0"/>
          <c:cat>
            <c:strRef>
              <c:f>'A. FS'!$I$1:$M$1</c:f>
              <c:strCache>
                <c:ptCount val="5"/>
                <c:pt idx="0">
                  <c:v>2018A</c:v>
                </c:pt>
                <c:pt idx="1">
                  <c:v>2019A</c:v>
                </c:pt>
                <c:pt idx="2">
                  <c:v>2020A</c:v>
                </c:pt>
                <c:pt idx="3">
                  <c:v>2021A</c:v>
                </c:pt>
                <c:pt idx="4">
                  <c:v>2022A</c:v>
                </c:pt>
              </c:strCache>
            </c:strRef>
          </c:cat>
          <c:val>
            <c:numRef>
              <c:f>'A. FS'!$I$109:$M$109</c:f>
              <c:numCache>
                <c:formatCode>#,##0</c:formatCode>
                <c:ptCount val="5"/>
                <c:pt idx="0">
                  <c:v>105.00355352999998</c:v>
                </c:pt>
                <c:pt idx="1">
                  <c:v>117.50123696099996</c:v>
                </c:pt>
                <c:pt idx="2">
                  <c:v>206.742641967</c:v>
                </c:pt>
                <c:pt idx="3">
                  <c:v>289.00791692499996</c:v>
                </c:pt>
                <c:pt idx="4">
                  <c:v>573.07101869099995</c:v>
                </c:pt>
              </c:numCache>
            </c:numRef>
          </c:val>
          <c:extLst>
            <c:ext xmlns:c16="http://schemas.microsoft.com/office/drawing/2014/chart" uri="{C3380CC4-5D6E-409C-BE32-E72D297353CC}">
              <c16:uniqueId val="{00000004-B42D-4068-B671-A2F7748F8067}"/>
            </c:ext>
          </c:extLst>
        </c:ser>
        <c:dLbls>
          <c:showLegendKey val="0"/>
          <c:showVal val="0"/>
          <c:showCatName val="0"/>
          <c:showSerName val="0"/>
          <c:showPercent val="0"/>
          <c:showBubbleSize val="0"/>
        </c:dLbls>
        <c:gapWidth val="150"/>
        <c:overlap val="100"/>
        <c:axId val="1189647056"/>
        <c:axId val="1247212080"/>
      </c:barChart>
      <c:catAx>
        <c:axId val="118964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212080"/>
        <c:crosses val="autoZero"/>
        <c:auto val="1"/>
        <c:lblAlgn val="ctr"/>
        <c:lblOffset val="100"/>
        <c:noMultiLvlLbl val="0"/>
      </c:catAx>
      <c:valAx>
        <c:axId val="1247212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4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5. Funding</a:t>
            </a:r>
            <a:r>
              <a:rPr lang="en-US" b="0" baseline="0"/>
              <a:t> sources</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 FS'!$A$120</c:f>
              <c:strCache>
                <c:ptCount val="1"/>
                <c:pt idx="0">
                  <c:v>Short-term liabilities</c:v>
                </c:pt>
              </c:strCache>
            </c:strRef>
          </c:tx>
          <c:spPr>
            <a:solidFill>
              <a:schemeClr val="accent1"/>
            </a:solidFill>
            <a:ln>
              <a:noFill/>
            </a:ln>
            <a:effectLst/>
          </c:spPr>
          <c:invertIfNegative val="0"/>
          <c:cat>
            <c:strRef>
              <c:f>'A. FS'!$I$1:$M$1</c:f>
              <c:strCache>
                <c:ptCount val="5"/>
                <c:pt idx="0">
                  <c:v>2018A</c:v>
                </c:pt>
                <c:pt idx="1">
                  <c:v>2019A</c:v>
                </c:pt>
                <c:pt idx="2">
                  <c:v>2020A</c:v>
                </c:pt>
                <c:pt idx="3">
                  <c:v>2021A</c:v>
                </c:pt>
                <c:pt idx="4">
                  <c:v>2022A</c:v>
                </c:pt>
              </c:strCache>
            </c:strRef>
          </c:cat>
          <c:val>
            <c:numRef>
              <c:f>'A. FS'!$I$120:$M$120</c:f>
              <c:numCache>
                <c:formatCode>#,##0</c:formatCode>
                <c:ptCount val="5"/>
                <c:pt idx="0">
                  <c:v>1451.8932728579998</c:v>
                </c:pt>
                <c:pt idx="1">
                  <c:v>1475.7403281219999</c:v>
                </c:pt>
                <c:pt idx="2">
                  <c:v>1905.5522062369996</c:v>
                </c:pt>
                <c:pt idx="3">
                  <c:v>4753.2953582700002</c:v>
                </c:pt>
                <c:pt idx="4">
                  <c:v>3882.2671037640002</c:v>
                </c:pt>
              </c:numCache>
            </c:numRef>
          </c:val>
          <c:extLst>
            <c:ext xmlns:c16="http://schemas.microsoft.com/office/drawing/2014/chart" uri="{C3380CC4-5D6E-409C-BE32-E72D297353CC}">
              <c16:uniqueId val="{00000000-5DA9-4DB6-B519-359CB12DCE98}"/>
            </c:ext>
          </c:extLst>
        </c:ser>
        <c:ser>
          <c:idx val="1"/>
          <c:order val="1"/>
          <c:tx>
            <c:strRef>
              <c:f>'A. FS'!$A$125</c:f>
              <c:strCache>
                <c:ptCount val="1"/>
                <c:pt idx="0">
                  <c:v>Long-term liabilites</c:v>
                </c:pt>
              </c:strCache>
            </c:strRef>
          </c:tx>
          <c:spPr>
            <a:solidFill>
              <a:schemeClr val="accent2"/>
            </a:solidFill>
            <a:ln>
              <a:noFill/>
            </a:ln>
            <a:effectLst/>
          </c:spPr>
          <c:invertIfNegative val="0"/>
          <c:cat>
            <c:strRef>
              <c:f>'A. FS'!$I$1:$M$1</c:f>
              <c:strCache>
                <c:ptCount val="5"/>
                <c:pt idx="0">
                  <c:v>2018A</c:v>
                </c:pt>
                <c:pt idx="1">
                  <c:v>2019A</c:v>
                </c:pt>
                <c:pt idx="2">
                  <c:v>2020A</c:v>
                </c:pt>
                <c:pt idx="3">
                  <c:v>2021A</c:v>
                </c:pt>
                <c:pt idx="4">
                  <c:v>2022A</c:v>
                </c:pt>
              </c:strCache>
            </c:strRef>
          </c:cat>
          <c:val>
            <c:numRef>
              <c:f>'A. FS'!$I$125:$M$125</c:f>
              <c:numCache>
                <c:formatCode>#,##0</c:formatCode>
                <c:ptCount val="5"/>
                <c:pt idx="0">
                  <c:v>4.9633609270000001</c:v>
                </c:pt>
                <c:pt idx="1">
                  <c:v>4.466460927</c:v>
                </c:pt>
                <c:pt idx="2">
                  <c:v>4.6086294270000003</c:v>
                </c:pt>
                <c:pt idx="3">
                  <c:v>10.242542363999998</c:v>
                </c:pt>
                <c:pt idx="4">
                  <c:v>49.872286507000005</c:v>
                </c:pt>
              </c:numCache>
            </c:numRef>
          </c:val>
          <c:extLst>
            <c:ext xmlns:c16="http://schemas.microsoft.com/office/drawing/2014/chart" uri="{C3380CC4-5D6E-409C-BE32-E72D297353CC}">
              <c16:uniqueId val="{00000001-5DA9-4DB6-B519-359CB12DCE98}"/>
            </c:ext>
          </c:extLst>
        </c:ser>
        <c:ser>
          <c:idx val="2"/>
          <c:order val="2"/>
          <c:tx>
            <c:strRef>
              <c:f>'A. FS'!$A$130</c:f>
              <c:strCache>
                <c:ptCount val="1"/>
                <c:pt idx="0">
                  <c:v>Chartered capital</c:v>
                </c:pt>
              </c:strCache>
            </c:strRef>
          </c:tx>
          <c:spPr>
            <a:solidFill>
              <a:schemeClr val="accent3"/>
            </a:solidFill>
            <a:ln>
              <a:noFill/>
            </a:ln>
            <a:effectLst/>
          </c:spPr>
          <c:invertIfNegative val="0"/>
          <c:cat>
            <c:strRef>
              <c:f>'A. FS'!$I$1:$M$1</c:f>
              <c:strCache>
                <c:ptCount val="5"/>
                <c:pt idx="0">
                  <c:v>2018A</c:v>
                </c:pt>
                <c:pt idx="1">
                  <c:v>2019A</c:v>
                </c:pt>
                <c:pt idx="2">
                  <c:v>2020A</c:v>
                </c:pt>
                <c:pt idx="3">
                  <c:v>2021A</c:v>
                </c:pt>
                <c:pt idx="4">
                  <c:v>2022A</c:v>
                </c:pt>
              </c:strCache>
            </c:strRef>
          </c:cat>
          <c:val>
            <c:numRef>
              <c:f>'A. FS'!$I$130:$M$130</c:f>
              <c:numCache>
                <c:formatCode>#,##0</c:formatCode>
                <c:ptCount val="5"/>
                <c:pt idx="0">
                  <c:v>407.51747</c:v>
                </c:pt>
                <c:pt idx="1">
                  <c:v>419.51747</c:v>
                </c:pt>
                <c:pt idx="2">
                  <c:v>431.51747</c:v>
                </c:pt>
                <c:pt idx="3">
                  <c:v>885.52025000000003</c:v>
                </c:pt>
                <c:pt idx="4">
                  <c:v>1632.29943</c:v>
                </c:pt>
              </c:numCache>
            </c:numRef>
          </c:val>
          <c:extLst>
            <c:ext xmlns:c16="http://schemas.microsoft.com/office/drawing/2014/chart" uri="{C3380CC4-5D6E-409C-BE32-E72D297353CC}">
              <c16:uniqueId val="{00000002-5DA9-4DB6-B519-359CB12DCE98}"/>
            </c:ext>
          </c:extLst>
        </c:ser>
        <c:ser>
          <c:idx val="3"/>
          <c:order val="3"/>
          <c:tx>
            <c:strRef>
              <c:f>'A. FS'!$A$131</c:f>
              <c:strCache>
                <c:ptCount val="1"/>
                <c:pt idx="0">
                  <c:v>Retained earning</c:v>
                </c:pt>
              </c:strCache>
            </c:strRef>
          </c:tx>
          <c:spPr>
            <a:solidFill>
              <a:schemeClr val="accent4"/>
            </a:solidFill>
            <a:ln>
              <a:noFill/>
            </a:ln>
            <a:effectLst/>
          </c:spPr>
          <c:invertIfNegative val="0"/>
          <c:cat>
            <c:strRef>
              <c:f>'A. FS'!$I$1:$M$1</c:f>
              <c:strCache>
                <c:ptCount val="5"/>
                <c:pt idx="0">
                  <c:v>2018A</c:v>
                </c:pt>
                <c:pt idx="1">
                  <c:v>2019A</c:v>
                </c:pt>
                <c:pt idx="2">
                  <c:v>2020A</c:v>
                </c:pt>
                <c:pt idx="3">
                  <c:v>2021A</c:v>
                </c:pt>
                <c:pt idx="4">
                  <c:v>2022A</c:v>
                </c:pt>
              </c:strCache>
            </c:strRef>
          </c:cat>
          <c:val>
            <c:numRef>
              <c:f>'A. FS'!$I$131:$M$131</c:f>
              <c:numCache>
                <c:formatCode>#,##0</c:formatCode>
                <c:ptCount val="5"/>
                <c:pt idx="0">
                  <c:v>302.64995157599998</c:v>
                </c:pt>
                <c:pt idx="1">
                  <c:v>446.44038176200002</c:v>
                </c:pt>
                <c:pt idx="2">
                  <c:v>670.14863448000006</c:v>
                </c:pt>
                <c:pt idx="3">
                  <c:v>838.31838044599999</c:v>
                </c:pt>
                <c:pt idx="4">
                  <c:v>706.72493152799996</c:v>
                </c:pt>
              </c:numCache>
            </c:numRef>
          </c:val>
          <c:extLst>
            <c:ext xmlns:c16="http://schemas.microsoft.com/office/drawing/2014/chart" uri="{C3380CC4-5D6E-409C-BE32-E72D297353CC}">
              <c16:uniqueId val="{00000003-5DA9-4DB6-B519-359CB12DCE98}"/>
            </c:ext>
          </c:extLst>
        </c:ser>
        <c:ser>
          <c:idx val="4"/>
          <c:order val="4"/>
          <c:tx>
            <c:strRef>
              <c:f>'A. FS'!$A$132</c:f>
              <c:strCache>
                <c:ptCount val="1"/>
                <c:pt idx="0">
                  <c:v>MI</c:v>
                </c:pt>
              </c:strCache>
            </c:strRef>
          </c:tx>
          <c:spPr>
            <a:solidFill>
              <a:schemeClr val="accent5"/>
            </a:solidFill>
            <a:ln>
              <a:noFill/>
            </a:ln>
            <a:effectLst/>
          </c:spPr>
          <c:invertIfNegative val="0"/>
          <c:cat>
            <c:strRef>
              <c:f>'A. FS'!$I$1:$M$1</c:f>
              <c:strCache>
                <c:ptCount val="5"/>
                <c:pt idx="0">
                  <c:v>2018A</c:v>
                </c:pt>
                <c:pt idx="1">
                  <c:v>2019A</c:v>
                </c:pt>
                <c:pt idx="2">
                  <c:v>2020A</c:v>
                </c:pt>
                <c:pt idx="3">
                  <c:v>2021A</c:v>
                </c:pt>
                <c:pt idx="4">
                  <c:v>2022A</c:v>
                </c:pt>
              </c:strCache>
            </c:strRef>
          </c:cat>
          <c:val>
            <c:numRef>
              <c:f>'A. FS'!$I$132:$M$132</c:f>
              <c:numCache>
                <c:formatCode>#,##0</c:formatCode>
                <c:ptCount val="5"/>
                <c:pt idx="0">
                  <c:v>0.95123399500000005</c:v>
                </c:pt>
                <c:pt idx="1">
                  <c:v>3.529737006</c:v>
                </c:pt>
                <c:pt idx="2">
                  <c:v>1.559365036</c:v>
                </c:pt>
                <c:pt idx="3">
                  <c:v>2.0852126860000002</c:v>
                </c:pt>
                <c:pt idx="4">
                  <c:v>28.926547499000002</c:v>
                </c:pt>
              </c:numCache>
            </c:numRef>
          </c:val>
          <c:extLst>
            <c:ext xmlns:c16="http://schemas.microsoft.com/office/drawing/2014/chart" uri="{C3380CC4-5D6E-409C-BE32-E72D297353CC}">
              <c16:uniqueId val="{00000004-5DA9-4DB6-B519-359CB12DCE98}"/>
            </c:ext>
          </c:extLst>
        </c:ser>
        <c:ser>
          <c:idx val="5"/>
          <c:order val="5"/>
          <c:tx>
            <c:strRef>
              <c:f>'A. FS'!$A$133</c:f>
              <c:strCache>
                <c:ptCount val="1"/>
                <c:pt idx="0">
                  <c:v>Others</c:v>
                </c:pt>
              </c:strCache>
            </c:strRef>
          </c:tx>
          <c:spPr>
            <a:solidFill>
              <a:schemeClr val="accent6"/>
            </a:solidFill>
            <a:ln>
              <a:noFill/>
            </a:ln>
            <a:effectLst/>
          </c:spPr>
          <c:invertIfNegative val="0"/>
          <c:cat>
            <c:strRef>
              <c:f>'A. FS'!$I$1:$M$1</c:f>
              <c:strCache>
                <c:ptCount val="5"/>
                <c:pt idx="0">
                  <c:v>2018A</c:v>
                </c:pt>
                <c:pt idx="1">
                  <c:v>2019A</c:v>
                </c:pt>
                <c:pt idx="2">
                  <c:v>2020A</c:v>
                </c:pt>
                <c:pt idx="3">
                  <c:v>2021A</c:v>
                </c:pt>
                <c:pt idx="4">
                  <c:v>2022A</c:v>
                </c:pt>
              </c:strCache>
            </c:strRef>
          </c:cat>
          <c:val>
            <c:numRef>
              <c:f>'A. FS'!$I$133:$M$133</c:f>
              <c:numCache>
                <c:formatCode>#,##0</c:formatCode>
                <c:ptCount val="5"/>
                <c:pt idx="0">
                  <c:v>55.360824250000057</c:v>
                </c:pt>
                <c:pt idx="1">
                  <c:v>55.360824249999958</c:v>
                </c:pt>
                <c:pt idx="2">
                  <c:v>55.360824249999865</c:v>
                </c:pt>
                <c:pt idx="3">
                  <c:v>55.360824249999929</c:v>
                </c:pt>
                <c:pt idx="4">
                  <c:v>55.33082425000007</c:v>
                </c:pt>
              </c:numCache>
            </c:numRef>
          </c:val>
          <c:extLst>
            <c:ext xmlns:c16="http://schemas.microsoft.com/office/drawing/2014/chart" uri="{C3380CC4-5D6E-409C-BE32-E72D297353CC}">
              <c16:uniqueId val="{00000005-5DA9-4DB6-B519-359CB12DCE98}"/>
            </c:ext>
          </c:extLst>
        </c:ser>
        <c:dLbls>
          <c:showLegendKey val="0"/>
          <c:showVal val="0"/>
          <c:showCatName val="0"/>
          <c:showSerName val="0"/>
          <c:showPercent val="0"/>
          <c:showBubbleSize val="0"/>
        </c:dLbls>
        <c:gapWidth val="219"/>
        <c:overlap val="100"/>
        <c:axId val="99030448"/>
        <c:axId val="201029664"/>
      </c:barChart>
      <c:catAx>
        <c:axId val="9903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29664"/>
        <c:crosses val="autoZero"/>
        <c:auto val="1"/>
        <c:lblAlgn val="ctr"/>
        <c:lblOffset val="100"/>
        <c:noMultiLvlLbl val="0"/>
      </c:catAx>
      <c:valAx>
        <c:axId val="201029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0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6. Cash flow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 Raw FS'!$A$194</c:f>
              <c:strCache>
                <c:ptCount val="1"/>
                <c:pt idx="0">
                  <c:v> CFO </c:v>
                </c:pt>
              </c:strCache>
            </c:strRef>
          </c:tx>
          <c:spPr>
            <a:solidFill>
              <a:schemeClr val="accent1"/>
            </a:solidFill>
            <a:ln>
              <a:noFill/>
            </a:ln>
            <a:effectLst/>
          </c:spPr>
          <c:invertIfNegative val="0"/>
          <c:cat>
            <c:strRef>
              <c:f>'A. Raw FS'!$H$1:$M$1</c:f>
              <c:strCache>
                <c:ptCount val="6"/>
                <c:pt idx="0">
                  <c:v>2017A</c:v>
                </c:pt>
                <c:pt idx="1">
                  <c:v>2018A</c:v>
                </c:pt>
                <c:pt idx="2">
                  <c:v>2019A</c:v>
                </c:pt>
                <c:pt idx="3">
                  <c:v>2020A</c:v>
                </c:pt>
                <c:pt idx="4">
                  <c:v>2021A</c:v>
                </c:pt>
                <c:pt idx="5">
                  <c:v>2022A</c:v>
                </c:pt>
              </c:strCache>
            </c:strRef>
          </c:cat>
          <c:val>
            <c:numRef>
              <c:f>'A. Raw FS'!$H$194:$M$194</c:f>
              <c:numCache>
                <c:formatCode>_(* #,##0_);_(* \(#,##0\);_(* "-"??_);_(@_)</c:formatCode>
                <c:ptCount val="6"/>
                <c:pt idx="0">
                  <c:v>-232.35390364700001</c:v>
                </c:pt>
                <c:pt idx="1">
                  <c:v>-125.590473219</c:v>
                </c:pt>
                <c:pt idx="2">
                  <c:v>286.69230228700002</c:v>
                </c:pt>
                <c:pt idx="3">
                  <c:v>826.38619233500003</c:v>
                </c:pt>
                <c:pt idx="4">
                  <c:v>149.26810689000001</c:v>
                </c:pt>
                <c:pt idx="5">
                  <c:v>-1110.2730615359999</c:v>
                </c:pt>
              </c:numCache>
            </c:numRef>
          </c:val>
          <c:extLst>
            <c:ext xmlns:c16="http://schemas.microsoft.com/office/drawing/2014/chart" uri="{C3380CC4-5D6E-409C-BE32-E72D297353CC}">
              <c16:uniqueId val="{00000000-58CD-4143-A9EB-AA962FC2CE6B}"/>
            </c:ext>
          </c:extLst>
        </c:ser>
        <c:ser>
          <c:idx val="1"/>
          <c:order val="1"/>
          <c:tx>
            <c:strRef>
              <c:f>'A. Raw FS'!$A$202</c:f>
              <c:strCache>
                <c:ptCount val="1"/>
                <c:pt idx="0">
                  <c:v> CFI </c:v>
                </c:pt>
              </c:strCache>
            </c:strRef>
          </c:tx>
          <c:spPr>
            <a:solidFill>
              <a:schemeClr val="accent2"/>
            </a:solidFill>
            <a:ln>
              <a:noFill/>
            </a:ln>
            <a:effectLst/>
          </c:spPr>
          <c:invertIfNegative val="0"/>
          <c:cat>
            <c:strRef>
              <c:f>'A. Raw FS'!$H$1:$M$1</c:f>
              <c:strCache>
                <c:ptCount val="6"/>
                <c:pt idx="0">
                  <c:v>2017A</c:v>
                </c:pt>
                <c:pt idx="1">
                  <c:v>2018A</c:v>
                </c:pt>
                <c:pt idx="2">
                  <c:v>2019A</c:v>
                </c:pt>
                <c:pt idx="3">
                  <c:v>2020A</c:v>
                </c:pt>
                <c:pt idx="4">
                  <c:v>2021A</c:v>
                </c:pt>
                <c:pt idx="5">
                  <c:v>2022A</c:v>
                </c:pt>
              </c:strCache>
            </c:strRef>
          </c:cat>
          <c:val>
            <c:numRef>
              <c:f>'A. Raw FS'!$H$202:$M$202</c:f>
              <c:numCache>
                <c:formatCode>_(* #,##0_);_(* \(#,##0\);_(* "-"??_);_(@_)</c:formatCode>
                <c:ptCount val="6"/>
                <c:pt idx="0">
                  <c:v>-13.976288666</c:v>
                </c:pt>
                <c:pt idx="1">
                  <c:v>-10.743882181</c:v>
                </c:pt>
                <c:pt idx="2">
                  <c:v>-1.756401066</c:v>
                </c:pt>
                <c:pt idx="3">
                  <c:v>-58.419333696999999</c:v>
                </c:pt>
                <c:pt idx="4">
                  <c:v>12.24111065</c:v>
                </c:pt>
                <c:pt idx="5">
                  <c:v>-284.99590986999999</c:v>
                </c:pt>
              </c:numCache>
            </c:numRef>
          </c:val>
          <c:extLst>
            <c:ext xmlns:c16="http://schemas.microsoft.com/office/drawing/2014/chart" uri="{C3380CC4-5D6E-409C-BE32-E72D297353CC}">
              <c16:uniqueId val="{00000001-58CD-4143-A9EB-AA962FC2CE6B}"/>
            </c:ext>
          </c:extLst>
        </c:ser>
        <c:ser>
          <c:idx val="2"/>
          <c:order val="2"/>
          <c:tx>
            <c:strRef>
              <c:f>'A. Raw FS'!$A$210</c:f>
              <c:strCache>
                <c:ptCount val="1"/>
                <c:pt idx="0">
                  <c:v> CFF </c:v>
                </c:pt>
              </c:strCache>
            </c:strRef>
          </c:tx>
          <c:spPr>
            <a:solidFill>
              <a:schemeClr val="accent3"/>
            </a:solidFill>
            <a:ln>
              <a:noFill/>
            </a:ln>
            <a:effectLst/>
          </c:spPr>
          <c:invertIfNegative val="0"/>
          <c:cat>
            <c:strRef>
              <c:f>'A. Raw FS'!$H$1:$M$1</c:f>
              <c:strCache>
                <c:ptCount val="6"/>
                <c:pt idx="0">
                  <c:v>2017A</c:v>
                </c:pt>
                <c:pt idx="1">
                  <c:v>2018A</c:v>
                </c:pt>
                <c:pt idx="2">
                  <c:v>2019A</c:v>
                </c:pt>
                <c:pt idx="3">
                  <c:v>2020A</c:v>
                </c:pt>
                <c:pt idx="4">
                  <c:v>2021A</c:v>
                </c:pt>
                <c:pt idx="5">
                  <c:v>2022A</c:v>
                </c:pt>
              </c:strCache>
            </c:strRef>
          </c:cat>
          <c:val>
            <c:numRef>
              <c:f>'A. Raw FS'!$H$210:$M$210</c:f>
              <c:numCache>
                <c:formatCode>_(* #,##0_);_(* \(#,##0\);_(* "-"??_);_(@_)</c:formatCode>
                <c:ptCount val="6"/>
                <c:pt idx="0">
                  <c:v>247.580348125</c:v>
                </c:pt>
                <c:pt idx="1">
                  <c:v>173.459465354</c:v>
                </c:pt>
                <c:pt idx="2">
                  <c:v>-225.53254876400001</c:v>
                </c:pt>
                <c:pt idx="3">
                  <c:v>-21.650928797999999</c:v>
                </c:pt>
                <c:pt idx="4">
                  <c:v>455.42658566400002</c:v>
                </c:pt>
                <c:pt idx="5">
                  <c:v>728.72607846599999</c:v>
                </c:pt>
              </c:numCache>
            </c:numRef>
          </c:val>
          <c:extLst>
            <c:ext xmlns:c16="http://schemas.microsoft.com/office/drawing/2014/chart" uri="{C3380CC4-5D6E-409C-BE32-E72D297353CC}">
              <c16:uniqueId val="{00000002-58CD-4143-A9EB-AA962FC2CE6B}"/>
            </c:ext>
          </c:extLst>
        </c:ser>
        <c:dLbls>
          <c:showLegendKey val="0"/>
          <c:showVal val="0"/>
          <c:showCatName val="0"/>
          <c:showSerName val="0"/>
          <c:showPercent val="0"/>
          <c:showBubbleSize val="0"/>
        </c:dLbls>
        <c:gapWidth val="219"/>
        <c:axId val="89749072"/>
        <c:axId val="153560544"/>
      </c:barChart>
      <c:lineChart>
        <c:grouping val="standard"/>
        <c:varyColors val="0"/>
        <c:ser>
          <c:idx val="3"/>
          <c:order val="3"/>
          <c:tx>
            <c:strRef>
              <c:f>'A. Raw FS'!$A$214</c:f>
              <c:strCache>
                <c:ptCount val="1"/>
                <c:pt idx="0">
                  <c:v> Ending Cash </c:v>
                </c:pt>
              </c:strCache>
            </c:strRef>
          </c:tx>
          <c:spPr>
            <a:ln w="28575" cap="rnd">
              <a:solidFill>
                <a:schemeClr val="accent4"/>
              </a:solidFill>
              <a:round/>
            </a:ln>
            <a:effectLst/>
          </c:spPr>
          <c:marker>
            <c:symbol val="none"/>
          </c:marker>
          <c:cat>
            <c:strRef>
              <c:f>'A. Raw FS'!$H$1:$M$1</c:f>
              <c:strCache>
                <c:ptCount val="6"/>
                <c:pt idx="0">
                  <c:v>2017A</c:v>
                </c:pt>
                <c:pt idx="1">
                  <c:v>2018A</c:v>
                </c:pt>
                <c:pt idx="2">
                  <c:v>2019A</c:v>
                </c:pt>
                <c:pt idx="3">
                  <c:v>2020A</c:v>
                </c:pt>
                <c:pt idx="4">
                  <c:v>2021A</c:v>
                </c:pt>
                <c:pt idx="5">
                  <c:v>2022A</c:v>
                </c:pt>
              </c:strCache>
            </c:strRef>
          </c:cat>
          <c:val>
            <c:numRef>
              <c:f>'A. Raw FS'!$H$214:$M$214</c:f>
              <c:numCache>
                <c:formatCode>_(* #,##0_);_(* \(#,##0\);_(* "-"??_);_(@_)</c:formatCode>
                <c:ptCount val="6"/>
                <c:pt idx="0">
                  <c:v>34.097098070000001</c:v>
                </c:pt>
                <c:pt idx="1">
                  <c:v>71.264154680999994</c:v>
                </c:pt>
                <c:pt idx="2">
                  <c:v>131.05729112500001</c:v>
                </c:pt>
                <c:pt idx="3">
                  <c:v>878.05623956199997</c:v>
                </c:pt>
                <c:pt idx="4">
                  <c:v>1494.3321708460001</c:v>
                </c:pt>
                <c:pt idx="5">
                  <c:v>827.78377017699995</c:v>
                </c:pt>
              </c:numCache>
            </c:numRef>
          </c:val>
          <c:smooth val="0"/>
          <c:extLst>
            <c:ext xmlns:c16="http://schemas.microsoft.com/office/drawing/2014/chart" uri="{C3380CC4-5D6E-409C-BE32-E72D297353CC}">
              <c16:uniqueId val="{00000003-58CD-4143-A9EB-AA962FC2CE6B}"/>
            </c:ext>
          </c:extLst>
        </c:ser>
        <c:dLbls>
          <c:showLegendKey val="0"/>
          <c:showVal val="0"/>
          <c:showCatName val="0"/>
          <c:showSerName val="0"/>
          <c:showPercent val="0"/>
          <c:showBubbleSize val="0"/>
        </c:dLbls>
        <c:marker val="1"/>
        <c:smooth val="0"/>
        <c:axId val="89749072"/>
        <c:axId val="153560544"/>
      </c:lineChart>
      <c:catAx>
        <c:axId val="8974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60544"/>
        <c:crosses val="autoZero"/>
        <c:auto val="1"/>
        <c:lblAlgn val="ctr"/>
        <c:lblOffset val="100"/>
        <c:noMultiLvlLbl val="0"/>
      </c:catAx>
      <c:valAx>
        <c:axId val="1535605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49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7. Dupont</a:t>
            </a:r>
          </a:p>
        </c:rich>
      </c:tx>
      <c:layout>
        <c:manualLayout>
          <c:xMode val="edge"/>
          <c:yMode val="edge"/>
          <c:x val="0.40663459840394878"/>
          <c:y val="6.3424361849623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 FA'!$A$24</c:f>
              <c:strCache>
                <c:ptCount val="1"/>
                <c:pt idx="0">
                  <c:v>Net margin</c:v>
                </c:pt>
              </c:strCache>
            </c:strRef>
          </c:tx>
          <c:spPr>
            <a:solidFill>
              <a:schemeClr val="accent2"/>
            </a:solidFill>
            <a:ln>
              <a:noFill/>
            </a:ln>
            <a:effectLst/>
          </c:spPr>
          <c:invertIfNegative val="0"/>
          <c:cat>
            <c:strRef>
              <c:f>'G. FA'!$I$1:$M$1</c:f>
              <c:strCache>
                <c:ptCount val="5"/>
                <c:pt idx="0">
                  <c:v>2018A</c:v>
                </c:pt>
                <c:pt idx="1">
                  <c:v>2019A</c:v>
                </c:pt>
                <c:pt idx="2">
                  <c:v>2020A</c:v>
                </c:pt>
                <c:pt idx="3">
                  <c:v>2021A</c:v>
                </c:pt>
                <c:pt idx="4">
                  <c:v>2022A</c:v>
                </c:pt>
              </c:strCache>
            </c:strRef>
          </c:cat>
          <c:val>
            <c:numRef>
              <c:f>'G. FA'!$I$24:$M$24</c:f>
              <c:numCache>
                <c:formatCode>0.0%</c:formatCode>
                <c:ptCount val="5"/>
                <c:pt idx="0">
                  <c:v>1.8451928427952822E-2</c:v>
                </c:pt>
                <c:pt idx="1">
                  <c:v>1.922256624511302E-2</c:v>
                </c:pt>
                <c:pt idx="2">
                  <c:v>2.1322922448340286E-2</c:v>
                </c:pt>
                <c:pt idx="3">
                  <c:v>3.1299880199965158E-2</c:v>
                </c:pt>
                <c:pt idx="4">
                  <c:v>3.1038026885895055E-2</c:v>
                </c:pt>
              </c:numCache>
            </c:numRef>
          </c:val>
          <c:extLst>
            <c:ext xmlns:c16="http://schemas.microsoft.com/office/drawing/2014/chart" uri="{C3380CC4-5D6E-409C-BE32-E72D297353CC}">
              <c16:uniqueId val="{00000000-2CB0-4D03-A652-8EAE5413F975}"/>
            </c:ext>
          </c:extLst>
        </c:ser>
        <c:dLbls>
          <c:showLegendKey val="0"/>
          <c:showVal val="0"/>
          <c:showCatName val="0"/>
          <c:showSerName val="0"/>
          <c:showPercent val="0"/>
          <c:showBubbleSize val="0"/>
        </c:dLbls>
        <c:gapWidth val="219"/>
        <c:axId val="1500777280"/>
        <c:axId val="148276080"/>
      </c:barChart>
      <c:lineChart>
        <c:grouping val="standard"/>
        <c:varyColors val="0"/>
        <c:ser>
          <c:idx val="0"/>
          <c:order val="0"/>
          <c:tx>
            <c:strRef>
              <c:f>'G. FA'!$A$23</c:f>
              <c:strCache>
                <c:ptCount val="1"/>
                <c:pt idx="0">
                  <c:v>ROE</c:v>
                </c:pt>
              </c:strCache>
            </c:strRef>
          </c:tx>
          <c:spPr>
            <a:ln w="28575" cap="rnd">
              <a:solidFill>
                <a:schemeClr val="accent1"/>
              </a:solidFill>
              <a:round/>
            </a:ln>
            <a:effectLst/>
          </c:spPr>
          <c:marker>
            <c:symbol val="none"/>
          </c:marker>
          <c:dLbls>
            <c:dLbl>
              <c:idx val="0"/>
              <c:layout>
                <c:manualLayout>
                  <c:x val="-4.1666666666666664E-2"/>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B0-4D03-A652-8EAE5413F975}"/>
                </c:ext>
              </c:extLst>
            </c:dLbl>
            <c:dLbl>
              <c:idx val="1"/>
              <c:layout>
                <c:manualLayout>
                  <c:x val="-0.0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B0-4D03-A652-8EAE5413F975}"/>
                </c:ext>
              </c:extLst>
            </c:dLbl>
            <c:dLbl>
              <c:idx val="2"/>
              <c:layout>
                <c:manualLayout>
                  <c:x val="-3.888888888888889E-2"/>
                  <c:y val="-5.0925925925925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B0-4D03-A652-8EAE5413F975}"/>
                </c:ext>
              </c:extLst>
            </c:dLbl>
            <c:dLbl>
              <c:idx val="3"/>
              <c:layout>
                <c:manualLayout>
                  <c:x val="-5.00000000000001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B0-4D03-A652-8EAE5413F975}"/>
                </c:ext>
              </c:extLst>
            </c:dLbl>
            <c:dLbl>
              <c:idx val="4"/>
              <c:layout>
                <c:manualLayout>
                  <c:x val="-2.777777777777788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B0-4D03-A652-8EAE5413F9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FA'!$I$1:$M$1</c:f>
              <c:strCache>
                <c:ptCount val="5"/>
                <c:pt idx="0">
                  <c:v>2018A</c:v>
                </c:pt>
                <c:pt idx="1">
                  <c:v>2019A</c:v>
                </c:pt>
                <c:pt idx="2">
                  <c:v>2020A</c:v>
                </c:pt>
                <c:pt idx="3">
                  <c:v>2021A</c:v>
                </c:pt>
                <c:pt idx="4">
                  <c:v>2022A</c:v>
                </c:pt>
              </c:strCache>
            </c:strRef>
          </c:cat>
          <c:val>
            <c:numRef>
              <c:f>'G. FA'!$I$23:$M$23</c:f>
              <c:numCache>
                <c:formatCode>0.0%</c:formatCode>
                <c:ptCount val="5"/>
                <c:pt idx="0">
                  <c:v>0.15049777482563118</c:v>
                </c:pt>
                <c:pt idx="1">
                  <c:v>0.19294007015649881</c:v>
                </c:pt>
                <c:pt idx="2">
                  <c:v>0.25659209052977727</c:v>
                </c:pt>
                <c:pt idx="3">
                  <c:v>0.44551721056714222</c:v>
                </c:pt>
                <c:pt idx="4">
                  <c:v>0.32522252191419282</c:v>
                </c:pt>
              </c:numCache>
            </c:numRef>
          </c:val>
          <c:smooth val="0"/>
          <c:extLst>
            <c:ext xmlns:c16="http://schemas.microsoft.com/office/drawing/2014/chart" uri="{C3380CC4-5D6E-409C-BE32-E72D297353CC}">
              <c16:uniqueId val="{00000006-2CB0-4D03-A652-8EAE5413F975}"/>
            </c:ext>
          </c:extLst>
        </c:ser>
        <c:ser>
          <c:idx val="2"/>
          <c:order val="2"/>
          <c:tx>
            <c:strRef>
              <c:f>'G. FA'!$A$25</c:f>
              <c:strCache>
                <c:ptCount val="1"/>
                <c:pt idx="0">
                  <c:v>Assets turnover</c:v>
                </c:pt>
              </c:strCache>
            </c:strRef>
          </c:tx>
          <c:spPr>
            <a:ln w="28575" cap="rnd">
              <a:solidFill>
                <a:schemeClr val="accent3"/>
              </a:solidFill>
              <a:round/>
            </a:ln>
            <a:effectLst/>
          </c:spPr>
          <c:marker>
            <c:symbol val="none"/>
          </c:marker>
          <c:cat>
            <c:strRef>
              <c:f>'G. FA'!$I$1:$M$1</c:f>
              <c:strCache>
                <c:ptCount val="5"/>
                <c:pt idx="0">
                  <c:v>2018A</c:v>
                </c:pt>
                <c:pt idx="1">
                  <c:v>2019A</c:v>
                </c:pt>
                <c:pt idx="2">
                  <c:v>2020A</c:v>
                </c:pt>
                <c:pt idx="3">
                  <c:v>2021A</c:v>
                </c:pt>
                <c:pt idx="4">
                  <c:v>2022A</c:v>
                </c:pt>
              </c:strCache>
            </c:strRef>
          </c:cat>
          <c:val>
            <c:numRef>
              <c:f>'G. FA'!$I$25:$M$25</c:f>
              <c:numCache>
                <c:formatCode>_(* #,##0.0_);_(* \(#,##0.0\);_(* "-"??_);_(@_)</c:formatCode>
                <c:ptCount val="5"/>
                <c:pt idx="0">
                  <c:v>3.1107819261167613</c:v>
                </c:pt>
                <c:pt idx="1">
                  <c:v>3.6678266945027209</c:v>
                </c:pt>
                <c:pt idx="2">
                  <c:v>4.5802303694082056</c:v>
                </c:pt>
                <c:pt idx="3">
                  <c:v>4.3527667926176239</c:v>
                </c:pt>
                <c:pt idx="4">
                  <c:v>3.4151502027731624</c:v>
                </c:pt>
              </c:numCache>
            </c:numRef>
          </c:val>
          <c:smooth val="0"/>
          <c:extLst>
            <c:ext xmlns:c16="http://schemas.microsoft.com/office/drawing/2014/chart" uri="{C3380CC4-5D6E-409C-BE32-E72D297353CC}">
              <c16:uniqueId val="{00000007-2CB0-4D03-A652-8EAE5413F975}"/>
            </c:ext>
          </c:extLst>
        </c:ser>
        <c:ser>
          <c:idx val="3"/>
          <c:order val="3"/>
          <c:tx>
            <c:strRef>
              <c:f>'G. FA'!$A$26</c:f>
              <c:strCache>
                <c:ptCount val="1"/>
                <c:pt idx="0">
                  <c:v>Assets / Equity</c:v>
                </c:pt>
              </c:strCache>
            </c:strRef>
          </c:tx>
          <c:spPr>
            <a:ln w="28575" cap="rnd">
              <a:solidFill>
                <a:schemeClr val="accent4"/>
              </a:solidFill>
              <a:round/>
            </a:ln>
            <a:effectLst/>
          </c:spPr>
          <c:marker>
            <c:symbol val="none"/>
          </c:marker>
          <c:cat>
            <c:strRef>
              <c:f>'G. FA'!$I$1:$M$1</c:f>
              <c:strCache>
                <c:ptCount val="5"/>
                <c:pt idx="0">
                  <c:v>2018A</c:v>
                </c:pt>
                <c:pt idx="1">
                  <c:v>2019A</c:v>
                </c:pt>
                <c:pt idx="2">
                  <c:v>2020A</c:v>
                </c:pt>
                <c:pt idx="3">
                  <c:v>2021A</c:v>
                </c:pt>
                <c:pt idx="4">
                  <c:v>2022A</c:v>
                </c:pt>
              </c:strCache>
            </c:strRef>
          </c:cat>
          <c:val>
            <c:numRef>
              <c:f>'G. FA'!$I$26:$M$26</c:f>
              <c:numCache>
                <c:formatCode>_(* #,##0.0_);_(* \(#,##0.0\);_(* "-"??_);_(@_)</c:formatCode>
                <c:ptCount val="5"/>
                <c:pt idx="0">
                  <c:v>2.6219158584421116</c:v>
                </c:pt>
                <c:pt idx="1">
                  <c:v>2.7365428875556201</c:v>
                </c:pt>
                <c:pt idx="2">
                  <c:v>2.62729727678694</c:v>
                </c:pt>
                <c:pt idx="3">
                  <c:v>3.2700651914640377</c:v>
                </c:pt>
                <c:pt idx="4">
                  <c:v>3.0681507823356258</c:v>
                </c:pt>
              </c:numCache>
            </c:numRef>
          </c:val>
          <c:smooth val="0"/>
          <c:extLst>
            <c:ext xmlns:c16="http://schemas.microsoft.com/office/drawing/2014/chart" uri="{C3380CC4-5D6E-409C-BE32-E72D297353CC}">
              <c16:uniqueId val="{00000008-2CB0-4D03-A652-8EAE5413F975}"/>
            </c:ext>
          </c:extLst>
        </c:ser>
        <c:dLbls>
          <c:showLegendKey val="0"/>
          <c:showVal val="0"/>
          <c:showCatName val="0"/>
          <c:showSerName val="0"/>
          <c:showPercent val="0"/>
          <c:showBubbleSize val="0"/>
        </c:dLbls>
        <c:marker val="1"/>
        <c:smooth val="0"/>
        <c:axId val="357346528"/>
        <c:axId val="2119689743"/>
      </c:lineChart>
      <c:catAx>
        <c:axId val="35734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689743"/>
        <c:crosses val="autoZero"/>
        <c:auto val="1"/>
        <c:lblAlgn val="ctr"/>
        <c:lblOffset val="100"/>
        <c:noMultiLvlLbl val="0"/>
      </c:catAx>
      <c:valAx>
        <c:axId val="211968974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346528"/>
        <c:crosses val="autoZero"/>
        <c:crossBetween val="between"/>
      </c:valAx>
      <c:valAx>
        <c:axId val="14827608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77280"/>
        <c:crosses val="max"/>
        <c:crossBetween val="between"/>
      </c:valAx>
      <c:catAx>
        <c:axId val="1500777280"/>
        <c:scaling>
          <c:orientation val="minMax"/>
        </c:scaling>
        <c:delete val="1"/>
        <c:axPos val="b"/>
        <c:numFmt formatCode="General" sourceLinked="1"/>
        <c:majorTickMark val="out"/>
        <c:minorTickMark val="none"/>
        <c:tickLblPos val="nextTo"/>
        <c:crossAx val="1482760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efficient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3"/>
          <c:tx>
            <c:strRef>
              <c:f>'G. FA'!$A$57</c:f>
              <c:strCache>
                <c:ptCount val="1"/>
                <c:pt idx="0">
                  <c:v>Cash conversion cycle</c:v>
                </c:pt>
              </c:strCache>
            </c:strRef>
          </c:tx>
          <c:spPr>
            <a:solidFill>
              <a:schemeClr val="accent4"/>
            </a:solidFill>
            <a:ln>
              <a:noFill/>
            </a:ln>
            <a:effectLst/>
          </c:spPr>
          <c:invertIfNegative val="0"/>
          <c:cat>
            <c:strRef>
              <c:f>'G. FA'!$I$1:$M$1</c:f>
              <c:strCache>
                <c:ptCount val="5"/>
                <c:pt idx="0">
                  <c:v>2018A</c:v>
                </c:pt>
                <c:pt idx="1">
                  <c:v>2019A</c:v>
                </c:pt>
                <c:pt idx="2">
                  <c:v>2020A</c:v>
                </c:pt>
                <c:pt idx="3">
                  <c:v>2021A</c:v>
                </c:pt>
                <c:pt idx="4">
                  <c:v>2022A</c:v>
                </c:pt>
              </c:strCache>
            </c:strRef>
          </c:cat>
          <c:val>
            <c:numRef>
              <c:f>'G. FA'!$I$57:$M$57</c:f>
              <c:numCache>
                <c:formatCode>_(* #,##0_);_(* \(#,##0\);_(* "-"??_);_(@_)</c:formatCode>
                <c:ptCount val="5"/>
                <c:pt idx="0">
                  <c:v>81.680075786536335</c:v>
                </c:pt>
                <c:pt idx="1">
                  <c:v>60.929980508815262</c:v>
                </c:pt>
                <c:pt idx="2">
                  <c:v>33.48507083790534</c:v>
                </c:pt>
                <c:pt idx="3">
                  <c:v>28.202132996550773</c:v>
                </c:pt>
                <c:pt idx="4">
                  <c:v>47.229110506429627</c:v>
                </c:pt>
              </c:numCache>
            </c:numRef>
          </c:val>
          <c:extLst>
            <c:ext xmlns:c16="http://schemas.microsoft.com/office/drawing/2014/chart" uri="{C3380CC4-5D6E-409C-BE32-E72D297353CC}">
              <c16:uniqueId val="{00000000-5CCE-42CB-8FBC-E506EBC5B4EF}"/>
            </c:ext>
          </c:extLst>
        </c:ser>
        <c:dLbls>
          <c:showLegendKey val="0"/>
          <c:showVal val="0"/>
          <c:showCatName val="0"/>
          <c:showSerName val="0"/>
          <c:showPercent val="0"/>
          <c:showBubbleSize val="0"/>
        </c:dLbls>
        <c:gapWidth val="219"/>
        <c:axId val="964990256"/>
        <c:axId val="23677184"/>
      </c:barChart>
      <c:lineChart>
        <c:grouping val="standard"/>
        <c:varyColors val="0"/>
        <c:ser>
          <c:idx val="0"/>
          <c:order val="0"/>
          <c:tx>
            <c:strRef>
              <c:f>'G. FA'!$A$54</c:f>
              <c:strCache>
                <c:ptCount val="1"/>
                <c:pt idx="0">
                  <c:v>Days of inventory</c:v>
                </c:pt>
              </c:strCache>
            </c:strRef>
          </c:tx>
          <c:spPr>
            <a:ln w="28575" cap="rnd">
              <a:solidFill>
                <a:schemeClr val="accent1"/>
              </a:solidFill>
              <a:round/>
            </a:ln>
            <a:effectLst/>
          </c:spPr>
          <c:marker>
            <c:symbol val="none"/>
          </c:marker>
          <c:cat>
            <c:strRef>
              <c:f>'G. FA'!$I$1:$M$1</c:f>
              <c:strCache>
                <c:ptCount val="5"/>
                <c:pt idx="0">
                  <c:v>2018A</c:v>
                </c:pt>
                <c:pt idx="1">
                  <c:v>2019A</c:v>
                </c:pt>
                <c:pt idx="2">
                  <c:v>2020A</c:v>
                </c:pt>
                <c:pt idx="3">
                  <c:v>2021A</c:v>
                </c:pt>
                <c:pt idx="4">
                  <c:v>2022A</c:v>
                </c:pt>
              </c:strCache>
            </c:strRef>
          </c:cat>
          <c:val>
            <c:numRef>
              <c:f>'G. FA'!$I$54:$M$54</c:f>
              <c:numCache>
                <c:formatCode>_(* #,##0_);_(* \(#,##0\);_(* "-"??_);_(@_)</c:formatCode>
                <c:ptCount val="5"/>
                <c:pt idx="0">
                  <c:v>72.011043131037511</c:v>
                </c:pt>
                <c:pt idx="1">
                  <c:v>63.618517842796642</c:v>
                </c:pt>
                <c:pt idx="2">
                  <c:v>35.480331909783857</c:v>
                </c:pt>
                <c:pt idx="3">
                  <c:v>34.925668708346308</c:v>
                </c:pt>
                <c:pt idx="4">
                  <c:v>55.045174549683317</c:v>
                </c:pt>
              </c:numCache>
            </c:numRef>
          </c:val>
          <c:smooth val="0"/>
          <c:extLst>
            <c:ext xmlns:c16="http://schemas.microsoft.com/office/drawing/2014/chart" uri="{C3380CC4-5D6E-409C-BE32-E72D297353CC}">
              <c16:uniqueId val="{00000001-5CCE-42CB-8FBC-E506EBC5B4EF}"/>
            </c:ext>
          </c:extLst>
        </c:ser>
        <c:ser>
          <c:idx val="1"/>
          <c:order val="1"/>
          <c:tx>
            <c:strRef>
              <c:f>'G. FA'!$A$55</c:f>
              <c:strCache>
                <c:ptCount val="1"/>
                <c:pt idx="0">
                  <c:v>Days of receivable</c:v>
                </c:pt>
              </c:strCache>
            </c:strRef>
          </c:tx>
          <c:spPr>
            <a:ln w="28575" cap="rnd">
              <a:solidFill>
                <a:schemeClr val="accent2"/>
              </a:solidFill>
              <a:round/>
            </a:ln>
            <a:effectLst/>
          </c:spPr>
          <c:marker>
            <c:symbol val="none"/>
          </c:marker>
          <c:cat>
            <c:strRef>
              <c:f>'G. FA'!$I$1:$M$1</c:f>
              <c:strCache>
                <c:ptCount val="5"/>
                <c:pt idx="0">
                  <c:v>2018A</c:v>
                </c:pt>
                <c:pt idx="1">
                  <c:v>2019A</c:v>
                </c:pt>
                <c:pt idx="2">
                  <c:v>2020A</c:v>
                </c:pt>
                <c:pt idx="3">
                  <c:v>2021A</c:v>
                </c:pt>
                <c:pt idx="4">
                  <c:v>2022A</c:v>
                </c:pt>
              </c:strCache>
            </c:strRef>
          </c:cat>
          <c:val>
            <c:numRef>
              <c:f>'G. FA'!$I$55:$M$55</c:f>
              <c:numCache>
                <c:formatCode>_(* #,##0_);_(* \(#,##0\);_(* "-"??_);_(@_)</c:formatCode>
                <c:ptCount val="5"/>
                <c:pt idx="0">
                  <c:v>33.290422227272195</c:v>
                </c:pt>
                <c:pt idx="1">
                  <c:v>25.488379628991225</c:v>
                </c:pt>
                <c:pt idx="2">
                  <c:v>24.980658783332025</c:v>
                </c:pt>
                <c:pt idx="3">
                  <c:v>25.448539281551263</c:v>
                </c:pt>
                <c:pt idx="4">
                  <c:v>27.879366214160758</c:v>
                </c:pt>
              </c:numCache>
            </c:numRef>
          </c:val>
          <c:smooth val="0"/>
          <c:extLst>
            <c:ext xmlns:c16="http://schemas.microsoft.com/office/drawing/2014/chart" uri="{C3380CC4-5D6E-409C-BE32-E72D297353CC}">
              <c16:uniqueId val="{00000002-5CCE-42CB-8FBC-E506EBC5B4EF}"/>
            </c:ext>
          </c:extLst>
        </c:ser>
        <c:ser>
          <c:idx val="2"/>
          <c:order val="2"/>
          <c:tx>
            <c:strRef>
              <c:f>'G. FA'!$A$56</c:f>
              <c:strCache>
                <c:ptCount val="1"/>
                <c:pt idx="0">
                  <c:v>Days of payable</c:v>
                </c:pt>
              </c:strCache>
            </c:strRef>
          </c:tx>
          <c:spPr>
            <a:ln w="28575" cap="rnd">
              <a:solidFill>
                <a:schemeClr val="accent3"/>
              </a:solidFill>
              <a:round/>
            </a:ln>
            <a:effectLst/>
          </c:spPr>
          <c:marker>
            <c:symbol val="none"/>
          </c:marker>
          <c:cat>
            <c:strRef>
              <c:f>'G. FA'!$I$1:$M$1</c:f>
              <c:strCache>
                <c:ptCount val="5"/>
                <c:pt idx="0">
                  <c:v>2018A</c:v>
                </c:pt>
                <c:pt idx="1">
                  <c:v>2019A</c:v>
                </c:pt>
                <c:pt idx="2">
                  <c:v>2020A</c:v>
                </c:pt>
                <c:pt idx="3">
                  <c:v>2021A</c:v>
                </c:pt>
                <c:pt idx="4">
                  <c:v>2022A</c:v>
                </c:pt>
              </c:strCache>
            </c:strRef>
          </c:cat>
          <c:val>
            <c:numRef>
              <c:f>'G. FA'!$I$56:$M$56</c:f>
              <c:numCache>
                <c:formatCode>_(* #,##0_);_(* \(#,##0\);_(* "-"??_);_(@_)</c:formatCode>
                <c:ptCount val="5"/>
                <c:pt idx="0">
                  <c:v>23.621389571773374</c:v>
                </c:pt>
                <c:pt idx="1">
                  <c:v>28.176916962972616</c:v>
                </c:pt>
                <c:pt idx="2">
                  <c:v>26.975919855210538</c:v>
                </c:pt>
                <c:pt idx="3">
                  <c:v>32.172074993346797</c:v>
                </c:pt>
                <c:pt idx="4">
                  <c:v>35.695430257414451</c:v>
                </c:pt>
              </c:numCache>
            </c:numRef>
          </c:val>
          <c:smooth val="0"/>
          <c:extLst>
            <c:ext xmlns:c16="http://schemas.microsoft.com/office/drawing/2014/chart" uri="{C3380CC4-5D6E-409C-BE32-E72D297353CC}">
              <c16:uniqueId val="{00000003-5CCE-42CB-8FBC-E506EBC5B4EF}"/>
            </c:ext>
          </c:extLst>
        </c:ser>
        <c:dLbls>
          <c:showLegendKey val="0"/>
          <c:showVal val="0"/>
          <c:showCatName val="0"/>
          <c:showSerName val="0"/>
          <c:showPercent val="0"/>
          <c:showBubbleSize val="0"/>
        </c:dLbls>
        <c:marker val="1"/>
        <c:smooth val="0"/>
        <c:axId val="965609376"/>
        <c:axId val="23676704"/>
      </c:lineChart>
      <c:catAx>
        <c:axId val="96560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76704"/>
        <c:crosses val="autoZero"/>
        <c:auto val="1"/>
        <c:lblAlgn val="ctr"/>
        <c:lblOffset val="100"/>
        <c:noMultiLvlLbl val="0"/>
      </c:catAx>
      <c:valAx>
        <c:axId val="236767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09376"/>
        <c:crosses val="autoZero"/>
        <c:crossBetween val="between"/>
      </c:valAx>
      <c:valAx>
        <c:axId val="2367718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90256"/>
        <c:crosses val="max"/>
        <c:crossBetween val="between"/>
      </c:valAx>
      <c:catAx>
        <c:axId val="964990256"/>
        <c:scaling>
          <c:orientation val="minMax"/>
        </c:scaling>
        <c:delete val="1"/>
        <c:axPos val="b"/>
        <c:numFmt formatCode="General" sourceLinked="1"/>
        <c:majorTickMark val="out"/>
        <c:minorTickMark val="none"/>
        <c:tickLblPos val="nextTo"/>
        <c:crossAx val="23677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3"/>
          <c:tx>
            <c:strRef>
              <c:f>'G. FA'!$A$57</c:f>
              <c:strCache>
                <c:ptCount val="1"/>
                <c:pt idx="0">
                  <c:v>Cash conversion cycle</c:v>
                </c:pt>
              </c:strCache>
            </c:strRef>
          </c:tx>
          <c:spPr>
            <a:solidFill>
              <a:schemeClr val="accent4"/>
            </a:solidFill>
            <a:ln>
              <a:noFill/>
            </a:ln>
            <a:effectLst/>
          </c:spPr>
          <c:invertIfNegative val="0"/>
          <c:cat>
            <c:strRef>
              <c:f>'G. FA'!$AW$47:$BR$47</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'G. FA'!$AW$57:$BR$57</c:f>
              <c:numCache>
                <c:formatCode>_(* #,##0_);_(* \(#,##0\);_(* "-"??_);_(@_)</c:formatCode>
                <c:ptCount val="22"/>
                <c:pt idx="0">
                  <c:v>331.76089988577741</c:v>
                </c:pt>
                <c:pt idx="1">
                  <c:v>266.75708178619931</c:v>
                </c:pt>
                <c:pt idx="2">
                  <c:v>219.74934892647633</c:v>
                </c:pt>
                <c:pt idx="3">
                  <c:v>296.65097922843665</c:v>
                </c:pt>
                <c:pt idx="4">
                  <c:v>358.40853619028451</c:v>
                </c:pt>
                <c:pt idx="5">
                  <c:v>262.26284608380661</c:v>
                </c:pt>
                <c:pt idx="6">
                  <c:v>193.76397468247342</c:v>
                </c:pt>
                <c:pt idx="7">
                  <c:v>180.28171319300634</c:v>
                </c:pt>
                <c:pt idx="8">
                  <c:v>193.40114267057001</c:v>
                </c:pt>
                <c:pt idx="9">
                  <c:v>164.90387566259733</c:v>
                </c:pt>
                <c:pt idx="10">
                  <c:v>111.19992909861277</c:v>
                </c:pt>
                <c:pt idx="11">
                  <c:v>79.070157998724056</c:v>
                </c:pt>
                <c:pt idx="12">
                  <c:v>53.920609673359252</c:v>
                </c:pt>
                <c:pt idx="13">
                  <c:v>66.97250261901948</c:v>
                </c:pt>
                <c:pt idx="14">
                  <c:v>114.69390349782924</c:v>
                </c:pt>
                <c:pt idx="15">
                  <c:v>61.324828168536342</c:v>
                </c:pt>
                <c:pt idx="16">
                  <c:v>105.30859672966659</c:v>
                </c:pt>
                <c:pt idx="17">
                  <c:v>215.95898933743939</c:v>
                </c:pt>
                <c:pt idx="18">
                  <c:v>174.57372065850703</c:v>
                </c:pt>
                <c:pt idx="19">
                  <c:v>274.31141438138997</c:v>
                </c:pt>
                <c:pt idx="20">
                  <c:v>301.74900226473983</c:v>
                </c:pt>
                <c:pt idx="21">
                  <c:v>269.05820601466178</c:v>
                </c:pt>
              </c:numCache>
            </c:numRef>
          </c:val>
          <c:extLst>
            <c:ext xmlns:c16="http://schemas.microsoft.com/office/drawing/2014/chart" uri="{C3380CC4-5D6E-409C-BE32-E72D297353CC}">
              <c16:uniqueId val="{00000000-2603-4E69-A295-5A627B6C2C7D}"/>
            </c:ext>
          </c:extLst>
        </c:ser>
        <c:dLbls>
          <c:showLegendKey val="0"/>
          <c:showVal val="0"/>
          <c:showCatName val="0"/>
          <c:showSerName val="0"/>
          <c:showPercent val="0"/>
          <c:showBubbleSize val="0"/>
        </c:dLbls>
        <c:gapWidth val="219"/>
        <c:axId val="249628272"/>
        <c:axId val="246104736"/>
      </c:barChart>
      <c:lineChart>
        <c:grouping val="standard"/>
        <c:varyColors val="0"/>
        <c:ser>
          <c:idx val="0"/>
          <c:order val="0"/>
          <c:tx>
            <c:strRef>
              <c:f>'G. FA'!$A$54</c:f>
              <c:strCache>
                <c:ptCount val="1"/>
                <c:pt idx="0">
                  <c:v>Days of inventory</c:v>
                </c:pt>
              </c:strCache>
            </c:strRef>
          </c:tx>
          <c:spPr>
            <a:ln w="28575" cap="rnd">
              <a:solidFill>
                <a:schemeClr val="accent1"/>
              </a:solidFill>
              <a:round/>
            </a:ln>
            <a:effectLst/>
          </c:spPr>
          <c:marker>
            <c:symbol val="none"/>
          </c:marker>
          <c:cat>
            <c:strRef>
              <c:f>'G. FA'!$AW$47:$BR$47</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'G. FA'!$AW$54:$BR$54</c:f>
              <c:numCache>
                <c:formatCode>_(* #,##0_);_(* \(#,##0\);_(* "-"??_);_(@_)</c:formatCode>
                <c:ptCount val="22"/>
                <c:pt idx="0">
                  <c:v>182.76948252325084</c:v>
                </c:pt>
                <c:pt idx="1">
                  <c:v>178.6133880146148</c:v>
                </c:pt>
                <c:pt idx="2">
                  <c:v>148.60276627426742</c:v>
                </c:pt>
                <c:pt idx="3">
                  <c:v>249.61932463357567</c:v>
                </c:pt>
                <c:pt idx="4">
                  <c:v>313.11058168537812</c:v>
                </c:pt>
                <c:pt idx="5">
                  <c:v>182.43405693323587</c:v>
                </c:pt>
                <c:pt idx="6">
                  <c:v>136.20410153293236</c:v>
                </c:pt>
                <c:pt idx="7">
                  <c:v>181.67386088076049</c:v>
                </c:pt>
                <c:pt idx="8">
                  <c:v>195.3722164934974</c:v>
                </c:pt>
                <c:pt idx="9">
                  <c:v>140.77463968886732</c:v>
                </c:pt>
                <c:pt idx="10">
                  <c:v>98.078619957828636</c:v>
                </c:pt>
                <c:pt idx="11">
                  <c:v>78.708153934314055</c:v>
                </c:pt>
                <c:pt idx="12">
                  <c:v>58.154904835786567</c:v>
                </c:pt>
                <c:pt idx="13">
                  <c:v>76.56684408024509</c:v>
                </c:pt>
                <c:pt idx="14">
                  <c:v>98.156704312452788</c:v>
                </c:pt>
                <c:pt idx="15">
                  <c:v>94.336399189489171</c:v>
                </c:pt>
                <c:pt idx="16">
                  <c:v>177.28189209667056</c:v>
                </c:pt>
                <c:pt idx="17">
                  <c:v>274.7014702447774</c:v>
                </c:pt>
                <c:pt idx="18">
                  <c:v>197.34891893176109</c:v>
                </c:pt>
                <c:pt idx="19">
                  <c:v>302.57847872271708</c:v>
                </c:pt>
                <c:pt idx="20">
                  <c:v>310.17482179817944</c:v>
                </c:pt>
                <c:pt idx="21">
                  <c:v>244.28581690382273</c:v>
                </c:pt>
              </c:numCache>
            </c:numRef>
          </c:val>
          <c:smooth val="0"/>
          <c:extLst>
            <c:ext xmlns:c16="http://schemas.microsoft.com/office/drawing/2014/chart" uri="{C3380CC4-5D6E-409C-BE32-E72D297353CC}">
              <c16:uniqueId val="{00000001-2603-4E69-A295-5A627B6C2C7D}"/>
            </c:ext>
          </c:extLst>
        </c:ser>
        <c:ser>
          <c:idx val="1"/>
          <c:order val="1"/>
          <c:tx>
            <c:strRef>
              <c:f>'G. FA'!$A$55</c:f>
              <c:strCache>
                <c:ptCount val="1"/>
                <c:pt idx="0">
                  <c:v>Days of receivable</c:v>
                </c:pt>
              </c:strCache>
            </c:strRef>
          </c:tx>
          <c:spPr>
            <a:ln w="28575" cap="rnd">
              <a:solidFill>
                <a:schemeClr val="accent2"/>
              </a:solidFill>
              <a:round/>
            </a:ln>
            <a:effectLst/>
          </c:spPr>
          <c:marker>
            <c:symbol val="none"/>
          </c:marker>
          <c:cat>
            <c:strRef>
              <c:f>'G. FA'!$AW$47:$BR$47</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'G. FA'!$AW$55:$BR$55</c:f>
              <c:numCache>
                <c:formatCode>_(* #,##0_);_(* \(#,##0\);_(* "-"??_);_(@_)</c:formatCode>
                <c:ptCount val="22"/>
                <c:pt idx="0">
                  <c:v>167.99522906105756</c:v>
                </c:pt>
                <c:pt idx="1">
                  <c:v>141.91219568204576</c:v>
                </c:pt>
                <c:pt idx="2">
                  <c:v>130.59007785130353</c:v>
                </c:pt>
                <c:pt idx="3">
                  <c:v>159.32084978198156</c:v>
                </c:pt>
                <c:pt idx="4">
                  <c:v>162.78417093363095</c:v>
                </c:pt>
                <c:pt idx="5">
                  <c:v>137.03369667502622</c:v>
                </c:pt>
                <c:pt idx="6">
                  <c:v>127.21385709741566</c:v>
                </c:pt>
                <c:pt idx="7">
                  <c:v>110.35623753344622</c:v>
                </c:pt>
                <c:pt idx="8">
                  <c:v>107.13744066287462</c:v>
                </c:pt>
                <c:pt idx="9">
                  <c:v>106.08673160597824</c:v>
                </c:pt>
                <c:pt idx="10">
                  <c:v>90.830309597113811</c:v>
                </c:pt>
                <c:pt idx="11">
                  <c:v>100.82510151750013</c:v>
                </c:pt>
                <c:pt idx="12">
                  <c:v>100.75556782377909</c:v>
                </c:pt>
                <c:pt idx="13">
                  <c:v>122.09788514653413</c:v>
                </c:pt>
                <c:pt idx="14">
                  <c:v>152.49077693799953</c:v>
                </c:pt>
                <c:pt idx="15">
                  <c:v>88.532997447763307</c:v>
                </c:pt>
                <c:pt idx="16">
                  <c:v>104.34051829965171</c:v>
                </c:pt>
                <c:pt idx="17">
                  <c:v>160.23012110753416</c:v>
                </c:pt>
                <c:pt idx="18">
                  <c:v>132.3238762102919</c:v>
                </c:pt>
                <c:pt idx="19">
                  <c:v>171.88939750803684</c:v>
                </c:pt>
                <c:pt idx="20">
                  <c:v>168.88378610839999</c:v>
                </c:pt>
                <c:pt idx="21">
                  <c:v>176.3845555504835</c:v>
                </c:pt>
              </c:numCache>
            </c:numRef>
          </c:val>
          <c:smooth val="0"/>
          <c:extLst>
            <c:ext xmlns:c16="http://schemas.microsoft.com/office/drawing/2014/chart" uri="{C3380CC4-5D6E-409C-BE32-E72D297353CC}">
              <c16:uniqueId val="{00000002-2603-4E69-A295-5A627B6C2C7D}"/>
            </c:ext>
          </c:extLst>
        </c:ser>
        <c:ser>
          <c:idx val="2"/>
          <c:order val="2"/>
          <c:tx>
            <c:strRef>
              <c:f>'G. FA'!$A$56</c:f>
              <c:strCache>
                <c:ptCount val="1"/>
                <c:pt idx="0">
                  <c:v>Days of payable</c:v>
                </c:pt>
              </c:strCache>
            </c:strRef>
          </c:tx>
          <c:spPr>
            <a:ln w="28575" cap="rnd">
              <a:solidFill>
                <a:schemeClr val="accent3"/>
              </a:solidFill>
              <a:round/>
            </a:ln>
            <a:effectLst/>
          </c:spPr>
          <c:marker>
            <c:symbol val="none"/>
          </c:marker>
          <c:cat>
            <c:strRef>
              <c:f>'G. FA'!$AW$47:$BR$47</c:f>
              <c:strCache>
                <c:ptCount val="22"/>
                <c:pt idx="0">
                  <c:v>Q1/2018</c:v>
                </c:pt>
                <c:pt idx="1">
                  <c:v>Q2/2018</c:v>
                </c:pt>
                <c:pt idx="2">
                  <c:v>Q3/2018</c:v>
                </c:pt>
                <c:pt idx="3">
                  <c:v>Q4/2018</c:v>
                </c:pt>
                <c:pt idx="4">
                  <c:v>Q1/2019</c:v>
                </c:pt>
                <c:pt idx="5">
                  <c:v>Q2/2019</c:v>
                </c:pt>
                <c:pt idx="6">
                  <c:v>Q3/2019</c:v>
                </c:pt>
                <c:pt idx="7">
                  <c:v>Q4/2019</c:v>
                </c:pt>
                <c:pt idx="8">
                  <c:v>Q1/2020</c:v>
                </c:pt>
                <c:pt idx="9">
                  <c:v>Q2/2020</c:v>
                </c:pt>
                <c:pt idx="10">
                  <c:v>Q3/2020</c:v>
                </c:pt>
                <c:pt idx="11">
                  <c:v>Q4/2020</c:v>
                </c:pt>
                <c:pt idx="12">
                  <c:v>Q1/2021</c:v>
                </c:pt>
                <c:pt idx="13">
                  <c:v>Q2/2021</c:v>
                </c:pt>
                <c:pt idx="14">
                  <c:v>Q3/2021</c:v>
                </c:pt>
                <c:pt idx="15">
                  <c:v>Q4/2021</c:v>
                </c:pt>
                <c:pt idx="16">
                  <c:v>Q1/2022</c:v>
                </c:pt>
                <c:pt idx="17">
                  <c:v>Q2/2022</c:v>
                </c:pt>
                <c:pt idx="18">
                  <c:v>Q3/2022</c:v>
                </c:pt>
                <c:pt idx="19">
                  <c:v>Q4/2022</c:v>
                </c:pt>
                <c:pt idx="20">
                  <c:v>Q1/2023</c:v>
                </c:pt>
                <c:pt idx="21">
                  <c:v>Q2/2023</c:v>
                </c:pt>
              </c:strCache>
            </c:strRef>
          </c:cat>
          <c:val>
            <c:numRef>
              <c:f>'G. FA'!$AW$56:$BR$56</c:f>
              <c:numCache>
                <c:formatCode>_(* #,##0_);_(* \(#,##0\);_(* "-"??_);_(@_)</c:formatCode>
                <c:ptCount val="22"/>
                <c:pt idx="0">
                  <c:v>19.003811698531031</c:v>
                </c:pt>
                <c:pt idx="1">
                  <c:v>53.768501910461218</c:v>
                </c:pt>
                <c:pt idx="2">
                  <c:v>59.443495199094635</c:v>
                </c:pt>
                <c:pt idx="3">
                  <c:v>112.28919518712055</c:v>
                </c:pt>
                <c:pt idx="4">
                  <c:v>117.48621642872455</c:v>
                </c:pt>
                <c:pt idx="5">
                  <c:v>57.204907524455507</c:v>
                </c:pt>
                <c:pt idx="6">
                  <c:v>69.653983947874636</c:v>
                </c:pt>
                <c:pt idx="7">
                  <c:v>111.74838522120037</c:v>
                </c:pt>
                <c:pt idx="8">
                  <c:v>109.10851448580203</c:v>
                </c:pt>
                <c:pt idx="9">
                  <c:v>81.957495632248268</c:v>
                </c:pt>
                <c:pt idx="10">
                  <c:v>77.70900045632969</c:v>
                </c:pt>
                <c:pt idx="11">
                  <c:v>100.46309745309011</c:v>
                </c:pt>
                <c:pt idx="12">
                  <c:v>104.98986298620639</c:v>
                </c:pt>
                <c:pt idx="13">
                  <c:v>131.69222660775975</c:v>
                </c:pt>
                <c:pt idx="14">
                  <c:v>135.95357775262306</c:v>
                </c:pt>
                <c:pt idx="15">
                  <c:v>121.54456846871612</c:v>
                </c:pt>
                <c:pt idx="16">
                  <c:v>176.31381366665568</c:v>
                </c:pt>
                <c:pt idx="17">
                  <c:v>218.97260201487217</c:v>
                </c:pt>
                <c:pt idx="18">
                  <c:v>155.09907448354599</c:v>
                </c:pt>
                <c:pt idx="19">
                  <c:v>200.15646184936395</c:v>
                </c:pt>
                <c:pt idx="20">
                  <c:v>177.30960564183962</c:v>
                </c:pt>
                <c:pt idx="21">
                  <c:v>151.61216643964445</c:v>
                </c:pt>
              </c:numCache>
            </c:numRef>
          </c:val>
          <c:smooth val="0"/>
          <c:extLst>
            <c:ext xmlns:c16="http://schemas.microsoft.com/office/drawing/2014/chart" uri="{C3380CC4-5D6E-409C-BE32-E72D297353CC}">
              <c16:uniqueId val="{00000003-2603-4E69-A295-5A627B6C2C7D}"/>
            </c:ext>
          </c:extLst>
        </c:ser>
        <c:dLbls>
          <c:showLegendKey val="0"/>
          <c:showVal val="0"/>
          <c:showCatName val="0"/>
          <c:showSerName val="0"/>
          <c:showPercent val="0"/>
          <c:showBubbleSize val="0"/>
        </c:dLbls>
        <c:marker val="1"/>
        <c:smooth val="0"/>
        <c:axId val="253749968"/>
        <c:axId val="246102336"/>
      </c:lineChart>
      <c:catAx>
        <c:axId val="25374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102336"/>
        <c:crosses val="autoZero"/>
        <c:auto val="1"/>
        <c:lblAlgn val="ctr"/>
        <c:lblOffset val="100"/>
        <c:noMultiLvlLbl val="0"/>
      </c:catAx>
      <c:valAx>
        <c:axId val="2461023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749968"/>
        <c:crosses val="autoZero"/>
        <c:crossBetween val="between"/>
      </c:valAx>
      <c:valAx>
        <c:axId val="24610473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28272"/>
        <c:crosses val="max"/>
        <c:crossBetween val="between"/>
      </c:valAx>
      <c:catAx>
        <c:axId val="249628272"/>
        <c:scaling>
          <c:orientation val="minMax"/>
        </c:scaling>
        <c:delete val="1"/>
        <c:axPos val="b"/>
        <c:numFmt formatCode="General" sourceLinked="1"/>
        <c:majorTickMark val="out"/>
        <c:minorTickMark val="none"/>
        <c:tickLblPos val="nextTo"/>
        <c:crossAx val="2461047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 ICT Market'!$A$102</c:f>
              <c:strCache>
                <c:ptCount val="1"/>
                <c:pt idx="0">
                  <c:v>Total</c:v>
                </c:pt>
              </c:strCache>
            </c:strRef>
          </c:tx>
          <c:spPr>
            <a:solidFill>
              <a:schemeClr val="accent1"/>
            </a:solidFill>
            <a:ln>
              <a:noFill/>
            </a:ln>
            <a:effectLst/>
          </c:spPr>
          <c:invertIfNegative val="0"/>
          <c:cat>
            <c:strRef>
              <c:f>'C. ICT Market'!$B$95:$Q$95</c:f>
              <c:strCache>
                <c:ptCount val="16"/>
                <c:pt idx="0">
                  <c:v> Q1.2020 </c:v>
                </c:pt>
                <c:pt idx="1">
                  <c:v> Q2.2020 </c:v>
                </c:pt>
                <c:pt idx="2">
                  <c:v> Q3.2020 </c:v>
                </c:pt>
                <c:pt idx="3">
                  <c:v> Q4.2020 </c:v>
                </c:pt>
                <c:pt idx="4">
                  <c:v> Q1.2021 </c:v>
                </c:pt>
                <c:pt idx="5">
                  <c:v> Q2.2021 </c:v>
                </c:pt>
                <c:pt idx="6">
                  <c:v> Q3.2021 </c:v>
                </c:pt>
                <c:pt idx="7">
                  <c:v> Q4.2021 </c:v>
                </c:pt>
                <c:pt idx="8">
                  <c:v> Q1.2022 </c:v>
                </c:pt>
                <c:pt idx="9">
                  <c:v> Q2.2022 </c:v>
                </c:pt>
                <c:pt idx="10">
                  <c:v> Q3.2022 </c:v>
                </c:pt>
                <c:pt idx="11">
                  <c:v> Q4.2022 </c:v>
                </c:pt>
                <c:pt idx="12">
                  <c:v> Q1.2023 </c:v>
                </c:pt>
                <c:pt idx="13">
                  <c:v> Q2.2023 </c:v>
                </c:pt>
                <c:pt idx="14">
                  <c:v> Q3.2023 </c:v>
                </c:pt>
                <c:pt idx="15">
                  <c:v> Q4.2023 </c:v>
                </c:pt>
              </c:strCache>
            </c:strRef>
          </c:cat>
          <c:val>
            <c:numRef>
              <c:f>'C. ICT Market'!$B$102:$Q$102</c:f>
              <c:numCache>
                <c:formatCode>_(* #,##0_);_(* \(#,##0\);_(* "-"??_);_(@_)</c:formatCode>
                <c:ptCount val="16"/>
                <c:pt idx="0">
                  <c:v>3363888.4992707199</c:v>
                </c:pt>
                <c:pt idx="1">
                  <c:v>2902598.0948275132</c:v>
                </c:pt>
                <c:pt idx="2">
                  <c:v>3123945.1125768479</c:v>
                </c:pt>
                <c:pt idx="3">
                  <c:v>3964582.8741404871</c:v>
                </c:pt>
                <c:pt idx="4">
                  <c:v>4255318.9515774604</c:v>
                </c:pt>
                <c:pt idx="5">
                  <c:v>3221883.88525854</c:v>
                </c:pt>
                <c:pt idx="6">
                  <c:v>2249240.4810553305</c:v>
                </c:pt>
                <c:pt idx="7">
                  <c:v>4559270.3052615589</c:v>
                </c:pt>
                <c:pt idx="8">
                  <c:v>4133739.10579326</c:v>
                </c:pt>
                <c:pt idx="9">
                  <c:v>3130699.870532189</c:v>
                </c:pt>
                <c:pt idx="10">
                  <c:v>3069908.2084164899</c:v>
                </c:pt>
                <c:pt idx="11">
                  <c:v>3799391.9210513001</c:v>
                </c:pt>
                <c:pt idx="12">
                  <c:v>2887537.8599989894</c:v>
                </c:pt>
                <c:pt idx="13">
                  <c:v>2379331.9016044643</c:v>
                </c:pt>
                <c:pt idx="14">
                  <c:v>2974164.8770055803</c:v>
                </c:pt>
                <c:pt idx="15">
                  <c:v>3271581.3647061391</c:v>
                </c:pt>
              </c:numCache>
            </c:numRef>
          </c:val>
          <c:extLst>
            <c:ext xmlns:c16="http://schemas.microsoft.com/office/drawing/2014/chart" uri="{C3380CC4-5D6E-409C-BE32-E72D297353CC}">
              <c16:uniqueId val="{00000000-F5FF-440D-889A-C52C24524666}"/>
            </c:ext>
          </c:extLst>
        </c:ser>
        <c:dLbls>
          <c:showLegendKey val="0"/>
          <c:showVal val="0"/>
          <c:showCatName val="0"/>
          <c:showSerName val="0"/>
          <c:showPercent val="0"/>
          <c:showBubbleSize val="0"/>
        </c:dLbls>
        <c:gapWidth val="219"/>
        <c:overlap val="-27"/>
        <c:axId val="890378272"/>
        <c:axId val="952359200"/>
      </c:barChart>
      <c:lineChart>
        <c:grouping val="standard"/>
        <c:varyColors val="0"/>
        <c:ser>
          <c:idx val="1"/>
          <c:order val="1"/>
          <c:tx>
            <c:strRef>
              <c:f>'C. ICT Market'!$A$111</c:f>
              <c:strCache>
                <c:ptCount val="1"/>
                <c:pt idx="0">
                  <c:v>% yoy</c:v>
                </c:pt>
              </c:strCache>
            </c:strRef>
          </c:tx>
          <c:spPr>
            <a:ln w="28575" cap="rnd">
              <a:solidFill>
                <a:schemeClr val="accent2"/>
              </a:solidFill>
              <a:round/>
            </a:ln>
            <a:effectLst/>
          </c:spPr>
          <c:marker>
            <c:symbol val="none"/>
          </c:marker>
          <c:cat>
            <c:strRef>
              <c:f>'C. ICT Market'!$B$95:$Q$95</c:f>
              <c:strCache>
                <c:ptCount val="16"/>
                <c:pt idx="0">
                  <c:v> Q1.2020 </c:v>
                </c:pt>
                <c:pt idx="1">
                  <c:v> Q2.2020 </c:v>
                </c:pt>
                <c:pt idx="2">
                  <c:v> Q3.2020 </c:v>
                </c:pt>
                <c:pt idx="3">
                  <c:v> Q4.2020 </c:v>
                </c:pt>
                <c:pt idx="4">
                  <c:v> Q1.2021 </c:v>
                </c:pt>
                <c:pt idx="5">
                  <c:v> Q2.2021 </c:v>
                </c:pt>
                <c:pt idx="6">
                  <c:v> Q3.2021 </c:v>
                </c:pt>
                <c:pt idx="7">
                  <c:v> Q4.2021 </c:v>
                </c:pt>
                <c:pt idx="8">
                  <c:v> Q1.2022 </c:v>
                </c:pt>
                <c:pt idx="9">
                  <c:v> Q2.2022 </c:v>
                </c:pt>
                <c:pt idx="10">
                  <c:v> Q3.2022 </c:v>
                </c:pt>
                <c:pt idx="11">
                  <c:v> Q4.2022 </c:v>
                </c:pt>
                <c:pt idx="12">
                  <c:v> Q1.2023 </c:v>
                </c:pt>
                <c:pt idx="13">
                  <c:v> Q2.2023 </c:v>
                </c:pt>
                <c:pt idx="14">
                  <c:v> Q3.2023 </c:v>
                </c:pt>
                <c:pt idx="15">
                  <c:v> Q4.2023 </c:v>
                </c:pt>
              </c:strCache>
            </c:strRef>
          </c:cat>
          <c:val>
            <c:numRef>
              <c:f>'C. ICT Market'!$B$111:$Q$111</c:f>
              <c:numCache>
                <c:formatCode>General</c:formatCode>
                <c:ptCount val="16"/>
                <c:pt idx="0">
                  <c:v>0</c:v>
                </c:pt>
                <c:pt idx="1">
                  <c:v>0</c:v>
                </c:pt>
                <c:pt idx="2">
                  <c:v>0</c:v>
                </c:pt>
                <c:pt idx="3">
                  <c:v>0</c:v>
                </c:pt>
                <c:pt idx="4" formatCode="0%">
                  <c:v>0.2649999999999999</c:v>
                </c:pt>
                <c:pt idx="5" formatCode="0%">
                  <c:v>0.1100000000000001</c:v>
                </c:pt>
                <c:pt idx="6" formatCode="0%">
                  <c:v>-0.28000000000000003</c:v>
                </c:pt>
                <c:pt idx="7" formatCode="0%">
                  <c:v>0.14999999999999969</c:v>
                </c:pt>
                <c:pt idx="8" formatCode="0%">
                  <c:v>-2.857126508440222E-2</c:v>
                </c:pt>
                <c:pt idx="9" formatCode="0%">
                  <c:v>-2.8301459013950092E-2</c:v>
                </c:pt>
                <c:pt idx="10" formatCode="0%">
                  <c:v>0.36486437723017806</c:v>
                </c:pt>
                <c:pt idx="11" formatCode="0%">
                  <c:v>-0.16666666666666641</c:v>
                </c:pt>
                <c:pt idx="12" formatCode="0%">
                  <c:v>-0.30147070579460911</c:v>
                </c:pt>
                <c:pt idx="13" formatCode="0%">
                  <c:v>-0.23999999999999977</c:v>
                </c:pt>
                <c:pt idx="14" formatCode="0%">
                  <c:v>-3.1187685399979959E-2</c:v>
                </c:pt>
                <c:pt idx="15" formatCode="0%">
                  <c:v>-0.13891974487304659</c:v>
                </c:pt>
              </c:numCache>
            </c:numRef>
          </c:val>
          <c:smooth val="0"/>
          <c:extLst>
            <c:ext xmlns:c16="http://schemas.microsoft.com/office/drawing/2014/chart" uri="{C3380CC4-5D6E-409C-BE32-E72D297353CC}">
              <c16:uniqueId val="{00000001-F5FF-440D-889A-C52C24524666}"/>
            </c:ext>
          </c:extLst>
        </c:ser>
        <c:dLbls>
          <c:showLegendKey val="0"/>
          <c:showVal val="0"/>
          <c:showCatName val="0"/>
          <c:showSerName val="0"/>
          <c:showPercent val="0"/>
          <c:showBubbleSize val="0"/>
        </c:dLbls>
        <c:marker val="1"/>
        <c:smooth val="0"/>
        <c:axId val="1031876560"/>
        <c:axId val="952363168"/>
      </c:lineChart>
      <c:catAx>
        <c:axId val="89037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59200"/>
        <c:crosses val="autoZero"/>
        <c:auto val="1"/>
        <c:lblAlgn val="ctr"/>
        <c:lblOffset val="100"/>
        <c:noMultiLvlLbl val="0"/>
      </c:catAx>
      <c:valAx>
        <c:axId val="9523592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378272"/>
        <c:crosses val="autoZero"/>
        <c:crossBetween val="between"/>
      </c:valAx>
      <c:valAx>
        <c:axId val="9523631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76560"/>
        <c:crosses val="max"/>
        <c:crossBetween val="between"/>
      </c:valAx>
      <c:catAx>
        <c:axId val="1031876560"/>
        <c:scaling>
          <c:orientation val="minMax"/>
        </c:scaling>
        <c:delete val="1"/>
        <c:axPos val="b"/>
        <c:numFmt formatCode="General" sourceLinked="1"/>
        <c:majorTickMark val="out"/>
        <c:minorTickMark val="none"/>
        <c:tickLblPos val="nextTo"/>
        <c:crossAx val="9523631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Chart Title</a:t>
          </a:r>
        </a:p>
      </cx:txPr>
    </cx:title>
    <cx:plotArea>
      <cx:plotAreaRegion>
        <cx:series layoutId="clusteredColumn" uniqueId="{4EC0A9E8-D161-4409-9752-295332B7E86E}">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9" Type="http://schemas.openxmlformats.org/officeDocument/2006/relationships/image" Target="../media/image51.png"/><Relationship Id="rId21" Type="http://schemas.openxmlformats.org/officeDocument/2006/relationships/image" Target="../media/image34.png"/><Relationship Id="rId34" Type="http://schemas.openxmlformats.org/officeDocument/2006/relationships/image" Target="../media/image47.png"/><Relationship Id="rId42" Type="http://schemas.openxmlformats.org/officeDocument/2006/relationships/image" Target="../media/image54.png"/><Relationship Id="rId47" Type="http://schemas.openxmlformats.org/officeDocument/2006/relationships/image" Target="../media/image58.png"/><Relationship Id="rId50" Type="http://schemas.openxmlformats.org/officeDocument/2006/relationships/chart" Target="../charts/chart9.xml"/><Relationship Id="rId55" Type="http://schemas.openxmlformats.org/officeDocument/2006/relationships/image" Target="../media/image63.png"/><Relationship Id="rId7" Type="http://schemas.openxmlformats.org/officeDocument/2006/relationships/image" Target="../media/image20.png"/><Relationship Id="rId2" Type="http://schemas.openxmlformats.org/officeDocument/2006/relationships/image" Target="../media/image15.png"/><Relationship Id="rId16" Type="http://schemas.openxmlformats.org/officeDocument/2006/relationships/image" Target="../media/image29.png"/><Relationship Id="rId29" Type="http://schemas.openxmlformats.org/officeDocument/2006/relationships/image" Target="../media/image42.png"/><Relationship Id="rId11" Type="http://schemas.openxmlformats.org/officeDocument/2006/relationships/image" Target="../media/image24.png"/><Relationship Id="rId24" Type="http://schemas.openxmlformats.org/officeDocument/2006/relationships/image" Target="../media/image37.png"/><Relationship Id="rId32" Type="http://schemas.openxmlformats.org/officeDocument/2006/relationships/image" Target="../media/image45.png"/><Relationship Id="rId37" Type="http://schemas.openxmlformats.org/officeDocument/2006/relationships/chart" Target="../charts/chart6.xml"/><Relationship Id="rId40" Type="http://schemas.openxmlformats.org/officeDocument/2006/relationships/image" Target="../media/image52.png"/><Relationship Id="rId45" Type="http://schemas.openxmlformats.org/officeDocument/2006/relationships/image" Target="../media/image57.png"/><Relationship Id="rId53" Type="http://schemas.openxmlformats.org/officeDocument/2006/relationships/image" Target="../media/image61.png"/><Relationship Id="rId58" Type="http://schemas.openxmlformats.org/officeDocument/2006/relationships/image" Target="../media/image66.png"/><Relationship Id="rId5" Type="http://schemas.openxmlformats.org/officeDocument/2006/relationships/image" Target="../media/image18.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png"/><Relationship Id="rId30" Type="http://schemas.openxmlformats.org/officeDocument/2006/relationships/image" Target="../media/image43.png"/><Relationship Id="rId35" Type="http://schemas.openxmlformats.org/officeDocument/2006/relationships/image" Target="../media/image48.png"/><Relationship Id="rId43" Type="http://schemas.openxmlformats.org/officeDocument/2006/relationships/image" Target="../media/image55.png"/><Relationship Id="rId48" Type="http://schemas.openxmlformats.org/officeDocument/2006/relationships/image" Target="../media/image59.png"/><Relationship Id="rId56" Type="http://schemas.openxmlformats.org/officeDocument/2006/relationships/image" Target="../media/image64.png"/><Relationship Id="rId8" Type="http://schemas.openxmlformats.org/officeDocument/2006/relationships/image" Target="../media/image21.png"/><Relationship Id="rId51" Type="http://schemas.openxmlformats.org/officeDocument/2006/relationships/chart" Target="../charts/chart10.xml"/><Relationship Id="rId3" Type="http://schemas.openxmlformats.org/officeDocument/2006/relationships/image" Target="../media/image16.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33" Type="http://schemas.openxmlformats.org/officeDocument/2006/relationships/image" Target="../media/image46.png"/><Relationship Id="rId38" Type="http://schemas.openxmlformats.org/officeDocument/2006/relationships/image" Target="../media/image50.png"/><Relationship Id="rId46" Type="http://schemas.openxmlformats.org/officeDocument/2006/relationships/chart" Target="../charts/chart7.xml"/><Relationship Id="rId59" Type="http://schemas.openxmlformats.org/officeDocument/2006/relationships/image" Target="../media/image67.png"/><Relationship Id="rId20" Type="http://schemas.openxmlformats.org/officeDocument/2006/relationships/image" Target="../media/image33.png"/><Relationship Id="rId41" Type="http://schemas.openxmlformats.org/officeDocument/2006/relationships/image" Target="../media/image53.png"/><Relationship Id="rId54" Type="http://schemas.openxmlformats.org/officeDocument/2006/relationships/image" Target="../media/image62.png"/><Relationship Id="rId1" Type="http://schemas.openxmlformats.org/officeDocument/2006/relationships/image" Target="../media/image14.png"/><Relationship Id="rId6" Type="http://schemas.openxmlformats.org/officeDocument/2006/relationships/image" Target="../media/image19.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36" Type="http://schemas.openxmlformats.org/officeDocument/2006/relationships/image" Target="../media/image49.png"/><Relationship Id="rId49" Type="http://schemas.openxmlformats.org/officeDocument/2006/relationships/chart" Target="../charts/chart8.xml"/><Relationship Id="rId57" Type="http://schemas.openxmlformats.org/officeDocument/2006/relationships/image" Target="../media/image65.png"/><Relationship Id="rId10" Type="http://schemas.openxmlformats.org/officeDocument/2006/relationships/image" Target="../media/image23.png"/><Relationship Id="rId31" Type="http://schemas.openxmlformats.org/officeDocument/2006/relationships/image" Target="../media/image44.png"/><Relationship Id="rId44" Type="http://schemas.openxmlformats.org/officeDocument/2006/relationships/image" Target="../media/image56.png"/><Relationship Id="rId52" Type="http://schemas.openxmlformats.org/officeDocument/2006/relationships/image" Target="../media/image60.png"/><Relationship Id="rId60" Type="http://schemas.openxmlformats.org/officeDocument/2006/relationships/image" Target="../media/image68.png"/></Relationships>
</file>

<file path=xl/drawings/_rels/drawing8.xml.rels><?xml version="1.0" encoding="UTF-8" standalone="yes"?>
<Relationships xmlns="http://schemas.openxmlformats.org/package/2006/relationships"><Relationship Id="rId1" Type="http://schemas.openxmlformats.org/officeDocument/2006/relationships/image" Target="../media/image69.png"/></Relationships>
</file>

<file path=xl/drawings/_rels/drawing9.xml.rels><?xml version="1.0" encoding="UTF-8" standalone="yes"?>
<Relationships xmlns="http://schemas.openxmlformats.org/package/2006/relationships"><Relationship Id="rId1" Type="http://schemas.openxmlformats.org/officeDocument/2006/relationships/image" Target="../media/image70.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71.png"/><Relationship Id="rId18" Type="http://schemas.openxmlformats.org/officeDocument/2006/relationships/chart" Target="../charts/chart24.xml"/><Relationship Id="rId26" Type="http://schemas.openxmlformats.org/officeDocument/2006/relationships/image" Target="../media/image82.png"/><Relationship Id="rId3" Type="http://schemas.openxmlformats.org/officeDocument/2006/relationships/chart" Target="../charts/chart13.xml"/><Relationship Id="rId21" Type="http://schemas.openxmlformats.org/officeDocument/2006/relationships/image" Target="../media/image77.png"/><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3.xml"/><Relationship Id="rId25" Type="http://schemas.openxmlformats.org/officeDocument/2006/relationships/image" Target="../media/image81.png"/><Relationship Id="rId2" Type="http://schemas.openxmlformats.org/officeDocument/2006/relationships/chart" Target="../charts/chart12.xml"/><Relationship Id="rId16" Type="http://schemas.openxmlformats.org/officeDocument/2006/relationships/image" Target="../media/image74.png"/><Relationship Id="rId20" Type="http://schemas.openxmlformats.org/officeDocument/2006/relationships/image" Target="../media/image76.pn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image" Target="../media/image80.png"/><Relationship Id="rId5" Type="http://schemas.openxmlformats.org/officeDocument/2006/relationships/chart" Target="../charts/chart15.xml"/><Relationship Id="rId15" Type="http://schemas.openxmlformats.org/officeDocument/2006/relationships/image" Target="../media/image73.png"/><Relationship Id="rId23" Type="http://schemas.openxmlformats.org/officeDocument/2006/relationships/image" Target="../media/image79.png"/><Relationship Id="rId10" Type="http://schemas.openxmlformats.org/officeDocument/2006/relationships/chart" Target="../charts/chart20.xml"/><Relationship Id="rId19" Type="http://schemas.openxmlformats.org/officeDocument/2006/relationships/image" Target="../media/image75.png"/><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72.png"/><Relationship Id="rId22" Type="http://schemas.openxmlformats.org/officeDocument/2006/relationships/image" Target="../media/image7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image" Target="../media/image85.png"/><Relationship Id="rId1" Type="http://schemas.openxmlformats.org/officeDocument/2006/relationships/image" Target="../media/image84.png"/><Relationship Id="rId4"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 Type="http://schemas.openxmlformats.org/officeDocument/2006/relationships/image" Target="../media/image89.png"/><Relationship Id="rId21" Type="http://schemas.openxmlformats.org/officeDocument/2006/relationships/image" Target="../media/image107.png"/><Relationship Id="rId34" Type="http://schemas.openxmlformats.org/officeDocument/2006/relationships/image" Target="../media/image120.png"/><Relationship Id="rId7" Type="http://schemas.openxmlformats.org/officeDocument/2006/relationships/image" Target="../media/image93.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9.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8.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7.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116.png"/><Relationship Id="rId8" Type="http://schemas.openxmlformats.org/officeDocument/2006/relationships/image" Target="../media/image9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2.png"/></Relationships>
</file>

<file path=xl/drawings/drawing1.xml><?xml version="1.0" encoding="utf-8"?>
<xdr:wsDr xmlns:xdr="http://schemas.openxmlformats.org/drawingml/2006/spreadsheetDrawing" xmlns:a="http://schemas.openxmlformats.org/drawingml/2006/main">
  <xdr:twoCellAnchor editAs="oneCell">
    <xdr:from>
      <xdr:col>12</xdr:col>
      <xdr:colOff>781050</xdr:colOff>
      <xdr:row>24</xdr:row>
      <xdr:rowOff>76200</xdr:rowOff>
    </xdr:from>
    <xdr:to>
      <xdr:col>19</xdr:col>
      <xdr:colOff>255270</xdr:colOff>
      <xdr:row>49</xdr:row>
      <xdr:rowOff>57150</xdr:rowOff>
    </xdr:to>
    <xdr:pic>
      <xdr:nvPicPr>
        <xdr:cNvPr id="49" name="Picture 7">
          <a:extLst>
            <a:ext uri="{FF2B5EF4-FFF2-40B4-BE49-F238E27FC236}">
              <a16:creationId xmlns:a16="http://schemas.microsoft.com/office/drawing/2014/main" id="{C2F9E1BA-8DC6-D967-1FE8-008C9D186C63}"/>
            </a:ext>
            <a:ext uri="{147F2762-F138-4A5C-976F-8EAC2B608ADB}">
              <a16:predDERef xmlns:a16="http://schemas.microsoft.com/office/drawing/2014/main" pred="{1A9F5392-F103-B9C8-CBD6-F8FACBD6B12F}"/>
            </a:ext>
          </a:extLst>
        </xdr:cNvPr>
        <xdr:cNvPicPr>
          <a:picLocks noChangeAspect="1"/>
        </xdr:cNvPicPr>
      </xdr:nvPicPr>
      <xdr:blipFill>
        <a:blip xmlns:r="http://schemas.openxmlformats.org/officeDocument/2006/relationships" r:embed="rId1"/>
        <a:stretch>
          <a:fillRect/>
        </a:stretch>
      </xdr:blipFill>
      <xdr:spPr>
        <a:xfrm>
          <a:off x="11277600" y="4581525"/>
          <a:ext cx="4427220" cy="4505325"/>
        </a:xfrm>
        <a:prstGeom prst="rect">
          <a:avLst/>
        </a:prstGeom>
      </xdr:spPr>
    </xdr:pic>
    <xdr:clientData/>
  </xdr:twoCellAnchor>
  <xdr:twoCellAnchor>
    <xdr:from>
      <xdr:col>8</xdr:col>
      <xdr:colOff>923192</xdr:colOff>
      <xdr:row>80</xdr:row>
      <xdr:rowOff>61546</xdr:rowOff>
    </xdr:from>
    <xdr:to>
      <xdr:col>14</xdr:col>
      <xdr:colOff>284285</xdr:colOff>
      <xdr:row>95</xdr:row>
      <xdr:rowOff>79131</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DA907EA-E9A2-2CFF-96E9-8E0511BD69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163947</xdr:colOff>
      <xdr:row>91</xdr:row>
      <xdr:rowOff>123825</xdr:rowOff>
    </xdr:from>
    <xdr:to>
      <xdr:col>21</xdr:col>
      <xdr:colOff>848206</xdr:colOff>
      <xdr:row>106</xdr:row>
      <xdr:rowOff>73351</xdr:rowOff>
    </xdr:to>
    <xdr:pic>
      <xdr:nvPicPr>
        <xdr:cNvPr id="3" name="Picture 4">
          <a:extLst>
            <a:ext uri="{FF2B5EF4-FFF2-40B4-BE49-F238E27FC236}">
              <a16:creationId xmlns:a16="http://schemas.microsoft.com/office/drawing/2014/main" id="{364307B9-7A27-52D0-30BA-6CB4773DBB79}"/>
            </a:ext>
          </a:extLst>
        </xdr:cNvPr>
        <xdr:cNvPicPr>
          <a:picLocks noChangeAspect="1"/>
        </xdr:cNvPicPr>
      </xdr:nvPicPr>
      <xdr:blipFill>
        <a:blip xmlns:r="http://schemas.openxmlformats.org/officeDocument/2006/relationships" r:embed="rId1"/>
        <a:stretch>
          <a:fillRect/>
        </a:stretch>
      </xdr:blipFill>
      <xdr:spPr>
        <a:xfrm>
          <a:off x="4393047" y="18916650"/>
          <a:ext cx="6574559" cy="3492824"/>
        </a:xfrm>
        <a:prstGeom prst="rect">
          <a:avLst/>
        </a:prstGeom>
      </xdr:spPr>
    </xdr:pic>
    <xdr:clientData/>
  </xdr:twoCellAnchor>
  <xdr:twoCellAnchor editAs="oneCell">
    <xdr:from>
      <xdr:col>26</xdr:col>
      <xdr:colOff>0</xdr:colOff>
      <xdr:row>94</xdr:row>
      <xdr:rowOff>235806</xdr:rowOff>
    </xdr:from>
    <xdr:to>
      <xdr:col>41</xdr:col>
      <xdr:colOff>172652</xdr:colOff>
      <xdr:row>105</xdr:row>
      <xdr:rowOff>116764</xdr:rowOff>
    </xdr:to>
    <xdr:pic>
      <xdr:nvPicPr>
        <xdr:cNvPr id="2" name="Picture 5">
          <a:extLst>
            <a:ext uri="{FF2B5EF4-FFF2-40B4-BE49-F238E27FC236}">
              <a16:creationId xmlns:a16="http://schemas.microsoft.com/office/drawing/2014/main" id="{6924CB78-34F2-50F4-80CA-2EEF413A1D56}"/>
            </a:ext>
            <a:ext uri="{147F2762-F138-4A5C-976F-8EAC2B608ADB}">
              <a16:predDERef xmlns:a16="http://schemas.microsoft.com/office/drawing/2014/main" pred="{364307B9-7A27-52D0-30BA-6CB4773DBB79}"/>
            </a:ext>
          </a:extLst>
        </xdr:cNvPr>
        <xdr:cNvPicPr>
          <a:picLocks noChangeAspect="1"/>
        </xdr:cNvPicPr>
      </xdr:nvPicPr>
      <xdr:blipFill>
        <a:blip xmlns:r="http://schemas.openxmlformats.org/officeDocument/2006/relationships" r:embed="rId2"/>
        <a:stretch>
          <a:fillRect/>
        </a:stretch>
      </xdr:blipFill>
      <xdr:spPr>
        <a:xfrm>
          <a:off x="26917606" y="19743006"/>
          <a:ext cx="9221071" cy="2479379"/>
        </a:xfrm>
        <a:prstGeom prst="rect">
          <a:avLst/>
        </a:prstGeom>
      </xdr:spPr>
    </xdr:pic>
    <xdr:clientData/>
  </xdr:twoCellAnchor>
  <xdr:twoCellAnchor editAs="oneCell">
    <xdr:from>
      <xdr:col>5</xdr:col>
      <xdr:colOff>182297</xdr:colOff>
      <xdr:row>104</xdr:row>
      <xdr:rowOff>80211</xdr:rowOff>
    </xdr:from>
    <xdr:to>
      <xdr:col>24</xdr:col>
      <xdr:colOff>878927</xdr:colOff>
      <xdr:row>131</xdr:row>
      <xdr:rowOff>46833</xdr:rowOff>
    </xdr:to>
    <xdr:pic>
      <xdr:nvPicPr>
        <xdr:cNvPr id="18" name="Picture 11">
          <a:extLst>
            <a:ext uri="{FF2B5EF4-FFF2-40B4-BE49-F238E27FC236}">
              <a16:creationId xmlns:a16="http://schemas.microsoft.com/office/drawing/2014/main" id="{5315C5C4-5DA4-FAAC-879E-5E4F4000B955}"/>
            </a:ext>
          </a:extLst>
        </xdr:cNvPr>
        <xdr:cNvPicPr>
          <a:picLocks noChangeAspect="1"/>
        </xdr:cNvPicPr>
      </xdr:nvPicPr>
      <xdr:blipFill>
        <a:blip xmlns:r="http://schemas.openxmlformats.org/officeDocument/2006/relationships" r:embed="rId3"/>
        <a:stretch>
          <a:fillRect/>
        </a:stretch>
      </xdr:blipFill>
      <xdr:spPr>
        <a:xfrm>
          <a:off x="4593876" y="18849474"/>
          <a:ext cx="9526861" cy="6463677"/>
        </a:xfrm>
        <a:prstGeom prst="rect">
          <a:avLst/>
        </a:prstGeom>
      </xdr:spPr>
    </xdr:pic>
    <xdr:clientData/>
  </xdr:twoCellAnchor>
  <xdr:twoCellAnchor editAs="oneCell">
    <xdr:from>
      <xdr:col>26</xdr:col>
      <xdr:colOff>0</xdr:colOff>
      <xdr:row>103</xdr:row>
      <xdr:rowOff>90783</xdr:rowOff>
    </xdr:from>
    <xdr:to>
      <xdr:col>44</xdr:col>
      <xdr:colOff>585813</xdr:colOff>
      <xdr:row>132</xdr:row>
      <xdr:rowOff>155244</xdr:rowOff>
    </xdr:to>
    <xdr:pic>
      <xdr:nvPicPr>
        <xdr:cNvPr id="20" name="Picture 16">
          <a:extLst>
            <a:ext uri="{FF2B5EF4-FFF2-40B4-BE49-F238E27FC236}">
              <a16:creationId xmlns:a16="http://schemas.microsoft.com/office/drawing/2014/main" id="{E6119265-C33E-F6CE-AE96-BC45DFCBA6AB}"/>
            </a:ext>
          </a:extLst>
        </xdr:cNvPr>
        <xdr:cNvPicPr>
          <a:picLocks noChangeAspect="1"/>
        </xdr:cNvPicPr>
      </xdr:nvPicPr>
      <xdr:blipFill>
        <a:blip xmlns:r="http://schemas.openxmlformats.org/officeDocument/2006/relationships" r:embed="rId4"/>
        <a:stretch>
          <a:fillRect/>
        </a:stretch>
      </xdr:blipFill>
      <xdr:spPr>
        <a:xfrm>
          <a:off x="14509354" y="18619415"/>
          <a:ext cx="11425283" cy="70427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551392</xdr:colOff>
      <xdr:row>82</xdr:row>
      <xdr:rowOff>165735</xdr:rowOff>
    </xdr:from>
    <xdr:to>
      <xdr:col>32</xdr:col>
      <xdr:colOff>40690</xdr:colOff>
      <xdr:row>86</xdr:row>
      <xdr:rowOff>1510726</xdr:rowOff>
    </xdr:to>
    <xdr:pic>
      <xdr:nvPicPr>
        <xdr:cNvPr id="21" name="Picture 1">
          <a:extLst>
            <a:ext uri="{FF2B5EF4-FFF2-40B4-BE49-F238E27FC236}">
              <a16:creationId xmlns:a16="http://schemas.microsoft.com/office/drawing/2014/main" id="{604ADA52-9304-2D58-A396-1A0CB381FAD3}"/>
            </a:ext>
          </a:extLst>
        </xdr:cNvPr>
        <xdr:cNvPicPr>
          <a:picLocks noChangeAspect="1"/>
        </xdr:cNvPicPr>
      </xdr:nvPicPr>
      <xdr:blipFill>
        <a:blip xmlns:r="http://schemas.openxmlformats.org/officeDocument/2006/relationships" r:embed="rId1"/>
        <a:stretch>
          <a:fillRect/>
        </a:stretch>
      </xdr:blipFill>
      <xdr:spPr>
        <a:xfrm>
          <a:off x="19281352" y="14232255"/>
          <a:ext cx="7810337" cy="4286311"/>
        </a:xfrm>
        <a:prstGeom prst="rect">
          <a:avLst/>
        </a:prstGeom>
      </xdr:spPr>
    </xdr:pic>
    <xdr:clientData/>
  </xdr:twoCellAnchor>
  <xdr:twoCellAnchor editAs="oneCell">
    <xdr:from>
      <xdr:col>27</xdr:col>
      <xdr:colOff>605271</xdr:colOff>
      <xdr:row>81</xdr:row>
      <xdr:rowOff>171450</xdr:rowOff>
    </xdr:from>
    <xdr:to>
      <xdr:col>33</xdr:col>
      <xdr:colOff>224027</xdr:colOff>
      <xdr:row>87</xdr:row>
      <xdr:rowOff>846948</xdr:rowOff>
    </xdr:to>
    <xdr:pic>
      <xdr:nvPicPr>
        <xdr:cNvPr id="10" name="Picture 2">
          <a:extLst>
            <a:ext uri="{FF2B5EF4-FFF2-40B4-BE49-F238E27FC236}">
              <a16:creationId xmlns:a16="http://schemas.microsoft.com/office/drawing/2014/main" id="{B9962E19-D6D9-DFA8-45B8-1FC5A58F0C43}"/>
            </a:ext>
            <a:ext uri="{147F2762-F138-4A5C-976F-8EAC2B608ADB}">
              <a16:predDERef xmlns:a16="http://schemas.microsoft.com/office/drawing/2014/main" pred="{604ADA52-9304-2D58-A396-1A0CB381FAD3}"/>
            </a:ext>
          </a:extLst>
        </xdr:cNvPr>
        <xdr:cNvPicPr>
          <a:picLocks noChangeAspect="1"/>
        </xdr:cNvPicPr>
      </xdr:nvPicPr>
      <xdr:blipFill>
        <a:blip xmlns:r="http://schemas.openxmlformats.org/officeDocument/2006/relationships" r:embed="rId2"/>
        <a:stretch>
          <a:fillRect/>
        </a:stretch>
      </xdr:blipFill>
      <xdr:spPr>
        <a:xfrm>
          <a:off x="22646121" y="14030325"/>
          <a:ext cx="5119443" cy="5342748"/>
        </a:xfrm>
        <a:prstGeom prst="rect">
          <a:avLst/>
        </a:prstGeom>
      </xdr:spPr>
    </xdr:pic>
    <xdr:clientData/>
  </xdr:twoCellAnchor>
  <xdr:twoCellAnchor editAs="oneCell">
    <xdr:from>
      <xdr:col>33</xdr:col>
      <xdr:colOff>162047</xdr:colOff>
      <xdr:row>108</xdr:row>
      <xdr:rowOff>90797</xdr:rowOff>
    </xdr:from>
    <xdr:to>
      <xdr:col>42</xdr:col>
      <xdr:colOff>438183</xdr:colOff>
      <xdr:row>152</xdr:row>
      <xdr:rowOff>117868</xdr:rowOff>
    </xdr:to>
    <xdr:pic>
      <xdr:nvPicPr>
        <xdr:cNvPr id="4" name="Picture 3">
          <a:extLst>
            <a:ext uri="{FF2B5EF4-FFF2-40B4-BE49-F238E27FC236}">
              <a16:creationId xmlns:a16="http://schemas.microsoft.com/office/drawing/2014/main" id="{8902520C-D70D-7B64-1A12-47F006952A12}"/>
            </a:ext>
          </a:extLst>
        </xdr:cNvPr>
        <xdr:cNvPicPr>
          <a:picLocks noChangeAspect="1"/>
        </xdr:cNvPicPr>
      </xdr:nvPicPr>
      <xdr:blipFill>
        <a:blip xmlns:r="http://schemas.openxmlformats.org/officeDocument/2006/relationships" r:embed="rId3"/>
        <a:stretch>
          <a:fillRect/>
        </a:stretch>
      </xdr:blipFill>
      <xdr:spPr>
        <a:xfrm>
          <a:off x="27223933" y="28067083"/>
          <a:ext cx="7766694" cy="8537861"/>
        </a:xfrm>
        <a:prstGeom prst="rect">
          <a:avLst/>
        </a:prstGeom>
      </xdr:spPr>
    </xdr:pic>
    <xdr:clientData/>
  </xdr:twoCellAnchor>
  <xdr:twoCellAnchor editAs="oneCell">
    <xdr:from>
      <xdr:col>33</xdr:col>
      <xdr:colOff>415833</xdr:colOff>
      <xdr:row>82</xdr:row>
      <xdr:rowOff>15274</xdr:rowOff>
    </xdr:from>
    <xdr:to>
      <xdr:col>41</xdr:col>
      <xdr:colOff>298326</xdr:colOff>
      <xdr:row>86</xdr:row>
      <xdr:rowOff>1212253</xdr:rowOff>
    </xdr:to>
    <xdr:pic>
      <xdr:nvPicPr>
        <xdr:cNvPr id="20" name="Picture 4">
          <a:extLst>
            <a:ext uri="{FF2B5EF4-FFF2-40B4-BE49-F238E27FC236}">
              <a16:creationId xmlns:a16="http://schemas.microsoft.com/office/drawing/2014/main" id="{0E1F4C1B-0239-0943-40FB-FFE0E55EE09B}"/>
            </a:ext>
            <a:ext uri="{147F2762-F138-4A5C-976F-8EAC2B608ADB}">
              <a16:predDERef xmlns:a16="http://schemas.microsoft.com/office/drawing/2014/main" pred="{8902520C-D70D-7B64-1A12-47F006952A12}"/>
            </a:ext>
          </a:extLst>
        </xdr:cNvPr>
        <xdr:cNvPicPr>
          <a:picLocks noChangeAspect="1"/>
        </xdr:cNvPicPr>
      </xdr:nvPicPr>
      <xdr:blipFill>
        <a:blip xmlns:r="http://schemas.openxmlformats.org/officeDocument/2006/relationships" r:embed="rId4"/>
        <a:stretch>
          <a:fillRect/>
        </a:stretch>
      </xdr:blipFill>
      <xdr:spPr>
        <a:xfrm>
          <a:off x="27609708" y="14064649"/>
          <a:ext cx="7183406" cy="4130680"/>
        </a:xfrm>
        <a:prstGeom prst="rect">
          <a:avLst/>
        </a:prstGeom>
      </xdr:spPr>
    </xdr:pic>
    <xdr:clientData/>
  </xdr:twoCellAnchor>
  <xdr:twoCellAnchor editAs="oneCell">
    <xdr:from>
      <xdr:col>43</xdr:col>
      <xdr:colOff>534276</xdr:colOff>
      <xdr:row>3</xdr:row>
      <xdr:rowOff>52551</xdr:rowOff>
    </xdr:from>
    <xdr:to>
      <xdr:col>46</xdr:col>
      <xdr:colOff>577256</xdr:colOff>
      <xdr:row>32</xdr:row>
      <xdr:rowOff>61723</xdr:rowOff>
    </xdr:to>
    <xdr:pic>
      <xdr:nvPicPr>
        <xdr:cNvPr id="2" name="Picture 1">
          <a:extLst>
            <a:ext uri="{FF2B5EF4-FFF2-40B4-BE49-F238E27FC236}">
              <a16:creationId xmlns:a16="http://schemas.microsoft.com/office/drawing/2014/main" id="{0FA76DD3-98C9-8EE6-6F30-C2522CC606AA}"/>
            </a:ext>
          </a:extLst>
        </xdr:cNvPr>
        <xdr:cNvPicPr>
          <a:picLocks noChangeAspect="1"/>
        </xdr:cNvPicPr>
      </xdr:nvPicPr>
      <xdr:blipFill>
        <a:blip xmlns:r="http://schemas.openxmlformats.org/officeDocument/2006/relationships" r:embed="rId5"/>
        <a:stretch>
          <a:fillRect/>
        </a:stretch>
      </xdr:blipFill>
      <xdr:spPr>
        <a:xfrm>
          <a:off x="47270276" y="656896"/>
          <a:ext cx="1882290" cy="43709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4</xdr:row>
      <xdr:rowOff>130629</xdr:rowOff>
    </xdr:from>
    <xdr:to>
      <xdr:col>16</xdr:col>
      <xdr:colOff>576943</xdr:colOff>
      <xdr:row>18</xdr:row>
      <xdr:rowOff>130629</xdr:rowOff>
    </xdr:to>
    <xdr:graphicFrame macro="">
      <xdr:nvGraphicFramePr>
        <xdr:cNvPr id="3" name="Chart 2">
          <a:extLst>
            <a:ext uri="{FF2B5EF4-FFF2-40B4-BE49-F238E27FC236}">
              <a16:creationId xmlns:a16="http://schemas.microsoft.com/office/drawing/2014/main" id="{3CF8771C-2428-484B-B165-058847796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296279</xdr:colOff>
      <xdr:row>20</xdr:row>
      <xdr:rowOff>42122</xdr:rowOff>
    </xdr:from>
    <xdr:to>
      <xdr:col>17</xdr:col>
      <xdr:colOff>250370</xdr:colOff>
      <xdr:row>40</xdr:row>
      <xdr:rowOff>175591</xdr:rowOff>
    </xdr:to>
    <xdr:graphicFrame macro="">
      <xdr:nvGraphicFramePr>
        <xdr:cNvPr id="8" name="Chart 7">
          <a:extLst>
            <a:ext uri="{FF2B5EF4-FFF2-40B4-BE49-F238E27FC236}">
              <a16:creationId xmlns:a16="http://schemas.microsoft.com/office/drawing/2014/main" id="{0DB8BA73-4012-4E13-92F4-B4D4F264C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342190</xdr:colOff>
      <xdr:row>40</xdr:row>
      <xdr:rowOff>48749</xdr:rowOff>
    </xdr:from>
    <xdr:to>
      <xdr:col>16</xdr:col>
      <xdr:colOff>846247</xdr:colOff>
      <xdr:row>55</xdr:row>
      <xdr:rowOff>98444</xdr:rowOff>
    </xdr:to>
    <xdr:graphicFrame macro="">
      <xdr:nvGraphicFramePr>
        <xdr:cNvPr id="10" name="Chart 9">
          <a:extLst>
            <a:ext uri="{FF2B5EF4-FFF2-40B4-BE49-F238E27FC236}">
              <a16:creationId xmlns:a16="http://schemas.microsoft.com/office/drawing/2014/main" id="{8560384A-71BC-4460-8724-2865734D4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263570</xdr:colOff>
      <xdr:row>184</xdr:row>
      <xdr:rowOff>10899</xdr:rowOff>
    </xdr:from>
    <xdr:to>
      <xdr:col>7</xdr:col>
      <xdr:colOff>148361</xdr:colOff>
      <xdr:row>201</xdr:row>
      <xdr:rowOff>160601</xdr:rowOff>
    </xdr:to>
    <xdr:pic>
      <xdr:nvPicPr>
        <xdr:cNvPr id="2" name="Picture 1">
          <a:extLst>
            <a:ext uri="{FF2B5EF4-FFF2-40B4-BE49-F238E27FC236}">
              <a16:creationId xmlns:a16="http://schemas.microsoft.com/office/drawing/2014/main" id="{0955156E-C329-0E07-E0C4-434BA546C23A}"/>
            </a:ext>
          </a:extLst>
        </xdr:cNvPr>
        <xdr:cNvPicPr>
          <a:picLocks noChangeAspect="1"/>
        </xdr:cNvPicPr>
      </xdr:nvPicPr>
      <xdr:blipFill>
        <a:blip xmlns:r="http://schemas.openxmlformats.org/officeDocument/2006/relationships" r:embed="rId1"/>
        <a:stretch>
          <a:fillRect/>
        </a:stretch>
      </xdr:blipFill>
      <xdr:spPr>
        <a:xfrm>
          <a:off x="870060" y="32683593"/>
          <a:ext cx="5794179" cy="3322109"/>
        </a:xfrm>
        <a:prstGeom prst="rect">
          <a:avLst/>
        </a:prstGeom>
      </xdr:spPr>
    </xdr:pic>
    <xdr:clientData/>
  </xdr:twoCellAnchor>
  <xdr:twoCellAnchor editAs="oneCell">
    <xdr:from>
      <xdr:col>1</xdr:col>
      <xdr:colOff>55770</xdr:colOff>
      <xdr:row>38</xdr:row>
      <xdr:rowOff>29312</xdr:rowOff>
    </xdr:from>
    <xdr:to>
      <xdr:col>8</xdr:col>
      <xdr:colOff>239583</xdr:colOff>
      <xdr:row>55</xdr:row>
      <xdr:rowOff>38073</xdr:rowOff>
    </xdr:to>
    <xdr:pic>
      <xdr:nvPicPr>
        <xdr:cNvPr id="3" name="Picture 2">
          <a:extLst>
            <a:ext uri="{FF2B5EF4-FFF2-40B4-BE49-F238E27FC236}">
              <a16:creationId xmlns:a16="http://schemas.microsoft.com/office/drawing/2014/main" id="{3C78E8F7-C13E-586D-B07D-A628133A5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2260" y="6591843"/>
          <a:ext cx="7104017" cy="3181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72177</xdr:colOff>
      <xdr:row>113</xdr:row>
      <xdr:rowOff>106896</xdr:rowOff>
    </xdr:from>
    <xdr:to>
      <xdr:col>32</xdr:col>
      <xdr:colOff>495955</xdr:colOff>
      <xdr:row>150</xdr:row>
      <xdr:rowOff>77795</xdr:rowOff>
    </xdr:to>
    <xdr:pic>
      <xdr:nvPicPr>
        <xdr:cNvPr id="4" name="Picture 3">
          <a:extLst>
            <a:ext uri="{FF2B5EF4-FFF2-40B4-BE49-F238E27FC236}">
              <a16:creationId xmlns:a16="http://schemas.microsoft.com/office/drawing/2014/main" id="{83BE4A15-485F-3FFD-C8AC-0F3037119299}"/>
            </a:ext>
          </a:extLst>
        </xdr:cNvPr>
        <xdr:cNvPicPr>
          <a:picLocks noChangeAspect="1"/>
        </xdr:cNvPicPr>
      </xdr:nvPicPr>
      <xdr:blipFill>
        <a:blip xmlns:r="http://schemas.openxmlformats.org/officeDocument/2006/relationships" r:embed="rId3"/>
        <a:stretch>
          <a:fillRect/>
        </a:stretch>
      </xdr:blipFill>
      <xdr:spPr>
        <a:xfrm>
          <a:off x="10855924" y="20053934"/>
          <a:ext cx="13955591" cy="73883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53</xdr:col>
      <xdr:colOff>582706</xdr:colOff>
      <xdr:row>134</xdr:row>
      <xdr:rowOff>42557</xdr:rowOff>
    </xdr:from>
    <xdr:to>
      <xdr:col>80</xdr:col>
      <xdr:colOff>553233</xdr:colOff>
      <xdr:row>157</xdr:row>
      <xdr:rowOff>171878</xdr:rowOff>
    </xdr:to>
    <xdr:graphicFrame macro="">
      <xdr:nvGraphicFramePr>
        <xdr:cNvPr id="6" name="Chart 10">
          <a:extLst>
            <a:ext uri="{FF2B5EF4-FFF2-40B4-BE49-F238E27FC236}">
              <a16:creationId xmlns:a16="http://schemas.microsoft.com/office/drawing/2014/main" id="{36A241F9-62AF-4564-B73C-61B57426E420}"/>
            </a:ext>
            <a:ext uri="{147F2762-F138-4A5C-976F-8EAC2B608ADB}">
              <a16:predDERef xmlns:a16="http://schemas.microsoft.com/office/drawing/2014/main" pred="{8FFEB47D-787C-E50F-6607-54295A6E8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306914</xdr:colOff>
      <xdr:row>118</xdr:row>
      <xdr:rowOff>34264</xdr:rowOff>
    </xdr:from>
    <xdr:to>
      <xdr:col>81</xdr:col>
      <xdr:colOff>167013</xdr:colOff>
      <xdr:row>134</xdr:row>
      <xdr:rowOff>29262</xdr:rowOff>
    </xdr:to>
    <xdr:graphicFrame macro="">
      <xdr:nvGraphicFramePr>
        <xdr:cNvPr id="2" name="Chart 12">
          <a:extLst>
            <a:ext uri="{FF2B5EF4-FFF2-40B4-BE49-F238E27FC236}">
              <a16:creationId xmlns:a16="http://schemas.microsoft.com/office/drawing/2014/main" id="{5A059ED2-B06E-43F8-805D-AAA7A4F284A3}"/>
            </a:ext>
            <a:ext uri="{147F2762-F138-4A5C-976F-8EAC2B608ADB}">
              <a16:predDERef xmlns:a16="http://schemas.microsoft.com/office/drawing/2014/main" pred="{36A241F9-62AF-4564-B73C-61B57426E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48</xdr:col>
      <xdr:colOff>337908</xdr:colOff>
      <xdr:row>50</xdr:row>
      <xdr:rowOff>109450</xdr:rowOff>
    </xdr:from>
    <xdr:to>
      <xdr:col>63</xdr:col>
      <xdr:colOff>150038</xdr:colOff>
      <xdr:row>59</xdr:row>
      <xdr:rowOff>174408</xdr:rowOff>
    </xdr:to>
    <xdr:pic>
      <xdr:nvPicPr>
        <xdr:cNvPr id="4" name="Picture 3">
          <a:extLst>
            <a:ext uri="{FF2B5EF4-FFF2-40B4-BE49-F238E27FC236}">
              <a16:creationId xmlns:a16="http://schemas.microsoft.com/office/drawing/2014/main" id="{D202C297-FE43-4ABA-A62E-63158535B7D9}"/>
            </a:ext>
          </a:extLst>
        </xdr:cNvPr>
        <xdr:cNvPicPr>
          <a:picLocks noChangeAspect="1"/>
        </xdr:cNvPicPr>
      </xdr:nvPicPr>
      <xdr:blipFill>
        <a:blip xmlns:r="http://schemas.openxmlformats.org/officeDocument/2006/relationships" r:embed="rId1"/>
        <a:stretch>
          <a:fillRect/>
        </a:stretch>
      </xdr:blipFill>
      <xdr:spPr>
        <a:xfrm>
          <a:off x="43924308" y="5291050"/>
          <a:ext cx="8956130" cy="1452333"/>
        </a:xfrm>
        <a:prstGeom prst="rect">
          <a:avLst/>
        </a:prstGeom>
      </xdr:spPr>
    </xdr:pic>
    <xdr:clientData/>
  </xdr:twoCellAnchor>
  <xdr:twoCellAnchor editAs="oneCell">
    <xdr:from>
      <xdr:col>47</xdr:col>
      <xdr:colOff>544119</xdr:colOff>
      <xdr:row>62</xdr:row>
      <xdr:rowOff>24614</xdr:rowOff>
    </xdr:from>
    <xdr:to>
      <xdr:col>62</xdr:col>
      <xdr:colOff>285381</xdr:colOff>
      <xdr:row>76</xdr:row>
      <xdr:rowOff>46460</xdr:rowOff>
    </xdr:to>
    <xdr:pic>
      <xdr:nvPicPr>
        <xdr:cNvPr id="5" name="Picture 4">
          <a:extLst>
            <a:ext uri="{FF2B5EF4-FFF2-40B4-BE49-F238E27FC236}">
              <a16:creationId xmlns:a16="http://schemas.microsoft.com/office/drawing/2014/main" id="{F276861B-F2ED-859C-2557-1C6902752E57}"/>
            </a:ext>
          </a:extLst>
        </xdr:cNvPr>
        <xdr:cNvPicPr>
          <a:picLocks noChangeAspect="1"/>
        </xdr:cNvPicPr>
      </xdr:nvPicPr>
      <xdr:blipFill>
        <a:blip xmlns:r="http://schemas.openxmlformats.org/officeDocument/2006/relationships" r:embed="rId2"/>
        <a:stretch>
          <a:fillRect/>
        </a:stretch>
      </xdr:blipFill>
      <xdr:spPr>
        <a:xfrm>
          <a:off x="23458548" y="4886900"/>
          <a:ext cx="8994118" cy="2779710"/>
        </a:xfrm>
        <a:prstGeom prst="rect">
          <a:avLst/>
        </a:prstGeom>
      </xdr:spPr>
    </xdr:pic>
    <xdr:clientData/>
  </xdr:twoCellAnchor>
  <xdr:twoCellAnchor editAs="oneCell">
    <xdr:from>
      <xdr:col>50</xdr:col>
      <xdr:colOff>176561</xdr:colOff>
      <xdr:row>120</xdr:row>
      <xdr:rowOff>16521</xdr:rowOff>
    </xdr:from>
    <xdr:to>
      <xdr:col>64</xdr:col>
      <xdr:colOff>136844</xdr:colOff>
      <xdr:row>131</xdr:row>
      <xdr:rowOff>70168</xdr:rowOff>
    </xdr:to>
    <xdr:pic>
      <xdr:nvPicPr>
        <xdr:cNvPr id="6" name="Picture 5">
          <a:extLst>
            <a:ext uri="{FF2B5EF4-FFF2-40B4-BE49-F238E27FC236}">
              <a16:creationId xmlns:a16="http://schemas.microsoft.com/office/drawing/2014/main" id="{B331AF46-7A7C-4A37-A172-BA8FE89C4647}"/>
            </a:ext>
          </a:extLst>
        </xdr:cNvPr>
        <xdr:cNvPicPr>
          <a:picLocks noChangeAspect="1"/>
        </xdr:cNvPicPr>
      </xdr:nvPicPr>
      <xdr:blipFill>
        <a:blip xmlns:r="http://schemas.openxmlformats.org/officeDocument/2006/relationships" r:embed="rId3"/>
        <a:stretch>
          <a:fillRect/>
        </a:stretch>
      </xdr:blipFill>
      <xdr:spPr>
        <a:xfrm>
          <a:off x="44982161" y="20590521"/>
          <a:ext cx="8494684" cy="2142805"/>
        </a:xfrm>
        <a:prstGeom prst="rect">
          <a:avLst/>
        </a:prstGeom>
      </xdr:spPr>
    </xdr:pic>
    <xdr:clientData/>
  </xdr:twoCellAnchor>
  <xdr:twoCellAnchor editAs="oneCell">
    <xdr:from>
      <xdr:col>50</xdr:col>
      <xdr:colOff>319693</xdr:colOff>
      <xdr:row>46</xdr:row>
      <xdr:rowOff>49876</xdr:rowOff>
    </xdr:from>
    <xdr:to>
      <xdr:col>70</xdr:col>
      <xdr:colOff>420654</xdr:colOff>
      <xdr:row>50</xdr:row>
      <xdr:rowOff>11876</xdr:rowOff>
    </xdr:to>
    <xdr:pic>
      <xdr:nvPicPr>
        <xdr:cNvPr id="8" name="Picture 7">
          <a:extLst>
            <a:ext uri="{FF2B5EF4-FFF2-40B4-BE49-F238E27FC236}">
              <a16:creationId xmlns:a16="http://schemas.microsoft.com/office/drawing/2014/main" id="{B0833F10-DF61-25AA-B08F-8A19C74CB3E1}"/>
            </a:ext>
          </a:extLst>
        </xdr:cNvPr>
        <xdr:cNvPicPr>
          <a:picLocks noChangeAspect="1"/>
        </xdr:cNvPicPr>
      </xdr:nvPicPr>
      <xdr:blipFill>
        <a:blip xmlns:r="http://schemas.openxmlformats.org/officeDocument/2006/relationships" r:embed="rId4"/>
        <a:stretch>
          <a:fillRect/>
        </a:stretch>
      </xdr:blipFill>
      <xdr:spPr>
        <a:xfrm>
          <a:off x="45125293" y="4499956"/>
          <a:ext cx="12292961" cy="712574"/>
        </a:xfrm>
        <a:prstGeom prst="rect">
          <a:avLst/>
        </a:prstGeom>
      </xdr:spPr>
    </xdr:pic>
    <xdr:clientData/>
  </xdr:twoCellAnchor>
  <xdr:twoCellAnchor editAs="oneCell">
    <xdr:from>
      <xdr:col>51</xdr:col>
      <xdr:colOff>274458</xdr:colOff>
      <xdr:row>110</xdr:row>
      <xdr:rowOff>49526</xdr:rowOff>
    </xdr:from>
    <xdr:to>
      <xdr:col>60</xdr:col>
      <xdr:colOff>405003</xdr:colOff>
      <xdr:row>116</xdr:row>
      <xdr:rowOff>143823</xdr:rowOff>
    </xdr:to>
    <xdr:pic>
      <xdr:nvPicPr>
        <xdr:cNvPr id="13" name="Picture 12">
          <a:extLst>
            <a:ext uri="{FF2B5EF4-FFF2-40B4-BE49-F238E27FC236}">
              <a16:creationId xmlns:a16="http://schemas.microsoft.com/office/drawing/2014/main" id="{FE35AFD3-1ECC-427B-B592-6D01A8597F75}"/>
            </a:ext>
          </a:extLst>
        </xdr:cNvPr>
        <xdr:cNvPicPr>
          <a:picLocks noChangeAspect="1"/>
        </xdr:cNvPicPr>
      </xdr:nvPicPr>
      <xdr:blipFill>
        <a:blip xmlns:r="http://schemas.openxmlformats.org/officeDocument/2006/relationships" r:embed="rId5"/>
        <a:stretch>
          <a:fillRect/>
        </a:stretch>
      </xdr:blipFill>
      <xdr:spPr>
        <a:xfrm>
          <a:off x="45689658" y="16021046"/>
          <a:ext cx="5616948" cy="1260155"/>
        </a:xfrm>
        <a:prstGeom prst="rect">
          <a:avLst/>
        </a:prstGeom>
      </xdr:spPr>
    </xdr:pic>
    <xdr:clientData/>
  </xdr:twoCellAnchor>
  <xdr:twoCellAnchor editAs="oneCell">
    <xdr:from>
      <xdr:col>119</xdr:col>
      <xdr:colOff>13854</xdr:colOff>
      <xdr:row>0</xdr:row>
      <xdr:rowOff>110836</xdr:rowOff>
    </xdr:from>
    <xdr:to>
      <xdr:col>131</xdr:col>
      <xdr:colOff>110137</xdr:colOff>
      <xdr:row>20</xdr:row>
      <xdr:rowOff>124603</xdr:rowOff>
    </xdr:to>
    <xdr:pic>
      <xdr:nvPicPr>
        <xdr:cNvPr id="19" name="Picture 18">
          <a:extLst>
            <a:ext uri="{FF2B5EF4-FFF2-40B4-BE49-F238E27FC236}">
              <a16:creationId xmlns:a16="http://schemas.microsoft.com/office/drawing/2014/main" id="{18EADDDB-EB70-985A-FDFE-47F99F93F95E}"/>
            </a:ext>
          </a:extLst>
        </xdr:cNvPr>
        <xdr:cNvPicPr>
          <a:picLocks noChangeAspect="1"/>
        </xdr:cNvPicPr>
      </xdr:nvPicPr>
      <xdr:blipFill>
        <a:blip xmlns:r="http://schemas.openxmlformats.org/officeDocument/2006/relationships" r:embed="rId6"/>
        <a:stretch>
          <a:fillRect/>
        </a:stretch>
      </xdr:blipFill>
      <xdr:spPr>
        <a:xfrm>
          <a:off x="96455345" y="110836"/>
          <a:ext cx="7411484" cy="3905030"/>
        </a:xfrm>
        <a:prstGeom prst="rect">
          <a:avLst/>
        </a:prstGeom>
      </xdr:spPr>
    </xdr:pic>
    <xdr:clientData/>
  </xdr:twoCellAnchor>
  <xdr:twoCellAnchor editAs="oneCell">
    <xdr:from>
      <xdr:col>119</xdr:col>
      <xdr:colOff>81642</xdr:colOff>
      <xdr:row>42</xdr:row>
      <xdr:rowOff>133350</xdr:rowOff>
    </xdr:from>
    <xdr:to>
      <xdr:col>131</xdr:col>
      <xdr:colOff>242205</xdr:colOff>
      <xdr:row>77</xdr:row>
      <xdr:rowOff>86480</xdr:rowOff>
    </xdr:to>
    <xdr:pic>
      <xdr:nvPicPr>
        <xdr:cNvPr id="24" name="Picture 23">
          <a:extLst>
            <a:ext uri="{FF2B5EF4-FFF2-40B4-BE49-F238E27FC236}">
              <a16:creationId xmlns:a16="http://schemas.microsoft.com/office/drawing/2014/main" id="{5E4AD459-4330-8DF3-7344-86F107E0FD82}"/>
            </a:ext>
          </a:extLst>
        </xdr:cNvPr>
        <xdr:cNvPicPr>
          <a:picLocks noChangeAspect="1"/>
        </xdr:cNvPicPr>
      </xdr:nvPicPr>
      <xdr:blipFill>
        <a:blip xmlns:r="http://schemas.openxmlformats.org/officeDocument/2006/relationships" r:embed="rId7"/>
        <a:stretch>
          <a:fillRect/>
        </a:stretch>
      </xdr:blipFill>
      <xdr:spPr>
        <a:xfrm>
          <a:off x="96493692" y="4419600"/>
          <a:ext cx="7475764" cy="6625049"/>
        </a:xfrm>
        <a:prstGeom prst="rect">
          <a:avLst/>
        </a:prstGeom>
      </xdr:spPr>
    </xdr:pic>
    <xdr:clientData/>
  </xdr:twoCellAnchor>
  <xdr:twoCellAnchor editAs="oneCell">
    <xdr:from>
      <xdr:col>119</xdr:col>
      <xdr:colOff>212460</xdr:colOff>
      <xdr:row>80</xdr:row>
      <xdr:rowOff>213360</xdr:rowOff>
    </xdr:from>
    <xdr:to>
      <xdr:col>132</xdr:col>
      <xdr:colOff>365531</xdr:colOff>
      <xdr:row>95</xdr:row>
      <xdr:rowOff>19642</xdr:rowOff>
    </xdr:to>
    <xdr:pic>
      <xdr:nvPicPr>
        <xdr:cNvPr id="25" name="Picture 24">
          <a:extLst>
            <a:ext uri="{FF2B5EF4-FFF2-40B4-BE49-F238E27FC236}">
              <a16:creationId xmlns:a16="http://schemas.microsoft.com/office/drawing/2014/main" id="{2FF75688-F924-BC59-4040-83150ED30BAD}"/>
            </a:ext>
          </a:extLst>
        </xdr:cNvPr>
        <xdr:cNvPicPr>
          <a:picLocks noChangeAspect="1"/>
        </xdr:cNvPicPr>
      </xdr:nvPicPr>
      <xdr:blipFill>
        <a:blip xmlns:r="http://schemas.openxmlformats.org/officeDocument/2006/relationships" r:embed="rId8"/>
        <a:stretch>
          <a:fillRect/>
        </a:stretch>
      </xdr:blipFill>
      <xdr:spPr>
        <a:xfrm>
          <a:off x="96620700" y="11521440"/>
          <a:ext cx="8077874" cy="2816078"/>
        </a:xfrm>
        <a:prstGeom prst="rect">
          <a:avLst/>
        </a:prstGeom>
      </xdr:spPr>
    </xdr:pic>
    <xdr:clientData/>
  </xdr:twoCellAnchor>
  <xdr:twoCellAnchor editAs="oneCell">
    <xdr:from>
      <xdr:col>119</xdr:col>
      <xdr:colOff>340711</xdr:colOff>
      <xdr:row>102</xdr:row>
      <xdr:rowOff>36611</xdr:rowOff>
    </xdr:from>
    <xdr:to>
      <xdr:col>130</xdr:col>
      <xdr:colOff>44926</xdr:colOff>
      <xdr:row>125</xdr:row>
      <xdr:rowOff>9929</xdr:rowOff>
    </xdr:to>
    <xdr:pic>
      <xdr:nvPicPr>
        <xdr:cNvPr id="26" name="Picture 25">
          <a:extLst>
            <a:ext uri="{FF2B5EF4-FFF2-40B4-BE49-F238E27FC236}">
              <a16:creationId xmlns:a16="http://schemas.microsoft.com/office/drawing/2014/main" id="{33BA77E0-2A4D-0ECB-743E-C3ECBC18B1BB}"/>
            </a:ext>
          </a:extLst>
        </xdr:cNvPr>
        <xdr:cNvPicPr>
          <a:picLocks noChangeAspect="1"/>
        </xdr:cNvPicPr>
      </xdr:nvPicPr>
      <xdr:blipFill>
        <a:blip xmlns:r="http://schemas.openxmlformats.org/officeDocument/2006/relationships" r:embed="rId9"/>
        <a:stretch>
          <a:fillRect/>
        </a:stretch>
      </xdr:blipFill>
      <xdr:spPr>
        <a:xfrm>
          <a:off x="96748951" y="14819411"/>
          <a:ext cx="6409813" cy="4423827"/>
        </a:xfrm>
        <a:prstGeom prst="rect">
          <a:avLst/>
        </a:prstGeom>
      </xdr:spPr>
    </xdr:pic>
    <xdr:clientData/>
  </xdr:twoCellAnchor>
  <xdr:twoCellAnchor editAs="oneCell">
    <xdr:from>
      <xdr:col>119</xdr:col>
      <xdr:colOff>496614</xdr:colOff>
      <xdr:row>142</xdr:row>
      <xdr:rowOff>0</xdr:rowOff>
    </xdr:from>
    <xdr:to>
      <xdr:col>129</xdr:col>
      <xdr:colOff>464280</xdr:colOff>
      <xdr:row>175</xdr:row>
      <xdr:rowOff>89252</xdr:rowOff>
    </xdr:to>
    <xdr:pic>
      <xdr:nvPicPr>
        <xdr:cNvPr id="27" name="Picture 26">
          <a:extLst>
            <a:ext uri="{FF2B5EF4-FFF2-40B4-BE49-F238E27FC236}">
              <a16:creationId xmlns:a16="http://schemas.microsoft.com/office/drawing/2014/main" id="{1B6FAC78-291E-442F-B6E9-D2219808D520}"/>
            </a:ext>
          </a:extLst>
        </xdr:cNvPr>
        <xdr:cNvPicPr>
          <a:picLocks noChangeAspect="1"/>
        </xdr:cNvPicPr>
      </xdr:nvPicPr>
      <xdr:blipFill>
        <a:blip xmlns:r="http://schemas.openxmlformats.org/officeDocument/2006/relationships" r:embed="rId10"/>
        <a:stretch>
          <a:fillRect/>
        </a:stretch>
      </xdr:blipFill>
      <xdr:spPr>
        <a:xfrm>
          <a:off x="96904854" y="21022792"/>
          <a:ext cx="6063666" cy="6685125"/>
        </a:xfrm>
        <a:prstGeom prst="rect">
          <a:avLst/>
        </a:prstGeom>
      </xdr:spPr>
    </xdr:pic>
    <xdr:clientData/>
  </xdr:twoCellAnchor>
  <xdr:twoCellAnchor editAs="oneCell">
    <xdr:from>
      <xdr:col>119</xdr:col>
      <xdr:colOff>448733</xdr:colOff>
      <xdr:row>200</xdr:row>
      <xdr:rowOff>130387</xdr:rowOff>
    </xdr:from>
    <xdr:to>
      <xdr:col>129</xdr:col>
      <xdr:colOff>220953</xdr:colOff>
      <xdr:row>226</xdr:row>
      <xdr:rowOff>109231</xdr:rowOff>
    </xdr:to>
    <xdr:pic>
      <xdr:nvPicPr>
        <xdr:cNvPr id="28" name="Picture 27">
          <a:extLst>
            <a:ext uri="{FF2B5EF4-FFF2-40B4-BE49-F238E27FC236}">
              <a16:creationId xmlns:a16="http://schemas.microsoft.com/office/drawing/2014/main" id="{D3B36400-6D64-5771-9AD1-72493E02437D}"/>
            </a:ext>
          </a:extLst>
        </xdr:cNvPr>
        <xdr:cNvPicPr>
          <a:picLocks noChangeAspect="1"/>
        </xdr:cNvPicPr>
      </xdr:nvPicPr>
      <xdr:blipFill>
        <a:blip xmlns:r="http://schemas.openxmlformats.org/officeDocument/2006/relationships" r:embed="rId11"/>
        <a:stretch>
          <a:fillRect/>
        </a:stretch>
      </xdr:blipFill>
      <xdr:spPr>
        <a:xfrm>
          <a:off x="96856973" y="27897667"/>
          <a:ext cx="5868220" cy="5101173"/>
        </a:xfrm>
        <a:prstGeom prst="rect">
          <a:avLst/>
        </a:prstGeom>
      </xdr:spPr>
    </xdr:pic>
    <xdr:clientData/>
  </xdr:twoCellAnchor>
  <xdr:twoCellAnchor editAs="oneCell">
    <xdr:from>
      <xdr:col>119</xdr:col>
      <xdr:colOff>347134</xdr:colOff>
      <xdr:row>250</xdr:row>
      <xdr:rowOff>0</xdr:rowOff>
    </xdr:from>
    <xdr:to>
      <xdr:col>129</xdr:col>
      <xdr:colOff>119353</xdr:colOff>
      <xdr:row>285</xdr:row>
      <xdr:rowOff>23112</xdr:rowOff>
    </xdr:to>
    <xdr:pic>
      <xdr:nvPicPr>
        <xdr:cNvPr id="29" name="Picture 28">
          <a:extLst>
            <a:ext uri="{FF2B5EF4-FFF2-40B4-BE49-F238E27FC236}">
              <a16:creationId xmlns:a16="http://schemas.microsoft.com/office/drawing/2014/main" id="{6B3A5889-FEAC-82F6-DC9C-967C7806400F}"/>
            </a:ext>
          </a:extLst>
        </xdr:cNvPr>
        <xdr:cNvPicPr>
          <a:picLocks noChangeAspect="1"/>
        </xdr:cNvPicPr>
      </xdr:nvPicPr>
      <xdr:blipFill>
        <a:blip xmlns:r="http://schemas.openxmlformats.org/officeDocument/2006/relationships" r:embed="rId12"/>
        <a:stretch>
          <a:fillRect/>
        </a:stretch>
      </xdr:blipFill>
      <xdr:spPr>
        <a:xfrm>
          <a:off x="96755374" y="33180866"/>
          <a:ext cx="5868219" cy="6445109"/>
        </a:xfrm>
        <a:prstGeom prst="rect">
          <a:avLst/>
        </a:prstGeom>
      </xdr:spPr>
    </xdr:pic>
    <xdr:clientData/>
  </xdr:twoCellAnchor>
  <xdr:twoCellAnchor editAs="oneCell">
    <xdr:from>
      <xdr:col>119</xdr:col>
      <xdr:colOff>431800</xdr:colOff>
      <xdr:row>273</xdr:row>
      <xdr:rowOff>25400</xdr:rowOff>
    </xdr:from>
    <xdr:to>
      <xdr:col>129</xdr:col>
      <xdr:colOff>59268</xdr:colOff>
      <xdr:row>284</xdr:row>
      <xdr:rowOff>75578</xdr:rowOff>
    </xdr:to>
    <xdr:pic>
      <xdr:nvPicPr>
        <xdr:cNvPr id="31" name="Picture 30">
          <a:extLst>
            <a:ext uri="{FF2B5EF4-FFF2-40B4-BE49-F238E27FC236}">
              <a16:creationId xmlns:a16="http://schemas.microsoft.com/office/drawing/2014/main" id="{DEE7AE5B-66D6-1F71-B796-CE01A5CE8EB8}"/>
            </a:ext>
          </a:extLst>
        </xdr:cNvPr>
        <xdr:cNvPicPr>
          <a:picLocks noChangeAspect="1"/>
        </xdr:cNvPicPr>
      </xdr:nvPicPr>
      <xdr:blipFill>
        <a:blip xmlns:r="http://schemas.openxmlformats.org/officeDocument/2006/relationships" r:embed="rId13"/>
        <a:stretch>
          <a:fillRect/>
        </a:stretch>
      </xdr:blipFill>
      <xdr:spPr>
        <a:xfrm>
          <a:off x="67132200" y="35814000"/>
          <a:ext cx="5723467" cy="2005974"/>
        </a:xfrm>
        <a:prstGeom prst="rect">
          <a:avLst/>
        </a:prstGeom>
      </xdr:spPr>
    </xdr:pic>
    <xdr:clientData/>
  </xdr:twoCellAnchor>
  <xdr:twoCellAnchor editAs="oneCell">
    <xdr:from>
      <xdr:col>133</xdr:col>
      <xdr:colOff>491066</xdr:colOff>
      <xdr:row>2</xdr:row>
      <xdr:rowOff>50800</xdr:rowOff>
    </xdr:from>
    <xdr:to>
      <xdr:col>145</xdr:col>
      <xdr:colOff>463507</xdr:colOff>
      <xdr:row>21</xdr:row>
      <xdr:rowOff>36423</xdr:rowOff>
    </xdr:to>
    <xdr:pic>
      <xdr:nvPicPr>
        <xdr:cNvPr id="32" name="Picture 31">
          <a:extLst>
            <a:ext uri="{FF2B5EF4-FFF2-40B4-BE49-F238E27FC236}">
              <a16:creationId xmlns:a16="http://schemas.microsoft.com/office/drawing/2014/main" id="{5BE2BEAC-00ED-4E4A-636A-9A5E61685F37}"/>
            </a:ext>
          </a:extLst>
        </xdr:cNvPr>
        <xdr:cNvPicPr>
          <a:picLocks noChangeAspect="1"/>
        </xdr:cNvPicPr>
      </xdr:nvPicPr>
      <xdr:blipFill>
        <a:blip xmlns:r="http://schemas.openxmlformats.org/officeDocument/2006/relationships" r:embed="rId14"/>
        <a:stretch>
          <a:fillRect/>
        </a:stretch>
      </xdr:blipFill>
      <xdr:spPr>
        <a:xfrm>
          <a:off x="81787999" y="457200"/>
          <a:ext cx="7287642" cy="3781953"/>
        </a:xfrm>
        <a:prstGeom prst="rect">
          <a:avLst/>
        </a:prstGeom>
      </xdr:spPr>
    </xdr:pic>
    <xdr:clientData/>
  </xdr:twoCellAnchor>
  <xdr:twoCellAnchor editAs="oneCell">
    <xdr:from>
      <xdr:col>133</xdr:col>
      <xdr:colOff>467592</xdr:colOff>
      <xdr:row>23</xdr:row>
      <xdr:rowOff>165671</xdr:rowOff>
    </xdr:from>
    <xdr:to>
      <xdr:col>145</xdr:col>
      <xdr:colOff>399858</xdr:colOff>
      <xdr:row>57</xdr:row>
      <xdr:rowOff>94724</xdr:rowOff>
    </xdr:to>
    <xdr:pic>
      <xdr:nvPicPr>
        <xdr:cNvPr id="33" name="Picture 32">
          <a:extLst>
            <a:ext uri="{FF2B5EF4-FFF2-40B4-BE49-F238E27FC236}">
              <a16:creationId xmlns:a16="http://schemas.microsoft.com/office/drawing/2014/main" id="{413B89F0-47E1-70CA-4FFA-9EC093460911}"/>
            </a:ext>
          </a:extLst>
        </xdr:cNvPr>
        <xdr:cNvPicPr>
          <a:picLocks noChangeAspect="1"/>
        </xdr:cNvPicPr>
      </xdr:nvPicPr>
      <xdr:blipFill>
        <a:blip xmlns:r="http://schemas.openxmlformats.org/officeDocument/2006/relationships" r:embed="rId15"/>
        <a:stretch>
          <a:fillRect/>
        </a:stretch>
      </xdr:blipFill>
      <xdr:spPr>
        <a:xfrm>
          <a:off x="108637345" y="4086974"/>
          <a:ext cx="7226916" cy="5877041"/>
        </a:xfrm>
        <a:prstGeom prst="rect">
          <a:avLst/>
        </a:prstGeom>
      </xdr:spPr>
    </xdr:pic>
    <xdr:clientData/>
  </xdr:twoCellAnchor>
  <xdr:twoCellAnchor editAs="oneCell">
    <xdr:from>
      <xdr:col>147</xdr:col>
      <xdr:colOff>169334</xdr:colOff>
      <xdr:row>2</xdr:row>
      <xdr:rowOff>50800</xdr:rowOff>
    </xdr:from>
    <xdr:to>
      <xdr:col>159</xdr:col>
      <xdr:colOff>275145</xdr:colOff>
      <xdr:row>35</xdr:row>
      <xdr:rowOff>178083</xdr:rowOff>
    </xdr:to>
    <xdr:pic>
      <xdr:nvPicPr>
        <xdr:cNvPr id="34" name="Picture 33">
          <a:extLst>
            <a:ext uri="{FF2B5EF4-FFF2-40B4-BE49-F238E27FC236}">
              <a16:creationId xmlns:a16="http://schemas.microsoft.com/office/drawing/2014/main" id="{C89311D1-0763-5B12-3DAA-442B856621BF}"/>
            </a:ext>
          </a:extLst>
        </xdr:cNvPr>
        <xdr:cNvPicPr>
          <a:picLocks noChangeAspect="1"/>
        </xdr:cNvPicPr>
      </xdr:nvPicPr>
      <xdr:blipFill>
        <a:blip xmlns:r="http://schemas.openxmlformats.org/officeDocument/2006/relationships" r:embed="rId16"/>
        <a:stretch>
          <a:fillRect/>
        </a:stretch>
      </xdr:blipFill>
      <xdr:spPr>
        <a:xfrm>
          <a:off x="90000667" y="457200"/>
          <a:ext cx="7421011" cy="6611273"/>
        </a:xfrm>
        <a:prstGeom prst="rect">
          <a:avLst/>
        </a:prstGeom>
      </xdr:spPr>
    </xdr:pic>
    <xdr:clientData/>
  </xdr:twoCellAnchor>
  <xdr:twoCellAnchor editAs="oneCell">
    <xdr:from>
      <xdr:col>147</xdr:col>
      <xdr:colOff>186266</xdr:colOff>
      <xdr:row>118</xdr:row>
      <xdr:rowOff>1</xdr:rowOff>
    </xdr:from>
    <xdr:to>
      <xdr:col>159</xdr:col>
      <xdr:colOff>2115</xdr:colOff>
      <xdr:row>172</xdr:row>
      <xdr:rowOff>31317</xdr:rowOff>
    </xdr:to>
    <xdr:pic>
      <xdr:nvPicPr>
        <xdr:cNvPr id="35" name="Picture 34">
          <a:extLst>
            <a:ext uri="{FF2B5EF4-FFF2-40B4-BE49-F238E27FC236}">
              <a16:creationId xmlns:a16="http://schemas.microsoft.com/office/drawing/2014/main" id="{6430CA5F-A8A9-3787-A10C-BCF1E7B6406D}"/>
            </a:ext>
          </a:extLst>
        </xdr:cNvPr>
        <xdr:cNvPicPr>
          <a:picLocks noChangeAspect="1"/>
        </xdr:cNvPicPr>
      </xdr:nvPicPr>
      <xdr:blipFill>
        <a:blip xmlns:r="http://schemas.openxmlformats.org/officeDocument/2006/relationships" r:embed="rId17"/>
        <a:stretch>
          <a:fillRect/>
        </a:stretch>
      </xdr:blipFill>
      <xdr:spPr>
        <a:xfrm>
          <a:off x="90017599" y="6858001"/>
          <a:ext cx="7112000" cy="10871847"/>
        </a:xfrm>
        <a:prstGeom prst="rect">
          <a:avLst/>
        </a:prstGeom>
      </xdr:spPr>
    </xdr:pic>
    <xdr:clientData/>
  </xdr:twoCellAnchor>
  <xdr:twoCellAnchor editAs="oneCell">
    <xdr:from>
      <xdr:col>161</xdr:col>
      <xdr:colOff>16933</xdr:colOff>
      <xdr:row>3</xdr:row>
      <xdr:rowOff>33867</xdr:rowOff>
    </xdr:from>
    <xdr:to>
      <xdr:col>173</xdr:col>
      <xdr:colOff>17953</xdr:colOff>
      <xdr:row>21</xdr:row>
      <xdr:rowOff>73336</xdr:rowOff>
    </xdr:to>
    <xdr:pic>
      <xdr:nvPicPr>
        <xdr:cNvPr id="36" name="Picture 35">
          <a:extLst>
            <a:ext uri="{FF2B5EF4-FFF2-40B4-BE49-F238E27FC236}">
              <a16:creationId xmlns:a16="http://schemas.microsoft.com/office/drawing/2014/main" id="{496EDB51-7DF4-9B95-B4DB-619BDEB3B5E9}"/>
            </a:ext>
          </a:extLst>
        </xdr:cNvPr>
        <xdr:cNvPicPr>
          <a:picLocks noChangeAspect="1"/>
        </xdr:cNvPicPr>
      </xdr:nvPicPr>
      <xdr:blipFill>
        <a:blip xmlns:r="http://schemas.openxmlformats.org/officeDocument/2006/relationships" r:embed="rId18"/>
        <a:stretch>
          <a:fillRect/>
        </a:stretch>
      </xdr:blipFill>
      <xdr:spPr>
        <a:xfrm>
          <a:off x="98382666" y="643467"/>
          <a:ext cx="7316221" cy="3629532"/>
        </a:xfrm>
        <a:prstGeom prst="rect">
          <a:avLst/>
        </a:prstGeom>
      </xdr:spPr>
    </xdr:pic>
    <xdr:clientData/>
  </xdr:twoCellAnchor>
  <xdr:twoCellAnchor editAs="oneCell">
    <xdr:from>
      <xdr:col>76</xdr:col>
      <xdr:colOff>115956</xdr:colOff>
      <xdr:row>1</xdr:row>
      <xdr:rowOff>82825</xdr:rowOff>
    </xdr:from>
    <xdr:to>
      <xdr:col>86</xdr:col>
      <xdr:colOff>159885</xdr:colOff>
      <xdr:row>27</xdr:row>
      <xdr:rowOff>60033</xdr:rowOff>
    </xdr:to>
    <xdr:pic>
      <xdr:nvPicPr>
        <xdr:cNvPr id="37" name="Picture 36">
          <a:extLst>
            <a:ext uri="{FF2B5EF4-FFF2-40B4-BE49-F238E27FC236}">
              <a16:creationId xmlns:a16="http://schemas.microsoft.com/office/drawing/2014/main" id="{F42CD686-DE9C-B85E-9F7F-F8AAFA9DB505}"/>
            </a:ext>
          </a:extLst>
        </xdr:cNvPr>
        <xdr:cNvPicPr>
          <a:picLocks noChangeAspect="1"/>
        </xdr:cNvPicPr>
      </xdr:nvPicPr>
      <xdr:blipFill>
        <a:blip xmlns:r="http://schemas.openxmlformats.org/officeDocument/2006/relationships" r:embed="rId19"/>
        <a:stretch>
          <a:fillRect/>
        </a:stretch>
      </xdr:blipFill>
      <xdr:spPr>
        <a:xfrm>
          <a:off x="40750434" y="281608"/>
          <a:ext cx="6173061" cy="5001323"/>
        </a:xfrm>
        <a:prstGeom prst="rect">
          <a:avLst/>
        </a:prstGeom>
      </xdr:spPr>
    </xdr:pic>
    <xdr:clientData/>
  </xdr:twoCellAnchor>
  <xdr:twoCellAnchor editAs="oneCell">
    <xdr:from>
      <xdr:col>76</xdr:col>
      <xdr:colOff>157038</xdr:colOff>
      <xdr:row>48</xdr:row>
      <xdr:rowOff>30480</xdr:rowOff>
    </xdr:from>
    <xdr:to>
      <xdr:col>86</xdr:col>
      <xdr:colOff>238963</xdr:colOff>
      <xdr:row>64</xdr:row>
      <xdr:rowOff>149285</xdr:rowOff>
    </xdr:to>
    <xdr:pic>
      <xdr:nvPicPr>
        <xdr:cNvPr id="38" name="Picture 37">
          <a:extLst>
            <a:ext uri="{FF2B5EF4-FFF2-40B4-BE49-F238E27FC236}">
              <a16:creationId xmlns:a16="http://schemas.microsoft.com/office/drawing/2014/main" id="{2C7B8A17-D8EA-A981-ACD1-33A9505AC4A5}"/>
            </a:ext>
          </a:extLst>
        </xdr:cNvPr>
        <xdr:cNvPicPr>
          <a:picLocks noChangeAspect="1"/>
        </xdr:cNvPicPr>
      </xdr:nvPicPr>
      <xdr:blipFill>
        <a:blip xmlns:r="http://schemas.openxmlformats.org/officeDocument/2006/relationships" r:embed="rId20"/>
        <a:stretch>
          <a:fillRect/>
        </a:stretch>
      </xdr:blipFill>
      <xdr:spPr>
        <a:xfrm>
          <a:off x="70352478" y="5699760"/>
          <a:ext cx="6177926" cy="2809504"/>
        </a:xfrm>
        <a:prstGeom prst="rect">
          <a:avLst/>
        </a:prstGeom>
      </xdr:spPr>
    </xdr:pic>
    <xdr:clientData/>
  </xdr:twoCellAnchor>
  <xdr:twoCellAnchor editAs="oneCell">
    <xdr:from>
      <xdr:col>76</xdr:col>
      <xdr:colOff>182217</xdr:colOff>
      <xdr:row>69</xdr:row>
      <xdr:rowOff>113306</xdr:rowOff>
    </xdr:from>
    <xdr:to>
      <xdr:col>86</xdr:col>
      <xdr:colOff>178515</xdr:colOff>
      <xdr:row>83</xdr:row>
      <xdr:rowOff>156899</xdr:rowOff>
    </xdr:to>
    <xdr:pic>
      <xdr:nvPicPr>
        <xdr:cNvPr id="39" name="Picture 38">
          <a:extLst>
            <a:ext uri="{FF2B5EF4-FFF2-40B4-BE49-F238E27FC236}">
              <a16:creationId xmlns:a16="http://schemas.microsoft.com/office/drawing/2014/main" id="{F25B5F93-3E82-584B-3F6A-B57E6C080D05}"/>
            </a:ext>
          </a:extLst>
        </xdr:cNvPr>
        <xdr:cNvPicPr>
          <a:picLocks noChangeAspect="1"/>
        </xdr:cNvPicPr>
      </xdr:nvPicPr>
      <xdr:blipFill>
        <a:blip xmlns:r="http://schemas.openxmlformats.org/officeDocument/2006/relationships" r:embed="rId21"/>
        <a:stretch>
          <a:fillRect/>
        </a:stretch>
      </xdr:blipFill>
      <xdr:spPr>
        <a:xfrm>
          <a:off x="70377657" y="9165866"/>
          <a:ext cx="6092299" cy="2858347"/>
        </a:xfrm>
        <a:prstGeom prst="rect">
          <a:avLst/>
        </a:prstGeom>
      </xdr:spPr>
    </xdr:pic>
    <xdr:clientData/>
  </xdr:twoCellAnchor>
  <xdr:twoCellAnchor editAs="oneCell">
    <xdr:from>
      <xdr:col>76</xdr:col>
      <xdr:colOff>430695</xdr:colOff>
      <xdr:row>73</xdr:row>
      <xdr:rowOff>152400</xdr:rowOff>
    </xdr:from>
    <xdr:to>
      <xdr:col>86</xdr:col>
      <xdr:colOff>543889</xdr:colOff>
      <xdr:row>88</xdr:row>
      <xdr:rowOff>3696</xdr:rowOff>
    </xdr:to>
    <xdr:pic>
      <xdr:nvPicPr>
        <xdr:cNvPr id="40" name="Picture 39">
          <a:extLst>
            <a:ext uri="{FF2B5EF4-FFF2-40B4-BE49-F238E27FC236}">
              <a16:creationId xmlns:a16="http://schemas.microsoft.com/office/drawing/2014/main" id="{5B74419C-ED13-FBE5-95BC-304E0365BF39}"/>
            </a:ext>
          </a:extLst>
        </xdr:cNvPr>
        <xdr:cNvPicPr>
          <a:picLocks noChangeAspect="1"/>
        </xdr:cNvPicPr>
      </xdr:nvPicPr>
      <xdr:blipFill>
        <a:blip xmlns:r="http://schemas.openxmlformats.org/officeDocument/2006/relationships" r:embed="rId22"/>
        <a:stretch>
          <a:fillRect/>
        </a:stretch>
      </xdr:blipFill>
      <xdr:spPr>
        <a:xfrm>
          <a:off x="70626135" y="9997440"/>
          <a:ext cx="6209195" cy="2835594"/>
        </a:xfrm>
        <a:prstGeom prst="rect">
          <a:avLst/>
        </a:prstGeom>
      </xdr:spPr>
    </xdr:pic>
    <xdr:clientData/>
  </xdr:twoCellAnchor>
  <xdr:twoCellAnchor editAs="oneCell">
    <xdr:from>
      <xdr:col>87</xdr:col>
      <xdr:colOff>198783</xdr:colOff>
      <xdr:row>2</xdr:row>
      <xdr:rowOff>82826</xdr:rowOff>
    </xdr:from>
    <xdr:to>
      <xdr:col>97</xdr:col>
      <xdr:colOff>71240</xdr:colOff>
      <xdr:row>20</xdr:row>
      <xdr:rowOff>133514</xdr:rowOff>
    </xdr:to>
    <xdr:pic>
      <xdr:nvPicPr>
        <xdr:cNvPr id="41" name="Picture 40">
          <a:extLst>
            <a:ext uri="{FF2B5EF4-FFF2-40B4-BE49-F238E27FC236}">
              <a16:creationId xmlns:a16="http://schemas.microsoft.com/office/drawing/2014/main" id="{3C452FB6-59E6-665B-9570-7CFAD471DB88}"/>
            </a:ext>
          </a:extLst>
        </xdr:cNvPr>
        <xdr:cNvPicPr>
          <a:picLocks noChangeAspect="1"/>
        </xdr:cNvPicPr>
      </xdr:nvPicPr>
      <xdr:blipFill>
        <a:blip xmlns:r="http://schemas.openxmlformats.org/officeDocument/2006/relationships" r:embed="rId23"/>
        <a:stretch>
          <a:fillRect/>
        </a:stretch>
      </xdr:blipFill>
      <xdr:spPr>
        <a:xfrm>
          <a:off x="47575305" y="480391"/>
          <a:ext cx="6001588" cy="3581900"/>
        </a:xfrm>
        <a:prstGeom prst="rect">
          <a:avLst/>
        </a:prstGeom>
      </xdr:spPr>
    </xdr:pic>
    <xdr:clientData/>
  </xdr:twoCellAnchor>
  <xdr:twoCellAnchor editAs="oneCell">
    <xdr:from>
      <xdr:col>87</xdr:col>
      <xdr:colOff>489427</xdr:colOff>
      <xdr:row>46</xdr:row>
      <xdr:rowOff>154810</xdr:rowOff>
    </xdr:from>
    <xdr:to>
      <xdr:col>97</xdr:col>
      <xdr:colOff>504062</xdr:colOff>
      <xdr:row>63</xdr:row>
      <xdr:rowOff>161114</xdr:rowOff>
    </xdr:to>
    <xdr:pic>
      <xdr:nvPicPr>
        <xdr:cNvPr id="42" name="Picture 41">
          <a:extLst>
            <a:ext uri="{FF2B5EF4-FFF2-40B4-BE49-F238E27FC236}">
              <a16:creationId xmlns:a16="http://schemas.microsoft.com/office/drawing/2014/main" id="{6B0B0C12-D914-7E13-AAF8-EA34043D2E5E}"/>
            </a:ext>
          </a:extLst>
        </xdr:cNvPr>
        <xdr:cNvPicPr>
          <a:picLocks noChangeAspect="1"/>
        </xdr:cNvPicPr>
      </xdr:nvPicPr>
      <xdr:blipFill>
        <a:blip xmlns:r="http://schemas.openxmlformats.org/officeDocument/2006/relationships" r:embed="rId24"/>
        <a:stretch>
          <a:fillRect/>
        </a:stretch>
      </xdr:blipFill>
      <xdr:spPr>
        <a:xfrm>
          <a:off x="77423718" y="5170155"/>
          <a:ext cx="6110636" cy="2839037"/>
        </a:xfrm>
        <a:prstGeom prst="rect">
          <a:avLst/>
        </a:prstGeom>
      </xdr:spPr>
    </xdr:pic>
    <xdr:clientData/>
  </xdr:twoCellAnchor>
  <xdr:twoCellAnchor editAs="oneCell">
    <xdr:from>
      <xdr:col>46</xdr:col>
      <xdr:colOff>571697</xdr:colOff>
      <xdr:row>5</xdr:row>
      <xdr:rowOff>141316</xdr:rowOff>
    </xdr:from>
    <xdr:to>
      <xdr:col>60</xdr:col>
      <xdr:colOff>403633</xdr:colOff>
      <xdr:row>18</xdr:row>
      <xdr:rowOff>122599</xdr:rowOff>
    </xdr:to>
    <xdr:pic>
      <xdr:nvPicPr>
        <xdr:cNvPr id="43" name="Picture 42">
          <a:extLst>
            <a:ext uri="{FF2B5EF4-FFF2-40B4-BE49-F238E27FC236}">
              <a16:creationId xmlns:a16="http://schemas.microsoft.com/office/drawing/2014/main" id="{51491651-BCEC-5CA5-135F-10778EDC18B3}"/>
            </a:ext>
          </a:extLst>
        </xdr:cNvPr>
        <xdr:cNvPicPr>
          <a:picLocks noChangeAspect="1"/>
        </xdr:cNvPicPr>
      </xdr:nvPicPr>
      <xdr:blipFill>
        <a:blip xmlns:r="http://schemas.openxmlformats.org/officeDocument/2006/relationships" r:embed="rId25"/>
        <a:stretch>
          <a:fillRect/>
        </a:stretch>
      </xdr:blipFill>
      <xdr:spPr>
        <a:xfrm>
          <a:off x="42938897" y="1147156"/>
          <a:ext cx="8366339" cy="2678769"/>
        </a:xfrm>
        <a:prstGeom prst="rect">
          <a:avLst/>
        </a:prstGeom>
      </xdr:spPr>
    </xdr:pic>
    <xdr:clientData/>
  </xdr:twoCellAnchor>
  <xdr:twoCellAnchor editAs="oneCell">
    <xdr:from>
      <xdr:col>147</xdr:col>
      <xdr:colOff>108857</xdr:colOff>
      <xdr:row>208</xdr:row>
      <xdr:rowOff>145143</xdr:rowOff>
    </xdr:from>
    <xdr:to>
      <xdr:col>158</xdr:col>
      <xdr:colOff>544284</xdr:colOff>
      <xdr:row>222</xdr:row>
      <xdr:rowOff>131995</xdr:rowOff>
    </xdr:to>
    <xdr:pic>
      <xdr:nvPicPr>
        <xdr:cNvPr id="44" name="Picture 43">
          <a:extLst>
            <a:ext uri="{FF2B5EF4-FFF2-40B4-BE49-F238E27FC236}">
              <a16:creationId xmlns:a16="http://schemas.microsoft.com/office/drawing/2014/main" id="{2B3A6AC2-8212-12E4-AF57-613F5D87D234}"/>
            </a:ext>
          </a:extLst>
        </xdr:cNvPr>
        <xdr:cNvPicPr>
          <a:picLocks noChangeAspect="1"/>
        </xdr:cNvPicPr>
      </xdr:nvPicPr>
      <xdr:blipFill>
        <a:blip xmlns:r="http://schemas.openxmlformats.org/officeDocument/2006/relationships" r:embed="rId26"/>
        <a:stretch>
          <a:fillRect/>
        </a:stretch>
      </xdr:blipFill>
      <xdr:spPr>
        <a:xfrm>
          <a:off x="84709000" y="17907000"/>
          <a:ext cx="7220857" cy="2763633"/>
        </a:xfrm>
        <a:prstGeom prst="rect">
          <a:avLst/>
        </a:prstGeom>
      </xdr:spPr>
    </xdr:pic>
    <xdr:clientData/>
  </xdr:twoCellAnchor>
  <xdr:twoCellAnchor editAs="oneCell">
    <xdr:from>
      <xdr:col>161</xdr:col>
      <xdr:colOff>235856</xdr:colOff>
      <xdr:row>70</xdr:row>
      <xdr:rowOff>0</xdr:rowOff>
    </xdr:from>
    <xdr:to>
      <xdr:col>173</xdr:col>
      <xdr:colOff>6998</xdr:colOff>
      <xdr:row>91</xdr:row>
      <xdr:rowOff>93520</xdr:rowOff>
    </xdr:to>
    <xdr:pic>
      <xdr:nvPicPr>
        <xdr:cNvPr id="45" name="Picture 44">
          <a:extLst>
            <a:ext uri="{FF2B5EF4-FFF2-40B4-BE49-F238E27FC236}">
              <a16:creationId xmlns:a16="http://schemas.microsoft.com/office/drawing/2014/main" id="{22342335-B46A-B499-E6D4-7D5F2AFD65E8}"/>
            </a:ext>
          </a:extLst>
        </xdr:cNvPr>
        <xdr:cNvPicPr>
          <a:picLocks noChangeAspect="1"/>
        </xdr:cNvPicPr>
      </xdr:nvPicPr>
      <xdr:blipFill>
        <a:blip xmlns:r="http://schemas.openxmlformats.org/officeDocument/2006/relationships" r:embed="rId27"/>
        <a:stretch>
          <a:fillRect/>
        </a:stretch>
      </xdr:blipFill>
      <xdr:spPr>
        <a:xfrm>
          <a:off x="93471999" y="5370286"/>
          <a:ext cx="7173429" cy="4263572"/>
        </a:xfrm>
        <a:prstGeom prst="rect">
          <a:avLst/>
        </a:prstGeom>
      </xdr:spPr>
    </xdr:pic>
    <xdr:clientData/>
  </xdr:twoCellAnchor>
  <xdr:twoCellAnchor editAs="oneCell">
    <xdr:from>
      <xdr:col>49</xdr:col>
      <xdr:colOff>414382</xdr:colOff>
      <xdr:row>142</xdr:row>
      <xdr:rowOff>0</xdr:rowOff>
    </xdr:from>
    <xdr:to>
      <xdr:col>63</xdr:col>
      <xdr:colOff>552131</xdr:colOff>
      <xdr:row>149</xdr:row>
      <xdr:rowOff>14391</xdr:rowOff>
    </xdr:to>
    <xdr:pic>
      <xdr:nvPicPr>
        <xdr:cNvPr id="46" name="Picture 45">
          <a:extLst>
            <a:ext uri="{FF2B5EF4-FFF2-40B4-BE49-F238E27FC236}">
              <a16:creationId xmlns:a16="http://schemas.microsoft.com/office/drawing/2014/main" id="{B899D644-D092-DDB3-DCDD-0EBB611282D1}"/>
            </a:ext>
          </a:extLst>
        </xdr:cNvPr>
        <xdr:cNvPicPr>
          <a:picLocks noChangeAspect="1"/>
        </xdr:cNvPicPr>
      </xdr:nvPicPr>
      <xdr:blipFill>
        <a:blip xmlns:r="http://schemas.openxmlformats.org/officeDocument/2006/relationships" r:embed="rId28"/>
        <a:stretch>
          <a:fillRect/>
        </a:stretch>
      </xdr:blipFill>
      <xdr:spPr>
        <a:xfrm>
          <a:off x="44610382" y="21945600"/>
          <a:ext cx="8672149" cy="1398868"/>
        </a:xfrm>
        <a:prstGeom prst="rect">
          <a:avLst/>
        </a:prstGeom>
      </xdr:spPr>
    </xdr:pic>
    <xdr:clientData/>
  </xdr:twoCellAnchor>
  <xdr:twoCellAnchor editAs="oneCell">
    <xdr:from>
      <xdr:col>119</xdr:col>
      <xdr:colOff>240748</xdr:colOff>
      <xdr:row>250</xdr:row>
      <xdr:rowOff>0</xdr:rowOff>
    </xdr:from>
    <xdr:to>
      <xdr:col>129</xdr:col>
      <xdr:colOff>119992</xdr:colOff>
      <xdr:row>262</xdr:row>
      <xdr:rowOff>144229</xdr:rowOff>
    </xdr:to>
    <xdr:pic>
      <xdr:nvPicPr>
        <xdr:cNvPr id="47" name="Picture 46">
          <a:extLst>
            <a:ext uri="{FF2B5EF4-FFF2-40B4-BE49-F238E27FC236}">
              <a16:creationId xmlns:a16="http://schemas.microsoft.com/office/drawing/2014/main" id="{712E4376-E1EA-1291-CEFF-7B76BE597681}"/>
            </a:ext>
          </a:extLst>
        </xdr:cNvPr>
        <xdr:cNvPicPr>
          <a:picLocks noChangeAspect="1"/>
        </xdr:cNvPicPr>
      </xdr:nvPicPr>
      <xdr:blipFill>
        <a:blip xmlns:r="http://schemas.openxmlformats.org/officeDocument/2006/relationships" r:embed="rId29"/>
        <a:stretch>
          <a:fillRect/>
        </a:stretch>
      </xdr:blipFill>
      <xdr:spPr>
        <a:xfrm>
          <a:off x="96648988" y="42358366"/>
          <a:ext cx="5975244" cy="2333263"/>
        </a:xfrm>
        <a:prstGeom prst="rect">
          <a:avLst/>
        </a:prstGeom>
      </xdr:spPr>
    </xdr:pic>
    <xdr:clientData/>
  </xdr:twoCellAnchor>
  <xdr:twoCellAnchor editAs="oneCell">
    <xdr:from>
      <xdr:col>161</xdr:col>
      <xdr:colOff>0</xdr:colOff>
      <xdr:row>142</xdr:row>
      <xdr:rowOff>0</xdr:rowOff>
    </xdr:from>
    <xdr:to>
      <xdr:col>173</xdr:col>
      <xdr:colOff>66260</xdr:colOff>
      <xdr:row>164</xdr:row>
      <xdr:rowOff>9755</xdr:rowOff>
    </xdr:to>
    <xdr:pic>
      <xdr:nvPicPr>
        <xdr:cNvPr id="48" name="Picture 47">
          <a:extLst>
            <a:ext uri="{FF2B5EF4-FFF2-40B4-BE49-F238E27FC236}">
              <a16:creationId xmlns:a16="http://schemas.microsoft.com/office/drawing/2014/main" id="{AB2F04A9-34F1-E21D-0140-B4F298620BE4}"/>
            </a:ext>
          </a:extLst>
        </xdr:cNvPr>
        <xdr:cNvPicPr>
          <a:picLocks noChangeAspect="1"/>
        </xdr:cNvPicPr>
      </xdr:nvPicPr>
      <xdr:blipFill>
        <a:blip xmlns:r="http://schemas.openxmlformats.org/officeDocument/2006/relationships" r:embed="rId30"/>
        <a:stretch>
          <a:fillRect/>
        </a:stretch>
      </xdr:blipFill>
      <xdr:spPr>
        <a:xfrm>
          <a:off x="91981130" y="10049565"/>
          <a:ext cx="7354957" cy="4538834"/>
        </a:xfrm>
        <a:prstGeom prst="rect">
          <a:avLst/>
        </a:prstGeom>
      </xdr:spPr>
    </xdr:pic>
    <xdr:clientData/>
  </xdr:twoCellAnchor>
  <xdr:twoCellAnchor editAs="oneCell">
    <xdr:from>
      <xdr:col>83</xdr:col>
      <xdr:colOff>321608</xdr:colOff>
      <xdr:row>97</xdr:row>
      <xdr:rowOff>1905</xdr:rowOff>
    </xdr:from>
    <xdr:to>
      <xdr:col>94</xdr:col>
      <xdr:colOff>57893</xdr:colOff>
      <xdr:row>108</xdr:row>
      <xdr:rowOff>32881</xdr:rowOff>
    </xdr:to>
    <xdr:pic>
      <xdr:nvPicPr>
        <xdr:cNvPr id="23" name="Picture 49">
          <a:extLst>
            <a:ext uri="{FF2B5EF4-FFF2-40B4-BE49-F238E27FC236}">
              <a16:creationId xmlns:a16="http://schemas.microsoft.com/office/drawing/2014/main" id="{353BD1F1-B5E8-C474-7ADD-5537B83B9391}"/>
            </a:ext>
            <a:ext uri="{147F2762-F138-4A5C-976F-8EAC2B608ADB}">
              <a16:predDERef xmlns:a16="http://schemas.microsoft.com/office/drawing/2014/main" pred="{AB2F04A9-34F1-E21D-0140-B4F298620BE4}"/>
            </a:ext>
          </a:extLst>
        </xdr:cNvPr>
        <xdr:cNvPicPr>
          <a:picLocks noChangeAspect="1"/>
        </xdr:cNvPicPr>
      </xdr:nvPicPr>
      <xdr:blipFill>
        <a:blip xmlns:r="http://schemas.openxmlformats.org/officeDocument/2006/relationships" r:embed="rId31"/>
        <a:stretch>
          <a:fillRect/>
        </a:stretch>
      </xdr:blipFill>
      <xdr:spPr>
        <a:xfrm>
          <a:off x="84046358" y="17746980"/>
          <a:ext cx="6581585" cy="2116552"/>
        </a:xfrm>
        <a:prstGeom prst="rect">
          <a:avLst/>
        </a:prstGeom>
      </xdr:spPr>
    </xdr:pic>
    <xdr:clientData/>
  </xdr:twoCellAnchor>
  <xdr:twoCellAnchor editAs="oneCell">
    <xdr:from>
      <xdr:col>147</xdr:col>
      <xdr:colOff>134472</xdr:colOff>
      <xdr:row>250</xdr:row>
      <xdr:rowOff>0</xdr:rowOff>
    </xdr:from>
    <xdr:to>
      <xdr:col>158</xdr:col>
      <xdr:colOff>493058</xdr:colOff>
      <xdr:row>256</xdr:row>
      <xdr:rowOff>101868</xdr:rowOff>
    </xdr:to>
    <xdr:pic>
      <xdr:nvPicPr>
        <xdr:cNvPr id="51" name="Picture 50">
          <a:extLst>
            <a:ext uri="{FF2B5EF4-FFF2-40B4-BE49-F238E27FC236}">
              <a16:creationId xmlns:a16="http://schemas.microsoft.com/office/drawing/2014/main" id="{834298B8-B0EB-0E0F-28CC-05F680F631D4}"/>
            </a:ext>
          </a:extLst>
        </xdr:cNvPr>
        <xdr:cNvPicPr>
          <a:picLocks noChangeAspect="1"/>
        </xdr:cNvPicPr>
      </xdr:nvPicPr>
      <xdr:blipFill>
        <a:blip xmlns:r="http://schemas.openxmlformats.org/officeDocument/2006/relationships" r:embed="rId32"/>
        <a:stretch>
          <a:fillRect/>
        </a:stretch>
      </xdr:blipFill>
      <xdr:spPr>
        <a:xfrm>
          <a:off x="84283178" y="20798118"/>
          <a:ext cx="7097058" cy="1177623"/>
        </a:xfrm>
        <a:prstGeom prst="rect">
          <a:avLst/>
        </a:prstGeom>
      </xdr:spPr>
    </xdr:pic>
    <xdr:clientData/>
  </xdr:twoCellAnchor>
  <xdr:twoCellAnchor editAs="oneCell">
    <xdr:from>
      <xdr:col>50</xdr:col>
      <xdr:colOff>487110</xdr:colOff>
      <xdr:row>116</xdr:row>
      <xdr:rowOff>0</xdr:rowOff>
    </xdr:from>
    <xdr:to>
      <xdr:col>61</xdr:col>
      <xdr:colOff>406191</xdr:colOff>
      <xdr:row>123</xdr:row>
      <xdr:rowOff>132</xdr:rowOff>
    </xdr:to>
    <xdr:pic>
      <xdr:nvPicPr>
        <xdr:cNvPr id="52" name="Picture 51">
          <a:extLst>
            <a:ext uri="{FF2B5EF4-FFF2-40B4-BE49-F238E27FC236}">
              <a16:creationId xmlns:a16="http://schemas.microsoft.com/office/drawing/2014/main" id="{D5D2D027-EF1C-4882-FD06-936B076222B5}"/>
            </a:ext>
          </a:extLst>
        </xdr:cNvPr>
        <xdr:cNvPicPr>
          <a:picLocks noChangeAspect="1"/>
        </xdr:cNvPicPr>
      </xdr:nvPicPr>
      <xdr:blipFill>
        <a:blip xmlns:r="http://schemas.openxmlformats.org/officeDocument/2006/relationships" r:embed="rId33"/>
        <a:stretch>
          <a:fillRect/>
        </a:stretch>
      </xdr:blipFill>
      <xdr:spPr>
        <a:xfrm>
          <a:off x="45292710" y="18471046"/>
          <a:ext cx="6624682" cy="1355483"/>
        </a:xfrm>
        <a:prstGeom prst="rect">
          <a:avLst/>
        </a:prstGeom>
      </xdr:spPr>
    </xdr:pic>
    <xdr:clientData/>
  </xdr:twoCellAnchor>
  <xdr:twoCellAnchor editAs="oneCell">
    <xdr:from>
      <xdr:col>50</xdr:col>
      <xdr:colOff>296487</xdr:colOff>
      <xdr:row>79</xdr:row>
      <xdr:rowOff>60959</xdr:rowOff>
    </xdr:from>
    <xdr:to>
      <xdr:col>62</xdr:col>
      <xdr:colOff>299758</xdr:colOff>
      <xdr:row>104</xdr:row>
      <xdr:rowOff>131822</xdr:rowOff>
    </xdr:to>
    <xdr:pic>
      <xdr:nvPicPr>
        <xdr:cNvPr id="9" name="Picture 8" descr="Apple Shines in a Declining Southeast Asia Smartphone Market - Counterpoint">
          <a:extLst>
            <a:ext uri="{FF2B5EF4-FFF2-40B4-BE49-F238E27FC236}">
              <a16:creationId xmlns:a16="http://schemas.microsoft.com/office/drawing/2014/main" id="{E67A3134-FBD6-4CF0-862D-8DD86BA1C58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5102087" y="10149839"/>
          <a:ext cx="7318470" cy="5049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340179</xdr:colOff>
      <xdr:row>250</xdr:row>
      <xdr:rowOff>0</xdr:rowOff>
    </xdr:from>
    <xdr:to>
      <xdr:col>20</xdr:col>
      <xdr:colOff>151759</xdr:colOff>
      <xdr:row>274</xdr:row>
      <xdr:rowOff>149167</xdr:rowOff>
    </xdr:to>
    <xdr:pic>
      <xdr:nvPicPr>
        <xdr:cNvPr id="10" name="Picture 9">
          <a:extLst>
            <a:ext uri="{FF2B5EF4-FFF2-40B4-BE49-F238E27FC236}">
              <a16:creationId xmlns:a16="http://schemas.microsoft.com/office/drawing/2014/main" id="{3F24F985-0477-6833-D4DE-CE8A0D80B8BB}"/>
            </a:ext>
          </a:extLst>
        </xdr:cNvPr>
        <xdr:cNvPicPr>
          <a:picLocks noChangeAspect="1"/>
        </xdr:cNvPicPr>
      </xdr:nvPicPr>
      <xdr:blipFill>
        <a:blip xmlns:r="http://schemas.openxmlformats.org/officeDocument/2006/relationships" r:embed="rId35"/>
        <a:stretch>
          <a:fillRect/>
        </a:stretch>
      </xdr:blipFill>
      <xdr:spPr>
        <a:xfrm>
          <a:off x="11141529" y="36616821"/>
          <a:ext cx="6167554" cy="4712792"/>
        </a:xfrm>
        <a:prstGeom prst="rect">
          <a:avLst/>
        </a:prstGeom>
      </xdr:spPr>
    </xdr:pic>
    <xdr:clientData/>
  </xdr:twoCellAnchor>
  <xdr:twoCellAnchor editAs="oneCell">
    <xdr:from>
      <xdr:col>119</xdr:col>
      <xdr:colOff>342900</xdr:colOff>
      <xdr:row>250</xdr:row>
      <xdr:rowOff>0</xdr:rowOff>
    </xdr:from>
    <xdr:to>
      <xdr:col>129</xdr:col>
      <xdr:colOff>123274</xdr:colOff>
      <xdr:row>270</xdr:row>
      <xdr:rowOff>106683</xdr:rowOff>
    </xdr:to>
    <xdr:pic>
      <xdr:nvPicPr>
        <xdr:cNvPr id="12" name="Picture 11">
          <a:extLst>
            <a:ext uri="{FF2B5EF4-FFF2-40B4-BE49-F238E27FC236}">
              <a16:creationId xmlns:a16="http://schemas.microsoft.com/office/drawing/2014/main" id="{E3EC812A-DBFD-4000-ABBB-2B8DA031A062}"/>
            </a:ext>
          </a:extLst>
        </xdr:cNvPr>
        <xdr:cNvPicPr>
          <a:picLocks noChangeAspect="1"/>
        </xdr:cNvPicPr>
      </xdr:nvPicPr>
      <xdr:blipFill>
        <a:blip xmlns:r="http://schemas.openxmlformats.org/officeDocument/2006/relationships" r:embed="rId36"/>
        <a:stretch>
          <a:fillRect/>
        </a:stretch>
      </xdr:blipFill>
      <xdr:spPr>
        <a:xfrm>
          <a:off x="96751140" y="45236130"/>
          <a:ext cx="5876374" cy="3764279"/>
        </a:xfrm>
        <a:prstGeom prst="rect">
          <a:avLst/>
        </a:prstGeom>
      </xdr:spPr>
    </xdr:pic>
    <xdr:clientData/>
  </xdr:twoCellAnchor>
  <xdr:twoCellAnchor>
    <xdr:from>
      <xdr:col>24</xdr:col>
      <xdr:colOff>263649</xdr:colOff>
      <xdr:row>81</xdr:row>
      <xdr:rowOff>112369</xdr:rowOff>
    </xdr:from>
    <xdr:to>
      <xdr:col>24</xdr:col>
      <xdr:colOff>4824887</xdr:colOff>
      <xdr:row>96</xdr:row>
      <xdr:rowOff>57703</xdr:rowOff>
    </xdr:to>
    <xdr:graphicFrame macro="">
      <xdr:nvGraphicFramePr>
        <xdr:cNvPr id="71" name="Chart 13">
          <a:extLst>
            <a:ext uri="{FF2B5EF4-FFF2-40B4-BE49-F238E27FC236}">
              <a16:creationId xmlns:a16="http://schemas.microsoft.com/office/drawing/2014/main" id="{076CD901-6538-42E0-B3F4-F462B44E3C1F}"/>
            </a:ext>
            <a:ext uri="{147F2762-F138-4A5C-976F-8EAC2B608ADB}">
              <a16:predDERef xmlns:a16="http://schemas.microsoft.com/office/drawing/2014/main" pred="{E3EC812A-DBFD-4000-ABBB-2B8DA031A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24</xdr:col>
      <xdr:colOff>4882566</xdr:colOff>
      <xdr:row>81</xdr:row>
      <xdr:rowOff>159126</xdr:rowOff>
    </xdr:from>
    <xdr:to>
      <xdr:col>24</xdr:col>
      <xdr:colOff>7960674</xdr:colOff>
      <xdr:row>93</xdr:row>
      <xdr:rowOff>129061</xdr:rowOff>
    </xdr:to>
    <xdr:pic>
      <xdr:nvPicPr>
        <xdr:cNvPr id="15" name="Picture 14">
          <a:extLst>
            <a:ext uri="{FF2B5EF4-FFF2-40B4-BE49-F238E27FC236}">
              <a16:creationId xmlns:a16="http://schemas.microsoft.com/office/drawing/2014/main" id="{C6FCF411-FB23-A828-20CD-2C63E397CD46}"/>
            </a:ext>
          </a:extLst>
        </xdr:cNvPr>
        <xdr:cNvPicPr>
          <a:picLocks noChangeAspect="1"/>
        </xdr:cNvPicPr>
      </xdr:nvPicPr>
      <xdr:blipFill>
        <a:blip xmlns:r="http://schemas.openxmlformats.org/officeDocument/2006/relationships" r:embed="rId38"/>
        <a:stretch>
          <a:fillRect/>
        </a:stretch>
      </xdr:blipFill>
      <xdr:spPr>
        <a:xfrm>
          <a:off x="23579175" y="10882343"/>
          <a:ext cx="3078108" cy="2416616"/>
        </a:xfrm>
        <a:prstGeom prst="rect">
          <a:avLst/>
        </a:prstGeom>
      </xdr:spPr>
    </xdr:pic>
    <xdr:clientData/>
  </xdr:twoCellAnchor>
  <xdr:twoCellAnchor editAs="oneCell">
    <xdr:from>
      <xdr:col>24</xdr:col>
      <xdr:colOff>3682072</xdr:colOff>
      <xdr:row>59</xdr:row>
      <xdr:rowOff>20802</xdr:rowOff>
    </xdr:from>
    <xdr:to>
      <xdr:col>25</xdr:col>
      <xdr:colOff>1184329</xdr:colOff>
      <xdr:row>65</xdr:row>
      <xdr:rowOff>34542</xdr:rowOff>
    </xdr:to>
    <xdr:pic>
      <xdr:nvPicPr>
        <xdr:cNvPr id="16" name="Picture 15">
          <a:extLst>
            <a:ext uri="{FF2B5EF4-FFF2-40B4-BE49-F238E27FC236}">
              <a16:creationId xmlns:a16="http://schemas.microsoft.com/office/drawing/2014/main" id="{C8FC98A4-20C7-707D-5F65-C98A11C785C4}"/>
            </a:ext>
          </a:extLst>
        </xdr:cNvPr>
        <xdr:cNvPicPr>
          <a:picLocks noChangeAspect="1"/>
        </xdr:cNvPicPr>
      </xdr:nvPicPr>
      <xdr:blipFill>
        <a:blip xmlns:r="http://schemas.openxmlformats.org/officeDocument/2006/relationships" r:embed="rId39"/>
        <a:stretch>
          <a:fillRect/>
        </a:stretch>
      </xdr:blipFill>
      <xdr:spPr>
        <a:xfrm>
          <a:off x="22427272" y="6307302"/>
          <a:ext cx="5922360" cy="1156739"/>
        </a:xfrm>
        <a:prstGeom prst="rect">
          <a:avLst/>
        </a:prstGeom>
      </xdr:spPr>
    </xdr:pic>
    <xdr:clientData/>
  </xdr:twoCellAnchor>
  <xdr:twoCellAnchor editAs="oneCell">
    <xdr:from>
      <xdr:col>24</xdr:col>
      <xdr:colOff>3910808</xdr:colOff>
      <xdr:row>65</xdr:row>
      <xdr:rowOff>10125</xdr:rowOff>
    </xdr:from>
    <xdr:to>
      <xdr:col>25</xdr:col>
      <xdr:colOff>1450964</xdr:colOff>
      <xdr:row>68</xdr:row>
      <xdr:rowOff>102663</xdr:rowOff>
    </xdr:to>
    <xdr:pic>
      <xdr:nvPicPr>
        <xdr:cNvPr id="17" name="Picture 16">
          <a:extLst>
            <a:ext uri="{FF2B5EF4-FFF2-40B4-BE49-F238E27FC236}">
              <a16:creationId xmlns:a16="http://schemas.microsoft.com/office/drawing/2014/main" id="{51745984-9D31-9DCA-1D16-DB9BAAD945AD}"/>
            </a:ext>
          </a:extLst>
        </xdr:cNvPr>
        <xdr:cNvPicPr>
          <a:picLocks noChangeAspect="1"/>
        </xdr:cNvPicPr>
      </xdr:nvPicPr>
      <xdr:blipFill>
        <a:blip xmlns:r="http://schemas.openxmlformats.org/officeDocument/2006/relationships" r:embed="rId40"/>
        <a:stretch>
          <a:fillRect/>
        </a:stretch>
      </xdr:blipFill>
      <xdr:spPr>
        <a:xfrm>
          <a:off x="22656008" y="7401525"/>
          <a:ext cx="5960259" cy="711664"/>
        </a:xfrm>
        <a:prstGeom prst="rect">
          <a:avLst/>
        </a:prstGeom>
      </xdr:spPr>
    </xdr:pic>
    <xdr:clientData/>
  </xdr:twoCellAnchor>
  <xdr:twoCellAnchor editAs="oneCell">
    <xdr:from>
      <xdr:col>5</xdr:col>
      <xdr:colOff>209279</xdr:colOff>
      <xdr:row>122</xdr:row>
      <xdr:rowOff>120468</xdr:rowOff>
    </xdr:from>
    <xdr:to>
      <xdr:col>9</xdr:col>
      <xdr:colOff>246998</xdr:colOff>
      <xdr:row>129</xdr:row>
      <xdr:rowOff>103099</xdr:rowOff>
    </xdr:to>
    <xdr:pic>
      <xdr:nvPicPr>
        <xdr:cNvPr id="76" name="Picture 1">
          <a:extLst>
            <a:ext uri="{FF2B5EF4-FFF2-40B4-BE49-F238E27FC236}">
              <a16:creationId xmlns:a16="http://schemas.microsoft.com/office/drawing/2014/main" id="{BAA14D78-9586-49EA-8B84-E8C63849B6F3}"/>
            </a:ext>
            <a:ext uri="{147F2762-F138-4A5C-976F-8EAC2B608ADB}">
              <a16:predDERef xmlns:a16="http://schemas.microsoft.com/office/drawing/2014/main" pred="{51745984-9D31-9DCA-1D16-DB9BAAD945AD}"/>
            </a:ext>
          </a:extLst>
        </xdr:cNvPr>
        <xdr:cNvPicPr>
          <a:picLocks noChangeAspect="1"/>
        </xdr:cNvPicPr>
      </xdr:nvPicPr>
      <xdr:blipFill>
        <a:blip xmlns:r="http://schemas.openxmlformats.org/officeDocument/2006/relationships" r:embed="rId41"/>
        <a:stretch>
          <a:fillRect/>
        </a:stretch>
      </xdr:blipFill>
      <xdr:spPr>
        <a:xfrm>
          <a:off x="5801014" y="23820909"/>
          <a:ext cx="2866527" cy="1316131"/>
        </a:xfrm>
        <a:prstGeom prst="rect">
          <a:avLst/>
        </a:prstGeom>
      </xdr:spPr>
    </xdr:pic>
    <xdr:clientData/>
  </xdr:twoCellAnchor>
  <xdr:oneCellAnchor>
    <xdr:from>
      <xdr:col>24</xdr:col>
      <xdr:colOff>45207</xdr:colOff>
      <xdr:row>22</xdr:row>
      <xdr:rowOff>30255</xdr:rowOff>
    </xdr:from>
    <xdr:ext cx="3836020" cy="1698120"/>
    <xdr:pic>
      <xdr:nvPicPr>
        <xdr:cNvPr id="58" name="Picture 17">
          <a:extLst>
            <a:ext uri="{FF2B5EF4-FFF2-40B4-BE49-F238E27FC236}">
              <a16:creationId xmlns:a16="http://schemas.microsoft.com/office/drawing/2014/main" id="{D7AEA1E4-07C0-7D65-D114-4C2751BBC3E3}"/>
            </a:ext>
          </a:extLst>
        </xdr:cNvPr>
        <xdr:cNvPicPr>
          <a:picLocks noChangeAspect="1"/>
        </xdr:cNvPicPr>
      </xdr:nvPicPr>
      <xdr:blipFill>
        <a:blip xmlns:r="http://schemas.openxmlformats.org/officeDocument/2006/relationships" r:embed="rId42"/>
        <a:stretch>
          <a:fillRect/>
        </a:stretch>
      </xdr:blipFill>
      <xdr:spPr>
        <a:xfrm>
          <a:off x="18790407" y="2659155"/>
          <a:ext cx="3836020" cy="1705536"/>
        </a:xfrm>
        <a:prstGeom prst="rect">
          <a:avLst/>
        </a:prstGeom>
      </xdr:spPr>
    </xdr:pic>
    <xdr:clientData/>
  </xdr:oneCellAnchor>
  <xdr:oneCellAnchor>
    <xdr:from>
      <xdr:col>24</xdr:col>
      <xdr:colOff>3863789</xdr:colOff>
      <xdr:row>22</xdr:row>
      <xdr:rowOff>48185</xdr:rowOff>
    </xdr:from>
    <xdr:ext cx="1981199" cy="1665893"/>
    <xdr:pic>
      <xdr:nvPicPr>
        <xdr:cNvPr id="57" name="Picture 19">
          <a:extLst>
            <a:ext uri="{FF2B5EF4-FFF2-40B4-BE49-F238E27FC236}">
              <a16:creationId xmlns:a16="http://schemas.microsoft.com/office/drawing/2014/main" id="{80A60D45-67B0-7E51-7F43-AE9ED25912FE}"/>
            </a:ext>
          </a:extLst>
        </xdr:cNvPr>
        <xdr:cNvPicPr>
          <a:picLocks noChangeAspect="1"/>
        </xdr:cNvPicPr>
      </xdr:nvPicPr>
      <xdr:blipFill>
        <a:blip xmlns:r="http://schemas.openxmlformats.org/officeDocument/2006/relationships" r:embed="rId43"/>
        <a:stretch>
          <a:fillRect/>
        </a:stretch>
      </xdr:blipFill>
      <xdr:spPr>
        <a:xfrm>
          <a:off x="22608989" y="2677085"/>
          <a:ext cx="1981199" cy="1673309"/>
        </a:xfrm>
        <a:prstGeom prst="rect">
          <a:avLst/>
        </a:prstGeom>
      </xdr:spPr>
    </xdr:pic>
    <xdr:clientData/>
  </xdr:oneCellAnchor>
  <xdr:twoCellAnchor editAs="oneCell">
    <xdr:from>
      <xdr:col>24</xdr:col>
      <xdr:colOff>104173</xdr:colOff>
      <xdr:row>46</xdr:row>
      <xdr:rowOff>161364</xdr:rowOff>
    </xdr:from>
    <xdr:to>
      <xdr:col>24</xdr:col>
      <xdr:colOff>1622611</xdr:colOff>
      <xdr:row>54</xdr:row>
      <xdr:rowOff>0</xdr:rowOff>
    </xdr:to>
    <xdr:pic>
      <xdr:nvPicPr>
        <xdr:cNvPr id="21" name="Picture 20">
          <a:extLst>
            <a:ext uri="{FF2B5EF4-FFF2-40B4-BE49-F238E27FC236}">
              <a16:creationId xmlns:a16="http://schemas.microsoft.com/office/drawing/2014/main" id="{EA7DE4CC-98F4-8531-2535-EAF9DFEC16AF}"/>
            </a:ext>
          </a:extLst>
        </xdr:cNvPr>
        <xdr:cNvPicPr>
          <a:picLocks noChangeAspect="1"/>
        </xdr:cNvPicPr>
      </xdr:nvPicPr>
      <xdr:blipFill>
        <a:blip xmlns:r="http://schemas.openxmlformats.org/officeDocument/2006/relationships" r:embed="rId44"/>
        <a:stretch>
          <a:fillRect/>
        </a:stretch>
      </xdr:blipFill>
      <xdr:spPr>
        <a:xfrm>
          <a:off x="18849373" y="4447614"/>
          <a:ext cx="1518438" cy="1427977"/>
        </a:xfrm>
        <a:prstGeom prst="rect">
          <a:avLst/>
        </a:prstGeom>
      </xdr:spPr>
    </xdr:pic>
    <xdr:clientData/>
  </xdr:twoCellAnchor>
  <xdr:twoCellAnchor editAs="oneCell">
    <xdr:from>
      <xdr:col>24</xdr:col>
      <xdr:colOff>1810871</xdr:colOff>
      <xdr:row>47</xdr:row>
      <xdr:rowOff>4806</xdr:rowOff>
    </xdr:from>
    <xdr:to>
      <xdr:col>24</xdr:col>
      <xdr:colOff>5266935</xdr:colOff>
      <xdr:row>56</xdr:row>
      <xdr:rowOff>27457</xdr:rowOff>
    </xdr:to>
    <xdr:pic>
      <xdr:nvPicPr>
        <xdr:cNvPr id="22" name="Picture 21">
          <a:extLst>
            <a:ext uri="{FF2B5EF4-FFF2-40B4-BE49-F238E27FC236}">
              <a16:creationId xmlns:a16="http://schemas.microsoft.com/office/drawing/2014/main" id="{CF565D8A-C571-118D-0DAC-9CF3FA8890A6}"/>
            </a:ext>
          </a:extLst>
        </xdr:cNvPr>
        <xdr:cNvPicPr>
          <a:picLocks noChangeAspect="1"/>
        </xdr:cNvPicPr>
      </xdr:nvPicPr>
      <xdr:blipFill>
        <a:blip xmlns:r="http://schemas.openxmlformats.org/officeDocument/2006/relationships" r:embed="rId45"/>
        <a:stretch>
          <a:fillRect/>
        </a:stretch>
      </xdr:blipFill>
      <xdr:spPr>
        <a:xfrm>
          <a:off x="20556071" y="4481556"/>
          <a:ext cx="3456064" cy="1403773"/>
        </a:xfrm>
        <a:prstGeom prst="rect">
          <a:avLst/>
        </a:prstGeom>
      </xdr:spPr>
    </xdr:pic>
    <xdr:clientData/>
  </xdr:twoCellAnchor>
  <xdr:twoCellAnchor>
    <xdr:from>
      <xdr:col>24</xdr:col>
      <xdr:colOff>179294</xdr:colOff>
      <xdr:row>57</xdr:row>
      <xdr:rowOff>128867</xdr:rowOff>
    </xdr:from>
    <xdr:to>
      <xdr:col>24</xdr:col>
      <xdr:colOff>3756211</xdr:colOff>
      <xdr:row>69</xdr:row>
      <xdr:rowOff>179293</xdr:rowOff>
    </xdr:to>
    <xdr:graphicFrame macro="">
      <xdr:nvGraphicFramePr>
        <xdr:cNvPr id="72" name="Chart 29">
          <a:extLst>
            <a:ext uri="{FF2B5EF4-FFF2-40B4-BE49-F238E27FC236}">
              <a16:creationId xmlns:a16="http://schemas.microsoft.com/office/drawing/2014/main" id="{184ADBD7-23E2-4044-9CA8-E8202CA720F5}"/>
            </a:ext>
            <a:ext uri="{147F2762-F138-4A5C-976F-8EAC2B608ADB}">
              <a16:predDERef xmlns:a16="http://schemas.microsoft.com/office/drawing/2014/main" pred="{CF565D8A-C571-118D-0DAC-9CF3FA889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editAs="oneCell">
    <xdr:from>
      <xdr:col>24</xdr:col>
      <xdr:colOff>117457</xdr:colOff>
      <xdr:row>103</xdr:row>
      <xdr:rowOff>0</xdr:rowOff>
    </xdr:from>
    <xdr:to>
      <xdr:col>24</xdr:col>
      <xdr:colOff>5300582</xdr:colOff>
      <xdr:row>114</xdr:row>
      <xdr:rowOff>174627</xdr:rowOff>
    </xdr:to>
    <xdr:pic>
      <xdr:nvPicPr>
        <xdr:cNvPr id="7" name="Picture 6">
          <a:extLst>
            <a:ext uri="{FF2B5EF4-FFF2-40B4-BE49-F238E27FC236}">
              <a16:creationId xmlns:a16="http://schemas.microsoft.com/office/drawing/2014/main" id="{200100B9-6EB9-8CCC-68A9-D42468289887}"/>
            </a:ext>
          </a:extLst>
        </xdr:cNvPr>
        <xdr:cNvPicPr>
          <a:picLocks noChangeAspect="1"/>
        </xdr:cNvPicPr>
      </xdr:nvPicPr>
      <xdr:blipFill>
        <a:blip xmlns:r="http://schemas.openxmlformats.org/officeDocument/2006/relationships" r:embed="rId47"/>
        <a:stretch>
          <a:fillRect/>
        </a:stretch>
      </xdr:blipFill>
      <xdr:spPr>
        <a:xfrm>
          <a:off x="18892290" y="13991166"/>
          <a:ext cx="5183125" cy="2278196"/>
        </a:xfrm>
        <a:prstGeom prst="rect">
          <a:avLst/>
        </a:prstGeom>
      </xdr:spPr>
    </xdr:pic>
    <xdr:clientData/>
  </xdr:twoCellAnchor>
  <xdr:twoCellAnchor editAs="oneCell">
    <xdr:from>
      <xdr:col>24</xdr:col>
      <xdr:colOff>5811339</xdr:colOff>
      <xdr:row>101</xdr:row>
      <xdr:rowOff>99786</xdr:rowOff>
    </xdr:from>
    <xdr:to>
      <xdr:col>25</xdr:col>
      <xdr:colOff>1406976</xdr:colOff>
      <xdr:row>114</xdr:row>
      <xdr:rowOff>147002</xdr:rowOff>
    </xdr:to>
    <xdr:pic>
      <xdr:nvPicPr>
        <xdr:cNvPr id="11" name="Picture 10">
          <a:extLst>
            <a:ext uri="{FF2B5EF4-FFF2-40B4-BE49-F238E27FC236}">
              <a16:creationId xmlns:a16="http://schemas.microsoft.com/office/drawing/2014/main" id="{447B2838-4405-BE0E-DCA0-D67E76967CD1}"/>
            </a:ext>
            <a:ext uri="{147F2762-F138-4A5C-976F-8EAC2B608ADB}">
              <a16:predDERef xmlns:a16="http://schemas.microsoft.com/office/drawing/2014/main" pred="{200100B9-6EB9-8CCC-68A9-D42468289887}"/>
            </a:ext>
          </a:extLst>
        </xdr:cNvPr>
        <xdr:cNvPicPr>
          <a:picLocks noChangeAspect="1"/>
        </xdr:cNvPicPr>
      </xdr:nvPicPr>
      <xdr:blipFill>
        <a:blip xmlns:r="http://schemas.openxmlformats.org/officeDocument/2006/relationships" r:embed="rId48"/>
        <a:stretch>
          <a:fillRect/>
        </a:stretch>
      </xdr:blipFill>
      <xdr:spPr>
        <a:xfrm>
          <a:off x="28535268" y="17870715"/>
          <a:ext cx="4000316" cy="2414009"/>
        </a:xfrm>
        <a:prstGeom prst="rect">
          <a:avLst/>
        </a:prstGeom>
      </xdr:spPr>
    </xdr:pic>
    <xdr:clientData/>
  </xdr:twoCellAnchor>
  <xdr:twoCellAnchor>
    <xdr:from>
      <xdr:col>25</xdr:col>
      <xdr:colOff>1429293</xdr:colOff>
      <xdr:row>48</xdr:row>
      <xdr:rowOff>108858</xdr:rowOff>
    </xdr:from>
    <xdr:to>
      <xdr:col>26</xdr:col>
      <xdr:colOff>533399</xdr:colOff>
      <xdr:row>70</xdr:row>
      <xdr:rowOff>217714</xdr:rowOff>
    </xdr:to>
    <xdr:graphicFrame macro="">
      <xdr:nvGraphicFramePr>
        <xdr:cNvPr id="73" name="Chart 22">
          <a:extLst>
            <a:ext uri="{FF2B5EF4-FFF2-40B4-BE49-F238E27FC236}">
              <a16:creationId xmlns:a16="http://schemas.microsoft.com/office/drawing/2014/main" id="{62A7564E-1CF2-4761-AFCC-DC3A8C8C0ACB}"/>
            </a:ext>
            <a:ext uri="{147F2762-F138-4A5C-976F-8EAC2B608ADB}">
              <a16:predDERef xmlns:a16="http://schemas.microsoft.com/office/drawing/2014/main" pred="{447B2838-4405-BE0E-DCA0-D67E76967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24</xdr:col>
      <xdr:colOff>310280</xdr:colOff>
      <xdr:row>1</xdr:row>
      <xdr:rowOff>188590</xdr:rowOff>
    </xdr:from>
    <xdr:to>
      <xdr:col>24</xdr:col>
      <xdr:colOff>3909667</xdr:colOff>
      <xdr:row>10</xdr:row>
      <xdr:rowOff>0</xdr:rowOff>
    </xdr:to>
    <xdr:graphicFrame macro="">
      <xdr:nvGraphicFramePr>
        <xdr:cNvPr id="49" name="Chart 48">
          <a:extLst>
            <a:ext uri="{FF2B5EF4-FFF2-40B4-BE49-F238E27FC236}">
              <a16:creationId xmlns:a16="http://schemas.microsoft.com/office/drawing/2014/main" id="{D9DEA84F-748B-FA43-9F8A-840C924C9705}"/>
            </a:ext>
            <a:ext uri="{147F2762-F138-4A5C-976F-8EAC2B608ADB}">
              <a16:predDERef xmlns:a16="http://schemas.microsoft.com/office/drawing/2014/main" pred="{62A7564E-1CF2-4761-AFCC-DC3A8C8C0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24</xdr:col>
      <xdr:colOff>4075639</xdr:colOff>
      <xdr:row>2</xdr:row>
      <xdr:rowOff>2403</xdr:rowOff>
    </xdr:from>
    <xdr:to>
      <xdr:col>24</xdr:col>
      <xdr:colOff>7473395</xdr:colOff>
      <xdr:row>10</xdr:row>
      <xdr:rowOff>0</xdr:rowOff>
    </xdr:to>
    <xdr:graphicFrame macro="">
      <xdr:nvGraphicFramePr>
        <xdr:cNvPr id="74" name="Chart 53">
          <a:extLst>
            <a:ext uri="{FF2B5EF4-FFF2-40B4-BE49-F238E27FC236}">
              <a16:creationId xmlns:a16="http://schemas.microsoft.com/office/drawing/2014/main" id="{6DF66E73-BF53-4107-9CA1-56F258C362E8}"/>
            </a:ext>
            <a:ext uri="{147F2762-F138-4A5C-976F-8EAC2B608ADB}">
              <a16:predDERef xmlns:a16="http://schemas.microsoft.com/office/drawing/2014/main" pred="{D9DEA84F-748B-FA43-9F8A-840C924C9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editAs="oneCell">
    <xdr:from>
      <xdr:col>22</xdr:col>
      <xdr:colOff>748939</xdr:colOff>
      <xdr:row>250</xdr:row>
      <xdr:rowOff>0</xdr:rowOff>
    </xdr:from>
    <xdr:to>
      <xdr:col>23</xdr:col>
      <xdr:colOff>4730815</xdr:colOff>
      <xdr:row>268</xdr:row>
      <xdr:rowOff>172425</xdr:rowOff>
    </xdr:to>
    <xdr:pic>
      <xdr:nvPicPr>
        <xdr:cNvPr id="55" name="Picture 54">
          <a:extLst>
            <a:ext uri="{FF2B5EF4-FFF2-40B4-BE49-F238E27FC236}">
              <a16:creationId xmlns:a16="http://schemas.microsoft.com/office/drawing/2014/main" id="{24A5030D-569D-E9C2-849F-00AA66CD1909}"/>
            </a:ext>
          </a:extLst>
        </xdr:cNvPr>
        <xdr:cNvPicPr>
          <a:picLocks noChangeAspect="1"/>
        </xdr:cNvPicPr>
      </xdr:nvPicPr>
      <xdr:blipFill>
        <a:blip xmlns:r="http://schemas.openxmlformats.org/officeDocument/2006/relationships" r:embed="rId52"/>
        <a:stretch>
          <a:fillRect/>
        </a:stretch>
      </xdr:blipFill>
      <xdr:spPr>
        <a:xfrm>
          <a:off x="16023575" y="47166068"/>
          <a:ext cx="4804491" cy="3422721"/>
        </a:xfrm>
        <a:prstGeom prst="rect">
          <a:avLst/>
        </a:prstGeom>
      </xdr:spPr>
    </xdr:pic>
    <xdr:clientData/>
  </xdr:twoCellAnchor>
  <xdr:oneCellAnchor>
    <xdr:from>
      <xdr:col>24</xdr:col>
      <xdr:colOff>473930</xdr:colOff>
      <xdr:row>153</xdr:row>
      <xdr:rowOff>201283</xdr:rowOff>
    </xdr:from>
    <xdr:ext cx="3562155" cy="2524851"/>
    <xdr:pic>
      <xdr:nvPicPr>
        <xdr:cNvPr id="59" name="Picture 58">
          <a:extLst>
            <a:ext uri="{FF2B5EF4-FFF2-40B4-BE49-F238E27FC236}">
              <a16:creationId xmlns:a16="http://schemas.microsoft.com/office/drawing/2014/main" id="{623DE021-A6F5-47E5-9ACE-FF216F9BF60F}"/>
            </a:ext>
          </a:extLst>
        </xdr:cNvPr>
        <xdr:cNvPicPr>
          <a:picLocks noChangeAspect="1"/>
        </xdr:cNvPicPr>
      </xdr:nvPicPr>
      <xdr:blipFill>
        <a:blip xmlns:r="http://schemas.openxmlformats.org/officeDocument/2006/relationships" r:embed="rId53"/>
        <a:stretch>
          <a:fillRect/>
        </a:stretch>
      </xdr:blipFill>
      <xdr:spPr>
        <a:xfrm>
          <a:off x="23722119" y="27590151"/>
          <a:ext cx="3562155" cy="2524851"/>
        </a:xfrm>
        <a:prstGeom prst="rect">
          <a:avLst/>
        </a:prstGeom>
      </xdr:spPr>
    </xdr:pic>
    <xdr:clientData/>
  </xdr:oneCellAnchor>
  <xdr:twoCellAnchor editAs="oneCell">
    <xdr:from>
      <xdr:col>3</xdr:col>
      <xdr:colOff>449061</xdr:colOff>
      <xdr:row>250</xdr:row>
      <xdr:rowOff>0</xdr:rowOff>
    </xdr:from>
    <xdr:to>
      <xdr:col>15</xdr:col>
      <xdr:colOff>712463</xdr:colOff>
      <xdr:row>271</xdr:row>
      <xdr:rowOff>43538</xdr:rowOff>
    </xdr:to>
    <xdr:pic>
      <xdr:nvPicPr>
        <xdr:cNvPr id="56" name="Picture 55">
          <a:extLst>
            <a:ext uri="{FF2B5EF4-FFF2-40B4-BE49-F238E27FC236}">
              <a16:creationId xmlns:a16="http://schemas.microsoft.com/office/drawing/2014/main" id="{A3DD5341-6704-45FD-A548-5F7638C0CE77}"/>
            </a:ext>
          </a:extLst>
        </xdr:cNvPr>
        <xdr:cNvPicPr>
          <a:picLocks noChangeAspect="1"/>
        </xdr:cNvPicPr>
      </xdr:nvPicPr>
      <xdr:blipFill>
        <a:blip xmlns:r="http://schemas.openxmlformats.org/officeDocument/2006/relationships" r:embed="rId54"/>
        <a:stretch>
          <a:fillRect/>
        </a:stretch>
      </xdr:blipFill>
      <xdr:spPr>
        <a:xfrm>
          <a:off x="5021061" y="51460840"/>
          <a:ext cx="8927372" cy="3832488"/>
        </a:xfrm>
        <a:prstGeom prst="rect">
          <a:avLst/>
        </a:prstGeom>
      </xdr:spPr>
    </xdr:pic>
    <xdr:clientData/>
  </xdr:twoCellAnchor>
  <xdr:twoCellAnchor editAs="oneCell">
    <xdr:from>
      <xdr:col>27</xdr:col>
      <xdr:colOff>0</xdr:colOff>
      <xdr:row>48</xdr:row>
      <xdr:rowOff>1</xdr:rowOff>
    </xdr:from>
    <xdr:to>
      <xdr:col>35</xdr:col>
      <xdr:colOff>880884</xdr:colOff>
      <xdr:row>72</xdr:row>
      <xdr:rowOff>142874</xdr:rowOff>
    </xdr:to>
    <xdr:pic>
      <xdr:nvPicPr>
        <xdr:cNvPr id="53" name="Picture 52">
          <a:extLst>
            <a:ext uri="{FF2B5EF4-FFF2-40B4-BE49-F238E27FC236}">
              <a16:creationId xmlns:a16="http://schemas.microsoft.com/office/drawing/2014/main" id="{F66BAABE-EEF9-5F48-CBC3-115A4C00186C}"/>
            </a:ext>
          </a:extLst>
        </xdr:cNvPr>
        <xdr:cNvPicPr>
          <a:picLocks noChangeAspect="1"/>
        </xdr:cNvPicPr>
      </xdr:nvPicPr>
      <xdr:blipFill>
        <a:blip xmlns:r="http://schemas.openxmlformats.org/officeDocument/2006/relationships" r:embed="rId55"/>
        <a:stretch>
          <a:fillRect/>
        </a:stretch>
      </xdr:blipFill>
      <xdr:spPr>
        <a:xfrm>
          <a:off x="37474071" y="7112001"/>
          <a:ext cx="8700453" cy="4417786"/>
        </a:xfrm>
        <a:prstGeom prst="rect">
          <a:avLst/>
        </a:prstGeom>
      </xdr:spPr>
    </xdr:pic>
    <xdr:clientData/>
  </xdr:twoCellAnchor>
  <xdr:twoCellAnchor editAs="oneCell">
    <xdr:from>
      <xdr:col>24</xdr:col>
      <xdr:colOff>216950</xdr:colOff>
      <xdr:row>147</xdr:row>
      <xdr:rowOff>0</xdr:rowOff>
    </xdr:from>
    <xdr:to>
      <xdr:col>24</xdr:col>
      <xdr:colOff>4213920</xdr:colOff>
      <xdr:row>158</xdr:row>
      <xdr:rowOff>97</xdr:rowOff>
    </xdr:to>
    <xdr:pic>
      <xdr:nvPicPr>
        <xdr:cNvPr id="18" name="Picture 17">
          <a:extLst>
            <a:ext uri="{FF2B5EF4-FFF2-40B4-BE49-F238E27FC236}">
              <a16:creationId xmlns:a16="http://schemas.microsoft.com/office/drawing/2014/main" id="{4945C0BF-ABE6-637C-7A1D-15FA823EF19C}"/>
            </a:ext>
          </a:extLst>
        </xdr:cNvPr>
        <xdr:cNvPicPr>
          <a:picLocks noChangeAspect="1"/>
        </xdr:cNvPicPr>
      </xdr:nvPicPr>
      <xdr:blipFill>
        <a:blip xmlns:r="http://schemas.openxmlformats.org/officeDocument/2006/relationships" r:embed="rId56"/>
        <a:stretch>
          <a:fillRect/>
        </a:stretch>
      </xdr:blipFill>
      <xdr:spPr>
        <a:xfrm>
          <a:off x="23465139" y="25246642"/>
          <a:ext cx="3996970" cy="2309851"/>
        </a:xfrm>
        <a:prstGeom prst="rect">
          <a:avLst/>
        </a:prstGeom>
      </xdr:spPr>
    </xdr:pic>
    <xdr:clientData/>
  </xdr:twoCellAnchor>
  <xdr:twoCellAnchor editAs="oneCell">
    <xdr:from>
      <xdr:col>24</xdr:col>
      <xdr:colOff>4097365</xdr:colOff>
      <xdr:row>154</xdr:row>
      <xdr:rowOff>57888</xdr:rowOff>
    </xdr:from>
    <xdr:to>
      <xdr:col>24</xdr:col>
      <xdr:colOff>8002035</xdr:colOff>
      <xdr:row>166</xdr:row>
      <xdr:rowOff>117593</xdr:rowOff>
    </xdr:to>
    <xdr:pic>
      <xdr:nvPicPr>
        <xdr:cNvPr id="20" name="Picture 19">
          <a:extLst>
            <a:ext uri="{FF2B5EF4-FFF2-40B4-BE49-F238E27FC236}">
              <a16:creationId xmlns:a16="http://schemas.microsoft.com/office/drawing/2014/main" id="{ADA26DF7-07EC-1DFF-A8F8-6D5C76D9737C}"/>
            </a:ext>
          </a:extLst>
        </xdr:cNvPr>
        <xdr:cNvPicPr>
          <a:picLocks noChangeAspect="1"/>
        </xdr:cNvPicPr>
      </xdr:nvPicPr>
      <xdr:blipFill>
        <a:blip xmlns:r="http://schemas.openxmlformats.org/officeDocument/2006/relationships" r:embed="rId57"/>
        <a:stretch>
          <a:fillRect/>
        </a:stretch>
      </xdr:blipFill>
      <xdr:spPr>
        <a:xfrm>
          <a:off x="26831859" y="27023723"/>
          <a:ext cx="3904670" cy="2330016"/>
        </a:xfrm>
        <a:prstGeom prst="rect">
          <a:avLst/>
        </a:prstGeom>
      </xdr:spPr>
    </xdr:pic>
    <xdr:clientData/>
  </xdr:twoCellAnchor>
  <xdr:twoCellAnchor editAs="oneCell">
    <xdr:from>
      <xdr:col>24</xdr:col>
      <xdr:colOff>4106330</xdr:colOff>
      <xdr:row>146</xdr:row>
      <xdr:rowOff>81014</xdr:rowOff>
    </xdr:from>
    <xdr:to>
      <xdr:col>25</xdr:col>
      <xdr:colOff>2773</xdr:colOff>
      <xdr:row>159</xdr:row>
      <xdr:rowOff>43056</xdr:rowOff>
    </xdr:to>
    <xdr:pic>
      <xdr:nvPicPr>
        <xdr:cNvPr id="60" name="Picture 59">
          <a:extLst>
            <a:ext uri="{FF2B5EF4-FFF2-40B4-BE49-F238E27FC236}">
              <a16:creationId xmlns:a16="http://schemas.microsoft.com/office/drawing/2014/main" id="{B268BC79-0D4C-6036-E082-9A7F5FBCC248}"/>
            </a:ext>
          </a:extLst>
        </xdr:cNvPr>
        <xdr:cNvPicPr>
          <a:picLocks noChangeAspect="1"/>
        </xdr:cNvPicPr>
      </xdr:nvPicPr>
      <xdr:blipFill>
        <a:blip xmlns:r="http://schemas.openxmlformats.org/officeDocument/2006/relationships" r:embed="rId58"/>
        <a:stretch>
          <a:fillRect/>
        </a:stretch>
      </xdr:blipFill>
      <xdr:spPr>
        <a:xfrm>
          <a:off x="26840824" y="24796708"/>
          <a:ext cx="4123549" cy="2503536"/>
        </a:xfrm>
        <a:prstGeom prst="rect">
          <a:avLst/>
        </a:prstGeom>
      </xdr:spPr>
    </xdr:pic>
    <xdr:clientData/>
  </xdr:twoCellAnchor>
  <xdr:twoCellAnchor editAs="oneCell">
    <xdr:from>
      <xdr:col>26</xdr:col>
      <xdr:colOff>395111</xdr:colOff>
      <xdr:row>147</xdr:row>
      <xdr:rowOff>0</xdr:rowOff>
    </xdr:from>
    <xdr:to>
      <xdr:col>30</xdr:col>
      <xdr:colOff>179893</xdr:colOff>
      <xdr:row>162</xdr:row>
      <xdr:rowOff>82342</xdr:rowOff>
    </xdr:to>
    <xdr:pic>
      <xdr:nvPicPr>
        <xdr:cNvPr id="61" name="Picture 60">
          <a:extLst>
            <a:ext uri="{FF2B5EF4-FFF2-40B4-BE49-F238E27FC236}">
              <a16:creationId xmlns:a16="http://schemas.microsoft.com/office/drawing/2014/main" id="{57F1A9B5-39C6-6696-908E-B455EB4205E1}"/>
            </a:ext>
          </a:extLst>
        </xdr:cNvPr>
        <xdr:cNvPicPr>
          <a:picLocks noChangeAspect="1"/>
        </xdr:cNvPicPr>
      </xdr:nvPicPr>
      <xdr:blipFill>
        <a:blip xmlns:r="http://schemas.openxmlformats.org/officeDocument/2006/relationships" r:embed="rId59"/>
        <a:stretch>
          <a:fillRect/>
        </a:stretch>
      </xdr:blipFill>
      <xdr:spPr>
        <a:xfrm>
          <a:off x="43010667" y="25160111"/>
          <a:ext cx="2719892" cy="3132667"/>
        </a:xfrm>
        <a:prstGeom prst="rect">
          <a:avLst/>
        </a:prstGeom>
      </xdr:spPr>
    </xdr:pic>
    <xdr:clientData/>
  </xdr:twoCellAnchor>
  <xdr:twoCellAnchor editAs="oneCell">
    <xdr:from>
      <xdr:col>9</xdr:col>
      <xdr:colOff>551652</xdr:colOff>
      <xdr:row>122</xdr:row>
      <xdr:rowOff>142055</xdr:rowOff>
    </xdr:from>
    <xdr:to>
      <xdr:col>14</xdr:col>
      <xdr:colOff>303906</xdr:colOff>
      <xdr:row>129</xdr:row>
      <xdr:rowOff>119252</xdr:rowOff>
    </xdr:to>
    <xdr:pic>
      <xdr:nvPicPr>
        <xdr:cNvPr id="70" name="Picture 13">
          <a:extLst>
            <a:ext uri="{FF2B5EF4-FFF2-40B4-BE49-F238E27FC236}">
              <a16:creationId xmlns:a16="http://schemas.microsoft.com/office/drawing/2014/main" id="{9514813C-70EB-4FB3-9FD3-9FCAB4FE2ECE}"/>
            </a:ext>
            <a:ext uri="{147F2762-F138-4A5C-976F-8EAC2B608ADB}">
              <a16:predDERef xmlns:a16="http://schemas.microsoft.com/office/drawing/2014/main" pred="{57F1A9B5-39C6-6696-908E-B455EB4205E1}"/>
            </a:ext>
          </a:extLst>
        </xdr:cNvPr>
        <xdr:cNvPicPr>
          <a:picLocks noChangeAspect="1"/>
        </xdr:cNvPicPr>
      </xdr:nvPicPr>
      <xdr:blipFill>
        <a:blip xmlns:r="http://schemas.openxmlformats.org/officeDocument/2006/relationships" r:embed="rId60"/>
        <a:stretch>
          <a:fillRect/>
        </a:stretch>
      </xdr:blipFill>
      <xdr:spPr>
        <a:xfrm>
          <a:off x="8787976" y="23842496"/>
          <a:ext cx="3057990" cy="13106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69476</xdr:colOff>
      <xdr:row>24</xdr:row>
      <xdr:rowOff>132232</xdr:rowOff>
    </xdr:from>
    <xdr:to>
      <xdr:col>30</xdr:col>
      <xdr:colOff>688305</xdr:colOff>
      <xdr:row>40</xdr:row>
      <xdr:rowOff>176057</xdr:rowOff>
    </xdr:to>
    <xdr:pic>
      <xdr:nvPicPr>
        <xdr:cNvPr id="2" name="Picture 1">
          <a:extLst>
            <a:ext uri="{FF2B5EF4-FFF2-40B4-BE49-F238E27FC236}">
              <a16:creationId xmlns:a16="http://schemas.microsoft.com/office/drawing/2014/main" id="{6A8B491D-C45C-0CEC-CABB-190C2CAF072E}"/>
            </a:ext>
          </a:extLst>
        </xdr:cNvPr>
        <xdr:cNvPicPr>
          <a:picLocks noChangeAspect="1"/>
        </xdr:cNvPicPr>
      </xdr:nvPicPr>
      <xdr:blipFill>
        <a:blip xmlns:r="http://schemas.openxmlformats.org/officeDocument/2006/relationships" r:embed="rId1"/>
        <a:stretch>
          <a:fillRect/>
        </a:stretch>
      </xdr:blipFill>
      <xdr:spPr>
        <a:xfrm>
          <a:off x="14553080" y="3561232"/>
          <a:ext cx="4543129" cy="30918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422064</xdr:colOff>
      <xdr:row>2</xdr:row>
      <xdr:rowOff>133350</xdr:rowOff>
    </xdr:from>
    <xdr:to>
      <xdr:col>26</xdr:col>
      <xdr:colOff>111972</xdr:colOff>
      <xdr:row>26</xdr:row>
      <xdr:rowOff>176475</xdr:rowOff>
    </xdr:to>
    <xdr:pic>
      <xdr:nvPicPr>
        <xdr:cNvPr id="4" name="Picture 1">
          <a:extLst>
            <a:ext uri="{FF2B5EF4-FFF2-40B4-BE49-F238E27FC236}">
              <a16:creationId xmlns:a16="http://schemas.microsoft.com/office/drawing/2014/main" id="{CF40F4C6-4ACB-66DA-F0DB-73617E1B0B3A}"/>
            </a:ext>
          </a:extLst>
        </xdr:cNvPr>
        <xdr:cNvPicPr>
          <a:picLocks noChangeAspect="1"/>
        </xdr:cNvPicPr>
      </xdr:nvPicPr>
      <xdr:blipFill>
        <a:blip xmlns:r="http://schemas.openxmlformats.org/officeDocument/2006/relationships" r:embed="rId1"/>
        <a:stretch>
          <a:fillRect/>
        </a:stretch>
      </xdr:blipFill>
      <xdr:spPr>
        <a:xfrm>
          <a:off x="13357014" y="495300"/>
          <a:ext cx="5785908" cy="4986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89</xdr:row>
      <xdr:rowOff>0</xdr:rowOff>
    </xdr:from>
    <xdr:to>
      <xdr:col>12</xdr:col>
      <xdr:colOff>140654</xdr:colOff>
      <xdr:row>104</xdr:row>
      <xdr:rowOff>29792</xdr:rowOff>
    </xdr:to>
    <xdr:graphicFrame macro="">
      <xdr:nvGraphicFramePr>
        <xdr:cNvPr id="2" name="Chart 1">
          <a:extLst>
            <a:ext uri="{FF2B5EF4-FFF2-40B4-BE49-F238E27FC236}">
              <a16:creationId xmlns:a16="http://schemas.microsoft.com/office/drawing/2014/main" id="{010B043A-2D7F-46B8-A6F9-1673278D8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433428</xdr:colOff>
      <xdr:row>89</xdr:row>
      <xdr:rowOff>34918</xdr:rowOff>
    </xdr:from>
    <xdr:to>
      <xdr:col>23</xdr:col>
      <xdr:colOff>381000</xdr:colOff>
      <xdr:row>104</xdr:row>
      <xdr:rowOff>36284</xdr:rowOff>
    </xdr:to>
    <xdr:graphicFrame macro="">
      <xdr:nvGraphicFramePr>
        <xdr:cNvPr id="3" name="Chart 2">
          <a:extLst>
            <a:ext uri="{FF2B5EF4-FFF2-40B4-BE49-F238E27FC236}">
              <a16:creationId xmlns:a16="http://schemas.microsoft.com/office/drawing/2014/main" id="{38A73B8F-8DA4-4F23-986B-B6B98EC4BAF2}"/>
            </a:ext>
            <a:ext uri="{147F2762-F138-4A5C-976F-8EAC2B608ADB}">
              <a16:predDERef xmlns:a16="http://schemas.microsoft.com/office/drawing/2014/main" pred="{010B043A-2D7F-46B8-A6F9-1673278D8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56365</xdr:colOff>
      <xdr:row>89</xdr:row>
      <xdr:rowOff>28977</xdr:rowOff>
    </xdr:from>
    <xdr:to>
      <xdr:col>34</xdr:col>
      <xdr:colOff>511629</xdr:colOff>
      <xdr:row>104</xdr:row>
      <xdr:rowOff>43543</xdr:rowOff>
    </xdr:to>
    <xdr:graphicFrame macro="">
      <xdr:nvGraphicFramePr>
        <xdr:cNvPr id="4" name="Chart 3">
          <a:extLst>
            <a:ext uri="{FF2B5EF4-FFF2-40B4-BE49-F238E27FC236}">
              <a16:creationId xmlns:a16="http://schemas.microsoft.com/office/drawing/2014/main" id="{6C4E3F1E-5EA1-43BC-8284-031F0937A19C}"/>
            </a:ext>
            <a:ext uri="{147F2762-F138-4A5C-976F-8EAC2B608ADB}">
              <a16:predDERef xmlns:a16="http://schemas.microsoft.com/office/drawing/2014/main" pred="{38A73B8F-8DA4-4F23-986B-B6B98EC4B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109</xdr:row>
      <xdr:rowOff>0</xdr:rowOff>
    </xdr:from>
    <xdr:to>
      <xdr:col>12</xdr:col>
      <xdr:colOff>67128</xdr:colOff>
      <xdr:row>123</xdr:row>
      <xdr:rowOff>175079</xdr:rowOff>
    </xdr:to>
    <xdr:graphicFrame macro="">
      <xdr:nvGraphicFramePr>
        <xdr:cNvPr id="5" name="Chart 4">
          <a:extLst>
            <a:ext uri="{FF2B5EF4-FFF2-40B4-BE49-F238E27FC236}">
              <a16:creationId xmlns:a16="http://schemas.microsoft.com/office/drawing/2014/main" id="{4F72B770-0AFB-4BE0-9A52-8751D2CB1CF4}"/>
            </a:ext>
            <a:ext uri="{147F2762-F138-4A5C-976F-8EAC2B608ADB}">
              <a16:predDERef xmlns:a16="http://schemas.microsoft.com/office/drawing/2014/main" pred="{6C4E3F1E-5EA1-43BC-8284-031F0937A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476855</xdr:colOff>
      <xdr:row>109</xdr:row>
      <xdr:rowOff>25248</xdr:rowOff>
    </xdr:from>
    <xdr:to>
      <xdr:col>23</xdr:col>
      <xdr:colOff>326572</xdr:colOff>
      <xdr:row>123</xdr:row>
      <xdr:rowOff>153458</xdr:rowOff>
    </xdr:to>
    <xdr:graphicFrame macro="">
      <xdr:nvGraphicFramePr>
        <xdr:cNvPr id="6" name="Chart 5">
          <a:extLst>
            <a:ext uri="{FF2B5EF4-FFF2-40B4-BE49-F238E27FC236}">
              <a16:creationId xmlns:a16="http://schemas.microsoft.com/office/drawing/2014/main" id="{C79BE4E2-7A27-421B-851F-BF5EC1278F46}"/>
            </a:ext>
            <a:ext uri="{147F2762-F138-4A5C-976F-8EAC2B608ADB}">
              <a16:predDERef xmlns:a16="http://schemas.microsoft.com/office/drawing/2014/main" pred="{4F72B770-0AFB-4BE0-9A52-8751D2CB1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77108</xdr:colOff>
      <xdr:row>109</xdr:row>
      <xdr:rowOff>57905</xdr:rowOff>
    </xdr:from>
    <xdr:to>
      <xdr:col>34</xdr:col>
      <xdr:colOff>493889</xdr:colOff>
      <xdr:row>123</xdr:row>
      <xdr:rowOff>183365</xdr:rowOff>
    </xdr:to>
    <xdr:graphicFrame macro="">
      <xdr:nvGraphicFramePr>
        <xdr:cNvPr id="7" name="Chart 6">
          <a:extLst>
            <a:ext uri="{FF2B5EF4-FFF2-40B4-BE49-F238E27FC236}">
              <a16:creationId xmlns:a16="http://schemas.microsoft.com/office/drawing/2014/main" id="{B421EB47-2941-4320-844A-A19F59B72EFB}"/>
            </a:ext>
            <a:ext uri="{147F2762-F138-4A5C-976F-8EAC2B608ADB}">
              <a16:predDERef xmlns:a16="http://schemas.microsoft.com/office/drawing/2014/main" pred="{C79BE4E2-7A27-421B-851F-BF5EC1278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304921</xdr:colOff>
      <xdr:row>135</xdr:row>
      <xdr:rowOff>149679</xdr:rowOff>
    </xdr:from>
    <xdr:to>
      <xdr:col>24</xdr:col>
      <xdr:colOff>411813</xdr:colOff>
      <xdr:row>143</xdr:row>
      <xdr:rowOff>39560</xdr:rowOff>
    </xdr:to>
    <xdr:graphicFrame macro="">
      <xdr:nvGraphicFramePr>
        <xdr:cNvPr id="11" name="Chart 7">
          <a:extLst>
            <a:ext uri="{FF2B5EF4-FFF2-40B4-BE49-F238E27FC236}">
              <a16:creationId xmlns:a16="http://schemas.microsoft.com/office/drawing/2014/main" id="{EDDF4246-86A7-4BC3-A385-080DEE35C890}"/>
            </a:ext>
            <a:ext uri="{147F2762-F138-4A5C-976F-8EAC2B608ADB}">
              <a16:predDERef xmlns:a16="http://schemas.microsoft.com/office/drawing/2014/main" pred="{B421EB47-2941-4320-844A-A19F59B72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489167</xdr:colOff>
      <xdr:row>125</xdr:row>
      <xdr:rowOff>161347</xdr:rowOff>
    </xdr:from>
    <xdr:to>
      <xdr:col>23</xdr:col>
      <xdr:colOff>324556</xdr:colOff>
      <xdr:row>134</xdr:row>
      <xdr:rowOff>66072</xdr:rowOff>
    </xdr:to>
    <xdr:graphicFrame macro="">
      <xdr:nvGraphicFramePr>
        <xdr:cNvPr id="9" name="Chart 8">
          <a:extLst>
            <a:ext uri="{FF2B5EF4-FFF2-40B4-BE49-F238E27FC236}">
              <a16:creationId xmlns:a16="http://schemas.microsoft.com/office/drawing/2014/main" id="{68E41768-D698-4209-BF68-32D244680B9E}"/>
            </a:ext>
            <a:ext uri="{147F2762-F138-4A5C-976F-8EAC2B608ADB}">
              <a16:predDERef xmlns:a16="http://schemas.microsoft.com/office/drawing/2014/main" pred="{EDDF4246-86A7-4BC3-A385-080DEE35C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146399</xdr:colOff>
      <xdr:row>159</xdr:row>
      <xdr:rowOff>79163</xdr:rowOff>
    </xdr:from>
    <xdr:to>
      <xdr:col>12</xdr:col>
      <xdr:colOff>252964</xdr:colOff>
      <xdr:row>174</xdr:row>
      <xdr:rowOff>122544</xdr:rowOff>
    </xdr:to>
    <xdr:graphicFrame macro="">
      <xdr:nvGraphicFramePr>
        <xdr:cNvPr id="10" name="Chart 9">
          <a:extLst>
            <a:ext uri="{FF2B5EF4-FFF2-40B4-BE49-F238E27FC236}">
              <a16:creationId xmlns:a16="http://schemas.microsoft.com/office/drawing/2014/main" id="{FED0887D-CAC5-44F6-928B-B46FC81A9A43}"/>
            </a:ext>
            <a:ext uri="{147F2762-F138-4A5C-976F-8EAC2B608ADB}">
              <a16:predDERef xmlns:a16="http://schemas.microsoft.com/office/drawing/2014/main" pred="{68E41768-D698-4209-BF68-32D244680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588512</xdr:colOff>
      <xdr:row>159</xdr:row>
      <xdr:rowOff>119405</xdr:rowOff>
    </xdr:from>
    <xdr:to>
      <xdr:col>19</xdr:col>
      <xdr:colOff>514577</xdr:colOff>
      <xdr:row>174</xdr:row>
      <xdr:rowOff>110938</xdr:rowOff>
    </xdr:to>
    <xdr:graphicFrame macro="">
      <xdr:nvGraphicFramePr>
        <xdr:cNvPr id="20" name="Chart 10">
          <a:extLst>
            <a:ext uri="{FF2B5EF4-FFF2-40B4-BE49-F238E27FC236}">
              <a16:creationId xmlns:a16="http://schemas.microsoft.com/office/drawing/2014/main" id="{3EE6A06D-E3B1-45DD-BA65-633460BACB74}"/>
            </a:ext>
            <a:ext uri="{147F2762-F138-4A5C-976F-8EAC2B608ADB}">
              <a16:predDERef xmlns:a16="http://schemas.microsoft.com/office/drawing/2014/main" pred="{FED0887D-CAC5-44F6-928B-B46FC81A9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231220</xdr:colOff>
      <xdr:row>159</xdr:row>
      <xdr:rowOff>133679</xdr:rowOff>
    </xdr:from>
    <xdr:to>
      <xdr:col>27</xdr:col>
      <xdr:colOff>561629</xdr:colOff>
      <xdr:row>174</xdr:row>
      <xdr:rowOff>130114</xdr:rowOff>
    </xdr:to>
    <xdr:graphicFrame macro="">
      <xdr:nvGraphicFramePr>
        <xdr:cNvPr id="12" name="Chart 11">
          <a:extLst>
            <a:ext uri="{FF2B5EF4-FFF2-40B4-BE49-F238E27FC236}">
              <a16:creationId xmlns:a16="http://schemas.microsoft.com/office/drawing/2014/main" id="{7F8941F7-3B77-4D47-A66A-5EFBFE3419D0}"/>
            </a:ext>
            <a:ext uri="{147F2762-F138-4A5C-976F-8EAC2B608ADB}">
              <a16:predDERef xmlns:a16="http://schemas.microsoft.com/office/drawing/2014/main" pred="{3EE6A06D-E3B1-45DD-BA65-633460BAC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40698</xdr:colOff>
      <xdr:row>178</xdr:row>
      <xdr:rowOff>117215</xdr:rowOff>
    </xdr:from>
    <xdr:to>
      <xdr:col>12</xdr:col>
      <xdr:colOff>154920</xdr:colOff>
      <xdr:row>193</xdr:row>
      <xdr:rowOff>105271</xdr:rowOff>
    </xdr:to>
    <xdr:graphicFrame macro="">
      <xdr:nvGraphicFramePr>
        <xdr:cNvPr id="15" name="Chart 14">
          <a:extLst>
            <a:ext uri="{FF2B5EF4-FFF2-40B4-BE49-F238E27FC236}">
              <a16:creationId xmlns:a16="http://schemas.microsoft.com/office/drawing/2014/main" id="{893A6F1B-EE76-4A77-8EEA-464266F8D691}"/>
            </a:ext>
            <a:ext uri="{147F2762-F138-4A5C-976F-8EAC2B608ADB}">
              <a16:predDERef xmlns:a16="http://schemas.microsoft.com/office/drawing/2014/main" pred="{7F8941F7-3B77-4D47-A66A-5EFBFE341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33</xdr:col>
      <xdr:colOff>237799</xdr:colOff>
      <xdr:row>106</xdr:row>
      <xdr:rowOff>657628</xdr:rowOff>
    </xdr:from>
    <xdr:to>
      <xdr:col>35</xdr:col>
      <xdr:colOff>563518</xdr:colOff>
      <xdr:row>106</xdr:row>
      <xdr:rowOff>2654654</xdr:rowOff>
    </xdr:to>
    <xdr:pic>
      <xdr:nvPicPr>
        <xdr:cNvPr id="21" name="Picture 20">
          <a:extLst>
            <a:ext uri="{FF2B5EF4-FFF2-40B4-BE49-F238E27FC236}">
              <a16:creationId xmlns:a16="http://schemas.microsoft.com/office/drawing/2014/main" id="{12697A03-C6EA-7811-63FF-CAF1058B71DD}"/>
            </a:ext>
          </a:extLst>
        </xdr:cNvPr>
        <xdr:cNvPicPr>
          <a:picLocks noChangeAspect="1"/>
        </xdr:cNvPicPr>
      </xdr:nvPicPr>
      <xdr:blipFill>
        <a:blip xmlns:r="http://schemas.openxmlformats.org/officeDocument/2006/relationships" r:embed="rId13"/>
        <a:stretch>
          <a:fillRect/>
        </a:stretch>
      </xdr:blipFill>
      <xdr:spPr>
        <a:xfrm>
          <a:off x="18362513" y="19258592"/>
          <a:ext cx="1756283" cy="1997026"/>
        </a:xfrm>
        <a:prstGeom prst="rect">
          <a:avLst/>
        </a:prstGeom>
      </xdr:spPr>
    </xdr:pic>
    <xdr:clientData/>
  </xdr:twoCellAnchor>
  <xdr:twoCellAnchor editAs="oneCell">
    <xdr:from>
      <xdr:col>24</xdr:col>
      <xdr:colOff>170329</xdr:colOff>
      <xdr:row>106</xdr:row>
      <xdr:rowOff>645460</xdr:rowOff>
    </xdr:from>
    <xdr:to>
      <xdr:col>31</xdr:col>
      <xdr:colOff>511479</xdr:colOff>
      <xdr:row>106</xdr:row>
      <xdr:rowOff>2493568</xdr:rowOff>
    </xdr:to>
    <xdr:pic>
      <xdr:nvPicPr>
        <xdr:cNvPr id="23" name="Picture 22">
          <a:extLst>
            <a:ext uri="{FF2B5EF4-FFF2-40B4-BE49-F238E27FC236}">
              <a16:creationId xmlns:a16="http://schemas.microsoft.com/office/drawing/2014/main" id="{F3BC2845-5065-5569-D0BA-E1B53B900705}"/>
            </a:ext>
          </a:extLst>
        </xdr:cNvPr>
        <xdr:cNvPicPr>
          <a:picLocks noChangeAspect="1"/>
        </xdr:cNvPicPr>
      </xdr:nvPicPr>
      <xdr:blipFill>
        <a:blip xmlns:r="http://schemas.openxmlformats.org/officeDocument/2006/relationships" r:embed="rId14"/>
        <a:stretch>
          <a:fillRect/>
        </a:stretch>
      </xdr:blipFill>
      <xdr:spPr>
        <a:xfrm>
          <a:off x="12752854" y="19990735"/>
          <a:ext cx="5277587" cy="1848108"/>
        </a:xfrm>
        <a:prstGeom prst="rect">
          <a:avLst/>
        </a:prstGeom>
      </xdr:spPr>
    </xdr:pic>
    <xdr:clientData/>
  </xdr:twoCellAnchor>
  <xdr:twoCellAnchor editAs="oneCell">
    <xdr:from>
      <xdr:col>36</xdr:col>
      <xdr:colOff>298203</xdr:colOff>
      <xdr:row>106</xdr:row>
      <xdr:rowOff>703319</xdr:rowOff>
    </xdr:from>
    <xdr:to>
      <xdr:col>54</xdr:col>
      <xdr:colOff>467651</xdr:colOff>
      <xdr:row>106</xdr:row>
      <xdr:rowOff>2879538</xdr:rowOff>
    </xdr:to>
    <xdr:pic>
      <xdr:nvPicPr>
        <xdr:cNvPr id="13" name="Picture 12">
          <a:extLst>
            <a:ext uri="{FF2B5EF4-FFF2-40B4-BE49-F238E27FC236}">
              <a16:creationId xmlns:a16="http://schemas.microsoft.com/office/drawing/2014/main" id="{81DED386-0520-4FB1-A708-EE21DF37FFCD}"/>
            </a:ext>
          </a:extLst>
        </xdr:cNvPr>
        <xdr:cNvPicPr>
          <a:picLocks noChangeAspect="1"/>
        </xdr:cNvPicPr>
      </xdr:nvPicPr>
      <xdr:blipFill>
        <a:blip xmlns:r="http://schemas.openxmlformats.org/officeDocument/2006/relationships" r:embed="rId15"/>
        <a:stretch>
          <a:fillRect/>
        </a:stretch>
      </xdr:blipFill>
      <xdr:spPr>
        <a:xfrm>
          <a:off x="21695655" y="20416996"/>
          <a:ext cx="11230738" cy="2176219"/>
        </a:xfrm>
        <a:prstGeom prst="rect">
          <a:avLst/>
        </a:prstGeom>
      </xdr:spPr>
    </xdr:pic>
    <xdr:clientData/>
  </xdr:twoCellAnchor>
  <xdr:twoCellAnchor editAs="oneCell">
    <xdr:from>
      <xdr:col>36</xdr:col>
      <xdr:colOff>258097</xdr:colOff>
      <xdr:row>106</xdr:row>
      <xdr:rowOff>2966856</xdr:rowOff>
    </xdr:from>
    <xdr:to>
      <xdr:col>54</xdr:col>
      <xdr:colOff>295171</xdr:colOff>
      <xdr:row>111</xdr:row>
      <xdr:rowOff>45703</xdr:rowOff>
    </xdr:to>
    <xdr:pic>
      <xdr:nvPicPr>
        <xdr:cNvPr id="14" name="Picture 13">
          <a:extLst>
            <a:ext uri="{FF2B5EF4-FFF2-40B4-BE49-F238E27FC236}">
              <a16:creationId xmlns:a16="http://schemas.microsoft.com/office/drawing/2014/main" id="{57D5EE5A-9F69-49B1-9881-17A2F0F4A3EB}"/>
            </a:ext>
          </a:extLst>
        </xdr:cNvPr>
        <xdr:cNvPicPr>
          <a:picLocks noChangeAspect="1"/>
        </xdr:cNvPicPr>
      </xdr:nvPicPr>
      <xdr:blipFill>
        <a:blip xmlns:r="http://schemas.openxmlformats.org/officeDocument/2006/relationships" r:embed="rId16"/>
        <a:stretch>
          <a:fillRect/>
        </a:stretch>
      </xdr:blipFill>
      <xdr:spPr>
        <a:xfrm>
          <a:off x="21655549" y="22680533"/>
          <a:ext cx="11098364" cy="1478783"/>
        </a:xfrm>
        <a:prstGeom prst="rect">
          <a:avLst/>
        </a:prstGeom>
      </xdr:spPr>
    </xdr:pic>
    <xdr:clientData/>
  </xdr:twoCellAnchor>
  <xdr:twoCellAnchor>
    <xdr:from>
      <xdr:col>0</xdr:col>
      <xdr:colOff>0</xdr:colOff>
      <xdr:row>138</xdr:row>
      <xdr:rowOff>139721</xdr:rowOff>
    </xdr:from>
    <xdr:to>
      <xdr:col>12</xdr:col>
      <xdr:colOff>107424</xdr:colOff>
      <xdr:row>153</xdr:row>
      <xdr:rowOff>149660</xdr:rowOff>
    </xdr:to>
    <xdr:graphicFrame macro="">
      <xdr:nvGraphicFramePr>
        <xdr:cNvPr id="17" name="Chart 16">
          <a:extLst>
            <a:ext uri="{FF2B5EF4-FFF2-40B4-BE49-F238E27FC236}">
              <a16:creationId xmlns:a16="http://schemas.microsoft.com/office/drawing/2014/main" id="{160475C6-B782-4C8D-A1D4-61BF6946705F}"/>
            </a:ext>
            <a:ext uri="{147F2762-F138-4A5C-976F-8EAC2B608ADB}">
              <a16:predDERef xmlns:a16="http://schemas.microsoft.com/office/drawing/2014/main" pred="{57D5EE5A-9F69-49B1-9881-17A2F0F4A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554183</xdr:colOff>
      <xdr:row>138</xdr:row>
      <xdr:rowOff>161636</xdr:rowOff>
    </xdr:from>
    <xdr:to>
      <xdr:col>25</xdr:col>
      <xdr:colOff>131586</xdr:colOff>
      <xdr:row>154</xdr:row>
      <xdr:rowOff>10039</xdr:rowOff>
    </xdr:to>
    <xdr:graphicFrame macro="">
      <xdr:nvGraphicFramePr>
        <xdr:cNvPr id="19" name="Chart 18">
          <a:extLst>
            <a:ext uri="{FF2B5EF4-FFF2-40B4-BE49-F238E27FC236}">
              <a16:creationId xmlns:a16="http://schemas.microsoft.com/office/drawing/2014/main" id="{92D42F50-1A26-4B0D-A460-DC29938D4104}"/>
            </a:ext>
            <a:ext uri="{147F2762-F138-4A5C-976F-8EAC2B608ADB}">
              <a16:predDERef xmlns:a16="http://schemas.microsoft.com/office/drawing/2014/main" pred="{160475C6-B782-4C8D-A1D4-61BF6946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13</xdr:col>
      <xdr:colOff>513907</xdr:colOff>
      <xdr:row>203</xdr:row>
      <xdr:rowOff>88604</xdr:rowOff>
    </xdr:from>
    <xdr:to>
      <xdr:col>22</xdr:col>
      <xdr:colOff>493016</xdr:colOff>
      <xdr:row>217</xdr:row>
      <xdr:rowOff>148341</xdr:rowOff>
    </xdr:to>
    <xdr:pic>
      <xdr:nvPicPr>
        <xdr:cNvPr id="26" name="Picture 25">
          <a:extLst>
            <a:ext uri="{FF2B5EF4-FFF2-40B4-BE49-F238E27FC236}">
              <a16:creationId xmlns:a16="http://schemas.microsoft.com/office/drawing/2014/main" id="{B8F8CE4E-0AB7-4FA3-A82C-D4C40A682CEF}"/>
            </a:ext>
          </a:extLst>
        </xdr:cNvPr>
        <xdr:cNvPicPr>
          <a:picLocks noChangeAspect="1"/>
        </xdr:cNvPicPr>
      </xdr:nvPicPr>
      <xdr:blipFill>
        <a:blip xmlns:r="http://schemas.openxmlformats.org/officeDocument/2006/relationships" r:embed="rId19"/>
        <a:stretch>
          <a:fillRect/>
        </a:stretch>
      </xdr:blipFill>
      <xdr:spPr>
        <a:xfrm>
          <a:off x="6131442" y="44869395"/>
          <a:ext cx="5995269" cy="2540667"/>
        </a:xfrm>
        <a:prstGeom prst="rect">
          <a:avLst/>
        </a:prstGeom>
      </xdr:spPr>
    </xdr:pic>
    <xdr:clientData/>
  </xdr:twoCellAnchor>
  <xdr:twoCellAnchor editAs="oneCell">
    <xdr:from>
      <xdr:col>21</xdr:col>
      <xdr:colOff>401673</xdr:colOff>
      <xdr:row>178</xdr:row>
      <xdr:rowOff>125604</xdr:rowOff>
    </xdr:from>
    <xdr:to>
      <xdr:col>31</xdr:col>
      <xdr:colOff>35990</xdr:colOff>
      <xdr:row>194</xdr:row>
      <xdr:rowOff>113445</xdr:rowOff>
    </xdr:to>
    <xdr:pic>
      <xdr:nvPicPr>
        <xdr:cNvPr id="16" name="Picture 15">
          <a:extLst>
            <a:ext uri="{FF2B5EF4-FFF2-40B4-BE49-F238E27FC236}">
              <a16:creationId xmlns:a16="http://schemas.microsoft.com/office/drawing/2014/main" id="{2F2DE5F0-3A62-5CD0-2960-E53043FF4985}"/>
            </a:ext>
          </a:extLst>
        </xdr:cNvPr>
        <xdr:cNvPicPr>
          <a:picLocks noChangeAspect="1"/>
        </xdr:cNvPicPr>
      </xdr:nvPicPr>
      <xdr:blipFill>
        <a:blip xmlns:r="http://schemas.openxmlformats.org/officeDocument/2006/relationships" r:embed="rId20"/>
        <a:stretch>
          <a:fillRect/>
        </a:stretch>
      </xdr:blipFill>
      <xdr:spPr>
        <a:xfrm>
          <a:off x="12300596" y="40938659"/>
          <a:ext cx="6416954" cy="4867797"/>
        </a:xfrm>
        <a:prstGeom prst="rect">
          <a:avLst/>
        </a:prstGeom>
      </xdr:spPr>
    </xdr:pic>
    <xdr:clientData/>
  </xdr:twoCellAnchor>
  <xdr:twoCellAnchor editAs="oneCell">
    <xdr:from>
      <xdr:col>36</xdr:col>
      <xdr:colOff>267578</xdr:colOff>
      <xdr:row>0</xdr:row>
      <xdr:rowOff>0</xdr:rowOff>
    </xdr:from>
    <xdr:to>
      <xdr:col>46</xdr:col>
      <xdr:colOff>171658</xdr:colOff>
      <xdr:row>39</xdr:row>
      <xdr:rowOff>63110</xdr:rowOff>
    </xdr:to>
    <xdr:pic>
      <xdr:nvPicPr>
        <xdr:cNvPr id="22" name="Picture 21">
          <a:extLst>
            <a:ext uri="{FF2B5EF4-FFF2-40B4-BE49-F238E27FC236}">
              <a16:creationId xmlns:a16="http://schemas.microsoft.com/office/drawing/2014/main" id="{7ADB8C67-0B54-85A8-AB4E-DB0A395741E2}"/>
            </a:ext>
          </a:extLst>
        </xdr:cNvPr>
        <xdr:cNvPicPr>
          <a:picLocks noChangeAspect="1"/>
        </xdr:cNvPicPr>
      </xdr:nvPicPr>
      <xdr:blipFill>
        <a:blip xmlns:r="http://schemas.openxmlformats.org/officeDocument/2006/relationships" r:embed="rId21"/>
        <a:stretch>
          <a:fillRect/>
        </a:stretch>
      </xdr:blipFill>
      <xdr:spPr>
        <a:xfrm>
          <a:off x="21382999" y="0"/>
          <a:ext cx="5919871" cy="7111394"/>
        </a:xfrm>
        <a:prstGeom prst="rect">
          <a:avLst/>
        </a:prstGeom>
      </xdr:spPr>
    </xdr:pic>
    <xdr:clientData/>
  </xdr:twoCellAnchor>
  <xdr:twoCellAnchor editAs="oneCell">
    <xdr:from>
      <xdr:col>36</xdr:col>
      <xdr:colOff>339014</xdr:colOff>
      <xdr:row>39</xdr:row>
      <xdr:rowOff>13786</xdr:rowOff>
    </xdr:from>
    <xdr:to>
      <xdr:col>45</xdr:col>
      <xdr:colOff>577938</xdr:colOff>
      <xdr:row>45</xdr:row>
      <xdr:rowOff>66331</xdr:rowOff>
    </xdr:to>
    <xdr:pic>
      <xdr:nvPicPr>
        <xdr:cNvPr id="24" name="Picture 23">
          <a:extLst>
            <a:ext uri="{FF2B5EF4-FFF2-40B4-BE49-F238E27FC236}">
              <a16:creationId xmlns:a16="http://schemas.microsoft.com/office/drawing/2014/main" id="{71C487B1-0448-A031-4309-9D39DA9DB72F}"/>
            </a:ext>
          </a:extLst>
        </xdr:cNvPr>
        <xdr:cNvPicPr>
          <a:picLocks noChangeAspect="1"/>
        </xdr:cNvPicPr>
      </xdr:nvPicPr>
      <xdr:blipFill>
        <a:blip xmlns:r="http://schemas.openxmlformats.org/officeDocument/2006/relationships" r:embed="rId22"/>
        <a:stretch>
          <a:fillRect/>
        </a:stretch>
      </xdr:blipFill>
      <xdr:spPr>
        <a:xfrm>
          <a:off x="21736466" y="7215915"/>
          <a:ext cx="5779094" cy="1158674"/>
        </a:xfrm>
        <a:prstGeom prst="rect">
          <a:avLst/>
        </a:prstGeom>
      </xdr:spPr>
    </xdr:pic>
    <xdr:clientData/>
  </xdr:twoCellAnchor>
  <xdr:twoCellAnchor editAs="oneCell">
    <xdr:from>
      <xdr:col>35</xdr:col>
      <xdr:colOff>303856</xdr:colOff>
      <xdr:row>46</xdr:row>
      <xdr:rowOff>48828</xdr:rowOff>
    </xdr:from>
    <xdr:to>
      <xdr:col>45</xdr:col>
      <xdr:colOff>97093</xdr:colOff>
      <xdr:row>56</xdr:row>
      <xdr:rowOff>138686</xdr:rowOff>
    </xdr:to>
    <xdr:pic>
      <xdr:nvPicPr>
        <xdr:cNvPr id="25" name="Picture 24">
          <a:extLst>
            <a:ext uri="{FF2B5EF4-FFF2-40B4-BE49-F238E27FC236}">
              <a16:creationId xmlns:a16="http://schemas.microsoft.com/office/drawing/2014/main" id="{D27A409F-42AB-1A66-321E-4EC738D5E8C8}"/>
            </a:ext>
          </a:extLst>
        </xdr:cNvPr>
        <xdr:cNvPicPr>
          <a:picLocks noChangeAspect="1"/>
        </xdr:cNvPicPr>
      </xdr:nvPicPr>
      <xdr:blipFill>
        <a:blip xmlns:r="http://schemas.openxmlformats.org/officeDocument/2006/relationships" r:embed="rId23"/>
        <a:stretch>
          <a:fillRect/>
        </a:stretch>
      </xdr:blipFill>
      <xdr:spPr>
        <a:xfrm>
          <a:off x="20886821" y="8314287"/>
          <a:ext cx="5987848" cy="1890486"/>
        </a:xfrm>
        <a:prstGeom prst="rect">
          <a:avLst/>
        </a:prstGeom>
      </xdr:spPr>
    </xdr:pic>
    <xdr:clientData/>
  </xdr:twoCellAnchor>
  <xdr:twoCellAnchor editAs="oneCell">
    <xdr:from>
      <xdr:col>36</xdr:col>
      <xdr:colOff>160421</xdr:colOff>
      <xdr:row>57</xdr:row>
      <xdr:rowOff>1163</xdr:rowOff>
    </xdr:from>
    <xdr:to>
      <xdr:col>46</xdr:col>
      <xdr:colOff>2300</xdr:colOff>
      <xdr:row>83</xdr:row>
      <xdr:rowOff>118929</xdr:rowOff>
    </xdr:to>
    <xdr:pic>
      <xdr:nvPicPr>
        <xdr:cNvPr id="27" name="Picture 26">
          <a:extLst>
            <a:ext uri="{FF2B5EF4-FFF2-40B4-BE49-F238E27FC236}">
              <a16:creationId xmlns:a16="http://schemas.microsoft.com/office/drawing/2014/main" id="{AC7C7256-338D-C856-016E-9EA3D49B0525}"/>
            </a:ext>
          </a:extLst>
        </xdr:cNvPr>
        <xdr:cNvPicPr>
          <a:picLocks noChangeAspect="1"/>
        </xdr:cNvPicPr>
      </xdr:nvPicPr>
      <xdr:blipFill>
        <a:blip xmlns:r="http://schemas.openxmlformats.org/officeDocument/2006/relationships" r:embed="rId24"/>
        <a:stretch>
          <a:fillRect/>
        </a:stretch>
      </xdr:blipFill>
      <xdr:spPr>
        <a:xfrm>
          <a:off x="21275842" y="10328268"/>
          <a:ext cx="5857670" cy="4810082"/>
        </a:xfrm>
        <a:prstGeom prst="rect">
          <a:avLst/>
        </a:prstGeom>
      </xdr:spPr>
    </xdr:pic>
    <xdr:clientData/>
  </xdr:twoCellAnchor>
  <xdr:twoCellAnchor editAs="oneCell">
    <xdr:from>
      <xdr:col>47</xdr:col>
      <xdr:colOff>467032</xdr:colOff>
      <xdr:row>2</xdr:row>
      <xdr:rowOff>0</xdr:rowOff>
    </xdr:from>
    <xdr:to>
      <xdr:col>57</xdr:col>
      <xdr:colOff>223403</xdr:colOff>
      <xdr:row>30</xdr:row>
      <xdr:rowOff>147365</xdr:rowOff>
    </xdr:to>
    <xdr:pic>
      <xdr:nvPicPr>
        <xdr:cNvPr id="29" name="Picture 28">
          <a:extLst>
            <a:ext uri="{FF2B5EF4-FFF2-40B4-BE49-F238E27FC236}">
              <a16:creationId xmlns:a16="http://schemas.microsoft.com/office/drawing/2014/main" id="{0A2BEC01-FD56-46EE-9350-50E4DC613D7D}"/>
            </a:ext>
          </a:extLst>
        </xdr:cNvPr>
        <xdr:cNvPicPr>
          <a:picLocks noChangeAspect="1"/>
        </xdr:cNvPicPr>
      </xdr:nvPicPr>
      <xdr:blipFill>
        <a:blip xmlns:r="http://schemas.openxmlformats.org/officeDocument/2006/relationships" r:embed="rId25"/>
        <a:stretch>
          <a:fillRect/>
        </a:stretch>
      </xdr:blipFill>
      <xdr:spPr>
        <a:xfrm>
          <a:off x="28624161" y="381000"/>
          <a:ext cx="5901531" cy="5309299"/>
        </a:xfrm>
        <a:prstGeom prst="rect">
          <a:avLst/>
        </a:prstGeom>
      </xdr:spPr>
    </xdr:pic>
    <xdr:clientData/>
  </xdr:twoCellAnchor>
  <xdr:twoCellAnchor editAs="oneCell">
    <xdr:from>
      <xdr:col>42</xdr:col>
      <xdr:colOff>140858</xdr:colOff>
      <xdr:row>16</xdr:row>
      <xdr:rowOff>175912</xdr:rowOff>
    </xdr:from>
    <xdr:to>
      <xdr:col>51</xdr:col>
      <xdr:colOff>153149</xdr:colOff>
      <xdr:row>41</xdr:row>
      <xdr:rowOff>126338</xdr:rowOff>
    </xdr:to>
    <xdr:pic>
      <xdr:nvPicPr>
        <xdr:cNvPr id="30" name="Picture 29">
          <a:extLst>
            <a:ext uri="{FF2B5EF4-FFF2-40B4-BE49-F238E27FC236}">
              <a16:creationId xmlns:a16="http://schemas.microsoft.com/office/drawing/2014/main" id="{74B7284B-58A7-9FE8-A0ED-419873A85090}"/>
            </a:ext>
          </a:extLst>
        </xdr:cNvPr>
        <xdr:cNvPicPr>
          <a:picLocks noChangeAspect="1"/>
        </xdr:cNvPicPr>
      </xdr:nvPicPr>
      <xdr:blipFill>
        <a:blip xmlns:r="http://schemas.openxmlformats.org/officeDocument/2006/relationships" r:embed="rId26"/>
        <a:stretch>
          <a:fillRect/>
        </a:stretch>
      </xdr:blipFill>
      <xdr:spPr>
        <a:xfrm>
          <a:off x="25088075" y="3157651"/>
          <a:ext cx="5498691" cy="458868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49</xdr:col>
      <xdr:colOff>235670</xdr:colOff>
      <xdr:row>43</xdr:row>
      <xdr:rowOff>172056</xdr:rowOff>
    </xdr:from>
    <xdr:to>
      <xdr:col>63</xdr:col>
      <xdr:colOff>569331</xdr:colOff>
      <xdr:row>58</xdr:row>
      <xdr:rowOff>169017</xdr:rowOff>
    </xdr:to>
    <xdr:pic>
      <xdr:nvPicPr>
        <xdr:cNvPr id="4" name="Picture 3">
          <a:extLst>
            <a:ext uri="{FF2B5EF4-FFF2-40B4-BE49-F238E27FC236}">
              <a16:creationId xmlns:a16="http://schemas.microsoft.com/office/drawing/2014/main" id="{B38FB387-4EFF-6C2A-0CAD-0C14D0AD16EA}"/>
            </a:ext>
          </a:extLst>
        </xdr:cNvPr>
        <xdr:cNvPicPr>
          <a:picLocks noChangeAspect="1"/>
        </xdr:cNvPicPr>
      </xdr:nvPicPr>
      <xdr:blipFill>
        <a:blip xmlns:r="http://schemas.openxmlformats.org/officeDocument/2006/relationships" r:embed="rId1"/>
        <a:stretch>
          <a:fillRect/>
        </a:stretch>
      </xdr:blipFill>
      <xdr:spPr>
        <a:xfrm>
          <a:off x="33237340" y="8491211"/>
          <a:ext cx="9083568" cy="28497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23</xdr:col>
      <xdr:colOff>929640</xdr:colOff>
      <xdr:row>206</xdr:row>
      <xdr:rowOff>48626</xdr:rowOff>
    </xdr:from>
    <xdr:to>
      <xdr:col>32</xdr:col>
      <xdr:colOff>195392</xdr:colOff>
      <xdr:row>238</xdr:row>
      <xdr:rowOff>27395</xdr:rowOff>
    </xdr:to>
    <xdr:pic>
      <xdr:nvPicPr>
        <xdr:cNvPr id="2" name="Picture 1">
          <a:extLst>
            <a:ext uri="{FF2B5EF4-FFF2-40B4-BE49-F238E27FC236}">
              <a16:creationId xmlns:a16="http://schemas.microsoft.com/office/drawing/2014/main" id="{030D1525-CA0F-43A7-B101-66F92797A1C6}"/>
            </a:ext>
          </a:extLst>
        </xdr:cNvPr>
        <xdr:cNvPicPr>
          <a:picLocks noChangeAspect="1"/>
        </xdr:cNvPicPr>
      </xdr:nvPicPr>
      <xdr:blipFill>
        <a:blip xmlns:r="http://schemas.openxmlformats.org/officeDocument/2006/relationships" r:embed="rId1"/>
        <a:stretch>
          <a:fillRect/>
        </a:stretch>
      </xdr:blipFill>
      <xdr:spPr>
        <a:xfrm>
          <a:off x="20703540" y="24337376"/>
          <a:ext cx="6561902" cy="6074769"/>
        </a:xfrm>
        <a:prstGeom prst="rect">
          <a:avLst/>
        </a:prstGeom>
      </xdr:spPr>
    </xdr:pic>
    <xdr:clientData/>
  </xdr:twoCellAnchor>
  <xdr:twoCellAnchor editAs="oneCell">
    <xdr:from>
      <xdr:col>10</xdr:col>
      <xdr:colOff>115491</xdr:colOff>
      <xdr:row>170</xdr:row>
      <xdr:rowOff>113859</xdr:rowOff>
    </xdr:from>
    <xdr:to>
      <xdr:col>13</xdr:col>
      <xdr:colOff>11095</xdr:colOff>
      <xdr:row>201</xdr:row>
      <xdr:rowOff>73833</xdr:rowOff>
    </xdr:to>
    <xdr:pic>
      <xdr:nvPicPr>
        <xdr:cNvPr id="4" name="Picture 3">
          <a:extLst>
            <a:ext uri="{FF2B5EF4-FFF2-40B4-BE49-F238E27FC236}">
              <a16:creationId xmlns:a16="http://schemas.microsoft.com/office/drawing/2014/main" id="{92B4EEF4-90F8-D079-9F71-E186F39A3D8E}"/>
            </a:ext>
          </a:extLst>
        </xdr:cNvPr>
        <xdr:cNvPicPr>
          <a:picLocks noChangeAspect="1"/>
        </xdr:cNvPicPr>
      </xdr:nvPicPr>
      <xdr:blipFill>
        <a:blip xmlns:r="http://schemas.openxmlformats.org/officeDocument/2006/relationships" r:embed="rId2"/>
        <a:stretch>
          <a:fillRect/>
        </a:stretch>
      </xdr:blipFill>
      <xdr:spPr>
        <a:xfrm>
          <a:off x="9418517" y="32343146"/>
          <a:ext cx="2380387" cy="5711416"/>
        </a:xfrm>
        <a:prstGeom prst="rect">
          <a:avLst/>
        </a:prstGeom>
      </xdr:spPr>
    </xdr:pic>
    <xdr:clientData/>
  </xdr:twoCellAnchor>
  <xdr:twoCellAnchor>
    <xdr:from>
      <xdr:col>17</xdr:col>
      <xdr:colOff>567069</xdr:colOff>
      <xdr:row>125</xdr:row>
      <xdr:rowOff>61313</xdr:rowOff>
    </xdr:from>
    <xdr:to>
      <xdr:col>25</xdr:col>
      <xdr:colOff>741798</xdr:colOff>
      <xdr:row>143</xdr:row>
      <xdr:rowOff>269003</xdr:rowOff>
    </xdr:to>
    <xdr:graphicFrame macro="">
      <xdr:nvGraphicFramePr>
        <xdr:cNvPr id="8" name="Chart 2">
          <a:extLst>
            <a:ext uri="{FF2B5EF4-FFF2-40B4-BE49-F238E27FC236}">
              <a16:creationId xmlns:a16="http://schemas.microsoft.com/office/drawing/2014/main" id="{62FA2B71-F760-5C38-DE40-57A407AE338C}"/>
            </a:ext>
            <a:ext uri="{147F2762-F138-4A5C-976F-8EAC2B608ADB}">
              <a16:predDERef xmlns:a16="http://schemas.microsoft.com/office/drawing/2014/main" pred="{92B4EEF4-90F8-D079-9F71-E186F39A3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203200</xdr:colOff>
      <xdr:row>103</xdr:row>
      <xdr:rowOff>166915</xdr:rowOff>
    </xdr:from>
    <xdr:to>
      <xdr:col>29</xdr:col>
      <xdr:colOff>394788</xdr:colOff>
      <xdr:row>122</xdr:row>
      <xdr:rowOff>149251</xdr:rowOff>
    </xdr:to>
    <xdr:pic>
      <xdr:nvPicPr>
        <xdr:cNvPr id="5" name="Picture 4">
          <a:extLst>
            <a:ext uri="{FF2B5EF4-FFF2-40B4-BE49-F238E27FC236}">
              <a16:creationId xmlns:a16="http://schemas.microsoft.com/office/drawing/2014/main" id="{68C18350-A66A-A221-C0EA-77622CDE9DBD}"/>
            </a:ext>
          </a:extLst>
        </xdr:cNvPr>
        <xdr:cNvPicPr>
          <a:picLocks noChangeAspect="1"/>
        </xdr:cNvPicPr>
      </xdr:nvPicPr>
      <xdr:blipFill>
        <a:blip xmlns:r="http://schemas.openxmlformats.org/officeDocument/2006/relationships" r:embed="rId4"/>
        <a:stretch>
          <a:fillRect/>
        </a:stretch>
      </xdr:blipFill>
      <xdr:spPr>
        <a:xfrm>
          <a:off x="15523029" y="4354286"/>
          <a:ext cx="11041016" cy="342947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91441</xdr:colOff>
      <xdr:row>7</xdr:row>
      <xdr:rowOff>1</xdr:rowOff>
    </xdr:from>
    <xdr:to>
      <xdr:col>5</xdr:col>
      <xdr:colOff>2823435</xdr:colOff>
      <xdr:row>14</xdr:row>
      <xdr:rowOff>82406</xdr:rowOff>
    </xdr:to>
    <xdr:pic>
      <xdr:nvPicPr>
        <xdr:cNvPr id="2" name="Picture 1">
          <a:extLst>
            <a:ext uri="{FF2B5EF4-FFF2-40B4-BE49-F238E27FC236}">
              <a16:creationId xmlns:a16="http://schemas.microsoft.com/office/drawing/2014/main" id="{939AFF73-CEB3-48B2-4DE7-00E43481707C}"/>
            </a:ext>
          </a:extLst>
        </xdr:cNvPr>
        <xdr:cNvPicPr>
          <a:picLocks noChangeAspect="1"/>
        </xdr:cNvPicPr>
      </xdr:nvPicPr>
      <xdr:blipFill>
        <a:blip xmlns:r="http://schemas.openxmlformats.org/officeDocument/2006/relationships" r:embed="rId1"/>
        <a:stretch>
          <a:fillRect/>
        </a:stretch>
      </xdr:blipFill>
      <xdr:spPr>
        <a:xfrm>
          <a:off x="91441" y="1255060"/>
          <a:ext cx="6416936" cy="1337464"/>
        </a:xfrm>
        <a:prstGeom prst="rect">
          <a:avLst/>
        </a:prstGeom>
      </xdr:spPr>
    </xdr:pic>
    <xdr:clientData/>
  </xdr:twoCellAnchor>
  <xdr:twoCellAnchor editAs="oneCell">
    <xdr:from>
      <xdr:col>0</xdr:col>
      <xdr:colOff>0</xdr:colOff>
      <xdr:row>14</xdr:row>
      <xdr:rowOff>35858</xdr:rowOff>
    </xdr:from>
    <xdr:to>
      <xdr:col>5</xdr:col>
      <xdr:colOff>2746594</xdr:colOff>
      <xdr:row>33</xdr:row>
      <xdr:rowOff>17929</xdr:rowOff>
    </xdr:to>
    <xdr:pic>
      <xdr:nvPicPr>
        <xdr:cNvPr id="3" name="Picture 2">
          <a:extLst>
            <a:ext uri="{FF2B5EF4-FFF2-40B4-BE49-F238E27FC236}">
              <a16:creationId xmlns:a16="http://schemas.microsoft.com/office/drawing/2014/main" id="{D5BD439A-3644-8E0D-F2C0-6BC0D925B8FB}"/>
            </a:ext>
          </a:extLst>
        </xdr:cNvPr>
        <xdr:cNvPicPr>
          <a:picLocks noChangeAspect="1"/>
        </xdr:cNvPicPr>
      </xdr:nvPicPr>
      <xdr:blipFill>
        <a:blip xmlns:r="http://schemas.openxmlformats.org/officeDocument/2006/relationships" r:embed="rId2"/>
        <a:stretch>
          <a:fillRect/>
        </a:stretch>
      </xdr:blipFill>
      <xdr:spPr>
        <a:xfrm>
          <a:off x="0" y="2545976"/>
          <a:ext cx="6431536" cy="3388659"/>
        </a:xfrm>
        <a:prstGeom prst="rect">
          <a:avLst/>
        </a:prstGeom>
      </xdr:spPr>
    </xdr:pic>
    <xdr:clientData/>
  </xdr:twoCellAnchor>
  <xdr:twoCellAnchor editAs="oneCell">
    <xdr:from>
      <xdr:col>0</xdr:col>
      <xdr:colOff>0</xdr:colOff>
      <xdr:row>36</xdr:row>
      <xdr:rowOff>0</xdr:rowOff>
    </xdr:from>
    <xdr:to>
      <xdr:col>5</xdr:col>
      <xdr:colOff>5833205</xdr:colOff>
      <xdr:row>42</xdr:row>
      <xdr:rowOff>19763</xdr:rowOff>
    </xdr:to>
    <xdr:pic>
      <xdr:nvPicPr>
        <xdr:cNvPr id="4" name="Picture 3">
          <a:extLst>
            <a:ext uri="{FF2B5EF4-FFF2-40B4-BE49-F238E27FC236}">
              <a16:creationId xmlns:a16="http://schemas.microsoft.com/office/drawing/2014/main" id="{59CD4B6D-CFF6-D8DE-7EF3-6D9C76A65038}"/>
            </a:ext>
          </a:extLst>
        </xdr:cNvPr>
        <xdr:cNvPicPr>
          <a:picLocks noChangeAspect="1"/>
        </xdr:cNvPicPr>
      </xdr:nvPicPr>
      <xdr:blipFill>
        <a:blip xmlns:r="http://schemas.openxmlformats.org/officeDocument/2006/relationships" r:embed="rId3"/>
        <a:stretch>
          <a:fillRect/>
        </a:stretch>
      </xdr:blipFill>
      <xdr:spPr>
        <a:xfrm>
          <a:off x="0" y="6454588"/>
          <a:ext cx="9516803" cy="1095528"/>
        </a:xfrm>
        <a:prstGeom prst="rect">
          <a:avLst/>
        </a:prstGeom>
      </xdr:spPr>
    </xdr:pic>
    <xdr:clientData/>
  </xdr:twoCellAnchor>
  <xdr:twoCellAnchor editAs="oneCell">
    <xdr:from>
      <xdr:col>0</xdr:col>
      <xdr:colOff>0</xdr:colOff>
      <xdr:row>45</xdr:row>
      <xdr:rowOff>0</xdr:rowOff>
    </xdr:from>
    <xdr:to>
      <xdr:col>5</xdr:col>
      <xdr:colOff>5337836</xdr:colOff>
      <xdr:row>71</xdr:row>
      <xdr:rowOff>149149</xdr:rowOff>
    </xdr:to>
    <xdr:pic>
      <xdr:nvPicPr>
        <xdr:cNvPr id="5" name="Picture 4">
          <a:extLst>
            <a:ext uri="{FF2B5EF4-FFF2-40B4-BE49-F238E27FC236}">
              <a16:creationId xmlns:a16="http://schemas.microsoft.com/office/drawing/2014/main" id="{A7F906DA-3E8B-4C4E-9F45-5F9B18E47A98}"/>
            </a:ext>
          </a:extLst>
        </xdr:cNvPr>
        <xdr:cNvPicPr>
          <a:picLocks noChangeAspect="1"/>
        </xdr:cNvPicPr>
      </xdr:nvPicPr>
      <xdr:blipFill>
        <a:blip xmlns:r="http://schemas.openxmlformats.org/officeDocument/2006/relationships" r:embed="rId4"/>
        <a:stretch>
          <a:fillRect/>
        </a:stretch>
      </xdr:blipFill>
      <xdr:spPr>
        <a:xfrm>
          <a:off x="0" y="8068235"/>
          <a:ext cx="9021434" cy="4810796"/>
        </a:xfrm>
        <a:prstGeom prst="rect">
          <a:avLst/>
        </a:prstGeom>
      </xdr:spPr>
    </xdr:pic>
    <xdr:clientData/>
  </xdr:twoCellAnchor>
  <xdr:twoCellAnchor editAs="oneCell">
    <xdr:from>
      <xdr:col>0</xdr:col>
      <xdr:colOff>0</xdr:colOff>
      <xdr:row>75</xdr:row>
      <xdr:rowOff>0</xdr:rowOff>
    </xdr:from>
    <xdr:to>
      <xdr:col>5</xdr:col>
      <xdr:colOff>4175624</xdr:colOff>
      <xdr:row>103</xdr:row>
      <xdr:rowOff>162088</xdr:rowOff>
    </xdr:to>
    <xdr:pic>
      <xdr:nvPicPr>
        <xdr:cNvPr id="6" name="Picture 5">
          <a:extLst>
            <a:ext uri="{FF2B5EF4-FFF2-40B4-BE49-F238E27FC236}">
              <a16:creationId xmlns:a16="http://schemas.microsoft.com/office/drawing/2014/main" id="{772BD32E-8A8F-8D29-C81D-0B17C26B7A18}"/>
            </a:ext>
          </a:extLst>
        </xdr:cNvPr>
        <xdr:cNvPicPr>
          <a:picLocks noChangeAspect="1"/>
        </xdr:cNvPicPr>
      </xdr:nvPicPr>
      <xdr:blipFill>
        <a:blip xmlns:r="http://schemas.openxmlformats.org/officeDocument/2006/relationships" r:embed="rId5"/>
        <a:stretch>
          <a:fillRect/>
        </a:stretch>
      </xdr:blipFill>
      <xdr:spPr>
        <a:xfrm>
          <a:off x="0" y="13447059"/>
          <a:ext cx="7859222" cy="5182323"/>
        </a:xfrm>
        <a:prstGeom prst="rect">
          <a:avLst/>
        </a:prstGeom>
      </xdr:spPr>
    </xdr:pic>
    <xdr:clientData/>
  </xdr:twoCellAnchor>
  <xdr:twoCellAnchor editAs="oneCell">
    <xdr:from>
      <xdr:col>0</xdr:col>
      <xdr:colOff>0</xdr:colOff>
      <xdr:row>107</xdr:row>
      <xdr:rowOff>0</xdr:rowOff>
    </xdr:from>
    <xdr:to>
      <xdr:col>5</xdr:col>
      <xdr:colOff>6385732</xdr:colOff>
      <xdr:row>142</xdr:row>
      <xdr:rowOff>116873</xdr:rowOff>
    </xdr:to>
    <xdr:pic>
      <xdr:nvPicPr>
        <xdr:cNvPr id="7" name="Picture 6">
          <a:extLst>
            <a:ext uri="{FF2B5EF4-FFF2-40B4-BE49-F238E27FC236}">
              <a16:creationId xmlns:a16="http://schemas.microsoft.com/office/drawing/2014/main" id="{277F2DFE-F56F-1B62-EA17-6B9B96D32A2A}"/>
            </a:ext>
          </a:extLst>
        </xdr:cNvPr>
        <xdr:cNvPicPr>
          <a:picLocks noChangeAspect="1"/>
        </xdr:cNvPicPr>
      </xdr:nvPicPr>
      <xdr:blipFill>
        <a:blip xmlns:r="http://schemas.openxmlformats.org/officeDocument/2006/relationships" r:embed="rId6"/>
        <a:stretch>
          <a:fillRect/>
        </a:stretch>
      </xdr:blipFill>
      <xdr:spPr>
        <a:xfrm>
          <a:off x="0" y="19184471"/>
          <a:ext cx="10069330" cy="6392167"/>
        </a:xfrm>
        <a:prstGeom prst="rect">
          <a:avLst/>
        </a:prstGeom>
      </xdr:spPr>
    </xdr:pic>
    <xdr:clientData/>
  </xdr:twoCellAnchor>
  <xdr:twoCellAnchor editAs="oneCell">
    <xdr:from>
      <xdr:col>0</xdr:col>
      <xdr:colOff>57150</xdr:colOff>
      <xdr:row>147</xdr:row>
      <xdr:rowOff>95250</xdr:rowOff>
    </xdr:from>
    <xdr:to>
      <xdr:col>5</xdr:col>
      <xdr:colOff>8795886</xdr:colOff>
      <xdr:row>186</xdr:row>
      <xdr:rowOff>10550</xdr:rowOff>
    </xdr:to>
    <xdr:pic>
      <xdr:nvPicPr>
        <xdr:cNvPr id="8" name="Picture 7">
          <a:extLst>
            <a:ext uri="{FF2B5EF4-FFF2-40B4-BE49-F238E27FC236}">
              <a16:creationId xmlns:a16="http://schemas.microsoft.com/office/drawing/2014/main" id="{F37FDAD5-E4C7-75EC-51C4-58EE904D42D3}"/>
            </a:ext>
          </a:extLst>
        </xdr:cNvPr>
        <xdr:cNvPicPr>
          <a:picLocks noChangeAspect="1"/>
        </xdr:cNvPicPr>
      </xdr:nvPicPr>
      <xdr:blipFill>
        <a:blip xmlns:r="http://schemas.openxmlformats.org/officeDocument/2006/relationships" r:embed="rId7"/>
        <a:stretch>
          <a:fillRect/>
        </a:stretch>
      </xdr:blipFill>
      <xdr:spPr>
        <a:xfrm>
          <a:off x="57150" y="28098750"/>
          <a:ext cx="12422334" cy="7344800"/>
        </a:xfrm>
        <a:prstGeom prst="rect">
          <a:avLst/>
        </a:prstGeom>
      </xdr:spPr>
    </xdr:pic>
    <xdr:clientData/>
  </xdr:twoCellAnchor>
  <xdr:twoCellAnchor editAs="oneCell">
    <xdr:from>
      <xdr:col>0</xdr:col>
      <xdr:colOff>0</xdr:colOff>
      <xdr:row>185</xdr:row>
      <xdr:rowOff>38100</xdr:rowOff>
    </xdr:from>
    <xdr:to>
      <xdr:col>5</xdr:col>
      <xdr:colOff>7757524</xdr:colOff>
      <xdr:row>228</xdr:row>
      <xdr:rowOff>2818</xdr:rowOff>
    </xdr:to>
    <xdr:pic>
      <xdr:nvPicPr>
        <xdr:cNvPr id="9" name="Picture 8">
          <a:extLst>
            <a:ext uri="{FF2B5EF4-FFF2-40B4-BE49-F238E27FC236}">
              <a16:creationId xmlns:a16="http://schemas.microsoft.com/office/drawing/2014/main" id="{18E19715-BF17-8B1C-98F5-16D9529C7991}"/>
            </a:ext>
          </a:extLst>
        </xdr:cNvPr>
        <xdr:cNvPicPr>
          <a:picLocks noChangeAspect="1"/>
        </xdr:cNvPicPr>
      </xdr:nvPicPr>
      <xdr:blipFill>
        <a:blip xmlns:r="http://schemas.openxmlformats.org/officeDocument/2006/relationships" r:embed="rId8"/>
        <a:stretch>
          <a:fillRect/>
        </a:stretch>
      </xdr:blipFill>
      <xdr:spPr>
        <a:xfrm>
          <a:off x="0" y="35280600"/>
          <a:ext cx="11441122" cy="8145012"/>
        </a:xfrm>
        <a:prstGeom prst="rect">
          <a:avLst/>
        </a:prstGeom>
      </xdr:spPr>
    </xdr:pic>
    <xdr:clientData/>
  </xdr:twoCellAnchor>
  <xdr:twoCellAnchor editAs="oneCell">
    <xdr:from>
      <xdr:col>0</xdr:col>
      <xdr:colOff>0</xdr:colOff>
      <xdr:row>233</xdr:row>
      <xdr:rowOff>152400</xdr:rowOff>
    </xdr:from>
    <xdr:to>
      <xdr:col>5</xdr:col>
      <xdr:colOff>6862049</xdr:colOff>
      <xdr:row>256</xdr:row>
      <xdr:rowOff>2270</xdr:rowOff>
    </xdr:to>
    <xdr:pic>
      <xdr:nvPicPr>
        <xdr:cNvPr id="10" name="Picture 9">
          <a:extLst>
            <a:ext uri="{FF2B5EF4-FFF2-40B4-BE49-F238E27FC236}">
              <a16:creationId xmlns:a16="http://schemas.microsoft.com/office/drawing/2014/main" id="{44843188-DD80-5E1A-27F4-57EE19B5FB88}"/>
            </a:ext>
          </a:extLst>
        </xdr:cNvPr>
        <xdr:cNvPicPr>
          <a:picLocks noChangeAspect="1"/>
        </xdr:cNvPicPr>
      </xdr:nvPicPr>
      <xdr:blipFill>
        <a:blip xmlns:r="http://schemas.openxmlformats.org/officeDocument/2006/relationships" r:embed="rId9"/>
        <a:stretch>
          <a:fillRect/>
        </a:stretch>
      </xdr:blipFill>
      <xdr:spPr>
        <a:xfrm>
          <a:off x="0" y="44538900"/>
          <a:ext cx="10545647" cy="4220164"/>
        </a:xfrm>
        <a:prstGeom prst="rect">
          <a:avLst/>
        </a:prstGeom>
      </xdr:spPr>
    </xdr:pic>
    <xdr:clientData/>
  </xdr:twoCellAnchor>
  <xdr:twoCellAnchor editAs="oneCell">
    <xdr:from>
      <xdr:col>2</xdr:col>
      <xdr:colOff>0</xdr:colOff>
      <xdr:row>262</xdr:row>
      <xdr:rowOff>0</xdr:rowOff>
    </xdr:from>
    <xdr:to>
      <xdr:col>5</xdr:col>
      <xdr:colOff>6595141</xdr:colOff>
      <xdr:row>291</xdr:row>
      <xdr:rowOff>2451</xdr:rowOff>
    </xdr:to>
    <xdr:pic>
      <xdr:nvPicPr>
        <xdr:cNvPr id="11" name="Picture 10">
          <a:extLst>
            <a:ext uri="{FF2B5EF4-FFF2-40B4-BE49-F238E27FC236}">
              <a16:creationId xmlns:a16="http://schemas.microsoft.com/office/drawing/2014/main" id="{CE30D068-7A6A-BADB-E4DD-0D5B5604364A}"/>
            </a:ext>
          </a:extLst>
        </xdr:cNvPr>
        <xdr:cNvPicPr>
          <a:picLocks noChangeAspect="1"/>
        </xdr:cNvPicPr>
      </xdr:nvPicPr>
      <xdr:blipFill>
        <a:blip xmlns:r="http://schemas.openxmlformats.org/officeDocument/2006/relationships" r:embed="rId10"/>
        <a:stretch>
          <a:fillRect/>
        </a:stretch>
      </xdr:blipFill>
      <xdr:spPr>
        <a:xfrm>
          <a:off x="1219200" y="49911000"/>
          <a:ext cx="9059539" cy="5515745"/>
        </a:xfrm>
        <a:prstGeom prst="rect">
          <a:avLst/>
        </a:prstGeom>
      </xdr:spPr>
    </xdr:pic>
    <xdr:clientData/>
  </xdr:twoCellAnchor>
  <xdr:twoCellAnchor editAs="oneCell">
    <xdr:from>
      <xdr:col>15</xdr:col>
      <xdr:colOff>460561</xdr:colOff>
      <xdr:row>274</xdr:row>
      <xdr:rowOff>129518</xdr:rowOff>
    </xdr:from>
    <xdr:to>
      <xdr:col>29</xdr:col>
      <xdr:colOff>366835</xdr:colOff>
      <xdr:row>297</xdr:row>
      <xdr:rowOff>108400</xdr:rowOff>
    </xdr:to>
    <xdr:pic>
      <xdr:nvPicPr>
        <xdr:cNvPr id="12" name="Picture 11">
          <a:extLst>
            <a:ext uri="{FF2B5EF4-FFF2-40B4-BE49-F238E27FC236}">
              <a16:creationId xmlns:a16="http://schemas.microsoft.com/office/drawing/2014/main" id="{F4BFFF02-96B4-F43F-E10D-185DF691DD50}"/>
            </a:ext>
          </a:extLst>
        </xdr:cNvPr>
        <xdr:cNvPicPr>
          <a:picLocks noChangeAspect="1"/>
        </xdr:cNvPicPr>
      </xdr:nvPicPr>
      <xdr:blipFill>
        <a:blip xmlns:r="http://schemas.openxmlformats.org/officeDocument/2006/relationships" r:embed="rId11"/>
        <a:stretch>
          <a:fillRect/>
        </a:stretch>
      </xdr:blipFill>
      <xdr:spPr>
        <a:xfrm>
          <a:off x="9604561" y="49256106"/>
          <a:ext cx="8059674" cy="4102647"/>
        </a:xfrm>
        <a:prstGeom prst="rect">
          <a:avLst/>
        </a:prstGeom>
      </xdr:spPr>
    </xdr:pic>
    <xdr:clientData/>
  </xdr:twoCellAnchor>
  <xdr:twoCellAnchor editAs="oneCell">
    <xdr:from>
      <xdr:col>1</xdr:col>
      <xdr:colOff>38100</xdr:colOff>
      <xdr:row>262</xdr:row>
      <xdr:rowOff>133350</xdr:rowOff>
    </xdr:from>
    <xdr:to>
      <xdr:col>5</xdr:col>
      <xdr:colOff>6747642</xdr:colOff>
      <xdr:row>309</xdr:row>
      <xdr:rowOff>20284</xdr:rowOff>
    </xdr:to>
    <xdr:pic>
      <xdr:nvPicPr>
        <xdr:cNvPr id="13" name="Picture 12">
          <a:extLst>
            <a:ext uri="{FF2B5EF4-FFF2-40B4-BE49-F238E27FC236}">
              <a16:creationId xmlns:a16="http://schemas.microsoft.com/office/drawing/2014/main" id="{8447042A-148C-6803-73BD-4B839427ED4E}"/>
            </a:ext>
          </a:extLst>
        </xdr:cNvPr>
        <xdr:cNvPicPr>
          <a:picLocks noChangeAspect="1"/>
        </xdr:cNvPicPr>
      </xdr:nvPicPr>
      <xdr:blipFill>
        <a:blip xmlns:r="http://schemas.openxmlformats.org/officeDocument/2006/relationships" r:embed="rId12"/>
        <a:stretch>
          <a:fillRect/>
        </a:stretch>
      </xdr:blipFill>
      <xdr:spPr>
        <a:xfrm>
          <a:off x="647700" y="50044350"/>
          <a:ext cx="9783540" cy="8840434"/>
        </a:xfrm>
        <a:prstGeom prst="rect">
          <a:avLst/>
        </a:prstGeom>
      </xdr:spPr>
    </xdr:pic>
    <xdr:clientData/>
  </xdr:twoCellAnchor>
  <xdr:twoCellAnchor editAs="oneCell">
    <xdr:from>
      <xdr:col>1</xdr:col>
      <xdr:colOff>0</xdr:colOff>
      <xdr:row>313</xdr:row>
      <xdr:rowOff>0</xdr:rowOff>
    </xdr:from>
    <xdr:to>
      <xdr:col>5</xdr:col>
      <xdr:colOff>4594697</xdr:colOff>
      <xdr:row>357</xdr:row>
      <xdr:rowOff>67854</xdr:rowOff>
    </xdr:to>
    <xdr:pic>
      <xdr:nvPicPr>
        <xdr:cNvPr id="14" name="Picture 13">
          <a:extLst>
            <a:ext uri="{FF2B5EF4-FFF2-40B4-BE49-F238E27FC236}">
              <a16:creationId xmlns:a16="http://schemas.microsoft.com/office/drawing/2014/main" id="{CFC1B4C5-80A0-6FB4-3494-E62E72A6F9A1}"/>
            </a:ext>
          </a:extLst>
        </xdr:cNvPr>
        <xdr:cNvPicPr>
          <a:picLocks noChangeAspect="1"/>
        </xdr:cNvPicPr>
      </xdr:nvPicPr>
      <xdr:blipFill>
        <a:blip xmlns:r="http://schemas.openxmlformats.org/officeDocument/2006/relationships" r:embed="rId13"/>
        <a:stretch>
          <a:fillRect/>
        </a:stretch>
      </xdr:blipFill>
      <xdr:spPr>
        <a:xfrm>
          <a:off x="609600" y="59626500"/>
          <a:ext cx="7668695" cy="8449854"/>
        </a:xfrm>
        <a:prstGeom prst="rect">
          <a:avLst/>
        </a:prstGeom>
      </xdr:spPr>
    </xdr:pic>
    <xdr:clientData/>
  </xdr:twoCellAnchor>
  <xdr:twoCellAnchor editAs="oneCell">
    <xdr:from>
      <xdr:col>14</xdr:col>
      <xdr:colOff>38100</xdr:colOff>
      <xdr:row>310</xdr:row>
      <xdr:rowOff>133350</xdr:rowOff>
    </xdr:from>
    <xdr:to>
      <xdr:col>25</xdr:col>
      <xdr:colOff>443172</xdr:colOff>
      <xdr:row>347</xdr:row>
      <xdr:rowOff>2645</xdr:rowOff>
    </xdr:to>
    <xdr:pic>
      <xdr:nvPicPr>
        <xdr:cNvPr id="15" name="Picture 14">
          <a:extLst>
            <a:ext uri="{FF2B5EF4-FFF2-40B4-BE49-F238E27FC236}">
              <a16:creationId xmlns:a16="http://schemas.microsoft.com/office/drawing/2014/main" id="{5842D56A-0E82-33B4-69B7-4827725EE7E8}"/>
            </a:ext>
          </a:extLst>
        </xdr:cNvPr>
        <xdr:cNvPicPr>
          <a:picLocks noChangeAspect="1"/>
        </xdr:cNvPicPr>
      </xdr:nvPicPr>
      <xdr:blipFill>
        <a:blip xmlns:r="http://schemas.openxmlformats.org/officeDocument/2006/relationships" r:embed="rId14"/>
        <a:stretch>
          <a:fillRect/>
        </a:stretch>
      </xdr:blipFill>
      <xdr:spPr>
        <a:xfrm>
          <a:off x="8572500" y="59188350"/>
          <a:ext cx="6735115" cy="6906589"/>
        </a:xfrm>
        <a:prstGeom prst="rect">
          <a:avLst/>
        </a:prstGeom>
      </xdr:spPr>
    </xdr:pic>
    <xdr:clientData/>
  </xdr:twoCellAnchor>
  <xdr:twoCellAnchor editAs="oneCell">
    <xdr:from>
      <xdr:col>13</xdr:col>
      <xdr:colOff>381000</xdr:colOff>
      <xdr:row>344</xdr:row>
      <xdr:rowOff>95250</xdr:rowOff>
    </xdr:from>
    <xdr:to>
      <xdr:col>26</xdr:col>
      <xdr:colOff>60871</xdr:colOff>
      <xdr:row>364</xdr:row>
      <xdr:rowOff>95782</xdr:rowOff>
    </xdr:to>
    <xdr:pic>
      <xdr:nvPicPr>
        <xdr:cNvPr id="16" name="Picture 15">
          <a:extLst>
            <a:ext uri="{FF2B5EF4-FFF2-40B4-BE49-F238E27FC236}">
              <a16:creationId xmlns:a16="http://schemas.microsoft.com/office/drawing/2014/main" id="{7FC7110C-F631-9FA3-D3F9-09A993B45A92}"/>
            </a:ext>
          </a:extLst>
        </xdr:cNvPr>
        <xdr:cNvPicPr>
          <a:picLocks noChangeAspect="1"/>
        </xdr:cNvPicPr>
      </xdr:nvPicPr>
      <xdr:blipFill>
        <a:blip xmlns:r="http://schemas.openxmlformats.org/officeDocument/2006/relationships" r:embed="rId15"/>
        <a:stretch>
          <a:fillRect/>
        </a:stretch>
      </xdr:blipFill>
      <xdr:spPr>
        <a:xfrm>
          <a:off x="8305800" y="65627250"/>
          <a:ext cx="7163800" cy="3810532"/>
        </a:xfrm>
        <a:prstGeom prst="rect">
          <a:avLst/>
        </a:prstGeom>
      </xdr:spPr>
    </xdr:pic>
    <xdr:clientData/>
  </xdr:twoCellAnchor>
  <xdr:twoCellAnchor editAs="oneCell">
    <xdr:from>
      <xdr:col>1</xdr:col>
      <xdr:colOff>582705</xdr:colOff>
      <xdr:row>363</xdr:row>
      <xdr:rowOff>143435</xdr:rowOff>
    </xdr:from>
    <xdr:to>
      <xdr:col>5</xdr:col>
      <xdr:colOff>9740514</xdr:colOff>
      <xdr:row>414</xdr:row>
      <xdr:rowOff>87553</xdr:rowOff>
    </xdr:to>
    <xdr:pic>
      <xdr:nvPicPr>
        <xdr:cNvPr id="17" name="Picture 16">
          <a:extLst>
            <a:ext uri="{FF2B5EF4-FFF2-40B4-BE49-F238E27FC236}">
              <a16:creationId xmlns:a16="http://schemas.microsoft.com/office/drawing/2014/main" id="{C5BB7F33-B2CB-82BF-C759-92DA78D423F9}"/>
            </a:ext>
          </a:extLst>
        </xdr:cNvPr>
        <xdr:cNvPicPr>
          <a:picLocks noChangeAspect="1"/>
        </xdr:cNvPicPr>
      </xdr:nvPicPr>
      <xdr:blipFill>
        <a:blip xmlns:r="http://schemas.openxmlformats.org/officeDocument/2006/relationships" r:embed="rId16"/>
        <a:stretch>
          <a:fillRect/>
        </a:stretch>
      </xdr:blipFill>
      <xdr:spPr>
        <a:xfrm>
          <a:off x="1192305" y="65227200"/>
          <a:ext cx="12231807" cy="9088118"/>
        </a:xfrm>
        <a:prstGeom prst="rect">
          <a:avLst/>
        </a:prstGeom>
      </xdr:spPr>
    </xdr:pic>
    <xdr:clientData/>
  </xdr:twoCellAnchor>
  <xdr:twoCellAnchor editAs="oneCell">
    <xdr:from>
      <xdr:col>3</xdr:col>
      <xdr:colOff>1846729</xdr:colOff>
      <xdr:row>425</xdr:row>
      <xdr:rowOff>143435</xdr:rowOff>
    </xdr:from>
    <xdr:to>
      <xdr:col>5</xdr:col>
      <xdr:colOff>8695269</xdr:colOff>
      <xdr:row>454</xdr:row>
      <xdr:rowOff>153732</xdr:rowOff>
    </xdr:to>
    <xdr:pic>
      <xdr:nvPicPr>
        <xdr:cNvPr id="18" name="Picture 17">
          <a:extLst>
            <a:ext uri="{FF2B5EF4-FFF2-40B4-BE49-F238E27FC236}">
              <a16:creationId xmlns:a16="http://schemas.microsoft.com/office/drawing/2014/main" id="{311C1EFF-CE16-9BE4-4012-F3507F207EBA}"/>
            </a:ext>
          </a:extLst>
        </xdr:cNvPr>
        <xdr:cNvPicPr>
          <a:picLocks noChangeAspect="1"/>
        </xdr:cNvPicPr>
      </xdr:nvPicPr>
      <xdr:blipFill>
        <a:blip xmlns:r="http://schemas.openxmlformats.org/officeDocument/2006/relationships" r:embed="rId17"/>
        <a:stretch>
          <a:fillRect/>
        </a:stretch>
      </xdr:blipFill>
      <xdr:spPr>
        <a:xfrm>
          <a:off x="3675529" y="76343435"/>
          <a:ext cx="9297698" cy="5209826"/>
        </a:xfrm>
        <a:prstGeom prst="rect">
          <a:avLst/>
        </a:prstGeom>
      </xdr:spPr>
    </xdr:pic>
    <xdr:clientData/>
  </xdr:twoCellAnchor>
  <xdr:twoCellAnchor editAs="oneCell">
    <xdr:from>
      <xdr:col>7</xdr:col>
      <xdr:colOff>0</xdr:colOff>
      <xdr:row>457</xdr:row>
      <xdr:rowOff>0</xdr:rowOff>
    </xdr:from>
    <xdr:to>
      <xdr:col>19</xdr:col>
      <xdr:colOff>409482</xdr:colOff>
      <xdr:row>477</xdr:row>
      <xdr:rowOff>38637</xdr:rowOff>
    </xdr:to>
    <xdr:pic>
      <xdr:nvPicPr>
        <xdr:cNvPr id="19" name="Picture 18">
          <a:extLst>
            <a:ext uri="{FF2B5EF4-FFF2-40B4-BE49-F238E27FC236}">
              <a16:creationId xmlns:a16="http://schemas.microsoft.com/office/drawing/2014/main" id="{BC1EA6BF-66B8-9C0E-087E-FC0880131935}"/>
            </a:ext>
          </a:extLst>
        </xdr:cNvPr>
        <xdr:cNvPicPr>
          <a:picLocks noChangeAspect="1"/>
        </xdr:cNvPicPr>
      </xdr:nvPicPr>
      <xdr:blipFill>
        <a:blip xmlns:r="http://schemas.openxmlformats.org/officeDocument/2006/relationships" r:embed="rId18"/>
        <a:stretch>
          <a:fillRect/>
        </a:stretch>
      </xdr:blipFill>
      <xdr:spPr>
        <a:xfrm>
          <a:off x="4267200" y="87058500"/>
          <a:ext cx="10440857" cy="3848637"/>
        </a:xfrm>
        <a:prstGeom prst="rect">
          <a:avLst/>
        </a:prstGeom>
      </xdr:spPr>
    </xdr:pic>
    <xdr:clientData/>
  </xdr:twoCellAnchor>
  <xdr:twoCellAnchor editAs="oneCell">
    <xdr:from>
      <xdr:col>8</xdr:col>
      <xdr:colOff>0</xdr:colOff>
      <xdr:row>483</xdr:row>
      <xdr:rowOff>0</xdr:rowOff>
    </xdr:from>
    <xdr:to>
      <xdr:col>19</xdr:col>
      <xdr:colOff>308539</xdr:colOff>
      <xdr:row>512</xdr:row>
      <xdr:rowOff>57929</xdr:rowOff>
    </xdr:to>
    <xdr:pic>
      <xdr:nvPicPr>
        <xdr:cNvPr id="20" name="Picture 19">
          <a:extLst>
            <a:ext uri="{FF2B5EF4-FFF2-40B4-BE49-F238E27FC236}">
              <a16:creationId xmlns:a16="http://schemas.microsoft.com/office/drawing/2014/main" id="{077623EA-0A0B-31F0-7D19-BA88F7B24D81}"/>
            </a:ext>
          </a:extLst>
        </xdr:cNvPr>
        <xdr:cNvPicPr>
          <a:picLocks noChangeAspect="1"/>
        </xdr:cNvPicPr>
      </xdr:nvPicPr>
      <xdr:blipFill>
        <a:blip xmlns:r="http://schemas.openxmlformats.org/officeDocument/2006/relationships" r:embed="rId19"/>
        <a:stretch>
          <a:fillRect/>
        </a:stretch>
      </xdr:blipFill>
      <xdr:spPr>
        <a:xfrm>
          <a:off x="4876800" y="92011500"/>
          <a:ext cx="9793067" cy="5582429"/>
        </a:xfrm>
        <a:prstGeom prst="rect">
          <a:avLst/>
        </a:prstGeom>
      </xdr:spPr>
    </xdr:pic>
    <xdr:clientData/>
  </xdr:twoCellAnchor>
  <xdr:twoCellAnchor editAs="oneCell">
    <xdr:from>
      <xdr:col>9</xdr:col>
      <xdr:colOff>0</xdr:colOff>
      <xdr:row>515</xdr:row>
      <xdr:rowOff>0</xdr:rowOff>
    </xdr:from>
    <xdr:to>
      <xdr:col>20</xdr:col>
      <xdr:colOff>558055</xdr:colOff>
      <xdr:row>541</xdr:row>
      <xdr:rowOff>48323</xdr:rowOff>
    </xdr:to>
    <xdr:pic>
      <xdr:nvPicPr>
        <xdr:cNvPr id="21" name="Picture 20">
          <a:extLst>
            <a:ext uri="{FF2B5EF4-FFF2-40B4-BE49-F238E27FC236}">
              <a16:creationId xmlns:a16="http://schemas.microsoft.com/office/drawing/2014/main" id="{3206AF55-1B12-7D1A-1540-E145FBF62C50}"/>
            </a:ext>
          </a:extLst>
        </xdr:cNvPr>
        <xdr:cNvPicPr>
          <a:picLocks noChangeAspect="1"/>
        </xdr:cNvPicPr>
      </xdr:nvPicPr>
      <xdr:blipFill>
        <a:blip xmlns:r="http://schemas.openxmlformats.org/officeDocument/2006/relationships" r:embed="rId20"/>
        <a:stretch>
          <a:fillRect/>
        </a:stretch>
      </xdr:blipFill>
      <xdr:spPr>
        <a:xfrm>
          <a:off x="5486400" y="98107500"/>
          <a:ext cx="10021699" cy="5001323"/>
        </a:xfrm>
        <a:prstGeom prst="rect">
          <a:avLst/>
        </a:prstGeom>
      </xdr:spPr>
    </xdr:pic>
    <xdr:clientData/>
  </xdr:twoCellAnchor>
  <xdr:twoCellAnchor editAs="oneCell">
    <xdr:from>
      <xdr:col>9</xdr:col>
      <xdr:colOff>0</xdr:colOff>
      <xdr:row>560</xdr:row>
      <xdr:rowOff>0</xdr:rowOff>
    </xdr:from>
    <xdr:to>
      <xdr:col>19</xdr:col>
      <xdr:colOff>85987</xdr:colOff>
      <xdr:row>599</xdr:row>
      <xdr:rowOff>142751</xdr:rowOff>
    </xdr:to>
    <xdr:pic>
      <xdr:nvPicPr>
        <xdr:cNvPr id="22" name="Picture 21">
          <a:extLst>
            <a:ext uri="{FF2B5EF4-FFF2-40B4-BE49-F238E27FC236}">
              <a16:creationId xmlns:a16="http://schemas.microsoft.com/office/drawing/2014/main" id="{9746F21D-15FE-87B8-3902-10255CEB67EB}"/>
            </a:ext>
          </a:extLst>
        </xdr:cNvPr>
        <xdr:cNvPicPr>
          <a:picLocks noChangeAspect="1"/>
        </xdr:cNvPicPr>
      </xdr:nvPicPr>
      <xdr:blipFill>
        <a:blip xmlns:r="http://schemas.openxmlformats.org/officeDocument/2006/relationships" r:embed="rId21"/>
        <a:stretch>
          <a:fillRect/>
        </a:stretch>
      </xdr:blipFill>
      <xdr:spPr>
        <a:xfrm>
          <a:off x="7539318" y="100404706"/>
          <a:ext cx="8964276" cy="7135221"/>
        </a:xfrm>
        <a:prstGeom prst="rect">
          <a:avLst/>
        </a:prstGeom>
      </xdr:spPr>
    </xdr:pic>
    <xdr:clientData/>
  </xdr:twoCellAnchor>
  <xdr:twoCellAnchor editAs="oneCell">
    <xdr:from>
      <xdr:col>6</xdr:col>
      <xdr:colOff>118892</xdr:colOff>
      <xdr:row>626</xdr:row>
      <xdr:rowOff>76200</xdr:rowOff>
    </xdr:from>
    <xdr:to>
      <xdr:col>16</xdr:col>
      <xdr:colOff>19145</xdr:colOff>
      <xdr:row>633</xdr:row>
      <xdr:rowOff>148870</xdr:rowOff>
    </xdr:to>
    <xdr:pic>
      <xdr:nvPicPr>
        <xdr:cNvPr id="23" name="Picture 22">
          <a:extLst>
            <a:ext uri="{FF2B5EF4-FFF2-40B4-BE49-F238E27FC236}">
              <a16:creationId xmlns:a16="http://schemas.microsoft.com/office/drawing/2014/main" id="{EA9A5E21-E649-51D4-0A6D-60F0B42B1D36}"/>
            </a:ext>
          </a:extLst>
        </xdr:cNvPr>
        <xdr:cNvPicPr>
          <a:picLocks noChangeAspect="1"/>
        </xdr:cNvPicPr>
      </xdr:nvPicPr>
      <xdr:blipFill>
        <a:blip xmlns:r="http://schemas.openxmlformats.org/officeDocument/2006/relationships" r:embed="rId22"/>
        <a:stretch>
          <a:fillRect/>
        </a:stretch>
      </xdr:blipFill>
      <xdr:spPr>
        <a:xfrm>
          <a:off x="14330192" y="120738900"/>
          <a:ext cx="8761719" cy="2492020"/>
        </a:xfrm>
        <a:prstGeom prst="rect">
          <a:avLst/>
        </a:prstGeom>
      </xdr:spPr>
    </xdr:pic>
    <xdr:clientData/>
  </xdr:twoCellAnchor>
  <xdr:twoCellAnchor editAs="oneCell">
    <xdr:from>
      <xdr:col>18</xdr:col>
      <xdr:colOff>188258</xdr:colOff>
      <xdr:row>765</xdr:row>
      <xdr:rowOff>35860</xdr:rowOff>
    </xdr:from>
    <xdr:to>
      <xdr:col>35</xdr:col>
      <xdr:colOff>17972</xdr:colOff>
      <xdr:row>793</xdr:row>
      <xdr:rowOff>15391</xdr:rowOff>
    </xdr:to>
    <xdr:pic>
      <xdr:nvPicPr>
        <xdr:cNvPr id="28" name="Picture 27">
          <a:extLst>
            <a:ext uri="{FF2B5EF4-FFF2-40B4-BE49-F238E27FC236}">
              <a16:creationId xmlns:a16="http://schemas.microsoft.com/office/drawing/2014/main" id="{8E727178-9816-2029-B5FD-255B40DA3B89}"/>
            </a:ext>
          </a:extLst>
        </xdr:cNvPr>
        <xdr:cNvPicPr>
          <a:picLocks noChangeAspect="1"/>
        </xdr:cNvPicPr>
      </xdr:nvPicPr>
      <xdr:blipFill>
        <a:blip xmlns:r="http://schemas.openxmlformats.org/officeDocument/2006/relationships" r:embed="rId23"/>
        <a:stretch>
          <a:fillRect/>
        </a:stretch>
      </xdr:blipFill>
      <xdr:spPr>
        <a:xfrm>
          <a:off x="24392964" y="148186589"/>
          <a:ext cx="9977761" cy="4999767"/>
        </a:xfrm>
        <a:prstGeom prst="rect">
          <a:avLst/>
        </a:prstGeom>
      </xdr:spPr>
    </xdr:pic>
    <xdr:clientData/>
  </xdr:twoCellAnchor>
  <xdr:twoCellAnchor editAs="oneCell">
    <xdr:from>
      <xdr:col>5</xdr:col>
      <xdr:colOff>8314764</xdr:colOff>
      <xdr:row>14</xdr:row>
      <xdr:rowOff>34572</xdr:rowOff>
    </xdr:from>
    <xdr:to>
      <xdr:col>8</xdr:col>
      <xdr:colOff>414192</xdr:colOff>
      <xdr:row>31</xdr:row>
      <xdr:rowOff>89598</xdr:rowOff>
    </xdr:to>
    <xdr:pic>
      <xdr:nvPicPr>
        <xdr:cNvPr id="24" name="Picture 23">
          <a:extLst>
            <a:ext uri="{FF2B5EF4-FFF2-40B4-BE49-F238E27FC236}">
              <a16:creationId xmlns:a16="http://schemas.microsoft.com/office/drawing/2014/main" id="{3B2184BC-623C-48A9-95D0-FF08ADE8AEA4}"/>
            </a:ext>
          </a:extLst>
        </xdr:cNvPr>
        <xdr:cNvPicPr>
          <a:picLocks noChangeAspect="1"/>
        </xdr:cNvPicPr>
      </xdr:nvPicPr>
      <xdr:blipFill>
        <a:blip xmlns:r="http://schemas.openxmlformats.org/officeDocument/2006/relationships" r:embed="rId24"/>
        <a:stretch>
          <a:fillRect/>
        </a:stretch>
      </xdr:blipFill>
      <xdr:spPr>
        <a:xfrm>
          <a:off x="11990293" y="2544690"/>
          <a:ext cx="3708723" cy="3103026"/>
        </a:xfrm>
        <a:prstGeom prst="rect">
          <a:avLst/>
        </a:prstGeom>
      </xdr:spPr>
    </xdr:pic>
    <xdr:clientData/>
  </xdr:twoCellAnchor>
  <xdr:twoCellAnchor editAs="oneCell">
    <xdr:from>
      <xdr:col>11</xdr:col>
      <xdr:colOff>1451655</xdr:colOff>
      <xdr:row>0</xdr:row>
      <xdr:rowOff>0</xdr:rowOff>
    </xdr:from>
    <xdr:to>
      <xdr:col>15</xdr:col>
      <xdr:colOff>323306</xdr:colOff>
      <xdr:row>13</xdr:row>
      <xdr:rowOff>27251</xdr:rowOff>
    </xdr:to>
    <xdr:pic>
      <xdr:nvPicPr>
        <xdr:cNvPr id="25" name="Picture 24">
          <a:extLst>
            <a:ext uri="{FF2B5EF4-FFF2-40B4-BE49-F238E27FC236}">
              <a16:creationId xmlns:a16="http://schemas.microsoft.com/office/drawing/2014/main" id="{AE18A290-432A-43E3-911A-330F65ACA615}"/>
            </a:ext>
          </a:extLst>
        </xdr:cNvPr>
        <xdr:cNvPicPr>
          <a:picLocks noChangeAspect="1"/>
        </xdr:cNvPicPr>
      </xdr:nvPicPr>
      <xdr:blipFill>
        <a:blip xmlns:r="http://schemas.openxmlformats.org/officeDocument/2006/relationships" r:embed="rId25"/>
        <a:stretch>
          <a:fillRect/>
        </a:stretch>
      </xdr:blipFill>
      <xdr:spPr>
        <a:xfrm>
          <a:off x="19537949" y="0"/>
          <a:ext cx="3264357" cy="2358075"/>
        </a:xfrm>
        <a:prstGeom prst="rect">
          <a:avLst/>
        </a:prstGeom>
      </xdr:spPr>
    </xdr:pic>
    <xdr:clientData/>
  </xdr:twoCellAnchor>
  <xdr:twoCellAnchor editAs="oneCell">
    <xdr:from>
      <xdr:col>11</xdr:col>
      <xdr:colOff>1105357</xdr:colOff>
      <xdr:row>16</xdr:row>
      <xdr:rowOff>132990</xdr:rowOff>
    </xdr:from>
    <xdr:to>
      <xdr:col>22</xdr:col>
      <xdr:colOff>461181</xdr:colOff>
      <xdr:row>24</xdr:row>
      <xdr:rowOff>141695</xdr:rowOff>
    </xdr:to>
    <xdr:pic>
      <xdr:nvPicPr>
        <xdr:cNvPr id="26" name="Picture 25">
          <a:extLst>
            <a:ext uri="{FF2B5EF4-FFF2-40B4-BE49-F238E27FC236}">
              <a16:creationId xmlns:a16="http://schemas.microsoft.com/office/drawing/2014/main" id="{5FCFA589-A9C1-410A-9903-656C5FD58346}"/>
            </a:ext>
          </a:extLst>
        </xdr:cNvPr>
        <xdr:cNvPicPr>
          <a:picLocks noChangeAspect="1"/>
        </xdr:cNvPicPr>
      </xdr:nvPicPr>
      <xdr:blipFill>
        <a:blip xmlns:r="http://schemas.openxmlformats.org/officeDocument/2006/relationships" r:embed="rId26"/>
        <a:stretch>
          <a:fillRect/>
        </a:stretch>
      </xdr:blipFill>
      <xdr:spPr>
        <a:xfrm>
          <a:off x="19191651" y="3001696"/>
          <a:ext cx="7827471" cy="1443058"/>
        </a:xfrm>
        <a:prstGeom prst="rect">
          <a:avLst/>
        </a:prstGeom>
      </xdr:spPr>
    </xdr:pic>
    <xdr:clientData/>
  </xdr:twoCellAnchor>
  <xdr:twoCellAnchor editAs="oneCell">
    <xdr:from>
      <xdr:col>11</xdr:col>
      <xdr:colOff>903381</xdr:colOff>
      <xdr:row>25</xdr:row>
      <xdr:rowOff>73368</xdr:rowOff>
    </xdr:from>
    <xdr:to>
      <xdr:col>23</xdr:col>
      <xdr:colOff>156488</xdr:colOff>
      <xdr:row>32</xdr:row>
      <xdr:rowOff>13518</xdr:rowOff>
    </xdr:to>
    <xdr:pic>
      <xdr:nvPicPr>
        <xdr:cNvPr id="27" name="Picture 26">
          <a:extLst>
            <a:ext uri="{FF2B5EF4-FFF2-40B4-BE49-F238E27FC236}">
              <a16:creationId xmlns:a16="http://schemas.microsoft.com/office/drawing/2014/main" id="{1CAEB566-9C06-4564-8E94-278E423EC81A}"/>
            </a:ext>
          </a:extLst>
        </xdr:cNvPr>
        <xdr:cNvPicPr>
          <a:picLocks noChangeAspect="1"/>
        </xdr:cNvPicPr>
      </xdr:nvPicPr>
      <xdr:blipFill>
        <a:blip xmlns:r="http://schemas.openxmlformats.org/officeDocument/2006/relationships" r:embed="rId27"/>
        <a:stretch>
          <a:fillRect/>
        </a:stretch>
      </xdr:blipFill>
      <xdr:spPr>
        <a:xfrm>
          <a:off x="18989675" y="4555721"/>
          <a:ext cx="8307460" cy="1195209"/>
        </a:xfrm>
        <a:prstGeom prst="rect">
          <a:avLst/>
        </a:prstGeom>
      </xdr:spPr>
    </xdr:pic>
    <xdr:clientData/>
  </xdr:twoCellAnchor>
  <xdr:twoCellAnchor editAs="oneCell">
    <xdr:from>
      <xdr:col>5</xdr:col>
      <xdr:colOff>8681992</xdr:colOff>
      <xdr:row>33</xdr:row>
      <xdr:rowOff>10047</xdr:rowOff>
    </xdr:from>
    <xdr:to>
      <xdr:col>8</xdr:col>
      <xdr:colOff>272853</xdr:colOff>
      <xdr:row>53</xdr:row>
      <xdr:rowOff>101291</xdr:rowOff>
    </xdr:to>
    <xdr:pic>
      <xdr:nvPicPr>
        <xdr:cNvPr id="29" name="Picture 28">
          <a:extLst>
            <a:ext uri="{FF2B5EF4-FFF2-40B4-BE49-F238E27FC236}">
              <a16:creationId xmlns:a16="http://schemas.microsoft.com/office/drawing/2014/main" id="{7BB6AFD0-9DDE-4747-A940-C213D56D3219}"/>
            </a:ext>
          </a:extLst>
        </xdr:cNvPr>
        <xdr:cNvPicPr>
          <a:picLocks noChangeAspect="1"/>
        </xdr:cNvPicPr>
      </xdr:nvPicPr>
      <xdr:blipFill>
        <a:blip xmlns:r="http://schemas.openxmlformats.org/officeDocument/2006/relationships" r:embed="rId28"/>
        <a:stretch>
          <a:fillRect/>
        </a:stretch>
      </xdr:blipFill>
      <xdr:spPr>
        <a:xfrm>
          <a:off x="12357521" y="5926753"/>
          <a:ext cx="3200156" cy="3677126"/>
        </a:xfrm>
        <a:prstGeom prst="rect">
          <a:avLst/>
        </a:prstGeom>
      </xdr:spPr>
    </xdr:pic>
    <xdr:clientData/>
  </xdr:twoCellAnchor>
  <xdr:twoCellAnchor editAs="oneCell">
    <xdr:from>
      <xdr:col>9</xdr:col>
      <xdr:colOff>631600</xdr:colOff>
      <xdr:row>36</xdr:row>
      <xdr:rowOff>110379</xdr:rowOff>
    </xdr:from>
    <xdr:to>
      <xdr:col>11</xdr:col>
      <xdr:colOff>2102506</xdr:colOff>
      <xdr:row>51</xdr:row>
      <xdr:rowOff>144970</xdr:rowOff>
    </xdr:to>
    <xdr:pic>
      <xdr:nvPicPr>
        <xdr:cNvPr id="30" name="Picture 29">
          <a:extLst>
            <a:ext uri="{FF2B5EF4-FFF2-40B4-BE49-F238E27FC236}">
              <a16:creationId xmlns:a16="http://schemas.microsoft.com/office/drawing/2014/main" id="{A6091F8E-4F3A-4884-B8F9-70313DE4D699}"/>
            </a:ext>
          </a:extLst>
        </xdr:cNvPr>
        <xdr:cNvPicPr>
          <a:picLocks noChangeAspect="1"/>
        </xdr:cNvPicPr>
      </xdr:nvPicPr>
      <xdr:blipFill>
        <a:blip xmlns:r="http://schemas.openxmlformats.org/officeDocument/2006/relationships" r:embed="rId29"/>
        <a:stretch>
          <a:fillRect/>
        </a:stretch>
      </xdr:blipFill>
      <xdr:spPr>
        <a:xfrm>
          <a:off x="16499129" y="6564967"/>
          <a:ext cx="3689671" cy="2724003"/>
        </a:xfrm>
        <a:prstGeom prst="rect">
          <a:avLst/>
        </a:prstGeom>
      </xdr:spPr>
    </xdr:pic>
    <xdr:clientData/>
  </xdr:twoCellAnchor>
  <xdr:twoCellAnchor editAs="oneCell">
    <xdr:from>
      <xdr:col>10</xdr:col>
      <xdr:colOff>252829</xdr:colOff>
      <xdr:row>73</xdr:row>
      <xdr:rowOff>648</xdr:rowOff>
    </xdr:from>
    <xdr:to>
      <xdr:col>13</xdr:col>
      <xdr:colOff>205114</xdr:colOff>
      <xdr:row>89</xdr:row>
      <xdr:rowOff>101602</xdr:rowOff>
    </xdr:to>
    <xdr:pic>
      <xdr:nvPicPr>
        <xdr:cNvPr id="31" name="Picture 30">
          <a:extLst>
            <a:ext uri="{FF2B5EF4-FFF2-40B4-BE49-F238E27FC236}">
              <a16:creationId xmlns:a16="http://schemas.microsoft.com/office/drawing/2014/main" id="{435AD6B3-A639-419C-926F-CE5D595B3E68}"/>
            </a:ext>
          </a:extLst>
        </xdr:cNvPr>
        <xdr:cNvPicPr>
          <a:picLocks noChangeAspect="1"/>
        </xdr:cNvPicPr>
      </xdr:nvPicPr>
      <xdr:blipFill>
        <a:blip xmlns:r="http://schemas.openxmlformats.org/officeDocument/2006/relationships" r:embed="rId30"/>
        <a:stretch>
          <a:fillRect/>
        </a:stretch>
      </xdr:blipFill>
      <xdr:spPr>
        <a:xfrm>
          <a:off x="17644358" y="13089119"/>
          <a:ext cx="3874344" cy="2969659"/>
        </a:xfrm>
        <a:prstGeom prst="rect">
          <a:avLst/>
        </a:prstGeom>
      </xdr:spPr>
    </xdr:pic>
    <xdr:clientData/>
  </xdr:twoCellAnchor>
  <xdr:twoCellAnchor editAs="oneCell">
    <xdr:from>
      <xdr:col>9</xdr:col>
      <xdr:colOff>291354</xdr:colOff>
      <xdr:row>9</xdr:row>
      <xdr:rowOff>46957</xdr:rowOff>
    </xdr:from>
    <xdr:to>
      <xdr:col>11</xdr:col>
      <xdr:colOff>676679</xdr:colOff>
      <xdr:row>31</xdr:row>
      <xdr:rowOff>139230</xdr:rowOff>
    </xdr:to>
    <xdr:pic>
      <xdr:nvPicPr>
        <xdr:cNvPr id="32" name="Picture 31">
          <a:extLst>
            <a:ext uri="{FF2B5EF4-FFF2-40B4-BE49-F238E27FC236}">
              <a16:creationId xmlns:a16="http://schemas.microsoft.com/office/drawing/2014/main" id="{B60B6E7B-6DA2-47BE-BE44-1C1C38D44621}"/>
            </a:ext>
          </a:extLst>
        </xdr:cNvPr>
        <xdr:cNvPicPr>
          <a:picLocks noChangeAspect="1"/>
        </xdr:cNvPicPr>
      </xdr:nvPicPr>
      <xdr:blipFill>
        <a:blip xmlns:r="http://schemas.openxmlformats.org/officeDocument/2006/relationships" r:embed="rId31"/>
        <a:stretch>
          <a:fillRect/>
        </a:stretch>
      </xdr:blipFill>
      <xdr:spPr>
        <a:xfrm>
          <a:off x="16158883" y="1660604"/>
          <a:ext cx="2604090" cy="4036744"/>
        </a:xfrm>
        <a:prstGeom prst="rect">
          <a:avLst/>
        </a:prstGeom>
      </xdr:spPr>
    </xdr:pic>
    <xdr:clientData/>
  </xdr:twoCellAnchor>
  <xdr:twoCellAnchor editAs="oneCell">
    <xdr:from>
      <xdr:col>21</xdr:col>
      <xdr:colOff>403536</xdr:colOff>
      <xdr:row>37</xdr:row>
      <xdr:rowOff>37141</xdr:rowOff>
    </xdr:from>
    <xdr:to>
      <xdr:col>27</xdr:col>
      <xdr:colOff>321385</xdr:colOff>
      <xdr:row>56</xdr:row>
      <xdr:rowOff>31921</xdr:rowOff>
    </xdr:to>
    <xdr:pic>
      <xdr:nvPicPr>
        <xdr:cNvPr id="33" name="Picture 32">
          <a:extLst>
            <a:ext uri="{FF2B5EF4-FFF2-40B4-BE49-F238E27FC236}">
              <a16:creationId xmlns:a16="http://schemas.microsoft.com/office/drawing/2014/main" id="{7C7DA766-D7AA-48F5-A55B-ABF31B24DE75}"/>
            </a:ext>
          </a:extLst>
        </xdr:cNvPr>
        <xdr:cNvPicPr>
          <a:picLocks noChangeAspect="1"/>
        </xdr:cNvPicPr>
      </xdr:nvPicPr>
      <xdr:blipFill>
        <a:blip xmlns:r="http://schemas.openxmlformats.org/officeDocument/2006/relationships" r:embed="rId32"/>
        <a:stretch>
          <a:fillRect/>
        </a:stretch>
      </xdr:blipFill>
      <xdr:spPr>
        <a:xfrm>
          <a:off x="26378771" y="6671023"/>
          <a:ext cx="3436496" cy="3401369"/>
        </a:xfrm>
        <a:prstGeom prst="rect">
          <a:avLst/>
        </a:prstGeom>
      </xdr:spPr>
    </xdr:pic>
    <xdr:clientData/>
  </xdr:twoCellAnchor>
  <xdr:twoCellAnchor editAs="oneCell">
    <xdr:from>
      <xdr:col>27</xdr:col>
      <xdr:colOff>229370</xdr:colOff>
      <xdr:row>36</xdr:row>
      <xdr:rowOff>28429</xdr:rowOff>
    </xdr:from>
    <xdr:to>
      <xdr:col>37</xdr:col>
      <xdr:colOff>589879</xdr:colOff>
      <xdr:row>55</xdr:row>
      <xdr:rowOff>45103</xdr:rowOff>
    </xdr:to>
    <xdr:pic>
      <xdr:nvPicPr>
        <xdr:cNvPr id="34" name="Picture 33">
          <a:extLst>
            <a:ext uri="{FF2B5EF4-FFF2-40B4-BE49-F238E27FC236}">
              <a16:creationId xmlns:a16="http://schemas.microsoft.com/office/drawing/2014/main" id="{E32E9B01-561C-4DBA-B7F7-B2972115421A}"/>
            </a:ext>
          </a:extLst>
        </xdr:cNvPr>
        <xdr:cNvPicPr>
          <a:picLocks noChangeAspect="1"/>
        </xdr:cNvPicPr>
      </xdr:nvPicPr>
      <xdr:blipFill>
        <a:blip xmlns:r="http://schemas.openxmlformats.org/officeDocument/2006/relationships" r:embed="rId33"/>
        <a:stretch>
          <a:fillRect/>
        </a:stretch>
      </xdr:blipFill>
      <xdr:spPr>
        <a:xfrm>
          <a:off x="29723252" y="6483017"/>
          <a:ext cx="6411686" cy="3423262"/>
        </a:xfrm>
        <a:prstGeom prst="rect">
          <a:avLst/>
        </a:prstGeom>
      </xdr:spPr>
    </xdr:pic>
    <xdr:clientData/>
  </xdr:twoCellAnchor>
  <xdr:twoCellAnchor editAs="oneCell">
    <xdr:from>
      <xdr:col>37</xdr:col>
      <xdr:colOff>724109</xdr:colOff>
      <xdr:row>35</xdr:row>
      <xdr:rowOff>61644</xdr:rowOff>
    </xdr:from>
    <xdr:to>
      <xdr:col>42</xdr:col>
      <xdr:colOff>36194</xdr:colOff>
      <xdr:row>61</xdr:row>
      <xdr:rowOff>155713</xdr:rowOff>
    </xdr:to>
    <xdr:pic>
      <xdr:nvPicPr>
        <xdr:cNvPr id="35" name="Picture 34">
          <a:extLst>
            <a:ext uri="{FF2B5EF4-FFF2-40B4-BE49-F238E27FC236}">
              <a16:creationId xmlns:a16="http://schemas.microsoft.com/office/drawing/2014/main" id="{F21FA77A-D877-40E1-9C95-6F7DCD79481B}"/>
            </a:ext>
          </a:extLst>
        </xdr:cNvPr>
        <xdr:cNvPicPr>
          <a:picLocks noChangeAspect="1"/>
        </xdr:cNvPicPr>
      </xdr:nvPicPr>
      <xdr:blipFill>
        <a:blip xmlns:r="http://schemas.openxmlformats.org/officeDocument/2006/relationships" r:embed="rId34"/>
        <a:stretch>
          <a:fillRect/>
        </a:stretch>
      </xdr:blipFill>
      <xdr:spPr>
        <a:xfrm>
          <a:off x="36269168" y="6336938"/>
          <a:ext cx="7156202" cy="475571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238125</xdr:colOff>
      <xdr:row>17</xdr:row>
      <xdr:rowOff>66675</xdr:rowOff>
    </xdr:to>
    <xdr:pic>
      <xdr:nvPicPr>
        <xdr:cNvPr id="2" name="Picture 1">
          <a:extLst>
            <a:ext uri="{FF2B5EF4-FFF2-40B4-BE49-F238E27FC236}">
              <a16:creationId xmlns:a16="http://schemas.microsoft.com/office/drawing/2014/main" id="{9A7B2923-2E6C-0DCF-EDC1-BCEF509AF5B5}"/>
            </a:ext>
          </a:extLst>
        </xdr:cNvPr>
        <xdr:cNvPicPr>
          <a:picLocks noChangeAspect="1"/>
        </xdr:cNvPicPr>
      </xdr:nvPicPr>
      <xdr:blipFill>
        <a:blip xmlns:r="http://schemas.openxmlformats.org/officeDocument/2006/relationships" r:embed="rId1"/>
        <a:stretch>
          <a:fillRect/>
        </a:stretch>
      </xdr:blipFill>
      <xdr:spPr>
        <a:xfrm>
          <a:off x="0" y="0"/>
          <a:ext cx="11220450" cy="33051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0</xdr:colOff>
      <xdr:row>24</xdr:row>
      <xdr:rowOff>142875</xdr:rowOff>
    </xdr:to>
    <xdr:pic>
      <xdr:nvPicPr>
        <xdr:cNvPr id="2" name="Picture 1">
          <a:extLst>
            <a:ext uri="{FF2B5EF4-FFF2-40B4-BE49-F238E27FC236}">
              <a16:creationId xmlns:a16="http://schemas.microsoft.com/office/drawing/2014/main" id="{DF0E39DA-AFAD-4DFE-8A5D-CAB5B14065CE}"/>
            </a:ext>
            <a:ext uri="{147F2762-F138-4A5C-976F-8EAC2B608ADB}">
              <a16:predDERef xmlns:a16="http://schemas.microsoft.com/office/drawing/2014/main" pred="{9A7B2923-2E6C-0DCF-EDC1-BCEF509AF5B5}"/>
            </a:ext>
          </a:extLst>
        </xdr:cNvPr>
        <xdr:cNvPicPr>
          <a:picLocks noChangeAspect="1"/>
        </xdr:cNvPicPr>
      </xdr:nvPicPr>
      <xdr:blipFill>
        <a:blip xmlns:r="http://schemas.openxmlformats.org/officeDocument/2006/relationships" r:embed="rId1"/>
        <a:stretch>
          <a:fillRect/>
        </a:stretch>
      </xdr:blipFill>
      <xdr:spPr>
        <a:xfrm>
          <a:off x="0" y="0"/>
          <a:ext cx="6705600" cy="47148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Khuong/c/Congviec/Tam.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https://koreainvestmentcomvn.sharepoint.com/Users/MR/AppData/Local/Microsoft/Windows/Temporary%20Internet%20Files/Content.Outlook/1QTAWVV3/Pc22/du%20toan/vui/San%20pham/Phu%20Tan_AG/Duong%20Day/LUUTAM/VBAO/BookJHFGJGXBGCCNCVCCVVCVCC2.xls?75B0A833" TargetMode="External"/><Relationship Id="rId1" Type="http://schemas.openxmlformats.org/officeDocument/2006/relationships/externalLinkPath" Target="file:///\\75B0A833\BookJHFGJGXBGCCNCVCCVVCVCC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koreainvestmentcomvn.sharepoint.com/Documents%20and%20Settings/tuvt/Desktop/USERS/q_anh/TTOAN/THTOAN/T.ANH/TONNL/2002/ANLCTY01-0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XSG\NGOC%20THANH\NKC\2000\Ln-01\Tc-01\6-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2.5nam\Thanh%20Toan\DOCUMENT\DAUTHAU\Dungquat\GOI3\DUNGQUAT-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Nghiem/dt2000local/MSOFFICE/EXCEL/DT107TD.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exchange/2004/HUONG/LUONG/TONGHOP2004/LUONG2004/VPX2004.xls"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hayle\Downloads\DGW-Model-Oct-2022%20(5).xlsx" TargetMode="External"/><Relationship Id="rId1" Type="http://schemas.openxmlformats.org/officeDocument/2006/relationships/externalLinkPath" Target="/Users/hayle/Downloads/DGW-Model-Oct-2022%20(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Server/Thanh%20Phuong/2003/LEN-THUONG.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koreainvestmentcomvn.sharepoint.com/I/Hong%20Thu/Mid%20term/Cong%20ty/Anh%20Quang/Nam%202004/AQ%202004%20-%20Nhat%20ky%20chung%20-%20So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exchange/Working/HSC/NGOC%20PHUONG/NGOCPHUONG/WORKING/TON%20KHO%20TP%20NAM%202009/TON%20KHO%20TP%20NAM%202009/BAOCAO%20THUE/BCTHUE-T07200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koreainvestmentcomvn.sharepoint.com/I/Hong%20Thu/Mid%20term/DATA/Du%20lieu/DGTT%20QUY%20I-08/BC%20KQKD%20CTY%20TN%20-%20Ph.KD.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koreainvestmentcomvn.sharepoint.com/I/Hong%20Thu/Mid%20term/Ho%20Bao%20Luan/Kiem%20soat%20ngan%20sach/TN%20lap%20chi%20phi%20ke%20hoac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exchange/Users/William/AppData/Local/Microsoft/Windows/Temporary%20Internet%20Files/Content.Outlook/A8FLWA7O/NGUYEN%20VAN%20TAM/From%20Anh%20The/KHNS%202009/Sale%20Window/bangtonghopkehoach%20chiph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koreainvestmentcomvn.sharepoint.com/Du%20toan%202009/TN%20lap%20chi%20phi%20ke%20hoach.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FormulaBuilder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May01/c/THAIBAO/THU%20VIEN%20TN/d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USER-100/D/THOA/FORMOS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Van\0tonghop1\10Nam\10nam\xaydungcntt98\dung\&#167;&#222;a%20ph&#173;&#172;ng%2095-96%20(V&#232;n,%20TSC&#167;)%20hai%20gi&#18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koreainvestmentcomvn.sharepoint.com/I/Hong%20Thu/Mid%20term/My%20Documents/HO%20SO%202004/CHUNG%20TU%20THUE%202004/NKC2004-AB.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Pc-kt/d/THANHNGOC-2006/TP_SOI2006/THANG08-2005.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koreainvestmentcomvn.sharepoint.com/Users/MR/AppData/Local/Microsoft/Windows/Temporary%20Internet%20Files/Content.Outlook/1QTAWVV3/Server/tckt/TRINH2006/T012007/NKC.T112005/NVL-T080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Documents%20and%20Settings\tqvuong\Local%20Settings\Temporary%20Internet%20Files\Content.IE5\O5IZ0TU7\Hieu\Data\Nien%20giam\Hoan\Nien%20giam%2095-2002\NN95-20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koreainvestmentcomvn.sharepoint.com/I/Hong%20Thu/Mid%20term/HANGKTT/BCTC/BCTC2008/NHAT%20KY%20SC.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W:\WINDOWS\TEMP\IBASE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W:\2.5nam\Thanh%20Toan\CS3408\Standard\RP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Minh.T.T\NXLam\NXL-2001\Ha%20Noi%20Plaza\Tham%20dinh%20lai\Tai%20lieu%20A%20cap\TD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Minh.T.T\NXLam\Nxl-2000\Chu%20Hoang\Hanoi%20Group\My%20Documents\Phan%20Huy\DGIAGOC\1999\HANOI.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W:\03%20Nien%20giam%20day%20du\2013\Vu%20Tong%20hop\Gui%20NXB\Nam\10Nam\xaydungcntt98\dung\&#167;&#222;a%20ph&#173;&#172;ng%2095-96%20(V&#232;n,%20TSC&#167;)%20hai%20gi&#18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B.%20Sales" TargetMode="External"/></Relationships>
</file>

<file path=xl/externalLinks/_rels/externalLink33.xml.rels><?xml version="1.0" encoding="UTF-8" standalone="yes"?>
<Relationships xmlns="http://schemas.openxmlformats.org/package/2006/relationships"><Relationship Id="rId2" Type="http://schemas.openxmlformats.org/officeDocument/2006/relationships/externalLinkPath" Target="https://ftueduvn.sharepoint.com/sites/FTU2CFARC2023-2024/Shared%20Documents/General/4.%20Personal%20Work%20Space/1.%20Gia%20Huy/0.%20Estimate%20Vietnam%20PPE%20Market%20size.xlsx" TargetMode="External"/><Relationship Id="rId1" Type="http://schemas.openxmlformats.org/officeDocument/2006/relationships/externalLinkPath" Target="/sites/FTU2CFARC2023-2024/Shared%20Documents/General/4.%20Personal%20Work%20Space/1.%20Gia%20Huy/0.%20Estimate%20Vietnam%20PPE%20Market%20siz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Sheet1"/>
      <sheetName val="CV den trong tong"/>
      <sheetName val="Sheet2"/>
      <sheetName val="00000000"/>
      <sheetName val="xdcb 01-2003"/>
      <sheetName val="So Do"/>
      <sheetName val="KTTSCD - DLNA"/>
      <sheetName val="quÝ1"/>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Sheet3"/>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TH Ky Anh"/>
      <sheetName val="Sheet2 (2)"/>
      <sheetName val="CV den trong to聮g"/>
      <sheetName val="Bia"/>
      <sheetName val="Tm"/>
      <sheetName val="THKP"/>
      <sheetName val="DGi"/>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t1"/>
      <sheetName val="T11"/>
      <sheetName val="PNT_QUOT__3"/>
      <sheetName val="COAT_WRAP_QIOT__3"/>
      <sheetName val="kl m m d"/>
      <sheetName val="kl vt tho"/>
      <sheetName val="kl dat"/>
      <sheetName val="Sheet4"/>
      <sheetName val="xin kinh phi"/>
      <sheetName val="lan trai"/>
      <sheetName val="thuoc no"/>
      <sheetName val="so thuc pham"/>
      <sheetName val="fOOD"/>
      <sheetName val="FORM hc"/>
      <sheetName val="FORM pc"/>
      <sheetName val="CamPha"/>
      <sheetName val="MongCai"/>
      <sheetName val="70000000"/>
      <sheetName val="TH  goi 4-x"/>
      <sheetName val="PNT-QUOT-D150#3"/>
      <sheetName val="PNT-QUOT-H153#3"/>
      <sheetName val="PNT-QUOT-K152#3"/>
      <sheetName val="PNT-QUOT-H146#3"/>
      <sheetName val="Oð mai 279"/>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ȴ0000000"/>
      <sheetName val="mau kiem ke"/>
      <sheetName val="quyet toan HD 2000"/>
      <sheetName val="quyet toan hoa don 2001"/>
      <sheetName val="kiem ke hoa don 2001"/>
      <sheetName val="QUY III 02"/>
      <sheetName val="QUY IV 02"/>
      <sheetName val="QUYET TOAN 02"/>
      <sheetName val="Sheet15"/>
      <sheetName val="BangTH"/>
      <sheetName val="Xaylap "/>
      <sheetName val="Nhan cong"/>
      <sheetName val="Thietbi"/>
      <sheetName val="Diengiai"/>
      <sheetName val="Vanchuyen"/>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Kѭ284"/>
      <sheetName val="SOLIEU"/>
      <sheetName val="TINHTOAN"/>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Km27' - Km278"/>
      <sheetName val="0304"/>
      <sheetName val="0904"/>
      <sheetName val="1204"/>
      <sheetName val="80000000"/>
      <sheetName val="90000000"/>
      <sheetName val="a0000000"/>
      <sheetName val="b0000000"/>
      <sheetName val="c0000000"/>
      <sheetName val="Cong ban 1,5_x0013__x0000_"/>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Shedt1"/>
      <sheetName val="_x0012_0000000"/>
      <sheetName val="Thang06-2002"/>
      <sheetName val="Thang07-2002"/>
      <sheetName val="Thang08-2002"/>
      <sheetName val="Thang09-2002"/>
      <sheetName val="Thang10-2002 "/>
      <sheetName val="Thang11-2002"/>
      <sheetName val="Thang12-2002"/>
      <sheetName val="Sheet1 (3)"/>
      <sheetName val="XLÇ_x0015_oppy"/>
      <sheetName val="Bao cao KQTH quy hoach 135"/>
      <sheetName val="Sheet5"/>
      <sheetName val="Sheet6"/>
      <sheetName val="Sheet7"/>
      <sheetName val="Sheet8"/>
      <sheetName val="Sheet9"/>
      <sheetName val="Sheet10"/>
      <sheetName val="ct luong "/>
      <sheetName val="Nhap 6T"/>
      <sheetName val="baocaochinh(qui1.05) (DC)"/>
      <sheetName val="Ctuluongq.1.05"/>
      <sheetName val="BANG PHAN BO qui1.05(DC)"/>
      <sheetName val="BANG PHAN BO quiII.05"/>
      <sheetName val="bao cac cinh Qui II-2005"/>
      <sheetName val="XXXXX\XX"/>
      <sheetName val="Macro1"/>
      <sheetName val="Macro2"/>
      <sheetName val="Macro3"/>
      <sheetName val="TAU"/>
      <sheetName val="KHACH"/>
      <sheetName val="BC1"/>
      <sheetName val="BC2"/>
      <sheetName val="BAO CAO AN"/>
      <sheetName val="BANGKEKHACH"/>
      <sheetName val="BKLBD"/>
      <sheetName val="PTDG"/>
      <sheetName val="DTCT"/>
      <sheetName val="vlct"/>
      <sheetName val="Sheet11"/>
      <sheetName val="Sheet12"/>
      <sheetName val="Sheet13"/>
      <sheetName val="Sheet14"/>
      <sheetName val="T_x000b_331"/>
      <sheetName val="p0000000"/>
      <sheetName val=""/>
      <sheetName val="Km&quot;80"/>
      <sheetName val="Khac DP"/>
      <sheetName val="Khoi than "/>
      <sheetName val="B3_208_than"/>
      <sheetName val="B3_208_TU"/>
      <sheetName val="B3_208_TW"/>
      <sheetName val="B3_208_DP"/>
      <sheetName val="B3_208_khac"/>
      <sheetName val="Km283 - Jm284"/>
      <sheetName val="ADKT"/>
      <sheetName val="cocB40 5B"/>
      <sheetName val="cocD50 9A"/>
      <sheetName val="cocD75 16"/>
      <sheetName val="coc B80 TD25"/>
      <sheetName val="P27 B80"/>
      <sheetName val="Coc23 B80"/>
      <sheetName val="cong B80 C4"/>
      <sheetName val="Km27%"/>
      <sheetName val="O0 mai 279"/>
      <sheetName val="Op_x0000_mai 280"/>
      <sheetName val="Op mai 28_x0011_"/>
      <sheetName val="5 nam (tac`) (2)"/>
      <sheetName val="D%o nai"/>
      <sheetName val="CTT cao so."/>
      <sheetName val="XNxlva sxdhanKCII"/>
      <sheetName val="CTxay lap mo C_x0010_"/>
      <sheetName val="Song ban 0,7x0,7"/>
      <sheetName val="Cong ban 0,8x ,8"/>
      <sheetName val="Dong$bac"/>
      <sheetName val="MTL$-INTER"/>
      <sheetName val="Khach iang le "/>
      <sheetName val="[PNT-P3.xlsѝKQKDKT'04-1"/>
      <sheetName val="Du tnan chi tiet coc nuoc"/>
      <sheetName val="TNghiÖ- VL"/>
      <sheetName val="thaß26"/>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TL33-13.14"/>
      <sheetName val="tlđm190337,8"/>
      <sheetName val="GC190337,8"/>
      <sheetName val="033,7,8"/>
      <sheetName val="TL033 ,2,4"/>
      <sheetName val="TL 0331,2"/>
      <sheetName val="033-1,4"/>
      <sheetName val="TL033,19,5"/>
      <sheetName val="gVL"/>
      <sheetName val="Lap ®at ®hÖn"/>
      <sheetName val="[PNT-P3.xlsUTong hop (2)"/>
      <sheetName val="Km276 - Ke277"/>
      <sheetName val="[PNT-P3.xlsUKm279 - Km280"/>
      <sheetName val="Baocao"/>
      <sheetName val="UT"/>
      <sheetName val="TongHopHD"/>
      <sheetName val="7000 000"/>
      <sheetName val="Áo"/>
      <sheetName val="XNxlva sxthanKCIÉ"/>
      <sheetName val="K43"/>
      <sheetName val="THKL"/>
      <sheetName val="PL43"/>
      <sheetName val="K43+0.00 - 338 Trai"/>
      <sheetName val="Tong (op"/>
      <sheetName val="Coc 4ieu"/>
      <sheetName val="chieud_x0005__x0000__x0000__x0000_"/>
      <sheetName val="gìIÏÝ_x001c_Ã_x0008_ç¾{è"/>
      <sheetName val="ESTI."/>
      <sheetName val="DI-ESTI"/>
      <sheetName val="CV den trong to?g"/>
      <sheetName val="?0000000"/>
      <sheetName val="GS02-thu0TM"/>
      <sheetName val="Don gia"/>
      <sheetName val="Nhap du lieu"/>
      <sheetName val="Package1"/>
      <sheetName val="TDT-TBࡁ"/>
      <sheetName val="ၔong hop QL48 - 2"/>
      <sheetName val="Shaet13"/>
      <sheetName val="Km266"/>
      <sheetName val="Thang8-02"/>
      <sheetName val="Thang9-02"/>
      <sheetName val="Thang10-02"/>
      <sheetName val="Thang11-02"/>
      <sheetName val="Thang12-02"/>
      <sheetName val="Thang01-03"/>
      <sheetName val="Thang02-03"/>
      <sheetName val="Mp mai 275"/>
      <sheetName val="30100000"/>
      <sheetName val="Ton 31.1"/>
      <sheetName val="NhapT.2"/>
      <sheetName val="Xuat T.2"/>
      <sheetName val="Ton 28.2"/>
      <sheetName val="H.Tra"/>
      <sheetName val="Hang CTY TRA LAI"/>
      <sheetName val="Hang NV Tra Lai"/>
      <sheetName val="TNghiªm T_x0002_ "/>
      <sheetName val="tt-_x0014_BA"/>
      <sheetName val="TD_x0014_"/>
      <sheetName val="_x0014_.12"/>
      <sheetName val="QD c5a HDQT (2)"/>
      <sheetName val="_x0003_hart1"/>
      <sheetName val="mua vao"/>
      <sheetName val="chi phi "/>
      <sheetName val="ban ra 1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BLDG"/>
      <sheetName val="_x000b_luong phu"/>
      <sheetName val="gìIÏÝ_x001c_齘_x0013_龜_x0013_ꗃ〒"/>
      <sheetName val="Op mai 2_x000c__x0000_"/>
      <sheetName val="_x0000_bÑi_x0003__x0000__x0000__x0000__x0000_²r_x0013__x0000_"/>
      <sheetName val="k, vt tho"/>
      <sheetName val="Km_x0012_77 "/>
      <sheetName val="K-280 - Km281"/>
      <sheetName val="Km280 ࠭ Km281"/>
      <sheetName val="_x0000__x000f__x0000__x0000__x0000_½"/>
      <sheetName val="_x0000__x0000_²r"/>
      <sheetName val="_x0000__x0000__x0000__x0000__x0000_M pc_x0006__x0000__x0000_CamPh_x0000__x0000_"/>
      <sheetName val="_x0000__x000d__x0000__x0000__x0000_âO"/>
      <sheetName val="Cong ban 1,5„—_x0013__x0000_"/>
      <sheetName val="Xa9lap "/>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BCDSPS"/>
      <sheetName val="BCDKT"/>
      <sheetName val="Sÿÿÿÿ"/>
      <sheetName val="quÿÿ"/>
      <sheetName val="L_x0010_V ®at ®iÖn"/>
      <sheetName val="Cong ban 0,7p0,7"/>
      <sheetName val="Km275 - Ke276"/>
      <sheetName val="Km280 - Km2(1"/>
      <sheetName val="Km282 - Kl283"/>
      <sheetName val="Tong hop Op m!i"/>
      <sheetName val="bc"/>
      <sheetName val="K.O"/>
      <sheetName val="xang _clc"/>
      <sheetName val="X¡NG_td"/>
      <sheetName val="MaZUT"/>
      <sheetName val="DIESEL"/>
      <sheetName val="Thang 07"/>
      <sheetName val="T10-05"/>
      <sheetName val="T9-05"/>
      <sheetName val="t805"/>
      <sheetName val="11T"/>
      <sheetName val="9T"/>
      <sheetName val="Giao nhie- vu"/>
      <sheetName val="Diem mon hoc"/>
      <sheetName val="Tong hop diem"/>
      <sheetName val="HoTen-khong duoc xoa"/>
      <sheetName val="120"/>
      <sheetName val="IFAD"/>
      <sheetName val="CVHN"/>
      <sheetName val="TCVM"/>
      <sheetName val="RIDP"/>
      <sheetName val="LDNN"/>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imu"/>
      <sheetName val="Klct"/>
      <sheetName val="Covi"/>
      <sheetName val="Nlvt"/>
      <sheetName val="Innl"/>
      <sheetName val="Invt"/>
      <sheetName val="Chon"/>
      <sheetName val="Qtnv"/>
      <sheetName val="Bqtn"/>
      <sheetName val="Bqtv"/>
      <sheetName val="Giao"/>
      <sheetName val="Dcap"/>
      <sheetName val="Nlie"/>
      <sheetName val="Mnli"/>
      <sheetName val="Giao nhiem fu"/>
      <sheetName val="QDcea TGD (2)"/>
      <sheetName val="Mix-Tarpaulin"/>
      <sheetName val="Tarpaulin"/>
      <sheetName val="Price"/>
      <sheetName val="Monthly"/>
      <sheetName val="For Summary"/>
      <sheetName val="For Summary(KG)"/>
      <sheetName val="PP Cloth"/>
      <sheetName val="Mix-PP Cloth"/>
      <sheetName val="Material Price-PP"/>
      <sheetName val="_x0003_har"/>
      <sheetName val="VÃt liÖu"/>
      <sheetName val="CVden nw8ai TCT (1)"/>
      <sheetName val="gia x_x0000_ may"/>
      <sheetName val="FORM jc"/>
      <sheetName val="K?284"/>
      <sheetName val="CDPS3"/>
      <sheetName val="tldm190337,8"/>
      <sheetName val="?ong hop QL48 - 2"/>
      <sheetName val="Giao nhÿÿÿÿvu"/>
      <sheetName val="⁋㌱Ա_x0000_䭔㌱س_x0000_䭔ㄠㄴ_x0006_牴湯⁧琠湯౧_x0000_杮楨搠湩⵨偃_x0006_匀敨瑥"/>
      <sheetName val="ADKTKT02"/>
      <sheetName val="Cac cang UT mua thal Dong bac"/>
      <sheetName val="CV di ngoai to~g"/>
      <sheetName val="CT.XF1"/>
      <sheetName val="DG "/>
      <sheetName val="I"/>
      <sheetName val="PNT-P3"/>
      <sheetName val="GS11- tÝnh KH_x0014_SC§"/>
      <sheetName val="DŃ02"/>
      <sheetName val="_x0000__x0000_"/>
      <sheetName val="Cong ban 1,5_x0013_"/>
      <sheetName val="bÑi_x0003__x0000_²r_x0013__x0000_"/>
      <sheetName val="_x000f__x0000_½"/>
      <sheetName val="M pc_x0006__x0000_CamPh_x0000_"/>
      <sheetName val="_x000d_âO"/>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efreshError="1"/>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sheetData sheetId="447"/>
      <sheetData sheetId="448" refreshError="1"/>
      <sheetData sheetId="449" refreshError="1"/>
      <sheetData sheetId="450" refreshError="1"/>
      <sheetData sheetId="451"/>
      <sheetData sheetId="452"/>
      <sheetData sheetId="453"/>
      <sheetData sheetId="454" refreshError="1"/>
      <sheetData sheetId="455" refreshError="1"/>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refreshError="1"/>
      <sheetData sheetId="583"/>
      <sheetData sheetId="584" refreshError="1"/>
      <sheetData sheetId="585" refreshError="1"/>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refreshError="1"/>
      <sheetData sheetId="618" refreshError="1"/>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refreshError="1"/>
      <sheetData sheetId="658"/>
      <sheetData sheetId="659"/>
      <sheetData sheetId="660"/>
      <sheetData sheetId="661"/>
      <sheetData sheetId="662"/>
      <sheetData sheetId="663"/>
      <sheetData sheetId="664"/>
      <sheetData sheetId="665"/>
      <sheetData sheetId="666"/>
      <sheetData sheetId="667" refreshError="1"/>
      <sheetData sheetId="668" refreshError="1"/>
      <sheetData sheetId="669" refreshError="1"/>
      <sheetData sheetId="670" refreshError="1"/>
      <sheetData sheetId="671" refreshError="1"/>
      <sheetData sheetId="672" refreshError="1"/>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refreshError="1"/>
      <sheetData sheetId="690" refreshError="1"/>
      <sheetData sheetId="691" refreshError="1"/>
      <sheetData sheetId="692" refreshError="1"/>
      <sheetData sheetId="693"/>
      <sheetData sheetId="694" refreshError="1"/>
      <sheetData sheetId="695"/>
      <sheetData sheetId="696" refreshError="1"/>
      <sheetData sheetId="697"/>
      <sheetData sheetId="698"/>
      <sheetData sheetId="699" refreshError="1"/>
      <sheetData sheetId="700" refreshError="1"/>
      <sheetData sheetId="701"/>
      <sheetData sheetId="702"/>
      <sheetData sheetId="703" refreshError="1"/>
      <sheetData sheetId="704"/>
      <sheetData sheetId="705"/>
      <sheetData sheetId="706" refreshError="1"/>
      <sheetData sheetId="707" refreshError="1"/>
      <sheetData sheetId="708" refreshError="1"/>
      <sheetData sheetId="70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gia (2)"/>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VL,NC"/>
      <sheetName val="149-2"/>
      <sheetName val="Tonf hop du toan"/>
      <sheetName val="Data"/>
      <sheetName val="TGLD"/>
      <sheetName val="CBKHKT"/>
      <sheetName val="LDTN"/>
      <sheetName val="CNKT"/>
      <sheetName val="Sheet5"/>
      <sheetName val="Sheet6"/>
      <sheetName val="Sheet7"/>
      <sheetName val="Chart1"/>
      <sheetName val="Chart2"/>
      <sheetName val="cap so lao dong"/>
      <sheetName val="Sheet9"/>
      <sheetName val="Sheet10"/>
      <sheetName val="Sheet11"/>
      <sheetName val="Sheet12"/>
      <sheetName val="Sheet13"/>
      <sheetName val="Sheet14"/>
      <sheetName val="Sheet16"/>
      <sheetName val="Sheet15"/>
      <sheetName val="Sheet1"/>
      <sheetName val="Sheet2"/>
      <sheetName val="Sheet3"/>
      <sheetName val="HelpMe"/>
      <sheetName val="dongia (2)"/>
      <sheetName val="Chiet tinh"/>
      <sheetName val="#REF"/>
      <sheetName val="M 67"/>
      <sheetName val="truc tiep"/>
      <sheetName val="gia vt,nc,may"/>
      <sheetName val="Tham khao "/>
      <sheetName val="He thong tai khoan"/>
      <sheetName val="Executive Summary"/>
      <sheetName val="dsctytv"/>
      <sheetName val="Thongtin"/>
      <sheetName val="ds"/>
      <sheetName val="KQKD-03"/>
      <sheetName val="PhongBan"/>
      <sheetName val="De11A"/>
      <sheetName val="Bang_ke_TT"/>
      <sheetName val="Khoan cong truong Tan De"/>
      <sheetName val="BCDTK"/>
      <sheetName val="_x0000__x0000__x0000__x0000__x0000__x0000__x0000__x0000_"/>
      <sheetName val="TTDZ22"/>
      <sheetName val="CT -THVLNC"/>
      <sheetName val="PNT-QUOT-#3"/>
      <sheetName val="COAT&amp;WRAP-QIOT-#3"/>
      <sheetName val="Khoi_luong_HD_tang"/>
      <sheetName val="Khoi_luong_HD_giam"/>
      <sheetName val="Khoi_luong_phat_sinh_HD"/>
      <sheetName val="Khoi_luong"/>
      <sheetName val="Khoi_luong_chi_tiet"/>
      <sheetName val="Tong_hop_du_toan"/>
      <sheetName val="Du_toan_chi_tiet"/>
      <sheetName val="Don_gia_chi_tiet"/>
      <sheetName val="Vat_lieu"/>
      <sheetName val="Bang_gia_vat_lieu"/>
      <sheetName val="Cap_phoi_vua"/>
      <sheetName val="Bang_gia_thiet_bi"/>
      <sheetName val="DG "/>
      <sheetName val="MTP"/>
      <sheetName val="MTP1"/>
      <sheetName val="방배동내역(리라)"/>
      <sheetName val="Tổng k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sheetData sheetId="39"/>
      <sheetData sheetId="40"/>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usd"/>
      <sheetName val="Sheet4"/>
      <sheetName val="XL4Poppy"/>
      <sheetName val="Quantity"/>
      <sheetName val="Quiuoc"/>
      <sheetName val="ReportCM"/>
      <sheetName val="SPS"/>
      <sheetName val="BXLDL"/>
      <sheetName val="DANHMUC_DV"/>
      <sheetName val="DANHMUC_HH"/>
      <sheetName val="KHM"/>
      <sheetName val="DANHMUC_NVL"/>
      <sheetName val="DANHMUC_NPL"/>
      <sheetName val="MATK"/>
      <sheetName val="CANDOI"/>
      <sheetName val="NHATKY"/>
      <sheetName val="6-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PNT-QUOT-#3"/>
      <sheetName val="COAT&amp;WRAP-QIO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g tien luong"/>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2-2003"/>
      <sheetName val="chart1"/>
      <sheetName val="T12-2003"/>
      <sheetName val="T1-2004"/>
      <sheetName val="T2-2004"/>
      <sheetName val="T3-2004"/>
      <sheetName val="T4-2004"/>
      <sheetName val="T5-2004"/>
      <sheetName val="T6-2004"/>
      <sheetName val="T7-2004"/>
      <sheetName val="T8-2004"/>
      <sheetName val="Sheet1"/>
      <sheetName val="T9-2004"/>
      <sheetName val="T10-2004"/>
      <sheetName val="T11-2004 "/>
      <sheetName val="T12-2004"/>
      <sheetName val="PNL"/>
      <sheetName val="00000000"/>
      <sheetName val="10000000"/>
      <sheetName val="20000000"/>
      <sheetName val="XL4Poppy"/>
      <sheetName val="BTT"/>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Setup"/>
      <sheetName val="2.Bloomberg"/>
      <sheetName val="3.FS"/>
      <sheetName val="4.QoQ"/>
      <sheetName val="Data collect"/>
      <sheetName val="Forecast"/>
      <sheetName val="Presentation"/>
      <sheetName val="DCF"/>
      <sheetName val="Sales_YoY"/>
      <sheetName val="Peers"/>
      <sheetName val="Note"/>
      <sheetName val="HSC breakdown"/>
      <sheetName val="HSC"/>
      <sheetName val="Xiaomi"/>
      <sheetName val="Apple"/>
      <sheetName val="Huawei"/>
      <sheetName val="Input_Y"/>
      <sheetName val="Input_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 thong tai khoan"/>
      <sheetName val="TSCD"/>
      <sheetName val="CCDC"/>
      <sheetName val="Bang Can Doi KT"/>
      <sheetName val="CD PS Nam"/>
      <sheetName val="Thang1"/>
      <sheetName val="Thang2"/>
      <sheetName val="Thang3"/>
      <sheetName val="Thang4"/>
      <sheetName val="Thang5"/>
      <sheetName val="Thang6"/>
      <sheetName val="Thang7"/>
      <sheetName val="Thang8"/>
      <sheetName val="Thang9"/>
      <sheetName val="CD PS Thang"/>
      <sheetName val="Thang10"/>
      <sheetName val="Thang11"/>
      <sheetName val="Thang12"/>
      <sheetName val="Bao cao chi phi"/>
      <sheetName val="Loi Lo"/>
      <sheetName val="CD PS Quy"/>
      <sheetName val="KQHDKD - Phan I"/>
      <sheetName val="KQHDKD - Phan II"/>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SDHD"/>
      <sheetName val="HSNK"/>
      <sheetName val="HSXK"/>
      <sheetName val="HDKT"/>
      <sheetName val="VAO"/>
      <sheetName val="VAO (2)"/>
      <sheetName val="RA"/>
      <sheetName val="RA %"/>
      <sheetName val="Sheet1"/>
      <sheetName val="00000000"/>
      <sheetName val="10000000"/>
      <sheetName val="20000000"/>
      <sheetName val="30000000"/>
      <sheetName val="40000000"/>
      <sheetName val="50000000"/>
      <sheetName val="60000000"/>
      <sheetName val="70000000"/>
      <sheetName val="80000000"/>
      <sheetName val="XL4Poppy"/>
      <sheetName val="RA (2)"/>
      <sheetName val="90000000"/>
      <sheetName val="a0000000"/>
      <sheetName val="b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Data Entry"/>
      <sheetName val="Huong dan"/>
      <sheetName val="Danhmuc"/>
      <sheetName val="dmlienket"/>
      <sheetName val="TNHH-Dotalia"/>
      <sheetName val="Sodobanhang"/>
      <sheetName val="Worksheet (Friends)"/>
      <sheetName val="dsctytv"/>
      <sheetName val="Thuthapthongtin"/>
      <sheetName val="XD loi the thuong mai"/>
      <sheetName val="Tach LICDTS"/>
      <sheetName val="Consolidated B Sheet"/>
      <sheetName val="Consolidated P a L St"/>
      <sheetName val="Consolidated Cash Flow"/>
      <sheetName val="Worksheet(Family)"/>
      <sheetName val="Buttoanxuly"/>
      <sheetName val="GIA TRI GIAM HH TUNG CONG TY"/>
      <sheetName val="dmcon"/>
      <sheetName val="TI LE DC KHO"/>
      <sheetName val="BSo 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TTTN"/>
      <sheetName val="MaBP"/>
      <sheetName val="NKCCP"/>
      <sheetName val="Sodo"/>
      <sheetName val="TN lap"/>
      <sheetName val="ds"/>
      <sheetName val="TN moi nhat"/>
      <sheetName val="TNmoi"/>
      <sheetName val="SXuat"/>
      <sheetName val="KHoach"/>
      <sheetName val="NSu"/>
      <sheetName val="KToan"/>
      <sheetName val="KDoanh"/>
      <sheetName val="Cnhanh"/>
      <sheetName val="THkhoi"/>
      <sheetName val="Tong"/>
      <sheetName val="responsibility establishing p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phongban"/>
      <sheetName val="T1"/>
      <sheetName val="T2"/>
      <sheetName val="T3"/>
      <sheetName val="T4"/>
      <sheetName val="T5"/>
      <sheetName val="T6"/>
      <sheetName val="T7"/>
      <sheetName val="T8"/>
      <sheetName val="T9"/>
      <sheetName val="T10"/>
      <sheetName val="T11"/>
      <sheetName val="T12"/>
      <sheetName val="TH"/>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BP"/>
      <sheetName val="ds"/>
      <sheetName val="TN moi nhat"/>
      <sheetName val="responsibility establishing pc"/>
      <sheetName val="SXuat"/>
      <sheetName val="KHoach"/>
      <sheetName val="NSu"/>
      <sheetName val="KToan"/>
      <sheetName val="KDoanh"/>
      <sheetName val="Cnhanh"/>
      <sheetName val="THkhoi"/>
      <sheetName val="Tong"/>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Intraday"/>
      <sheetName val="Quote"/>
      <sheetName val="Market"/>
      <sheetName val="Historical"/>
      <sheetName val="Stock"/>
      <sheetName val="Company"/>
      <sheetName val="Industry"/>
      <sheetName val="Ratio"/>
      <sheetName val="IncomeStatement"/>
      <sheetName val="BalanceSheet"/>
      <sheetName val="CashFlow"/>
      <sheetName val="UI"/>
      <sheetName val="Set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 vt,nc,may"/>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ANHTOAN"/>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1 HAGIANG"/>
      <sheetName val="2 TUYEN QUANG"/>
      <sheetName val="3 CAOBANG"/>
      <sheetName val="4 LANGSON"/>
      <sheetName val="5 LAOCAI"/>
      <sheetName val="6 YENBAI"/>
      <sheetName val="7 THAI NGUYEN"/>
      <sheetName val="8 BAC CAN"/>
      <sheetName val="9 PHU THO"/>
      <sheetName val="10 VINH PHUC"/>
      <sheetName val="11 BAC GIANG"/>
      <sheetName val="12 BAC NINH"/>
      <sheetName val="13 QUANG NINH"/>
      <sheetName val="14 HOA BINH"/>
      <sheetName val="15 SON LA"/>
      <sheetName val="16 LAI CHAU"/>
      <sheetName val="17 HA NOI"/>
      <sheetName val="18 HAI PHONG"/>
      <sheetName val="19 HAI DUONG"/>
      <sheetName val="20 HUNG YEN"/>
      <sheetName val="21 HA TAY"/>
      <sheetName val="22 THAI BINH"/>
      <sheetName val="23 NAM DINH"/>
      <sheetName val="24 HA NAM"/>
      <sheetName val="25 NINH BINH"/>
      <sheetName val="26 THANH HOA"/>
      <sheetName val="27 NGHE AN"/>
      <sheetName val="28 HA TINH"/>
      <sheetName val="29 QUANG BINH"/>
      <sheetName val="30 QUANG TRI"/>
      <sheetName val="31 THUA THIEN HUE"/>
      <sheetName val="32 TP DA NANG"/>
      <sheetName val="33 QUANG NAM"/>
      <sheetName val="34 QUANG NGAI "/>
      <sheetName val="35 BINH DINH"/>
      <sheetName val="36 PHU YEN"/>
      <sheetName val="37 KHANH HOA"/>
      <sheetName val="38 DAC LAC "/>
      <sheetName val="39 GIA LAI"/>
      <sheetName val="40 KON TUM "/>
      <sheetName val="41 LAM DONG"/>
      <sheetName val="42 TP HO CHI MINH"/>
      <sheetName val="43 DONG NAI"/>
      <sheetName val="44 BINH DUONG"/>
      <sheetName val="45 BINH PHUOC"/>
      <sheetName val="46 TAY NINH"/>
      <sheetName val="47 BA RIA VT"/>
      <sheetName val="48 NINH THUAN"/>
      <sheetName val="49 BINH THUAN "/>
      <sheetName val="50 LONG AN"/>
      <sheetName val="51 TIEN GIANG"/>
      <sheetName val="52 BEN TRE"/>
      <sheetName val="53 TRA VINH"/>
      <sheetName val="54 VINH LONG"/>
      <sheetName val="55 CAN THO"/>
      <sheetName val="56 SOC TRANG"/>
      <sheetName val="57 AN GIANG"/>
      <sheetName val="58 DONG THAP"/>
      <sheetName val="59 KIEN GIANG"/>
      <sheetName val="60 BAC LIEU"/>
      <sheetName val="61 CA MAU"/>
      <sheetName val="Sheet1"/>
      <sheetName val="NEW-PANEL"/>
      <sheetName val="Du_lieu"/>
      <sheetName val="DanhMuc"/>
      <sheetName val="IBASE"/>
      <sheetName val="MTL$-INTER"/>
      <sheetName val="THKP"/>
      <sheetName val="gia vt,nc,may"/>
      <sheetName val="LKVL-CK-HT-GD1"/>
      <sheetName val="VT,NC,M"/>
      <sheetName val="1_HAGIANG"/>
      <sheetName val="2_TUYEN_QUANG"/>
      <sheetName val="3_CAOBANG"/>
      <sheetName val="4_LANGSON"/>
      <sheetName val="5_LAOCAI"/>
      <sheetName val="6_YENBAI"/>
      <sheetName val="7_THAI_NGUYEN"/>
      <sheetName val="8_BAC_CAN"/>
      <sheetName val="9_PHU_THO"/>
      <sheetName val="10_VINH_PHUC"/>
      <sheetName val="11_BAC_GIANG"/>
      <sheetName val="12_BAC_NINH"/>
      <sheetName val="13_QUANG_NINH"/>
      <sheetName val="14_HOA_BINH"/>
      <sheetName val="15_SON_LA"/>
      <sheetName val="16_LAI_CHAU"/>
      <sheetName val="17_HA_NOI"/>
      <sheetName val="18_HAI_PHONG"/>
      <sheetName val="19_HAI_DUONG"/>
      <sheetName val="20_HUNG_YEN"/>
      <sheetName val="21_HA_TAY"/>
      <sheetName val="22_THAI_BINH"/>
      <sheetName val="23_NAM_DINH"/>
      <sheetName val="24_HA_NAM"/>
      <sheetName val="25_NINH_BINH"/>
      <sheetName val="26_THANH_HOA"/>
      <sheetName val="27_NGHE_AN"/>
      <sheetName val="28_HA_TINH"/>
      <sheetName val="29_QUANG_BINH"/>
      <sheetName val="30_QUANG_TRI"/>
      <sheetName val="31_THUA_THIEN_HUE"/>
      <sheetName val="32_TP_DA_NANG"/>
      <sheetName val="33_QUANG_NAM"/>
      <sheetName val="34_QUANG_NGAI_"/>
      <sheetName val="35_BINH_DINH"/>
      <sheetName val="36_PHU_YEN"/>
      <sheetName val="37_KHANH_HOA"/>
      <sheetName val="38_DAC_LAC_"/>
      <sheetName val="39_GIA_LAI"/>
      <sheetName val="40_KON_TUM_"/>
      <sheetName val="41_LAM_DONG"/>
      <sheetName val="42_TP_HO_CHI_MINH"/>
      <sheetName val="43_DONG_NAI"/>
      <sheetName val="44_BINH_DUONG"/>
      <sheetName val="45_BINH_PHUOC"/>
      <sheetName val="46_TAY_NINH"/>
      <sheetName val="47_BA_RIA_VT"/>
      <sheetName val="48_NINH_THUAN"/>
      <sheetName val="49_BINH_THUAN_"/>
      <sheetName val="50_LONG_AN"/>
      <sheetName val="51_TIEN_GIANG"/>
      <sheetName val="52_BEN_TRE"/>
      <sheetName val="53_TRA_VINH"/>
      <sheetName val="54_VINH_LONG"/>
      <sheetName val="55_CAN_THO"/>
      <sheetName val="56_SOC_TRANG"/>
      <sheetName val="57_AN_GIANG"/>
      <sheetName val="58_DONG_THAP"/>
      <sheetName val="59_KIEN_GIANG"/>
      <sheetName val="60_BAC_LIEU"/>
      <sheetName val="61_CA_MAU"/>
      <sheetName val="N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 thong tai khoan"/>
      <sheetName val="TK cap 2 - 131"/>
      <sheetName val="TK cap 2 - 331"/>
      <sheetName val="TK Ngoai Bang JPY"/>
      <sheetName val="TK Ngoai Bang USD"/>
      <sheetName val="CCDC"/>
      <sheetName val="TSCD"/>
      <sheetName val="Bao cao chi phi"/>
      <sheetName val="Thang0"/>
      <sheetName val="CD PS Thang"/>
      <sheetName val="Thang1"/>
      <sheetName val="Thang2"/>
      <sheetName val="Thang3"/>
      <sheetName val="Thang4"/>
      <sheetName val="Thang5"/>
      <sheetName val="Thang6"/>
      <sheetName val="Thang7"/>
      <sheetName val="Thang8"/>
      <sheetName val="Thang9"/>
      <sheetName val="Thang10"/>
      <sheetName val="Thang11"/>
      <sheetName val="Lai-lo"/>
      <sheetName val="Thang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AP"/>
      <sheetName val="XUAT"/>
    </sheetNames>
    <sheetDataSet>
      <sheetData sheetId="0" refreshError="1"/>
      <sheetData sheetId="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ap"/>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LTS"/>
      <sheetName val="2.59.1"/>
      <sheetName val="2.1"/>
      <sheetName val="2.2"/>
      <sheetName val="2.3 "/>
      <sheetName val="2.4"/>
      <sheetName val="2.5"/>
      <sheetName val="2.6"/>
      <sheetName val="2.7"/>
      <sheetName val="2.8"/>
      <sheetName val="2.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2.27"/>
      <sheetName val="2.28"/>
      <sheetName val="2.29"/>
      <sheetName val="2.30"/>
      <sheetName val="2.31"/>
      <sheetName val="2.32"/>
      <sheetName val="2.33"/>
      <sheetName val="2.34"/>
      <sheetName val="2.35"/>
      <sheetName val="2.36"/>
      <sheetName val="2.37"/>
      <sheetName val="2.38"/>
      <sheetName val="2.38.1"/>
      <sheetName val="2.38.2"/>
      <sheetName val="2.38.3"/>
      <sheetName val="2.39"/>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4"/>
      <sheetName val="2.65"/>
      <sheetName val="2.66"/>
      <sheetName val="2.67"/>
      <sheetName val="2.68"/>
      <sheetName val="2.69"/>
      <sheetName val="2.70"/>
      <sheetName val="2.71"/>
      <sheetName val="2.72"/>
      <sheetName val="2.73"/>
      <sheetName val="2.74"/>
      <sheetName val="2.74.1"/>
      <sheetName val="2.90"/>
      <sheetName val="7 THAI NGUYEN"/>
      <sheetName val="MTL$-INTER"/>
      <sheetName val="Ban ra"/>
      <sheetName val="dtxl"/>
      <sheetName val="NS"/>
      <sheetName val="2.withQSX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at ky chung"/>
      <sheetName val="HTTK"/>
      <sheetName val="NhatKySoCai"/>
      <sheetName val="BCDSPS"/>
      <sheetName val="TG"/>
      <sheetName val="SO CAI"/>
      <sheetName val="SO CHI TIET"/>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km248"/>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XXXXXXXX"/>
      <sheetName val="Thep be"/>
      <sheetName val="Thep than"/>
      <sheetName val="Thep xa mu"/>
      <sheetName val="Nhap lieu"/>
      <sheetName val="PGT"/>
      <sheetName val="Tien dien"/>
      <sheetName val="Thue GTGT"/>
      <sheetName val="142201-T1-th"/>
      <sheetName val="142201-T1 "/>
      <sheetName val="142201-T2-th "/>
      <sheetName val="142201-T2"/>
      <sheetName val="142201-T3-th "/>
      <sheetName val="142201-T3"/>
      <sheetName val="142201-T4-th  "/>
      <sheetName val="142201-T4"/>
      <sheetName val="142201-T6"/>
      <sheetName val="142201-T10"/>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10000000"/>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Sheet6"/>
      <sheetName val="tb1"/>
      <sheetName val="Song trai"/>
      <sheetName val="Dinh+ha nha"/>
      <sheetName val="PTLK"/>
      <sheetName val="NG k"/>
      <sheetName val="THcong"/>
      <sheetName val="BHXH"/>
      <sheetName val="BHXH12"/>
      <sheetName val="Sheet8"/>
      <sheetName val="Sheet9"/>
      <sheetName val="THVDT"/>
      <sheetName val="NCLD"/>
      <sheetName val="MMTB"/>
      <sheetName val="CFSX"/>
      <sheetName val="KQ"/>
      <sheetName val="DTSL"/>
      <sheetName val="XDCBK"/>
      <sheetName val="KHTSCD"/>
      <sheetName val="XDCB"/>
      <sheetName val="Trich Ngang"/>
      <sheetName val="Danh sach Rieng"/>
      <sheetName val="Dia Diem Thuc Tap"/>
      <sheetName val="De Tai Thuc Tap"/>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socai2003-6tc"/>
      <sheetName val="SCT Cong trinh"/>
      <sheetName val="06-2003 (2)"/>
      <sheetName val="CDPS 6tc"/>
      <sheetName val="SCT Nha thau"/>
      <sheetName val="socai2003 (6tc)dp"/>
      <sheetName val="socai2003 (6tc)"/>
      <sheetName val="CDPS 6tc (2)"/>
      <sheetName val="20000000"/>
      <sheetName val="KM"/>
      <sheetName val="KHOANMUC"/>
      <sheetName val="QTNC"/>
      <sheetName val="CPQL"/>
      <sheetName val="SANLUONG"/>
      <sheetName val="SSCP-SL"/>
      <sheetName val="CPSX"/>
      <sheetName val="CDSL (2)"/>
      <sheetName val="Congty"/>
      <sheetName val="VPPN"/>
      <sheetName val="XN74"/>
      <sheetName val="XN54"/>
      <sheetName val="XN33"/>
      <sheetName val="NK96"/>
      <sheetName val="XL4Test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phan tich DG"/>
      <sheetName val="gia vat lieu"/>
      <sheetName val="gia xe may"/>
      <sheetName val="gia nhan cong"/>
      <sheetName val="F ThanhTri"/>
      <sheetName val="F Gialam"/>
      <sheetName val="DG"/>
      <sheetName val="TH dam"/>
      <sheetName val="SX dam"/>
      <sheetName val="LD dam"/>
      <sheetName val="Bang gia VL"/>
      <sheetName val="Gia NC"/>
      <sheetName val="Gia may"/>
      <sheetName val="Tonghop"/>
      <sheetName val="Sheet7"/>
      <sheetName val="Thau"/>
      <sheetName val="CT-BT"/>
      <sheetName val="Xa"/>
      <sheetName val="TH"/>
      <sheetName val="Sheet10"/>
      <sheetName val="TH du toan "/>
      <sheetName val="Du toan "/>
      <sheetName val="C.Tinh"/>
      <sheetName val="TK_cap"/>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XXXXXX_xda24_X"/>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D1"/>
      <sheetName val="D2"/>
      <sheetName val="D3"/>
      <sheetName val="D4"/>
      <sheetName val="D5"/>
      <sheetName val="D6"/>
      <sheetName val="Tay ninh"/>
      <sheetName val="A.Duc"/>
      <sheetName val="TH2003"/>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CamPha"/>
      <sheetName val="MongCai"/>
      <sheetName val="30000000"/>
      <sheetName val="40000000"/>
      <sheetName val="50000000"/>
      <sheetName val="60000000"/>
      <sheetName val="70000000"/>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BangTH"/>
      <sheetName val="Xaylap "/>
      <sheetName val="Nhan cong"/>
      <sheetName val="Thietbi"/>
      <sheetName val="Diengiai"/>
      <sheetName val="Vanchuyen"/>
      <sheetName val="HHVt "/>
      <sheetName val="[IBASE2.XLSѝTNHNoi"/>
      <sheetName val="TH_BQ"/>
      <sheetName val="CT 03"/>
      <sheetName val="TH 03"/>
      <sheetName val="Co~g hop 1,5x1,5"/>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GIA NUOC"/>
      <sheetName val="GIA DIEN THOAI"/>
      <sheetName val="GIA DIEN"/>
      <sheetName val="chiet tinh XD"/>
      <sheetName val="Triet T"/>
      <sheetName val="Phan tich gia"/>
      <sheetName val="pHAN CONG"/>
      <sheetName val="GIA XD"/>
      <sheetName val="CV di trong  dong"/>
      <sheetName val=" KQTH quy hoach 135"/>
      <sheetName val="Bao cao KQTH quy hoach 135"/>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hi_sinh"/>
      <sheetName val="Luong"/>
      <sheetName val="HethongDebai"/>
      <sheetName val="TH131"/>
      <sheetName val="TH155&amp;156"/>
      <sheetName val="TH152"/>
      <sheetName val="TH153"/>
      <sheetName val="TH331"/>
      <sheetName val="KhoDL"/>
      <sheetName val="THSPHH"/>
      <sheetName val="THVL"/>
      <sheetName val="Chamcong"/>
      <sheetName val="DMTK"/>
      <sheetName val="DMKH"/>
      <sheetName val="DMNB"/>
      <sheetName val="DMNV"/>
      <sheetName val="Heso 3-2004 (3)"/>
      <sheetName val="Luong (2)"/>
      <sheetName val="heso T3"/>
      <sheetName val="heso T4"/>
      <sheetName val="heso T5"/>
      <sheetName val="Heso T6"/>
      <sheetName val="Heso T7"/>
      <sheetName val="Heso T8"/>
      <sheetName val="Heso T9"/>
      <sheetName val="Heso 2-2004"/>
      <sheetName val="Heso 3-2004"/>
      <sheetName val="Baocao"/>
      <sheetName val="Heso 3-2004 (2)"/>
      <sheetName val="HD1"/>
      <sheetName val="HD4"/>
      <sheetName val="HD3"/>
      <sheetName val="HD5"/>
      <sheetName val="HD7"/>
      <sheetName val="HD6"/>
      <sheetName val="HD2"/>
      <sheetName val="cn"/>
      <sheetName val="ct"/>
      <sheetName val="Nc"/>
      <sheetName val="pt"/>
      <sheetName val="ql"/>
      <sheetName val="ql (2)"/>
      <sheetName val="4"/>
      <sheetName val="Sheet13"/>
      <sheetName val="Sheet14"/>
      <sheetName val="Sheet15"/>
      <sheetName val="Sheet16"/>
      <sheetName val="DTCT"/>
      <sheetName val="PTVT"/>
      <sheetName val="THVT"/>
      <sheetName val="T.K H.T.T5"/>
      <sheetName val="T.K T7"/>
      <sheetName val="TK T6"/>
      <sheetName val="T.K T5"/>
      <sheetName val="Bang thong ke hang ton"/>
      <sheetName val="thong ke "/>
      <sheetName val="T.KT04"/>
      <sheetName val="DATA"/>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Km282-Km_x0003__x0000_3"/>
      <sheetName val="20+590"/>
      <sheetName val="20+1218"/>
      <sheetName val="22+456"/>
      <sheetName val="23+200"/>
      <sheetName val="Bia1"/>
      <sheetName val="Nhap_lieu"/>
      <sheetName val="THQI"/>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BCDSPS"/>
      <sheetName val="BCDKT"/>
      <sheetName val=""/>
      <sheetName val="Khoiluong"/>
      <sheetName val="Vattu"/>
      <sheetName val="Trungchuyen"/>
      <sheetName val="Bu"/>
      <sheetName val="Chitiet"/>
      <sheetName val="Tkedotuoi"/>
      <sheetName val="Tkebactho"/>
      <sheetName val="nhan su"/>
      <sheetName val="2020"/>
      <sheetName val="luong cty"/>
      <sheetName val="bangluong"/>
      <sheetName val="Tkecong"/>
      <sheetName val="thunhap03"/>
      <sheetName val="thungoaiSCTX"/>
      <sheetName val="TRICH7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sheetData sheetId="219"/>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refreshError="1"/>
      <sheetData sheetId="569" refreshError="1"/>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sheetData sheetId="669"/>
      <sheetData sheetId="670"/>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refreshError="1"/>
      <sheetData sheetId="711" refreshError="1"/>
      <sheetData sheetId="712" refreshError="1"/>
      <sheetData sheetId="713" refreshError="1"/>
      <sheetData sheetId="714" refreshError="1"/>
      <sheetData sheetId="715" refreshError="1"/>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 val="IBASE"/>
    </sheetNames>
    <sheetDataSet>
      <sheetData sheetId="0" refreshError="1"/>
      <sheetData sheetId="1" refreshError="1"/>
      <sheetData sheetId="2"/>
      <sheetData sheetId="3"/>
      <sheetData sheetId="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Õn ®é thùc hiÖn KC"/>
      <sheetName val="ESTI."/>
      <sheetName val="DI-ESTI"/>
      <sheetName val="KP giao lan 3 (QD 673)"/>
      <sheetName val="phu luc giao lan 2"/>
      <sheetName val="DanhMuc"/>
      <sheetName val="ma-pt"/>
      <sheetName val="MTL$-INTER"/>
      <sheetName val="TD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t"/>
      <sheetName val="2.74"/>
      <sheetName val="ESTI."/>
      <sheetName val="DI-ESTI"/>
      <sheetName val="TiÕn ®é thùc hiÖn KC"/>
      <sheetName val="IBASE"/>
      <sheetName val="2_74"/>
      <sheetName val="TiÕn_®é_thùc_hiÖn_KC"/>
      <sheetName val="ESTI_"/>
      <sheetName va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1 HAGIANG"/>
      <sheetName val="2 TUYEN QUANG"/>
      <sheetName val="3 CAOBANG"/>
      <sheetName val="4 LANGSON"/>
      <sheetName val="5 LAOCAI"/>
      <sheetName val="6 YENBAI"/>
      <sheetName val="7 THAI NGUYEN"/>
      <sheetName val="8 BAC CAN"/>
      <sheetName val="9 PHU THO"/>
      <sheetName val="10 VINH PHUC"/>
      <sheetName val="11 BAC GIANG"/>
      <sheetName val="12 BAC NINH"/>
      <sheetName val="13 QUANG NINH"/>
      <sheetName val="14 HOA BINH"/>
      <sheetName val="15 SON LA"/>
      <sheetName val="16 LAI CHAU"/>
      <sheetName val="17 HA NOI"/>
      <sheetName val="18 HAI PHONG"/>
      <sheetName val="19 HAI DUONG"/>
      <sheetName val="20 HUNG YEN"/>
      <sheetName val="21 HA TAY"/>
      <sheetName val="22 THAI BINH"/>
      <sheetName val="23 NAM DINH"/>
      <sheetName val="24 HA NAM"/>
      <sheetName val="25 NINH BINH"/>
      <sheetName val="26 THANH HOA"/>
      <sheetName val="27 NGHE AN"/>
      <sheetName val="28 HA TINH"/>
      <sheetName val="29 QUANG BINH"/>
      <sheetName val="30 QUANG TRI"/>
      <sheetName val="31 THUA THIEN HUE"/>
      <sheetName val="32 TP DA NANG"/>
      <sheetName val="33 QUANG NAM"/>
      <sheetName val="34 QUANG NGAI "/>
      <sheetName val="35 BINH DINH"/>
      <sheetName val="36 PHU YEN"/>
      <sheetName val="37 KHANH HOA"/>
      <sheetName val="38 DAC LAC "/>
      <sheetName val="39 GIA LAI"/>
      <sheetName val="40 KON TUM "/>
      <sheetName val="41 LAM DONG"/>
      <sheetName val="42 TP HO CHI MINH"/>
      <sheetName val="43 DONG NAI"/>
      <sheetName val="44 BINH DUONG"/>
      <sheetName val="45 BINH PHUOC"/>
      <sheetName val="46 TAY NINH"/>
      <sheetName val="47 BA RIA VT"/>
      <sheetName val="48 NINH THUAN"/>
      <sheetName val="49 BINH THUAN "/>
      <sheetName val="50 LONG AN"/>
      <sheetName val="51 TIEN GIANG"/>
      <sheetName val="52 BEN TRE"/>
      <sheetName val="53 TRA VINH"/>
      <sheetName val="54 VINH LONG"/>
      <sheetName val="55 CAN THO"/>
      <sheetName val="56 SOC TRANG"/>
      <sheetName val="57 AN GIANG"/>
      <sheetName val="58 DONG THAP"/>
      <sheetName val="59 KIEN GIANG"/>
      <sheetName val="60 BAC LIEU"/>
      <sheetName val="61 CA MAU"/>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Rgd8B-BOGEWxzQXWC-GogxsWx8Lw5GVHn7pU5LpsPItn3OI9aeJwToOmoZPr1wDq" itemId="01SJC64AX4UNQQVP5WLFDL3GKTXQW3S7JG">
      <xxl21:absoluteUrl r:id="rId2"/>
    </xxl21:alternateUrls>
    <sheetNames>
      <sheetName val="PPE Estimation"/>
      <sheetName val="Employment"/>
      <sheetName val="State &amp; FDI Enterprises"/>
      <sheetName val="Exports"/>
      <sheetName val="Estimation"/>
    </sheetNames>
    <sheetDataSet>
      <sheetData sheetId="0"/>
      <sheetData sheetId="1">
        <row r="12">
          <cell r="T12">
            <v>0.11598787083843012</v>
          </cell>
        </row>
        <row r="13">
          <cell r="T13">
            <v>0.12175626427024179</v>
          </cell>
        </row>
        <row r="14">
          <cell r="T14">
            <v>0.1226030412463439</v>
          </cell>
        </row>
        <row r="15">
          <cell r="G15">
            <v>0.29527975289703351</v>
          </cell>
          <cell r="T15">
            <v>0.11633698170650938</v>
          </cell>
        </row>
        <row r="16">
          <cell r="G16">
            <v>0.28664592222698387</v>
          </cell>
          <cell r="T16">
            <v>0.11403661312760846</v>
          </cell>
        </row>
        <row r="17">
          <cell r="G17">
            <v>0.29034851220658436</v>
          </cell>
        </row>
        <row r="18">
          <cell r="G18">
            <v>0.28533403643577282</v>
          </cell>
        </row>
        <row r="19">
          <cell r="C19">
            <v>11767.9</v>
          </cell>
          <cell r="D19">
            <v>196</v>
          </cell>
          <cell r="E19">
            <v>4639.8</v>
          </cell>
          <cell r="F19">
            <v>16603.7</v>
          </cell>
          <cell r="G19">
            <v>0.27944373844384085</v>
          </cell>
        </row>
      </sheetData>
      <sheetData sheetId="2">
        <row r="15">
          <cell r="BI15">
            <v>3.4954677573761472E-2</v>
          </cell>
        </row>
        <row r="19">
          <cell r="AN19">
            <v>1.889999042117374E-2</v>
          </cell>
        </row>
        <row r="28">
          <cell r="AW28">
            <v>282628.93884700001</v>
          </cell>
        </row>
        <row r="30">
          <cell r="AW30">
            <v>371715.37283000001</v>
          </cell>
        </row>
      </sheetData>
      <sheetData sheetId="3">
        <row r="7">
          <cell r="AM7">
            <v>26265512.699999999</v>
          </cell>
        </row>
      </sheetData>
      <sheetData sheetId="4" refreshError="1"/>
    </sheetDataSet>
  </externalBook>
</externalLink>
</file>

<file path=xl/persons/person.xml><?xml version="1.0" encoding="utf-8"?>
<personList xmlns="http://schemas.microsoft.com/office/spreadsheetml/2018/threadedcomments" xmlns:x="http://schemas.openxmlformats.org/spreadsheetml/2006/main">
  <person displayName="Hien Diep Pham" id="{1010F42D-30F4-4F6E-A3DA-1876C4534F39}" userId="a1e8594061bf839d" providerId="Windows Live"/>
  <person displayName="Phạm Hiền Điệp" id="{162AB44F-DFE3-4D81-BA80-B8BCA30146B6}" userId="S::K59.2013316669@ftu.edu.vn::bfa62c61-62a6-4ec6-96c6-a04a589b5a5d" providerId="AD"/>
  <person displayName="Hoàng Gia Huy" id="{D8B99054-113F-4B19-9E0D-3B3EABF40654}" userId="S::K59.2013345205@ftu.edu.vn::7d817c59-dd24-4ed4-81d3-2deae4cbd01a" providerId="AD"/>
  <person displayName="Phạm Hiền Điệp" id="{04DFFA5E-CD98-4889-9210-2F3F2C067F67}" userId="S::k59.2013316669@ftu.edu.vn::bfa62c61-62a6-4ec6-96c6-a04a589b5a5d" providerId="AD"/>
  <person displayName="2112343025-Vũ Hạ Huy Đan" id="{30379DBF-ECF2-455A-B30A-7E7580168058}" userId="S::k60.2112343025@ftu.edu.vn::b116e7a4-6333-4a1b-8fe1-f60c12e294d1" providerId="AD"/>
  <person displayName="2114813008-NGUYỄN VIỆT KHẢI" id="{7DD1B044-CC21-4569-8DD1-11357A61E937}" userId="S::k60.2114813008@ftu.edu.vn::1bad3a05-a409-435e-aa2a-b07a4c38d58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2" dT="2023-11-07T04:03:55.50" personId="{D8B99054-113F-4B19-9E0D-3B3EABF40654}" id="{0A85D84E-CBB3-43A4-AEA5-9684F3C31E67}">
    <text>Assign 15% premium due to superior financial performance, incl. margin, ROE and ROA</text>
  </threadedComment>
</ThreadedComments>
</file>

<file path=xl/threadedComments/threadedComment2.xml><?xml version="1.0" encoding="utf-8"?>
<ThreadedComments xmlns="http://schemas.microsoft.com/office/spreadsheetml/2018/threadedcomments" xmlns:x="http://schemas.openxmlformats.org/spreadsheetml/2006/main">
  <threadedComment ref="AT14" dT="2023-10-03T16:29:32.63" personId="{1010F42D-30F4-4F6E-A3DA-1876C4534F39}" id="{EB4AC4B3-8466-4F77-B88B-7DE1406050BF}">
    <text>Apple products recorded positive profit margin and an increase in the proportion of high margin product such as consumer goods and office equipment</text>
  </threadedComment>
  <threadedComment ref="AV14" dT="2023-10-03T16:27:28.23" personId="{1010F42D-30F4-4F6E-A3DA-1876C4534F39}" id="{B13053E4-89E8-4900-89AA-68EED1043C77}">
    <text>Increase portion of high margin product: consumer, appliance, industrial equipment from Achison</text>
  </threadedComment>
  <threadedComment ref="CA14" dT="2023-10-03T16:26:57.08" personId="{1010F42D-30F4-4F6E-A3DA-1876C4534F39}" id="{FD544B5E-7A5F-40EB-AB30-643BD21B6803}">
    <text>Increase portion of high margin product: consumer, appliance, industrial equipment from Achison</text>
  </threadedComment>
  <threadedComment ref="AT18" dT="2023-10-03T16:30:38.86" personId="{1010F42D-30F4-4F6E-A3DA-1876C4534F39}" id="{34EC1C0F-9F4E-44B3-B791-8D2C2500EE7C}">
    <text>Higher proportion of selling and administrative expense
&gt; not sure derived from that. This quarter Ip is shortage</text>
  </threadedComment>
  <threadedComment ref="AT18" dT="2023-10-03T16:32:48.98" personId="{1010F42D-30F4-4F6E-A3DA-1876C4534F39}" id="{938019C0-C7E4-4529-BAAF-4EACD9AECB6A}" parentId="{34EC1C0F-9F4E-44B3-B791-8D2C2500EE7C}">
    <text>There appear ABInbev in Q4</text>
  </threadedComment>
  <threadedComment ref="AV18" dT="2023-10-03T16:28:32.41" personId="{1010F42D-30F4-4F6E-A3DA-1876C4534F39}" id="{65470680-D4ED-413F-B02C-B5A07328624A}">
    <text>Price war of retailers causing DGW to increase cost of discount and promotions for dealers</text>
  </threadedComment>
  <threadedComment ref="N36" dT="2023-10-21T19:52:17.77" personId="{162AB44F-DFE3-4D81-BA80-B8BCA30146B6}" id="{A131C666-AF44-4C22-937A-54DAEAEF6494}">
    <text>Partly from Achison and impairment of Goodwill from Achison acquisition</text>
  </threadedComment>
  <threadedComment ref="AT44" dT="2023-10-03T16:29:32.63" personId="{1010F42D-30F4-4F6E-A3DA-1876C4534F39}" id="{993430D7-F38D-423F-BAD5-57F3431C156C}">
    <text>Apple products recorded positive profit margin and an increase in the proportion of high margin product such as consumer goods and office equipment</text>
  </threadedComment>
  <threadedComment ref="AV44" dT="2023-10-03T16:27:28.23" personId="{1010F42D-30F4-4F6E-A3DA-1876C4534F39}" id="{8802994E-A834-494E-85D6-CB47EE81D968}">
    <text>Increase portion of high margin product: consumer, appliance, industrial equipment from Achison</text>
  </threadedComment>
  <threadedComment ref="CA44" dT="2023-10-03T16:26:57.08" personId="{1010F42D-30F4-4F6E-A3DA-1876C4534F39}" id="{ECF08410-466C-4BD3-AF44-04E3EB9EA127}">
    <text>Increase portion of high margin product: consumer, appliance, industrial equipment from Achison</text>
  </threadedComment>
  <threadedComment ref="A46" dT="2023-10-22T07:39:03.86" personId="{162AB44F-DFE3-4D81-BA80-B8BCA30146B6}" id="{E912C3E5-9027-4F39-98CC-FC63D218EBF3}">
    <text>Mostly payment discount and FX unrealized gain/loss which are belongs to core business</text>
  </threadedComment>
  <threadedComment ref="A52" dT="2023-10-22T07:34:43.36" personId="{162AB44F-DFE3-4D81-BA80-B8BCA30146B6}" id="{C40C30BF-4993-4320-94B1-B4A3697B4E99}">
    <text>Mainly FX loss</text>
  </threadedComment>
  <threadedComment ref="M52" dT="2023-10-19T09:35:31.23" personId="{162AB44F-DFE3-4D81-BA80-B8BCA30146B6}" id="{E82E7DCE-3589-4F88-A280-2F2D03481072}">
    <text>FX loss</text>
  </threadedComment>
  <threadedComment ref="M52" dT="2023-10-22T07:28:43.94" personId="{162AB44F-DFE3-4D81-BA80-B8BCA30146B6}" id="{5005BBD8-56A0-45C4-9811-6888884255D5}" parentId="{E82E7DCE-3589-4F88-A280-2F2D03481072}">
    <text>In 2022, US exchange rate was very volatile, this trend has not stopped 2023</text>
  </threadedComment>
  <threadedComment ref="AV56" dT="2023-10-22T08:00:49.05" personId="{162AB44F-DFE3-4D81-BA80-B8BCA30146B6}" id="{2460DDDE-887A-43B5-B993-822FB5066152}">
    <text xml:space="preserve">Abnormal high interest expense in Q2.2023, maybe due to accumulated excessive inventory </text>
  </threadedComment>
  <threadedComment ref="N93" dT="2023-10-22T15:09:49.83" personId="{162AB44F-DFE3-4D81-BA80-B8BCA30146B6}" id="{22CCD3D8-7A9B-4195-BF30-5FE5A825E3BC}">
    <text>Pay 10% dividend on par in late Oct, announced by the DGW</text>
  </threadedComment>
  <threadedComment ref="M115" dT="2023-09-29T18:14:23.19" personId="{1010F42D-30F4-4F6E-A3DA-1876C4534F39}" id="{8B85E0A5-65B0-4448-BAD9-891492EF0559}">
    <text>Good will</text>
  </threadedComment>
  <threadedComment ref="M115" dT="2023-09-29T18:14:35.63" personId="{1010F42D-30F4-4F6E-A3DA-1876C4534F39}" id="{C7D076AE-5DEF-4A30-BD00-23F827373628}" parentId="{8B85E0A5-65B0-4448-BAD9-891492EF0559}">
    <text>Archison first M&amp;A brand</text>
  </threadedComment>
  <threadedComment ref="M115" dT="2023-09-29T18:14:47.91" personId="{1010F42D-30F4-4F6E-A3DA-1876C4534F39}" id="{E57B418D-7783-4644-9251-76113C8107FA}" parentId="{8B85E0A5-65B0-4448-BAD9-891492EF0559}">
    <text>277bil</text>
  </threadedComment>
  <threadedComment ref="M130" dT="2023-10-15T11:08:40.03" personId="{1010F42D-30F4-4F6E-A3DA-1876C4534F39}" id="{F190AE2C-BCB4-415F-8B0A-625148CF390E}">
    <text>Vốn điều lệ tăng</text>
  </threadedComment>
  <threadedComment ref="N130" dT="2023-10-23T02:21:03.12" personId="{162AB44F-DFE3-4D81-BA80-B8BCA30146B6}" id="{DD400483-0B4A-4A96-BEAD-CCD6DF1862AC}">
    <text xml:space="preserve">Increase charter capital by ESOP in late Oct announced by DGW
</text>
  </threadedComment>
  <threadedComment ref="P144" dT="2023-11-07T03:22:45.85" personId="{D8B99054-113F-4B19-9E0D-3B3EABF40654}" id="{50687ED3-7017-4347-89E2-56A50A25517C}">
    <text>15 days higher than 2020 level:
1. 2020 demand for phone started to move higher
2. 2020 we have apple
3. Now we have new brands which are harder to sell</text>
  </threadedComment>
  <threadedComment ref="P145" dT="2023-11-07T03:22:45.85" personId="{D8B99054-113F-4B19-9E0D-3B3EABF40654}" id="{0482E12D-7F4A-458E-9412-0DB19538AF37}">
    <text>15 days higher than 2020 level:
1. 2020 demand for phone started to move higher
2. 2020 we have apple
3. Now we have new brands which are harder to sell</text>
  </threadedComment>
  <threadedComment ref="S145" dT="2023-11-07T03:30:13.02" personId="{D8B99054-113F-4B19-9E0D-3B3EABF40654}" id="{EFFAFD2F-CD82-42B5-AC62-FFB06771EE49}">
    <text>Then decrease gradually as:
1. More contribution from Iphones
2. Brands that DGW served in 2023 gets more popular, so its overall portfolio is easier to sell --&gt; Less DOI</text>
  </threadedComment>
  <threadedComment ref="AW145" dT="2023-10-22T08:30:19.09" personId="{162AB44F-DFE3-4D81-BA80-B8BCA30146B6}" id="{60A2B992-4A07-4BD5-A354-7C9921CDCA51}">
    <text>Sharp declined of Inventory in Q2 after effort to release dated ICT products</text>
  </threadedComment>
  <threadedComment ref="P148" dT="2023-11-07T03:22:45.85" personId="{D8B99054-113F-4B19-9E0D-3B3EABF40654}" id="{A3098B08-0C98-4BA2-8DF8-92BBECE1D7ED}">
    <text>15 days higher than 2020 level:
1. 2020 demand for phone started to move higher
2. 2020 we have apple
3. Now we have new brands which are harder to sell</text>
  </threadedComment>
  <threadedComment ref="AV186" dT="2023-10-24T02:54:35.66" personId="{D8B99054-113F-4B19-9E0D-3B3EABF40654}" id="{72B59652-9E51-4C15-ACEC-CCAE211784E0}" done="1">
    <text>SBV cut refinancing rates by 150bps in 2Q23</text>
  </threadedComment>
</ThreadedComments>
</file>

<file path=xl/threadedComments/threadedComment3.xml><?xml version="1.0" encoding="utf-8"?>
<ThreadedComments xmlns="http://schemas.microsoft.com/office/spreadsheetml/2018/threadedcomments" xmlns:x="http://schemas.openxmlformats.org/spreadsheetml/2006/main">
  <threadedComment ref="L18" dT="2023-09-29T08:56:57.68" personId="{162AB44F-DFE3-4D81-BA80-B8BCA30146B6}" id="{ABC7909B-44DF-46D5-B2FB-E69386DEF445}">
    <text>Past: Excel in Covid wave</text>
  </threadedComment>
  <threadedComment ref="M18" dT="2023-09-29T08:09:35.67" personId="{162AB44F-DFE3-4D81-BA80-B8BCA30146B6}" id="{3C6B778A-E84A-43C4-948C-9019207D6061}">
    <text>Macro volatility encouraged customer to cut expense</text>
  </threadedComment>
  <threadedComment ref="M18" dT="2023-10-04T13:21:23.38" personId="{1010F42D-30F4-4F6E-A3DA-1876C4534F39}" id="{47056963-45D2-40FD-ABEA-4EF1C4BF73AE}" parentId="{3C6B778A-E84A-43C4-948C-9019207D6061}">
    <text>Replacement cycle reset in 2021</text>
  </threadedComment>
  <threadedComment ref="L20" dT="2023-09-29T08:59:12.88" personId="{162AB44F-DFE3-4D81-BA80-B8BCA30146B6}" id="{5977D4F6-E99D-451E-A283-E3C9AD060519}">
    <text>Past: Growth driven specially by Xiaomi and Ip
Event: Global chip shortage no problem</text>
  </threadedComment>
  <threadedComment ref="M20" dT="2023-09-29T08:17:08.12" personId="{162AB44F-DFE3-4D81-BA80-B8BCA30146B6}" id="{054A5442-7E33-449A-A2AE-26371A4FB298}">
    <text>Past:  do not meet target
_China supply chain disruption leading to Ip14 stock shortage
_Ip &amp; market share expansion drives growth
Event:
_Time to bring Ip to VN shortened
_Partner with TCL low cost phone
_Gain market shares
_TCL and Alcatel in sales?
Expectation: not mention</text>
  </threadedComment>
  <threadedComment ref="L21" dT="2023-09-29T08:59:12.88" personId="{162AB44F-DFE3-4D81-BA80-B8BCA30146B6}" id="{A981316A-885B-425D-8320-F2550DD2957B}">
    <text>Past: Growth driven specially by Xiaomi and Ip
Event: Global chip shortage no problem</text>
  </threadedComment>
  <threadedComment ref="M21" dT="2023-09-29T08:17:08.12" personId="{162AB44F-DFE3-4D81-BA80-B8BCA30146B6}" id="{6D49DF0E-38B9-401F-B0C0-0C6324745F3B}">
    <text>Past:  do not meet target
_China supply chain disruption leading to Ip14 stock shortage
_Ip &amp; market share expansion drives growth
Event:
_Time to bring Ip to VN shortened
_Partner with TCL low cost phone
_Gain market shares
_TCL and Alcatel in sales?
Expectation: not mention</text>
  </threadedComment>
  <threadedComment ref="L22" dT="2023-09-29T08:59:12.88" personId="{162AB44F-DFE3-4D81-BA80-B8BCA30146B6}" id="{D7F06FB7-1EA9-4028-B930-200348D1897C}">
    <text>Past: Growth driven specially by Xiaomi and Ip
Event: Global chip shortage no problem</text>
  </threadedComment>
  <threadedComment ref="M22" dT="2023-09-29T08:17:08.12" personId="{162AB44F-DFE3-4D81-BA80-B8BCA30146B6}" id="{EEE98C3E-455F-459A-965B-4023B205977E}">
    <text>Past:  do not meet target
_China supply chain disruption leading to Ip14 stock shortage
_Ip &amp; market share expansion drives growth
Event:
_Time to bring Ip to VN shortened
_Partner with TCL low cost phone
_Gain market shares
_TCL and Alcatel in sales?
Expectation: not mention</text>
  </threadedComment>
  <threadedComment ref="L23" dT="2023-09-29T08:59:12.88" personId="{162AB44F-DFE3-4D81-BA80-B8BCA30146B6}" id="{6EAB6199-D5DB-4B8A-834A-FFF1C44B1499}">
    <text>Past: Growth driven specially by Xiaomi and Ip
Event: Global chip shortage no problem</text>
  </threadedComment>
  <threadedComment ref="M23" dT="2023-09-29T08:17:08.12" personId="{162AB44F-DFE3-4D81-BA80-B8BCA30146B6}" id="{98F0365E-33AE-4DDF-89FC-E7DB1151BA86}">
    <text>Past:  do not meet target
_China supply chain disruption leading to Ip14 stock shortage
_Ip &amp; market share expansion drives growth
Event:
_Time to bring Ip to VN shortened
_Partner with TCL low cost phone
_Gain market shares
_TCL and Alcatel in sales?
Expectation: not mention</text>
  </threadedComment>
  <threadedComment ref="M24" dT="2023-09-29T08:13:02.14" personId="{162AB44F-DFE3-4D81-BA80-B8BCA30146B6}" id="{3EE9399D-69EB-4A5D-8142-60FF8515AE1F}">
    <text>Past:
_High ground in 2021
_Indicated market saturation
_Cut expense in 2022
Expect: present a room for growth when economy gradually recover
+ new product
+ upgrade equipment
+ own many at the same time
+ price increase due to eco-recovery &amp; income 
_</text>
  </threadedComment>
  <threadedComment ref="M24" dT="2023-10-04T13:51:56.73" personId="{1010F42D-30F4-4F6E-A3DA-1876C4534F39}" id="{411A1AC3-3F89-4B66-A0F5-B5122851F9DC}" parentId="{3EE9399D-69EB-4A5D-8142-60FF8515AE1F}">
    <text>In 2022 computers and peripherals recorded a significant drop in most categories in retail volume terms in 2022 as schools started to reopen while many consumers returned to the workplace</text>
  </threadedComment>
  <threadedComment ref="M25" dT="2023-09-29T08:20:59.41" personId="{162AB44F-DFE3-4D81-BA80-B8BCA30146B6}" id="{EC1D834A-1533-4154-B609-DED612908D51}">
    <text>Past: 
Event:
_IoT increasingly diverse to meet more than 1 segment 
Expectation:
+ IoT contributed to large part of rev and continue to be growth dirverCo</text>
  </threadedComment>
  <threadedComment ref="M26" dT="2023-09-29T08:36:23.71" personId="{162AB44F-DFE3-4D81-BA80-B8BCA30146B6}" id="{DA3B66A0-A755-49BF-8FC3-B2A82D5203ED}">
    <text>Event: 
_Starting Whirpool Q1, Xiaomi TV Q3
Expectation
Growth engine in the coming time</text>
  </threadedComment>
  <threadedComment ref="N26" dT="2023-10-03T15:49:16.11" personId="{1010F42D-30F4-4F6E-A3DA-1876C4534F39}" id="{FFBAB712-E207-4167-8479-BDC94EB96198}">
    <text>Add Westing House product</text>
  </threadedComment>
  <threadedComment ref="M27" dT="2023-09-29T08:24:29.01" personId="{162AB44F-DFE3-4D81-BA80-B8BCA30146B6}" id="{3D4A2206-491A-4FA6-8139-D4A85CE6667A}">
    <text>Events: 
_Complete preparation and condition (permit &amp; warehouse) for goal in top3 pharma distributor
_Q4.22, be local distributor of international beer ABInbev
Expectation: Lot of room for growth in 2023</text>
  </threadedComment>
  <threadedComment ref="A142" dT="2023-10-20T05:01:59.12" personId="{30379DBF-ECF2-455A-B30A-7E7580168058}" id="{E488F12C-9F1E-4F06-9818-EEE5DAA23B43}">
    <text>modified</text>
  </threadedComment>
  <threadedComment ref="Q177" dT="2023-10-25T06:30:49.19" personId="{7DD1B044-CC21-4569-8DD1-11357A61E937}" id="{BDC345D0-BB89-4213-99EF-E3C0FB08574C}">
    <text>Wordcup</text>
  </threadedComment>
</ThreadedComments>
</file>

<file path=xl/threadedComments/threadedComment4.xml><?xml version="1.0" encoding="utf-8"?>
<ThreadedComments xmlns="http://schemas.microsoft.com/office/spreadsheetml/2018/threadedcomments" xmlns:x="http://schemas.openxmlformats.org/spreadsheetml/2006/main">
  <threadedComment ref="M34" dT="2023-10-19T06:35:48.30" personId="{162AB44F-DFE3-4D81-BA80-B8BCA30146B6}" id="{E1410C3D-B0DC-4C0A-8D07-AB7D141CF9C8}">
    <text xml:space="preserve">Equal to Thailand in 2022, but still low compared to Maylay, Korea, China,…
</text>
  </threadedComment>
  <threadedComment ref="H43" dT="2023-10-17T17:21:06.17" personId="{162AB44F-DFE3-4D81-BA80-B8BCA30146B6}" id="{62435220-8E18-400B-A5C1-80227DB3B7A4}">
    <text>Shipment in Q1.23 drop 30% yoy (Counterpoint) due to lower demand and inventory built up from Q4.2022
https://www.counterpointresearch.com/insights_tag/vietnam/
Shipment in Q2.23 fell 24% yoy (Canalysis)  as it was highly exposed to the global economic slowdown.
https://www.canalys.com/newsroom/southeast-asian-smartphone-market-q2-2023</text>
    <extLst>
      <x:ext xmlns:xltc2="http://schemas.microsoft.com/office/spreadsheetml/2020/threadedcomments2" uri="{F7C98A9C-CBB3-438F-8F68-D28B6AF4A901}">
        <xltc2:checksum>3806025163</xltc2:checksum>
        <xltc2:hyperlink startIndex="102" length="58" url="https://www.counterpointresearch.com/insights_tag/vietnam/"/>
        <xltc2:hyperlink startIndex="264" length="74" url="https://www.canalys.com/newsroom/southeast-asian-smartphone-market-q2-2023"/>
      </x:ext>
    </extLst>
  </threadedComment>
  <threadedComment ref="H43" dT="2023-10-17T17:23:07.47" personId="{162AB44F-DFE3-4D81-BA80-B8BCA30146B6}" id="{85BB4F7E-ADC4-45CA-86F4-4BA97910C35C}" parentId="{62435220-8E18-400B-A5C1-80227DB3B7A4}">
    <text>Assume in Q3 and Q4 each growth 15% QoQ thanks to its high season nature (back to school, festival) and improving demand (support macro policy), partly evidence by recovery in Q2 despite of low season</text>
  </threadedComment>
  <threadedComment ref="M45" dT="2023-10-21T09:29:37.01" personId="{30379DBF-ECF2-455A-B30A-7E7580168058}" id="{9B4D706B-1B2C-4E6D-BE60-E4B7CFFB65F6}">
    <text>compared to Thailand of 97% 4 years after the 2G shutdown with the adjustment due to the higher penetration rate of feature phones in Vietnam</text>
  </threadedComment>
  <threadedComment ref="M48" dT="2023-10-21T09:31:22.47" personId="{30379DBF-ECF2-455A-B30A-7E7580168058}" id="{69CB833E-44E1-49C1-AE60-E847B31E410E}">
    <text xml:space="preserve">Compared to Thailand in 2022, the phone market revenue per is capita of Vietnam in 2028 is relatively equal </text>
  </threadedComment>
  <threadedComment ref="P53" dT="2023-10-20T07:56:59.33" personId="{162AB44F-DFE3-4D81-BA80-B8BCA30146B6}" id="{163B1C05-ED0F-4708-B865-456D521D0313}">
    <text>Researcher did not factor inflation</text>
  </threadedComment>
  <threadedComment ref="H54" dT="2023-10-21T16:08:35.08" personId="{162AB44F-DFE3-4D81-BA80-B8BCA30146B6}" id="{FE1FAD2A-2A4B-496F-A5E3-FB359B3DBF55}">
    <text xml:space="preserve">Assume the Price level of phone increase 1.7% but phone ASP does not change much compared to 2022 since:
+In H1.2023, some smartphone price was heavily discounted to release inventory 
</text>
  </threadedComment>
  <threadedComment ref="I54" dT="2023-10-21T16:17:16.27" personId="{162AB44F-DFE3-4D81-BA80-B8BCA30146B6}" id="{3932DE87-10C8-4506-A5B5-666B0F40DCD8}">
    <text>Phone Price level of plus premiumization trend commence when economic outlook gets better (greater proportion of mid/high phone segment)</text>
  </threadedComment>
  <threadedComment ref="A63" dT="2023-10-20T08:36:20.59" personId="{30379DBF-ECF2-455A-B30A-7E7580168058}" id="{145C6717-AEBF-42EB-81E3-90731B254F88}">
    <text>source là gì vậy?</text>
  </threadedComment>
  <threadedComment ref="A63" dT="2023-10-20T08:40:18.38" personId="{162AB44F-DFE3-4D81-BA80-B8BCA30146B6}" id="{A64A50EB-9983-47DB-AB17-FA340B0F84CB}" parentId="{145C6717-AEBF-42EB-81E3-90731B254F88}">
    <text>DGW sales is market size as DGW cover 100% sales in VN before 2022, In 2022, 80%</text>
  </threadedComment>
  <threadedComment ref="H67" dT="2023-10-21T05:12:51.45" personId="{30379DBF-ECF2-455A-B30A-7E7580168058}" id="{62CD03FE-106A-4BF8-977C-46B4D1852FFA}">
    <text>concern #1</text>
  </threadedComment>
  <threadedComment ref="H69" dT="2023-10-21T05:17:58.59" personId="{30379DBF-ECF2-455A-B30A-7E7580168058}" id="{6DAC84DA-C087-40C0-82D9-AA92D63DEB94}">
    <text>concern #3</text>
  </threadedComment>
  <threadedComment ref="H78" dT="2023-10-30T09:19:03.68" personId="{162AB44F-DFE3-4D81-BA80-B8BCA30146B6}" id="{1798BA65-9474-49DE-8BC1-2963B5D99C18}">
    <text>According to Mr.Viet chairman</text>
  </threadedComment>
  <threadedComment ref="H112" dT="2023-11-06T14:25:48.87" personId="{04DFFA5E-CD98-4889-9210-2F3F2C067F67}" id="{0B5A4F10-4F9D-4CE6-B97E-C26CA9220824}">
    <text>According to the chairman</text>
  </threadedComment>
</ThreadedComments>
</file>

<file path=xl/threadedComments/threadedComment5.xml><?xml version="1.0" encoding="utf-8"?>
<ThreadedComments xmlns="http://schemas.microsoft.com/office/spreadsheetml/2018/threadedcomments" xmlns:x="http://schemas.openxmlformats.org/spreadsheetml/2006/main">
  <threadedComment ref="Q21" dT="2023-10-25T06:30:49.19" personId="{7DD1B044-CC21-4569-8DD1-11357A61E937}" id="{24847292-7C11-472C-A1C2-329D9EA6A9BF}">
    <text>Wordcup</text>
  </threadedComment>
</ThreadedComments>
</file>

<file path=xl/threadedComments/threadedComment6.xml><?xml version="1.0" encoding="utf-8"?>
<ThreadedComments xmlns="http://schemas.microsoft.com/office/spreadsheetml/2018/threadedcomments" xmlns:x="http://schemas.openxmlformats.org/spreadsheetml/2006/main">
  <threadedComment ref="A39" dT="2023-09-28T09:13:09.80" personId="{162AB44F-DFE3-4D81-BA80-B8BCA30146B6}" id="{C5A5A2C1-D17A-4E65-AB1E-08C4A79609F8}">
    <text>EBIT(1-t)/(Fixed assets+ Intangible Assets+Current Assets - Current Liability - Cash)</text>
  </threadedComment>
  <threadedComment ref="A40" dT="2023-09-28T09:13:51.62" personId="{162AB44F-DFE3-4D81-BA80-B8BCA30146B6}" id="{E084A02D-650D-4D83-A459-17A7AE49FB73}">
    <text>EBIT/(Total asset - current liabilities)</text>
  </threadedComment>
  <threadedComment ref="A60" dT="2023-09-28T09:41:38.07" personId="{162AB44F-DFE3-4D81-BA80-B8BCA30146B6}" id="{9163676D-E5AD-45BD-B583-62175216E2C4}">
    <text>Revenue / Average(trade account receivable)</text>
  </threadedComment>
</ThreadedComments>
</file>

<file path=xl/threadedComments/threadedComment7.xml><?xml version="1.0" encoding="utf-8"?>
<ThreadedComments xmlns="http://schemas.microsoft.com/office/spreadsheetml/2018/threadedcomments" xmlns:x="http://schemas.openxmlformats.org/spreadsheetml/2006/main">
  <threadedComment ref="O137" dT="2023-10-17T17:17:41.60" personId="{162AB44F-DFE3-4D81-BA80-B8BCA30146B6}" id="{A220EB6F-F53A-42C2-B8DD-D8366887B44C}">
    <text xml:space="preserve"> Vietnam, being an export-driven economy, witnessed a shipment decline of 24% as it was highly exposed to the global economic slowdown. </text>
  </threadedComment>
  <threadedComment ref="O137" dT="2023-10-17T17:18:02.88" personId="{162AB44F-DFE3-4D81-BA80-B8BCA30146B6}" id="{F3D270AF-2366-4BFF-9F9F-C3F492B36921}" parentId="{A220EB6F-F53A-42C2-B8DD-D8366887B44C}">
    <text>https://www.canalys.com/newsroom/southeast-asian-smartphone-market-q2-2023</text>
    <extLst>
      <x:ext xmlns:xltc2="http://schemas.microsoft.com/office/spreadsheetml/2020/threadedcomments2" uri="{F7C98A9C-CBB3-438F-8F68-D28B6AF4A901}">
        <xltc2:checksum>1304170226</xltc2:checksum>
        <xltc2:hyperlink startIndex="0" length="74" url="https://www.canalys.com/newsroom/southeast-asian-smartphone-market-q2-2023"/>
      </x:ext>
    </extLst>
  </threadedComment>
  <threadedComment ref="B184" dT="2023-10-19T11:03:27.19" personId="{D8B99054-113F-4B19-9E0D-3B3EABF40654}" id="{EE51EE00-2536-4894-8315-5118679263CA}">
    <text>Số này là sao ta =)) Sao smartphone grow có 0.8% CAGR ?</text>
  </threadedComment>
  <threadedComment ref="B188" dT="2023-10-14T17:17:52.05" personId="{1010F42D-30F4-4F6E-A3DA-1876C4534F39}" id="{A884BC76-AC9B-4448-B97F-062885E17E5F}">
    <text>Can check GSO</text>
  </threadedComment>
  <threadedComment ref="B188" dT="2023-10-14T17:20:09.49" personId="{1010F42D-30F4-4F6E-A3DA-1876C4534F39}" id="{84FC0EA1-819F-47AD-AB85-17427FA14DE5}" parentId="{A884BC76-AC9B-4448-B97F-062885E17E5F}">
    <text>According to VND there are number in GSO</text>
  </threadedComment>
  <threadedComment ref="B194" dT="2023-10-19T11:03:59.29" personId="{D8B99054-113F-4B19-9E0D-3B3EABF40654}" id="{41972C04-02D1-4A50-9BAF-CF176B711B43}">
    <text>Laptop grow chậm vậy á ? T thấy cái RMIT nó ghi laptop CAGR = 8.8% mà</text>
  </threadedComment>
</ThreadedComments>
</file>

<file path=xl/threadedComments/threadedComment8.xml><?xml version="1.0" encoding="utf-8"?>
<ThreadedComments xmlns="http://schemas.microsoft.com/office/spreadsheetml/2018/threadedcomments" xmlns:x="http://schemas.openxmlformats.org/spreadsheetml/2006/main">
  <threadedComment ref="D19" dT="2023-10-13T13:33:41.28" personId="{D8B99054-113F-4B19-9E0D-3B3EABF40654}" id="{F8D03DC7-422A-48D0-9030-EC6651CCA12F}">
    <text>Assume only construction &amp; mining workers have helmets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sis.listedcompany.com/misc/PRESN/20230405-sis-oppday-fy2022.pdf" TargetMode="External"/><Relationship Id="rId7" Type="http://schemas.openxmlformats.org/officeDocument/2006/relationships/comments" Target="../comments1.xml"/><Relationship Id="rId2" Type="http://schemas.openxmlformats.org/officeDocument/2006/relationships/hyperlink" Target="https://www.synnex.co.th/th/pdf/ir/AnnualReport/AnnualSynnex2022_ENG.pdf" TargetMode="External"/><Relationship Id="rId1" Type="http://schemas.openxmlformats.org/officeDocument/2006/relationships/hyperlink" Target="https://vstecs.listedcompany.com/misc/VSTECS_ar2022.pdf" TargetMode="External"/><Relationship Id="rId6" Type="http://schemas.openxmlformats.org/officeDocument/2006/relationships/vmlDrawing" Target="../drawings/vmlDrawing1.v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hyperlink" Target="https://s.cafef.vn/dgw-404543/dgw-3182022-giao-dich-72477918-cp-niem-yet-bo-sung.chn"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s://www.gartner.com/en/newsroom/press-releases/2023-02-02-navigating-the-dynamics-of-the-chip-market-cyclicality-is-back"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e.vnexpress.net/news/economy/xiaomi-production-in-vietnam-triggers-debate-in-china-4484633.htmlX" TargetMode="External"/><Relationship Id="rId1" Type="http://schemas.openxmlformats.org/officeDocument/2006/relationships/hyperlink" Target="https://tapchitaichinh.vn/iphone-dat-nhat-luon-ban-chay-o-viet-nam-nhung-doanh-so-giam-o-thi-truong-toan-cau.html"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pages.stern.nyu.edu/~adamodar/New_Home_Page/datafile/ratings.html"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idc.com/getdoc.jsp?containerId=prAP50389223" TargetMode="External"/><Relationship Id="rId13" Type="http://schemas.openxmlformats.org/officeDocument/2006/relationships/hyperlink" Target="https://www.counterpointresearch.com/insights/vietnam-smartphone-market-q2-2021/" TargetMode="External"/><Relationship Id="rId18" Type="http://schemas.openxmlformats.org/officeDocument/2006/relationships/hyperlink" Target="https://www.counterpointresearch.com/insights_tag/thailand-smartphone-market/" TargetMode="External"/><Relationship Id="rId3" Type="http://schemas.openxmlformats.org/officeDocument/2006/relationships/hyperlink" Target="https://www.counterpointresearch.com/insights/vietnam-smartphone-shipments-market-q1-2022/" TargetMode="External"/><Relationship Id="rId21" Type="http://schemas.openxmlformats.org/officeDocument/2006/relationships/drawing" Target="../drawings/drawing12.xml"/><Relationship Id="rId7" Type="http://schemas.openxmlformats.org/officeDocument/2006/relationships/hyperlink" Target="https://www.counterpointresearch.com/zh-hans/insights/sea-smartphone-market-q1-2023/" TargetMode="External"/><Relationship Id="rId12" Type="http://schemas.openxmlformats.org/officeDocument/2006/relationships/hyperlink" Target="https://www.counterpointresearch.com/insights_tag/vietnam-smartphone-sales/" TargetMode="External"/><Relationship Id="rId17" Type="http://schemas.openxmlformats.org/officeDocument/2006/relationships/hyperlink" Target="https://www.idc.com/getdoc.jsp?containerId=prAP50404323" TargetMode="External"/><Relationship Id="rId2" Type="http://schemas.openxmlformats.org/officeDocument/2006/relationships/hyperlink" Target="https://www.counterpointresearch.com/insights/vietnam-smartphone-market-q2-2021/" TargetMode="External"/><Relationship Id="rId16" Type="http://schemas.openxmlformats.org/officeDocument/2006/relationships/hyperlink" Target="https://www.counterpointresearch.com/insights_tag/thailand-smartphone-market/" TargetMode="External"/><Relationship Id="rId20" Type="http://schemas.openxmlformats.org/officeDocument/2006/relationships/hyperlink" Target="https://www.statista.com/statistics/749375/south-korea-laptop-computer-ownership-rate/" TargetMode="External"/><Relationship Id="rId1" Type="http://schemas.openxmlformats.org/officeDocument/2006/relationships/hyperlink" Target="https://www.counterpointresearch.com/insights_tag/vietnam-smartphone-sales/" TargetMode="External"/><Relationship Id="rId6" Type="http://schemas.openxmlformats.org/officeDocument/2006/relationships/hyperlink" Target="https://www.counterpointresearch.com/insights/vietnam-q3-2022-smartphone-shipments/" TargetMode="External"/><Relationship Id="rId11" Type="http://schemas.openxmlformats.org/officeDocument/2006/relationships/hyperlink" Target="https://www.counterpointresearch.com/insights/vietnam-smartphone-shipments-market-q1-2022/" TargetMode="External"/><Relationship Id="rId24" Type="http://schemas.microsoft.com/office/2017/10/relationships/threadedComment" Target="../threadedComments/threadedComment7.xml"/><Relationship Id="rId5" Type="http://schemas.openxmlformats.org/officeDocument/2006/relationships/hyperlink" Target="https://www.counterpointresearch.com/insights/vietnam-q2-2022-smartphone-shipments/" TargetMode="External"/><Relationship Id="rId15" Type="http://schemas.openxmlformats.org/officeDocument/2006/relationships/hyperlink" Target="https://www.idc.com/getdoc.jsp?containerId=prAP50404323" TargetMode="External"/><Relationship Id="rId23" Type="http://schemas.openxmlformats.org/officeDocument/2006/relationships/comments" Target="../comments8.xml"/><Relationship Id="rId10" Type="http://schemas.openxmlformats.org/officeDocument/2006/relationships/hyperlink" Target="https://www.canalys.com/newsroom/southeast-asian-smartphone-market-q2-2023" TargetMode="External"/><Relationship Id="rId19" Type="http://schemas.openxmlformats.org/officeDocument/2006/relationships/hyperlink" Target="https://www.statista.com/outlook/cmo/consumer-electronics/computing/laptops/vietnam" TargetMode="External"/><Relationship Id="rId4" Type="http://schemas.openxmlformats.org/officeDocument/2006/relationships/hyperlink" Target="https://www.counterpointresearch.com/insights_tag/vietnam/" TargetMode="External"/><Relationship Id="rId9" Type="http://schemas.openxmlformats.org/officeDocument/2006/relationships/hyperlink" Target="https://www.counterpointresearch.com/insights/vietnam-smartphone-market-q3-2021/" TargetMode="External"/><Relationship Id="rId14" Type="http://schemas.openxmlformats.org/officeDocument/2006/relationships/hyperlink" Target="https://www.counterpointresearch.com/insights/vietnam-smartphone-market-q3-2021/" TargetMode="External"/><Relationship Id="rId22"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www.grandviewresearch.com/industry-analysis/southeast-asia-personal-protective-equipment-ppe-market" TargetMode="External"/><Relationship Id="rId4" Type="http://schemas.microsoft.com/office/2017/10/relationships/threadedComment" Target="../threadedComments/threadedComment8.xml"/></Relationships>
</file>

<file path=xl/worksheets/_rels/sheet19.xml.rels><?xml version="1.0" encoding="UTF-8" standalone="yes"?>
<Relationships xmlns="http://schemas.openxmlformats.org/package/2006/relationships"><Relationship Id="rId8" Type="http://schemas.openxmlformats.org/officeDocument/2006/relationships/hyperlink" Target="https://digiworld.com.vn/cau-chuyen-thanh-cong/t%E1%BB%AB-chuy%E1%BB%87n-acer-b%C3%A1n-ph%C3%A1-gi%C3%A1-laptop-n%C4%83m-2000-b%E1%BA%A5t-ng%E1%BB%9D-v%E1%BB%9Bi-c%C3%B4ng-th%E1%BB%A9c-th%C3%A0nh-c%C3%B4ng-kh%C3%A1c-bi%E1%BB%87t-c%E1%BB%A7a-%C3%B4ng-l%E1%BB%9Bn-digiworld" TargetMode="External"/><Relationship Id="rId3" Type="http://schemas.openxmlformats.org/officeDocument/2006/relationships/hyperlink" Target="https://vietnamnet.vn/iphone-xach-tay-ngac-ngoai-mot-ong-lon-tu-tin-dat-doanh-thu-ty-usd-821394.html" TargetMode="External"/><Relationship Id="rId7" Type="http://schemas.openxmlformats.org/officeDocument/2006/relationships/hyperlink" Target="https://digiworld.com.vn/cau-chuyen-thanh-cong/t%E1%BB%AB-chuy%E1%BB%87n-acer-b%C3%A1n-ph%C3%A1-gi%C3%A1-laptop-n%C4%83m-2000-b%E1%BA%A5t-ng%E1%BB%9D-v%E1%BB%9Bi-c%C3%B4ng-th%E1%BB%A9c-th%C3%A0nh-c%C3%B4ng-kh%C3%A1c-bi%E1%BB%87t-c%E1%BB%A7a-%C3%B4ng-l%E1%BB%9Bn-digiworld" TargetMode="External"/><Relationship Id="rId2" Type="http://schemas.openxmlformats.org/officeDocument/2006/relationships/hyperlink" Target="https://www.brandsvietnam.com/22463-The-Gioi-Di-Dong-chiem-1-3-thi-phan-Apple-muc-tieu-nam-2022-len-45" TargetMode="External"/><Relationship Id="rId1" Type="http://schemas.openxmlformats.org/officeDocument/2006/relationships/hyperlink" Target="https://vir.com.vn/digiworld-unable-to-grasp-market-78464.html" TargetMode="External"/><Relationship Id="rId6" Type="http://schemas.openxmlformats.org/officeDocument/2006/relationships/hyperlink" Target="https://cafef.vn/xiaomi-them-nha-phan-phoi-tai-viet-nam-digiworld-dgw-lieu-co-anh-huong-20220121094939466.chn" TargetMode="External"/><Relationship Id="rId5" Type="http://schemas.openxmlformats.org/officeDocument/2006/relationships/hyperlink" Target="https://cafef.vn/xiaomi-them-nha-phan-phoi-tai-viet-nam-digiworld-dgw-lieu-co-anh-huong-20220121094939466.chn" TargetMode="External"/><Relationship Id="rId10" Type="http://schemas.openxmlformats.org/officeDocument/2006/relationships/drawing" Target="../drawings/drawing13.xml"/><Relationship Id="rId4" Type="http://schemas.openxmlformats.org/officeDocument/2006/relationships/hyperlink" Target="https://baodautu.vn/digiworld-ban-tu-cai-kim-soi-chi-den-tau-thuy-may-bay-huong-muc-tieu-von-hoa-ty-usd-d140899.html" TargetMode="External"/><Relationship Id="rId9" Type="http://schemas.openxmlformats.org/officeDocument/2006/relationships/hyperlink" Target="https://24hmoney.vn/news/the-gioi-so-dgw-tham-vong-tang-truong-manh-trong-mang-gia-dung-va-thiet-bi-van-phong-c30a1654742.html"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7C1A9-FF4E-4B59-8468-7D83C1FB04D1}">
  <sheetPr>
    <tabColor theme="5" tint="-0.249977111117893"/>
  </sheetPr>
  <dimension ref="A2:O125"/>
  <sheetViews>
    <sheetView topLeftCell="A7" zoomScaleNormal="100" workbookViewId="0">
      <selection activeCell="D13" sqref="D13"/>
    </sheetView>
  </sheetViews>
  <sheetFormatPr defaultColWidth="9.140625" defaultRowHeight="15"/>
  <cols>
    <col min="1" max="1" width="9.140625" style="402"/>
    <col min="2" max="2" width="23.5703125" style="402" bestFit="1" customWidth="1"/>
    <col min="3" max="3" width="15.85546875" style="402" bestFit="1" customWidth="1"/>
    <col min="4" max="4" width="18.42578125" style="402" customWidth="1"/>
    <col min="5" max="8" width="16.140625" style="402" customWidth="1"/>
    <col min="9" max="9" width="20" style="303" customWidth="1"/>
    <col min="10" max="12" width="9.140625" style="402"/>
    <col min="13" max="13" width="19.5703125" style="402" customWidth="1"/>
    <col min="14" max="15" width="9" style="402" customWidth="1"/>
    <col min="16" max="16384" width="9.140625" style="402"/>
  </cols>
  <sheetData>
    <row r="2" spans="1:15">
      <c r="A2" s="402">
        <v>0</v>
      </c>
      <c r="B2" s="402" t="s">
        <v>0</v>
      </c>
    </row>
    <row r="3" spans="1:15">
      <c r="C3" s="402" t="s">
        <v>1</v>
      </c>
      <c r="D3" s="402" t="s">
        <v>2</v>
      </c>
    </row>
    <row r="4" spans="1:15">
      <c r="B4" s="402" t="s">
        <v>3</v>
      </c>
      <c r="C4" s="43">
        <v>40</v>
      </c>
      <c r="D4" s="43">
        <v>60</v>
      </c>
      <c r="E4" s="981"/>
    </row>
    <row r="5" spans="1:15">
      <c r="B5" s="402" t="s">
        <v>4</v>
      </c>
      <c r="C5" s="415">
        <f>F45</f>
        <v>41.920658443071012</v>
      </c>
      <c r="D5" s="415">
        <f>H45</f>
        <v>50.903656680871947</v>
      </c>
      <c r="E5" s="981"/>
    </row>
    <row r="6" spans="1:15">
      <c r="B6" s="402" t="s">
        <v>5</v>
      </c>
      <c r="C6" s="43">
        <v>28.7</v>
      </c>
      <c r="D6" s="43">
        <v>61.4</v>
      </c>
    </row>
    <row r="7" spans="1:15">
      <c r="B7" s="402" t="s">
        <v>6</v>
      </c>
      <c r="C7" s="43">
        <v>44</v>
      </c>
      <c r="D7" s="43">
        <v>69</v>
      </c>
    </row>
    <row r="10" spans="1:15" ht="15.75" customHeight="1">
      <c r="A10" s="43">
        <v>1</v>
      </c>
      <c r="B10" s="410" t="s">
        <v>7</v>
      </c>
      <c r="C10" s="410"/>
      <c r="D10" s="410"/>
      <c r="F10" s="43"/>
    </row>
    <row r="11" spans="1:15" ht="25.5" customHeight="1">
      <c r="A11" s="43"/>
      <c r="F11" s="43"/>
      <c r="N11" s="1543"/>
      <c r="O11" s="1543"/>
    </row>
    <row r="12" spans="1:15">
      <c r="A12" s="43"/>
      <c r="B12" s="782" t="s">
        <v>8</v>
      </c>
      <c r="C12" s="779" t="s">
        <v>9</v>
      </c>
      <c r="D12" s="779" t="s">
        <v>10</v>
      </c>
      <c r="F12" s="43"/>
    </row>
    <row r="13" spans="1:15">
      <c r="A13" s="43"/>
      <c r="B13" s="303" t="s">
        <v>3</v>
      </c>
      <c r="C13" s="452">
        <v>0.75</v>
      </c>
      <c r="D13" s="979">
        <f>'A. FCFF'!K33</f>
        <v>57.985153306869343</v>
      </c>
      <c r="F13" s="43"/>
    </row>
    <row r="14" spans="1:15">
      <c r="A14" s="43"/>
      <c r="B14" s="303" t="s">
        <v>11</v>
      </c>
      <c r="C14" s="452">
        <v>0.25</v>
      </c>
      <c r="D14" s="979">
        <f>'1. VALUATION &gt;'!$G$45</f>
        <v>47.844154127480557</v>
      </c>
      <c r="F14" s="43"/>
    </row>
    <row r="15" spans="1:15">
      <c r="A15" s="43"/>
      <c r="B15" s="441" t="s">
        <v>12</v>
      </c>
      <c r="C15" s="781"/>
      <c r="D15" s="977">
        <f>SUMPRODUCT(D13:D14,C13:C14)</f>
        <v>55.449903512022146</v>
      </c>
      <c r="F15" s="43"/>
    </row>
    <row r="16" spans="1:15">
      <c r="A16" s="43"/>
      <c r="B16" s="303" t="s">
        <v>13</v>
      </c>
      <c r="C16" s="303" t="s">
        <v>14</v>
      </c>
      <c r="D16" s="302">
        <v>46.5</v>
      </c>
      <c r="F16" s="43"/>
    </row>
    <row r="17" spans="1:6">
      <c r="A17" s="43"/>
      <c r="B17" s="441" t="s">
        <v>15</v>
      </c>
      <c r="C17" s="781"/>
      <c r="D17" s="980">
        <f>D15/D16-1</f>
        <v>0.19247104326929354</v>
      </c>
      <c r="F17" s="43"/>
    </row>
    <row r="22" spans="1:6">
      <c r="B22" s="410" t="s">
        <v>16</v>
      </c>
    </row>
    <row r="24" spans="1:6">
      <c r="B24" s="776" t="s">
        <v>17</v>
      </c>
      <c r="C24" s="777">
        <f>'F. WACC'!B15</f>
        <v>0.12243495341136215</v>
      </c>
    </row>
    <row r="25" spans="1:6">
      <c r="B25" s="409" t="s">
        <v>18</v>
      </c>
      <c r="C25" s="778">
        <f>'F. WACC'!B9</f>
        <v>0.14140777702098606</v>
      </c>
    </row>
    <row r="26" spans="1:6">
      <c r="B26" s="43" t="s">
        <v>19</v>
      </c>
      <c r="C26" s="501">
        <f>'F. WACC'!B5</f>
        <v>3.0165511508951456E-2</v>
      </c>
    </row>
    <row r="27" spans="1:6">
      <c r="B27" s="43" t="s">
        <v>20</v>
      </c>
      <c r="C27" s="780">
        <f>'F. WACC'!B7</f>
        <v>0.72501906187148646</v>
      </c>
    </row>
    <row r="28" spans="1:6">
      <c r="B28" s="43" t="s">
        <v>21</v>
      </c>
      <c r="C28" s="780">
        <f>'F. WACC'!B8</f>
        <v>1.1624061182030783</v>
      </c>
    </row>
    <row r="29" spans="1:6">
      <c r="B29" s="43" t="s">
        <v>22</v>
      </c>
      <c r="C29" s="501">
        <f>'F. WACC'!B6</f>
        <v>9.5699999999999993E-2</v>
      </c>
    </row>
    <row r="30" spans="1:6">
      <c r="B30" s="409" t="s">
        <v>23</v>
      </c>
      <c r="C30" s="778">
        <f>'F. WACC'!B12</f>
        <v>4.6543658972866477E-2</v>
      </c>
    </row>
    <row r="31" spans="1:6">
      <c r="B31" s="43" t="s">
        <v>24</v>
      </c>
      <c r="C31" s="501">
        <f>'F. WACC'!B10</f>
        <v>5.8488864012663774E-2</v>
      </c>
    </row>
    <row r="32" spans="1:6">
      <c r="B32" s="43" t="s">
        <v>25</v>
      </c>
      <c r="C32" s="501">
        <f>'F. WACC'!B11</f>
        <v>0.20423041619018223</v>
      </c>
    </row>
    <row r="33" spans="2:9">
      <c r="B33" s="409" t="s">
        <v>26</v>
      </c>
      <c r="C33" s="778">
        <f>'F. WACC'!B13</f>
        <v>0.8</v>
      </c>
    </row>
    <row r="34" spans="2:9">
      <c r="B34" s="409" t="s">
        <v>27</v>
      </c>
      <c r="C34" s="778">
        <f>'F. WACC'!B14</f>
        <v>0.19999999999999996</v>
      </c>
    </row>
    <row r="37" spans="2:9">
      <c r="B37" s="410" t="s">
        <v>28</v>
      </c>
    </row>
    <row r="39" spans="2:9">
      <c r="B39" s="1544" t="s">
        <v>29</v>
      </c>
      <c r="C39" s="1544"/>
      <c r="E39" s="403"/>
      <c r="F39" s="945" t="s">
        <v>30</v>
      </c>
      <c r="G39" s="945" t="s">
        <v>31</v>
      </c>
      <c r="H39" s="945" t="s">
        <v>32</v>
      </c>
      <c r="I39" s="945" t="s">
        <v>9</v>
      </c>
    </row>
    <row r="40" spans="2:9">
      <c r="B40" s="410" t="s">
        <v>33</v>
      </c>
      <c r="C40" s="785">
        <f>'A. FCFF'!V13</f>
        <v>0.03</v>
      </c>
      <c r="E40" s="303" t="s">
        <v>34</v>
      </c>
      <c r="F40" s="572"/>
      <c r="G40" s="944">
        <f>'B. PE'!U17</f>
        <v>14.525668741893634</v>
      </c>
      <c r="H40" s="43"/>
      <c r="I40" s="576"/>
    </row>
    <row r="41" spans="2:9">
      <c r="B41" s="303" t="s">
        <v>35</v>
      </c>
      <c r="C41" s="720">
        <f>'A. FCFF'!K21</f>
        <v>2760.9562996360673</v>
      </c>
      <c r="E41" s="303" t="s">
        <v>36</v>
      </c>
      <c r="F41" s="972">
        <v>0</v>
      </c>
      <c r="G41" s="972">
        <f>'B. PE'!U22</f>
        <v>0.1</v>
      </c>
      <c r="H41" s="972">
        <v>0.13500000000000001</v>
      </c>
      <c r="I41" s="2"/>
    </row>
    <row r="42" spans="2:9">
      <c r="B42" s="303" t="s">
        <v>37</v>
      </c>
      <c r="C42" s="720">
        <f>'A. FCFF'!K23</f>
        <v>4882.8860206473046</v>
      </c>
      <c r="E42" s="548" t="s">
        <v>38</v>
      </c>
      <c r="F42" s="973">
        <v>14</v>
      </c>
      <c r="G42" s="973">
        <f>$G$40*(1+G41)</f>
        <v>15.978235616082999</v>
      </c>
      <c r="H42" s="973">
        <v>17</v>
      </c>
      <c r="I42" s="971"/>
    </row>
    <row r="43" spans="2:9">
      <c r="B43" s="410" t="s">
        <v>39</v>
      </c>
      <c r="C43" s="783">
        <f>SUM(C41:C42)</f>
        <v>7643.8423202833719</v>
      </c>
      <c r="E43" s="303" t="s">
        <v>40</v>
      </c>
      <c r="F43" s="415"/>
      <c r="G43" s="415">
        <f>'A. FS'!N89</f>
        <v>2384.5787843875823</v>
      </c>
      <c r="H43" s="415"/>
      <c r="I43" s="726">
        <v>0.1</v>
      </c>
    </row>
    <row r="44" spans="2:9">
      <c r="B44" s="303" t="s">
        <v>41</v>
      </c>
      <c r="C44" s="720">
        <f>SUM('A. FCFF'!K29:K30)</f>
        <v>470.98741217325039</v>
      </c>
      <c r="E44" s="303" t="s">
        <v>42</v>
      </c>
      <c r="F44" s="415"/>
      <c r="G44" s="415">
        <f>'A. FS'!O89</f>
        <v>3062.0831861054285</v>
      </c>
      <c r="H44" s="415"/>
      <c r="I44" s="726">
        <v>0.9</v>
      </c>
    </row>
    <row r="45" spans="2:9">
      <c r="B45" s="410" t="s">
        <v>43</v>
      </c>
      <c r="C45" s="783">
        <f>C43-C44</f>
        <v>7172.8549081101219</v>
      </c>
      <c r="E45" s="441" t="s">
        <v>44</v>
      </c>
      <c r="F45" s="982">
        <f>F42*(G43*$I43+G44*$I44)/1000</f>
        <v>41.920658443071012</v>
      </c>
      <c r="G45" s="982">
        <f>G42*(G43*$I43+G44*$I44)/1000</f>
        <v>47.844154127480557</v>
      </c>
      <c r="H45" s="982">
        <f>H42*(G43*$I43+G44*$I44)/1000</f>
        <v>50.903656680871947</v>
      </c>
      <c r="I45" s="786">
        <f>SUM(I43:I44)</f>
        <v>1</v>
      </c>
    </row>
    <row r="46" spans="2:9">
      <c r="B46" s="303" t="s">
        <v>45</v>
      </c>
      <c r="C46" s="720">
        <f>'A. FCFF'!K32</f>
        <v>167.07297399999999</v>
      </c>
    </row>
    <row r="47" spans="2:9">
      <c r="B47" s="410" t="s">
        <v>46</v>
      </c>
      <c r="C47" s="783">
        <f>C45/C46*1000</f>
        <v>42932.466792086445</v>
      </c>
    </row>
    <row r="48" spans="2:9">
      <c r="B48" s="303" t="s">
        <v>15</v>
      </c>
      <c r="C48" s="784">
        <f>C47/'A. FCFF'!K34/1000-1</f>
        <v>-0.16635986811482628</v>
      </c>
    </row>
    <row r="52" spans="1:12">
      <c r="C52" s="402" t="s">
        <v>47</v>
      </c>
      <c r="D52" s="402" t="s">
        <v>48</v>
      </c>
      <c r="E52" s="402" t="s">
        <v>49</v>
      </c>
      <c r="F52" s="402" t="s">
        <v>50</v>
      </c>
      <c r="G52" s="402" t="s">
        <v>51</v>
      </c>
      <c r="H52" s="402" t="s">
        <v>52</v>
      </c>
      <c r="I52" s="402" t="s">
        <v>53</v>
      </c>
    </row>
    <row r="53" spans="1:12">
      <c r="B53" s="402" t="s">
        <v>54</v>
      </c>
      <c r="C53" s="791">
        <f>'A. FS'!M73</f>
        <v>3.1038026885895055E-2</v>
      </c>
      <c r="D53" s="791">
        <f>'A. FS'!N73</f>
        <v>1.9810852887759332E-2</v>
      </c>
      <c r="E53" s="791">
        <f>'A. FS'!O73</f>
        <v>2.2291180181882607E-2</v>
      </c>
      <c r="F53" s="791">
        <f>'A. FS'!P73</f>
        <v>2.2862297760626531E-2</v>
      </c>
      <c r="G53" s="791">
        <f>'A. FS'!Q73</f>
        <v>2.4032646812503614E-2</v>
      </c>
      <c r="H53" s="791">
        <f>'A. FS'!R73</f>
        <v>2.6069416865796259E-2</v>
      </c>
      <c r="I53" s="791">
        <f>'A. FS'!S73</f>
        <v>2.8151252634239655E-2</v>
      </c>
    </row>
    <row r="54" spans="1:12">
      <c r="B54" s="402" t="s">
        <v>55</v>
      </c>
      <c r="C54" s="791">
        <f>'A. FS'!M33</f>
        <v>3.6543162925324849E-2</v>
      </c>
      <c r="D54" s="791">
        <f>'A. FS'!N33</f>
        <v>2.3955185293050279E-2</v>
      </c>
      <c r="E54" s="791">
        <f>'A. FS'!O33</f>
        <v>2.4744829979213821E-2</v>
      </c>
      <c r="F54" s="791">
        <f>'A. FS'!P33</f>
        <v>2.5704366905805052E-2</v>
      </c>
      <c r="G54" s="791">
        <f>'A. FS'!Q33</f>
        <v>2.7677934939352878E-2</v>
      </c>
      <c r="H54" s="791">
        <f>'A. FS'!R33</f>
        <v>2.9715873348645217E-2</v>
      </c>
      <c r="I54" s="791">
        <f>'A. FS'!S33</f>
        <v>3.1812338882370589E-2</v>
      </c>
    </row>
    <row r="55" spans="1:12">
      <c r="B55" s="402" t="s">
        <v>56</v>
      </c>
      <c r="C55" s="791">
        <f>'A. FS'!M14</f>
        <v>7.5498738263184512E-2</v>
      </c>
      <c r="D55" s="791">
        <f>'A. FS'!N14</f>
        <v>7.1646842025131621E-2</v>
      </c>
      <c r="E55" s="791">
        <f>'A. FS'!O14</f>
        <v>6.9810110316150392E-2</v>
      </c>
      <c r="F55" s="791">
        <f>'A. FS'!P14</f>
        <v>6.9810110316150392E-2</v>
      </c>
      <c r="G55" s="791">
        <f>'A. FS'!Q14</f>
        <v>7.0176347184113502E-2</v>
      </c>
      <c r="H55" s="791">
        <f>'A. FS'!R14</f>
        <v>7.1180629480356444E-2</v>
      </c>
      <c r="I55" s="791">
        <f>'A. FS'!S14</f>
        <v>7.2157250255878463E-2</v>
      </c>
    </row>
    <row r="59" spans="1:12">
      <c r="A59" s="823"/>
      <c r="B59" s="824" t="s">
        <v>57</v>
      </c>
      <c r="C59" s="823"/>
      <c r="D59" s="823"/>
      <c r="E59" s="823"/>
      <c r="F59" s="823"/>
      <c r="G59" s="823"/>
      <c r="H59" s="823"/>
      <c r="I59" s="548"/>
    </row>
    <row r="60" spans="1:12">
      <c r="G60" s="303"/>
      <c r="I60" s="402"/>
    </row>
    <row r="61" spans="1:12">
      <c r="B61" s="823"/>
      <c r="C61" s="1545" t="s">
        <v>58</v>
      </c>
      <c r="D61" s="1546"/>
      <c r="E61" s="823"/>
      <c r="F61" s="1545" t="s">
        <v>59</v>
      </c>
      <c r="G61" s="1546"/>
      <c r="I61" s="402"/>
    </row>
    <row r="62" spans="1:12">
      <c r="B62" s="401" t="s">
        <v>60</v>
      </c>
      <c r="C62" s="401" t="s">
        <v>61</v>
      </c>
      <c r="D62" s="401" t="s">
        <v>62</v>
      </c>
      <c r="E62" s="401"/>
      <c r="F62" s="401" t="s">
        <v>61</v>
      </c>
      <c r="G62" s="401" t="s">
        <v>62</v>
      </c>
      <c r="I62" s="402"/>
    </row>
    <row r="63" spans="1:12">
      <c r="B63" s="303" t="s">
        <v>63</v>
      </c>
      <c r="C63" s="57"/>
      <c r="D63" s="260"/>
      <c r="F63" s="57"/>
      <c r="G63" s="501"/>
      <c r="I63" s="402"/>
    </row>
    <row r="64" spans="1:12">
      <c r="B64" s="447" t="s">
        <v>64</v>
      </c>
      <c r="C64" s="57">
        <f>'B. Sales &amp; COGS'!N35</f>
        <v>0.24223303289941356</v>
      </c>
      <c r="D64" s="260">
        <f>'B. Sales &amp; COGS'!N60</f>
        <v>6.0999999999999999E-2</v>
      </c>
      <c r="E64" s="501"/>
      <c r="F64" s="57">
        <f>'B. Sales &amp; COGS'!S35</f>
        <v>0.1691902969748719</v>
      </c>
      <c r="G64" s="501">
        <f>'B. Sales &amp; COGS'!S60</f>
        <v>5.6399999999999999E-2</v>
      </c>
      <c r="H64" s="501"/>
      <c r="I64" s="791"/>
      <c r="J64" s="791"/>
      <c r="K64" s="791"/>
      <c r="L64" s="791"/>
    </row>
    <row r="65" spans="2:12">
      <c r="B65" s="447" t="s">
        <v>65</v>
      </c>
      <c r="C65" s="57">
        <f>'B. Sales &amp; COGS'!N36</f>
        <v>0.19888483203617979</v>
      </c>
      <c r="D65" s="260">
        <f>'B. Sales &amp; COGS'!N61</f>
        <v>5.8999999999999997E-2</v>
      </c>
      <c r="E65" s="501"/>
      <c r="F65" s="57">
        <f>'B. Sales &amp; COGS'!S36</f>
        <v>0.23168904035234844</v>
      </c>
      <c r="G65" s="501">
        <f>'B. Sales &amp; COGS'!S61</f>
        <v>5.3200000000000004E-2</v>
      </c>
      <c r="H65" s="501"/>
      <c r="I65" s="791"/>
      <c r="J65" s="791"/>
      <c r="K65" s="791"/>
      <c r="L65" s="791"/>
    </row>
    <row r="66" spans="2:12">
      <c r="B66" s="447" t="s">
        <v>66</v>
      </c>
      <c r="C66" s="57">
        <f>'B. Sales &amp; COGS'!N37</f>
        <v>4.4006581474394001E-3</v>
      </c>
      <c r="D66" s="260">
        <f>'B. Sales &amp; COGS'!N62</f>
        <v>7.0999999999999994E-2</v>
      </c>
      <c r="E66" s="501"/>
      <c r="F66" s="57">
        <f>'B. Sales &amp; COGS'!S37</f>
        <v>1.4216101813138982E-2</v>
      </c>
      <c r="G66" s="501">
        <f>'B. Sales &amp; COGS'!S62</f>
        <v>6.4500000000000002E-2</v>
      </c>
      <c r="H66" s="501"/>
      <c r="I66" s="791"/>
      <c r="J66" s="791"/>
      <c r="K66" s="791"/>
      <c r="L66" s="791"/>
    </row>
    <row r="67" spans="2:12">
      <c r="B67" s="303" t="s">
        <v>67</v>
      </c>
      <c r="C67" s="57">
        <f>'B. Sales &amp; COGS'!N38</f>
        <v>0.32966215144472671</v>
      </c>
      <c r="D67" s="260">
        <f>'B. Sales &amp; COGS'!N63</f>
        <v>7.0999999999999994E-2</v>
      </c>
      <c r="E67" s="501"/>
      <c r="F67" s="57">
        <f>'B. Sales &amp; COGS'!S38</f>
        <v>0.26206244369615272</v>
      </c>
      <c r="G67" s="501">
        <f>'B. Sales &amp; COGS'!S63</f>
        <v>6.7400000000000002E-2</v>
      </c>
      <c r="H67" s="501"/>
      <c r="I67" s="791"/>
      <c r="J67" s="791"/>
      <c r="K67" s="791"/>
      <c r="L67" s="791"/>
    </row>
    <row r="68" spans="2:12">
      <c r="B68" s="303" t="s">
        <v>68</v>
      </c>
      <c r="C68" s="57">
        <f>'B. Sales &amp; COGS'!N39</f>
        <v>0.15650232120819063</v>
      </c>
      <c r="D68" s="260">
        <f>'B. Sales &amp; COGS'!N64</f>
        <v>8.1000000000000003E-2</v>
      </c>
      <c r="E68" s="501"/>
      <c r="F68" s="57">
        <f>'B. Sales &amp; COGS'!S39</f>
        <v>0.19757304477199775</v>
      </c>
      <c r="G68" s="501">
        <f>'B. Sales &amp; COGS'!S64</f>
        <v>8.1000000000000003E-2</v>
      </c>
      <c r="H68" s="501"/>
      <c r="I68" s="791"/>
      <c r="J68" s="791"/>
      <c r="K68" s="791"/>
      <c r="L68" s="791"/>
    </row>
    <row r="69" spans="2:12">
      <c r="B69" s="303" t="s">
        <v>69</v>
      </c>
      <c r="C69" s="57">
        <f>'B. Sales &amp; COGS'!N40</f>
        <v>3.5619275120030235E-2</v>
      </c>
      <c r="D69" s="260">
        <f>'B. Sales &amp; COGS'!N65</f>
        <v>9.0999999999999998E-2</v>
      </c>
      <c r="E69" s="501"/>
      <c r="F69" s="57">
        <f>'B. Sales &amp; COGS'!S40</f>
        <v>5.3498887832737693E-2</v>
      </c>
      <c r="G69" s="501">
        <f>'B. Sales &amp; COGS'!S65</f>
        <v>9.0999999999999998E-2</v>
      </c>
      <c r="H69" s="501"/>
      <c r="I69" s="791"/>
      <c r="J69" s="791"/>
      <c r="K69" s="791"/>
      <c r="L69" s="791"/>
    </row>
    <row r="70" spans="2:12">
      <c r="B70" s="303" t="s">
        <v>70</v>
      </c>
      <c r="C70" s="57">
        <f>'B. Sales &amp; COGS'!N41</f>
        <v>3.2697729144019812E-2</v>
      </c>
      <c r="D70" s="260">
        <f>'B. Sales &amp; COGS'!N66</f>
        <v>0.151</v>
      </c>
      <c r="E70" s="501"/>
      <c r="F70" s="57">
        <f>'B. Sales &amp; COGS'!S41</f>
        <v>7.1770184558752573E-2</v>
      </c>
      <c r="G70" s="501">
        <f>'B. Sales &amp; COGS'!S66</f>
        <v>0.151</v>
      </c>
      <c r="H70" s="501"/>
      <c r="I70" s="791"/>
      <c r="J70" s="791"/>
      <c r="K70" s="791"/>
      <c r="L70" s="791"/>
    </row>
    <row r="71" spans="2:12">
      <c r="B71" s="781" t="s">
        <v>71</v>
      </c>
      <c r="C71" s="828">
        <f>SUM(C63:C70)</f>
        <v>1.0000000000000002</v>
      </c>
      <c r="D71" s="947">
        <f>SUMPRODUCT(C63:C70,D63:D70)</f>
        <v>7.108427873257582E-2</v>
      </c>
      <c r="E71" s="501"/>
      <c r="F71" s="828">
        <f>SUM(F63:F70)</f>
        <v>1.0000000000000002</v>
      </c>
      <c r="G71" s="947">
        <f>SUMPRODUCT(F63:F70,G63:G70)</f>
        <v>7.2157250255878463E-2</v>
      </c>
      <c r="H71" s="501"/>
      <c r="I71" s="797"/>
      <c r="J71" s="794"/>
      <c r="K71" s="793"/>
      <c r="L71" s="793"/>
    </row>
    <row r="72" spans="2:12">
      <c r="I72" s="402"/>
    </row>
    <row r="73" spans="2:12">
      <c r="B73" s="401" t="s">
        <v>72</v>
      </c>
      <c r="C73" s="794">
        <f>G71-D71</f>
        <v>1.0729715233026432E-3</v>
      </c>
      <c r="F73" s="427" t="s">
        <v>73</v>
      </c>
      <c r="G73" s="801">
        <f>C73-SUM(C84:D84)</f>
        <v>-3.4694469519536142E-18</v>
      </c>
      <c r="I73" s="402"/>
    </row>
    <row r="74" spans="2:12">
      <c r="D74" s="222" t="str">
        <f>IFERROR(IF((C74/'B. Sales &amp; COGS'!R75)^(1/8)-1&lt;0,"",(C74/'B. Sales &amp; COGS'!R75)^(1/8)-1),"")</f>
        <v/>
      </c>
      <c r="F74" s="414"/>
      <c r="G74" s="414"/>
      <c r="I74" s="402"/>
    </row>
    <row r="76" spans="2:12">
      <c r="B76" s="548" t="s">
        <v>74</v>
      </c>
      <c r="C76" s="781" t="s">
        <v>75</v>
      </c>
      <c r="D76" s="781" t="s">
        <v>76</v>
      </c>
      <c r="E76" s="402" t="s">
        <v>77</v>
      </c>
    </row>
    <row r="77" spans="2:12">
      <c r="B77" s="447" t="s">
        <v>64</v>
      </c>
      <c r="C77" s="799">
        <f t="shared" ref="C77:C83" si="0">D64*(F64-C64)</f>
        <v>-4.4556068913970412E-3</v>
      </c>
      <c r="D77" s="800">
        <f t="shared" ref="D77:D83" si="1">(G64-D64)*(F64)</f>
        <v>-7.7827536608441065E-4</v>
      </c>
      <c r="E77" s="793">
        <f t="shared" ref="E77:E83" si="2">D77+C77</f>
        <v>-5.2338822574814516E-3</v>
      </c>
      <c r="F77" s="793"/>
      <c r="I77" s="447"/>
    </row>
    <row r="78" spans="2:12">
      <c r="B78" s="447" t="s">
        <v>65</v>
      </c>
      <c r="C78" s="799">
        <f t="shared" si="0"/>
        <v>1.9354482906539501E-3</v>
      </c>
      <c r="D78" s="800">
        <f t="shared" si="1"/>
        <v>-1.3437964340436192E-3</v>
      </c>
      <c r="E78" s="793">
        <f t="shared" si="2"/>
        <v>5.9165185661033096E-4</v>
      </c>
      <c r="F78" s="793"/>
      <c r="I78" s="447"/>
    </row>
    <row r="79" spans="2:12">
      <c r="B79" s="447" t="s">
        <v>66</v>
      </c>
      <c r="C79" s="799">
        <f t="shared" si="0"/>
        <v>6.9689650026467031E-4</v>
      </c>
      <c r="D79" s="800">
        <f t="shared" si="1"/>
        <v>-9.240466178540327E-5</v>
      </c>
      <c r="E79" s="793">
        <f t="shared" si="2"/>
        <v>6.04491838479267E-4</v>
      </c>
      <c r="F79" s="793"/>
      <c r="I79" s="447"/>
    </row>
    <row r="80" spans="2:12">
      <c r="B80" s="303" t="s">
        <v>67</v>
      </c>
      <c r="C80" s="799">
        <f t="shared" si="0"/>
        <v>-4.7995792501487524E-3</v>
      </c>
      <c r="D80" s="800">
        <f t="shared" si="1"/>
        <v>-9.4342479730614775E-4</v>
      </c>
      <c r="E80" s="793">
        <f t="shared" si="2"/>
        <v>-5.7430040474549006E-3</v>
      </c>
      <c r="F80" s="793"/>
    </row>
    <row r="81" spans="2:9">
      <c r="B81" s="303" t="s">
        <v>68</v>
      </c>
      <c r="C81" s="799">
        <f t="shared" si="0"/>
        <v>3.3267286086683763E-3</v>
      </c>
      <c r="D81" s="800">
        <f t="shared" si="1"/>
        <v>0</v>
      </c>
      <c r="E81" s="793">
        <f t="shared" si="2"/>
        <v>3.3267286086683763E-3</v>
      </c>
      <c r="F81" s="793"/>
    </row>
    <row r="82" spans="2:9">
      <c r="B82" s="303" t="s">
        <v>69</v>
      </c>
      <c r="C82" s="799">
        <f t="shared" si="0"/>
        <v>1.6270447568563786E-3</v>
      </c>
      <c r="D82" s="800">
        <f t="shared" si="1"/>
        <v>0</v>
      </c>
      <c r="E82" s="793">
        <f t="shared" si="2"/>
        <v>1.6270447568563786E-3</v>
      </c>
      <c r="F82" s="793"/>
    </row>
    <row r="83" spans="2:9">
      <c r="B83" s="303" t="s">
        <v>70</v>
      </c>
      <c r="C83" s="799">
        <f t="shared" si="0"/>
        <v>5.8999407676246464E-3</v>
      </c>
      <c r="D83" s="800">
        <f t="shared" si="1"/>
        <v>0</v>
      </c>
      <c r="E83" s="793">
        <f t="shared" si="2"/>
        <v>5.8999407676246464E-3</v>
      </c>
      <c r="F83" s="793"/>
    </row>
    <row r="84" spans="2:9">
      <c r="B84" s="441" t="s">
        <v>78</v>
      </c>
      <c r="C84" s="825">
        <f>SUM(C77:C83)</f>
        <v>4.2308727825222277E-3</v>
      </c>
      <c r="D84" s="825">
        <f>SUM(D77:D83)</f>
        <v>-3.157901259219581E-3</v>
      </c>
      <c r="E84" s="793">
        <f>SUM(E77:E83)</f>
        <v>1.0729715233026458E-3</v>
      </c>
      <c r="F84" s="453"/>
      <c r="G84" s="793"/>
      <c r="H84" s="793"/>
      <c r="I84" s="402"/>
    </row>
    <row r="85" spans="2:9">
      <c r="I85" s="402"/>
    </row>
    <row r="86" spans="2:9">
      <c r="B86" s="410" t="s">
        <v>79</v>
      </c>
      <c r="C86" s="793"/>
      <c r="D86" s="222"/>
      <c r="F86" s="436"/>
      <c r="G86" s="436"/>
      <c r="I86" s="402"/>
    </row>
    <row r="87" spans="2:9">
      <c r="B87" s="401"/>
      <c r="C87" s="795"/>
      <c r="D87" s="222"/>
      <c r="F87" s="436"/>
      <c r="G87" s="436"/>
      <c r="I87" s="402"/>
    </row>
    <row r="88" spans="2:9">
      <c r="B88" s="441" t="s">
        <v>80</v>
      </c>
      <c r="C88" s="826">
        <f>'A. FS'!N33</f>
        <v>2.3955185293050279E-2</v>
      </c>
      <c r="D88" s="222"/>
      <c r="F88" s="436"/>
      <c r="G88" s="436"/>
      <c r="I88" s="402"/>
    </row>
    <row r="89" spans="2:9">
      <c r="B89" s="303" t="s">
        <v>81</v>
      </c>
      <c r="C89" s="831">
        <f>SUM(C77:C80)</f>
        <v>-6.622841350627174E-3</v>
      </c>
      <c r="D89" s="222"/>
      <c r="F89" s="401"/>
      <c r="G89" s="798"/>
      <c r="I89" s="402"/>
    </row>
    <row r="90" spans="2:9">
      <c r="B90" s="303" t="s">
        <v>82</v>
      </c>
      <c r="C90" s="774">
        <f>SUM(C81:C83)</f>
        <v>1.0853714133149402E-2</v>
      </c>
      <c r="D90" s="222"/>
      <c r="I90" s="402"/>
    </row>
    <row r="91" spans="2:9">
      <c r="B91" s="303" t="s">
        <v>83</v>
      </c>
      <c r="C91" s="774">
        <f>D84</f>
        <v>-3.157901259219581E-3</v>
      </c>
      <c r="D91" s="222"/>
      <c r="I91" s="402"/>
    </row>
    <row r="92" spans="2:9">
      <c r="B92" s="303" t="s">
        <v>84</v>
      </c>
      <c r="C92" s="800">
        <f>-('A. FS'!S18-'A. FS'!N18)-('A. FS'!S30-'A. FS'!N30)</f>
        <v>7.346745358573473E-3</v>
      </c>
      <c r="D92" s="222"/>
      <c r="I92" s="402"/>
    </row>
    <row r="93" spans="2:9">
      <c r="B93" s="410" t="s">
        <v>85</v>
      </c>
      <c r="C93" s="794">
        <f>SUM(C88:C92)</f>
        <v>3.2374902174926397E-2</v>
      </c>
      <c r="D93" s="222"/>
      <c r="I93" s="402"/>
    </row>
    <row r="94" spans="2:9">
      <c r="D94" s="222"/>
      <c r="I94" s="402"/>
    </row>
    <row r="95" spans="2:9">
      <c r="D95" s="222"/>
      <c r="I95" s="402"/>
    </row>
    <row r="96" spans="2:9">
      <c r="D96" s="222"/>
      <c r="I96" s="402"/>
    </row>
    <row r="97" spans="2:9">
      <c r="D97" s="222"/>
      <c r="E97" s="427"/>
      <c r="I97" s="402"/>
    </row>
    <row r="98" spans="2:9">
      <c r="D98" s="222"/>
      <c r="E98" s="427"/>
      <c r="I98" s="402"/>
    </row>
    <row r="99" spans="2:9">
      <c r="B99" s="410" t="s">
        <v>86</v>
      </c>
      <c r="D99" s="222"/>
      <c r="I99" s="402"/>
    </row>
    <row r="100" spans="2:9">
      <c r="D100" s="222"/>
      <c r="I100" s="402"/>
    </row>
    <row r="101" spans="2:9">
      <c r="B101" s="441" t="s">
        <v>87</v>
      </c>
      <c r="C101" s="827">
        <f>D71</f>
        <v>7.108427873257582E-2</v>
      </c>
      <c r="D101" s="222"/>
      <c r="I101" s="402"/>
    </row>
    <row r="102" spans="2:9">
      <c r="B102" s="303" t="s">
        <v>88</v>
      </c>
      <c r="C102" s="793">
        <f>C77</f>
        <v>-4.4556068913970412E-3</v>
      </c>
      <c r="D102" s="222"/>
      <c r="I102" s="402"/>
    </row>
    <row r="103" spans="2:9">
      <c r="B103" s="303" t="s">
        <v>89</v>
      </c>
      <c r="C103" s="793">
        <f t="shared" ref="C103:C108" si="3">C78</f>
        <v>1.9354482906539501E-3</v>
      </c>
      <c r="D103" s="222"/>
      <c r="I103" s="402"/>
    </row>
    <row r="104" spans="2:9">
      <c r="B104" s="303" t="s">
        <v>90</v>
      </c>
      <c r="C104" s="793">
        <f t="shared" si="3"/>
        <v>6.9689650026467031E-4</v>
      </c>
      <c r="D104" s="222"/>
      <c r="I104" s="402"/>
    </row>
    <row r="105" spans="2:9">
      <c r="B105" s="303" t="s">
        <v>91</v>
      </c>
      <c r="C105" s="793">
        <f t="shared" si="3"/>
        <v>-4.7995792501487524E-3</v>
      </c>
      <c r="D105" s="222"/>
      <c r="I105" s="402"/>
    </row>
    <row r="106" spans="2:9">
      <c r="B106" s="303" t="s">
        <v>92</v>
      </c>
      <c r="C106" s="793">
        <f t="shared" si="3"/>
        <v>3.3267286086683763E-3</v>
      </c>
      <c r="D106" s="222" t="str">
        <f>IFERROR(IF((#REF!/'B. Sales &amp; COGS'!R147)^(1/8)-1&lt;0,"",(#REF!/'B. Sales &amp; COGS'!R147)^(1/8)-1),"")</f>
        <v/>
      </c>
      <c r="I106" s="402"/>
    </row>
    <row r="107" spans="2:9">
      <c r="B107" s="303" t="s">
        <v>93</v>
      </c>
      <c r="C107" s="793">
        <f t="shared" si="3"/>
        <v>1.6270447568563786E-3</v>
      </c>
      <c r="D107" s="222" t="str">
        <f>IFERROR(IF((#REF!/'B. Sales &amp; COGS'!R148)^(1/8)-1&lt;0,"",(#REF!/'B. Sales &amp; COGS'!R148)^(1/8)-1),"")</f>
        <v/>
      </c>
      <c r="I107" s="402"/>
    </row>
    <row r="108" spans="2:9">
      <c r="B108" s="303" t="s">
        <v>94</v>
      </c>
      <c r="C108" s="793">
        <f t="shared" si="3"/>
        <v>5.8999407676246464E-3</v>
      </c>
      <c r="D108" s="946"/>
      <c r="I108" s="402"/>
    </row>
    <row r="109" spans="2:9">
      <c r="B109" s="303" t="s">
        <v>95</v>
      </c>
      <c r="C109" s="793">
        <f>D84</f>
        <v>-3.157901259219581E-3</v>
      </c>
      <c r="D109" s="222" t="str">
        <f>IFERROR(IF((#REF!/'B. Sales &amp; COGS'!#REF!)^(1/8)-1&lt;0,"",(#REF!/'B. Sales &amp; COGS'!#REF!)^(1/8)-1),"")</f>
        <v/>
      </c>
      <c r="E109" s="447"/>
      <c r="F109" s="303"/>
      <c r="I109" s="402"/>
    </row>
    <row r="110" spans="2:9">
      <c r="B110" s="441" t="s">
        <v>96</v>
      </c>
      <c r="C110" s="827">
        <f>SUM(C101:C109)</f>
        <v>7.2157250255878477E-2</v>
      </c>
      <c r="D110" s="222" t="str">
        <f>IFERROR(IF((#REF!/'B. Sales &amp; COGS'!R150)^(1/8)-1&lt;0,"",(#REF!/'B. Sales &amp; COGS'!R150)^(1/8)-1),"")</f>
        <v/>
      </c>
      <c r="E110" s="447"/>
      <c r="F110" s="447"/>
      <c r="I110" s="402"/>
    </row>
    <row r="111" spans="2:9">
      <c r="D111" s="222" t="str">
        <f>IFERROR(IF((#REF!/'B. Sales &amp; COGS'!R151)^(1/8)-1&lt;0,"",(#REF!/'B. Sales &amp; COGS'!R151)^(1/8)-1),"")</f>
        <v/>
      </c>
      <c r="F111" s="447"/>
      <c r="I111" s="402"/>
    </row>
    <row r="112" spans="2:9">
      <c r="D112" s="222" t="str">
        <f>IFERROR(IF((#REF!/'B. Sales &amp; COGS'!R152)^(1/8)-1&lt;0,"",(#REF!/'B. Sales &amp; COGS'!R152)^(1/8)-1),"")</f>
        <v/>
      </c>
      <c r="F112" s="447"/>
      <c r="I112" s="402"/>
    </row>
    <row r="113" spans="2:9">
      <c r="D113" s="222" t="str">
        <f>IFERROR(IF((#REF!/'B. Sales &amp; COGS'!R156)^(1/8)-1&lt;0,"",(#REF!/'B. Sales &amp; COGS'!R156)^(1/8)-1),"")</f>
        <v/>
      </c>
      <c r="F113" s="303"/>
      <c r="I113" s="402"/>
    </row>
    <row r="114" spans="2:9">
      <c r="B114" s="1012" t="s">
        <v>97</v>
      </c>
      <c r="C114" s="976" t="s">
        <v>98</v>
      </c>
      <c r="D114" s="1015" t="s">
        <v>99</v>
      </c>
      <c r="F114" s="303"/>
      <c r="I114" s="402"/>
    </row>
    <row r="115" spans="2:9">
      <c r="B115" s="1013" t="s">
        <v>100</v>
      </c>
      <c r="C115" s="1014">
        <f>'B. Sales &amp; COGS'!U3</f>
        <v>0.11569119627698266</v>
      </c>
      <c r="D115" s="1014">
        <f>'B. Sales &amp; COGS'!N57</f>
        <v>7.1084278732575806E-2</v>
      </c>
      <c r="F115" s="303"/>
      <c r="I115" s="402"/>
    </row>
    <row r="116" spans="2:9">
      <c r="B116" s="1009" t="s">
        <v>63</v>
      </c>
      <c r="C116" s="1010">
        <f>'B. Sales &amp; COGS'!U5</f>
        <v>9.6841095827439272E-2</v>
      </c>
      <c r="D116" s="1010">
        <f>'B. Sales &amp; COGS'!N59</f>
        <v>6.0205952021590729E-2</v>
      </c>
      <c r="F116" s="303"/>
      <c r="I116" s="402"/>
    </row>
    <row r="117" spans="2:9">
      <c r="B117" s="302" t="s">
        <v>65</v>
      </c>
      <c r="C117" s="1011">
        <f>'B. Sales &amp; COGS'!U7</f>
        <v>0.15563645670815851</v>
      </c>
      <c r="D117" s="1011">
        <f>'B. Sales &amp; COGS'!N60</f>
        <v>6.0999999999999999E-2</v>
      </c>
      <c r="F117" s="414"/>
      <c r="G117" s="414"/>
      <c r="I117" s="402"/>
    </row>
    <row r="118" spans="2:9">
      <c r="B118" s="302" t="s">
        <v>64</v>
      </c>
      <c r="C118" s="1011">
        <f>'B. Sales &amp; COGS'!U6</f>
        <v>2.7291260760947011E-2</v>
      </c>
      <c r="D118" s="1011">
        <f>'B. Sales &amp; COGS'!N61</f>
        <v>5.8999999999999997E-2</v>
      </c>
      <c r="F118" s="43"/>
      <c r="G118" s="43"/>
      <c r="H118" s="436"/>
      <c r="I118" s="436"/>
    </row>
    <row r="119" spans="2:9">
      <c r="B119" s="302" t="s">
        <v>66</v>
      </c>
      <c r="C119" s="1007">
        <f>'B. Sales &amp; COGS'!U8</f>
        <v>0.30000000000000004</v>
      </c>
      <c r="D119" s="1007">
        <f>'B. Sales &amp; COGS'!N62</f>
        <v>7.0999999999999994E-2</v>
      </c>
    </row>
    <row r="120" spans="2:9">
      <c r="B120" s="1009" t="s">
        <v>101</v>
      </c>
      <c r="C120" s="1010">
        <f>'B. Sales &amp; COGS'!U9</f>
        <v>6.1763496420909503E-2</v>
      </c>
      <c r="D120" s="1010">
        <f>'B. Sales &amp; COGS'!N63</f>
        <v>7.0999999999999994E-2</v>
      </c>
    </row>
    <row r="121" spans="2:9">
      <c r="B121" s="1009" t="s">
        <v>102</v>
      </c>
      <c r="C121" s="1010">
        <f>'B. Sales &amp; COGS'!U10</f>
        <v>0.1832410302209484</v>
      </c>
      <c r="D121" s="1010">
        <f>'B. Sales &amp; COGS'!N64</f>
        <v>8.1000000000000003E-2</v>
      </c>
    </row>
    <row r="122" spans="2:9">
      <c r="B122" s="302" t="s">
        <v>103</v>
      </c>
      <c r="C122" s="452">
        <f>'D. OE&amp;IE'!U13</f>
        <v>0.26558883128482602</v>
      </c>
      <c r="D122" s="452" t="s">
        <v>104</v>
      </c>
    </row>
    <row r="123" spans="2:9">
      <c r="B123" s="302" t="s">
        <v>105</v>
      </c>
      <c r="C123" s="452">
        <f>'D. OE&amp;IE'!U14</f>
        <v>0.14433376516242369</v>
      </c>
      <c r="D123" s="452" t="s">
        <v>104</v>
      </c>
    </row>
    <row r="124" spans="2:9">
      <c r="B124" s="1009" t="s">
        <v>106</v>
      </c>
      <c r="C124" s="1010">
        <f>'B. Sales &amp; COGS'!U11</f>
        <v>0.20110404376550295</v>
      </c>
      <c r="D124" s="1010">
        <f>'B. Sales &amp; COGS'!N65</f>
        <v>9.0999999999999998E-2</v>
      </c>
    </row>
    <row r="125" spans="2:9">
      <c r="B125" s="1009" t="s">
        <v>70</v>
      </c>
      <c r="C125" s="1010">
        <f>'B. Sales &amp; COGS'!U12</f>
        <v>0.2902752751697717</v>
      </c>
      <c r="D125" s="1010">
        <f>'B. Sales &amp; COGS'!N66</f>
        <v>0.151</v>
      </c>
    </row>
  </sheetData>
  <mergeCells count="4">
    <mergeCell ref="N11:O11"/>
    <mergeCell ref="B39:C39"/>
    <mergeCell ref="F61:G61"/>
    <mergeCell ref="C61:D6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52CF2-B4AD-4040-8A1D-2187DD3DD181}">
  <sheetPr>
    <tabColor theme="5" tint="0.39997558519241921"/>
  </sheetPr>
  <dimension ref="A1:Z203"/>
  <sheetViews>
    <sheetView tabSelected="1" zoomScale="85" zoomScaleNormal="85" workbookViewId="0">
      <selection activeCell="U14" sqref="U14"/>
    </sheetView>
  </sheetViews>
  <sheetFormatPr defaultColWidth="8.85546875" defaultRowHeight="18.75" customHeight="1" outlineLevelRow="1" outlineLevelCol="1"/>
  <cols>
    <col min="1" max="1" width="45.42578125" style="1231" customWidth="1"/>
    <col min="2" max="3" width="0" style="1231" hidden="1" customWidth="1"/>
    <col min="4" max="4" width="17.140625" style="1" hidden="1" customWidth="1" outlineLevel="1"/>
    <col min="5" max="5" width="10.140625" style="1" hidden="1" customWidth="1" outlineLevel="1"/>
    <col min="6" max="9" width="10.5703125" style="1" hidden="1" customWidth="1" outlineLevel="1"/>
    <col min="10" max="10" width="7" style="1" hidden="1" customWidth="1" outlineLevel="1"/>
    <col min="11" max="11" width="13.5703125" style="1" customWidth="1" collapsed="1"/>
    <col min="12" max="13" width="11" style="1" customWidth="1"/>
    <col min="14" max="14" width="12.42578125" style="1" customWidth="1"/>
    <col min="15" max="19" width="11" style="1" customWidth="1"/>
    <col min="20" max="21" width="13.42578125" style="1" customWidth="1"/>
    <col min="22" max="22" width="18.140625" style="1" customWidth="1"/>
    <col min="23" max="24" width="12.85546875" style="1" customWidth="1"/>
    <col min="25" max="25" width="29.5703125" style="1" customWidth="1"/>
    <col min="26" max="26" width="12.85546875" style="1" customWidth="1"/>
    <col min="27" max="16384" width="8.85546875" style="1"/>
  </cols>
  <sheetData>
    <row r="1" spans="1:26" ht="18.75" customHeight="1">
      <c r="A1" s="1404"/>
    </row>
    <row r="2" spans="1:26" ht="18.75" customHeight="1">
      <c r="A2" s="1427" t="s">
        <v>107</v>
      </c>
    </row>
    <row r="3" spans="1:26" ht="18.75" customHeight="1">
      <c r="A3" s="567"/>
      <c r="B3" s="567"/>
      <c r="C3" s="567"/>
      <c r="D3" s="568">
        <v>0</v>
      </c>
      <c r="E3" s="568">
        <v>0</v>
      </c>
      <c r="F3" s="568">
        <v>0</v>
      </c>
      <c r="G3" s="568">
        <v>0</v>
      </c>
      <c r="H3" s="568">
        <v>0</v>
      </c>
      <c r="I3" s="568">
        <v>0.25</v>
      </c>
      <c r="J3" s="568"/>
      <c r="K3" s="568">
        <v>0.25</v>
      </c>
      <c r="L3" s="568">
        <v>1.25</v>
      </c>
      <c r="M3" s="568">
        <f t="shared" ref="M3:U3" si="0">L3+1</f>
        <v>2.25</v>
      </c>
      <c r="N3" s="568">
        <f t="shared" si="0"/>
        <v>3.25</v>
      </c>
      <c r="O3" s="568">
        <f t="shared" si="0"/>
        <v>4.25</v>
      </c>
      <c r="P3" s="568">
        <f t="shared" si="0"/>
        <v>5.25</v>
      </c>
      <c r="Q3" s="568">
        <f t="shared" si="0"/>
        <v>6.25</v>
      </c>
      <c r="R3" s="568">
        <f t="shared" si="0"/>
        <v>7.25</v>
      </c>
      <c r="S3" s="568">
        <f t="shared" si="0"/>
        <v>8.25</v>
      </c>
      <c r="T3" s="568">
        <f t="shared" si="0"/>
        <v>9.25</v>
      </c>
      <c r="U3" s="1">
        <f t="shared" si="0"/>
        <v>10.25</v>
      </c>
      <c r="V3" s="1">
        <f>U3</f>
        <v>10.25</v>
      </c>
      <c r="W3" s="137"/>
      <c r="X3" s="137"/>
      <c r="Y3" s="568"/>
      <c r="Z3" s="137"/>
    </row>
    <row r="4" spans="1:26" ht="18.75" customHeight="1">
      <c r="A4" s="569" t="s">
        <v>108</v>
      </c>
      <c r="B4" s="569"/>
      <c r="C4" s="569"/>
      <c r="D4" s="570" t="s">
        <v>109</v>
      </c>
      <c r="E4" s="570" t="s">
        <v>110</v>
      </c>
      <c r="F4" s="570" t="s">
        <v>111</v>
      </c>
      <c r="G4" s="570" t="s">
        <v>112</v>
      </c>
      <c r="H4" s="570" t="s">
        <v>113</v>
      </c>
      <c r="I4" s="570" t="s">
        <v>114</v>
      </c>
      <c r="J4" s="570"/>
      <c r="K4" s="571" t="s">
        <v>115</v>
      </c>
      <c r="L4" s="571" t="str">
        <f>'A. FS'!O1</f>
        <v>2024E</v>
      </c>
      <c r="M4" s="571" t="str">
        <f>'A. FS'!P1</f>
        <v>2025E</v>
      </c>
      <c r="N4" s="571" t="str">
        <f>'A. FS'!Q1</f>
        <v>2026E</v>
      </c>
      <c r="O4" s="571" t="str">
        <f>'A. FS'!R1</f>
        <v>2027E</v>
      </c>
      <c r="P4" s="571" t="str">
        <f>'A. FS'!S1</f>
        <v>2028E</v>
      </c>
      <c r="Q4" s="571" t="s">
        <v>116</v>
      </c>
      <c r="R4" s="571" t="s">
        <v>117</v>
      </c>
      <c r="S4" s="571" t="s">
        <v>118</v>
      </c>
      <c r="T4" s="571" t="s">
        <v>119</v>
      </c>
      <c r="U4" s="571" t="s">
        <v>120</v>
      </c>
      <c r="V4" s="571" t="s">
        <v>121</v>
      </c>
      <c r="W4" s="137"/>
      <c r="X4" s="137"/>
      <c r="Z4" s="137"/>
    </row>
    <row r="5" spans="1:26" s="2" customFormat="1" ht="18" customHeight="1" thickBot="1">
      <c r="A5" s="164" t="s">
        <v>122</v>
      </c>
      <c r="B5" s="177"/>
      <c r="C5" s="177"/>
      <c r="D5" s="155">
        <f>'A. FS'!I32+'A. FS'!I207</f>
        <v>171.802022612</v>
      </c>
      <c r="E5" s="155">
        <f>'A. FS'!J32+'A. FS'!J207</f>
        <v>257.9189074169999</v>
      </c>
      <c r="F5" s="155">
        <f>'A. FS'!K32+'A. FS'!K207</f>
        <v>360.735203872</v>
      </c>
      <c r="G5" s="155">
        <f>'A. FS'!L32+'A. FS'!L207</f>
        <v>851.70868591300018</v>
      </c>
      <c r="H5" s="155">
        <f>'A. FS'!M32+'A. FS'!M207</f>
        <v>956.93729886200015</v>
      </c>
      <c r="I5" s="155">
        <f>'A. FS'!N32+'A. FS'!N207</f>
        <v>639.83612029824474</v>
      </c>
      <c r="J5" s="398"/>
      <c r="K5" s="155">
        <f>'A. FS'!AX32+'A. FS'!AX207</f>
        <v>268.20682433871173</v>
      </c>
      <c r="L5" s="155">
        <f>'A. FS'!O32+'A. FS'!O207</f>
        <v>775.06684887678648</v>
      </c>
      <c r="M5" s="155">
        <f>'A. FS'!P32+'A. FS'!P207</f>
        <v>885.97334568519136</v>
      </c>
      <c r="N5" s="155">
        <f>'A. FS'!Q32+'A. FS'!Q207</f>
        <v>1021.1946235291575</v>
      </c>
      <c r="O5" s="155">
        <f>'A. FS'!R32+'A. FS'!R207</f>
        <v>1210.3147293909974</v>
      </c>
      <c r="P5" s="155">
        <f>'A. FS'!S32+'A. FS'!S207</f>
        <v>1430.8982335991946</v>
      </c>
      <c r="Q5" s="155"/>
      <c r="R5" s="155"/>
      <c r="S5" s="155"/>
      <c r="T5" s="155"/>
      <c r="U5" s="155"/>
      <c r="V5" s="728"/>
    </row>
    <row r="6" spans="1:26" ht="18" customHeight="1">
      <c r="A6" s="1395" t="s">
        <v>123</v>
      </c>
      <c r="B6" s="1396"/>
      <c r="C6" s="1396"/>
      <c r="D6" s="1397">
        <f>D5*-'F. WACC'!$B$11</f>
        <v>-35.087198580363861</v>
      </c>
      <c r="E6" s="1397">
        <f>E5*-'F. WACC'!$B$11</f>
        <v>-52.674885805090966</v>
      </c>
      <c r="F6" s="1397">
        <f>F5*-'F. WACC'!$B$11</f>
        <v>-73.6731008212288</v>
      </c>
      <c r="G6" s="1397">
        <f>G5*-'F. WACC'!$B$11</f>
        <v>-173.94481939680523</v>
      </c>
      <c r="H6" s="1397">
        <f>H5*-'F. WACC'!$B$11</f>
        <v>-195.43570281449507</v>
      </c>
      <c r="I6" s="1397">
        <f>I5*-'F. WACC'!$B$11</f>
        <v>-130.67399714202202</v>
      </c>
      <c r="J6" s="1398"/>
      <c r="K6" s="1397">
        <f>K5*-'F. WACC'!$B$11</f>
        <v>-54.775991359742193</v>
      </c>
      <c r="L6" s="1397">
        <f>L5*-'F. WACC'!$B$11</f>
        <v>-158.29222512131918</v>
      </c>
      <c r="M6" s="1397">
        <f>M5*-'F. WACC'!$B$11</f>
        <v>-180.94270512269483</v>
      </c>
      <c r="N6" s="1397">
        <f>N5*-'F. WACC'!$B$11</f>
        <v>-208.5590029745363</v>
      </c>
      <c r="O6" s="1397">
        <f>O5*-'F. WACC'!$B$11</f>
        <v>-247.18308090463117</v>
      </c>
      <c r="P6" s="1397">
        <f>P5*-'F. WACC'!$B$11</f>
        <v>-292.2329417737601</v>
      </c>
      <c r="Q6" s="1397"/>
      <c r="R6" s="1397"/>
      <c r="S6" s="1397"/>
      <c r="T6" s="1397"/>
      <c r="V6" s="137"/>
    </row>
    <row r="7" spans="1:26" ht="18.75" customHeight="1">
      <c r="A7" s="165" t="s">
        <v>124</v>
      </c>
      <c r="B7" s="178"/>
      <c r="C7" s="178"/>
      <c r="D7" s="157">
        <f t="shared" ref="D7:I7" si="1">SUM(D5:D6)</f>
        <v>136.71482403163614</v>
      </c>
      <c r="E7" s="157">
        <f t="shared" si="1"/>
        <v>205.24402161190892</v>
      </c>
      <c r="F7" s="157">
        <f t="shared" si="1"/>
        <v>287.06210305077121</v>
      </c>
      <c r="G7" s="157">
        <f t="shared" si="1"/>
        <v>677.76386651619498</v>
      </c>
      <c r="H7" s="157">
        <f t="shared" si="1"/>
        <v>761.50159604750502</v>
      </c>
      <c r="I7" s="157">
        <f t="shared" si="1"/>
        <v>509.16212315622272</v>
      </c>
      <c r="J7" s="399"/>
      <c r="K7" s="157">
        <f t="shared" ref="K7:P7" si="2">SUM(K5:K6)</f>
        <v>213.43083297896953</v>
      </c>
      <c r="L7" s="157">
        <f t="shared" si="2"/>
        <v>616.77462375546725</v>
      </c>
      <c r="M7" s="157">
        <f t="shared" si="2"/>
        <v>705.0306405624965</v>
      </c>
      <c r="N7" s="157">
        <f t="shared" si="2"/>
        <v>812.63562055462125</v>
      </c>
      <c r="O7" s="157">
        <f t="shared" si="2"/>
        <v>963.1316484863662</v>
      </c>
      <c r="P7" s="157">
        <f t="shared" si="2"/>
        <v>1138.6652918254345</v>
      </c>
      <c r="Q7" s="1547" t="s">
        <v>125</v>
      </c>
      <c r="R7" s="1547"/>
      <c r="S7" s="1547"/>
      <c r="T7" s="1547"/>
      <c r="U7" s="1547"/>
      <c r="V7" s="1547"/>
    </row>
    <row r="8" spans="1:26" ht="18.75" customHeight="1">
      <c r="A8" s="166" t="s">
        <v>126</v>
      </c>
      <c r="B8" s="179"/>
      <c r="C8" s="179"/>
      <c r="D8" s="157"/>
      <c r="E8" s="157"/>
      <c r="F8" s="157"/>
      <c r="G8" s="157"/>
      <c r="H8" s="157"/>
      <c r="I8" s="157"/>
      <c r="J8" s="399"/>
      <c r="K8" s="157"/>
      <c r="L8" s="157"/>
      <c r="M8" s="157"/>
      <c r="N8" s="157"/>
      <c r="O8" s="157"/>
      <c r="P8" s="157"/>
      <c r="Q8" s="1547"/>
      <c r="R8" s="1547"/>
      <c r="S8" s="1547"/>
      <c r="T8" s="1547"/>
      <c r="U8" s="1547"/>
      <c r="V8" s="1547"/>
    </row>
    <row r="9" spans="1:26" ht="18.75" customHeight="1">
      <c r="A9" s="1395" t="s">
        <v>127</v>
      </c>
      <c r="B9" s="1396"/>
      <c r="C9" s="1396"/>
      <c r="D9" s="1397">
        <f>'A. FS'!I212</f>
        <v>-247.30090225799995</v>
      </c>
      <c r="E9" s="1397">
        <f>'A. FS'!J212</f>
        <v>131.21219014799993</v>
      </c>
      <c r="F9" s="1397">
        <f>'A. FS'!K212</f>
        <v>588.42633249299979</v>
      </c>
      <c r="G9" s="1397">
        <f>'A. FS'!L212</f>
        <v>-426.23083083099766</v>
      </c>
      <c r="H9" s="1397">
        <f>'A. FS'!M212</f>
        <v>-1866.4740767400021</v>
      </c>
      <c r="I9" s="1397">
        <f>'A. FS'!N212</f>
        <v>408.95278746834902</v>
      </c>
      <c r="J9" s="1398"/>
      <c r="K9" s="1397">
        <f>'A. FS'!AX212</f>
        <v>-8.4720438734552772</v>
      </c>
      <c r="L9" s="1397">
        <f>'A. FS'!O212</f>
        <v>-59.446677672449823</v>
      </c>
      <c r="M9" s="1397">
        <f>'A. FS'!P212</f>
        <v>-192.03965049668523</v>
      </c>
      <c r="N9" s="1397">
        <f>'A. FS'!Q212</f>
        <v>-109.57650279159634</v>
      </c>
      <c r="O9" s="1397">
        <f>'A. FS'!R212</f>
        <v>-73.8181839818252</v>
      </c>
      <c r="P9" s="1397">
        <f>'A. FS'!S212</f>
        <v>-25.448287434418944</v>
      </c>
      <c r="Q9" s="1547" t="s">
        <v>128</v>
      </c>
      <c r="R9" s="1547"/>
      <c r="S9" s="1547"/>
      <c r="T9" s="1547"/>
      <c r="U9" s="1547"/>
      <c r="V9" s="1547"/>
    </row>
    <row r="10" spans="1:26" ht="18.75" customHeight="1">
      <c r="A10" s="1395" t="s">
        <v>129</v>
      </c>
      <c r="B10" s="1396"/>
      <c r="C10" s="1396"/>
      <c r="D10" s="1397">
        <f>-'A. FS'!I162</f>
        <v>-6.1627376959999935</v>
      </c>
      <c r="E10" s="1397">
        <f>-'A. FS'!J162</f>
        <v>-0.83727022000000773</v>
      </c>
      <c r="F10" s="1397">
        <f>-'A. FS'!K162</f>
        <v>-12.567233870999999</v>
      </c>
      <c r="G10" s="1397">
        <f>-'A. FS'!L162</f>
        <v>-11.927279145</v>
      </c>
      <c r="H10" s="1397">
        <f>-'A. FS'!M162</f>
        <v>-14.373131479999998</v>
      </c>
      <c r="I10" s="1397">
        <f>-'A. FS'!N162</f>
        <v>-29.7906092342938</v>
      </c>
      <c r="J10" s="1398"/>
      <c r="K10" s="1397">
        <f>-'A. FS'!AX162</f>
        <v>-4.9877699872938059</v>
      </c>
      <c r="L10" s="1397">
        <f>-'A. FS'!O162</f>
        <v>-26.890989990313763</v>
      </c>
      <c r="M10" s="1397">
        <f>-'A. FS'!P162</f>
        <v>-30.459687707134851</v>
      </c>
      <c r="N10" s="1397">
        <f>-'A. FS'!Q162</f>
        <v>-33.839314595634775</v>
      </c>
      <c r="O10" s="1397">
        <f>-'A. FS'!R162</f>
        <v>-37.562860298701381</v>
      </c>
      <c r="P10" s="1397">
        <f>-'A. FS'!S162</f>
        <v>-41.666096527447102</v>
      </c>
      <c r="Q10" s="1547"/>
      <c r="R10" s="1547"/>
      <c r="S10" s="1547"/>
      <c r="T10" s="1547"/>
      <c r="U10" s="1547"/>
      <c r="V10" s="1547"/>
    </row>
    <row r="11" spans="1:26" ht="18.75" customHeight="1">
      <c r="A11" s="1395" t="s">
        <v>130</v>
      </c>
      <c r="B11" s="1396"/>
      <c r="C11" s="1396"/>
      <c r="D11" s="1397">
        <f>'A. FS'!I36</f>
        <v>5.4616505210000001</v>
      </c>
      <c r="E11" s="1397">
        <f>'A. FS'!J36</f>
        <v>6.2180324650000003</v>
      </c>
      <c r="F11" s="1397">
        <f>'A. FS'!K36</f>
        <v>6.2868980830000005</v>
      </c>
      <c r="G11" s="1397">
        <f>'A. FS'!L36</f>
        <v>6.2896370959999999</v>
      </c>
      <c r="H11" s="1397">
        <f>'A. FS'!M36</f>
        <v>12.835000000000001</v>
      </c>
      <c r="I11" s="1397">
        <f>'A. FS'!N36</f>
        <v>40.950402829618817</v>
      </c>
      <c r="J11" s="1398"/>
      <c r="K11" s="1397">
        <f>'A. FS'!AX36</f>
        <v>11.444024900618814</v>
      </c>
      <c r="L11" s="1397">
        <f>'A. FS'!O36</f>
        <v>42.389687017985246</v>
      </c>
      <c r="M11" s="1397">
        <f>'A. FS'!P36</f>
        <v>44.048590432895544</v>
      </c>
      <c r="N11" s="1397">
        <f>'A. FS'!Q36</f>
        <v>45.884962410541924</v>
      </c>
      <c r="O11" s="1397">
        <f>'A. FS'!R36</f>
        <v>47.915969966666793</v>
      </c>
      <c r="P11" s="1397">
        <f>'A. FS'!S36</f>
        <v>50.160698931161456</v>
      </c>
      <c r="Q11" s="1397"/>
      <c r="R11" s="1397"/>
      <c r="S11" s="1397"/>
      <c r="T11" s="1397"/>
      <c r="V11" s="137"/>
    </row>
    <row r="12" spans="1:26" s="2" customFormat="1" ht="18.75" customHeight="1" thickBot="1">
      <c r="A12" s="164" t="s">
        <v>131</v>
      </c>
      <c r="B12" s="177"/>
      <c r="C12" s="177"/>
      <c r="D12" s="158">
        <f t="shared" ref="D12:I12" si="3">SUM(D7:D11)</f>
        <v>-111.28716540136381</v>
      </c>
      <c r="E12" s="158">
        <f t="shared" si="3"/>
        <v>341.83697400490888</v>
      </c>
      <c r="F12" s="158">
        <f t="shared" si="3"/>
        <v>869.20809975577095</v>
      </c>
      <c r="G12" s="158">
        <f t="shared" si="3"/>
        <v>245.89539363619733</v>
      </c>
      <c r="H12" s="158">
        <f t="shared" si="3"/>
        <v>-1106.5106121724971</v>
      </c>
      <c r="I12" s="158">
        <f t="shared" si="3"/>
        <v>929.27470421989676</v>
      </c>
      <c r="J12" s="400"/>
      <c r="K12" s="158">
        <f t="shared" ref="K12:P12" si="4">SUM(K7:K11)</f>
        <v>211.41504401883927</v>
      </c>
      <c r="L12" s="158">
        <f t="shared" si="4"/>
        <v>572.82664311068891</v>
      </c>
      <c r="M12" s="158">
        <f t="shared" si="4"/>
        <v>526.57989279157198</v>
      </c>
      <c r="N12" s="158">
        <f t="shared" si="4"/>
        <v>715.10476557793208</v>
      </c>
      <c r="O12" s="158">
        <f t="shared" si="4"/>
        <v>899.66657417250644</v>
      </c>
      <c r="P12" s="158">
        <f t="shared" si="4"/>
        <v>1121.71160679473</v>
      </c>
      <c r="Q12" s="158">
        <f>P12*(1+Q13)</f>
        <v>1177.7971871344664</v>
      </c>
      <c r="R12" s="158">
        <f>Q12*(1+R13)</f>
        <v>1236.6870464911897</v>
      </c>
      <c r="S12" s="158">
        <f>R12*(1+S13)</f>
        <v>1298.5213988157493</v>
      </c>
      <c r="T12" s="158">
        <f>S12*(1+T13)</f>
        <v>1363.4474687565369</v>
      </c>
      <c r="U12" s="158">
        <f>T12*(1+U13)</f>
        <v>1431.6198421943639</v>
      </c>
      <c r="V12" s="727">
        <f>U12*(1+V13)/(K27-V13)</f>
        <v>15952.49830329814</v>
      </c>
      <c r="Z12" s="1406"/>
    </row>
    <row r="13" spans="1:26" s="6" customFormat="1" ht="18.75" customHeight="1">
      <c r="A13" s="80" t="s">
        <v>132</v>
      </c>
      <c r="B13" s="80"/>
      <c r="C13" s="80"/>
      <c r="E13" s="12">
        <f>E12/D12-1</f>
        <v>-4.0716657466479038</v>
      </c>
      <c r="F13" s="12">
        <f>F12/E12-1</f>
        <v>1.5427562430484447</v>
      </c>
      <c r="G13" s="12">
        <f>G12/F12-1</f>
        <v>-0.71710411614285607</v>
      </c>
      <c r="H13" s="12">
        <f>H12/G12-1</f>
        <v>-5.499924117365051</v>
      </c>
      <c r="I13" s="12">
        <f>I12/H12-1</f>
        <v>-1.8398244842816107</v>
      </c>
      <c r="J13" s="12"/>
      <c r="K13" s="12"/>
      <c r="L13" s="12">
        <f>L12/I12-1</f>
        <v>-0.38357663185122126</v>
      </c>
      <c r="M13" s="12">
        <f>M12/L12-1</f>
        <v>-8.0734286498926888E-2</v>
      </c>
      <c r="N13" s="12">
        <f>N12/M12-1</f>
        <v>0.3580176063824394</v>
      </c>
      <c r="O13" s="12">
        <f>O12/N12-1</f>
        <v>0.25809058683228825</v>
      </c>
      <c r="P13" s="12">
        <f>P12/O12-1</f>
        <v>0.24680813870011309</v>
      </c>
      <c r="Q13" s="1407">
        <v>0.05</v>
      </c>
      <c r="R13" s="1407">
        <f>Q13</f>
        <v>0.05</v>
      </c>
      <c r="S13" s="1407">
        <f>R13</f>
        <v>0.05</v>
      </c>
      <c r="T13" s="1407">
        <f>S13</f>
        <v>0.05</v>
      </c>
      <c r="U13" s="1407">
        <f>T13</f>
        <v>0.05</v>
      </c>
      <c r="V13" s="579">
        <f>'D. Sensivity &amp; Scenario'!D32</f>
        <v>0.03</v>
      </c>
      <c r="W13" s="12"/>
      <c r="X13" s="12"/>
      <c r="Z13" s="12"/>
    </row>
    <row r="14" spans="1:26" ht="18.75" customHeight="1">
      <c r="A14" s="178" t="s">
        <v>133</v>
      </c>
      <c r="B14" s="178"/>
      <c r="C14" s="178"/>
      <c r="D14" s="157">
        <f t="shared" ref="D14:I14" si="5">PV($K$27,D3,0,-D12,)</f>
        <v>-111.28716540136381</v>
      </c>
      <c r="E14" s="157">
        <f t="shared" si="5"/>
        <v>341.83697400490888</v>
      </c>
      <c r="F14" s="157">
        <f t="shared" si="5"/>
        <v>869.20809975577095</v>
      </c>
      <c r="G14" s="157">
        <f t="shared" si="5"/>
        <v>245.89539363619733</v>
      </c>
      <c r="H14" s="157">
        <f t="shared" si="5"/>
        <v>-1106.5106121724971</v>
      </c>
      <c r="I14" s="157">
        <f t="shared" si="5"/>
        <v>902.82550558833248</v>
      </c>
      <c r="J14" s="742"/>
      <c r="K14" s="157">
        <f t="shared" ref="K14:V14" si="6">PV($K$27,K3,0,-K12,)</f>
        <v>205.39770762997316</v>
      </c>
      <c r="L14" s="157">
        <f>PV($K$27,L3,0,-L12,)</f>
        <v>495.81736323692655</v>
      </c>
      <c r="M14" s="157">
        <f t="shared" si="6"/>
        <v>406.07065986047564</v>
      </c>
      <c r="N14" s="157">
        <f t="shared" si="6"/>
        <v>491.29894240184007</v>
      </c>
      <c r="O14" s="157">
        <f t="shared" si="6"/>
        <v>550.67652061071033</v>
      </c>
      <c r="P14" s="157">
        <f t="shared" si="6"/>
        <v>611.69510589614185</v>
      </c>
      <c r="Q14" s="157">
        <f t="shared" si="6"/>
        <v>572.22011773501799</v>
      </c>
      <c r="R14" s="157">
        <f t="shared" si="6"/>
        <v>535.29259917974923</v>
      </c>
      <c r="S14" s="157">
        <f t="shared" si="6"/>
        <v>500.74815242567377</v>
      </c>
      <c r="T14" s="157">
        <f t="shared" si="6"/>
        <v>468.43298887740713</v>
      </c>
      <c r="U14" s="157">
        <f t="shared" si="6"/>
        <v>438.20324449662559</v>
      </c>
      <c r="V14" s="157">
        <f>PV($K$27,V3,0,-V12,)</f>
        <v>4882.8860206473046</v>
      </c>
      <c r="Y14" s="157"/>
    </row>
    <row r="15" spans="1:26" ht="18.75" hidden="1" customHeight="1">
      <c r="A15" s="178"/>
      <c r="B15" s="178"/>
      <c r="C15" s="178"/>
      <c r="D15" s="157"/>
      <c r="E15" s="157"/>
      <c r="F15" s="157"/>
      <c r="G15" s="157"/>
      <c r="H15" s="157"/>
      <c r="I15" s="157"/>
      <c r="J15" s="742"/>
      <c r="K15" s="157"/>
      <c r="L15" s="157"/>
      <c r="M15" s="157"/>
      <c r="N15" s="157"/>
      <c r="O15" s="157"/>
      <c r="P15" s="157"/>
      <c r="Q15" s="157"/>
      <c r="R15" s="157"/>
      <c r="S15" s="157"/>
      <c r="T15" s="157"/>
      <c r="U15" s="157"/>
      <c r="V15" s="157"/>
      <c r="Y15" s="157"/>
    </row>
    <row r="16" spans="1:26" ht="18.75" hidden="1" customHeight="1">
      <c r="A16" s="178"/>
      <c r="B16" s="178"/>
      <c r="C16" s="178"/>
      <c r="D16" s="157"/>
      <c r="E16" s="157"/>
      <c r="F16" s="157"/>
      <c r="G16" s="157"/>
      <c r="H16" s="157"/>
      <c r="I16" s="157"/>
      <c r="J16" s="742"/>
      <c r="K16" s="157">
        <f>K12</f>
        <v>211.41504401883927</v>
      </c>
      <c r="L16" s="157">
        <f t="shared" ref="L16:T16" si="7">L12</f>
        <v>572.82664311068891</v>
      </c>
      <c r="M16" s="157">
        <f t="shared" si="7"/>
        <v>526.57989279157198</v>
      </c>
      <c r="N16" s="157">
        <f t="shared" si="7"/>
        <v>715.10476557793208</v>
      </c>
      <c r="O16" s="157">
        <f t="shared" si="7"/>
        <v>899.66657417250644</v>
      </c>
      <c r="P16" s="157">
        <f t="shared" si="7"/>
        <v>1121.71160679473</v>
      </c>
      <c r="Q16" s="157">
        <f t="shared" si="7"/>
        <v>1177.7971871344664</v>
      </c>
      <c r="R16" s="157">
        <f t="shared" si="7"/>
        <v>1236.6870464911897</v>
      </c>
      <c r="S16" s="157">
        <f t="shared" si="7"/>
        <v>1298.5213988157493</v>
      </c>
      <c r="T16" s="157">
        <f t="shared" si="7"/>
        <v>1363.4474687565369</v>
      </c>
      <c r="U16" s="157">
        <f>T12*(1+U13)+V12</f>
        <v>17384.118145492503</v>
      </c>
      <c r="V16" s="157"/>
      <c r="Y16" s="157"/>
    </row>
    <row r="17" spans="1:26" ht="18.75" customHeight="1">
      <c r="A17" s="178"/>
      <c r="B17" s="178"/>
      <c r="C17" s="178"/>
      <c r="D17" s="157"/>
      <c r="E17" s="157"/>
      <c r="F17" s="157"/>
      <c r="G17" s="157"/>
      <c r="H17" s="157"/>
      <c r="I17" s="157"/>
      <c r="J17" s="742"/>
      <c r="K17" s="157"/>
      <c r="L17" s="157"/>
      <c r="M17" s="157"/>
      <c r="N17" s="157"/>
      <c r="O17" s="157"/>
      <c r="P17" s="157"/>
      <c r="Q17" s="157"/>
      <c r="R17" s="157"/>
      <c r="S17" s="157"/>
      <c r="T17" s="157"/>
      <c r="U17" s="157"/>
      <c r="V17" s="157"/>
      <c r="Y17" s="157"/>
    </row>
    <row r="18" spans="1:26" ht="18.75" customHeight="1">
      <c r="A18" s="178" t="s">
        <v>39</v>
      </c>
      <c r="B18" s="178"/>
      <c r="C18" s="178"/>
      <c r="D18" s="157"/>
      <c r="E18" s="157"/>
      <c r="F18" s="157"/>
      <c r="G18" s="157"/>
      <c r="H18" s="157"/>
      <c r="I18" s="157"/>
      <c r="J18" s="742"/>
      <c r="K18" s="1399">
        <f>SUM(K14:V14)</f>
        <v>10158.739422997845</v>
      </c>
      <c r="L18" s="741">
        <f>K18/$K$18</f>
        <v>1</v>
      </c>
      <c r="M18" s="157"/>
      <c r="N18" s="157"/>
      <c r="O18" s="157"/>
      <c r="P18" s="157"/>
      <c r="Q18" s="157"/>
      <c r="R18" s="157"/>
      <c r="S18" s="157"/>
      <c r="T18" s="157"/>
      <c r="U18" s="137"/>
    </row>
    <row r="19" spans="1:26" ht="18.75" customHeight="1">
      <c r="A19" s="178"/>
      <c r="B19" s="178"/>
      <c r="C19" s="178"/>
      <c r="D19" s="178"/>
      <c r="E19" s="178"/>
      <c r="F19" s="178"/>
      <c r="G19" s="178"/>
      <c r="H19" s="178"/>
      <c r="I19" s="178"/>
      <c r="J19" s="178"/>
      <c r="K19" s="178"/>
      <c r="L19" s="741"/>
      <c r="M19" s="157"/>
      <c r="N19" s="157"/>
      <c r="O19" s="157"/>
      <c r="P19" s="157"/>
      <c r="Q19" s="157"/>
      <c r="R19" s="157"/>
      <c r="S19" s="157"/>
      <c r="T19" s="157"/>
      <c r="U19" s="137"/>
    </row>
    <row r="20" spans="1:26" ht="18.75" customHeight="1" outlineLevel="1" thickBot="1">
      <c r="A20" s="1549" t="s">
        <v>134</v>
      </c>
      <c r="B20" s="1549"/>
      <c r="C20" s="1549"/>
      <c r="D20" s="1549"/>
      <c r="E20" s="1549"/>
      <c r="F20" s="1549"/>
      <c r="G20" s="1549"/>
      <c r="H20" s="1549"/>
      <c r="I20" s="1549"/>
      <c r="J20" s="1549"/>
      <c r="K20" s="1549"/>
      <c r="L20" s="1549"/>
      <c r="M20" s="157"/>
      <c r="N20" s="157"/>
      <c r="O20" s="157"/>
      <c r="P20" s="157"/>
      <c r="Q20" s="157"/>
      <c r="R20" s="157"/>
      <c r="S20" s="157"/>
      <c r="T20" s="157"/>
      <c r="U20" s="157"/>
    </row>
    <row r="21" spans="1:26" ht="18.75" customHeight="1" outlineLevel="1">
      <c r="A21" s="1245" t="s">
        <v>135</v>
      </c>
      <c r="B21" s="567"/>
      <c r="C21" s="567"/>
      <c r="D21" s="739"/>
      <c r="E21" s="739"/>
      <c r="F21" s="739"/>
      <c r="G21" s="739"/>
      <c r="H21" s="739"/>
      <c r="I21" s="739"/>
      <c r="J21" s="743"/>
      <c r="K21" s="4">
        <f>SUM(K14:P14)</f>
        <v>2760.9562996360673</v>
      </c>
      <c r="L21" s="740">
        <f>K21/$K$18</f>
        <v>0.27178138789402168</v>
      </c>
      <c r="M21" s="157"/>
      <c r="N21" s="157"/>
      <c r="O21" s="157"/>
      <c r="P21" s="157"/>
      <c r="Q21" s="157"/>
      <c r="R21" s="157"/>
      <c r="S21" s="157"/>
      <c r="T21" s="157"/>
      <c r="U21" s="157"/>
    </row>
    <row r="22" spans="1:26" ht="18.75" customHeight="1" outlineLevel="1">
      <c r="A22" s="1245" t="s">
        <v>136</v>
      </c>
      <c r="K22" s="4">
        <f>SUM(Q14:U14)</f>
        <v>2514.8971027144739</v>
      </c>
      <c r="L22" s="740">
        <f>K22/$K$18</f>
        <v>0.24755995778581821</v>
      </c>
      <c r="M22" s="157"/>
      <c r="S22" s="157"/>
      <c r="U22" s="157"/>
    </row>
    <row r="23" spans="1:26" ht="18.75" customHeight="1">
      <c r="A23" s="1245" t="s">
        <v>137</v>
      </c>
      <c r="J23" s="1408"/>
      <c r="K23" s="4">
        <f>V14</f>
        <v>4882.8860206473046</v>
      </c>
      <c r="L23" s="741">
        <f>K23/$K$18</f>
        <v>0.48065865432016014</v>
      </c>
      <c r="Q23" s="1409"/>
    </row>
    <row r="24" spans="1:26" s="6" customFormat="1" ht="18.75" customHeight="1">
      <c r="A24" s="80"/>
      <c r="B24" s="80"/>
      <c r="C24" s="80"/>
      <c r="E24" s="12"/>
      <c r="F24" s="12"/>
      <c r="G24" s="12"/>
      <c r="H24" s="12"/>
      <c r="I24" s="12"/>
      <c r="J24" s="12"/>
      <c r="K24" s="12"/>
      <c r="L24" s="12"/>
      <c r="M24" s="12"/>
      <c r="N24" s="12"/>
      <c r="O24" s="428"/>
      <c r="P24" s="12"/>
      <c r="Q24" s="12"/>
      <c r="R24" s="12"/>
      <c r="S24" s="12"/>
      <c r="T24" s="12"/>
      <c r="U24" s="1410"/>
      <c r="V24" s="12"/>
      <c r="W24" s="12"/>
      <c r="X24" s="12"/>
      <c r="Y24" s="12"/>
      <c r="Z24" s="12"/>
    </row>
    <row r="25" spans="1:26" s="6" customFormat="1" ht="18.75" customHeight="1">
      <c r="A25" s="1411"/>
      <c r="B25" s="431"/>
      <c r="C25" s="431"/>
      <c r="D25" s="427"/>
      <c r="E25" s="428"/>
      <c r="F25" s="428"/>
      <c r="G25" s="428"/>
      <c r="H25" s="428"/>
      <c r="I25" s="428"/>
      <c r="J25" s="428"/>
      <c r="K25" s="1412"/>
      <c r="L25" s="1412"/>
      <c r="M25" s="428"/>
      <c r="N25" s="428"/>
      <c r="P25" s="428"/>
      <c r="Q25" s="428"/>
      <c r="R25" s="428"/>
      <c r="S25" s="428"/>
      <c r="T25" s="428"/>
      <c r="U25" s="1410"/>
      <c r="V25" s="12"/>
      <c r="W25" s="12"/>
      <c r="X25" s="12"/>
      <c r="Y25" s="12"/>
      <c r="Z25" s="12"/>
    </row>
    <row r="26" spans="1:26" s="6" customFormat="1" ht="18.75" customHeight="1" thickBot="1">
      <c r="A26" s="191" t="s">
        <v>28</v>
      </c>
      <c r="B26" s="729" t="s">
        <v>138</v>
      </c>
      <c r="C26" s="729" t="s">
        <v>138</v>
      </c>
      <c r="D26" s="729"/>
      <c r="E26" s="729"/>
      <c r="F26" s="729"/>
      <c r="G26" s="729"/>
      <c r="H26" s="729"/>
      <c r="I26" s="729"/>
      <c r="J26" s="729"/>
      <c r="K26" s="729"/>
      <c r="L26" s="832"/>
      <c r="M26" s="737"/>
      <c r="N26" s="974" t="s">
        <v>138</v>
      </c>
      <c r="O26" s="975"/>
      <c r="P26" s="729"/>
      <c r="Q26" s="729"/>
      <c r="R26" s="729"/>
      <c r="S26" s="729"/>
      <c r="T26" s="729"/>
      <c r="U26" s="729"/>
      <c r="V26" s="729"/>
      <c r="W26" s="729"/>
      <c r="X26" s="729"/>
      <c r="Y26" s="12"/>
      <c r="Z26" s="12"/>
    </row>
    <row r="27" spans="1:26" s="6" customFormat="1" ht="28.5" customHeight="1">
      <c r="A27" s="738" t="s">
        <v>139</v>
      </c>
      <c r="B27" s="730"/>
      <c r="C27" s="730"/>
      <c r="E27" s="428"/>
      <c r="F27" s="428"/>
      <c r="G27" s="428"/>
      <c r="H27" s="428"/>
      <c r="I27" s="428"/>
      <c r="J27" s="428"/>
      <c r="K27" s="731">
        <f>'D. Sensivity &amp; Scenario'!D31</f>
        <v>0.122434953411362</v>
      </c>
      <c r="L27" s="432"/>
      <c r="M27" s="432"/>
      <c r="N27" s="410" t="s">
        <v>8</v>
      </c>
      <c r="O27" s="401" t="s">
        <v>9</v>
      </c>
      <c r="P27" s="401" t="s">
        <v>10</v>
      </c>
      <c r="Q27" s="617" t="s">
        <v>140</v>
      </c>
      <c r="R27" s="432"/>
      <c r="S27" s="432"/>
      <c r="T27" s="432"/>
      <c r="U27" s="1410"/>
      <c r="V27" s="12"/>
      <c r="W27" s="12"/>
      <c r="X27" s="12"/>
      <c r="Y27" s="12"/>
      <c r="Z27" s="12"/>
    </row>
    <row r="28" spans="1:26" s="140" customFormat="1" ht="18.75" customHeight="1" thickBot="1">
      <c r="A28" s="736" t="s">
        <v>141</v>
      </c>
      <c r="B28" s="732" t="s">
        <v>141</v>
      </c>
      <c r="C28" s="732" t="s">
        <v>141</v>
      </c>
      <c r="D28" s="732"/>
      <c r="E28" s="732"/>
      <c r="F28" s="732"/>
      <c r="G28" s="732"/>
      <c r="H28" s="732"/>
      <c r="I28" s="732"/>
      <c r="J28" s="732"/>
      <c r="K28" s="1413">
        <f>K18</f>
        <v>10158.739422997845</v>
      </c>
      <c r="L28" s="1414">
        <f>NPV($K$27,L16:U16)</f>
        <v>10244.935063637364</v>
      </c>
      <c r="M28" s="1414">
        <f>NPV($K$27,M16:V16)</f>
        <v>10926.446567745545</v>
      </c>
      <c r="N28" s="303" t="s">
        <v>3</v>
      </c>
      <c r="O28" s="452">
        <v>0.75</v>
      </c>
      <c r="P28" s="1400">
        <f>K33</f>
        <v>57.985153306869343</v>
      </c>
      <c r="Q28" s="1415">
        <f>P28/$P$31-1</f>
        <v>0.12592530692950188</v>
      </c>
      <c r="R28" s="1416"/>
      <c r="S28" s="1416"/>
      <c r="T28" s="1416"/>
      <c r="U28" s="28"/>
      <c r="V28" s="28"/>
      <c r="W28" s="28"/>
      <c r="X28" s="28"/>
      <c r="Y28" s="28"/>
      <c r="Z28" s="28"/>
    </row>
    <row r="29" spans="1:26" s="6" customFormat="1" ht="18.75" customHeight="1">
      <c r="A29" s="1206" t="s">
        <v>142</v>
      </c>
      <c r="B29" s="303" t="s">
        <v>142</v>
      </c>
      <c r="C29" s="303" t="s">
        <v>142</v>
      </c>
      <c r="D29" s="303"/>
      <c r="E29" s="303"/>
      <c r="F29" s="303"/>
      <c r="G29" s="303"/>
      <c r="H29" s="303"/>
      <c r="I29" s="303"/>
      <c r="J29" s="303"/>
      <c r="K29" s="430">
        <f>'A. FS'!AW121+'A. FS'!AW126-'A. FS'!AW102-'A. FS'!AW103</f>
        <v>469.76</v>
      </c>
      <c r="L29" s="1417">
        <f>'A. FS'!N121+'A. FS'!N126-'A. FS'!N102-'A. FS'!N103</f>
        <v>412.7319377494432</v>
      </c>
      <c r="M29" s="1417">
        <f>'A. FS'!O121+'A. FS'!O126-'A. FS'!O102-'A. FS'!O103</f>
        <v>57.8607204739601</v>
      </c>
      <c r="N29" s="303" t="s">
        <v>11</v>
      </c>
      <c r="O29" s="452">
        <v>0.25</v>
      </c>
      <c r="P29" s="1400">
        <f>'B. PE'!E41</f>
        <v>48.385420375559605</v>
      </c>
      <c r="Q29" s="1415">
        <f>P29/$P$31-1</f>
        <v>-6.0477274260978597E-2</v>
      </c>
      <c r="R29" s="602"/>
      <c r="S29" s="602"/>
      <c r="T29" s="602"/>
      <c r="U29" s="12"/>
      <c r="V29" s="12"/>
      <c r="W29" s="12"/>
      <c r="X29" s="12"/>
      <c r="Y29" s="12"/>
      <c r="Z29" s="12"/>
    </row>
    <row r="30" spans="1:26" s="6" customFormat="1" ht="18.75" customHeight="1">
      <c r="A30" s="1206" t="s">
        <v>143</v>
      </c>
      <c r="B30" s="303" t="s">
        <v>143</v>
      </c>
      <c r="C30" s="303" t="s">
        <v>143</v>
      </c>
      <c r="D30" s="303"/>
      <c r="E30" s="303"/>
      <c r="F30" s="303"/>
      <c r="G30" s="303"/>
      <c r="H30" s="303"/>
      <c r="I30" s="303"/>
      <c r="J30" s="303"/>
      <c r="K30" s="430">
        <f>'A. FS'!AX76</f>
        <v>1.227412173250426</v>
      </c>
      <c r="L30" s="1417"/>
      <c r="M30" s="1417"/>
      <c r="N30" s="441" t="s">
        <v>12</v>
      </c>
      <c r="O30" s="781"/>
      <c r="P30" s="978">
        <f>SUMPRODUCT(O28:O29,P28:P29)</f>
        <v>55.585220074041914</v>
      </c>
      <c r="Q30" s="1417"/>
      <c r="R30" s="602"/>
      <c r="S30" s="602"/>
      <c r="T30" s="602"/>
      <c r="U30" s="12"/>
      <c r="V30" s="12"/>
      <c r="W30" s="12"/>
      <c r="X30" s="12"/>
      <c r="Y30" s="12"/>
      <c r="Z30" s="12"/>
    </row>
    <row r="31" spans="1:26" s="6" customFormat="1" ht="18.75" customHeight="1" thickBot="1">
      <c r="A31" s="736" t="s">
        <v>144</v>
      </c>
      <c r="B31" s="732" t="s">
        <v>145</v>
      </c>
      <c r="C31" s="732" t="s">
        <v>145</v>
      </c>
      <c r="D31" s="732"/>
      <c r="E31" s="732"/>
      <c r="F31" s="732"/>
      <c r="G31" s="732"/>
      <c r="H31" s="732"/>
      <c r="I31" s="732"/>
      <c r="J31" s="732"/>
      <c r="K31" s="155">
        <f>K28-K29-K30</f>
        <v>9687.7520108245953</v>
      </c>
      <c r="L31" s="833"/>
      <c r="M31" s="833"/>
      <c r="N31" s="303" t="s">
        <v>13</v>
      </c>
      <c r="O31" s="303" t="s">
        <v>146</v>
      </c>
      <c r="P31" s="1401">
        <f>K34</f>
        <v>51.5</v>
      </c>
      <c r="Q31" s="1073">
        <f>P31*1.08</f>
        <v>55.620000000000005</v>
      </c>
      <c r="R31" s="961"/>
      <c r="S31" s="961"/>
      <c r="T31" s="961"/>
      <c r="U31" s="12"/>
      <c r="V31" s="12"/>
      <c r="W31" s="12"/>
      <c r="X31" s="12"/>
      <c r="Y31" s="12"/>
      <c r="Z31" s="12"/>
    </row>
    <row r="32" spans="1:26" s="6" customFormat="1" ht="18.75" customHeight="1">
      <c r="A32" s="1396" t="s">
        <v>147</v>
      </c>
      <c r="B32" s="431"/>
      <c r="C32" s="431"/>
      <c r="E32" s="428"/>
      <c r="F32" s="428"/>
      <c r="G32" s="428"/>
      <c r="H32" s="428"/>
      <c r="I32" s="428"/>
      <c r="J32" s="428"/>
      <c r="K32" s="733">
        <f>167072974/10^6</f>
        <v>167.07297399999999</v>
      </c>
      <c r="L32" s="1065"/>
      <c r="M32" s="1065"/>
      <c r="N32" s="441" t="s">
        <v>15</v>
      </c>
      <c r="O32" s="781"/>
      <c r="P32" s="825">
        <f>P30/P31-1</f>
        <v>7.9324661631881899E-2</v>
      </c>
      <c r="Q32" s="1065"/>
      <c r="R32" s="432"/>
      <c r="S32" s="432"/>
      <c r="T32" s="432"/>
      <c r="U32" s="12"/>
      <c r="V32" s="12"/>
      <c r="W32" s="12"/>
      <c r="X32" s="12"/>
      <c r="Y32" s="12"/>
      <c r="Z32" s="12"/>
    </row>
    <row r="33" spans="1:26" s="6" customFormat="1" ht="18.75" customHeight="1">
      <c r="A33" s="1396" t="s">
        <v>148</v>
      </c>
      <c r="B33" s="89"/>
      <c r="C33" s="89"/>
      <c r="D33" s="427"/>
      <c r="E33" s="428"/>
      <c r="F33" s="428"/>
      <c r="G33" s="428"/>
      <c r="H33" s="428"/>
      <c r="I33" s="428"/>
      <c r="J33" s="428"/>
      <c r="K33" s="1042">
        <f>K31/$K$32</f>
        <v>57.985153306869343</v>
      </c>
      <c r="L33" s="1067"/>
      <c r="M33" s="834"/>
      <c r="Q33" s="834"/>
      <c r="R33" s="962"/>
      <c r="S33" s="962"/>
      <c r="T33" s="962"/>
      <c r="U33" s="12"/>
      <c r="V33" s="12"/>
      <c r="W33" s="12"/>
      <c r="X33" s="12"/>
      <c r="Y33" s="12"/>
      <c r="Z33" s="12"/>
    </row>
    <row r="34" spans="1:26" s="6" customFormat="1" ht="18.75" customHeight="1">
      <c r="A34" s="1396" t="s">
        <v>149</v>
      </c>
      <c r="B34" s="89"/>
      <c r="C34" s="89"/>
      <c r="D34" s="427"/>
      <c r="E34" s="428"/>
      <c r="F34" s="428"/>
      <c r="G34" s="428"/>
      <c r="H34" s="428"/>
      <c r="I34" s="428"/>
      <c r="J34" s="428"/>
      <c r="K34" s="734">
        <v>51.5</v>
      </c>
      <c r="L34" s="1418"/>
      <c r="M34" s="1418"/>
      <c r="Q34" s="1419"/>
      <c r="R34" s="428"/>
      <c r="S34" s="428"/>
      <c r="T34" s="428"/>
      <c r="U34" s="12"/>
      <c r="V34" s="12"/>
      <c r="W34" s="12"/>
      <c r="X34" s="12"/>
      <c r="Y34" s="12"/>
      <c r="Z34" s="12"/>
    </row>
    <row r="35" spans="1:26" s="6" customFormat="1" ht="18.75" customHeight="1" thickBot="1">
      <c r="A35" s="178" t="s">
        <v>140</v>
      </c>
      <c r="B35" s="735"/>
      <c r="C35" s="735"/>
      <c r="D35" s="427"/>
      <c r="E35" s="428"/>
      <c r="F35" s="428"/>
      <c r="G35" s="428"/>
      <c r="H35" s="428"/>
      <c r="I35" s="428"/>
      <c r="J35" s="428"/>
      <c r="K35" s="1402">
        <f>K33/K34-1</f>
        <v>0.12592530692950188</v>
      </c>
      <c r="L35" s="1419"/>
      <c r="M35" s="1419"/>
      <c r="Q35" s="1419"/>
      <c r="R35" s="428"/>
      <c r="T35" s="428"/>
      <c r="U35" s="12"/>
      <c r="V35" s="12"/>
      <c r="W35" s="12"/>
      <c r="X35" s="12"/>
      <c r="Y35" s="12"/>
      <c r="Z35" s="12"/>
    </row>
    <row r="36" spans="1:26" s="6" customFormat="1" ht="18.75" customHeight="1">
      <c r="A36" s="178"/>
      <c r="B36" s="737"/>
      <c r="C36" s="737"/>
      <c r="D36" s="427"/>
      <c r="E36" s="428"/>
      <c r="F36" s="428"/>
      <c r="G36" s="428"/>
      <c r="H36" s="428"/>
      <c r="I36" s="428"/>
      <c r="J36" s="428"/>
      <c r="K36" s="428"/>
      <c r="L36" s="1419"/>
      <c r="M36" s="1419"/>
      <c r="N36" s="1419"/>
      <c r="O36" s="1420"/>
      <c r="P36" s="1419" t="s">
        <v>150</v>
      </c>
      <c r="Q36" s="1419"/>
      <c r="R36" s="428"/>
      <c r="T36" s="428"/>
      <c r="U36" s="12"/>
      <c r="V36" s="12"/>
      <c r="W36" s="12"/>
      <c r="X36" s="12"/>
      <c r="Y36" s="12"/>
      <c r="Z36" s="12"/>
    </row>
    <row r="37" spans="1:26" s="6" customFormat="1" ht="18.75" customHeight="1">
      <c r="A37" s="178"/>
      <c r="B37" s="737"/>
      <c r="C37" s="737"/>
      <c r="D37" s="427"/>
      <c r="E37" s="428"/>
      <c r="F37" s="428"/>
      <c r="G37" s="428"/>
      <c r="H37" s="428"/>
      <c r="I37" s="428"/>
      <c r="J37" s="428"/>
      <c r="K37" s="428"/>
      <c r="L37" s="428"/>
      <c r="M37" s="428"/>
      <c r="N37" s="428"/>
      <c r="O37" s="428"/>
      <c r="P37" s="428"/>
      <c r="Q37" s="428"/>
      <c r="R37" s="428"/>
      <c r="T37" s="428"/>
      <c r="U37" s="12"/>
      <c r="V37" s="12"/>
      <c r="W37" s="12"/>
      <c r="X37" s="12"/>
      <c r="Y37" s="12"/>
      <c r="Z37" s="12"/>
    </row>
    <row r="38" spans="1:26" s="6" customFormat="1" ht="18.75" customHeight="1">
      <c r="A38" s="178"/>
      <c r="B38" s="737"/>
      <c r="C38" s="737"/>
      <c r="D38" s="427"/>
      <c r="E38" s="428"/>
      <c r="F38" s="428"/>
      <c r="G38" s="428"/>
      <c r="H38" s="428"/>
      <c r="I38" s="428"/>
      <c r="J38" s="428"/>
      <c r="K38" s="428"/>
      <c r="L38" s="428"/>
      <c r="M38" s="428"/>
      <c r="N38" s="428"/>
      <c r="O38" s="428"/>
      <c r="P38" s="428"/>
      <c r="R38" s="428"/>
      <c r="S38" s="428"/>
      <c r="T38" s="428"/>
      <c r="U38" s="12"/>
      <c r="V38" s="12"/>
      <c r="W38" s="12"/>
      <c r="X38" s="12"/>
      <c r="Y38" s="12"/>
      <c r="Z38" s="12"/>
    </row>
    <row r="39" spans="1:26" ht="18.75" customHeight="1">
      <c r="A39" s="963"/>
      <c r="B39" s="431"/>
      <c r="C39" s="431"/>
      <c r="D39" s="427"/>
      <c r="E39" s="427"/>
      <c r="F39" s="427"/>
      <c r="G39" s="427"/>
      <c r="J39" s="6"/>
      <c r="K39" s="1421"/>
      <c r="L39" s="1422"/>
      <c r="M39" s="1422"/>
      <c r="N39" s="1422"/>
      <c r="O39" s="1422"/>
      <c r="P39" s="1422"/>
      <c r="Q39" s="428"/>
      <c r="R39" s="1422"/>
      <c r="S39" s="1422"/>
      <c r="T39" s="1422"/>
      <c r="U39" s="1422"/>
      <c r="V39" s="1423"/>
      <c r="W39" s="1423"/>
      <c r="X39" s="1423"/>
      <c r="Y39" s="1423"/>
      <c r="Z39" s="1423"/>
    </row>
    <row r="40" spans="1:26" ht="18.75" customHeight="1">
      <c r="A40" s="960"/>
      <c r="B40" s="431"/>
      <c r="C40" s="431"/>
      <c r="D40" s="427"/>
      <c r="E40" s="427"/>
      <c r="F40" s="6"/>
      <c r="G40" s="6"/>
      <c r="J40" s="6"/>
      <c r="K40" s="1424"/>
      <c r="L40" s="12"/>
      <c r="M40" s="12"/>
      <c r="N40" s="12"/>
      <c r="O40" s="12"/>
      <c r="P40" s="12"/>
      <c r="Q40" s="12"/>
      <c r="R40" s="12"/>
      <c r="S40" s="12"/>
      <c r="T40" s="12"/>
      <c r="U40" s="12"/>
    </row>
    <row r="41" spans="1:26" ht="18.75" customHeight="1">
      <c r="A41" s="960"/>
      <c r="B41" s="431"/>
      <c r="C41" s="431"/>
      <c r="D41" s="427"/>
      <c r="E41" s="427"/>
      <c r="F41" s="6"/>
      <c r="G41" s="6"/>
      <c r="J41" s="6"/>
      <c r="K41" s="1424"/>
      <c r="L41" s="12"/>
      <c r="M41" s="12"/>
      <c r="N41" s="12"/>
      <c r="O41" s="12"/>
      <c r="P41" s="12"/>
      <c r="Q41" s="12"/>
      <c r="R41" s="12"/>
      <c r="S41" s="12"/>
      <c r="T41" s="12"/>
      <c r="U41" s="12"/>
    </row>
    <row r="42" spans="1:26" ht="18.75" customHeight="1">
      <c r="A42" s="168"/>
      <c r="B42" s="303"/>
      <c r="C42" s="303"/>
      <c r="D42" s="43"/>
      <c r="E42" s="43"/>
      <c r="F42" s="6"/>
    </row>
    <row r="43" spans="1:26" ht="18.75" customHeight="1">
      <c r="A43" s="303"/>
      <c r="B43" s="303"/>
      <c r="C43" s="303"/>
      <c r="D43" s="43"/>
      <c r="E43" s="43"/>
      <c r="F43" s="6"/>
      <c r="U43" s="1425"/>
      <c r="V43" s="1425"/>
      <c r="W43" s="1425"/>
      <c r="X43" s="1425"/>
      <c r="Y43" s="1425"/>
      <c r="Z43" s="1425"/>
    </row>
    <row r="44" spans="1:26" ht="18.75" customHeight="1">
      <c r="A44" s="303"/>
      <c r="B44" s="303"/>
      <c r="C44" s="303"/>
      <c r="D44" s="43"/>
      <c r="E44" s="43"/>
      <c r="F44" s="6"/>
      <c r="U44" s="1425"/>
      <c r="V44" s="1425"/>
      <c r="W44" s="1425"/>
      <c r="X44" s="1425"/>
      <c r="Y44" s="1425"/>
      <c r="Z44" s="1425"/>
    </row>
    <row r="45" spans="1:26" ht="18.75" customHeight="1">
      <c r="A45" s="303"/>
      <c r="B45" s="303"/>
      <c r="C45" s="303"/>
      <c r="D45" s="43"/>
      <c r="E45" s="43"/>
      <c r="F45" s="6"/>
    </row>
    <row r="46" spans="1:26" ht="18.75" customHeight="1">
      <c r="A46" s="303"/>
      <c r="B46" s="303"/>
      <c r="C46" s="303"/>
      <c r="D46" s="43"/>
      <c r="E46" s="43"/>
      <c r="F46" s="6"/>
    </row>
    <row r="47" spans="1:26" ht="18.75" customHeight="1">
      <c r="A47" s="303"/>
      <c r="B47" s="303"/>
      <c r="C47" s="303"/>
      <c r="D47" s="43"/>
      <c r="E47" s="43"/>
      <c r="F47" s="6"/>
      <c r="M47" s="2"/>
      <c r="O47" s="1243"/>
    </row>
    <row r="48" spans="1:26" ht="18.75" customHeight="1">
      <c r="A48" s="303"/>
      <c r="B48" s="303"/>
      <c r="C48" s="303"/>
      <c r="D48" s="43"/>
      <c r="E48" s="43"/>
      <c r="F48" s="6"/>
      <c r="O48" s="1243"/>
    </row>
    <row r="49" spans="1:26" ht="18.75" customHeight="1">
      <c r="A49" s="303"/>
      <c r="B49" s="303"/>
      <c r="C49" s="303"/>
      <c r="D49" s="43"/>
      <c r="E49" s="43"/>
      <c r="O49" s="1243"/>
    </row>
    <row r="50" spans="1:26" ht="18.75" customHeight="1">
      <c r="A50" s="303"/>
      <c r="B50" s="303"/>
      <c r="C50" s="303"/>
      <c r="D50" s="43"/>
      <c r="E50" s="43"/>
      <c r="F50" s="1426"/>
      <c r="G50" s="1426"/>
    </row>
    <row r="51" spans="1:26" ht="18.75" customHeight="1">
      <c r="A51" s="1"/>
      <c r="B51" s="1"/>
      <c r="C51" s="1"/>
      <c r="F51" s="6"/>
      <c r="I51" s="521"/>
      <c r="J51" s="521"/>
      <c r="K51" s="521"/>
      <c r="M51" s="3"/>
    </row>
    <row r="52" spans="1:26" ht="18.75" customHeight="1">
      <c r="F52" s="6"/>
      <c r="I52" s="43"/>
      <c r="J52" s="43"/>
      <c r="K52" s="43"/>
    </row>
    <row r="53" spans="1:26" ht="18.75" customHeight="1">
      <c r="A53" s="176"/>
      <c r="B53" s="176"/>
      <c r="C53" s="176"/>
      <c r="D53" s="2"/>
      <c r="F53" s="6"/>
      <c r="I53" s="1020"/>
      <c r="J53" s="1020"/>
      <c r="K53" s="1020"/>
      <c r="O53" s="1423"/>
      <c r="P53" s="1423"/>
      <c r="Q53" s="1423"/>
      <c r="R53" s="1423"/>
      <c r="S53" s="1423"/>
      <c r="T53" s="1423"/>
      <c r="U53" s="1423"/>
      <c r="V53" s="1423"/>
      <c r="W53" s="1423"/>
      <c r="X53" s="1423"/>
      <c r="Y53" s="1423"/>
      <c r="Z53" s="1423"/>
    </row>
    <row r="54" spans="1:26" ht="18.75" customHeight="1">
      <c r="A54" s="1"/>
      <c r="B54" s="168"/>
      <c r="C54" s="168"/>
      <c r="F54" s="6"/>
      <c r="I54" s="510"/>
      <c r="J54" s="510"/>
      <c r="O54" s="1423"/>
    </row>
    <row r="55" spans="1:26" ht="18.75" customHeight="1">
      <c r="D55" s="5"/>
    </row>
    <row r="56" spans="1:26" ht="18.75" customHeight="1">
      <c r="K56" s="2"/>
      <c r="L56" s="2"/>
    </row>
    <row r="57" spans="1:26" ht="18.75" customHeight="1">
      <c r="K57" s="6"/>
      <c r="L57" s="6"/>
    </row>
    <row r="58" spans="1:26" ht="18.75" customHeight="1">
      <c r="L58" s="23"/>
    </row>
    <row r="59" spans="1:26" ht="18.75" customHeight="1">
      <c r="L59" s="23"/>
    </row>
    <row r="60" spans="1:26" ht="18.75" customHeight="1">
      <c r="L60" s="23"/>
    </row>
    <row r="61" spans="1:26" ht="18.75" customHeight="1">
      <c r="L61" s="23"/>
    </row>
    <row r="62" spans="1:26" ht="18.75" customHeight="1">
      <c r="L62" s="23"/>
    </row>
    <row r="63" spans="1:26" ht="18.75" customHeight="1">
      <c r="L63" s="23"/>
    </row>
    <row r="65" spans="1:15" ht="18.75" customHeight="1">
      <c r="A65" s="1"/>
      <c r="B65" s="1"/>
      <c r="C65" s="1"/>
    </row>
    <row r="66" spans="1:15" ht="18.75" customHeight="1">
      <c r="A66" s="1"/>
      <c r="B66" s="1"/>
      <c r="C66" s="1"/>
    </row>
    <row r="67" spans="1:15" ht="18.75" customHeight="1">
      <c r="A67" s="1"/>
      <c r="B67" s="1"/>
      <c r="C67" s="1"/>
    </row>
    <row r="68" spans="1:15" ht="18.75" customHeight="1">
      <c r="K68" s="6"/>
      <c r="L68" s="6"/>
    </row>
    <row r="69" spans="1:15" ht="18.75" customHeight="1">
      <c r="A69" s="1"/>
      <c r="B69" s="1"/>
      <c r="C69" s="1"/>
      <c r="K69" s="6"/>
      <c r="L69" s="6"/>
    </row>
    <row r="70" spans="1:15" ht="18.75" customHeight="1">
      <c r="A70" s="1"/>
      <c r="B70" s="1"/>
      <c r="C70" s="1"/>
      <c r="K70" s="6"/>
      <c r="L70" s="6"/>
      <c r="O70" s="1">
        <v>4</v>
      </c>
    </row>
    <row r="71" spans="1:15" ht="18.75" customHeight="1">
      <c r="A71" s="1"/>
      <c r="B71" s="1"/>
      <c r="C71" s="1"/>
      <c r="K71" s="6"/>
      <c r="L71" s="6"/>
    </row>
    <row r="72" spans="1:15" ht="18.75" customHeight="1">
      <c r="A72" s="1"/>
      <c r="B72" s="1"/>
      <c r="C72" s="1"/>
      <c r="K72" s="140"/>
      <c r="L72" s="140"/>
    </row>
    <row r="73" spans="1:15" ht="18.75" customHeight="1">
      <c r="A73" s="1"/>
      <c r="B73" s="1"/>
      <c r="C73" s="1"/>
      <c r="K73" s="6"/>
      <c r="L73" s="6"/>
    </row>
    <row r="74" spans="1:15" ht="18.75" customHeight="1">
      <c r="K74" s="6"/>
      <c r="L74" s="6"/>
    </row>
    <row r="75" spans="1:15" ht="18.75" customHeight="1">
      <c r="K75" s="6"/>
      <c r="L75" s="6"/>
    </row>
    <row r="76" spans="1:15" ht="18.75" customHeight="1">
      <c r="E76" s="3"/>
      <c r="K76" s="6"/>
      <c r="L76" s="6"/>
    </row>
    <row r="77" spans="1:15" ht="18.75" customHeight="1">
      <c r="D77" s="199"/>
      <c r="E77" s="199"/>
    </row>
    <row r="89" spans="1:8" ht="18.75" customHeight="1">
      <c r="A89" s="176" t="s">
        <v>151</v>
      </c>
      <c r="B89" s="176"/>
      <c r="C89" s="176"/>
    </row>
    <row r="90" spans="1:8" ht="18.75" customHeight="1">
      <c r="A90" s="1231" t="s">
        <v>152</v>
      </c>
      <c r="D90" s="1" t="s">
        <v>153</v>
      </c>
    </row>
    <row r="91" spans="1:8" ht="18.75" customHeight="1">
      <c r="A91" s="1231" t="s">
        <v>154</v>
      </c>
      <c r="D91" s="1" t="s">
        <v>153</v>
      </c>
    </row>
    <row r="92" spans="1:8" ht="18.75" customHeight="1">
      <c r="A92" s="1231" t="s">
        <v>155</v>
      </c>
      <c r="D92" s="1" t="s">
        <v>153</v>
      </c>
    </row>
    <row r="93" spans="1:8" ht="18.75" customHeight="1">
      <c r="A93" s="1231" t="s">
        <v>156</v>
      </c>
      <c r="D93" s="1" t="s">
        <v>153</v>
      </c>
    </row>
    <row r="94" spans="1:8" ht="18.75" customHeight="1">
      <c r="A94" s="1231" t="s">
        <v>157</v>
      </c>
      <c r="D94" s="1" t="s">
        <v>153</v>
      </c>
    </row>
    <row r="95" spans="1:8" ht="18.75" customHeight="1">
      <c r="A95" s="1231" t="s">
        <v>158</v>
      </c>
      <c r="D95" s="1" t="s">
        <v>153</v>
      </c>
    </row>
    <row r="96" spans="1:8" ht="18.75" customHeight="1">
      <c r="A96" s="1231" t="s">
        <v>159</v>
      </c>
      <c r="D96" s="1231" t="s">
        <v>160</v>
      </c>
      <c r="G96" s="1231"/>
      <c r="H96" s="1" t="s">
        <v>153</v>
      </c>
    </row>
    <row r="97" spans="1:4" ht="18.75" customHeight="1">
      <c r="A97" s="1231" t="s">
        <v>161</v>
      </c>
      <c r="D97" s="1231" t="s">
        <v>160</v>
      </c>
    </row>
    <row r="98" spans="1:4" ht="18.75" customHeight="1">
      <c r="A98" s="1231" t="s">
        <v>162</v>
      </c>
      <c r="D98" s="1231" t="s">
        <v>160</v>
      </c>
    </row>
    <row r="99" spans="1:4" ht="18.75" customHeight="1">
      <c r="A99" s="1231" t="s">
        <v>151</v>
      </c>
      <c r="D99" s="1231" t="s">
        <v>160</v>
      </c>
    </row>
    <row r="100" spans="1:4" ht="18.75" customHeight="1">
      <c r="A100" s="1231" t="s">
        <v>163</v>
      </c>
    </row>
    <row r="101" spans="1:4" ht="18.75" customHeight="1">
      <c r="A101" s="1231" t="s">
        <v>164</v>
      </c>
    </row>
    <row r="102" spans="1:4" ht="18.75" customHeight="1">
      <c r="A102" s="1231" t="s">
        <v>165</v>
      </c>
    </row>
    <row r="103" spans="1:4" ht="18.75" customHeight="1">
      <c r="A103" s="1231" t="s">
        <v>166</v>
      </c>
    </row>
    <row r="104" spans="1:4" ht="18.75" customHeight="1">
      <c r="A104" s="1231" t="s">
        <v>167</v>
      </c>
    </row>
    <row r="105" spans="1:4" ht="18.75" customHeight="1">
      <c r="A105" s="1231" t="s">
        <v>168</v>
      </c>
      <c r="D105" s="1" t="s">
        <v>160</v>
      </c>
    </row>
    <row r="106" spans="1:4" ht="18.75" customHeight="1">
      <c r="A106" s="1231" t="s">
        <v>169</v>
      </c>
      <c r="D106" s="1" t="s">
        <v>160</v>
      </c>
    </row>
    <row r="107" spans="1:4" ht="18.75" customHeight="1">
      <c r="A107" s="1231" t="s">
        <v>170</v>
      </c>
    </row>
    <row r="134" spans="1:1" ht="18.75" customHeight="1">
      <c r="A134" s="1231" t="s">
        <v>171</v>
      </c>
    </row>
    <row r="135" spans="1:1" ht="18.75" customHeight="1">
      <c r="A135" s="1231" t="s">
        <v>172</v>
      </c>
    </row>
    <row r="136" spans="1:1" ht="18.75" customHeight="1">
      <c r="A136" s="1231" t="s">
        <v>173</v>
      </c>
    </row>
    <row r="137" spans="1:1" ht="18.75" customHeight="1">
      <c r="A137" s="1231" t="s">
        <v>174</v>
      </c>
    </row>
    <row r="139" spans="1:1" ht="18.75" customHeight="1">
      <c r="A139" s="1231" t="s">
        <v>175</v>
      </c>
    </row>
    <row r="140" spans="1:1" ht="18.75" customHeight="1">
      <c r="A140" s="1231" t="s">
        <v>176</v>
      </c>
    </row>
    <row r="141" spans="1:1" ht="18.75" customHeight="1">
      <c r="A141" s="1231" t="s">
        <v>177</v>
      </c>
    </row>
    <row r="143" spans="1:1" ht="18.75" customHeight="1">
      <c r="A143" s="1231" t="s">
        <v>178</v>
      </c>
    </row>
    <row r="148" spans="1:5" ht="18.75" customHeight="1">
      <c r="A148" s="168"/>
      <c r="B148" s="168"/>
      <c r="C148" s="168"/>
      <c r="D148" s="3"/>
      <c r="E148" s="3"/>
    </row>
    <row r="149" spans="1:5" ht="18.75" customHeight="1">
      <c r="A149" s="169"/>
      <c r="B149" s="169"/>
      <c r="C149" s="169"/>
      <c r="D149" s="17"/>
      <c r="E149" s="17"/>
    </row>
    <row r="150" spans="1:5" ht="18.75" customHeight="1">
      <c r="A150" s="170"/>
      <c r="B150" s="170"/>
      <c r="C150" s="170"/>
      <c r="D150" s="7"/>
      <c r="E150" s="7"/>
    </row>
    <row r="151" spans="1:5" ht="18.75" customHeight="1">
      <c r="A151" s="80"/>
      <c r="B151" s="80"/>
      <c r="C151" s="80"/>
      <c r="D151" s="12"/>
      <c r="E151" s="12"/>
    </row>
    <row r="153" spans="1:5" ht="18.75" customHeight="1">
      <c r="A153" s="171"/>
      <c r="B153" s="171"/>
      <c r="C153" s="171"/>
      <c r="D153" s="3"/>
      <c r="E153" s="3"/>
    </row>
    <row r="154" spans="1:5" ht="18.75" customHeight="1">
      <c r="A154" s="172"/>
      <c r="B154" s="172"/>
      <c r="C154" s="172"/>
      <c r="D154" s="14"/>
      <c r="E154" s="14"/>
    </row>
    <row r="156" spans="1:5" ht="18.75" customHeight="1">
      <c r="A156" s="168"/>
      <c r="B156" s="168"/>
      <c r="C156" s="168"/>
      <c r="D156" s="7"/>
      <c r="E156" s="7"/>
    </row>
    <row r="157" spans="1:5" ht="18.75" customHeight="1">
      <c r="A157" s="173"/>
      <c r="B157" s="173"/>
      <c r="C157" s="173"/>
      <c r="D157" s="15"/>
      <c r="E157" s="15"/>
    </row>
    <row r="158" spans="1:5" ht="18.75" customHeight="1">
      <c r="A158" s="170"/>
      <c r="B158" s="170"/>
      <c r="C158" s="170"/>
      <c r="D158" s="12"/>
      <c r="E158" s="12"/>
    </row>
    <row r="159" spans="1:5" ht="18.75" customHeight="1">
      <c r="A159" s="1403"/>
      <c r="B159" s="1403"/>
      <c r="C159" s="1403"/>
      <c r="D159" s="5"/>
      <c r="E159" s="5"/>
    </row>
    <row r="160" spans="1:5" ht="18.75" customHeight="1">
      <c r="A160" s="168"/>
      <c r="B160" s="168"/>
      <c r="C160" s="168"/>
      <c r="D160" s="3"/>
      <c r="E160" s="3"/>
    </row>
    <row r="161" spans="1:20" ht="18.75" customHeight="1">
      <c r="A161" s="173"/>
      <c r="B161" s="173"/>
      <c r="C161" s="173"/>
      <c r="D161" s="15"/>
      <c r="E161" s="15"/>
    </row>
    <row r="163" spans="1:20" ht="18.75" customHeight="1">
      <c r="A163" s="168"/>
      <c r="B163" s="168"/>
      <c r="C163" s="168"/>
      <c r="D163" s="3"/>
      <c r="E163" s="3"/>
    </row>
    <row r="164" spans="1:20" ht="18.75" customHeight="1">
      <c r="A164" s="173"/>
      <c r="B164" s="173"/>
      <c r="C164" s="173"/>
      <c r="D164" s="15"/>
      <c r="E164" s="15"/>
    </row>
    <row r="166" spans="1:20" ht="18.75" customHeight="1">
      <c r="A166" s="174"/>
      <c r="B166" s="174"/>
      <c r="C166" s="174"/>
      <c r="D166" s="7"/>
      <c r="E166" s="7"/>
    </row>
    <row r="167" spans="1:20" ht="18.75" customHeight="1">
      <c r="D167" s="15"/>
      <c r="E167" s="15"/>
    </row>
    <row r="168" spans="1:20" ht="18.75" customHeight="1">
      <c r="D168" s="12"/>
      <c r="E168" s="12"/>
      <c r="P168" s="1" t="s">
        <v>179</v>
      </c>
      <c r="Q168" s="23" t="s">
        <v>180</v>
      </c>
      <c r="R168" s="23"/>
      <c r="S168" s="23"/>
      <c r="T168" s="23"/>
    </row>
    <row r="169" spans="1:20" ht="18.75" customHeight="1">
      <c r="Q169" s="1" t="s">
        <v>181</v>
      </c>
    </row>
    <row r="170" spans="1:20" ht="18.75" customHeight="1">
      <c r="A170" s="175" t="s">
        <v>182</v>
      </c>
      <c r="B170" s="175"/>
      <c r="C170" s="175"/>
      <c r="D170" s="3"/>
      <c r="E170" s="3"/>
      <c r="Q170" s="1" t="s">
        <v>183</v>
      </c>
    </row>
    <row r="171" spans="1:20" ht="18.75" customHeight="1">
      <c r="A171" s="1231" t="s">
        <v>184</v>
      </c>
      <c r="D171" s="15"/>
      <c r="E171" s="15"/>
      <c r="Q171" s="1" t="s">
        <v>185</v>
      </c>
    </row>
    <row r="172" spans="1:20" ht="18.75" customHeight="1">
      <c r="A172" s="1231" t="s">
        <v>186</v>
      </c>
      <c r="Q172" s="1" t="s">
        <v>187</v>
      </c>
    </row>
    <row r="173" spans="1:20" ht="18.75" customHeight="1">
      <c r="A173" s="1231" t="s">
        <v>188</v>
      </c>
      <c r="D173" s="7"/>
      <c r="E173" s="7"/>
      <c r="F173" s="1" t="s">
        <v>189</v>
      </c>
      <c r="Q173" s="1" t="s">
        <v>190</v>
      </c>
    </row>
    <row r="174" spans="1:20" ht="18.75" customHeight="1">
      <c r="A174" s="1231" t="s">
        <v>191</v>
      </c>
      <c r="D174" s="15"/>
      <c r="E174" s="15"/>
      <c r="Q174" s="1" t="s">
        <v>192</v>
      </c>
    </row>
    <row r="175" spans="1:20" ht="18.75" customHeight="1">
      <c r="A175" s="1231" t="s">
        <v>193</v>
      </c>
      <c r="D175" s="12"/>
      <c r="E175" s="12"/>
      <c r="Q175" s="1" t="s">
        <v>194</v>
      </c>
    </row>
    <row r="176" spans="1:20" ht="18.75" customHeight="1">
      <c r="A176" s="1231" t="s">
        <v>195</v>
      </c>
      <c r="Q176" s="1" t="s">
        <v>196</v>
      </c>
    </row>
    <row r="177" spans="1:26" ht="18.75" customHeight="1">
      <c r="A177" s="176"/>
      <c r="B177" s="176"/>
      <c r="C177" s="176"/>
    </row>
    <row r="178" spans="1:26" ht="18.75" customHeight="1">
      <c r="A178" s="1231" t="s">
        <v>197</v>
      </c>
      <c r="Q178" s="23" t="s">
        <v>198</v>
      </c>
      <c r="R178" s="23"/>
      <c r="S178" s="23"/>
      <c r="T178" s="23"/>
    </row>
    <row r="179" spans="1:26" ht="18.75" customHeight="1">
      <c r="A179" s="1231" t="s">
        <v>199</v>
      </c>
      <c r="Q179" s="1548" t="s">
        <v>200</v>
      </c>
      <c r="R179" s="1548"/>
      <c r="S179" s="1548"/>
      <c r="T179" s="1548"/>
      <c r="U179" s="1548"/>
      <c r="V179" s="1548"/>
      <c r="W179" s="1548"/>
      <c r="X179" s="1548"/>
      <c r="Y179" s="1548"/>
      <c r="Z179" s="1548"/>
    </row>
    <row r="180" spans="1:26" ht="18.75" customHeight="1">
      <c r="A180" s="176" t="s">
        <v>201</v>
      </c>
      <c r="B180" s="176"/>
      <c r="C180" s="176"/>
      <c r="Q180" s="103"/>
      <c r="R180" s="103"/>
      <c r="S180" s="103"/>
      <c r="T180" s="103"/>
    </row>
    <row r="182" spans="1:26" ht="18.75" customHeight="1">
      <c r="A182" s="1231" t="s">
        <v>202</v>
      </c>
    </row>
    <row r="183" spans="1:26" ht="18.75" customHeight="1">
      <c r="A183" s="1231" t="s">
        <v>203</v>
      </c>
    </row>
    <row r="185" spans="1:26" ht="18.75" customHeight="1">
      <c r="A185" s="1231" t="s">
        <v>204</v>
      </c>
    </row>
    <row r="186" spans="1:26" ht="18.75" customHeight="1">
      <c r="A186" s="176"/>
      <c r="B186" s="176"/>
      <c r="C186" s="176"/>
    </row>
    <row r="187" spans="1:26" ht="18.75" customHeight="1">
      <c r="A187" s="1231" t="s">
        <v>205</v>
      </c>
    </row>
    <row r="189" spans="1:26" ht="18.75" customHeight="1">
      <c r="A189" s="1231" t="s">
        <v>206</v>
      </c>
    </row>
    <row r="191" spans="1:26" ht="18.75" customHeight="1">
      <c r="A191" s="1231" t="s">
        <v>207</v>
      </c>
    </row>
    <row r="192" spans="1:26" ht="18.75" customHeight="1">
      <c r="A192" s="1231" t="s">
        <v>208</v>
      </c>
    </row>
    <row r="193" spans="1:1" ht="18.75" customHeight="1">
      <c r="A193" s="1231" t="s">
        <v>209</v>
      </c>
    </row>
    <row r="194" spans="1:1" ht="18.75" customHeight="1">
      <c r="A194" s="1231" t="s">
        <v>210</v>
      </c>
    </row>
    <row r="195" spans="1:1" ht="18.75" customHeight="1">
      <c r="A195" s="1231" t="s">
        <v>211</v>
      </c>
    </row>
    <row r="197" spans="1:1" ht="18.75" customHeight="1">
      <c r="A197" s="1231" t="s">
        <v>212</v>
      </c>
    </row>
    <row r="199" spans="1:1" ht="18.75" customHeight="1">
      <c r="A199" s="1231" t="s">
        <v>213</v>
      </c>
    </row>
    <row r="200" spans="1:1" ht="18.75" customHeight="1">
      <c r="A200" s="1231" t="s">
        <v>214</v>
      </c>
    </row>
    <row r="201" spans="1:1" ht="18.75" customHeight="1">
      <c r="A201" s="1231" t="s">
        <v>215</v>
      </c>
    </row>
    <row r="202" spans="1:1" ht="18.75" customHeight="1">
      <c r="A202" s="1231" t="s">
        <v>216</v>
      </c>
    </row>
    <row r="203" spans="1:1" ht="18.75" customHeight="1">
      <c r="A203" s="1231" t="s">
        <v>217</v>
      </c>
    </row>
  </sheetData>
  <mergeCells count="4">
    <mergeCell ref="Q7:V8"/>
    <mergeCell ref="Q9:V10"/>
    <mergeCell ref="Q179:Z179"/>
    <mergeCell ref="A20:L2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0A91E-A634-4DCF-A812-C4E79E2410BC}">
  <sheetPr>
    <tabColor theme="5" tint="0.39997558519241921"/>
  </sheetPr>
  <dimension ref="A1:AN88"/>
  <sheetViews>
    <sheetView topLeftCell="B14" zoomScaleNormal="100" workbookViewId="0">
      <selection activeCell="G46" sqref="G46"/>
    </sheetView>
  </sheetViews>
  <sheetFormatPr defaultColWidth="8.85546875" defaultRowHeight="15" customHeight="1"/>
  <cols>
    <col min="1" max="1" width="8.85546875" style="1"/>
    <col min="2" max="2" width="14.140625" style="1" customWidth="1"/>
    <col min="3" max="3" width="28.85546875" style="1" customWidth="1"/>
    <col min="4" max="6" width="12.5703125" style="1" customWidth="1"/>
    <col min="7" max="7" width="9.5703125" style="1" bestFit="1" customWidth="1"/>
    <col min="8" max="10" width="12.140625" style="1" customWidth="1"/>
    <col min="11" max="11" width="4.140625" style="1" customWidth="1"/>
    <col min="12" max="12" width="16.85546875" style="1" customWidth="1"/>
    <col min="13" max="19" width="11.140625" style="1" customWidth="1"/>
    <col min="20" max="20" width="4" style="1" customWidth="1"/>
    <col min="21" max="21" width="23.140625" style="1" customWidth="1"/>
    <col min="22" max="25" width="11.140625" style="1" customWidth="1"/>
    <col min="26" max="27" width="11.5703125" style="1" customWidth="1"/>
    <col min="28" max="28" width="18.42578125" style="1" customWidth="1"/>
    <col min="29" max="30" width="11.5703125" style="1" customWidth="1"/>
    <col min="31" max="31" width="11.140625" style="1" bestFit="1" customWidth="1"/>
    <col min="32" max="32" width="12.140625" style="1" bestFit="1" customWidth="1"/>
    <col min="33" max="33" width="12.140625" style="1" customWidth="1"/>
    <col min="34" max="34" width="8.85546875" style="1"/>
    <col min="35" max="35" width="17.42578125" style="1" bestFit="1" customWidth="1"/>
    <col min="36" max="36" width="13.42578125" style="2" bestFit="1" customWidth="1"/>
    <col min="37" max="37" width="14" style="1" bestFit="1" customWidth="1"/>
    <col min="38" max="38" width="13.42578125" style="1" bestFit="1" customWidth="1"/>
    <col min="39" max="39" width="12.85546875" style="1" bestFit="1" customWidth="1"/>
    <col min="40" max="40" width="13.42578125" style="1" bestFit="1" customWidth="1"/>
    <col min="41" max="16384" width="8.85546875" style="1"/>
  </cols>
  <sheetData>
    <row r="1" spans="1:40" customFormat="1">
      <c r="A1" s="1"/>
      <c r="B1" s="1"/>
      <c r="C1" s="1"/>
      <c r="D1" s="1"/>
      <c r="E1" s="1"/>
      <c r="F1" s="1"/>
      <c r="G1" s="1405"/>
      <c r="H1" s="1405"/>
      <c r="I1" s="1405"/>
      <c r="J1" s="1405"/>
      <c r="K1" s="1405"/>
      <c r="L1" s="1405"/>
      <c r="M1" s="1405"/>
      <c r="N1" s="1405"/>
      <c r="O1" s="1405"/>
      <c r="P1" s="1405"/>
      <c r="Q1" s="1405"/>
      <c r="R1" s="1405"/>
      <c r="S1" s="1405"/>
      <c r="T1" s="1405"/>
      <c r="U1" s="1405"/>
      <c r="V1" s="1405"/>
      <c r="W1" s="1405"/>
      <c r="X1" s="1"/>
      <c r="Y1" s="1"/>
      <c r="Z1" s="1"/>
      <c r="AA1" s="1"/>
      <c r="AB1" s="1"/>
      <c r="AC1" s="1"/>
      <c r="AD1" s="1"/>
      <c r="AE1" s="1"/>
      <c r="AF1" s="1"/>
      <c r="AG1" s="1"/>
      <c r="AH1" s="1"/>
      <c r="AI1" s="1"/>
      <c r="AJ1" s="1"/>
      <c r="AK1" s="1"/>
      <c r="AL1" s="1"/>
      <c r="AM1" s="1"/>
      <c r="AN1" s="1"/>
    </row>
    <row r="2" spans="1:40" customFormat="1" ht="21">
      <c r="A2" s="1"/>
      <c r="B2" s="1"/>
      <c r="C2" s="1550" t="s">
        <v>218</v>
      </c>
      <c r="D2" s="1550"/>
      <c r="E2" s="3"/>
      <c r="F2" s="1"/>
      <c r="G2" s="1405"/>
      <c r="H2" s="1405"/>
      <c r="I2" s="1405"/>
      <c r="J2" s="1405"/>
      <c r="K2" s="1405"/>
      <c r="L2" s="1405"/>
      <c r="M2" s="1405"/>
      <c r="N2" s="1405"/>
      <c r="O2" s="1405"/>
      <c r="P2" s="1405"/>
      <c r="Q2" s="1405"/>
      <c r="R2" s="1405"/>
      <c r="S2" s="1405"/>
      <c r="T2" s="1405"/>
      <c r="U2" s="1405"/>
      <c r="V2" s="1405"/>
      <c r="W2" s="1405"/>
      <c r="X2" s="1"/>
      <c r="Y2" s="1"/>
      <c r="Z2" s="1"/>
      <c r="AA2" s="1"/>
      <c r="AB2" s="1"/>
      <c r="AC2" s="1"/>
      <c r="AD2" s="1"/>
      <c r="AE2" s="1"/>
      <c r="AF2" s="1"/>
      <c r="AG2" s="1"/>
      <c r="AH2" s="1"/>
      <c r="AI2" s="1"/>
      <c r="AJ2" s="1"/>
      <c r="AK2" s="1"/>
      <c r="AL2" s="1"/>
      <c r="AM2" s="1"/>
      <c r="AN2" s="1"/>
    </row>
    <row r="3" spans="1:40" customFormat="1">
      <c r="A3" s="1"/>
      <c r="B3" s="1"/>
      <c r="C3" s="1"/>
      <c r="D3" s="1"/>
      <c r="E3" s="1"/>
      <c r="F3" s="1"/>
      <c r="G3" s="1405"/>
      <c r="H3" s="1405"/>
      <c r="I3" s="1405"/>
      <c r="J3" s="1405"/>
      <c r="K3" s="1405"/>
      <c r="L3" s="1405"/>
      <c r="M3" s="1405"/>
      <c r="N3" s="1405"/>
      <c r="O3" s="1405"/>
      <c r="P3" s="1405"/>
      <c r="Q3" s="1405"/>
      <c r="R3" s="1405"/>
      <c r="S3" s="1405"/>
      <c r="T3" s="1405"/>
      <c r="U3" s="1405"/>
      <c r="V3" s="1405"/>
      <c r="W3" s="1405"/>
      <c r="X3" s="1"/>
      <c r="Y3" s="1"/>
      <c r="Z3" s="1"/>
      <c r="AA3" s="1"/>
      <c r="AB3" s="1"/>
      <c r="AC3" s="1"/>
      <c r="AD3" s="1"/>
      <c r="AE3" s="1"/>
      <c r="AF3" s="1"/>
      <c r="AG3" s="1"/>
      <c r="AH3" s="1"/>
      <c r="AI3" s="1"/>
      <c r="AJ3" s="1"/>
      <c r="AK3" s="1"/>
      <c r="AL3" s="1"/>
      <c r="AM3" s="1"/>
      <c r="AN3" s="1"/>
    </row>
    <row r="4" spans="1:40" customFormat="1" ht="15" customHeight="1" thickBot="1">
      <c r="A4" s="1"/>
      <c r="B4" s="1"/>
      <c r="C4" s="1552" t="s">
        <v>219</v>
      </c>
      <c r="D4" s="1552" t="s">
        <v>220</v>
      </c>
      <c r="E4" s="1552" t="s">
        <v>221</v>
      </c>
      <c r="F4" s="1126"/>
      <c r="G4" s="1553" t="s">
        <v>222</v>
      </c>
      <c r="H4" s="1553"/>
      <c r="I4" s="1553"/>
      <c r="J4" s="1553"/>
      <c r="K4" s="1429"/>
      <c r="L4" s="1553" t="s">
        <v>223</v>
      </c>
      <c r="M4" s="1553"/>
      <c r="N4" s="1553"/>
      <c r="O4" s="1553"/>
      <c r="P4" s="1553"/>
      <c r="Q4" s="1553"/>
      <c r="R4" s="1553"/>
      <c r="S4" s="1553"/>
      <c r="T4" s="1429"/>
      <c r="U4" s="1428" t="s">
        <v>224</v>
      </c>
      <c r="V4" s="1430"/>
      <c r="W4" s="1430"/>
      <c r="X4" s="1"/>
      <c r="Y4" s="1"/>
      <c r="Z4" s="1"/>
      <c r="AA4" s="1"/>
      <c r="AB4" s="1"/>
      <c r="AC4" s="1"/>
      <c r="AD4" s="1"/>
      <c r="AE4" s="1"/>
      <c r="AF4" s="1"/>
      <c r="AG4" s="1"/>
      <c r="AH4" s="1"/>
      <c r="AI4" s="1"/>
      <c r="AJ4" s="1"/>
      <c r="AK4" s="1"/>
      <c r="AL4" s="1"/>
      <c r="AM4" s="1"/>
      <c r="AN4" s="1"/>
    </row>
    <row r="5" spans="1:40" customFormat="1" ht="39" customHeight="1">
      <c r="A5" s="1"/>
      <c r="B5" s="1"/>
      <c r="C5" s="1552"/>
      <c r="D5" s="1552"/>
      <c r="E5" s="1552"/>
      <c r="F5" s="1126"/>
      <c r="G5" s="1429" t="s">
        <v>225</v>
      </c>
      <c r="H5" s="1429" t="s">
        <v>226</v>
      </c>
      <c r="I5" s="1429" t="s">
        <v>227</v>
      </c>
      <c r="J5" s="1429" t="s">
        <v>228</v>
      </c>
      <c r="K5" s="1429"/>
      <c r="L5" s="1429" t="s">
        <v>229</v>
      </c>
      <c r="M5" s="1429" t="s">
        <v>230</v>
      </c>
      <c r="N5" s="1429" t="s">
        <v>231</v>
      </c>
      <c r="O5" s="1429" t="s">
        <v>232</v>
      </c>
      <c r="P5" s="1429" t="s">
        <v>233</v>
      </c>
      <c r="Q5" s="1429" t="s">
        <v>234</v>
      </c>
      <c r="R5" s="1429" t="s">
        <v>235</v>
      </c>
      <c r="S5" s="1429" t="s">
        <v>236</v>
      </c>
      <c r="T5" s="1429"/>
      <c r="U5" s="1429" t="s">
        <v>237</v>
      </c>
      <c r="V5" s="1431" t="s">
        <v>238</v>
      </c>
      <c r="W5" s="1431" t="s">
        <v>239</v>
      </c>
      <c r="X5" s="2"/>
      <c r="Y5" s="2"/>
      <c r="Z5" s="358"/>
      <c r="AA5" s="358"/>
      <c r="AB5" s="1429"/>
      <c r="AC5" s="1429" t="s">
        <v>220</v>
      </c>
      <c r="AD5" s="1429" t="s">
        <v>240</v>
      </c>
      <c r="AE5" s="1429" t="s">
        <v>241</v>
      </c>
      <c r="AF5" s="1429" t="s">
        <v>237</v>
      </c>
      <c r="AG5" s="1429" t="s">
        <v>235</v>
      </c>
      <c r="AH5" s="1"/>
      <c r="AI5" s="1"/>
      <c r="AJ5" s="2"/>
      <c r="AK5" s="1"/>
      <c r="AL5" s="1"/>
      <c r="AM5" s="1"/>
      <c r="AN5" s="1"/>
    </row>
    <row r="6" spans="1:40" customFormat="1">
      <c r="A6" s="1"/>
      <c r="B6" s="1"/>
      <c r="C6" s="24" t="s">
        <v>242</v>
      </c>
      <c r="D6" s="1266"/>
      <c r="E6" s="1266"/>
      <c r="F6" s="1266"/>
      <c r="G6" s="1432"/>
      <c r="H6" s="1432"/>
      <c r="I6" s="1432"/>
      <c r="J6" s="1432"/>
      <c r="K6" s="1432"/>
      <c r="L6" s="1432"/>
      <c r="M6" s="1432"/>
      <c r="N6" s="1432"/>
      <c r="O6" s="1432"/>
      <c r="P6" s="1432"/>
      <c r="Q6" s="1432"/>
      <c r="R6" s="1432"/>
      <c r="S6" s="1432"/>
      <c r="T6" s="1432"/>
      <c r="U6" s="1432"/>
      <c r="V6" s="1433"/>
      <c r="W6" s="1433"/>
      <c r="X6" s="1"/>
      <c r="Y6" s="1"/>
      <c r="Z6" s="1"/>
      <c r="AA6" s="1"/>
      <c r="AB6" s="24" t="s">
        <v>242</v>
      </c>
      <c r="AC6" s="24"/>
      <c r="AD6" s="1432"/>
      <c r="AE6" s="1432"/>
      <c r="AF6" s="1432"/>
      <c r="AG6" s="1432"/>
      <c r="AH6" s="1"/>
      <c r="AI6" s="1"/>
      <c r="AJ6" s="2"/>
      <c r="AK6" s="1"/>
      <c r="AL6" s="1"/>
      <c r="AM6" s="1"/>
      <c r="AN6" s="1"/>
    </row>
    <row r="7" spans="1:40" customFormat="1">
      <c r="A7" s="1"/>
      <c r="B7" s="1"/>
      <c r="C7" s="1" t="s">
        <v>243</v>
      </c>
      <c r="D7" s="1" t="s">
        <v>244</v>
      </c>
      <c r="E7" s="1" t="s">
        <v>245</v>
      </c>
      <c r="F7" s="1"/>
      <c r="G7" s="1271">
        <v>91.451286690413184</v>
      </c>
      <c r="H7" s="1271">
        <v>7.2457050403351246</v>
      </c>
      <c r="I7" s="1271">
        <v>98.696991730748309</v>
      </c>
      <c r="J7" s="1271">
        <v>75.000131862145665</v>
      </c>
      <c r="K7" s="16"/>
      <c r="L7" s="1271">
        <v>744.90037064003297</v>
      </c>
      <c r="M7" s="1434" t="s">
        <v>246</v>
      </c>
      <c r="N7" s="1271">
        <v>2.2570016440276746</v>
      </c>
      <c r="O7" s="1232">
        <v>4.3899999999999995E-2</v>
      </c>
      <c r="P7" s="1232">
        <v>3.0999999999999999E-3</v>
      </c>
      <c r="Q7" s="1232">
        <v>7.1999999999999998E-3</v>
      </c>
      <c r="R7" s="1232">
        <v>3.73E-2</v>
      </c>
      <c r="S7" s="1232">
        <v>0.09</v>
      </c>
      <c r="T7" s="1271"/>
      <c r="U7" s="1435">
        <f>HLOOKUP(D7,'C. Peers'!$B$1:$G$3,3,0)</f>
        <v>15.954949935149166</v>
      </c>
      <c r="V7" s="1436">
        <v>1.2626080513000491</v>
      </c>
      <c r="W7" s="1436" t="s">
        <v>246</v>
      </c>
      <c r="X7" s="16"/>
      <c r="Y7" s="203"/>
      <c r="Z7" s="203"/>
      <c r="AA7" s="203"/>
      <c r="AB7" s="1" t="s">
        <v>243</v>
      </c>
      <c r="AC7" s="1" t="s">
        <v>247</v>
      </c>
      <c r="AD7" s="1437">
        <v>24.662229537963867</v>
      </c>
      <c r="AE7" s="1232">
        <v>8.3419399261474611E-2</v>
      </c>
      <c r="AF7" s="20" t="e">
        <f t="array" ref="AF7:AF13">TRANSPOSE(#REF!)</f>
        <v>#REF!</v>
      </c>
      <c r="AG7" s="1232">
        <v>3.73E-2</v>
      </c>
      <c r="AH7" s="1"/>
      <c r="AI7" s="1"/>
      <c r="AJ7" s="2"/>
      <c r="AK7" s="1"/>
      <c r="AL7" s="1"/>
      <c r="AM7" s="1"/>
      <c r="AN7" s="1"/>
    </row>
    <row r="8" spans="1:40" customFormat="1">
      <c r="A8" s="1"/>
      <c r="B8" s="1"/>
      <c r="C8" s="24" t="s">
        <v>248</v>
      </c>
      <c r="D8" s="1266"/>
      <c r="E8" s="1266"/>
      <c r="F8" s="1266"/>
      <c r="G8" s="1438"/>
      <c r="H8" s="1438"/>
      <c r="I8" s="1438"/>
      <c r="J8" s="1438"/>
      <c r="K8" s="1439"/>
      <c r="L8" s="1438"/>
      <c r="M8" s="1438"/>
      <c r="N8" s="1438"/>
      <c r="O8" s="1440"/>
      <c r="P8" s="1440"/>
      <c r="Q8" s="1440"/>
      <c r="R8" s="1440"/>
      <c r="S8" s="1440"/>
      <c r="T8" s="1441"/>
      <c r="U8" s="1442"/>
      <c r="V8" s="1443"/>
      <c r="W8" s="1443"/>
      <c r="X8" s="16"/>
      <c r="Y8" s="203"/>
      <c r="Z8" s="203"/>
      <c r="AA8" s="203"/>
      <c r="AB8" s="1" t="s">
        <v>249</v>
      </c>
      <c r="AC8" s="1" t="s">
        <v>250</v>
      </c>
      <c r="AD8" s="1444">
        <v>7.5665178298950204</v>
      </c>
      <c r="AE8" s="1232">
        <v>0.15320446014404296</v>
      </c>
      <c r="AF8" s="20" t="e">
        <v>#REF!</v>
      </c>
      <c r="AG8" s="1232">
        <v>0.1469</v>
      </c>
      <c r="AH8" s="1"/>
      <c r="AI8" s="1"/>
      <c r="AJ8" s="2"/>
      <c r="AK8" s="1"/>
      <c r="AL8" s="1"/>
      <c r="AM8" s="1"/>
      <c r="AN8" s="1"/>
    </row>
    <row r="9" spans="1:40" customFormat="1">
      <c r="A9" s="1"/>
      <c r="B9" s="1"/>
      <c r="C9" s="1" t="s">
        <v>251</v>
      </c>
      <c r="D9" s="1" t="s">
        <v>252</v>
      </c>
      <c r="E9" s="1" t="s">
        <v>253</v>
      </c>
      <c r="F9" s="2"/>
      <c r="G9" s="1271">
        <v>389.95073372067424</v>
      </c>
      <c r="H9" s="1271">
        <v>11.762572617982698</v>
      </c>
      <c r="I9" s="1271">
        <v>401.71330633865693</v>
      </c>
      <c r="J9" s="1271">
        <v>221.62288073245853</v>
      </c>
      <c r="K9" s="16"/>
      <c r="L9" s="1271">
        <v>1374.8248468932347</v>
      </c>
      <c r="M9" s="1271">
        <v>77.036791336514284</v>
      </c>
      <c r="N9" s="1271">
        <v>40.144056467246713</v>
      </c>
      <c r="O9" s="1232">
        <v>8.72E-2</v>
      </c>
      <c r="P9" s="1232">
        <v>2.92E-2</v>
      </c>
      <c r="Q9" s="1232">
        <v>6.8699999999999997E-2</v>
      </c>
      <c r="R9" s="1232">
        <v>0.1893</v>
      </c>
      <c r="S9" s="1232">
        <v>0.18729999999999999</v>
      </c>
      <c r="T9" s="1271"/>
      <c r="U9" s="1435">
        <f>HLOOKUP(D9,'C. Peers'!$B$1:$G$3,3,0)</f>
        <v>13.286064332036307</v>
      </c>
      <c r="V9" s="1443">
        <v>2.0843420028686519</v>
      </c>
      <c r="W9" s="1443">
        <v>6.3039682134008643</v>
      </c>
      <c r="X9" s="16"/>
      <c r="Y9" s="203"/>
      <c r="Z9" s="203"/>
      <c r="AA9" s="203"/>
      <c r="AB9" s="1" t="s">
        <v>251</v>
      </c>
      <c r="AC9" s="1" t="s">
        <v>254</v>
      </c>
      <c r="AD9" s="1444">
        <v>11.902067184448242</v>
      </c>
      <c r="AE9" s="1232">
        <v>0.18751344680786133</v>
      </c>
      <c r="AF9" s="20" t="e">
        <v>#REF!</v>
      </c>
      <c r="AG9" s="1232">
        <v>0.1893</v>
      </c>
      <c r="AH9" s="1"/>
      <c r="AI9" s="1"/>
      <c r="AJ9" s="2"/>
      <c r="AK9" s="1"/>
      <c r="AL9" s="1"/>
      <c r="AM9" s="1"/>
      <c r="AN9" s="1"/>
    </row>
    <row r="10" spans="1:40" customFormat="1">
      <c r="A10" s="1"/>
      <c r="B10" s="1"/>
      <c r="C10" s="1" t="s">
        <v>255</v>
      </c>
      <c r="D10" s="1" t="s">
        <v>256</v>
      </c>
      <c r="E10" s="1" t="s">
        <v>257</v>
      </c>
      <c r="F10" s="1"/>
      <c r="G10" s="1271">
        <v>98.752234230451833</v>
      </c>
      <c r="H10" s="1271">
        <v>-15.956042612437315</v>
      </c>
      <c r="I10" s="1271">
        <v>82.796191618014518</v>
      </c>
      <c r="J10" s="1271">
        <v>89.891008700581594</v>
      </c>
      <c r="K10" s="16"/>
      <c r="L10" s="1271">
        <v>599.77599119867989</v>
      </c>
      <c r="M10" s="1271">
        <v>19.076819845566</v>
      </c>
      <c r="N10" s="1271">
        <v>14.543588415656702</v>
      </c>
      <c r="O10" s="1232">
        <v>5.7000000000000002E-2</v>
      </c>
      <c r="P10" s="1232">
        <v>2.2700000000000001E-2</v>
      </c>
      <c r="Q10" s="1232">
        <v>7.8100000000000003E-2</v>
      </c>
      <c r="R10" s="1232">
        <v>0.14990000000000001</v>
      </c>
      <c r="S10" s="1232">
        <v>0.1512</v>
      </c>
      <c r="T10" s="1271"/>
      <c r="U10" s="1435">
        <f>HLOOKUP(D10,'C. Peers'!$B$1:$G$3,3,0)</f>
        <v>8.7190979247730347</v>
      </c>
      <c r="V10" s="1443">
        <v>1.0431250333786011</v>
      </c>
      <c r="W10" s="1443">
        <v>4.7060516029876798</v>
      </c>
      <c r="X10" s="16"/>
      <c r="Y10" s="203"/>
      <c r="Z10" s="203"/>
      <c r="AA10" s="203"/>
      <c r="AB10" s="1" t="s">
        <v>255</v>
      </c>
      <c r="AC10" s="1" t="s">
        <v>258</v>
      </c>
      <c r="AD10" s="1444">
        <v>7.0131540298461914</v>
      </c>
      <c r="AE10" s="1232">
        <v>0.15654313087463378</v>
      </c>
      <c r="AF10" s="20" t="e">
        <v>#REF!</v>
      </c>
      <c r="AG10" s="1232">
        <v>0.14990000000000001</v>
      </c>
      <c r="AH10" s="1"/>
      <c r="AI10" s="1"/>
      <c r="AJ10" s="2"/>
      <c r="AK10" s="1"/>
      <c r="AL10" s="1"/>
      <c r="AM10" s="1"/>
      <c r="AN10" s="1"/>
    </row>
    <row r="11" spans="1:40" customFormat="1">
      <c r="A11" s="1"/>
      <c r="B11" s="1"/>
      <c r="C11" s="1" t="s">
        <v>259</v>
      </c>
      <c r="D11" s="1" t="s">
        <v>260</v>
      </c>
      <c r="E11" s="1" t="s">
        <v>261</v>
      </c>
      <c r="F11" s="6"/>
      <c r="G11" s="1271">
        <v>219.11467210804264</v>
      </c>
      <c r="H11" s="1271">
        <v>161.74044479976087</v>
      </c>
      <c r="I11" s="1271">
        <v>380.85511690780351</v>
      </c>
      <c r="J11" s="1271">
        <v>103.84720900055747</v>
      </c>
      <c r="K11" s="16"/>
      <c r="L11" s="1271">
        <v>1054.5018464058778</v>
      </c>
      <c r="M11" s="1271">
        <v>22.493344001951737</v>
      </c>
      <c r="N11" s="1271">
        <v>17.719828706058024</v>
      </c>
      <c r="O11" s="1232">
        <v>4.3900000000000002E-2</v>
      </c>
      <c r="P11" s="1232">
        <v>1.7500000000000002E-2</v>
      </c>
      <c r="Q11" s="1232">
        <v>4.6699999999999998E-2</v>
      </c>
      <c r="R11" s="1232">
        <v>0.1623</v>
      </c>
      <c r="S11" s="1232">
        <v>0.20499999999999999</v>
      </c>
      <c r="T11" s="1271"/>
      <c r="U11" s="1435">
        <f>HLOOKUP(D11,'C. Peers'!$B$1:$G$3,3,0)</f>
        <v>20.659370428015521</v>
      </c>
      <c r="V11" s="1443">
        <v>3.3203060626983643</v>
      </c>
      <c r="W11" s="1443">
        <v>19.999555054963515</v>
      </c>
      <c r="X11" s="16"/>
      <c r="Y11" s="203"/>
      <c r="Z11" s="203"/>
      <c r="AA11" s="203"/>
      <c r="AB11" s="1" t="s">
        <v>259</v>
      </c>
      <c r="AC11" s="1" t="s">
        <v>262</v>
      </c>
      <c r="AD11" s="1444">
        <v>16.633739471435547</v>
      </c>
      <c r="AE11" s="1232">
        <v>0.20280000000000001</v>
      </c>
      <c r="AF11" s="20" t="e">
        <v>#REF!</v>
      </c>
      <c r="AG11" s="1232">
        <v>0.1623</v>
      </c>
      <c r="AH11" s="1"/>
      <c r="AI11" s="1"/>
      <c r="AJ11" s="2"/>
      <c r="AK11" s="1"/>
      <c r="AL11" s="1"/>
      <c r="AM11" s="1"/>
      <c r="AN11" s="1"/>
    </row>
    <row r="12" spans="1:40" customFormat="1">
      <c r="A12" s="1"/>
      <c r="B12" s="1"/>
      <c r="C12" s="1" t="s">
        <v>263</v>
      </c>
      <c r="D12" s="1" t="s">
        <v>264</v>
      </c>
      <c r="E12" s="1" t="s">
        <v>261</v>
      </c>
      <c r="F12" s="1"/>
      <c r="G12" s="1271">
        <v>183.05949356505874</v>
      </c>
      <c r="H12" s="1271">
        <v>109.98493434707183</v>
      </c>
      <c r="I12" s="1271">
        <v>293.04442791213057</v>
      </c>
      <c r="J12" s="1271">
        <v>92.649875518049484</v>
      </c>
      <c r="K12" s="16"/>
      <c r="L12" s="1271">
        <v>785.26856581709819</v>
      </c>
      <c r="M12" s="1271">
        <v>27.361287716564195</v>
      </c>
      <c r="N12" s="1271">
        <v>17.286532674223054</v>
      </c>
      <c r="O12" s="1232">
        <v>6.7599999999999993E-2</v>
      </c>
      <c r="P12" s="1232">
        <v>2.2099999999999998E-2</v>
      </c>
      <c r="Q12" s="1232">
        <v>5.57E-2</v>
      </c>
      <c r="R12" s="1232">
        <v>0.18410000000000001</v>
      </c>
      <c r="S12" s="1232">
        <v>0.23680000000000001</v>
      </c>
      <c r="T12" s="1271"/>
      <c r="U12" s="1435">
        <f>HLOOKUP(D12,'C. Peers'!$B$1:$G$3,3,0)</f>
        <v>14.008861089494134</v>
      </c>
      <c r="V12" s="1436">
        <v>2.4236969947814941</v>
      </c>
      <c r="W12" s="1436">
        <v>11.606992845109161</v>
      </c>
      <c r="X12" s="16"/>
      <c r="Y12" s="203"/>
      <c r="Z12" s="203"/>
      <c r="AA12" s="203"/>
      <c r="AB12" s="1" t="s">
        <v>263</v>
      </c>
      <c r="AC12" s="1" t="s">
        <v>265</v>
      </c>
      <c r="AD12" s="1437">
        <v>11.959525108337402</v>
      </c>
      <c r="AE12" s="1232">
        <v>0.21216711044311523</v>
      </c>
      <c r="AF12" s="20" t="e">
        <v>#REF!</v>
      </c>
      <c r="AG12" s="1232">
        <v>0.18410000000000001</v>
      </c>
      <c r="AH12" s="1"/>
      <c r="AI12" s="1"/>
      <c r="AJ12" s="2"/>
      <c r="AK12" s="1"/>
      <c r="AL12" s="1"/>
      <c r="AM12" s="1"/>
      <c r="AN12" s="1"/>
    </row>
    <row r="13" spans="1:40" customFormat="1">
      <c r="A13" s="1"/>
      <c r="B13" s="1"/>
      <c r="C13" s="24" t="s">
        <v>266</v>
      </c>
      <c r="D13" s="24" t="s">
        <v>267</v>
      </c>
      <c r="E13" s="24" t="s">
        <v>245</v>
      </c>
      <c r="F13" s="24"/>
      <c r="G13" s="1441">
        <v>285.99302083044984</v>
      </c>
      <c r="H13" s="1441">
        <v>20.295929067789586</v>
      </c>
      <c r="I13" s="1441">
        <v>306.28894989823942</v>
      </c>
      <c r="J13" s="1441">
        <v>102.13411939529247</v>
      </c>
      <c r="K13" s="1445"/>
      <c r="L13" s="1441">
        <v>756.37585519613367</v>
      </c>
      <c r="M13" s="1441">
        <v>23.923779622864867</v>
      </c>
      <c r="N13" s="1441">
        <v>17.660627511086407</v>
      </c>
      <c r="O13" s="1446">
        <v>8.3800000000000013E-2</v>
      </c>
      <c r="P13" s="1446">
        <v>2.3300000000000001E-2</v>
      </c>
      <c r="Q13" s="1446">
        <v>6.1799999999999994E-2</v>
      </c>
      <c r="R13" s="1446">
        <v>0.1726</v>
      </c>
      <c r="S13" s="1446">
        <v>0.32519999999999999</v>
      </c>
      <c r="T13" s="1441"/>
      <c r="U13" s="1442">
        <f>HLOOKUP(D13,'C. Peers'!$B$1:$G$3,3,0)</f>
        <v>15.017487289234785</v>
      </c>
      <c r="V13" s="1447">
        <v>3.0845670700073242</v>
      </c>
      <c r="W13" s="1447">
        <v>11.978894710943727</v>
      </c>
      <c r="X13" s="16"/>
      <c r="Y13" s="203"/>
      <c r="Z13" s="203"/>
      <c r="AA13" s="203"/>
      <c r="AB13" s="24" t="s">
        <v>266</v>
      </c>
      <c r="AC13" s="24" t="s">
        <v>268</v>
      </c>
      <c r="AD13" s="1442">
        <v>13.10319709777832</v>
      </c>
      <c r="AE13" s="1446">
        <v>0.28525743484497068</v>
      </c>
      <c r="AF13" s="1448" t="e">
        <v>#REF!</v>
      </c>
      <c r="AG13" s="1446">
        <v>0.1726</v>
      </c>
      <c r="AH13" s="1"/>
      <c r="AI13" s="1"/>
      <c r="AJ13" s="2"/>
      <c r="AK13" s="1"/>
      <c r="AL13" s="1"/>
      <c r="AM13" s="1"/>
      <c r="AN13" s="1"/>
    </row>
    <row r="14" spans="1:40" customFormat="1">
      <c r="A14" s="1"/>
      <c r="B14" s="1"/>
      <c r="C14" s="1"/>
      <c r="D14" s="1"/>
      <c r="E14" s="1"/>
      <c r="F14" s="1"/>
      <c r="G14" s="1405"/>
      <c r="H14" s="1405"/>
      <c r="I14" s="1405"/>
      <c r="J14" s="1405"/>
      <c r="K14" s="1405"/>
      <c r="L14" s="1405"/>
      <c r="M14" s="1405"/>
      <c r="N14" s="1405"/>
      <c r="O14" s="1449"/>
      <c r="P14" s="1449"/>
      <c r="Q14" s="1449"/>
      <c r="R14" s="1449"/>
      <c r="S14" s="1449"/>
      <c r="T14" s="1405"/>
      <c r="U14" s="1450"/>
      <c r="V14" s="1451"/>
      <c r="W14" s="1451"/>
      <c r="X14" s="16"/>
      <c r="Y14" s="203"/>
      <c r="Z14" s="203"/>
      <c r="AA14" s="203"/>
      <c r="AB14" s="1"/>
      <c r="AC14" s="1"/>
      <c r="AD14" s="1"/>
      <c r="AE14" s="1"/>
      <c r="AF14" s="1"/>
      <c r="AG14" s="1"/>
      <c r="AH14" s="1"/>
      <c r="AI14" s="1"/>
      <c r="AJ14" s="2"/>
      <c r="AK14" s="1"/>
      <c r="AL14" s="1"/>
      <c r="AM14" s="1"/>
      <c r="AN14" s="1"/>
    </row>
    <row r="15" spans="1:40" customFormat="1">
      <c r="A15" s="1"/>
      <c r="B15" s="1"/>
      <c r="C15" s="1266" t="s">
        <v>2</v>
      </c>
      <c r="D15" s="24"/>
      <c r="E15" s="24"/>
      <c r="F15" s="24"/>
      <c r="G15" s="1438">
        <f>MAX(G9:G12,G7:G7)</f>
        <v>389.95073372067424</v>
      </c>
      <c r="H15" s="1438">
        <f>MAX(H9:H12,H7:H7)</f>
        <v>161.74044479976087</v>
      </c>
      <c r="I15" s="1438">
        <f>MAX(I9:I12,I7:I7)</f>
        <v>401.71330633865693</v>
      </c>
      <c r="J15" s="1438">
        <f>MAX(J9:J12,J7:J7)</f>
        <v>221.62288073245853</v>
      </c>
      <c r="K15" s="1452"/>
      <c r="L15" s="1438">
        <f t="shared" ref="L15:S15" si="0">MAX(L9:L12,L7:L7)</f>
        <v>1374.8248468932347</v>
      </c>
      <c r="M15" s="1438">
        <f t="shared" si="0"/>
        <v>77.036791336514284</v>
      </c>
      <c r="N15" s="1438">
        <f t="shared" si="0"/>
        <v>40.144056467246713</v>
      </c>
      <c r="O15" s="1440">
        <f t="shared" si="0"/>
        <v>8.72E-2</v>
      </c>
      <c r="P15" s="1440">
        <f t="shared" si="0"/>
        <v>2.92E-2</v>
      </c>
      <c r="Q15" s="1440">
        <f t="shared" si="0"/>
        <v>7.8100000000000003E-2</v>
      </c>
      <c r="R15" s="1440">
        <f t="shared" si="0"/>
        <v>0.1893</v>
      </c>
      <c r="S15" s="1440">
        <f t="shared" si="0"/>
        <v>0.23680000000000001</v>
      </c>
      <c r="T15" s="1438"/>
      <c r="U15" s="1453">
        <f>MAX(U9:U12,U7:U7)</f>
        <v>20.659370428015521</v>
      </c>
      <c r="V15" s="1436">
        <f>MAX(V9:V12,V7:V7)</f>
        <v>3.3203060626983643</v>
      </c>
      <c r="W15" s="1436">
        <f>MAX(W9:W12,W7:W7)</f>
        <v>19.999555054963515</v>
      </c>
      <c r="X15" s="16"/>
      <c r="Y15" s="203"/>
      <c r="Z15" s="203"/>
      <c r="AA15" s="203"/>
      <c r="AB15" s="1"/>
      <c r="AC15" s="1"/>
      <c r="AD15" s="1"/>
      <c r="AE15" s="1"/>
      <c r="AF15" s="1"/>
      <c r="AG15" s="1"/>
      <c r="AH15" s="1"/>
      <c r="AI15" s="1"/>
      <c r="AJ15" s="2"/>
      <c r="AK15" s="1"/>
      <c r="AL15" s="1"/>
      <c r="AM15" s="1"/>
      <c r="AN15" s="1"/>
    </row>
    <row r="16" spans="1:40" customFormat="1">
      <c r="A16" s="1"/>
      <c r="B16" s="1"/>
      <c r="C16" s="1266" t="s">
        <v>269</v>
      </c>
      <c r="D16" s="24"/>
      <c r="E16" s="24"/>
      <c r="F16" s="24"/>
      <c r="G16" s="1438">
        <f>QUARTILE(G7:G12,3)</f>
        <v>219.11467210804264</v>
      </c>
      <c r="H16" s="1438">
        <f>QUARTILE(H7:H12,3)</f>
        <v>109.98493434707183</v>
      </c>
      <c r="I16" s="1438">
        <f>QUARTILE(I7:I12,3)</f>
        <v>380.85511690780351</v>
      </c>
      <c r="J16" s="1438">
        <f>QUARTILE(J7:J12,3)</f>
        <v>103.84720900055747</v>
      </c>
      <c r="K16" s="1452"/>
      <c r="L16" s="1438">
        <f t="shared" ref="L16:S16" si="1">QUARTILE(L7:L12,3)</f>
        <v>1054.5018464058778</v>
      </c>
      <c r="M16" s="1438">
        <f t="shared" si="1"/>
        <v>39.780163621551722</v>
      </c>
      <c r="N16" s="1438">
        <f t="shared" si="1"/>
        <v>17.719828706058024</v>
      </c>
      <c r="O16" s="1440">
        <f t="shared" si="1"/>
        <v>6.7599999999999993E-2</v>
      </c>
      <c r="P16" s="1440">
        <f t="shared" si="1"/>
        <v>2.2700000000000001E-2</v>
      </c>
      <c r="Q16" s="1440">
        <f t="shared" si="1"/>
        <v>6.8699999999999997E-2</v>
      </c>
      <c r="R16" s="1440">
        <f t="shared" si="1"/>
        <v>0.18410000000000001</v>
      </c>
      <c r="S16" s="1440">
        <f t="shared" si="1"/>
        <v>0.20499999999999999</v>
      </c>
      <c r="T16" s="1438"/>
      <c r="U16" s="1453">
        <f>QUARTILE(U7:U12,3)</f>
        <v>15.954949935149166</v>
      </c>
      <c r="V16" s="1436">
        <f>QUARTILE(V7:V12,3)</f>
        <v>2.4236969947814941</v>
      </c>
      <c r="W16" s="1436">
        <f>QUARTILE(W7:W12,3)</f>
        <v>13.70513339757275</v>
      </c>
      <c r="X16" s="16"/>
      <c r="Y16" s="203"/>
      <c r="Z16" s="203"/>
      <c r="AA16" s="203"/>
      <c r="AB16" s="1"/>
      <c r="AC16" s="1"/>
      <c r="AD16" s="1"/>
      <c r="AE16" s="1"/>
      <c r="AF16" s="1"/>
      <c r="AG16" s="1"/>
      <c r="AH16" s="1"/>
      <c r="AI16" s="1"/>
      <c r="AJ16" s="2"/>
      <c r="AK16" s="1"/>
      <c r="AL16" s="1"/>
      <c r="AM16" s="1"/>
      <c r="AN16" s="1"/>
    </row>
    <row r="17" spans="1:40" customFormat="1">
      <c r="A17" s="1"/>
      <c r="B17" s="1"/>
      <c r="C17" s="1454" t="s">
        <v>270</v>
      </c>
      <c r="D17" s="1454"/>
      <c r="E17" s="1454"/>
      <c r="F17" s="1454"/>
      <c r="G17" s="1455">
        <f>AVERAGE(G7:G7,G9:G12)</f>
        <v>196.46568406292812</v>
      </c>
      <c r="H17" s="1455">
        <f>AVERAGE(H7:H7,H9:H12)</f>
        <v>54.955522838542642</v>
      </c>
      <c r="I17" s="1455">
        <f>AVERAGE(I7:I7,I9:I12)</f>
        <v>251.42120690147075</v>
      </c>
      <c r="J17" s="1455">
        <f>AVERAGE(J7:J7,J9:J12)</f>
        <v>116.60222116275854</v>
      </c>
      <c r="K17" s="1456"/>
      <c r="L17" s="1455">
        <f t="shared" ref="L17:S17" si="2">AVERAGE(L7:L7,L9:L12)</f>
        <v>911.85432419098493</v>
      </c>
      <c r="M17" s="1455">
        <f t="shared" si="2"/>
        <v>36.492060725149059</v>
      </c>
      <c r="N17" s="1455">
        <f t="shared" si="2"/>
        <v>18.390201581442433</v>
      </c>
      <c r="O17" s="1457">
        <f t="shared" si="2"/>
        <v>5.9919999999999994E-2</v>
      </c>
      <c r="P17" s="1457">
        <f t="shared" si="2"/>
        <v>1.8919999999999999E-2</v>
      </c>
      <c r="Q17" s="1457">
        <f t="shared" si="2"/>
        <v>5.1279999999999992E-2</v>
      </c>
      <c r="R17" s="1457">
        <f t="shared" si="2"/>
        <v>0.14457999999999999</v>
      </c>
      <c r="S17" s="1457">
        <f t="shared" si="2"/>
        <v>0.17405999999999999</v>
      </c>
      <c r="T17" s="1455"/>
      <c r="U17" s="1458">
        <f>AVERAGE(U7:U7,U9:U12)</f>
        <v>14.525668741893634</v>
      </c>
      <c r="V17" s="1459">
        <f>AVERAGE(V7:V7,V9:V12)</f>
        <v>2.0268156290054322</v>
      </c>
      <c r="W17" s="1460"/>
      <c r="X17" s="16"/>
      <c r="Y17" s="203"/>
      <c r="Z17" s="203"/>
      <c r="AA17" s="203"/>
      <c r="AB17" s="1"/>
      <c r="AC17" s="1"/>
      <c r="AD17" s="1"/>
      <c r="AE17" s="1"/>
      <c r="AF17" s="1"/>
      <c r="AG17" s="1"/>
      <c r="AH17" s="1"/>
      <c r="AI17" s="1"/>
      <c r="AJ17" s="2"/>
      <c r="AK17" s="1"/>
      <c r="AL17" s="1"/>
      <c r="AM17" s="1"/>
      <c r="AN17" s="1"/>
    </row>
    <row r="18" spans="1:40" customFormat="1">
      <c r="A18" s="1"/>
      <c r="B18" s="1"/>
      <c r="C18" s="24" t="s">
        <v>271</v>
      </c>
      <c r="D18" s="24"/>
      <c r="E18" s="24"/>
      <c r="F18" s="24"/>
      <c r="G18" s="1461">
        <f>MEDIAN(G9:G12,G7:G7)</f>
        <v>183.05949356505874</v>
      </c>
      <c r="H18" s="1461">
        <f>MEDIAN(H9:H12,H7:H7)</f>
        <v>11.762572617982698</v>
      </c>
      <c r="I18" s="1461">
        <f>MEDIAN(I9:I12,I7:I7)</f>
        <v>293.04442791213057</v>
      </c>
      <c r="J18" s="1461">
        <f>MEDIAN(J9:J12,J7:J7)</f>
        <v>92.649875518049484</v>
      </c>
      <c r="K18" s="1462"/>
      <c r="L18" s="1461">
        <f t="shared" ref="L18:S18" si="3">MEDIAN(L9:L12,L7:L7)</f>
        <v>785.26856581709819</v>
      </c>
      <c r="M18" s="1461">
        <f t="shared" si="3"/>
        <v>24.927315859257966</v>
      </c>
      <c r="N18" s="1461">
        <f t="shared" si="3"/>
        <v>17.286532674223054</v>
      </c>
      <c r="O18" s="1463">
        <f t="shared" si="3"/>
        <v>5.7000000000000002E-2</v>
      </c>
      <c r="P18" s="1463">
        <f t="shared" si="3"/>
        <v>2.2099999999999998E-2</v>
      </c>
      <c r="Q18" s="1463">
        <f t="shared" si="3"/>
        <v>5.57E-2</v>
      </c>
      <c r="R18" s="1463">
        <f t="shared" si="3"/>
        <v>0.1623</v>
      </c>
      <c r="S18" s="1463">
        <f t="shared" si="3"/>
        <v>0.18729999999999999</v>
      </c>
      <c r="T18" s="1461"/>
      <c r="U18" s="1464">
        <f>MEDIAN(U9:U12,U7:U7)</f>
        <v>14.008861089494134</v>
      </c>
      <c r="V18" s="1459">
        <f>MEDIAN(V9:V12,V7:V7)</f>
        <v>2.0843420028686519</v>
      </c>
      <c r="W18" s="1459">
        <f>MEDIAN(W9:W12,W7:W7)</f>
        <v>8.9554805292550128</v>
      </c>
      <c r="X18" s="16"/>
      <c r="Y18" s="203"/>
      <c r="Z18" s="203"/>
      <c r="AA18" s="203"/>
      <c r="AB18" s="1"/>
      <c r="AC18" s="1"/>
      <c r="AD18" s="1"/>
      <c r="AE18" s="1"/>
      <c r="AF18" s="1"/>
      <c r="AG18" s="1"/>
      <c r="AH18" s="1"/>
      <c r="AI18" s="1"/>
      <c r="AJ18" s="2"/>
      <c r="AK18" s="1"/>
      <c r="AL18" s="1"/>
      <c r="AM18" s="1"/>
      <c r="AN18" s="1"/>
    </row>
    <row r="19" spans="1:40" customFormat="1">
      <c r="A19" s="1"/>
      <c r="B19" s="1"/>
      <c r="C19" s="1266" t="s">
        <v>272</v>
      </c>
      <c r="D19" s="24"/>
      <c r="E19" s="24"/>
      <c r="F19" s="24"/>
      <c r="G19" s="1465">
        <f>QUARTILE(G7:G12,1)</f>
        <v>98.752234230451833</v>
      </c>
      <c r="H19" s="1465">
        <f>QUARTILE(H7:H12,1)</f>
        <v>7.2457050403351246</v>
      </c>
      <c r="I19" s="1465">
        <f>QUARTILE(I7:I12,1)</f>
        <v>98.696991730748309</v>
      </c>
      <c r="J19" s="1465">
        <f>QUARTILE(J7:J12,1)</f>
        <v>89.891008700581594</v>
      </c>
      <c r="K19" s="1466"/>
      <c r="L19" s="1465">
        <f t="shared" ref="L19:S19" si="4">QUARTILE(L7:L12,1)</f>
        <v>744.90037064003297</v>
      </c>
      <c r="M19" s="1465">
        <f t="shared" si="4"/>
        <v>21.639212962855304</v>
      </c>
      <c r="N19" s="1465">
        <f t="shared" si="4"/>
        <v>14.543588415656702</v>
      </c>
      <c r="O19" s="1467">
        <f t="shared" si="4"/>
        <v>4.3900000000000002E-2</v>
      </c>
      <c r="P19" s="1467">
        <f t="shared" si="4"/>
        <v>1.7500000000000002E-2</v>
      </c>
      <c r="Q19" s="1467">
        <f t="shared" si="4"/>
        <v>4.6699999999999998E-2</v>
      </c>
      <c r="R19" s="1467">
        <f t="shared" si="4"/>
        <v>0.14990000000000001</v>
      </c>
      <c r="S19" s="1467">
        <f t="shared" si="4"/>
        <v>0.1512</v>
      </c>
      <c r="T19" s="1465"/>
      <c r="U19" s="1468">
        <f>QUARTILE(U7:U12,1)</f>
        <v>13.286064332036307</v>
      </c>
      <c r="V19" s="1451">
        <f>QUARTILE(V7:V12,1)</f>
        <v>1.2626080513000491</v>
      </c>
      <c r="W19" s="1451"/>
      <c r="X19" s="16"/>
      <c r="Y19" s="203"/>
      <c r="Z19" s="203"/>
      <c r="AA19" s="203"/>
      <c r="AB19" s="1"/>
      <c r="AC19" s="1"/>
      <c r="AD19" s="1"/>
      <c r="AE19" s="1"/>
      <c r="AF19" s="1"/>
      <c r="AG19" s="1"/>
      <c r="AH19" s="1"/>
      <c r="AI19" s="1"/>
      <c r="AJ19" s="2"/>
      <c r="AK19" s="1"/>
      <c r="AL19" s="1"/>
      <c r="AM19" s="1"/>
      <c r="AN19" s="1"/>
    </row>
    <row r="20" spans="1:40" customFormat="1">
      <c r="A20" s="1"/>
      <c r="B20" s="1"/>
      <c r="C20" s="1266" t="s">
        <v>1</v>
      </c>
      <c r="D20" s="24"/>
      <c r="E20" s="24"/>
      <c r="F20" s="24"/>
      <c r="G20" s="1465">
        <f>MIN(G7:G12)</f>
        <v>91.451286690413184</v>
      </c>
      <c r="H20" s="1465">
        <f>MIN(H7:H12)</f>
        <v>-15.956042612437315</v>
      </c>
      <c r="I20" s="1465">
        <f>MIN(I7:I12)</f>
        <v>82.796191618014518</v>
      </c>
      <c r="J20" s="1465">
        <f>MIN(J7:J12)</f>
        <v>75.000131862145665</v>
      </c>
      <c r="K20" s="1466"/>
      <c r="L20" s="1465">
        <f t="shared" ref="L20:S20" si="5">MIN(L7:L12)</f>
        <v>599.77599119867989</v>
      </c>
      <c r="M20" s="1465">
        <f t="shared" si="5"/>
        <v>19.076819845566</v>
      </c>
      <c r="N20" s="1465">
        <f t="shared" si="5"/>
        <v>2.2570016440276746</v>
      </c>
      <c r="O20" s="1467">
        <f t="shared" si="5"/>
        <v>4.3899999999999995E-2</v>
      </c>
      <c r="P20" s="1467">
        <f t="shared" si="5"/>
        <v>3.0999999999999999E-3</v>
      </c>
      <c r="Q20" s="1467">
        <f t="shared" si="5"/>
        <v>7.1999999999999998E-3</v>
      </c>
      <c r="R20" s="1467">
        <f t="shared" si="5"/>
        <v>3.73E-2</v>
      </c>
      <c r="S20" s="1467">
        <f t="shared" si="5"/>
        <v>0.09</v>
      </c>
      <c r="T20" s="1465"/>
      <c r="U20" s="1468">
        <f>MIN(U7:U12)</f>
        <v>8.7190979247730347</v>
      </c>
      <c r="V20" s="1451">
        <f>MIN(V7:V12)</f>
        <v>1.0431250333786011</v>
      </c>
      <c r="W20" s="1451"/>
      <c r="X20" s="16"/>
      <c r="Y20" s="203"/>
      <c r="Z20" s="203"/>
      <c r="AA20" s="203"/>
      <c r="AB20" s="1"/>
      <c r="AC20" s="1"/>
      <c r="AD20" s="1"/>
      <c r="AE20" s="1"/>
      <c r="AF20" s="1"/>
      <c r="AG20" s="1"/>
      <c r="AH20" s="1"/>
      <c r="AI20" s="1"/>
      <c r="AJ20" s="2"/>
      <c r="AK20" s="1"/>
      <c r="AL20" s="1"/>
      <c r="AM20" s="1"/>
      <c r="AN20" s="1"/>
    </row>
    <row r="21" spans="1:40" customFormat="1">
      <c r="A21" s="1"/>
      <c r="B21" s="1"/>
      <c r="C21" s="1266"/>
      <c r="D21" s="24"/>
      <c r="E21" s="24"/>
      <c r="F21" s="24"/>
      <c r="G21" s="1465"/>
      <c r="H21" s="1465"/>
      <c r="I21" s="1465"/>
      <c r="J21" s="1465"/>
      <c r="K21" s="1465"/>
      <c r="L21" s="1465"/>
      <c r="M21" s="1465"/>
      <c r="N21" s="1465"/>
      <c r="O21" s="1467"/>
      <c r="P21" s="1467"/>
      <c r="Q21" s="1467"/>
      <c r="R21" s="1467"/>
      <c r="S21" s="1467"/>
      <c r="T21" s="1465"/>
      <c r="U21" s="1469"/>
      <c r="V21" s="1470"/>
      <c r="W21" s="1470"/>
      <c r="X21" s="1471"/>
      <c r="Y21" s="203"/>
      <c r="Z21" s="203"/>
      <c r="AA21" s="203"/>
      <c r="AB21" s="1"/>
      <c r="AC21" s="1"/>
      <c r="AD21" s="1"/>
      <c r="AE21" s="1"/>
      <c r="AF21" s="1"/>
      <c r="AG21" s="1"/>
      <c r="AH21" s="1"/>
      <c r="AI21" s="1"/>
      <c r="AJ21" s="2"/>
      <c r="AK21" s="1"/>
      <c r="AL21" s="1"/>
      <c r="AM21" s="1"/>
      <c r="AN21" s="1"/>
    </row>
    <row r="22" spans="1:40" customFormat="1">
      <c r="A22" s="1"/>
      <c r="B22" s="1"/>
      <c r="C22" s="1266" t="s">
        <v>273</v>
      </c>
      <c r="D22" s="24"/>
      <c r="E22" s="24"/>
      <c r="F22" s="24"/>
      <c r="G22" s="1465"/>
      <c r="H22" s="1465"/>
      <c r="I22" s="1465"/>
      <c r="J22" s="1465"/>
      <c r="K22" s="1465"/>
      <c r="L22" s="1465"/>
      <c r="M22" s="1465"/>
      <c r="N22" s="1465"/>
      <c r="O22" s="1467"/>
      <c r="P22" s="1467"/>
      <c r="Q22" s="1467"/>
      <c r="R22" s="1467"/>
      <c r="S22" s="1467"/>
      <c r="T22" s="1465"/>
      <c r="U22" s="1472">
        <v>0.1</v>
      </c>
      <c r="V22" s="1473">
        <v>0.1</v>
      </c>
      <c r="W22" s="1473"/>
      <c r="X22" s="203"/>
      <c r="Y22" s="203"/>
      <c r="Z22" s="203"/>
      <c r="AA22" s="203"/>
      <c r="AB22" s="1"/>
      <c r="AC22" s="1"/>
      <c r="AD22" s="1"/>
      <c r="AE22" s="1"/>
      <c r="AF22" s="1"/>
      <c r="AG22" s="1"/>
      <c r="AH22" s="1"/>
      <c r="AI22" s="1"/>
      <c r="AJ22" s="2"/>
      <c r="AK22" s="1"/>
      <c r="AL22" s="1"/>
      <c r="AM22" s="1"/>
      <c r="AN22" s="1"/>
    </row>
    <row r="23" spans="1:40" s="572" customFormat="1">
      <c r="A23" s="2"/>
      <c r="B23" s="2"/>
      <c r="C23" s="1454" t="s">
        <v>274</v>
      </c>
      <c r="D23" s="1454"/>
      <c r="E23" s="1454"/>
      <c r="F23" s="1454"/>
      <c r="G23" s="1455"/>
      <c r="H23" s="1455"/>
      <c r="I23" s="1455"/>
      <c r="J23" s="1455"/>
      <c r="K23" s="1455"/>
      <c r="L23" s="1455"/>
      <c r="M23" s="1455"/>
      <c r="N23" s="1455"/>
      <c r="O23" s="1457"/>
      <c r="P23" s="1457"/>
      <c r="Q23" s="1457"/>
      <c r="R23" s="1457"/>
      <c r="S23" s="1457"/>
      <c r="T23" s="1455"/>
      <c r="U23" s="1474">
        <f>U17*(U22+1)</f>
        <v>15.978235616082999</v>
      </c>
      <c r="V23" s="1475">
        <f>V18*(V22+1)</f>
        <v>2.2927762031555172</v>
      </c>
      <c r="W23" s="1475"/>
      <c r="X23" s="959"/>
      <c r="Y23" s="959"/>
      <c r="Z23" s="959"/>
      <c r="AA23" s="959"/>
      <c r="AH23" s="1"/>
      <c r="AI23" s="1"/>
      <c r="AJ23" s="2"/>
      <c r="AK23" s="1"/>
      <c r="AL23" s="1"/>
      <c r="AM23" s="1"/>
      <c r="AN23" s="1"/>
    </row>
    <row r="24" spans="1:40" customFormat="1">
      <c r="A24" s="1"/>
      <c r="B24" s="1"/>
      <c r="C24" s="1"/>
      <c r="D24" s="1"/>
      <c r="E24" s="1"/>
      <c r="F24" s="1"/>
      <c r="G24" s="1405"/>
      <c r="H24" s="1405"/>
      <c r="I24" s="1405"/>
      <c r="J24" s="1405"/>
      <c r="K24" s="1405"/>
      <c r="L24" s="1405"/>
      <c r="M24" s="1405"/>
      <c r="N24" s="1405"/>
      <c r="O24" s="1405"/>
      <c r="P24" s="1405"/>
      <c r="Q24" s="1405"/>
      <c r="R24" s="1405"/>
      <c r="S24" s="1405"/>
      <c r="T24" s="1405"/>
      <c r="U24" s="1405"/>
      <c r="V24" s="1405"/>
      <c r="W24" s="1405"/>
      <c r="X24" s="1"/>
      <c r="Y24" s="1"/>
      <c r="Z24" s="1"/>
      <c r="AA24" s="1"/>
      <c r="AB24" s="1"/>
      <c r="AC24" s="1"/>
      <c r="AD24" s="1"/>
      <c r="AE24" s="1"/>
      <c r="AF24" s="1"/>
      <c r="AG24" s="1"/>
      <c r="AH24" s="1"/>
      <c r="AI24" s="1"/>
      <c r="AJ24" s="2"/>
      <c r="AK24" s="1"/>
      <c r="AL24" s="1"/>
      <c r="AM24" s="1"/>
      <c r="AN24" s="1"/>
    </row>
    <row r="25" spans="1:40" customFormat="1" hidden="1">
      <c r="A25" s="1"/>
      <c r="B25" s="1"/>
      <c r="C25" s="970" t="s">
        <v>275</v>
      </c>
      <c r="D25" s="951"/>
      <c r="E25" s="951"/>
      <c r="F25" s="951"/>
      <c r="G25" s="1476"/>
      <c r="H25" s="1476"/>
      <c r="I25" s="1476"/>
      <c r="J25" s="1476"/>
      <c r="K25" s="1476"/>
      <c r="L25" s="1476"/>
      <c r="M25" s="1476"/>
      <c r="N25" s="1476"/>
      <c r="O25" s="1476"/>
      <c r="P25" s="1476"/>
      <c r="Q25" s="1476"/>
      <c r="R25" s="1476"/>
      <c r="S25" s="1476"/>
      <c r="T25" s="1476"/>
      <c r="U25" s="1429" t="s">
        <v>237</v>
      </c>
      <c r="V25" s="1429" t="s">
        <v>238</v>
      </c>
      <c r="W25" s="1429"/>
      <c r="X25" s="1"/>
      <c r="Y25" s="1"/>
      <c r="Z25" s="1"/>
      <c r="AA25" s="1"/>
      <c r="AB25" s="1"/>
      <c r="AC25" s="1"/>
      <c r="AD25" s="1"/>
      <c r="AE25" s="1"/>
      <c r="AF25" s="1"/>
      <c r="AG25" s="1"/>
      <c r="AH25" s="1"/>
      <c r="AI25" s="1"/>
      <c r="AJ25" s="2"/>
      <c r="AK25" s="1"/>
      <c r="AL25" s="1"/>
      <c r="AM25" s="1"/>
      <c r="AN25" s="1"/>
    </row>
    <row r="26" spans="1:40" customFormat="1" hidden="1">
      <c r="A26" s="1"/>
      <c r="B26" s="1"/>
      <c r="C26" s="1" t="s">
        <v>276</v>
      </c>
      <c r="D26" s="6" t="s">
        <v>277</v>
      </c>
      <c r="E26" s="6"/>
      <c r="F26" s="1"/>
      <c r="G26" s="1405"/>
      <c r="H26" s="1405"/>
      <c r="I26" s="1405"/>
      <c r="J26" s="1405"/>
      <c r="K26" s="1405"/>
      <c r="L26" s="1405"/>
      <c r="M26" s="1405"/>
      <c r="N26" s="1405"/>
      <c r="O26" s="1405"/>
      <c r="P26" s="1405"/>
      <c r="Q26" s="1405"/>
      <c r="R26" s="1405"/>
      <c r="S26" s="1405"/>
      <c r="T26" s="1405"/>
      <c r="U26" s="131"/>
      <c r="V26" s="131"/>
      <c r="W26" s="131"/>
      <c r="X26" s="1"/>
      <c r="Y26" s="1"/>
      <c r="Z26" s="1"/>
      <c r="AA26" s="1"/>
      <c r="AB26" s="1"/>
      <c r="AC26" s="1"/>
      <c r="AD26" s="1"/>
      <c r="AE26" s="1"/>
      <c r="AF26" s="1"/>
      <c r="AG26" s="1"/>
      <c r="AH26" s="1"/>
      <c r="AI26" s="1"/>
      <c r="AJ26" s="2"/>
      <c r="AK26" s="1"/>
      <c r="AL26" s="1"/>
      <c r="AM26" s="1"/>
      <c r="AN26" s="1"/>
    </row>
    <row r="27" spans="1:40" customFormat="1" hidden="1">
      <c r="A27" s="1"/>
      <c r="B27" s="1"/>
      <c r="C27" s="1" t="s">
        <v>278</v>
      </c>
      <c r="D27" s="6" t="s">
        <v>277</v>
      </c>
      <c r="E27" s="6"/>
      <c r="F27" s="1"/>
      <c r="G27" s="1405"/>
      <c r="H27" s="1405"/>
      <c r="I27" s="1405"/>
      <c r="J27" s="1405"/>
      <c r="K27" s="1405"/>
      <c r="L27" s="1405"/>
      <c r="M27" s="1405"/>
      <c r="N27" s="1405"/>
      <c r="O27" s="1405"/>
      <c r="P27" s="1405"/>
      <c r="Q27" s="1405"/>
      <c r="R27" s="1405"/>
      <c r="S27" s="1405"/>
      <c r="T27" s="1405"/>
      <c r="U27" s="131"/>
      <c r="V27" s="131"/>
      <c r="W27" s="131"/>
      <c r="X27" s="1"/>
      <c r="Y27" s="1"/>
      <c r="Z27" s="1"/>
      <c r="AA27" s="1"/>
      <c r="AB27" s="203"/>
      <c r="AC27" s="203"/>
      <c r="AD27" s="203"/>
      <c r="AE27" s="203"/>
      <c r="AF27" s="203"/>
      <c r="AG27" s="203"/>
      <c r="AH27" s="203"/>
      <c r="AI27" s="1"/>
      <c r="AJ27" s="2"/>
      <c r="AK27" s="1"/>
      <c r="AL27" s="1"/>
      <c r="AM27" s="1"/>
      <c r="AN27" s="1"/>
    </row>
    <row r="28" spans="1:40" customFormat="1" hidden="1">
      <c r="A28" s="1"/>
      <c r="B28" s="1"/>
      <c r="C28" s="1" t="s">
        <v>279</v>
      </c>
      <c r="D28" s="6" t="s">
        <v>277</v>
      </c>
      <c r="E28" s="6"/>
      <c r="F28" s="1"/>
      <c r="G28" s="1405"/>
      <c r="H28" s="1405"/>
      <c r="I28" s="1405"/>
      <c r="J28" s="1405"/>
      <c r="K28" s="1405"/>
      <c r="L28" s="1405"/>
      <c r="M28" s="1405"/>
      <c r="N28" s="1405"/>
      <c r="O28" s="1405"/>
      <c r="P28" s="1405"/>
      <c r="Q28" s="1405"/>
      <c r="R28" s="1405"/>
      <c r="S28" s="1405"/>
      <c r="T28" s="1405"/>
      <c r="U28" s="131">
        <f>U23*N13</f>
        <v>282.18566750001611</v>
      </c>
      <c r="V28" s="131">
        <f>V23*J13</f>
        <v>234.17067847977094</v>
      </c>
      <c r="W28" s="131"/>
      <c r="X28" s="1"/>
      <c r="Y28" s="1"/>
      <c r="Z28" s="1"/>
      <c r="AA28" s="1"/>
      <c r="AB28" s="1"/>
      <c r="AC28" s="1"/>
      <c r="AD28" s="1"/>
      <c r="AE28" s="1"/>
      <c r="AF28" s="1"/>
      <c r="AG28" s="1"/>
      <c r="AH28" s="1"/>
      <c r="AI28" s="1"/>
      <c r="AJ28" s="2"/>
      <c r="AK28" s="1"/>
      <c r="AL28" s="1"/>
      <c r="AM28" s="1"/>
      <c r="AN28" s="1"/>
    </row>
    <row r="29" spans="1:40" customFormat="1" hidden="1">
      <c r="A29" s="1"/>
      <c r="B29" s="1"/>
      <c r="C29" s="1" t="s">
        <v>280</v>
      </c>
      <c r="D29" s="6" t="s">
        <v>281</v>
      </c>
      <c r="E29" s="6"/>
      <c r="F29" s="1"/>
      <c r="G29" s="1405"/>
      <c r="H29" s="1405"/>
      <c r="I29" s="1405"/>
      <c r="J29" s="1405"/>
      <c r="K29" s="1405"/>
      <c r="L29" s="1405"/>
      <c r="M29" s="1405"/>
      <c r="N29" s="1405"/>
      <c r="O29" s="1405"/>
      <c r="P29" s="1405"/>
      <c r="Q29" s="1405"/>
      <c r="R29" s="1405"/>
      <c r="S29" s="1405"/>
      <c r="T29" s="1405"/>
      <c r="U29" s="131">
        <f>'A. FCFF'!$K32</f>
        <v>167.07297399999999</v>
      </c>
      <c r="V29" s="131">
        <f>'A. FCFF'!$K32</f>
        <v>167.07297399999999</v>
      </c>
      <c r="W29" s="131"/>
      <c r="X29" s="1"/>
      <c r="Y29" s="1"/>
      <c r="Z29" s="1"/>
      <c r="AA29" s="1"/>
      <c r="AB29" s="1"/>
      <c r="AC29" s="1"/>
      <c r="AD29" s="1"/>
      <c r="AE29" s="1"/>
      <c r="AF29" s="1"/>
      <c r="AG29" s="1"/>
      <c r="AH29" s="1"/>
      <c r="AI29" s="1"/>
      <c r="AJ29" s="2"/>
      <c r="AK29" s="1"/>
      <c r="AL29" s="1"/>
      <c r="AM29" s="1"/>
      <c r="AN29" s="1"/>
    </row>
    <row r="30" spans="1:40" customFormat="1" hidden="1">
      <c r="A30" s="1"/>
      <c r="B30" s="1"/>
      <c r="C30" s="1266" t="s">
        <v>282</v>
      </c>
      <c r="D30" s="1477" t="s">
        <v>283</v>
      </c>
      <c r="E30" s="1477"/>
      <c r="F30" s="1266"/>
      <c r="G30" s="1432"/>
      <c r="H30" s="1432"/>
      <c r="I30" s="1432"/>
      <c r="J30" s="1432"/>
      <c r="K30" s="1432"/>
      <c r="L30" s="1432"/>
      <c r="M30" s="1432"/>
      <c r="N30" s="1432"/>
      <c r="O30" s="1432"/>
      <c r="P30" s="1432"/>
      <c r="Q30" s="1432"/>
      <c r="R30" s="1432"/>
      <c r="S30" s="1432"/>
      <c r="T30" s="1432"/>
      <c r="U30" s="1478">
        <f>U28/U29</f>
        <v>1.68899649502867</v>
      </c>
      <c r="V30" s="1478">
        <f>V28/V29</f>
        <v>1.4016071712458471</v>
      </c>
      <c r="W30" s="1478"/>
      <c r="X30" s="1"/>
      <c r="Y30" s="1"/>
      <c r="Z30" s="1"/>
      <c r="AA30" s="1"/>
      <c r="AB30" s="1"/>
      <c r="AC30" s="1"/>
      <c r="AD30" s="1"/>
      <c r="AE30" s="1"/>
      <c r="AF30" s="1"/>
      <c r="AG30" s="1"/>
      <c r="AH30" s="1"/>
      <c r="AI30" s="1"/>
      <c r="AJ30" s="2"/>
      <c r="AK30" s="1"/>
      <c r="AL30" s="1"/>
      <c r="AM30" s="1"/>
      <c r="AN30" s="1"/>
    </row>
    <row r="31" spans="1:40" s="572" customFormat="1" hidden="1">
      <c r="A31" s="2"/>
      <c r="B31" s="2"/>
      <c r="C31" s="2" t="s">
        <v>282</v>
      </c>
      <c r="D31" s="140" t="s">
        <v>284</v>
      </c>
      <c r="E31" s="140" t="s">
        <v>285</v>
      </c>
      <c r="F31" s="2"/>
      <c r="G31" s="1479">
        <v>24500</v>
      </c>
      <c r="H31" s="1479"/>
      <c r="I31" s="1479"/>
      <c r="J31" s="1479"/>
      <c r="K31" s="1479"/>
      <c r="L31" s="1479"/>
      <c r="M31" s="1479"/>
      <c r="N31" s="1479"/>
      <c r="O31" s="1479"/>
      <c r="P31" s="1479"/>
      <c r="Q31" s="1479"/>
      <c r="R31" s="1479"/>
      <c r="S31" s="1479"/>
      <c r="T31" s="1479"/>
      <c r="U31" s="1480">
        <f>U30*$G$31</f>
        <v>41380.414128202414</v>
      </c>
      <c r="V31" s="1480">
        <f>V30*$G$31</f>
        <v>34339.375695523253</v>
      </c>
      <c r="W31" s="1480"/>
      <c r="X31" s="2"/>
      <c r="Y31" s="2"/>
      <c r="Z31" s="2"/>
      <c r="AA31" s="2"/>
      <c r="AB31" s="2"/>
      <c r="AC31" s="2"/>
      <c r="AD31" s="2"/>
      <c r="AE31" s="2"/>
      <c r="AF31" s="2"/>
      <c r="AG31" s="2"/>
      <c r="AH31" s="2"/>
      <c r="AI31" s="1"/>
      <c r="AJ31" s="2"/>
      <c r="AK31" s="1"/>
      <c r="AL31" s="1"/>
      <c r="AM31" s="1"/>
      <c r="AN31" s="1"/>
    </row>
    <row r="32" spans="1:40" s="572" customFormat="1">
      <c r="A32" s="2"/>
      <c r="B32" s="2"/>
      <c r="C32" s="2"/>
      <c r="D32" s="140"/>
      <c r="E32" s="140"/>
      <c r="F32" s="2"/>
      <c r="G32" s="1479"/>
      <c r="H32" s="1479"/>
      <c r="I32" s="1479"/>
      <c r="J32" s="1479"/>
      <c r="K32" s="1479"/>
      <c r="L32" s="1479"/>
      <c r="M32" s="1479"/>
      <c r="N32" s="1479"/>
      <c r="O32" s="1479"/>
      <c r="P32" s="1479"/>
      <c r="Q32" s="1479"/>
      <c r="R32" s="1479"/>
      <c r="S32" s="1479"/>
      <c r="T32" s="1479"/>
      <c r="U32" s="1480"/>
      <c r="V32" s="1480"/>
      <c r="W32" s="1480"/>
      <c r="X32" s="2"/>
      <c r="Y32" s="2"/>
      <c r="Z32" s="2"/>
      <c r="AA32" s="2"/>
      <c r="AB32" s="2"/>
      <c r="AC32" s="2"/>
      <c r="AD32" s="2"/>
      <c r="AE32" s="2"/>
      <c r="AF32" s="2"/>
      <c r="AG32" s="2"/>
      <c r="AH32" s="2"/>
      <c r="AI32" s="1"/>
      <c r="AJ32" s="2"/>
      <c r="AK32" s="1"/>
      <c r="AL32" s="1"/>
      <c r="AM32" s="1"/>
      <c r="AN32" s="1"/>
    </row>
    <row r="33" spans="1:40" s="572" customFormat="1">
      <c r="A33" s="2"/>
      <c r="B33" s="2"/>
      <c r="C33" s="2"/>
      <c r="D33" s="140"/>
      <c r="E33" s="140"/>
      <c r="F33" s="2"/>
      <c r="G33" s="1479"/>
      <c r="H33" s="1479"/>
      <c r="I33" s="1479"/>
      <c r="J33" s="1479"/>
      <c r="K33" s="1479"/>
      <c r="L33" s="1479"/>
      <c r="M33" s="1479"/>
      <c r="N33" s="1479"/>
      <c r="O33" s="1479"/>
      <c r="P33" s="1479"/>
      <c r="Q33" s="1479"/>
      <c r="R33" s="1479"/>
      <c r="S33" s="1479"/>
      <c r="T33" s="1479"/>
      <c r="U33" s="1480"/>
      <c r="V33" s="1480"/>
      <c r="W33" s="1480"/>
      <c r="X33" s="2"/>
      <c r="Y33" s="2"/>
      <c r="Z33" s="2"/>
      <c r="AA33" s="2"/>
      <c r="AB33" s="2"/>
      <c r="AC33" s="2"/>
      <c r="AD33" s="2"/>
      <c r="AE33" s="2"/>
      <c r="AF33" s="2"/>
      <c r="AG33" s="2"/>
      <c r="AH33" s="2"/>
      <c r="AI33" s="1"/>
      <c r="AJ33" s="2"/>
      <c r="AK33" s="1"/>
      <c r="AL33" s="1"/>
      <c r="AM33" s="1"/>
      <c r="AN33" s="1"/>
    </row>
    <row r="34" spans="1:40" s="572" customFormat="1">
      <c r="A34" s="2"/>
      <c r="B34" s="2"/>
      <c r="C34" s="2"/>
      <c r="D34" s="140"/>
      <c r="E34" s="140"/>
      <c r="F34" s="2"/>
      <c r="G34" s="1479"/>
      <c r="H34" s="1479"/>
      <c r="I34" s="1479"/>
      <c r="J34" s="1479"/>
      <c r="K34" s="1479"/>
      <c r="L34" s="1479"/>
      <c r="M34" s="1479"/>
      <c r="N34" s="1479"/>
      <c r="O34" s="1479"/>
      <c r="P34" s="1479"/>
      <c r="Q34" s="1479"/>
      <c r="R34" s="1479"/>
      <c r="S34" s="1479"/>
      <c r="T34" s="1479"/>
      <c r="U34" s="1479"/>
      <c r="V34" s="1479"/>
      <c r="W34" s="1479"/>
      <c r="X34" s="1479"/>
      <c r="Y34" s="1479"/>
      <c r="Z34" s="1479"/>
      <c r="AA34" s="2"/>
      <c r="AB34" s="2"/>
      <c r="AC34" s="2"/>
      <c r="AD34" s="2"/>
      <c r="AE34" s="2"/>
      <c r="AF34" s="2"/>
      <c r="AG34" s="2"/>
      <c r="AH34" s="2"/>
      <c r="AI34" s="1"/>
      <c r="AJ34" s="2"/>
      <c r="AK34" s="1"/>
      <c r="AL34" s="1"/>
      <c r="AM34" s="1"/>
      <c r="AN34" s="1"/>
    </row>
    <row r="35" spans="1:40" s="572" customFormat="1">
      <c r="A35" s="2"/>
      <c r="B35" s="2"/>
      <c r="C35" s="1481" t="s">
        <v>275</v>
      </c>
      <c r="D35" s="1481"/>
      <c r="E35" s="1482" t="s">
        <v>286</v>
      </c>
      <c r="F35" s="1482" t="s">
        <v>114</v>
      </c>
      <c r="G35" s="1483" t="s">
        <v>287</v>
      </c>
      <c r="H35" s="1483" t="s">
        <v>288</v>
      </c>
      <c r="I35" s="1479"/>
      <c r="J35" s="1479"/>
      <c r="K35" s="1479"/>
      <c r="L35" s="1479"/>
      <c r="M35" s="1479"/>
      <c r="N35" s="1479"/>
      <c r="O35" s="1479"/>
      <c r="P35" s="1479"/>
      <c r="Q35" s="1479"/>
      <c r="R35" s="1479"/>
      <c r="S35" s="1479"/>
      <c r="T35" s="1479"/>
      <c r="U35" s="1479"/>
      <c r="V35" s="1479"/>
      <c r="W35" s="1479"/>
      <c r="X35" s="1479"/>
      <c r="Y35" s="1479"/>
      <c r="Z35" s="1479"/>
      <c r="AA35" s="2"/>
      <c r="AB35" s="2"/>
      <c r="AC35" s="2"/>
      <c r="AD35" s="2"/>
      <c r="AE35" s="2"/>
      <c r="AF35" s="2"/>
      <c r="AG35" s="2"/>
      <c r="AH35" s="2"/>
      <c r="AI35" s="1"/>
      <c r="AJ35" s="2"/>
      <c r="AK35" s="1"/>
      <c r="AL35" s="1"/>
      <c r="AM35" s="1"/>
      <c r="AN35" s="1"/>
    </row>
    <row r="36" spans="1:40" s="572" customFormat="1">
      <c r="A36" s="2"/>
      <c r="B36" s="2"/>
      <c r="C36" s="1405" t="s">
        <v>289</v>
      </c>
      <c r="D36" s="1479"/>
      <c r="E36" s="1484">
        <v>50.5</v>
      </c>
      <c r="F36" s="1480"/>
      <c r="G36" s="1480"/>
      <c r="H36" s="1480"/>
      <c r="I36" s="1479"/>
      <c r="J36" s="1479"/>
      <c r="K36" s="1479"/>
      <c r="L36" s="1479"/>
      <c r="M36" s="1479"/>
      <c r="N36" s="1479"/>
      <c r="O36" s="1479"/>
      <c r="P36" s="1479"/>
      <c r="Q36" s="1479"/>
      <c r="R36" s="1479"/>
      <c r="S36" s="1479"/>
      <c r="T36" s="1479"/>
      <c r="U36" s="1479"/>
      <c r="V36" s="1479"/>
      <c r="W36" s="1479"/>
      <c r="X36" s="1479"/>
      <c r="Y36" s="1479"/>
      <c r="Z36" s="1479"/>
      <c r="AA36" s="2"/>
      <c r="AB36" s="2"/>
      <c r="AC36" s="2"/>
      <c r="AD36" s="2"/>
      <c r="AE36" s="2"/>
      <c r="AF36" s="2"/>
      <c r="AG36" s="2"/>
      <c r="AH36" s="2"/>
      <c r="AI36" s="1"/>
      <c r="AJ36" s="2"/>
      <c r="AK36" s="1"/>
      <c r="AL36" s="1"/>
      <c r="AM36" s="1"/>
      <c r="AN36" s="1"/>
    </row>
    <row r="37" spans="1:40" s="572" customFormat="1">
      <c r="A37" s="2"/>
      <c r="B37" s="2"/>
      <c r="C37" s="1" t="s">
        <v>290</v>
      </c>
      <c r="D37" s="1405"/>
      <c r="E37" s="131">
        <f>'A. FS'!CB79/'A. FCFF'!$K$32*10^3</f>
        <v>2517.282525496913</v>
      </c>
      <c r="F37" s="131">
        <f>'A. FS'!N89</f>
        <v>2384.5787843875823</v>
      </c>
      <c r="G37" s="131">
        <f>'A. FS'!O89</f>
        <v>3062.0831861054285</v>
      </c>
      <c r="H37" s="131">
        <f>'A. FS'!P89</f>
        <v>3557.3160719368234</v>
      </c>
      <c r="I37" s="1479"/>
      <c r="J37" s="1479"/>
      <c r="K37" s="1479"/>
      <c r="L37" s="1479"/>
      <c r="M37" s="1479"/>
      <c r="N37" s="1479"/>
      <c r="O37" s="1479"/>
      <c r="P37" s="1479"/>
      <c r="Q37" s="1479"/>
      <c r="R37" s="1479"/>
      <c r="S37" s="1479"/>
      <c r="T37" s="1479"/>
      <c r="U37" s="1479"/>
      <c r="V37" s="1479"/>
      <c r="W37" s="1479"/>
      <c r="X37" s="1479"/>
      <c r="Y37" s="1479"/>
      <c r="Z37" s="1479"/>
      <c r="AA37" s="2"/>
      <c r="AB37" s="2"/>
      <c r="AC37" s="2"/>
      <c r="AD37" s="2"/>
      <c r="AE37" s="2"/>
      <c r="AF37" s="2"/>
      <c r="AG37" s="2"/>
      <c r="AH37" s="2"/>
      <c r="AI37" s="1"/>
      <c r="AJ37" s="2"/>
      <c r="AK37" s="1"/>
      <c r="AL37" s="1"/>
      <c r="AM37" s="1"/>
      <c r="AN37" s="1"/>
    </row>
    <row r="38" spans="1:40" s="572" customFormat="1" hidden="1">
      <c r="A38" s="2"/>
      <c r="B38" s="2"/>
      <c r="C38" s="1485" t="s">
        <v>291</v>
      </c>
      <c r="D38" s="1479"/>
      <c r="E38" s="1486">
        <f>$E36/E37</f>
        <v>2.0061315918455069E-2</v>
      </c>
      <c r="F38" s="1486">
        <f>$E36/F37</f>
        <v>2.1177744401080723E-2</v>
      </c>
      <c r="G38" s="1486">
        <f>$E36/G37</f>
        <v>1.6492040526250182E-2</v>
      </c>
      <c r="H38" s="1486">
        <f>$E36/H37</f>
        <v>1.4196095870813264E-2</v>
      </c>
      <c r="I38" s="1479"/>
      <c r="J38" s="1479"/>
      <c r="K38" s="1479"/>
      <c r="L38" s="1479"/>
      <c r="M38" s="1479"/>
      <c r="N38" s="1479"/>
      <c r="O38" s="1479"/>
      <c r="P38" s="1479"/>
      <c r="Q38" s="1479"/>
      <c r="R38" s="1479"/>
      <c r="S38" s="1479"/>
      <c r="T38" s="1479"/>
      <c r="U38" s="1479"/>
      <c r="V38" s="1479"/>
      <c r="W38" s="1479"/>
      <c r="X38" s="1479"/>
      <c r="Y38" s="1479"/>
      <c r="Z38" s="1479"/>
      <c r="AA38" s="2"/>
      <c r="AB38" s="2"/>
      <c r="AC38" s="2"/>
      <c r="AD38" s="2"/>
      <c r="AE38" s="2"/>
      <c r="AF38" s="2"/>
      <c r="AG38" s="2"/>
      <c r="AH38" s="2"/>
      <c r="AI38" s="1"/>
      <c r="AJ38" s="2"/>
      <c r="AK38" s="1"/>
      <c r="AL38" s="1"/>
      <c r="AM38" s="1"/>
      <c r="AN38" s="1"/>
    </row>
    <row r="39" spans="1:40" s="572" customFormat="1" ht="13.5" customHeight="1">
      <c r="A39" s="2"/>
      <c r="B39" s="2"/>
      <c r="C39" s="1479" t="s">
        <v>292</v>
      </c>
      <c r="D39" s="1479"/>
      <c r="E39" s="1487">
        <f>$U23*E37/1000</f>
        <v>40.221733304638136</v>
      </c>
      <c r="F39" s="1487">
        <f>$U23*F37/1000</f>
        <v>38.10136166205757</v>
      </c>
      <c r="G39" s="1487">
        <f>$U23*G37/1000</f>
        <v>48.926686623638666</v>
      </c>
      <c r="H39" s="1487">
        <f>$U23*H37/1000</f>
        <v>56.839634358285423</v>
      </c>
      <c r="I39" s="1479"/>
      <c r="J39" s="1479"/>
      <c r="K39" s="1479"/>
      <c r="L39" s="1479"/>
      <c r="M39" s="1479"/>
      <c r="N39" s="1479"/>
      <c r="O39" s="1479"/>
      <c r="P39" s="1479"/>
      <c r="Q39" s="1479"/>
      <c r="R39" s="1479"/>
      <c r="S39" s="1479"/>
      <c r="T39" s="1479"/>
      <c r="U39" s="1479"/>
      <c r="V39" s="1479"/>
      <c r="W39" s="1479"/>
      <c r="X39" s="1479"/>
      <c r="Y39" s="1479"/>
      <c r="Z39" s="1479"/>
      <c r="AA39" s="2"/>
      <c r="AB39" s="2"/>
      <c r="AC39" s="2"/>
      <c r="AD39" s="2"/>
      <c r="AE39" s="2"/>
      <c r="AF39" s="2"/>
      <c r="AG39" s="2"/>
      <c r="AH39" s="2"/>
      <c r="AI39" s="1"/>
      <c r="AJ39" s="2"/>
      <c r="AK39" s="1"/>
      <c r="AL39" s="1"/>
      <c r="AM39" s="1"/>
      <c r="AN39" s="1"/>
    </row>
    <row r="40" spans="1:40" s="572" customFormat="1" ht="13.5" customHeight="1">
      <c r="A40" s="2"/>
      <c r="B40" s="2"/>
      <c r="C40" s="1405" t="s">
        <v>9</v>
      </c>
      <c r="D40" s="1479"/>
      <c r="E40" s="1488">
        <v>0</v>
      </c>
      <c r="F40" s="1489">
        <v>0.05</v>
      </c>
      <c r="G40" s="1489">
        <v>0.95</v>
      </c>
      <c r="H40" s="1489">
        <v>0</v>
      </c>
      <c r="J40" s="1479"/>
      <c r="K40" s="1479"/>
      <c r="L40" s="1479"/>
      <c r="M40" s="1479"/>
      <c r="N40" s="1479"/>
      <c r="O40" s="1479"/>
      <c r="P40" s="1479"/>
      <c r="Q40" s="1479"/>
      <c r="R40" s="1479"/>
      <c r="S40" s="1479"/>
      <c r="T40" s="1479"/>
      <c r="U40" s="1551"/>
      <c r="V40" s="1551"/>
      <c r="W40" s="1479"/>
      <c r="X40" s="1479"/>
      <c r="Y40" s="1479"/>
      <c r="Z40" s="1479"/>
      <c r="AA40" s="2"/>
      <c r="AB40" s="2"/>
      <c r="AC40" s="2"/>
      <c r="AD40" s="2"/>
      <c r="AE40" s="2"/>
      <c r="AF40" s="2"/>
      <c r="AG40" s="2"/>
      <c r="AH40" s="2"/>
      <c r="AI40" s="1"/>
      <c r="AJ40" s="2"/>
      <c r="AK40" s="1"/>
      <c r="AL40" s="1"/>
      <c r="AM40" s="1"/>
      <c r="AN40" s="1"/>
    </row>
    <row r="41" spans="1:40" s="572" customFormat="1">
      <c r="A41" s="2"/>
      <c r="B41" s="2"/>
      <c r="C41" s="1479" t="s">
        <v>293</v>
      </c>
      <c r="D41" s="1479"/>
      <c r="E41" s="1490">
        <f>SUMPRODUCT(E39:H39,E40:H40)</f>
        <v>48.385420375559605</v>
      </c>
      <c r="F41" s="1479"/>
      <c r="G41" s="1480"/>
      <c r="H41" s="1480"/>
      <c r="I41" s="1480"/>
      <c r="J41" s="2"/>
      <c r="K41" s="1479"/>
      <c r="L41" s="2"/>
      <c r="M41" s="1479"/>
      <c r="N41" s="2"/>
      <c r="O41" s="1479"/>
      <c r="P41" s="2"/>
      <c r="Q41" s="1479"/>
      <c r="R41" s="1479"/>
      <c r="S41" s="1479"/>
      <c r="T41" s="1479"/>
      <c r="U41" s="1479"/>
      <c r="V41" s="1479"/>
      <c r="W41" s="1479"/>
      <c r="X41" s="1479"/>
      <c r="Y41" s="1479"/>
      <c r="Z41" s="1479"/>
      <c r="AA41" s="2"/>
      <c r="AB41" s="2"/>
      <c r="AC41" s="2"/>
      <c r="AD41" s="2"/>
      <c r="AE41" s="2"/>
      <c r="AF41" s="2"/>
      <c r="AG41" s="2"/>
      <c r="AH41" s="2"/>
      <c r="AI41" s="1"/>
      <c r="AJ41" s="2"/>
      <c r="AK41" s="1"/>
      <c r="AL41" s="1"/>
      <c r="AM41" s="1"/>
      <c r="AN41" s="1"/>
    </row>
    <row r="42" spans="1:40" s="572" customFormat="1">
      <c r="A42" s="2"/>
      <c r="B42" s="2"/>
      <c r="C42" s="1479" t="s">
        <v>294</v>
      </c>
      <c r="D42" s="1479"/>
      <c r="E42" s="1491">
        <f>E41/E36-1</f>
        <v>-4.1872863850304864E-2</v>
      </c>
      <c r="F42" s="2"/>
      <c r="G42" s="1542"/>
      <c r="H42" s="1479"/>
      <c r="I42" s="1479"/>
      <c r="J42" s="1479"/>
      <c r="K42" s="1479"/>
      <c r="L42" s="1479"/>
      <c r="M42" s="1479"/>
      <c r="N42" s="1479"/>
      <c r="O42" s="1479"/>
      <c r="P42" s="1479"/>
      <c r="R42" s="1479"/>
      <c r="S42" s="1479"/>
      <c r="T42" s="1479"/>
      <c r="U42" s="1479"/>
      <c r="V42" s="1479"/>
      <c r="W42" s="1479"/>
      <c r="X42" s="1479"/>
      <c r="Y42" s="1479"/>
      <c r="Z42" s="1479"/>
      <c r="AA42" s="2"/>
      <c r="AB42" s="2"/>
      <c r="AC42" s="2"/>
      <c r="AD42" s="2"/>
      <c r="AE42" s="2"/>
      <c r="AF42" s="2"/>
      <c r="AG42" s="2"/>
      <c r="AH42" s="2"/>
      <c r="AI42" s="1"/>
      <c r="AJ42" s="2"/>
      <c r="AK42" s="1"/>
      <c r="AL42" s="1"/>
      <c r="AM42" s="1"/>
      <c r="AN42" s="1"/>
    </row>
    <row r="43" spans="1:40" s="572" customFormat="1">
      <c r="A43" s="2"/>
      <c r="B43" s="2"/>
      <c r="C43" s="2"/>
      <c r="D43" s="140"/>
      <c r="E43" s="140"/>
      <c r="F43" s="2"/>
      <c r="G43" s="1479"/>
      <c r="H43" s="1492"/>
      <c r="I43" s="1479"/>
      <c r="J43" s="1479"/>
      <c r="K43" s="1479"/>
      <c r="L43" s="1479"/>
      <c r="M43" s="1479"/>
      <c r="N43" s="1479"/>
      <c r="O43" s="1479"/>
      <c r="P43" s="1479"/>
      <c r="Q43" s="1479"/>
      <c r="R43" s="1479"/>
      <c r="S43" s="1479"/>
      <c r="T43" s="1479"/>
      <c r="U43" s="1479"/>
      <c r="V43" s="1479"/>
      <c r="W43" s="1479"/>
      <c r="X43" s="1479"/>
      <c r="Y43" s="1479"/>
      <c r="Z43" s="1479"/>
      <c r="AA43" s="2"/>
      <c r="AB43" s="2"/>
      <c r="AC43" s="2"/>
      <c r="AD43" s="2"/>
      <c r="AE43" s="2"/>
      <c r="AF43" s="2"/>
      <c r="AG43" s="2"/>
      <c r="AH43" s="2"/>
      <c r="AI43" s="1"/>
      <c r="AJ43" s="2"/>
      <c r="AK43" s="1"/>
      <c r="AL43" s="1"/>
      <c r="AM43" s="1"/>
      <c r="AN43" s="1"/>
    </row>
    <row r="44" spans="1:40" s="572" customFormat="1">
      <c r="A44" s="2"/>
      <c r="B44" s="2"/>
      <c r="C44" s="1493"/>
      <c r="D44" s="1493"/>
      <c r="E44" s="1493"/>
      <c r="F44" s="1493"/>
      <c r="G44" s="1493"/>
      <c r="H44" s="1493"/>
      <c r="I44" s="1479"/>
      <c r="J44" s="1479"/>
      <c r="K44" s="1479"/>
      <c r="L44" s="1479"/>
      <c r="M44" s="1479"/>
      <c r="N44" s="1479"/>
      <c r="O44" s="1479"/>
      <c r="P44" s="1479"/>
      <c r="Q44" s="1479"/>
      <c r="R44" s="1479"/>
      <c r="S44" s="1479"/>
      <c r="T44" s="1479"/>
      <c r="U44" s="1479"/>
      <c r="V44" s="1479"/>
      <c r="W44" s="1479"/>
      <c r="X44" s="1479"/>
      <c r="Y44" s="1479"/>
      <c r="Z44" s="1479"/>
      <c r="AA44" s="2"/>
      <c r="AB44" s="2"/>
      <c r="AC44" s="2"/>
      <c r="AD44" s="2"/>
      <c r="AE44" s="2"/>
      <c r="AF44" s="2"/>
      <c r="AG44" s="2"/>
      <c r="AH44" s="2"/>
      <c r="AI44" s="1"/>
      <c r="AJ44" s="2"/>
      <c r="AK44" s="1"/>
      <c r="AL44" s="1"/>
      <c r="AM44" s="1"/>
      <c r="AN44" s="1"/>
    </row>
    <row r="45" spans="1:40" s="572" customFormat="1">
      <c r="A45" s="2"/>
      <c r="B45" s="2"/>
      <c r="C45" s="1479"/>
      <c r="D45" s="1479"/>
      <c r="E45" s="1479"/>
      <c r="F45" s="1479"/>
      <c r="G45" s="1479"/>
      <c r="H45" s="1479"/>
      <c r="I45" s="1479"/>
      <c r="J45" s="1479"/>
      <c r="K45" s="1479"/>
      <c r="L45" s="1479"/>
      <c r="M45" s="1479"/>
      <c r="N45" s="1479"/>
      <c r="O45" s="1479"/>
      <c r="P45" s="1479"/>
      <c r="Q45" s="1479"/>
      <c r="R45" s="1479"/>
      <c r="S45" s="1479"/>
      <c r="T45" s="1479"/>
      <c r="U45" s="1479"/>
      <c r="V45" s="1479"/>
      <c r="W45" s="1479"/>
      <c r="X45" s="1479"/>
      <c r="Y45" s="1479"/>
      <c r="Z45" s="1479"/>
      <c r="AA45" s="2"/>
      <c r="AB45" s="2"/>
      <c r="AC45" s="2"/>
      <c r="AD45" s="2"/>
      <c r="AE45" s="2"/>
      <c r="AF45" s="2"/>
      <c r="AG45" s="2"/>
      <c r="AH45" s="2"/>
      <c r="AI45" s="1"/>
      <c r="AJ45" s="2"/>
      <c r="AK45" s="1"/>
      <c r="AL45" s="1"/>
      <c r="AM45" s="1"/>
      <c r="AN45" s="1"/>
    </row>
    <row r="46" spans="1:40" s="572" customFormat="1">
      <c r="A46" s="2"/>
      <c r="B46" s="2"/>
      <c r="C46" s="1479"/>
      <c r="D46" s="1479"/>
      <c r="E46" s="1479"/>
      <c r="F46" s="1479"/>
      <c r="G46" s="1479"/>
      <c r="H46" s="1479"/>
      <c r="I46" s="1479"/>
      <c r="J46" s="1479"/>
      <c r="K46" s="1479"/>
      <c r="L46" s="1479"/>
      <c r="M46" s="1479"/>
      <c r="N46" s="1479"/>
      <c r="O46" s="1479"/>
      <c r="P46" s="1479"/>
      <c r="Q46" s="1479"/>
      <c r="R46" s="1479"/>
      <c r="S46" s="1479"/>
      <c r="T46" s="1479"/>
      <c r="U46" s="1479"/>
      <c r="V46" s="1479"/>
      <c r="W46" s="1479"/>
      <c r="X46" s="1479"/>
      <c r="Y46" s="1479"/>
      <c r="Z46" s="1479"/>
      <c r="AA46" s="2"/>
      <c r="AB46" s="2"/>
      <c r="AC46" s="2"/>
      <c r="AD46" s="2"/>
      <c r="AE46" s="2"/>
      <c r="AF46" s="2"/>
      <c r="AG46" s="2"/>
      <c r="AH46" s="2"/>
      <c r="AI46" s="1"/>
      <c r="AJ46" s="2"/>
      <c r="AK46" s="1"/>
      <c r="AL46" s="1"/>
      <c r="AM46" s="1"/>
      <c r="AN46" s="1"/>
    </row>
    <row r="47" spans="1:40" s="572" customFormat="1">
      <c r="A47" s="2"/>
      <c r="B47" s="2"/>
      <c r="C47" s="1479"/>
      <c r="D47" s="1479"/>
      <c r="E47" s="1479"/>
      <c r="F47" s="1479"/>
      <c r="G47" s="1479"/>
      <c r="H47" s="1479"/>
      <c r="I47" s="1479"/>
      <c r="J47" s="1479"/>
      <c r="K47" s="1479"/>
      <c r="L47" s="1479"/>
      <c r="M47" s="1479"/>
      <c r="N47" s="1479"/>
      <c r="O47" s="1479"/>
      <c r="P47" s="1479"/>
      <c r="Q47" s="1479"/>
      <c r="R47" s="1479"/>
      <c r="S47" s="1479"/>
      <c r="T47" s="1479"/>
      <c r="U47" s="1479"/>
      <c r="V47" s="1479"/>
      <c r="W47" s="1479"/>
      <c r="X47" s="1479"/>
      <c r="Y47" s="1479"/>
      <c r="Z47" s="1479"/>
      <c r="AA47" s="2"/>
      <c r="AB47" s="2"/>
      <c r="AC47" s="2"/>
      <c r="AD47" s="2"/>
      <c r="AE47" s="2"/>
      <c r="AF47" s="2"/>
      <c r="AG47" s="2"/>
      <c r="AH47" s="2"/>
      <c r="AI47" s="1"/>
      <c r="AJ47" s="2"/>
      <c r="AK47" s="1"/>
      <c r="AL47" s="1"/>
      <c r="AM47" s="1"/>
      <c r="AN47" s="1"/>
    </row>
    <row r="48" spans="1:40" s="572" customFormat="1">
      <c r="A48" s="2"/>
      <c r="B48" s="2"/>
      <c r="C48" s="1479"/>
      <c r="D48" s="1479"/>
      <c r="E48" s="1479"/>
      <c r="F48" s="1479"/>
      <c r="G48" s="1479"/>
      <c r="H48" s="1479"/>
      <c r="I48" s="1479"/>
      <c r="J48" s="1479"/>
      <c r="K48" s="1479"/>
      <c r="L48" s="1479"/>
      <c r="M48" s="1479"/>
      <c r="N48" s="1479"/>
      <c r="O48" s="1479"/>
      <c r="P48" s="1479"/>
      <c r="Q48" s="1479"/>
      <c r="R48" s="1479"/>
      <c r="S48" s="1479"/>
      <c r="T48" s="1479"/>
      <c r="U48" s="1479"/>
      <c r="V48" s="1479"/>
      <c r="W48" s="1479"/>
      <c r="X48" s="1479"/>
      <c r="Y48" s="1479"/>
      <c r="Z48" s="1479"/>
      <c r="AA48" s="2"/>
      <c r="AB48" s="2"/>
      <c r="AC48" s="2"/>
      <c r="AD48" s="2"/>
      <c r="AE48" s="2"/>
      <c r="AF48" s="2"/>
      <c r="AG48" s="2"/>
      <c r="AH48" s="2"/>
      <c r="AI48" s="1"/>
      <c r="AJ48" s="2"/>
      <c r="AK48" s="1"/>
      <c r="AL48" s="1"/>
      <c r="AM48" s="1"/>
      <c r="AN48" s="1"/>
    </row>
    <row r="49" spans="1:40" s="572" customFormat="1">
      <c r="A49" s="2"/>
      <c r="B49" s="2"/>
      <c r="C49" s="1479"/>
      <c r="D49" s="1479"/>
      <c r="E49" s="1479"/>
      <c r="F49" s="1479"/>
      <c r="G49" s="1479"/>
      <c r="H49" s="1479"/>
      <c r="I49" s="1479"/>
      <c r="J49" s="1479"/>
      <c r="K49" s="1479"/>
      <c r="L49" s="1479"/>
      <c r="M49" s="1479"/>
      <c r="N49" s="1479"/>
      <c r="O49" s="1479"/>
      <c r="P49" s="1479"/>
      <c r="Q49" s="1479"/>
      <c r="R49" s="1479"/>
      <c r="S49" s="1479"/>
      <c r="T49" s="1479"/>
      <c r="U49" s="1479"/>
      <c r="V49" s="1479"/>
      <c r="W49" s="1479"/>
      <c r="X49" s="1479"/>
      <c r="Y49" s="1479"/>
      <c r="Z49" s="1479"/>
      <c r="AA49" s="2"/>
      <c r="AB49" s="2"/>
      <c r="AC49" s="2"/>
      <c r="AD49" s="2"/>
      <c r="AE49" s="2"/>
      <c r="AF49" s="2"/>
      <c r="AG49" s="2"/>
      <c r="AH49" s="2"/>
      <c r="AI49" s="1"/>
      <c r="AJ49" s="2"/>
      <c r="AK49" s="1"/>
      <c r="AL49" s="1"/>
      <c r="AM49" s="1"/>
      <c r="AN49" s="1"/>
    </row>
    <row r="50" spans="1:40" s="572" customFormat="1">
      <c r="A50" s="2"/>
      <c r="B50" s="2"/>
      <c r="C50" s="1479"/>
      <c r="D50" s="1479"/>
      <c r="E50" s="1479"/>
      <c r="F50" s="1479"/>
      <c r="G50" s="1479"/>
      <c r="H50" s="1479"/>
      <c r="I50" s="1479"/>
      <c r="J50" s="1479"/>
      <c r="K50" s="1479"/>
      <c r="L50" s="1479"/>
      <c r="M50" s="1479"/>
      <c r="N50" s="1479"/>
      <c r="O50" s="1479"/>
      <c r="P50" s="1479"/>
      <c r="Q50" s="1479"/>
      <c r="R50" s="1479"/>
      <c r="S50" s="1479"/>
      <c r="T50" s="1479"/>
      <c r="U50" s="1479"/>
      <c r="V50" s="1479"/>
      <c r="W50" s="1479"/>
      <c r="X50" s="1479"/>
      <c r="Y50" s="1479"/>
      <c r="Z50" s="1479"/>
      <c r="AA50" s="2"/>
      <c r="AB50" s="2"/>
      <c r="AC50" s="2"/>
      <c r="AD50" s="2"/>
      <c r="AE50" s="2"/>
      <c r="AF50" s="2"/>
      <c r="AG50" s="2"/>
      <c r="AH50" s="2"/>
      <c r="AI50" s="1"/>
      <c r="AJ50" s="2"/>
      <c r="AK50" s="1"/>
      <c r="AL50" s="1"/>
      <c r="AM50" s="1"/>
      <c r="AN50" s="1"/>
    </row>
    <row r="51" spans="1:40" s="572" customFormat="1">
      <c r="A51" s="2"/>
      <c r="B51" s="2"/>
      <c r="C51" s="1479"/>
      <c r="D51" s="1479"/>
      <c r="E51" s="1479"/>
      <c r="F51" s="1479"/>
      <c r="G51" s="1479"/>
      <c r="H51" s="1479"/>
      <c r="I51" s="1479"/>
      <c r="J51" s="1479"/>
      <c r="K51" s="1479"/>
      <c r="L51" s="1479"/>
      <c r="M51" s="1479"/>
      <c r="N51" s="1479"/>
      <c r="O51" s="1479"/>
      <c r="P51" s="1479"/>
      <c r="Q51" s="1479"/>
      <c r="R51" s="1479"/>
      <c r="S51" s="1479"/>
      <c r="T51" s="1479"/>
      <c r="U51" s="1479"/>
      <c r="V51" s="1479"/>
      <c r="W51" s="1479"/>
      <c r="X51" s="1479"/>
      <c r="Y51" s="1479"/>
      <c r="Z51" s="1479"/>
      <c r="AA51" s="2"/>
      <c r="AB51" s="2"/>
      <c r="AC51" s="2"/>
      <c r="AD51" s="2"/>
      <c r="AE51" s="2"/>
      <c r="AF51" s="2"/>
      <c r="AG51" s="2"/>
      <c r="AH51" s="2"/>
      <c r="AI51" s="1"/>
      <c r="AJ51" s="2"/>
      <c r="AK51" s="1"/>
      <c r="AL51" s="1"/>
      <c r="AM51" s="1"/>
      <c r="AN51" s="1"/>
    </row>
    <row r="52" spans="1:40" s="572" customFormat="1">
      <c r="A52" s="2"/>
      <c r="B52" s="2"/>
      <c r="H52" s="1479"/>
      <c r="I52" s="1479"/>
      <c r="J52" s="1479"/>
      <c r="K52" s="1479"/>
      <c r="L52" s="1479"/>
      <c r="M52" s="1479"/>
      <c r="N52" s="1479"/>
      <c r="O52" s="1479"/>
      <c r="P52" s="1479"/>
      <c r="Q52" s="1479"/>
      <c r="R52" s="1479"/>
      <c r="S52" s="1479"/>
      <c r="T52" s="1479"/>
      <c r="U52" s="1479"/>
      <c r="V52" s="1479"/>
      <c r="W52" s="1479"/>
      <c r="X52" s="1479"/>
      <c r="Y52" s="1479"/>
      <c r="Z52" s="1479"/>
      <c r="AA52" s="2"/>
      <c r="AB52" s="2"/>
      <c r="AC52" s="2"/>
      <c r="AD52" s="2"/>
      <c r="AE52" s="2"/>
      <c r="AF52" s="2"/>
      <c r="AG52" s="2"/>
      <c r="AH52" s="2"/>
      <c r="AI52" s="1"/>
      <c r="AJ52" s="2"/>
      <c r="AK52" s="1"/>
      <c r="AL52" s="1"/>
      <c r="AM52" s="1"/>
      <c r="AN52" s="1"/>
    </row>
    <row r="53" spans="1:40" s="572" customFormat="1">
      <c r="A53" s="2"/>
      <c r="B53" s="2"/>
      <c r="C53" s="2"/>
      <c r="D53" s="140"/>
      <c r="E53" s="140"/>
      <c r="F53" s="2"/>
      <c r="G53" s="1479"/>
      <c r="H53" s="1479"/>
      <c r="I53" s="1479"/>
      <c r="J53" s="1479"/>
      <c r="K53" s="1479"/>
      <c r="L53" s="1479"/>
      <c r="M53" s="1479"/>
      <c r="N53" s="1479"/>
      <c r="O53" s="1479"/>
      <c r="P53" s="1479"/>
      <c r="Q53" s="1479"/>
      <c r="R53" s="1479"/>
      <c r="S53" s="1479"/>
      <c r="T53" s="1479"/>
      <c r="U53" s="1479"/>
      <c r="V53" s="1479"/>
      <c r="W53" s="1479"/>
      <c r="X53" s="1479"/>
      <c r="Y53" s="1479"/>
      <c r="Z53" s="1479"/>
      <c r="AA53" s="2"/>
      <c r="AB53" s="2"/>
      <c r="AC53" s="2"/>
      <c r="AD53" s="2"/>
      <c r="AE53" s="2"/>
      <c r="AF53" s="2"/>
      <c r="AG53" s="2"/>
      <c r="AH53" s="2"/>
      <c r="AI53" s="1"/>
      <c r="AJ53" s="2"/>
      <c r="AK53" s="1"/>
      <c r="AL53" s="1"/>
      <c r="AM53" s="1"/>
      <c r="AN53" s="1"/>
    </row>
    <row r="54" spans="1:40" s="572" customFormat="1">
      <c r="A54" s="2"/>
      <c r="B54" s="2"/>
      <c r="C54" s="2"/>
      <c r="D54" s="140"/>
      <c r="E54" s="140"/>
      <c r="F54" s="2"/>
      <c r="G54" s="1479"/>
      <c r="H54" s="1479"/>
      <c r="I54" s="1479"/>
      <c r="J54" s="1479"/>
      <c r="K54" s="1479"/>
      <c r="L54" s="1479"/>
      <c r="M54" s="1479"/>
      <c r="N54" s="1479"/>
      <c r="O54" s="1479"/>
      <c r="P54" s="1479"/>
      <c r="Q54" s="1479"/>
      <c r="R54" s="1479"/>
      <c r="S54" s="1479"/>
      <c r="T54" s="1479"/>
      <c r="U54" s="1479"/>
      <c r="V54" s="1479"/>
      <c r="W54" s="1479"/>
      <c r="X54" s="1479"/>
      <c r="Y54" s="1479"/>
      <c r="Z54" s="1479"/>
      <c r="AA54" s="2"/>
      <c r="AB54" s="2"/>
      <c r="AC54" s="2"/>
      <c r="AD54" s="2"/>
      <c r="AE54" s="2"/>
      <c r="AF54" s="2"/>
      <c r="AG54" s="2"/>
      <c r="AH54" s="2"/>
      <c r="AI54" s="1"/>
      <c r="AJ54" s="2"/>
      <c r="AK54" s="1"/>
      <c r="AL54" s="1"/>
      <c r="AM54" s="1"/>
      <c r="AN54" s="1"/>
    </row>
    <row r="55" spans="1:40" s="572" customFormat="1">
      <c r="A55" s="2"/>
      <c r="B55" s="2"/>
      <c r="C55" s="2"/>
      <c r="D55" s="140"/>
      <c r="E55" s="140"/>
      <c r="F55" s="2"/>
      <c r="G55" s="1479"/>
      <c r="H55" s="1479"/>
      <c r="I55" s="1479"/>
      <c r="J55" s="1479"/>
      <c r="K55" s="1479"/>
      <c r="L55" s="1479"/>
      <c r="M55" s="1479"/>
      <c r="N55" s="1479"/>
      <c r="O55" s="1479"/>
      <c r="P55" s="1479"/>
      <c r="Q55" s="1479"/>
      <c r="R55" s="1479"/>
      <c r="S55" s="1479"/>
      <c r="T55" s="1479"/>
      <c r="U55" s="1479"/>
      <c r="V55" s="1479"/>
      <c r="W55" s="1479"/>
      <c r="X55" s="1479"/>
      <c r="Y55" s="1479"/>
      <c r="Z55" s="1479"/>
      <c r="AA55" s="2"/>
      <c r="AB55" s="2"/>
      <c r="AC55" s="2"/>
      <c r="AD55" s="2"/>
      <c r="AE55" s="2"/>
      <c r="AF55" s="2"/>
      <c r="AG55" s="2"/>
      <c r="AH55" s="2"/>
      <c r="AI55" s="1"/>
      <c r="AJ55" s="2"/>
      <c r="AK55" s="1"/>
      <c r="AL55" s="1"/>
      <c r="AM55" s="1"/>
      <c r="AN55" s="1"/>
    </row>
    <row r="56" spans="1:40" s="572" customFormat="1">
      <c r="A56" s="2"/>
      <c r="B56" s="2"/>
      <c r="C56" s="2"/>
      <c r="D56" s="140"/>
      <c r="E56" s="140"/>
      <c r="F56" s="2"/>
      <c r="G56" s="1479"/>
      <c r="H56" s="1479"/>
      <c r="I56" s="1479"/>
      <c r="J56" s="1479"/>
      <c r="K56" s="1479"/>
      <c r="L56" s="1479"/>
      <c r="M56" s="1479"/>
      <c r="N56" s="1479"/>
      <c r="O56" s="1479"/>
      <c r="P56" s="1479"/>
      <c r="Q56" s="1479"/>
      <c r="R56" s="1479"/>
      <c r="S56" s="1479"/>
      <c r="T56" s="1479"/>
      <c r="U56" s="1479"/>
      <c r="V56" s="1479"/>
      <c r="W56" s="1479"/>
      <c r="X56" s="1479"/>
      <c r="Y56" s="1479"/>
      <c r="Z56" s="1479"/>
      <c r="AA56" s="2"/>
      <c r="AB56" s="2"/>
      <c r="AC56" s="2"/>
      <c r="AD56" s="2"/>
      <c r="AE56" s="2"/>
      <c r="AF56" s="2"/>
      <c r="AG56" s="2"/>
      <c r="AH56" s="2"/>
      <c r="AI56" s="1"/>
      <c r="AJ56" s="2"/>
      <c r="AK56" s="1"/>
      <c r="AL56" s="1"/>
      <c r="AM56" s="1"/>
      <c r="AN56" s="1"/>
    </row>
    <row r="57" spans="1:40" s="572" customFormat="1">
      <c r="A57" s="2"/>
      <c r="B57" s="2"/>
      <c r="C57" s="2"/>
      <c r="D57" s="140"/>
      <c r="E57" s="140"/>
      <c r="F57" s="2"/>
      <c r="G57" s="1479"/>
      <c r="H57" s="1479"/>
      <c r="I57" s="1479"/>
      <c r="J57" s="1479"/>
      <c r="K57" s="1479"/>
      <c r="L57" s="1479"/>
      <c r="M57" s="1479"/>
      <c r="N57" s="1479"/>
      <c r="O57" s="1479"/>
      <c r="P57" s="1479"/>
      <c r="Q57" s="1479"/>
      <c r="R57" s="1479"/>
      <c r="S57" s="1479"/>
      <c r="T57" s="1479"/>
      <c r="U57" s="1479"/>
      <c r="V57" s="1479"/>
      <c r="W57" s="1479"/>
      <c r="X57" s="1479"/>
      <c r="Y57" s="1479"/>
      <c r="Z57" s="1479"/>
      <c r="AA57" s="2"/>
      <c r="AB57" s="2"/>
      <c r="AC57" s="2"/>
      <c r="AD57" s="2"/>
      <c r="AE57" s="2"/>
      <c r="AF57" s="2"/>
      <c r="AG57" s="2"/>
      <c r="AH57" s="2"/>
      <c r="AI57" s="1"/>
      <c r="AJ57" s="2"/>
      <c r="AK57" s="1"/>
      <c r="AL57" s="1"/>
      <c r="AM57" s="1"/>
      <c r="AN57" s="1"/>
    </row>
    <row r="58" spans="1:40" s="572" customFormat="1">
      <c r="A58" s="2"/>
      <c r="B58" s="2"/>
      <c r="C58" s="2"/>
      <c r="D58" s="140"/>
      <c r="E58" s="140"/>
      <c r="F58" s="2"/>
      <c r="G58" s="1479"/>
      <c r="H58" s="1479"/>
      <c r="I58" s="1479"/>
      <c r="J58" s="1479"/>
      <c r="K58" s="1479"/>
      <c r="L58" s="1479"/>
      <c r="M58" s="1479"/>
      <c r="N58" s="1479"/>
      <c r="O58" s="1479"/>
      <c r="P58" s="1479"/>
      <c r="Q58" s="1479"/>
      <c r="R58" s="1479"/>
      <c r="S58" s="1479"/>
      <c r="T58" s="1479"/>
      <c r="U58" s="1480"/>
      <c r="V58" s="1480"/>
      <c r="W58" s="1480"/>
      <c r="X58" s="2"/>
      <c r="Y58" s="2"/>
      <c r="Z58" s="2"/>
      <c r="AA58" s="2"/>
      <c r="AB58" s="2"/>
      <c r="AC58" s="2"/>
      <c r="AD58" s="2"/>
      <c r="AE58" s="2"/>
      <c r="AF58" s="2"/>
      <c r="AG58" s="2"/>
      <c r="AH58" s="2"/>
      <c r="AI58" s="1"/>
      <c r="AJ58" s="2"/>
      <c r="AK58" s="1"/>
      <c r="AL58" s="1"/>
      <c r="AM58" s="1"/>
      <c r="AN58" s="1"/>
    </row>
    <row r="59" spans="1:40" s="572" customFormat="1" ht="15.75" thickBot="1">
      <c r="A59" s="2"/>
      <c r="B59" s="2"/>
      <c r="C59" s="729" t="s">
        <v>295</v>
      </c>
      <c r="D59" s="140"/>
      <c r="E59" s="140"/>
      <c r="F59" s="2"/>
      <c r="G59" s="1479"/>
      <c r="H59" s="1479"/>
      <c r="I59" s="1479"/>
      <c r="J59" s="1479"/>
      <c r="K59" s="1479"/>
      <c r="L59" s="1479"/>
      <c r="M59" s="1479"/>
      <c r="N59" s="1479"/>
      <c r="O59" s="1479"/>
      <c r="P59" s="1479"/>
      <c r="Q59" s="1479"/>
      <c r="R59" s="1479"/>
      <c r="S59" s="1479"/>
      <c r="T59" s="1479"/>
      <c r="U59" s="1480"/>
      <c r="V59" s="1480"/>
      <c r="W59" s="1480"/>
      <c r="X59" s="2"/>
      <c r="Y59" s="2"/>
      <c r="Z59" s="2"/>
      <c r="AA59" s="2"/>
      <c r="AB59" s="2"/>
      <c r="AC59" s="2"/>
      <c r="AD59" s="2"/>
      <c r="AE59" s="2"/>
      <c r="AF59" s="2"/>
      <c r="AG59" s="2"/>
      <c r="AH59" s="2"/>
      <c r="AI59" s="1"/>
      <c r="AJ59" s="2"/>
      <c r="AK59" s="1"/>
      <c r="AL59" s="1"/>
      <c r="AM59" s="1"/>
      <c r="AN59" s="1"/>
    </row>
    <row r="60" spans="1:40" s="572" customFormat="1">
      <c r="A60" s="2"/>
      <c r="B60" s="2"/>
      <c r="C60" s="2"/>
      <c r="D60" s="140"/>
      <c r="E60" s="140"/>
      <c r="F60" s="2"/>
      <c r="G60" s="1479"/>
      <c r="H60" s="1551" t="s">
        <v>296</v>
      </c>
      <c r="I60" s="1551"/>
      <c r="J60" s="1551"/>
      <c r="K60" s="1551"/>
      <c r="L60" s="1551"/>
      <c r="M60" s="1551"/>
      <c r="N60" s="1479"/>
      <c r="O60" s="1551" t="s">
        <v>297</v>
      </c>
      <c r="P60" s="1551"/>
      <c r="Q60" s="1551"/>
      <c r="R60" s="1551"/>
      <c r="S60" s="1551"/>
      <c r="T60" s="1551"/>
      <c r="U60" s="1480"/>
      <c r="V60" s="1551" t="s">
        <v>298</v>
      </c>
      <c r="W60" s="1551"/>
      <c r="X60" s="1551"/>
      <c r="Y60" s="1551"/>
      <c r="Z60" s="1551"/>
      <c r="AA60" s="1551"/>
      <c r="AB60" s="2"/>
      <c r="AC60" s="2"/>
      <c r="AD60" s="2"/>
      <c r="AE60" s="2"/>
      <c r="AF60" s="2"/>
      <c r="AG60" s="2"/>
      <c r="AH60" s="2"/>
      <c r="AI60" s="1"/>
      <c r="AJ60" s="2"/>
      <c r="AK60" s="1"/>
      <c r="AL60" s="1"/>
      <c r="AM60" s="1"/>
      <c r="AN60" s="1"/>
    </row>
    <row r="61" spans="1:40" s="572" customFormat="1">
      <c r="A61" s="2"/>
      <c r="B61" s="2"/>
      <c r="C61" s="970" t="s">
        <v>299</v>
      </c>
      <c r="D61" s="381" t="s">
        <v>300</v>
      </c>
      <c r="E61" s="381"/>
      <c r="F61" s="970"/>
      <c r="G61" s="970"/>
      <c r="H61" s="381" t="s">
        <v>301</v>
      </c>
      <c r="I61" s="1494">
        <v>2022</v>
      </c>
      <c r="J61" s="1494">
        <v>2021</v>
      </c>
      <c r="K61" s="1494"/>
      <c r="L61" s="1494">
        <v>2020</v>
      </c>
      <c r="M61" s="1494">
        <v>2019</v>
      </c>
      <c r="N61" s="381"/>
      <c r="O61" s="381" t="s">
        <v>301</v>
      </c>
      <c r="P61" s="1494">
        <v>2022</v>
      </c>
      <c r="Q61" s="1494">
        <v>2021</v>
      </c>
      <c r="R61" s="1494">
        <v>2020</v>
      </c>
      <c r="S61" s="1494">
        <v>2019</v>
      </c>
      <c r="T61" s="1494"/>
      <c r="U61" s="1495"/>
      <c r="V61" s="381" t="s">
        <v>301</v>
      </c>
      <c r="W61" s="1494">
        <v>2022</v>
      </c>
      <c r="X61" s="1494">
        <v>2021</v>
      </c>
      <c r="Y61" s="1494">
        <v>2020</v>
      </c>
      <c r="Z61" s="1494">
        <v>2019</v>
      </c>
      <c r="AA61" s="1496"/>
      <c r="AB61" s="2"/>
      <c r="AC61" s="2"/>
      <c r="AD61" s="2"/>
      <c r="AE61" s="2"/>
      <c r="AF61" s="2"/>
      <c r="AG61" s="2"/>
      <c r="AH61" s="2"/>
      <c r="AI61" s="1"/>
      <c r="AJ61" s="2"/>
      <c r="AK61" s="1"/>
      <c r="AL61" s="1"/>
      <c r="AM61" s="1"/>
      <c r="AN61" s="1"/>
    </row>
    <row r="62" spans="1:40" customFormat="1">
      <c r="A62" s="1"/>
      <c r="B62" s="1"/>
      <c r="C62" s="24" t="s">
        <v>266</v>
      </c>
      <c r="D62" s="1497">
        <v>285.99302083044984</v>
      </c>
      <c r="E62" s="1498" t="s">
        <v>245</v>
      </c>
      <c r="F62" s="1497"/>
      <c r="G62" s="1497"/>
      <c r="H62" s="1497">
        <f t="shared" ref="H62:H68" si="6">AVERAGE(I62:L62)</f>
        <v>41.849460601806641</v>
      </c>
      <c r="I62" s="1497">
        <v>55.045173645019531</v>
      </c>
      <c r="J62" s="1497">
        <v>34.925670623779297</v>
      </c>
      <c r="K62" s="1497"/>
      <c r="L62" s="1497">
        <v>35.577537536621094</v>
      </c>
      <c r="M62" s="1497">
        <v>63.618518829345703</v>
      </c>
      <c r="N62" s="1497"/>
      <c r="O62" s="1497">
        <f t="shared" ref="O62:O68" si="7">AVERAGE(P62:S62)</f>
        <v>24.354561805725098</v>
      </c>
      <c r="P62" s="1497">
        <v>26.376621246337891</v>
      </c>
      <c r="Q62" s="1497">
        <v>24.110471725463867</v>
      </c>
      <c r="R62" s="1497">
        <v>23.810302734375</v>
      </c>
      <c r="S62" s="1497">
        <v>23.120851516723633</v>
      </c>
      <c r="T62" s="1497"/>
      <c r="U62" s="1497"/>
      <c r="V62" s="1497">
        <f t="shared" ref="V62:V68" si="8">AVERAGE(W62:Z62)</f>
        <v>30.773561477661133</v>
      </c>
      <c r="W62" s="1497">
        <v>35.695430755615234</v>
      </c>
      <c r="X62" s="1497">
        <v>32.172073364257813</v>
      </c>
      <c r="Y62" s="1497">
        <v>27.049825668334961</v>
      </c>
      <c r="Z62" s="1497">
        <v>28.176916122436523</v>
      </c>
      <c r="AA62" s="1497"/>
      <c r="AB62" s="1"/>
      <c r="AC62" s="1"/>
      <c r="AD62" s="1"/>
      <c r="AE62" s="1"/>
      <c r="AF62" s="1"/>
      <c r="AG62" s="1"/>
      <c r="AH62" s="1"/>
      <c r="AI62" s="1"/>
      <c r="AJ62" s="2"/>
      <c r="AK62" s="1"/>
      <c r="AL62" s="1"/>
      <c r="AM62" s="1"/>
      <c r="AN62" s="1"/>
    </row>
    <row r="63" spans="1:40" s="572" customFormat="1">
      <c r="A63" s="2"/>
      <c r="B63" s="2"/>
      <c r="C63" s="1" t="s">
        <v>302</v>
      </c>
      <c r="D63" s="131">
        <v>91.451286690413184</v>
      </c>
      <c r="E63" s="258" t="s">
        <v>245</v>
      </c>
      <c r="F63" s="2"/>
      <c r="G63" s="131"/>
      <c r="H63" s="131">
        <f t="shared" si="6"/>
        <v>31.424988428751629</v>
      </c>
      <c r="I63" s="131">
        <v>42.560787200927734</v>
      </c>
      <c r="J63" s="131">
        <v>24.439998626708984</v>
      </c>
      <c r="K63" s="131"/>
      <c r="L63" s="1480">
        <v>27.274179458618164</v>
      </c>
      <c r="M63" s="1480">
        <v>41.314552307128906</v>
      </c>
      <c r="N63" s="1479"/>
      <c r="O63" s="1480">
        <f t="shared" si="7"/>
        <v>39.561379432678223</v>
      </c>
      <c r="P63" s="1480">
        <v>40.2720947265625</v>
      </c>
      <c r="Q63" s="1480">
        <v>36.693447113037109</v>
      </c>
      <c r="R63" s="1480">
        <v>34.0496826171875</v>
      </c>
      <c r="S63" s="1480">
        <v>47.230293273925781</v>
      </c>
      <c r="T63" s="1479"/>
      <c r="U63" s="1480"/>
      <c r="V63" s="1480">
        <f t="shared" si="8"/>
        <v>42.72088623046875</v>
      </c>
      <c r="W63" s="1480">
        <v>41.479259490966797</v>
      </c>
      <c r="X63" s="1480">
        <v>37.864860534667969</v>
      </c>
      <c r="Y63" s="1480">
        <v>39.091259002685547</v>
      </c>
      <c r="Z63" s="1480">
        <v>52.448165893554688</v>
      </c>
      <c r="AA63" s="1480"/>
      <c r="AB63" s="2"/>
      <c r="AC63" s="2"/>
      <c r="AD63" s="2"/>
      <c r="AE63" s="2"/>
      <c r="AF63" s="2"/>
      <c r="AG63" s="2"/>
      <c r="AH63" s="2"/>
      <c r="AI63" s="1"/>
      <c r="AJ63" s="2"/>
      <c r="AK63" s="1"/>
      <c r="AL63" s="1"/>
      <c r="AM63" s="1"/>
      <c r="AN63" s="1"/>
    </row>
    <row r="64" spans="1:40" s="572" customFormat="1">
      <c r="A64" s="2"/>
      <c r="B64" s="2"/>
      <c r="C64" s="1" t="s">
        <v>249</v>
      </c>
      <c r="D64" s="131">
        <v>403.2895150638405</v>
      </c>
      <c r="E64" s="258" t="s">
        <v>253</v>
      </c>
      <c r="F64" s="2"/>
      <c r="G64" s="131"/>
      <c r="H64" s="131">
        <f t="shared" si="6"/>
        <v>38.914984385172524</v>
      </c>
      <c r="I64" s="131">
        <v>41.358486175537109</v>
      </c>
      <c r="J64" s="131">
        <v>33.9456787109375</v>
      </c>
      <c r="K64" s="131"/>
      <c r="L64" s="1480">
        <v>41.440788269042969</v>
      </c>
      <c r="M64" s="1480">
        <v>63.598415374755859</v>
      </c>
      <c r="N64" s="1479"/>
      <c r="O64" s="1480">
        <f t="shared" si="7"/>
        <v>9.4106252193450928</v>
      </c>
      <c r="P64" s="1480">
        <v>6.1650638580322266</v>
      </c>
      <c r="Q64" s="1480">
        <v>6.8351068496704102</v>
      </c>
      <c r="R64" s="1480">
        <v>11.017630577087402</v>
      </c>
      <c r="S64" s="1480">
        <v>13.624699592590332</v>
      </c>
      <c r="T64" s="1479"/>
      <c r="U64" s="1480"/>
      <c r="V64" s="1480">
        <f t="shared" si="8"/>
        <v>20.533286333084106</v>
      </c>
      <c r="W64" s="1480">
        <v>15.449278831481934</v>
      </c>
      <c r="X64" s="1480">
        <v>16.713008880615234</v>
      </c>
      <c r="Y64" s="1480">
        <v>21.297752380371094</v>
      </c>
      <c r="Z64" s="1480">
        <v>28.673105239868164</v>
      </c>
      <c r="AA64" s="1480"/>
      <c r="AB64" s="2"/>
      <c r="AC64" s="2"/>
      <c r="AD64" s="2"/>
      <c r="AE64" s="2"/>
      <c r="AF64" s="2"/>
      <c r="AG64" s="2"/>
      <c r="AH64" s="2"/>
      <c r="AI64" s="1"/>
      <c r="AJ64" s="2"/>
      <c r="AK64" s="1"/>
      <c r="AL64" s="1"/>
      <c r="AM64" s="1"/>
      <c r="AN64" s="1"/>
    </row>
    <row r="65" spans="1:40" s="572" customFormat="1">
      <c r="A65" s="2"/>
      <c r="B65" s="2"/>
      <c r="C65" s="1" t="s">
        <v>251</v>
      </c>
      <c r="D65" s="131">
        <v>389.95073372067424</v>
      </c>
      <c r="E65" s="258" t="s">
        <v>253</v>
      </c>
      <c r="F65" s="2"/>
      <c r="G65" s="131"/>
      <c r="H65" s="131">
        <f t="shared" si="6"/>
        <v>36.860678354899086</v>
      </c>
      <c r="I65" s="131">
        <v>48.148525238037109</v>
      </c>
      <c r="J65" s="131">
        <v>28.788326263427734</v>
      </c>
      <c r="K65" s="131"/>
      <c r="L65" s="1480">
        <v>33.645183563232422</v>
      </c>
      <c r="M65" s="1480">
        <v>38.065128326416016</v>
      </c>
      <c r="N65" s="1479"/>
      <c r="O65" s="1480">
        <f t="shared" si="7"/>
        <v>43.618356704711914</v>
      </c>
      <c r="P65" s="1480">
        <v>40.02880859375</v>
      </c>
      <c r="Q65" s="1480">
        <v>36.843479156494141</v>
      </c>
      <c r="R65" s="1480">
        <v>48.646419525146484</v>
      </c>
      <c r="S65" s="1480">
        <v>48.954719543457031</v>
      </c>
      <c r="T65" s="1479"/>
      <c r="U65" s="1480"/>
      <c r="V65" s="1480">
        <f t="shared" si="8"/>
        <v>36.133854389190674</v>
      </c>
      <c r="W65" s="1480">
        <v>34.815967559814453</v>
      </c>
      <c r="X65" s="1480">
        <v>29.173494338989258</v>
      </c>
      <c r="Y65" s="1480">
        <v>40.343074798583984</v>
      </c>
      <c r="Z65" s="1480">
        <v>40.202880859375</v>
      </c>
      <c r="AA65" s="1480"/>
      <c r="AB65" s="2"/>
      <c r="AC65" s="2"/>
      <c r="AD65" s="2"/>
      <c r="AE65" s="2"/>
      <c r="AF65" s="2"/>
      <c r="AG65" s="2"/>
      <c r="AH65" s="2"/>
      <c r="AI65" s="1"/>
      <c r="AJ65" s="2"/>
      <c r="AK65" s="1"/>
      <c r="AL65" s="1"/>
      <c r="AM65" s="1"/>
      <c r="AN65" s="1"/>
    </row>
    <row r="66" spans="1:40" s="572" customFormat="1">
      <c r="A66" s="2"/>
      <c r="B66" s="2"/>
      <c r="C66" s="1" t="s">
        <v>255</v>
      </c>
      <c r="D66" s="131">
        <v>98.752234230451833</v>
      </c>
      <c r="E66" s="258" t="s">
        <v>257</v>
      </c>
      <c r="F66" s="2"/>
      <c r="G66" s="131"/>
      <c r="H66" s="131">
        <f t="shared" si="6"/>
        <v>25.5655517578125</v>
      </c>
      <c r="I66" s="131">
        <v>33.127243041992188</v>
      </c>
      <c r="J66" s="131">
        <v>22.684282302856445</v>
      </c>
      <c r="K66" s="131"/>
      <c r="L66" s="131">
        <v>20.885129928588867</v>
      </c>
      <c r="M66" s="131">
        <v>28.229940414428711</v>
      </c>
      <c r="N66" s="131"/>
      <c r="O66" s="131">
        <f t="shared" si="7"/>
        <v>49.367048263549805</v>
      </c>
      <c r="P66" s="131">
        <v>44.946243286132813</v>
      </c>
      <c r="Q66" s="131">
        <v>44.943981170654297</v>
      </c>
      <c r="R66" s="131">
        <v>53.707233428955078</v>
      </c>
      <c r="S66" s="131">
        <v>53.870735168457031</v>
      </c>
      <c r="T66" s="131"/>
      <c r="U66" s="131"/>
      <c r="V66" s="131">
        <f t="shared" si="8"/>
        <v>31.143281936645508</v>
      </c>
      <c r="W66" s="131">
        <v>28.830224990844727</v>
      </c>
      <c r="X66" s="131">
        <v>26.435022354125977</v>
      </c>
      <c r="Y66" s="131">
        <v>33.666683197021484</v>
      </c>
      <c r="Z66" s="131">
        <v>35.641197204589844</v>
      </c>
      <c r="AA66" s="131"/>
      <c r="AB66" s="2"/>
      <c r="AC66" s="2"/>
      <c r="AD66" s="2"/>
      <c r="AE66" s="2"/>
      <c r="AF66" s="2"/>
      <c r="AG66" s="2"/>
      <c r="AH66" s="2"/>
      <c r="AI66" s="1"/>
      <c r="AJ66" s="2"/>
      <c r="AK66" s="1"/>
      <c r="AL66" s="1"/>
      <c r="AM66" s="1"/>
      <c r="AN66" s="1"/>
    </row>
    <row r="67" spans="1:40" customFormat="1">
      <c r="A67" s="1"/>
      <c r="B67" s="1"/>
      <c r="C67" s="1" t="s">
        <v>259</v>
      </c>
      <c r="D67" s="131">
        <v>219.11467210804264</v>
      </c>
      <c r="E67" s="258" t="s">
        <v>261</v>
      </c>
      <c r="F67" s="1"/>
      <c r="G67" s="131"/>
      <c r="H67" s="131">
        <f t="shared" si="6"/>
        <v>30.712131500244141</v>
      </c>
      <c r="I67" s="131">
        <v>33.25726318359375</v>
      </c>
      <c r="J67" s="131">
        <v>27.337764739990234</v>
      </c>
      <c r="K67" s="131"/>
      <c r="L67" s="131">
        <v>31.541366577148438</v>
      </c>
      <c r="M67" s="131">
        <v>36.811573028564453</v>
      </c>
      <c r="N67" s="131"/>
      <c r="O67" s="131">
        <f t="shared" si="7"/>
        <v>55.711576461791992</v>
      </c>
      <c r="P67" s="131">
        <v>52.109146118164063</v>
      </c>
      <c r="Q67" s="131">
        <v>50.388099670410156</v>
      </c>
      <c r="R67" s="131">
        <v>59.513282775878906</v>
      </c>
      <c r="S67" s="131">
        <v>60.835777282714844</v>
      </c>
      <c r="T67" s="131"/>
      <c r="U67" s="131"/>
      <c r="V67" s="131">
        <f t="shared" si="8"/>
        <v>29.247646808624268</v>
      </c>
      <c r="W67" s="131">
        <v>28.424591064453125</v>
      </c>
      <c r="X67" s="131">
        <v>30.065340042114258</v>
      </c>
      <c r="Y67" s="131">
        <v>29.965496063232422</v>
      </c>
      <c r="Z67" s="131">
        <v>28.535160064697266</v>
      </c>
      <c r="AA67" s="131"/>
      <c r="AB67" s="1"/>
      <c r="AC67" s="1"/>
      <c r="AD67" s="1"/>
      <c r="AE67" s="1"/>
      <c r="AF67" s="1"/>
      <c r="AG67" s="1"/>
      <c r="AH67" s="1"/>
      <c r="AI67" s="1"/>
      <c r="AJ67" s="2"/>
      <c r="AK67" s="1"/>
      <c r="AL67" s="1"/>
      <c r="AM67" s="1"/>
      <c r="AN67" s="1"/>
    </row>
    <row r="68" spans="1:40" customFormat="1">
      <c r="A68" s="1"/>
      <c r="B68" s="1"/>
      <c r="C68" s="1" t="s">
        <v>263</v>
      </c>
      <c r="D68" s="131">
        <v>183.05949356505874</v>
      </c>
      <c r="E68" s="258" t="s">
        <v>261</v>
      </c>
      <c r="F68" s="1"/>
      <c r="G68" s="131"/>
      <c r="H68" s="131">
        <f t="shared" si="6"/>
        <v>50.83293024698893</v>
      </c>
      <c r="I68" s="131">
        <v>65.104118347167969</v>
      </c>
      <c r="J68" s="131">
        <v>45.624778747558594</v>
      </c>
      <c r="K68" s="131"/>
      <c r="L68" s="131">
        <v>41.769893646240234</v>
      </c>
      <c r="M68" s="131">
        <v>49.407169342041016</v>
      </c>
      <c r="N68" s="131"/>
      <c r="O68" s="131">
        <f t="shared" si="7"/>
        <v>55.847588539123535</v>
      </c>
      <c r="P68" s="131">
        <v>62.384223937988281</v>
      </c>
      <c r="Q68" s="131">
        <v>49.041877746582031</v>
      </c>
      <c r="R68" s="131">
        <v>54.744815826416016</v>
      </c>
      <c r="S68" s="131">
        <v>57.219436645507813</v>
      </c>
      <c r="T68" s="131"/>
      <c r="U68" s="131"/>
      <c r="V68" s="131">
        <f t="shared" si="8"/>
        <v>35.487467765808105</v>
      </c>
      <c r="W68" s="131">
        <v>34.016757965087891</v>
      </c>
      <c r="X68" s="131">
        <v>26.588291168212891</v>
      </c>
      <c r="Y68" s="131">
        <v>38.0904541015625</v>
      </c>
      <c r="Z68" s="131">
        <v>43.254367828369141</v>
      </c>
      <c r="AA68" s="131"/>
      <c r="AB68" s="1"/>
      <c r="AC68" s="1"/>
      <c r="AD68" s="1"/>
      <c r="AE68" s="1"/>
      <c r="AF68" s="1"/>
      <c r="AG68" s="1"/>
      <c r="AH68" s="1"/>
      <c r="AI68" s="1"/>
      <c r="AJ68" s="2"/>
      <c r="AK68" s="1"/>
      <c r="AL68" s="1"/>
      <c r="AM68" s="1"/>
      <c r="AN68" s="1"/>
    </row>
    <row r="69" spans="1:40" customFormat="1">
      <c r="A69" s="1"/>
      <c r="B69" s="1"/>
      <c r="C69" s="970" t="s">
        <v>303</v>
      </c>
      <c r="D69" s="970"/>
      <c r="E69" s="381"/>
      <c r="F69" s="970"/>
      <c r="G69" s="970"/>
      <c r="H69" s="970"/>
      <c r="I69" s="970"/>
      <c r="J69" s="970"/>
      <c r="K69" s="970"/>
      <c r="L69" s="970"/>
      <c r="M69" s="970"/>
      <c r="N69" s="970"/>
      <c r="O69" s="31"/>
      <c r="P69" s="31"/>
      <c r="Q69" s="31"/>
      <c r="R69" s="31"/>
      <c r="S69" s="31"/>
      <c r="T69" s="970"/>
      <c r="U69" s="970"/>
      <c r="V69" s="970"/>
      <c r="W69" s="31"/>
      <c r="X69" s="31"/>
      <c r="Y69" s="31"/>
      <c r="Z69" s="31"/>
      <c r="AA69" s="970"/>
      <c r="AB69" s="1"/>
      <c r="AC69" s="1"/>
      <c r="AD69" s="1"/>
      <c r="AE69" s="1"/>
      <c r="AF69" s="1"/>
      <c r="AG69" s="1"/>
      <c r="AH69" s="1"/>
      <c r="AI69" s="1"/>
      <c r="AJ69" s="2"/>
      <c r="AK69" s="1"/>
      <c r="AL69" s="1"/>
      <c r="AM69" s="1"/>
      <c r="AN69" s="1"/>
    </row>
    <row r="70" spans="1:40" customFormat="1">
      <c r="A70" s="1"/>
      <c r="B70" s="1"/>
      <c r="C70" s="1" t="s">
        <v>304</v>
      </c>
      <c r="D70" s="131">
        <v>100.73586826923415</v>
      </c>
      <c r="E70" s="258"/>
      <c r="F70" s="1"/>
      <c r="G70" s="131"/>
      <c r="H70" s="131">
        <f>AVERAGE(I70:L70)</f>
        <v>445.74359130859375</v>
      </c>
      <c r="I70" s="131">
        <v>488.68136596679688</v>
      </c>
      <c r="J70" s="131">
        <v>451.2310791015625</v>
      </c>
      <c r="K70" s="131"/>
      <c r="L70" s="131">
        <v>397.31832885742188</v>
      </c>
      <c r="M70" s="131">
        <v>399.34017944335938</v>
      </c>
      <c r="N70" s="131"/>
      <c r="O70" s="131">
        <f>AVERAGE(P70:S70)</f>
        <v>101.91598892211914</v>
      </c>
      <c r="P70" s="131">
        <v>101.91347503662109</v>
      </c>
      <c r="Q70" s="131">
        <v>99.707626342773438</v>
      </c>
      <c r="R70" s="131">
        <v>101.87821960449219</v>
      </c>
      <c r="S70" s="131">
        <v>104.16463470458984</v>
      </c>
      <c r="T70" s="131"/>
      <c r="U70" s="131"/>
      <c r="V70" s="131">
        <f>AVERAGE(W70:Z70)</f>
        <v>80.195953369140625</v>
      </c>
      <c r="W70" s="131"/>
      <c r="X70" s="131">
        <v>81.967575073242188</v>
      </c>
      <c r="Y70" s="131">
        <v>78.867347717285156</v>
      </c>
      <c r="Z70" s="131">
        <v>79.752937316894531</v>
      </c>
      <c r="AA70" s="131"/>
      <c r="AB70" s="1"/>
      <c r="AC70" s="1"/>
      <c r="AD70" s="1"/>
      <c r="AE70" s="1"/>
      <c r="AF70" s="1"/>
      <c r="AG70" s="1"/>
      <c r="AH70" s="1"/>
      <c r="AI70" s="1"/>
      <c r="AJ70" s="2"/>
      <c r="AK70" s="1"/>
      <c r="AL70" s="1"/>
      <c r="AM70" s="1"/>
      <c r="AN70" s="1"/>
    </row>
    <row r="71" spans="1:40" customFormat="1">
      <c r="A71" s="1"/>
      <c r="B71" s="1"/>
      <c r="C71" s="970" t="s">
        <v>305</v>
      </c>
      <c r="D71" s="970"/>
      <c r="E71" s="381"/>
      <c r="F71" s="970"/>
      <c r="G71" s="970"/>
      <c r="H71" s="970"/>
      <c r="I71" s="970"/>
      <c r="J71" s="970"/>
      <c r="K71" s="970"/>
      <c r="L71" s="970"/>
      <c r="M71" s="970"/>
      <c r="N71" s="970"/>
      <c r="O71" s="31"/>
      <c r="P71" s="31"/>
      <c r="Q71" s="31"/>
      <c r="R71" s="31"/>
      <c r="S71" s="31"/>
      <c r="T71" s="970"/>
      <c r="U71" s="970"/>
      <c r="V71" s="970"/>
      <c r="W71" s="31"/>
      <c r="X71" s="31"/>
      <c r="Y71" s="31"/>
      <c r="Z71" s="31"/>
      <c r="AA71" s="970"/>
      <c r="AB71" s="1"/>
      <c r="AC71" s="1"/>
      <c r="AD71" s="1"/>
      <c r="AE71" s="1"/>
      <c r="AF71" s="1"/>
      <c r="AG71" s="1"/>
      <c r="AH71" s="1"/>
      <c r="AI71" s="1"/>
      <c r="AJ71" s="2"/>
      <c r="AK71" s="1"/>
      <c r="AL71" s="1"/>
      <c r="AM71" s="1"/>
      <c r="AN71" s="1"/>
    </row>
    <row r="72" spans="1:40" ht="15" customHeight="1">
      <c r="C72" s="1" t="s">
        <v>306</v>
      </c>
      <c r="D72" s="3">
        <v>4034.9859257141939</v>
      </c>
      <c r="E72" s="258"/>
      <c r="G72" s="3"/>
      <c r="H72" s="3">
        <f>AVERAGE(I72:L72)</f>
        <v>46.147696177164711</v>
      </c>
      <c r="I72" s="3">
        <v>46.295246124267578</v>
      </c>
      <c r="J72" s="3">
        <v>44.639678955078125</v>
      </c>
      <c r="K72" s="3"/>
      <c r="L72" s="3">
        <v>47.508163452148438</v>
      </c>
      <c r="M72" s="3">
        <v>44.110118865966797</v>
      </c>
      <c r="N72" s="3"/>
      <c r="O72" s="3">
        <f>AVERAGE(P72:S72)</f>
        <v>68.848491668701172</v>
      </c>
      <c r="P72" s="3">
        <v>65.776222229003906</v>
      </c>
      <c r="Q72" s="3">
        <v>66.796546936035156</v>
      </c>
      <c r="R72" s="3">
        <v>72.522323608398438</v>
      </c>
      <c r="S72" s="3">
        <v>70.298873901367188</v>
      </c>
      <c r="T72" s="3"/>
      <c r="U72" s="3"/>
      <c r="V72" s="3">
        <f>AVERAGE(W72:Z72)</f>
        <v>86.59423828125</v>
      </c>
      <c r="W72" s="3">
        <v>83.316238403320313</v>
      </c>
      <c r="X72" s="3">
        <v>83.652168273925781</v>
      </c>
      <c r="Y72" s="3">
        <v>91.310295104980469</v>
      </c>
      <c r="Z72" s="3">
        <v>88.098251342773438</v>
      </c>
      <c r="AA72" s="3"/>
    </row>
    <row r="73" spans="1:40" ht="15" customHeight="1">
      <c r="C73" s="970" t="s">
        <v>307</v>
      </c>
      <c r="D73" s="970"/>
      <c r="E73" s="381"/>
      <c r="F73" s="970"/>
      <c r="G73" s="970"/>
      <c r="H73" s="970"/>
      <c r="I73" s="970"/>
      <c r="J73" s="970"/>
      <c r="K73" s="970"/>
      <c r="L73" s="970"/>
      <c r="M73" s="970"/>
      <c r="N73" s="970"/>
      <c r="O73" s="31"/>
      <c r="P73" s="31"/>
      <c r="Q73" s="31"/>
      <c r="R73" s="31"/>
      <c r="S73" s="31"/>
      <c r="T73" s="970"/>
      <c r="U73" s="970"/>
      <c r="V73" s="970"/>
      <c r="W73" s="31"/>
      <c r="X73" s="31"/>
      <c r="Y73" s="31"/>
      <c r="Z73" s="31"/>
      <c r="AA73" s="970"/>
    </row>
    <row r="74" spans="1:40" ht="15" customHeight="1">
      <c r="C74" s="1" t="s">
        <v>308</v>
      </c>
      <c r="D74" s="3">
        <v>2256.5042044087118</v>
      </c>
      <c r="G74" s="3"/>
      <c r="H74" s="3">
        <f>AVERAGE(I74:L74)</f>
        <v>96.126378377278641</v>
      </c>
      <c r="I74" s="3">
        <v>97.642745971679688</v>
      </c>
      <c r="J74" s="3">
        <v>93.02362060546875</v>
      </c>
      <c r="K74" s="3"/>
      <c r="L74" s="3">
        <v>97.7127685546875</v>
      </c>
      <c r="M74" s="3">
        <v>95.329246520996094</v>
      </c>
      <c r="N74" s="3"/>
      <c r="O74" s="3">
        <f>AVERAGE(P74:S74)</f>
        <v>1.6383187919855118</v>
      </c>
      <c r="P74" s="3">
        <v>2.1082971096038818</v>
      </c>
      <c r="Q74" s="3">
        <v>2.4082610607147221</v>
      </c>
      <c r="R74" s="3">
        <v>0.90814298391342207</v>
      </c>
      <c r="S74" s="3">
        <v>1.128574013710022</v>
      </c>
      <c r="T74" s="3"/>
      <c r="U74" s="3"/>
      <c r="V74" s="3">
        <f>AVERAGE(W74:Z74)</f>
        <v>41.043668746948242</v>
      </c>
      <c r="W74" s="3">
        <v>38.547103881835938</v>
      </c>
      <c r="X74" s="3">
        <v>36.3154296875</v>
      </c>
      <c r="Y74" s="3">
        <v>48.594280242919922</v>
      </c>
      <c r="Z74" s="3">
        <v>40.717861175537109</v>
      </c>
    </row>
    <row r="75" spans="1:40" customFormat="1">
      <c r="A75" s="1"/>
      <c r="B75" s="1"/>
      <c r="C75" s="1" t="s">
        <v>309</v>
      </c>
      <c r="D75" s="131">
        <v>478.63701081620195</v>
      </c>
      <c r="E75" s="1"/>
      <c r="F75" s="1"/>
      <c r="G75" s="131"/>
      <c r="H75" s="131">
        <f>AVERAGE(I75:L75)</f>
        <v>73.703741709391281</v>
      </c>
      <c r="I75" s="131">
        <v>81.809684753417969</v>
      </c>
      <c r="J75" s="131">
        <v>63.751125335693359</v>
      </c>
      <c r="K75" s="131"/>
      <c r="L75" s="131">
        <v>75.5504150390625</v>
      </c>
      <c r="M75" s="131">
        <v>74.012847900390625</v>
      </c>
      <c r="N75" s="1405"/>
      <c r="O75" s="3">
        <f>AVERAGE(P75:S75)</f>
        <v>15.462645292282104</v>
      </c>
      <c r="P75" s="131">
        <v>10.620329856872559</v>
      </c>
      <c r="Q75" s="131">
        <v>21.35789680480957</v>
      </c>
      <c r="R75" s="131">
        <v>19.747028350830078</v>
      </c>
      <c r="S75" s="131">
        <v>10.125326156616211</v>
      </c>
      <c r="T75" s="1405"/>
      <c r="U75" s="1405"/>
      <c r="V75" s="131">
        <f>AVERAGE(W75:Z75)</f>
        <v>31.448501110076904</v>
      </c>
      <c r="W75" s="131">
        <v>31.614419937133789</v>
      </c>
      <c r="X75" s="3">
        <v>29.166574478149414</v>
      </c>
      <c r="Y75" s="3">
        <v>41.390102386474609</v>
      </c>
      <c r="Z75" s="3">
        <v>23.622907638549805</v>
      </c>
      <c r="AA75" s="1"/>
      <c r="AB75" s="1"/>
      <c r="AC75" s="1"/>
      <c r="AD75" s="1"/>
      <c r="AE75" s="1"/>
      <c r="AF75" s="1"/>
      <c r="AG75" s="1"/>
      <c r="AH75" s="1"/>
      <c r="AI75" s="1"/>
      <c r="AJ75" s="2"/>
      <c r="AK75" s="1"/>
      <c r="AL75" s="1"/>
      <c r="AM75" s="1"/>
      <c r="AN75" s="1"/>
    </row>
    <row r="76" spans="1:40" customFormat="1">
      <c r="A76" s="1"/>
      <c r="B76" s="1"/>
      <c r="C76" s="1"/>
      <c r="D76" s="1"/>
      <c r="E76" s="1"/>
      <c r="F76" s="1"/>
      <c r="G76" s="1405"/>
      <c r="H76" s="131"/>
      <c r="I76" s="131"/>
      <c r="J76" s="131"/>
      <c r="K76" s="131"/>
      <c r="L76" s="131"/>
      <c r="M76" s="1405"/>
      <c r="N76" s="1405"/>
      <c r="O76" s="1405"/>
      <c r="P76" s="1405"/>
      <c r="Q76" s="1405"/>
      <c r="R76" s="1405"/>
      <c r="S76" s="1405"/>
      <c r="T76" s="1405"/>
      <c r="U76" s="1405"/>
      <c r="V76" s="1405"/>
      <c r="W76" s="1405"/>
      <c r="X76" s="1"/>
      <c r="Y76" s="1"/>
      <c r="Z76" s="1"/>
      <c r="AA76" s="1"/>
      <c r="AB76" s="1"/>
      <c r="AC76" s="1"/>
      <c r="AD76" s="1"/>
      <c r="AE76" s="1"/>
      <c r="AF76" s="1"/>
      <c r="AG76" s="1"/>
      <c r="AH76" s="1"/>
      <c r="AI76" s="1"/>
      <c r="AJ76" s="2"/>
      <c r="AK76" s="1"/>
      <c r="AL76" s="1"/>
      <c r="AM76" s="1"/>
      <c r="AN76" s="1"/>
    </row>
    <row r="77" spans="1:40" customFormat="1">
      <c r="A77" s="1"/>
      <c r="B77" s="1"/>
      <c r="C77" s="1499" t="s">
        <v>310</v>
      </c>
      <c r="D77" s="1499"/>
      <c r="E77" s="1499"/>
      <c r="F77" s="1499"/>
      <c r="G77" s="1499"/>
      <c r="H77" s="1497">
        <f>AVERAGE(H62:H68)</f>
        <v>36.594389325096493</v>
      </c>
      <c r="I77" s="1497">
        <f>AVERAGE(I62:I68)</f>
        <v>45.5145138331822</v>
      </c>
      <c r="J77" s="1497">
        <f>AVERAGE(J62:J68)</f>
        <v>31.106642859322683</v>
      </c>
      <c r="K77" s="1497"/>
      <c r="L77" s="1497">
        <f>AVERAGE(L62:L68)</f>
        <v>33.162011282784597</v>
      </c>
      <c r="M77" s="1497">
        <f>AVERAGE(M62:M68)</f>
        <v>45.863613946097239</v>
      </c>
      <c r="N77" s="1499"/>
      <c r="O77" s="1497">
        <f>AVERAGE(O62:O68)</f>
        <v>39.695876632417949</v>
      </c>
      <c r="P77" s="1497">
        <f>AVERAGE(P62:P68)</f>
        <v>38.897457395281108</v>
      </c>
      <c r="Q77" s="1497">
        <f>AVERAGE(Q62:Q68)</f>
        <v>35.550923347473145</v>
      </c>
      <c r="R77" s="1497">
        <f>AVERAGE(R62:R68)</f>
        <v>40.784195355006624</v>
      </c>
      <c r="S77" s="1497">
        <f>AVERAGE(S62:S68)</f>
        <v>43.550930431910921</v>
      </c>
      <c r="T77" s="1499"/>
      <c r="U77" s="1499"/>
      <c r="V77" s="1497">
        <f>AVERAGE(V62:V68)</f>
        <v>32.291426420211792</v>
      </c>
      <c r="W77" s="1497">
        <f>AVERAGE(W62:W68)</f>
        <v>31.244501522609166</v>
      </c>
      <c r="X77" s="1497">
        <f>AVERAGE(X62:X68)</f>
        <v>28.430298668997629</v>
      </c>
      <c r="Y77" s="1497">
        <f>AVERAGE(Y62:Y68)</f>
        <v>32.78636360168457</v>
      </c>
      <c r="Z77" s="1497">
        <f>AVERAGE(Z62:Z68)</f>
        <v>36.704541887555806</v>
      </c>
      <c r="AA77" s="1"/>
      <c r="AB77" s="1"/>
      <c r="AC77" s="1"/>
      <c r="AD77" s="1"/>
      <c r="AE77" s="1"/>
      <c r="AF77" s="1"/>
      <c r="AG77" s="1"/>
      <c r="AH77" s="1"/>
      <c r="AI77" s="1"/>
      <c r="AJ77" s="2"/>
      <c r="AK77" s="1"/>
      <c r="AL77" s="1"/>
      <c r="AM77" s="1"/>
      <c r="AN77" s="1"/>
    </row>
    <row r="78" spans="1:40" customFormat="1">
      <c r="A78" s="1"/>
      <c r="B78" s="1"/>
      <c r="C78" s="1" t="s">
        <v>311</v>
      </c>
      <c r="D78" s="1"/>
      <c r="E78" s="1"/>
      <c r="F78" s="1"/>
      <c r="G78" s="1405"/>
      <c r="H78" s="1489">
        <f>H62/H77-1</f>
        <v>0.14360319638142482</v>
      </c>
      <c r="I78" s="1489">
        <f t="shared" ref="I78:Z78" si="9">I62/I77-1</f>
        <v>0.2093982558348022</v>
      </c>
      <c r="J78" s="1489">
        <f t="shared" si="9"/>
        <v>0.12277209667812317</v>
      </c>
      <c r="K78" s="1489"/>
      <c r="L78" s="1489">
        <f t="shared" si="9"/>
        <v>7.284016138944116E-2</v>
      </c>
      <c r="M78" s="1489">
        <f t="shared" si="9"/>
        <v>0.38712398251292446</v>
      </c>
      <c r="N78" s="1489"/>
      <c r="O78" s="1489">
        <f t="shared" si="9"/>
        <v>-0.38647124407284772</v>
      </c>
      <c r="P78" s="1489">
        <f t="shared" si="9"/>
        <v>-0.32189343436268403</v>
      </c>
      <c r="Q78" s="1489">
        <f t="shared" si="9"/>
        <v>-0.32180462685007671</v>
      </c>
      <c r="R78" s="1489">
        <f t="shared" si="9"/>
        <v>-0.41618799814197949</v>
      </c>
      <c r="S78" s="1489">
        <f t="shared" si="9"/>
        <v>-0.46910774838963321</v>
      </c>
      <c r="T78" s="1489"/>
      <c r="U78" s="1489"/>
      <c r="V78" s="1489">
        <f t="shared" si="9"/>
        <v>-4.7005199547351051E-2</v>
      </c>
      <c r="W78" s="1489">
        <f t="shared" si="9"/>
        <v>0.14245480056019733</v>
      </c>
      <c r="X78" s="1489">
        <f t="shared" si="9"/>
        <v>0.13161221902112752</v>
      </c>
      <c r="Y78" s="1489">
        <f t="shared" si="9"/>
        <v>-0.17496719072117117</v>
      </c>
      <c r="Z78" s="1489">
        <f t="shared" si="9"/>
        <v>-0.23233162237097593</v>
      </c>
      <c r="AA78" s="1"/>
      <c r="AB78" s="1"/>
      <c r="AC78" s="1"/>
      <c r="AD78" s="1"/>
      <c r="AE78" s="1"/>
      <c r="AF78" s="1"/>
      <c r="AG78" s="1"/>
      <c r="AH78" s="1"/>
      <c r="AI78" s="1"/>
      <c r="AJ78" s="2"/>
      <c r="AK78" s="1"/>
      <c r="AL78" s="1"/>
      <c r="AM78" s="1"/>
      <c r="AN78" s="1"/>
    </row>
    <row r="79" spans="1:40" customFormat="1">
      <c r="A79" s="1"/>
      <c r="B79" s="1"/>
      <c r="C79" s="1"/>
      <c r="D79" s="1"/>
      <c r="E79" s="1"/>
      <c r="F79" s="1"/>
      <c r="G79" s="1405"/>
      <c r="H79" s="131"/>
      <c r="I79" s="131"/>
      <c r="J79" s="131"/>
      <c r="K79" s="131"/>
      <c r="L79" s="131"/>
      <c r="M79" s="131"/>
      <c r="N79" s="1405"/>
      <c r="O79" s="131"/>
      <c r="P79" s="131"/>
      <c r="Q79" s="131"/>
      <c r="R79" s="131"/>
      <c r="S79" s="131"/>
      <c r="T79" s="1405"/>
      <c r="U79" s="1405"/>
      <c r="V79" s="131"/>
      <c r="W79" s="131"/>
      <c r="X79" s="131"/>
      <c r="Y79" s="131"/>
      <c r="Z79" s="131"/>
      <c r="AA79" s="1"/>
      <c r="AB79" s="1"/>
      <c r="AC79" s="1"/>
      <c r="AD79" s="1"/>
      <c r="AE79" s="1"/>
      <c r="AF79" s="1"/>
      <c r="AG79" s="1"/>
      <c r="AH79" s="1"/>
      <c r="AI79" s="1"/>
      <c r="AJ79" s="2"/>
      <c r="AK79" s="1"/>
      <c r="AL79" s="1"/>
      <c r="AM79" s="1"/>
      <c r="AN79" s="1"/>
    </row>
    <row r="80" spans="1:40">
      <c r="G80" s="1405"/>
      <c r="H80" s="131"/>
      <c r="I80" s="131"/>
      <c r="J80" s="131"/>
      <c r="K80" s="131"/>
      <c r="L80" s="131"/>
      <c r="M80" s="1405"/>
      <c r="N80" s="1405"/>
      <c r="O80" s="1405"/>
      <c r="P80" s="1405"/>
      <c r="Q80" s="1405"/>
      <c r="R80" s="1405"/>
      <c r="S80" s="1405"/>
      <c r="T80" s="1405"/>
      <c r="U80" s="1405"/>
      <c r="V80" s="1405"/>
      <c r="W80" s="1405"/>
    </row>
    <row r="81" spans="2:40" ht="15.75" thickBot="1">
      <c r="C81" s="729" t="s">
        <v>312</v>
      </c>
      <c r="G81" s="1405"/>
      <c r="H81" s="1405"/>
      <c r="I81" s="1405"/>
      <c r="J81" s="1405"/>
      <c r="K81" s="1405"/>
      <c r="L81" s="1405"/>
      <c r="M81" s="1405"/>
      <c r="N81" s="1405"/>
      <c r="O81" s="1405"/>
      <c r="P81" s="1405"/>
      <c r="Q81" s="1405"/>
      <c r="R81" s="1405"/>
      <c r="S81" s="1405"/>
      <c r="T81" s="1405"/>
      <c r="U81" s="1405"/>
      <c r="V81" s="1405"/>
      <c r="W81" s="1405"/>
    </row>
    <row r="83" spans="2:40" ht="15" customHeight="1">
      <c r="C83" s="1481" t="s">
        <v>313</v>
      </c>
      <c r="D83" s="1481" t="s">
        <v>221</v>
      </c>
      <c r="E83" s="1554" t="s">
        <v>314</v>
      </c>
      <c r="F83" s="1554"/>
      <c r="G83" s="1554"/>
      <c r="H83" s="1500"/>
      <c r="I83" s="1500"/>
      <c r="J83" s="1500" t="s">
        <v>315</v>
      </c>
      <c r="K83" s="1500"/>
      <c r="L83" s="1500"/>
      <c r="M83" s="1500"/>
      <c r="N83" s="1500"/>
      <c r="O83" s="1500"/>
      <c r="P83" s="1500"/>
      <c r="Q83" s="1500"/>
      <c r="R83" s="1500"/>
      <c r="S83" s="1500"/>
      <c r="T83" s="1500"/>
    </row>
    <row r="84" spans="2:40" ht="15" customHeight="1">
      <c r="C84" s="1481"/>
      <c r="D84" s="1481"/>
      <c r="E84" s="1500"/>
      <c r="F84" s="1500"/>
      <c r="G84" s="1500"/>
      <c r="H84" s="1500"/>
      <c r="I84" s="1500"/>
      <c r="J84" s="1500"/>
      <c r="K84" s="1500"/>
      <c r="L84" s="1500"/>
      <c r="M84" s="1500"/>
      <c r="N84" s="1500"/>
      <c r="O84" s="1500"/>
      <c r="P84" s="1500"/>
      <c r="Q84" s="1500"/>
      <c r="R84" s="1500"/>
      <c r="S84" s="1500"/>
      <c r="T84" s="1500"/>
    </row>
    <row r="85" spans="2:40" s="43" customFormat="1" ht="79.5" customHeight="1">
      <c r="B85" s="1"/>
      <c r="C85" s="1501" t="s">
        <v>316</v>
      </c>
      <c r="D85" s="1501" t="s">
        <v>261</v>
      </c>
      <c r="E85" s="1555" t="s">
        <v>317</v>
      </c>
      <c r="F85" s="1556"/>
      <c r="G85" s="1556"/>
      <c r="H85" s="402"/>
      <c r="I85" s="402"/>
      <c r="J85" s="1557" t="s">
        <v>318</v>
      </c>
      <c r="K85" s="1557"/>
      <c r="L85" s="1557"/>
      <c r="M85" s="1557"/>
      <c r="N85" s="1557"/>
      <c r="O85" s="1557"/>
      <c r="P85" s="1557"/>
      <c r="Q85" s="1557"/>
      <c r="R85" s="1557"/>
      <c r="S85" s="1557"/>
      <c r="T85" s="1557"/>
      <c r="AI85" s="1"/>
      <c r="AJ85" s="2"/>
      <c r="AK85" s="1"/>
      <c r="AL85" s="1"/>
      <c r="AM85" s="1"/>
      <c r="AN85" s="1"/>
    </row>
    <row r="86" spans="2:40" s="43" customFormat="1" ht="121.5" customHeight="1">
      <c r="B86" s="1"/>
      <c r="C86" s="1501" t="s">
        <v>319</v>
      </c>
      <c r="D86" s="1501" t="s">
        <v>257</v>
      </c>
      <c r="E86" s="1555" t="s">
        <v>320</v>
      </c>
      <c r="F86" s="1556"/>
      <c r="G86" s="1556"/>
      <c r="H86" s="402"/>
      <c r="I86" s="402"/>
      <c r="J86" s="1557" t="s">
        <v>321</v>
      </c>
      <c r="K86" s="1557"/>
      <c r="L86" s="1557"/>
      <c r="M86" s="1557"/>
      <c r="N86" s="1557"/>
      <c r="O86" s="1557"/>
      <c r="P86" s="1557"/>
      <c r="Q86" s="1557"/>
      <c r="R86" s="1557"/>
      <c r="S86" s="1557"/>
      <c r="T86" s="1557"/>
      <c r="V86" s="43" t="s">
        <v>322</v>
      </c>
      <c r="AI86" s="1"/>
      <c r="AJ86" s="2"/>
      <c r="AK86" s="1"/>
      <c r="AL86" s="1"/>
      <c r="AM86" s="1"/>
      <c r="AN86" s="1"/>
    </row>
    <row r="87" spans="2:40" s="43" customFormat="1" ht="121.5" customHeight="1">
      <c r="B87" s="1"/>
      <c r="C87" s="1501" t="s">
        <v>323</v>
      </c>
      <c r="D87" s="1501" t="s">
        <v>253</v>
      </c>
      <c r="E87" s="1556"/>
      <c r="F87" s="1556"/>
      <c r="G87" s="1556"/>
      <c r="H87" s="402"/>
      <c r="I87" s="402"/>
      <c r="J87" s="1557" t="s">
        <v>324</v>
      </c>
      <c r="K87" s="1557"/>
      <c r="L87" s="1557"/>
      <c r="M87" s="1557"/>
      <c r="N87" s="1557"/>
      <c r="O87" s="1557"/>
      <c r="P87" s="1557"/>
      <c r="Q87" s="1557"/>
      <c r="R87" s="1557"/>
      <c r="S87" s="1557"/>
      <c r="T87" s="1557"/>
      <c r="X87" s="43">
        <f>3.66/67.01</f>
        <v>5.4618713624832116E-2</v>
      </c>
      <c r="Y87" s="43">
        <f>88/2855</f>
        <v>3.0823117338003504E-2</v>
      </c>
      <c r="AI87" s="1"/>
      <c r="AJ87" s="2"/>
      <c r="AK87" s="1"/>
      <c r="AL87" s="1"/>
      <c r="AM87" s="1"/>
      <c r="AN87" s="1"/>
    </row>
    <row r="88" spans="2:40" s="43" customFormat="1" ht="79.5" customHeight="1">
      <c r="B88" s="1"/>
      <c r="C88" s="43" t="s">
        <v>259</v>
      </c>
      <c r="D88" s="43" t="s">
        <v>261</v>
      </c>
      <c r="E88" s="525" t="s">
        <v>325</v>
      </c>
      <c r="AI88" s="1"/>
      <c r="AJ88" s="2"/>
      <c r="AK88" s="1"/>
      <c r="AL88" s="1"/>
      <c r="AM88" s="1"/>
      <c r="AN88" s="1"/>
    </row>
  </sheetData>
  <mergeCells count="17">
    <mergeCell ref="E83:G83"/>
    <mergeCell ref="E85:G85"/>
    <mergeCell ref="J85:T85"/>
    <mergeCell ref="J86:T86"/>
    <mergeCell ref="J87:T87"/>
    <mergeCell ref="E86:G86"/>
    <mergeCell ref="E87:G87"/>
    <mergeCell ref="C2:D2"/>
    <mergeCell ref="H60:M60"/>
    <mergeCell ref="O60:T60"/>
    <mergeCell ref="V60:AA60"/>
    <mergeCell ref="U40:V40"/>
    <mergeCell ref="C4:C5"/>
    <mergeCell ref="D4:D5"/>
    <mergeCell ref="E4:E5"/>
    <mergeCell ref="G4:J4"/>
    <mergeCell ref="L4:S4"/>
  </mergeCells>
  <hyperlinks>
    <hyperlink ref="E86" r:id="rId1" xr:uid="{38AED117-9D99-44C4-9FA5-C35B8481707F}"/>
    <hyperlink ref="E88" r:id="rId2" xr:uid="{DDA13C83-AC51-4FBF-9C73-E826D9462D0D}"/>
    <hyperlink ref="E85" r:id="rId3" xr:uid="{48F38972-7EAF-44B2-BA45-BA93E25738A9}"/>
  </hyperlinks>
  <pageMargins left="0.7" right="0.7" top="0.75" bottom="0.75" header="0.3" footer="0.3"/>
  <pageSetup orientation="portrait"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DCF27-ADB0-49A1-AA00-5DF5DF12BDE7}">
  <sheetPr>
    <tabColor theme="5" tint="0.39997558519241921"/>
  </sheetPr>
  <dimension ref="A1:CO1276"/>
  <sheetViews>
    <sheetView topLeftCell="CF1" zoomScaleNormal="100" workbookViewId="0">
      <selection activeCell="CF1" sqref="CF1"/>
    </sheetView>
  </sheetViews>
  <sheetFormatPr defaultColWidth="8.85546875" defaultRowHeight="15" customHeight="1"/>
  <cols>
    <col min="1" max="1" width="11.42578125" style="1" bestFit="1" customWidth="1"/>
    <col min="2" max="2" width="16.42578125" style="1" bestFit="1" customWidth="1"/>
    <col min="3" max="3" width="14.85546875" style="1" bestFit="1" customWidth="1"/>
    <col min="4" max="4" width="16" style="1" bestFit="1" customWidth="1"/>
    <col min="5" max="5" width="15.5703125" style="1" bestFit="1" customWidth="1"/>
    <col min="6" max="6" width="18.140625" style="1" bestFit="1" customWidth="1"/>
    <col min="7" max="7" width="14.5703125" style="1" bestFit="1" customWidth="1"/>
    <col min="8" max="8" width="12.42578125" style="1" customWidth="1"/>
    <col min="9" max="9" width="8.85546875" style="1"/>
    <col min="10" max="12" width="13.42578125" style="1" customWidth="1"/>
    <col min="13" max="13" width="8.85546875" style="1"/>
    <col min="14" max="14" width="11.42578125" style="1" bestFit="1" customWidth="1"/>
    <col min="15" max="15" width="12.85546875" style="1" bestFit="1" customWidth="1"/>
    <col min="16" max="16" width="26.140625" style="1" bestFit="1" customWidth="1"/>
    <col min="17" max="17" width="20.5703125" style="1" bestFit="1" customWidth="1"/>
    <col min="18" max="18" width="26" style="1" customWidth="1"/>
    <col min="19" max="19" width="16" style="1" customWidth="1"/>
    <col min="20" max="20" width="26" style="1" customWidth="1"/>
    <col min="21" max="21" width="8.85546875" style="1"/>
    <col min="22" max="22" width="11.42578125" style="1" bestFit="1" customWidth="1"/>
    <col min="23" max="23" width="28.140625" style="1" bestFit="1" customWidth="1"/>
    <col min="24" max="24" width="22.5703125" style="1" bestFit="1" customWidth="1"/>
    <col min="25" max="25" width="27.5703125" style="1" bestFit="1" customWidth="1"/>
    <col min="26" max="26" width="14.140625" style="1" bestFit="1" customWidth="1"/>
    <col min="27" max="27" width="8.85546875" style="1"/>
    <col min="28" max="28" width="11.42578125" style="1" bestFit="1" customWidth="1"/>
    <col min="29" max="29" width="28" style="1" bestFit="1" customWidth="1"/>
    <col min="30" max="30" width="22.42578125" style="1" bestFit="1" customWidth="1"/>
    <col min="31" max="31" width="27.85546875" style="1" bestFit="1" customWidth="1"/>
    <col min="32" max="32" width="14.140625" style="1" bestFit="1" customWidth="1"/>
    <col min="33" max="33" width="22.42578125" style="1" bestFit="1" customWidth="1"/>
    <col min="34" max="34" width="11.42578125" style="1" bestFit="1" customWidth="1"/>
    <col min="35" max="35" width="28.140625" style="1" bestFit="1" customWidth="1"/>
    <col min="36" max="36" width="22.42578125" style="1" bestFit="1" customWidth="1"/>
    <col min="37" max="37" width="27.85546875" style="1" bestFit="1" customWidth="1"/>
    <col min="38" max="38" width="14.140625" style="1" bestFit="1" customWidth="1"/>
    <col min="39" max="39" width="8.85546875" style="1"/>
    <col min="40" max="40" width="11.42578125" style="1" bestFit="1" customWidth="1"/>
    <col min="41" max="41" width="28.140625" style="1" bestFit="1" customWidth="1"/>
    <col min="42" max="42" width="22.42578125" style="1" bestFit="1" customWidth="1"/>
    <col min="43" max="43" width="27.85546875" style="1" bestFit="1" customWidth="1"/>
    <col min="44" max="44" width="14.140625" style="1" bestFit="1" customWidth="1"/>
    <col min="45" max="45" width="8.85546875" style="1"/>
    <col min="46" max="46" width="11.42578125" style="1" bestFit="1" customWidth="1"/>
    <col min="47" max="47" width="28.140625" style="1" bestFit="1" customWidth="1"/>
    <col min="48" max="48" width="22.42578125" style="1" bestFit="1" customWidth="1"/>
    <col min="49" max="49" width="27.85546875" style="1" bestFit="1" customWidth="1"/>
    <col min="50" max="50" width="14.140625" style="1" bestFit="1" customWidth="1"/>
    <col min="51" max="52" width="8.85546875" style="1"/>
    <col min="53" max="53" width="11.42578125" style="1" bestFit="1" customWidth="1"/>
    <col min="54" max="54" width="28.140625" style="1" bestFit="1" customWidth="1"/>
    <col min="55" max="55" width="22.42578125" style="1" bestFit="1" customWidth="1"/>
    <col min="56" max="56" width="27.85546875" style="1" bestFit="1" customWidth="1"/>
    <col min="57" max="57" width="14.140625" style="1" bestFit="1" customWidth="1"/>
    <col min="58" max="68" width="14.140625" style="1" customWidth="1"/>
    <col min="69" max="71" width="8.85546875" style="1"/>
    <col min="72" max="72" width="11.42578125" style="1" bestFit="1" customWidth="1"/>
    <col min="73" max="73" width="28.140625" style="1" bestFit="1" customWidth="1"/>
    <col min="74" max="74" width="22.5703125" style="1" bestFit="1" customWidth="1"/>
    <col min="75" max="75" width="27.5703125" style="1" bestFit="1" customWidth="1"/>
    <col min="76" max="76" width="14.140625" style="1" bestFit="1" customWidth="1"/>
    <col min="77" max="77" width="8.85546875" style="1"/>
    <col min="78" max="78" width="11.42578125" style="1" bestFit="1" customWidth="1"/>
    <col min="79" max="79" width="28" style="1" bestFit="1" customWidth="1"/>
    <col min="80" max="80" width="22.5703125" style="1" bestFit="1" customWidth="1"/>
    <col min="81" max="81" width="27.5703125" style="1" bestFit="1" customWidth="1"/>
    <col min="82" max="82" width="14.140625" style="1" bestFit="1" customWidth="1"/>
    <col min="83" max="83" width="8.85546875" style="1"/>
    <col min="84" max="84" width="11.85546875" style="1" bestFit="1" customWidth="1"/>
    <col min="85" max="85" width="25.85546875" style="1" bestFit="1" customWidth="1"/>
    <col min="86" max="86" width="21" style="1" bestFit="1" customWidth="1"/>
    <col min="87" max="87" width="25.140625" style="1" bestFit="1" customWidth="1"/>
    <col min="88" max="89" width="8.85546875" style="1"/>
    <col min="90" max="90" width="10.5703125" style="1" bestFit="1" customWidth="1"/>
    <col min="91" max="91" width="25.85546875" style="1" bestFit="1" customWidth="1"/>
    <col min="92" max="92" width="21" style="1" bestFit="1" customWidth="1"/>
    <col min="93" max="93" width="25.140625" style="1" bestFit="1" customWidth="1"/>
    <col min="94" max="16384" width="8.85546875" style="1"/>
  </cols>
  <sheetData>
    <row r="1" spans="1:93" ht="15" customHeight="1">
      <c r="A1" s="970" t="s">
        <v>326</v>
      </c>
      <c r="B1" s="382" t="s">
        <v>267</v>
      </c>
      <c r="C1" s="382" t="s">
        <v>244</v>
      </c>
      <c r="D1" s="382" t="s">
        <v>252</v>
      </c>
      <c r="E1" s="382" t="s">
        <v>256</v>
      </c>
      <c r="F1" s="382" t="s">
        <v>260</v>
      </c>
      <c r="G1" s="382" t="s">
        <v>264</v>
      </c>
      <c r="H1" s="1239"/>
    </row>
    <row r="2" spans="1:93" s="198" customFormat="1" ht="15" customHeight="1">
      <c r="A2" s="198" t="s">
        <v>327</v>
      </c>
      <c r="B2" s="1047">
        <f>AVERAGE(B5:B1255)</f>
        <v>12.212293040000009</v>
      </c>
      <c r="C2" s="1047">
        <f>AVERAGE(C5:C1255)</f>
        <v>12.305498799999997</v>
      </c>
      <c r="D2" s="1047">
        <f t="shared" ref="D2:I2" si="0">AVERAGE(D5:D1255)</f>
        <v>11.837259039999973</v>
      </c>
      <c r="E2" s="1047">
        <f t="shared" si="0"/>
        <v>8.3423866400000097</v>
      </c>
      <c r="F2" s="1047">
        <f t="shared" si="0"/>
        <v>17.592487759999933</v>
      </c>
      <c r="G2" s="1047">
        <f t="shared" si="0"/>
        <v>11.366661679999954</v>
      </c>
      <c r="H2" s="1047">
        <f t="shared" si="0"/>
        <v>11.265269680000005</v>
      </c>
      <c r="I2" s="1048">
        <f t="shared" si="0"/>
        <v>7.388059696579985E-2</v>
      </c>
      <c r="J2" s="1047"/>
      <c r="K2" s="1048"/>
      <c r="L2" s="1048"/>
      <c r="N2" s="382" t="s">
        <v>268</v>
      </c>
      <c r="O2" s="198">
        <f>SUM(O5:O1500)/COUNT(O5:O1500)</f>
        <v>12.212293040000009</v>
      </c>
      <c r="P2" s="198">
        <f>SUM(P5:P1500)/COUNT(P5:P1500)</f>
        <v>3.1510514159999965</v>
      </c>
      <c r="Q2" s="198">
        <f>SUM(Q5:Q1500)/COUNT(Q5:Q1500)</f>
        <v>12.728970800000011</v>
      </c>
      <c r="V2" s="382" t="s">
        <v>247</v>
      </c>
      <c r="W2" s="198">
        <f>SUM(W5:W1500)/COUNT(W5:W1500)</f>
        <v>12.305498799999997</v>
      </c>
      <c r="X2" s="198">
        <f>SUM(X5:X1500)/COUNT(X5:X1500)</f>
        <v>1.0431040160000007</v>
      </c>
      <c r="Y2" s="198">
        <f>SUM(Y5:Y1500)/COUNT(Y5:Y1500)</f>
        <v>8.8244068627451071</v>
      </c>
      <c r="AB2" s="382" t="s">
        <v>250</v>
      </c>
      <c r="AC2" s="198">
        <f>SUM(AC5:AC1500)/COUNT(AC5:AC1500)</f>
        <v>10.335005993431864</v>
      </c>
      <c r="AD2" s="198">
        <f>SUM(AD5:AD1500)/COUNT(AD5:AD1500)</f>
        <v>1.2455842446633816</v>
      </c>
      <c r="AE2" s="198">
        <f>SUM(AE5:AE1500)/COUNT(AE5:AE1500)</f>
        <v>6.0599075533661768</v>
      </c>
      <c r="AH2" s="382" t="s">
        <v>254</v>
      </c>
      <c r="AI2" s="198">
        <f>SUM(AI5:AI1500)/COUNT(AI5:AI1500)</f>
        <v>11.853181855500809</v>
      </c>
      <c r="AJ2" s="198">
        <f>SUM(AJ5:AJ1500)/COUNT(AJ5:AJ1500)</f>
        <v>2.0536004926108427</v>
      </c>
      <c r="AK2" s="198">
        <f>SUM(AK5:AK1500)/COUNT(AK5:AK1500)</f>
        <v>6.0192467980295463</v>
      </c>
      <c r="AN2" s="382" t="s">
        <v>328</v>
      </c>
      <c r="AO2" s="198">
        <f>SUM(AO5:AO1500)/COUNT(AO5:AO1500)</f>
        <v>8.3633442148760366</v>
      </c>
      <c r="AP2" s="198">
        <f>SUM(AP5:AP1500)/COUNT(AP5:AP1500)</f>
        <v>1.0039308264462818</v>
      </c>
      <c r="AQ2" s="198">
        <f>SUM(AQ5:AQ1500)/COUNT(AQ5:AQ1500)</f>
        <v>5.1597623366012986</v>
      </c>
      <c r="AT2" s="382" t="s">
        <v>329</v>
      </c>
      <c r="AU2" s="198">
        <f>SUM(AU5:AU1500)/COUNT(AU5:AU1500)</f>
        <v>9.2329479553903155</v>
      </c>
      <c r="AV2" s="198">
        <f>SUM(AV5:AV1500)/COUNT(AV5:AV1500)</f>
        <v>0.63524732593340016</v>
      </c>
      <c r="AW2" s="198">
        <f>SUM(AW5:AW1500)/COUNT(AW5:AW1500)</f>
        <v>6.4092450672645445</v>
      </c>
      <c r="BA2" s="382" t="s">
        <v>264</v>
      </c>
      <c r="BB2" s="198">
        <f>SUM(BB5:BB1500)/COUNT(BB5:BB1500)</f>
        <v>11.367678895300854</v>
      </c>
      <c r="BC2" s="198">
        <f>SUM(BC5:BC1500)/COUNT(BC5:BC1500)</f>
        <v>2.4585947238252355</v>
      </c>
      <c r="BD2" s="198">
        <f>SUM(BD5:BD1500)/COUNT(BD5:BD1500)</f>
        <v>11.040163726298434</v>
      </c>
      <c r="BG2" s="382" t="s">
        <v>330</v>
      </c>
      <c r="BH2" s="198">
        <f>SUM(BH5:BH1500)/COUNT(BH5:BH1500)</f>
        <v>17.571375907590692</v>
      </c>
      <c r="BI2" s="198">
        <f>SUM(BI5:BI1500)/COUNT(BI5:BI1500)</f>
        <v>3.6709533828382779</v>
      </c>
      <c r="BJ2" s="198">
        <f>SUM(BJ5:BJ1500)/COUNT(BJ5:BJ1500)</f>
        <v>21.439434735973574</v>
      </c>
      <c r="BR2" s="382" t="s">
        <v>331</v>
      </c>
      <c r="BT2" s="382" t="s">
        <v>332</v>
      </c>
      <c r="BU2" s="198">
        <f>SUM(BU5:BU1500)/COUNT(BU5:BU1500)</f>
        <v>18.412475759999975</v>
      </c>
      <c r="BV2" s="198">
        <f>SUM(BV5:BV1500)/COUNT(BV5:BV1500)</f>
        <v>3.8155568000000035</v>
      </c>
      <c r="BW2" s="198">
        <f>SUM(BW5:BW1500)/COUNT(BW5:BW1500)</f>
        <v>9.0268524000000117</v>
      </c>
      <c r="BZ2" s="382" t="s">
        <v>333</v>
      </c>
      <c r="CA2" s="198">
        <f>SUM(CA5:CA1500)/COUNT(CA5:CA1500)</f>
        <v>30.380247253787889</v>
      </c>
      <c r="CB2" s="198">
        <f>SUM(CB5:CB1500)/COUNT(CB5:CB1500)</f>
        <v>3.4088312479999994</v>
      </c>
      <c r="CC2" s="198">
        <f>SUM(CC5:CC1500)/COUNT(CC5:CC1500)</f>
        <v>30.771994867549715</v>
      </c>
      <c r="CF2" s="382" t="s">
        <v>334</v>
      </c>
      <c r="CG2" s="198">
        <f>SUM(CG5:CG1500)/COUNT(CG5:CG1500)</f>
        <v>7.0445274907748852</v>
      </c>
      <c r="CH2" s="198">
        <f>SUM(CH5:CH1500)/COUNT(CH5:CH1500)</f>
        <v>1.3947496309963054</v>
      </c>
      <c r="CI2" s="198">
        <f>SUM(CI5:CI1500)/COUNT(CI5:CI1500)</f>
        <v>8.7906439099283666</v>
      </c>
      <c r="CL2" s="382" t="s">
        <v>335</v>
      </c>
      <c r="CM2" s="198">
        <f>SUM(CM5:CM1500)/COUNT(CM5:CM1500)</f>
        <v>21.813896263910955</v>
      </c>
      <c r="CN2" s="198">
        <f>SUM(CN5:CN1500)/COUNT(CN5:CN1500)</f>
        <v>2.5073813990461038</v>
      </c>
      <c r="CO2" s="198">
        <f>SUM(CO5:CO1500)/COUNT(CO5:CO1500)</f>
        <v>11.080523775671399</v>
      </c>
    </row>
    <row r="3" spans="1:93" ht="15" customHeight="1">
      <c r="A3" s="2" t="s">
        <v>336</v>
      </c>
      <c r="B3" s="373">
        <f>AVERAGE(B5:B775)</f>
        <v>15.017487289234785</v>
      </c>
      <c r="C3" s="373">
        <f t="shared" ref="C3:H3" si="1">AVERAGE(C5:C775)</f>
        <v>15.954949935149166</v>
      </c>
      <c r="D3" s="373">
        <f t="shared" si="1"/>
        <v>13.286064332036307</v>
      </c>
      <c r="E3" s="373">
        <f t="shared" si="1"/>
        <v>8.7190979247730347</v>
      </c>
      <c r="F3" s="373">
        <f t="shared" si="1"/>
        <v>20.659370428015521</v>
      </c>
      <c r="G3" s="373">
        <f t="shared" si="1"/>
        <v>14.008861089494134</v>
      </c>
      <c r="H3" s="373">
        <f t="shared" si="1"/>
        <v>13.420577561608264</v>
      </c>
      <c r="I3" s="959">
        <f>AVERAGE(I5:I775)</f>
        <v>0.12093838824177333</v>
      </c>
      <c r="J3" s="152">
        <f>CHOOSE('D. Sensivity &amp; Scenario'!$E$62,'D. Sensivity &amp; Scenario'!D139,'D. Sensivity &amp; Scenario'!D140,'D. Sensivity &amp; Scenario'!D141)</f>
        <v>0.1</v>
      </c>
      <c r="K3" s="203" t="s">
        <v>337</v>
      </c>
      <c r="L3" s="203"/>
      <c r="N3" s="2"/>
    </row>
    <row r="4" spans="1:93" ht="15" customHeight="1">
      <c r="A4" s="970" t="s">
        <v>338</v>
      </c>
      <c r="B4" s="970" t="s">
        <v>267</v>
      </c>
      <c r="C4" s="970" t="s">
        <v>244</v>
      </c>
      <c r="D4" s="970" t="s">
        <v>252</v>
      </c>
      <c r="E4" s="970" t="s">
        <v>256</v>
      </c>
      <c r="F4" s="970" t="s">
        <v>260</v>
      </c>
      <c r="G4" s="970" t="s">
        <v>264</v>
      </c>
      <c r="H4" s="970" t="s">
        <v>339</v>
      </c>
      <c r="I4" s="970" t="s">
        <v>340</v>
      </c>
      <c r="J4" s="1223" t="s">
        <v>341</v>
      </c>
      <c r="K4" s="1223" t="s">
        <v>340</v>
      </c>
      <c r="L4" s="203"/>
      <c r="N4" s="1" t="s">
        <v>338</v>
      </c>
      <c r="O4" s="1" t="s">
        <v>342</v>
      </c>
      <c r="P4" s="1" t="s">
        <v>343</v>
      </c>
      <c r="Q4" s="1" t="s">
        <v>344</v>
      </c>
      <c r="R4" s="1" t="s">
        <v>345</v>
      </c>
      <c r="V4" s="1" t="s">
        <v>338</v>
      </c>
      <c r="W4" s="1" t="s">
        <v>346</v>
      </c>
      <c r="X4" s="1" t="s">
        <v>343</v>
      </c>
      <c r="Y4" s="1" t="s">
        <v>344</v>
      </c>
      <c r="Z4" s="1" t="s">
        <v>347</v>
      </c>
      <c r="AB4" s="1" t="s">
        <v>338</v>
      </c>
      <c r="AC4" s="1" t="s">
        <v>346</v>
      </c>
      <c r="AD4" s="1" t="s">
        <v>343</v>
      </c>
      <c r="AE4" s="1" t="s">
        <v>344</v>
      </c>
      <c r="AF4" s="1" t="s">
        <v>347</v>
      </c>
      <c r="AH4" s="1" t="s">
        <v>338</v>
      </c>
      <c r="AI4" s="1" t="s">
        <v>348</v>
      </c>
      <c r="AJ4" s="1" t="s">
        <v>343</v>
      </c>
      <c r="AK4" s="1" t="s">
        <v>344</v>
      </c>
      <c r="AL4" s="1" t="s">
        <v>347</v>
      </c>
      <c r="AN4" s="1" t="s">
        <v>338</v>
      </c>
      <c r="AO4" s="1" t="s">
        <v>348</v>
      </c>
      <c r="AP4" s="1" t="s">
        <v>343</v>
      </c>
      <c r="AQ4" s="1" t="s">
        <v>344</v>
      </c>
      <c r="AR4" s="1" t="s">
        <v>347</v>
      </c>
      <c r="AT4" s="1" t="s">
        <v>338</v>
      </c>
      <c r="AU4" s="1" t="s">
        <v>348</v>
      </c>
      <c r="AV4" s="1" t="s">
        <v>343</v>
      </c>
      <c r="AW4" s="1" t="s">
        <v>344</v>
      </c>
      <c r="AX4" s="1" t="s">
        <v>347</v>
      </c>
      <c r="BA4" s="1" t="s">
        <v>338</v>
      </c>
      <c r="BB4" s="1" t="s">
        <v>348</v>
      </c>
      <c r="BC4" s="1" t="s">
        <v>343</v>
      </c>
      <c r="BD4" s="1" t="s">
        <v>344</v>
      </c>
      <c r="BE4" s="1" t="s">
        <v>347</v>
      </c>
      <c r="BG4" s="1" t="s">
        <v>338</v>
      </c>
      <c r="BH4" s="1" t="s">
        <v>348</v>
      </c>
      <c r="BI4" s="1" t="s">
        <v>343</v>
      </c>
      <c r="BJ4" s="1" t="s">
        <v>344</v>
      </c>
      <c r="BT4" s="1" t="s">
        <v>338</v>
      </c>
      <c r="BU4" s="1" t="s">
        <v>346</v>
      </c>
      <c r="BV4" s="1" t="s">
        <v>343</v>
      </c>
      <c r="BW4" s="1" t="s">
        <v>344</v>
      </c>
      <c r="BX4" s="1" t="s">
        <v>347</v>
      </c>
      <c r="BZ4" s="1" t="s">
        <v>338</v>
      </c>
      <c r="CA4" s="1" t="s">
        <v>348</v>
      </c>
      <c r="CB4" s="1" t="s">
        <v>343</v>
      </c>
      <c r="CC4" s="1" t="s">
        <v>344</v>
      </c>
      <c r="CD4" s="1" t="s">
        <v>347</v>
      </c>
      <c r="CF4" s="1" t="s">
        <v>338</v>
      </c>
      <c r="CG4" s="1" t="s">
        <v>348</v>
      </c>
      <c r="CH4" s="1" t="s">
        <v>343</v>
      </c>
      <c r="CI4" s="1" t="s">
        <v>344</v>
      </c>
      <c r="CL4" s="1" t="s">
        <v>338</v>
      </c>
      <c r="CM4" s="1" t="s">
        <v>348</v>
      </c>
      <c r="CN4" s="1" t="s">
        <v>343</v>
      </c>
      <c r="CO4" s="1" t="s">
        <v>344</v>
      </c>
    </row>
    <row r="5" spans="1:93" ht="15" customHeight="1">
      <c r="A5" s="1425">
        <v>45230</v>
      </c>
      <c r="B5" s="20">
        <f t="shared" ref="B5:B68" si="2">O5</f>
        <v>16.303599999999999</v>
      </c>
      <c r="C5" s="20">
        <f>W5</f>
        <v>38.301600000000001</v>
      </c>
      <c r="D5" s="20">
        <f>VLOOKUP(A5,$AH$5:$AI$1301,2,)</f>
        <v>10.133900000000001</v>
      </c>
      <c r="E5" s="20">
        <f>VLOOKUP(A5,$AN$5:$AO$1301,2,)</f>
        <v>7.2130999999999998</v>
      </c>
      <c r="F5" s="20">
        <f>VLOOKUP(A5,$BG$5:$BH$1301,2,)</f>
        <v>12.6244</v>
      </c>
      <c r="G5" s="20">
        <f>VLOOKUP(A5,$BA$5:$BB$1301,2,)</f>
        <v>10.826000000000001</v>
      </c>
      <c r="H5" s="1239">
        <f>MEDIAN(C5:G5)</f>
        <v>10.826000000000001</v>
      </c>
      <c r="I5" s="1243">
        <f t="shared" ref="I5:I68" si="3">B5/H5-1</f>
        <v>0.50596711620173651</v>
      </c>
      <c r="J5" s="1243">
        <f>$I$3</f>
        <v>0.12093838824177333</v>
      </c>
      <c r="K5" s="1243">
        <f>J3</f>
        <v>0.1</v>
      </c>
      <c r="L5" s="203"/>
      <c r="N5" s="1425">
        <v>45230</v>
      </c>
      <c r="O5" s="1502">
        <v>16.303599999999999</v>
      </c>
      <c r="P5" s="1502">
        <v>2.605</v>
      </c>
      <c r="Q5" s="1502">
        <v>13.1981</v>
      </c>
      <c r="R5" s="1233">
        <f>'B. PE'!$U$23</f>
        <v>15.978235616082999</v>
      </c>
      <c r="S5" s="1233"/>
      <c r="T5" s="1233"/>
      <c r="V5" s="1425">
        <v>45230</v>
      </c>
      <c r="W5" s="1">
        <v>38.301600000000001</v>
      </c>
      <c r="X5" s="1">
        <v>1.1356999999999999</v>
      </c>
      <c r="Z5" s="1">
        <v>0.95840999999999998</v>
      </c>
      <c r="AB5" s="1425">
        <v>45230</v>
      </c>
      <c r="AC5" s="1">
        <v>6.5789999999999997</v>
      </c>
      <c r="AD5" s="1502">
        <v>0.92649999999999999</v>
      </c>
      <c r="AE5" s="1">
        <v>5.1632999999999996</v>
      </c>
      <c r="AF5" s="1">
        <v>2.6550000000000001E-2</v>
      </c>
      <c r="AH5" s="1425">
        <v>45230</v>
      </c>
      <c r="AI5" s="1">
        <v>10.133900000000001</v>
      </c>
      <c r="AJ5" s="1">
        <v>1.7987</v>
      </c>
      <c r="AK5" s="1">
        <v>5.444</v>
      </c>
      <c r="AL5" s="1">
        <v>3.108E-2</v>
      </c>
      <c r="AN5" s="1425">
        <v>45230</v>
      </c>
      <c r="AO5" s="1">
        <v>7.2130999999999998</v>
      </c>
      <c r="AP5" s="1">
        <v>1.0986</v>
      </c>
      <c r="AQ5" s="1">
        <v>4.6269</v>
      </c>
      <c r="AR5" s="1">
        <v>0.27417000000000002</v>
      </c>
      <c r="AT5" s="1425">
        <v>45230</v>
      </c>
      <c r="AU5" s="1">
        <v>7.1993999999999998</v>
      </c>
      <c r="AX5" s="1">
        <v>0.19045999999999999</v>
      </c>
      <c r="BA5" s="1425">
        <v>45230</v>
      </c>
      <c r="BB5" s="1">
        <v>10.826000000000001</v>
      </c>
      <c r="BC5" s="1">
        <v>1.9246000000000001</v>
      </c>
      <c r="BD5" s="1">
        <v>10.856199999999999</v>
      </c>
      <c r="BE5" s="1">
        <v>0.52537999999999996</v>
      </c>
      <c r="BG5" s="1425">
        <v>45230</v>
      </c>
      <c r="BH5" s="1">
        <v>12.6244</v>
      </c>
      <c r="BI5" s="1">
        <v>2.044</v>
      </c>
      <c r="BJ5" s="1">
        <v>17.147099999999998</v>
      </c>
      <c r="BT5" s="1425">
        <v>45230</v>
      </c>
      <c r="BU5" s="1">
        <v>79.367599999999996</v>
      </c>
      <c r="BV5" s="1">
        <v>2.3708999999999998</v>
      </c>
      <c r="BW5" s="1">
        <v>12.7287</v>
      </c>
      <c r="BX5" s="1">
        <v>1.7093</v>
      </c>
      <c r="BZ5" s="1425">
        <v>45230</v>
      </c>
      <c r="CB5" s="1">
        <v>6.9607999999999999</v>
      </c>
      <c r="CC5" s="1">
        <v>39.330800000000004</v>
      </c>
      <c r="CD5" s="1">
        <v>3.7766600000000001</v>
      </c>
      <c r="CF5" s="1425">
        <v>45230</v>
      </c>
      <c r="CG5" s="1">
        <v>11.9749</v>
      </c>
      <c r="CH5" s="1">
        <v>1.1523000000000001</v>
      </c>
      <c r="CL5" s="1425">
        <v>45230</v>
      </c>
      <c r="CM5" s="1">
        <v>17.974399999999999</v>
      </c>
      <c r="CN5" s="1">
        <v>2.1745000000000001</v>
      </c>
      <c r="CO5" s="1">
        <v>8.8303999999999991</v>
      </c>
    </row>
    <row r="6" spans="1:93" ht="15" customHeight="1">
      <c r="A6" s="1425">
        <v>45229</v>
      </c>
      <c r="B6" s="20">
        <f t="shared" si="2"/>
        <v>17.524899999999999</v>
      </c>
      <c r="C6" s="20">
        <f t="shared" ref="C6:C69" si="4">IF(W6=0,W5,W6)</f>
        <v>41.121899999999997</v>
      </c>
      <c r="D6" s="20">
        <f t="shared" ref="D6:D69" si="5">IFERROR(          IF(VLOOKUP(A6,$AH$5:$AI$1301,2,)=0,D5,VLOOKUP(A6,$AH$5:$AI$1301,2,)),D5)</f>
        <v>9.9131</v>
      </c>
      <c r="E6" s="20">
        <f t="shared" ref="E6:E69" si="6">IFERROR(IF(VLOOKUP(A6,$AN$5:$AO$1301,2,)=0, E5, VLOOKUP(A6,$AN$5:$AO$1301,2,)),E5)</f>
        <v>7.2130999999999998</v>
      </c>
      <c r="F6" s="20">
        <f t="shared" ref="F6:F69" si="7">IFERROR(IF(VLOOKUP(A6,$BG$5:$BH$1301,2,)=0,F5,VLOOKUP(A6,$BG$5:$BH$1301,2,)),F5)</f>
        <v>13.031700000000001</v>
      </c>
      <c r="G6" s="20">
        <f t="shared" ref="G6:G69" si="8">IFERROR(IF(VLOOKUP(A6,$BA$5:$BB$1301,2,)=0,G5,VLOOKUP(A6,$BA$5:$BB$1301,2,)),G5)</f>
        <v>11.113899999999999</v>
      </c>
      <c r="H6" s="1239">
        <f t="shared" ref="H6:H69" si="9">MEDIAN(C6:G6)</f>
        <v>11.113899999999999</v>
      </c>
      <c r="I6" s="1243">
        <f t="shared" si="3"/>
        <v>0.57684521185182525</v>
      </c>
      <c r="J6" s="1243">
        <f t="shared" ref="J6:J69" si="10">$I$3</f>
        <v>0.12093838824177333</v>
      </c>
      <c r="K6" s="1243">
        <f>K5</f>
        <v>0.1</v>
      </c>
      <c r="L6" s="203"/>
      <c r="N6" s="1425">
        <v>45229</v>
      </c>
      <c r="O6" s="1502">
        <v>17.524899999999999</v>
      </c>
      <c r="P6" s="1502">
        <v>2.8001999999999998</v>
      </c>
      <c r="Q6" s="1502">
        <v>14.1218</v>
      </c>
      <c r="R6" s="1233">
        <f>'B. PE'!$U$23</f>
        <v>15.978235616082999</v>
      </c>
      <c r="S6" s="1233"/>
      <c r="T6" s="1233"/>
      <c r="V6" s="1425">
        <v>45229</v>
      </c>
      <c r="W6" s="1">
        <v>41.121899999999997</v>
      </c>
      <c r="X6" s="1">
        <v>1.2193000000000001</v>
      </c>
      <c r="Z6" s="1">
        <v>0.95747000000000004</v>
      </c>
      <c r="AB6" s="1425">
        <v>45229</v>
      </c>
      <c r="AC6" s="1">
        <v>6.7099000000000002</v>
      </c>
      <c r="AD6" s="1502">
        <v>0.94489999999999996</v>
      </c>
      <c r="AE6" s="1">
        <v>5.2110000000000003</v>
      </c>
      <c r="AF6" s="1">
        <v>2.649E-2</v>
      </c>
      <c r="AH6" s="1425">
        <v>45229</v>
      </c>
      <c r="AI6" s="1">
        <v>9.9131</v>
      </c>
      <c r="AJ6" s="1">
        <v>1.7595000000000001</v>
      </c>
      <c r="AK6" s="1">
        <v>5.3288000000000002</v>
      </c>
      <c r="AL6" s="1">
        <v>3.0880000000000001E-2</v>
      </c>
      <c r="AN6" s="1425">
        <v>45229</v>
      </c>
      <c r="AO6" s="1">
        <v>7.2130999999999998</v>
      </c>
      <c r="AP6" s="1">
        <v>1.0986</v>
      </c>
      <c r="AQ6" s="1">
        <v>4.6269</v>
      </c>
      <c r="AR6" s="1">
        <v>0.27789000000000003</v>
      </c>
      <c r="AT6" s="1425">
        <v>45229</v>
      </c>
      <c r="AU6" s="1">
        <v>7.1597999999999997</v>
      </c>
      <c r="AX6" s="1">
        <v>0.18909000000000001</v>
      </c>
      <c r="BA6" s="1425">
        <v>45229</v>
      </c>
      <c r="BB6" s="1">
        <v>11.113899999999999</v>
      </c>
      <c r="BC6" s="1">
        <v>1.9758</v>
      </c>
      <c r="BD6" s="1">
        <v>11.037800000000001</v>
      </c>
      <c r="BE6" s="1">
        <v>0.51490000000000002</v>
      </c>
      <c r="BG6" s="1425">
        <v>45229</v>
      </c>
      <c r="BH6" s="1">
        <v>13.031700000000001</v>
      </c>
      <c r="BI6" s="1">
        <v>2.11</v>
      </c>
      <c r="BJ6" s="1">
        <v>17.4678</v>
      </c>
      <c r="BT6" s="1425">
        <v>45229</v>
      </c>
      <c r="BU6" s="1">
        <v>85.262299999999996</v>
      </c>
      <c r="BV6" s="1">
        <v>2.5470000000000002</v>
      </c>
      <c r="BW6" s="1">
        <v>13.679500000000001</v>
      </c>
      <c r="BX6" s="1">
        <v>1.7076</v>
      </c>
      <c r="BZ6" s="1425">
        <v>45229</v>
      </c>
      <c r="CB6" s="1">
        <v>6.9127000000000001</v>
      </c>
      <c r="CC6" s="1">
        <v>39.130000000000003</v>
      </c>
      <c r="CD6" s="1">
        <v>3.77704</v>
      </c>
      <c r="CF6" s="1425">
        <v>45229</v>
      </c>
      <c r="CG6" s="1">
        <v>11.5959</v>
      </c>
      <c r="CH6" s="1">
        <v>1.1158999999999999</v>
      </c>
      <c r="CL6" s="1425">
        <v>45229</v>
      </c>
      <c r="CM6" s="1">
        <v>18.0227</v>
      </c>
      <c r="CN6" s="1">
        <v>2.1802999999999999</v>
      </c>
      <c r="CO6" s="1">
        <v>8.8519000000000005</v>
      </c>
    </row>
    <row r="7" spans="1:93" ht="15" customHeight="1">
      <c r="A7" s="1425">
        <v>45226</v>
      </c>
      <c r="B7" s="20">
        <f t="shared" si="2"/>
        <v>18.823799999999999</v>
      </c>
      <c r="C7" s="20">
        <f t="shared" si="4"/>
        <v>42.850499999999997</v>
      </c>
      <c r="D7" s="20">
        <f t="shared" si="5"/>
        <v>9.9131</v>
      </c>
      <c r="E7" s="20">
        <f t="shared" si="6"/>
        <v>7.1585000000000001</v>
      </c>
      <c r="F7" s="20">
        <f t="shared" si="7"/>
        <v>12.5566</v>
      </c>
      <c r="G7" s="20">
        <f t="shared" si="8"/>
        <v>10.9412</v>
      </c>
      <c r="H7" s="1239">
        <f t="shared" si="9"/>
        <v>10.9412</v>
      </c>
      <c r="I7" s="1243">
        <f t="shared" si="3"/>
        <v>0.72045113881475498</v>
      </c>
      <c r="J7" s="1243">
        <f t="shared" si="10"/>
        <v>0.12093838824177333</v>
      </c>
      <c r="K7" s="1243">
        <f t="shared" ref="K7:K70" si="11">K6</f>
        <v>0.1</v>
      </c>
      <c r="L7" s="203"/>
      <c r="N7" s="1425">
        <v>45226</v>
      </c>
      <c r="O7" s="1502">
        <v>18.823799999999999</v>
      </c>
      <c r="P7" s="1502">
        <v>3.0076999999999998</v>
      </c>
      <c r="Q7" s="1502">
        <v>15.104200000000001</v>
      </c>
      <c r="R7" s="1233">
        <f>'B. PE'!$U$23</f>
        <v>15.978235616082999</v>
      </c>
      <c r="S7" s="1233"/>
      <c r="T7" s="1233"/>
      <c r="V7" s="1425">
        <v>45226</v>
      </c>
      <c r="W7" s="1">
        <v>42.850499999999997</v>
      </c>
      <c r="X7" s="1">
        <v>1.2706</v>
      </c>
      <c r="Z7" s="1">
        <v>1.0296700000000001</v>
      </c>
      <c r="AB7" s="1425">
        <v>45226</v>
      </c>
      <c r="AC7" s="1">
        <v>6.9062999999999999</v>
      </c>
      <c r="AD7" s="1502">
        <v>0.97260000000000002</v>
      </c>
      <c r="AE7" s="1">
        <v>5.2824999999999998</v>
      </c>
      <c r="AF7" s="1">
        <v>2.7570000000000001E-2</v>
      </c>
      <c r="AH7" s="1425">
        <v>45226</v>
      </c>
      <c r="AI7" s="1">
        <v>9.9131</v>
      </c>
      <c r="AJ7" s="1">
        <v>1.7595000000000001</v>
      </c>
      <c r="AK7" s="1">
        <v>5.3288000000000002</v>
      </c>
      <c r="AL7" s="1">
        <v>3.0589999999999999E-2</v>
      </c>
      <c r="AN7" s="1425">
        <v>45226</v>
      </c>
      <c r="AO7" s="1">
        <v>7.1585000000000001</v>
      </c>
      <c r="AP7" s="1">
        <v>1.0903</v>
      </c>
      <c r="AQ7" s="1">
        <v>4.5853000000000002</v>
      </c>
      <c r="AR7" s="1">
        <v>0.27817999999999998</v>
      </c>
      <c r="AT7" s="1425">
        <v>45226</v>
      </c>
      <c r="AU7" s="1">
        <v>7.1993999999999998</v>
      </c>
      <c r="AX7" s="1">
        <v>0.19034000000000001</v>
      </c>
      <c r="BA7" s="1425">
        <v>45226</v>
      </c>
      <c r="BB7" s="1">
        <v>10.9412</v>
      </c>
      <c r="BC7" s="1">
        <v>1.9451000000000001</v>
      </c>
      <c r="BD7" s="1">
        <v>10.928900000000001</v>
      </c>
      <c r="BE7" s="1">
        <v>0.52773000000000003</v>
      </c>
      <c r="BG7" s="1425">
        <v>45226</v>
      </c>
      <c r="BH7" s="1">
        <v>12.5566</v>
      </c>
      <c r="BI7" s="1">
        <v>2.0329999999999999</v>
      </c>
      <c r="BJ7" s="1">
        <v>17.093599999999999</v>
      </c>
      <c r="BT7" s="1425">
        <v>45226</v>
      </c>
      <c r="BU7" s="1">
        <v>88.420199999999994</v>
      </c>
      <c r="BV7" s="1">
        <v>2.6413000000000002</v>
      </c>
      <c r="BW7" s="1">
        <v>14.188800000000001</v>
      </c>
      <c r="BX7" s="1">
        <v>1.7704</v>
      </c>
      <c r="BZ7" s="1425">
        <v>45226</v>
      </c>
      <c r="CB7" s="1">
        <v>7.4248000000000003</v>
      </c>
      <c r="CC7" s="1">
        <v>41.271599999999999</v>
      </c>
      <c r="CD7" s="1">
        <v>3.8663500000000002</v>
      </c>
      <c r="CF7" s="1425">
        <v>45226</v>
      </c>
      <c r="CG7" s="1">
        <v>11.7475</v>
      </c>
      <c r="CH7" s="1">
        <v>1.1305000000000001</v>
      </c>
      <c r="CL7" s="1425">
        <v>45226</v>
      </c>
      <c r="CM7" s="1">
        <v>18.183800000000002</v>
      </c>
      <c r="CN7" s="1">
        <v>2.1998000000000002</v>
      </c>
      <c r="CO7" s="1">
        <v>8.9234000000000009</v>
      </c>
    </row>
    <row r="8" spans="1:93" ht="15" customHeight="1">
      <c r="A8" s="1425">
        <v>45225</v>
      </c>
      <c r="B8" s="20">
        <f t="shared" si="2"/>
        <v>19.502300000000002</v>
      </c>
      <c r="C8" s="20">
        <f t="shared" si="4"/>
        <v>42.850499999999997</v>
      </c>
      <c r="D8" s="20">
        <f t="shared" si="5"/>
        <v>9.8729999999999993</v>
      </c>
      <c r="E8" s="20">
        <f t="shared" si="6"/>
        <v>7.2678000000000003</v>
      </c>
      <c r="F8" s="20">
        <f t="shared" si="7"/>
        <v>12.2172</v>
      </c>
      <c r="G8" s="20">
        <f t="shared" si="8"/>
        <v>10.7684</v>
      </c>
      <c r="H8" s="1239">
        <f t="shared" si="9"/>
        <v>10.7684</v>
      </c>
      <c r="I8" s="1243">
        <f t="shared" si="3"/>
        <v>0.81106756806953695</v>
      </c>
      <c r="J8" s="1243">
        <f t="shared" si="10"/>
        <v>0.12093838824177333</v>
      </c>
      <c r="K8" s="1243">
        <f t="shared" si="11"/>
        <v>0.1</v>
      </c>
      <c r="L8" s="203"/>
      <c r="N8" s="1425">
        <v>45225</v>
      </c>
      <c r="O8" s="1502">
        <v>19.502300000000002</v>
      </c>
      <c r="P8" s="1502">
        <v>3.1160999999999999</v>
      </c>
      <c r="Q8" s="1502">
        <v>15.6174</v>
      </c>
      <c r="R8" s="1233">
        <f>'B. PE'!$U$23</f>
        <v>15.978235616082999</v>
      </c>
      <c r="S8" s="1233"/>
      <c r="T8" s="1233"/>
      <c r="V8" s="1425">
        <v>45225</v>
      </c>
      <c r="W8" s="1">
        <v>42.850499999999997</v>
      </c>
      <c r="X8" s="1">
        <v>1.2706</v>
      </c>
      <c r="Z8" s="1">
        <v>1.02037</v>
      </c>
      <c r="AB8" s="1425">
        <v>45225</v>
      </c>
      <c r="AC8" s="1">
        <v>6.9062999999999999</v>
      </c>
      <c r="AD8" s="1502">
        <v>0.97260000000000002</v>
      </c>
      <c r="AE8" s="1">
        <v>5.2824999999999998</v>
      </c>
      <c r="AF8" s="1">
        <v>2.6339999999999999E-2</v>
      </c>
      <c r="AH8" s="1425">
        <v>45225</v>
      </c>
      <c r="AI8" s="1">
        <v>9.8729999999999993</v>
      </c>
      <c r="AJ8" s="1">
        <v>1.7524</v>
      </c>
      <c r="AK8" s="1">
        <v>5.3079000000000001</v>
      </c>
      <c r="AL8" s="1">
        <v>3.0620000000000001E-2</v>
      </c>
      <c r="AN8" s="1425">
        <v>45225</v>
      </c>
      <c r="AO8" s="1">
        <v>7.2678000000000003</v>
      </c>
      <c r="AP8" s="1">
        <v>1.1069</v>
      </c>
      <c r="AQ8" s="1">
        <v>4.6685999999999996</v>
      </c>
      <c r="AR8" s="1">
        <v>0.27377000000000001</v>
      </c>
      <c r="AT8" s="1425">
        <v>45225</v>
      </c>
      <c r="AU8" s="1">
        <v>7.1597999999999997</v>
      </c>
      <c r="AX8" s="1">
        <v>0.18912999999999999</v>
      </c>
      <c r="BA8" s="1425">
        <v>45225</v>
      </c>
      <c r="BB8" s="1">
        <v>10.7684</v>
      </c>
      <c r="BC8" s="1">
        <v>1.9144000000000001</v>
      </c>
      <c r="BD8" s="1">
        <v>10.819900000000001</v>
      </c>
      <c r="BE8" s="1">
        <v>0.51961000000000002</v>
      </c>
      <c r="BG8" s="1425">
        <v>45225</v>
      </c>
      <c r="BH8" s="1">
        <v>12.2172</v>
      </c>
      <c r="BI8" s="1">
        <v>1.9781</v>
      </c>
      <c r="BJ8" s="1">
        <v>16.8263</v>
      </c>
      <c r="BT8" s="1425">
        <v>45225</v>
      </c>
      <c r="BU8" s="1">
        <v>88.420199999999994</v>
      </c>
      <c r="BV8" s="1">
        <v>2.6413000000000002</v>
      </c>
      <c r="BW8" s="1">
        <v>14.188800000000001</v>
      </c>
      <c r="BX8" s="1">
        <v>1.7515000000000001</v>
      </c>
      <c r="BZ8" s="1425">
        <v>45225</v>
      </c>
      <c r="CB8" s="1">
        <v>7.4328000000000003</v>
      </c>
      <c r="CC8" s="1">
        <v>41.305</v>
      </c>
      <c r="CD8" s="1">
        <v>3.8248500000000001</v>
      </c>
      <c r="CF8" s="1425">
        <v>45225</v>
      </c>
      <c r="CG8" s="1">
        <v>11.5959</v>
      </c>
      <c r="CH8" s="1">
        <v>1.1158999999999999</v>
      </c>
      <c r="CL8" s="1425">
        <v>45225</v>
      </c>
      <c r="CM8" s="1">
        <v>18.216000000000001</v>
      </c>
      <c r="CN8" s="1">
        <v>2.2037</v>
      </c>
      <c r="CO8" s="1">
        <v>8.9376999999999995</v>
      </c>
    </row>
    <row r="9" spans="1:93" ht="15" customHeight="1">
      <c r="A9" s="1425">
        <v>45224</v>
      </c>
      <c r="B9" s="20">
        <f t="shared" si="2"/>
        <v>20.936900000000001</v>
      </c>
      <c r="C9" s="20">
        <f t="shared" si="4"/>
        <v>46.034700000000001</v>
      </c>
      <c r="D9" s="20">
        <f t="shared" si="5"/>
        <v>9.7525999999999993</v>
      </c>
      <c r="E9" s="20">
        <f t="shared" si="6"/>
        <v>7.2678000000000003</v>
      </c>
      <c r="F9" s="20">
        <f t="shared" si="7"/>
        <v>12.963800000000001</v>
      </c>
      <c r="G9" s="20">
        <f t="shared" si="8"/>
        <v>10.998699999999999</v>
      </c>
      <c r="H9" s="1239">
        <f t="shared" si="9"/>
        <v>10.998699999999999</v>
      </c>
      <c r="I9" s="1243">
        <f t="shared" si="3"/>
        <v>0.90357951394255709</v>
      </c>
      <c r="J9" s="1243">
        <f t="shared" si="10"/>
        <v>0.12093838824177333</v>
      </c>
      <c r="K9" s="1243">
        <f t="shared" si="11"/>
        <v>0.1</v>
      </c>
      <c r="L9" s="203"/>
      <c r="N9" s="1425">
        <v>45224</v>
      </c>
      <c r="O9" s="1502">
        <v>20.936900000000001</v>
      </c>
      <c r="P9" s="1502">
        <v>3.3452999999999999</v>
      </c>
      <c r="Q9" s="1502">
        <v>16.702400000000001</v>
      </c>
      <c r="R9" s="1233">
        <f>'B. PE'!$U$23</f>
        <v>15.978235616082999</v>
      </c>
      <c r="S9" s="1233"/>
      <c r="T9" s="1233"/>
      <c r="V9" s="1425">
        <v>45224</v>
      </c>
      <c r="W9" s="1">
        <v>46.034700000000001</v>
      </c>
      <c r="X9" s="1">
        <v>1.365</v>
      </c>
      <c r="Z9" s="1">
        <v>1.0154700000000001</v>
      </c>
      <c r="AB9" s="1425">
        <v>45224</v>
      </c>
      <c r="AC9" s="1">
        <v>7.1680999999999999</v>
      </c>
      <c r="AD9" s="1502">
        <v>1.0095000000000001</v>
      </c>
      <c r="AE9" s="1">
        <v>5.3779000000000003</v>
      </c>
      <c r="AF9" s="1">
        <v>2.5610000000000001E-2</v>
      </c>
      <c r="AH9" s="1425">
        <v>45224</v>
      </c>
      <c r="AI9" s="1">
        <v>9.7525999999999993</v>
      </c>
      <c r="AJ9" s="1">
        <v>1.7310000000000001</v>
      </c>
      <c r="AK9" s="1">
        <v>5.2450000000000001</v>
      </c>
      <c r="AL9" s="1">
        <v>2.9899999999999999E-2</v>
      </c>
      <c r="AN9" s="1425">
        <v>45224</v>
      </c>
      <c r="AO9" s="1">
        <v>7.2678000000000003</v>
      </c>
      <c r="AP9" s="1">
        <v>1.1069</v>
      </c>
      <c r="AQ9" s="1">
        <v>4.6685999999999996</v>
      </c>
      <c r="AR9" s="1">
        <v>0.26902999999999999</v>
      </c>
      <c r="AT9" s="1425">
        <v>45224</v>
      </c>
      <c r="AU9" s="1">
        <v>7.1993999999999998</v>
      </c>
      <c r="AX9" s="1">
        <v>0.18770000000000001</v>
      </c>
      <c r="BA9" s="1425">
        <v>45224</v>
      </c>
      <c r="BB9" s="1">
        <v>10.998699999999999</v>
      </c>
      <c r="BC9" s="1">
        <v>1.9553</v>
      </c>
      <c r="BD9" s="1">
        <v>10.965199999999999</v>
      </c>
      <c r="BE9" s="1">
        <v>0.52351999999999999</v>
      </c>
      <c r="BG9" s="1425">
        <v>45224</v>
      </c>
      <c r="BH9" s="1">
        <v>12.963800000000001</v>
      </c>
      <c r="BI9" s="1">
        <v>2.0990000000000002</v>
      </c>
      <c r="BJ9" s="1">
        <v>17.414300000000001</v>
      </c>
      <c r="BT9" s="1425">
        <v>45224</v>
      </c>
      <c r="BU9" s="1">
        <v>91.578000000000003</v>
      </c>
      <c r="BV9" s="1">
        <v>2.7355999999999998</v>
      </c>
      <c r="BW9" s="1">
        <v>14.6982</v>
      </c>
      <c r="BX9" s="1">
        <v>1.7501</v>
      </c>
      <c r="BZ9" s="1425">
        <v>45224</v>
      </c>
      <c r="CB9" s="1">
        <v>7.6007999999999996</v>
      </c>
      <c r="CC9" s="1">
        <v>42.0077</v>
      </c>
      <c r="CD9" s="1">
        <v>3.7810299999999999</v>
      </c>
      <c r="CF9" s="1425">
        <v>45224</v>
      </c>
      <c r="CG9" s="1">
        <v>11.899100000000001</v>
      </c>
      <c r="CH9" s="1">
        <v>1.1451</v>
      </c>
      <c r="CL9" s="1425">
        <v>45224</v>
      </c>
      <c r="CM9" s="1">
        <v>18.151499999999999</v>
      </c>
      <c r="CN9" s="1">
        <v>2.1959</v>
      </c>
      <c r="CO9" s="1">
        <v>8.9091000000000005</v>
      </c>
    </row>
    <row r="10" spans="1:93" ht="15" customHeight="1">
      <c r="A10" s="1425">
        <v>45223</v>
      </c>
      <c r="B10" s="20">
        <f t="shared" si="2"/>
        <v>20.936900000000001</v>
      </c>
      <c r="C10" s="20">
        <f t="shared" si="4"/>
        <v>45.579799999999999</v>
      </c>
      <c r="D10" s="20">
        <f t="shared" si="5"/>
        <v>9.7525999999999993</v>
      </c>
      <c r="E10" s="20">
        <f t="shared" si="6"/>
        <v>7.1585000000000001</v>
      </c>
      <c r="F10" s="20">
        <f t="shared" si="7"/>
        <v>12.963800000000001</v>
      </c>
      <c r="G10" s="20">
        <f t="shared" si="8"/>
        <v>10.826000000000001</v>
      </c>
      <c r="H10" s="1239">
        <f t="shared" si="9"/>
        <v>10.826000000000001</v>
      </c>
      <c r="I10" s="1243">
        <f t="shared" si="3"/>
        <v>0.93394605579161283</v>
      </c>
      <c r="J10" s="1243">
        <f t="shared" si="10"/>
        <v>0.12093838824177333</v>
      </c>
      <c r="K10" s="1243">
        <f t="shared" si="11"/>
        <v>0.1</v>
      </c>
      <c r="L10" s="203"/>
      <c r="N10" s="1425">
        <v>45223</v>
      </c>
      <c r="O10" s="1502">
        <v>20.936900000000001</v>
      </c>
      <c r="P10" s="1502">
        <v>3.3452999999999999</v>
      </c>
      <c r="Q10" s="1502">
        <v>16.702400000000001</v>
      </c>
      <c r="R10" s="1233">
        <f>'B. PE'!$U$23</f>
        <v>15.978235616082999</v>
      </c>
      <c r="S10" s="1233"/>
      <c r="T10" s="1233"/>
      <c r="V10" s="1425">
        <v>45223</v>
      </c>
      <c r="W10" s="1">
        <v>45.579799999999999</v>
      </c>
      <c r="X10" s="1">
        <v>1.3514999999999999</v>
      </c>
      <c r="Z10" s="1">
        <v>1.03925</v>
      </c>
      <c r="AB10" s="1425">
        <v>45223</v>
      </c>
      <c r="AC10" s="1">
        <v>6.8407999999999998</v>
      </c>
      <c r="AD10" s="1502">
        <v>0.96340000000000003</v>
      </c>
      <c r="AE10" s="1">
        <v>5.2587000000000002</v>
      </c>
      <c r="AF10" s="1">
        <v>2.581E-2</v>
      </c>
      <c r="AH10" s="1425">
        <v>45223</v>
      </c>
      <c r="AI10" s="1">
        <v>9.7525999999999993</v>
      </c>
      <c r="AJ10" s="1">
        <v>1.7310000000000001</v>
      </c>
      <c r="AK10" s="1">
        <v>5.2450000000000001</v>
      </c>
      <c r="AL10" s="1">
        <v>2.9839999999999998E-2</v>
      </c>
      <c r="AN10" s="1425">
        <v>45223</v>
      </c>
      <c r="AO10" s="1">
        <v>7.1585000000000001</v>
      </c>
      <c r="AP10" s="1">
        <v>1.0903</v>
      </c>
      <c r="AQ10" s="1">
        <v>4.5853000000000002</v>
      </c>
      <c r="AR10" s="1">
        <v>0.27684999999999998</v>
      </c>
      <c r="AT10" s="1425">
        <v>45223</v>
      </c>
      <c r="AU10" s="1">
        <v>7.1597999999999997</v>
      </c>
      <c r="AX10" s="1">
        <v>0.18981000000000001</v>
      </c>
      <c r="BA10" s="1425">
        <v>45223</v>
      </c>
      <c r="BB10" s="1">
        <v>10.826000000000001</v>
      </c>
      <c r="BC10" s="1">
        <v>1.9246000000000001</v>
      </c>
      <c r="BD10" s="1">
        <v>10.856199999999999</v>
      </c>
      <c r="BE10" s="1">
        <v>0.54673000000000005</v>
      </c>
      <c r="BG10" s="1425">
        <v>45223</v>
      </c>
      <c r="BH10" s="1">
        <v>12.963800000000001</v>
      </c>
      <c r="BI10" s="1">
        <v>2.0990000000000002</v>
      </c>
      <c r="BJ10" s="1">
        <v>17.414300000000001</v>
      </c>
      <c r="BT10" s="1425">
        <v>45223</v>
      </c>
      <c r="BU10" s="1">
        <v>90.525400000000005</v>
      </c>
      <c r="BV10" s="1">
        <v>2.7042000000000002</v>
      </c>
      <c r="BW10" s="1">
        <v>14.5284</v>
      </c>
      <c r="BX10" s="1">
        <v>1.8217000000000001</v>
      </c>
      <c r="BZ10" s="1425">
        <v>45223</v>
      </c>
      <c r="CB10" s="1">
        <v>7.5128000000000004</v>
      </c>
      <c r="CC10" s="1">
        <v>41.639699999999998</v>
      </c>
      <c r="CD10" s="1">
        <v>3.85948</v>
      </c>
      <c r="CF10" s="1425">
        <v>45223</v>
      </c>
      <c r="CG10" s="1">
        <v>11.7475</v>
      </c>
      <c r="CH10" s="1">
        <v>1.1305000000000001</v>
      </c>
      <c r="CL10" s="1425">
        <v>45223</v>
      </c>
      <c r="CM10" s="1">
        <v>18.409199999999998</v>
      </c>
      <c r="CN10" s="1">
        <v>2.2271000000000001</v>
      </c>
      <c r="CO10" s="1">
        <v>9.0235000000000003</v>
      </c>
    </row>
    <row r="11" spans="1:93" ht="15" customHeight="1">
      <c r="A11" s="1425">
        <v>45222</v>
      </c>
      <c r="B11" s="20">
        <f t="shared" si="2"/>
        <v>20.471599999999999</v>
      </c>
      <c r="C11" s="20">
        <f t="shared" si="4"/>
        <v>45.3979</v>
      </c>
      <c r="D11" s="20">
        <f t="shared" si="5"/>
        <v>9.5117999999999991</v>
      </c>
      <c r="E11" s="20">
        <f t="shared" si="6"/>
        <v>7.0491999999999999</v>
      </c>
      <c r="F11" s="20">
        <f t="shared" si="7"/>
        <v>12.963800000000001</v>
      </c>
      <c r="G11" s="20">
        <f t="shared" si="8"/>
        <v>10.826000000000001</v>
      </c>
      <c r="H11" s="1239">
        <f t="shared" si="9"/>
        <v>10.826000000000001</v>
      </c>
      <c r="I11" s="1243">
        <f t="shared" si="3"/>
        <v>0.89096619249953801</v>
      </c>
      <c r="J11" s="1243">
        <f t="shared" si="10"/>
        <v>0.12093838824177333</v>
      </c>
      <c r="K11" s="1243">
        <f t="shared" si="11"/>
        <v>0.1</v>
      </c>
      <c r="L11" s="203"/>
      <c r="N11" s="1425">
        <v>45222</v>
      </c>
      <c r="O11" s="1502">
        <v>20.471599999999999</v>
      </c>
      <c r="P11" s="1502">
        <v>3.2709999999999999</v>
      </c>
      <c r="Q11" s="1502">
        <v>16.3505</v>
      </c>
      <c r="R11" s="1233">
        <f>'B. PE'!$U$23</f>
        <v>15.978235616082999</v>
      </c>
      <c r="S11" s="1233"/>
      <c r="T11" s="1233"/>
      <c r="V11" s="1425">
        <v>45222</v>
      </c>
      <c r="W11" s="1">
        <v>45.3979</v>
      </c>
      <c r="X11" s="1">
        <v>1.3461000000000001</v>
      </c>
      <c r="Z11" s="1">
        <v>0.99165000000000003</v>
      </c>
      <c r="AB11" s="1425">
        <v>45222</v>
      </c>
      <c r="AC11" s="1">
        <v>6.6444000000000001</v>
      </c>
      <c r="AD11" s="1502">
        <v>0.93569999999999998</v>
      </c>
      <c r="AE11" s="1">
        <v>5.1871</v>
      </c>
      <c r="AF11" s="1">
        <v>2.639E-2</v>
      </c>
      <c r="AH11" s="1425">
        <v>45222</v>
      </c>
      <c r="AI11" s="1">
        <v>9.5117999999999991</v>
      </c>
      <c r="AJ11" s="1">
        <v>1.6882999999999999</v>
      </c>
      <c r="AK11" s="1">
        <v>5.1193999999999997</v>
      </c>
      <c r="AL11" s="1">
        <v>2.9919999999999999E-2</v>
      </c>
      <c r="AN11" s="1425">
        <v>45222</v>
      </c>
      <c r="AO11" s="1">
        <v>7.0491999999999999</v>
      </c>
      <c r="AP11" s="1">
        <v>1.0736000000000001</v>
      </c>
      <c r="AQ11" s="1">
        <v>4.5019999999999998</v>
      </c>
      <c r="AR11" s="1">
        <v>0.27462999999999999</v>
      </c>
      <c r="AT11" s="1425">
        <v>45222</v>
      </c>
      <c r="AU11" s="1">
        <v>7.1203000000000003</v>
      </c>
      <c r="AX11" s="1">
        <v>0.19497</v>
      </c>
      <c r="BA11" s="1425">
        <v>45219</v>
      </c>
      <c r="BB11" s="1">
        <v>10.998699999999999</v>
      </c>
      <c r="BC11" s="1">
        <v>1.9553</v>
      </c>
      <c r="BD11" s="1">
        <v>10.965199999999999</v>
      </c>
      <c r="BE11" s="1">
        <v>0.53879999999999995</v>
      </c>
      <c r="BG11" s="1425">
        <v>45219</v>
      </c>
      <c r="BH11" s="1">
        <v>13.099500000000001</v>
      </c>
      <c r="BI11" s="1">
        <v>2.121</v>
      </c>
      <c r="BJ11" s="1">
        <v>17.5213</v>
      </c>
      <c r="BT11" s="1425">
        <v>45222</v>
      </c>
      <c r="BU11" s="1">
        <v>90.525400000000005</v>
      </c>
      <c r="BV11" s="1">
        <v>2.7042000000000002</v>
      </c>
      <c r="BW11" s="1">
        <v>14.5284</v>
      </c>
      <c r="BX11" s="1">
        <v>1.7512000000000001</v>
      </c>
      <c r="BZ11" s="1425">
        <v>45222</v>
      </c>
      <c r="CB11" s="1">
        <v>7.4328000000000003</v>
      </c>
      <c r="CC11" s="1">
        <v>41.305</v>
      </c>
      <c r="CD11" s="1">
        <v>3.8281399999999999</v>
      </c>
      <c r="CF11" s="1425">
        <v>45222</v>
      </c>
      <c r="CG11" s="1">
        <v>11.6717</v>
      </c>
      <c r="CH11" s="1">
        <v>1.1232</v>
      </c>
      <c r="CL11" s="1425">
        <v>45222</v>
      </c>
      <c r="CM11" s="1">
        <v>18.4253</v>
      </c>
      <c r="CN11" s="1">
        <v>2.2290000000000001</v>
      </c>
      <c r="CO11" s="1">
        <v>9.0306999999999995</v>
      </c>
    </row>
    <row r="12" spans="1:93" ht="15" customHeight="1">
      <c r="A12" s="1425">
        <v>45219</v>
      </c>
      <c r="B12" s="20">
        <f t="shared" si="2"/>
        <v>21.130700000000001</v>
      </c>
      <c r="C12" s="20">
        <f t="shared" si="4"/>
        <v>46.398600000000002</v>
      </c>
      <c r="D12" s="20">
        <f t="shared" si="5"/>
        <v>9.5117999999999991</v>
      </c>
      <c r="E12" s="20">
        <f t="shared" si="6"/>
        <v>7.2130999999999998</v>
      </c>
      <c r="F12" s="20">
        <f t="shared" si="7"/>
        <v>13.099500000000001</v>
      </c>
      <c r="G12" s="20">
        <f t="shared" si="8"/>
        <v>10.998699999999999</v>
      </c>
      <c r="H12" s="1239">
        <f t="shared" si="9"/>
        <v>10.998699999999999</v>
      </c>
      <c r="I12" s="1243">
        <f t="shared" si="3"/>
        <v>0.92119977815560028</v>
      </c>
      <c r="J12" s="1243">
        <f t="shared" si="10"/>
        <v>0.12093838824177333</v>
      </c>
      <c r="K12" s="1243">
        <f t="shared" si="11"/>
        <v>0.1</v>
      </c>
      <c r="L12" s="203"/>
      <c r="N12" s="1425">
        <v>45219</v>
      </c>
      <c r="O12" s="1502">
        <v>21.130700000000001</v>
      </c>
      <c r="P12" s="1502">
        <v>3.3763000000000001</v>
      </c>
      <c r="Q12" s="1502">
        <v>16.8491</v>
      </c>
      <c r="R12" s="1233">
        <f>'B. PE'!$U$23</f>
        <v>15.978235616082999</v>
      </c>
      <c r="S12" s="1233"/>
      <c r="T12" s="1233"/>
      <c r="V12" s="1425">
        <v>45219</v>
      </c>
      <c r="W12" s="1">
        <v>46.398600000000002</v>
      </c>
      <c r="X12" s="1">
        <v>1.3757999999999999</v>
      </c>
      <c r="Z12" s="1">
        <v>1.0455700000000001</v>
      </c>
      <c r="AB12" s="1425">
        <v>45219</v>
      </c>
      <c r="AC12" s="1">
        <v>6.7099000000000002</v>
      </c>
      <c r="AD12" s="1502">
        <v>0.94489999999999996</v>
      </c>
      <c r="AE12" s="1">
        <v>5.2110000000000003</v>
      </c>
      <c r="AF12" s="1">
        <v>2.682E-2</v>
      </c>
      <c r="AH12" s="1425">
        <v>45219</v>
      </c>
      <c r="AI12" s="1">
        <v>9.5117999999999991</v>
      </c>
      <c r="AJ12" s="1">
        <v>1.6882999999999999</v>
      </c>
      <c r="AK12" s="1">
        <v>5.1193999999999997</v>
      </c>
      <c r="AL12" s="1">
        <v>3.0620000000000001E-2</v>
      </c>
      <c r="AN12" s="1425">
        <v>45219</v>
      </c>
      <c r="AO12" s="1">
        <v>7.2130999999999998</v>
      </c>
      <c r="AP12" s="1">
        <v>1.0986</v>
      </c>
      <c r="AQ12" s="1">
        <v>4.6269</v>
      </c>
      <c r="AR12" s="1">
        <v>0.27810000000000001</v>
      </c>
      <c r="AT12" s="1425">
        <v>45219</v>
      </c>
      <c r="AU12" s="1">
        <v>7.1597999999999997</v>
      </c>
      <c r="AX12" s="1">
        <v>0.19699</v>
      </c>
      <c r="BA12" s="1425">
        <v>45218</v>
      </c>
      <c r="BB12" s="1">
        <v>11.4594</v>
      </c>
      <c r="BC12" s="1">
        <v>2.0371999999999999</v>
      </c>
      <c r="BD12" s="1">
        <v>11.255800000000001</v>
      </c>
      <c r="BE12" s="1">
        <v>0.55603000000000002</v>
      </c>
      <c r="BG12" s="1425">
        <v>45218</v>
      </c>
      <c r="BH12" s="1">
        <v>13.8461</v>
      </c>
      <c r="BI12" s="1">
        <v>2.2418</v>
      </c>
      <c r="BJ12" s="1">
        <v>18.109300000000001</v>
      </c>
      <c r="BT12" s="1425">
        <v>45219</v>
      </c>
      <c r="BU12" s="1">
        <v>94.104299999999995</v>
      </c>
      <c r="BV12" s="1">
        <v>2.8111000000000002</v>
      </c>
      <c r="BW12" s="1">
        <v>15.105700000000001</v>
      </c>
      <c r="BX12" s="1">
        <v>1.8221000000000001</v>
      </c>
      <c r="BZ12" s="1425">
        <v>45219</v>
      </c>
      <c r="CB12" s="1">
        <v>7.5768000000000004</v>
      </c>
      <c r="CC12" s="1">
        <v>41.907299999999999</v>
      </c>
      <c r="CD12" s="1">
        <v>3.87249</v>
      </c>
      <c r="CF12" s="1425">
        <v>45219</v>
      </c>
      <c r="CG12" s="1">
        <v>11.520099999999999</v>
      </c>
      <c r="CH12" s="1">
        <v>1.1086</v>
      </c>
      <c r="CL12" s="1425">
        <v>45219</v>
      </c>
      <c r="CM12" s="1">
        <v>18.409199999999998</v>
      </c>
      <c r="CN12" s="1">
        <v>2.2271000000000001</v>
      </c>
      <c r="CO12" s="1">
        <v>9.0235000000000003</v>
      </c>
    </row>
    <row r="13" spans="1:93" ht="15" customHeight="1">
      <c r="A13" s="1425">
        <v>45218</v>
      </c>
      <c r="B13" s="20">
        <f t="shared" si="2"/>
        <v>20.7818</v>
      </c>
      <c r="C13" s="20">
        <f t="shared" si="4"/>
        <v>44.306100000000001</v>
      </c>
      <c r="D13" s="20">
        <f t="shared" si="5"/>
        <v>9.5117999999999991</v>
      </c>
      <c r="E13" s="20">
        <f t="shared" si="6"/>
        <v>7.1585000000000001</v>
      </c>
      <c r="F13" s="20">
        <f t="shared" si="7"/>
        <v>13.8461</v>
      </c>
      <c r="G13" s="20">
        <f t="shared" si="8"/>
        <v>11.4594</v>
      </c>
      <c r="H13" s="1239">
        <f t="shared" si="9"/>
        <v>11.4594</v>
      </c>
      <c r="I13" s="1243">
        <f t="shared" si="3"/>
        <v>0.81351554182592456</v>
      </c>
      <c r="J13" s="1243">
        <f t="shared" si="10"/>
        <v>0.12093838824177333</v>
      </c>
      <c r="K13" s="1243">
        <f t="shared" si="11"/>
        <v>0.1</v>
      </c>
      <c r="L13" s="203"/>
      <c r="N13" s="1425">
        <v>45218</v>
      </c>
      <c r="O13" s="1502">
        <v>20.7818</v>
      </c>
      <c r="P13" s="1502">
        <v>3.3206000000000002</v>
      </c>
      <c r="Q13" s="1502">
        <v>16.585100000000001</v>
      </c>
      <c r="R13" s="1233">
        <f>'B. PE'!$U$23</f>
        <v>15.978235616082999</v>
      </c>
      <c r="S13" s="1233"/>
      <c r="T13" s="1233"/>
      <c r="V13" s="1425">
        <v>45218</v>
      </c>
      <c r="W13" s="1">
        <v>44.306100000000001</v>
      </c>
      <c r="X13" s="1">
        <v>1.3138000000000001</v>
      </c>
      <c r="Z13" s="1">
        <v>1.06778</v>
      </c>
      <c r="AB13" s="1425">
        <v>45218</v>
      </c>
      <c r="AC13" s="1">
        <v>6.8407999999999998</v>
      </c>
      <c r="AD13" s="1502">
        <v>0.96340000000000003</v>
      </c>
      <c r="AE13" s="1">
        <v>5.2587000000000002</v>
      </c>
      <c r="AF13" s="1">
        <v>2.7609999999999999E-2</v>
      </c>
      <c r="AH13" s="1425">
        <v>45218</v>
      </c>
      <c r="AI13" s="1">
        <v>9.5117999999999991</v>
      </c>
      <c r="AJ13" s="1">
        <v>1.6882999999999999</v>
      </c>
      <c r="AK13" s="1">
        <v>5.1193999999999997</v>
      </c>
      <c r="AL13" s="1">
        <v>3.0790000000000001E-2</v>
      </c>
      <c r="AN13" s="1425">
        <v>45218</v>
      </c>
      <c r="AO13" s="1">
        <v>7.1585000000000001</v>
      </c>
      <c r="AP13" s="1">
        <v>1.0903</v>
      </c>
      <c r="AQ13" s="1">
        <v>4.5853000000000002</v>
      </c>
      <c r="AR13" s="1">
        <v>0.27872000000000002</v>
      </c>
      <c r="AT13" s="1425">
        <v>45218</v>
      </c>
      <c r="AU13" s="1">
        <v>7.3575999999999997</v>
      </c>
      <c r="AX13" s="1">
        <v>0.19742000000000001</v>
      </c>
      <c r="BA13" s="1425">
        <v>45217</v>
      </c>
      <c r="BB13" s="1">
        <v>11.2867</v>
      </c>
      <c r="BC13" s="1">
        <v>2.0065</v>
      </c>
      <c r="BD13" s="1">
        <v>11.146800000000001</v>
      </c>
      <c r="BE13" s="1">
        <v>0.57359000000000004</v>
      </c>
      <c r="BG13" s="1425">
        <v>45217</v>
      </c>
      <c r="BH13" s="1">
        <v>14.389099999999999</v>
      </c>
      <c r="BI13" s="1">
        <v>2.3298000000000001</v>
      </c>
      <c r="BJ13" s="1">
        <v>18.536899999999999</v>
      </c>
      <c r="BT13" s="1425">
        <v>45218</v>
      </c>
      <c r="BU13" s="1">
        <v>90.525400000000005</v>
      </c>
      <c r="BV13" s="1">
        <v>2.7042000000000002</v>
      </c>
      <c r="BW13" s="1">
        <v>14.5284</v>
      </c>
      <c r="BX13" s="1">
        <v>1.8906000000000001</v>
      </c>
      <c r="BZ13" s="1425">
        <v>45218</v>
      </c>
      <c r="CB13" s="1">
        <v>7.5208000000000004</v>
      </c>
      <c r="CC13" s="1">
        <v>41.673099999999998</v>
      </c>
      <c r="CD13" s="1">
        <v>3.8587199999999999</v>
      </c>
      <c r="CF13" s="1425">
        <v>45218</v>
      </c>
      <c r="CG13" s="1">
        <v>11.368499999999999</v>
      </c>
      <c r="CH13" s="1">
        <v>1.0940000000000001</v>
      </c>
      <c r="CL13" s="1425">
        <v>45218</v>
      </c>
      <c r="CM13" s="1">
        <v>18.3931</v>
      </c>
      <c r="CN13" s="1">
        <v>2.2250999999999999</v>
      </c>
      <c r="CO13" s="1">
        <v>9.0164000000000009</v>
      </c>
    </row>
    <row r="14" spans="1:93" ht="15" customHeight="1">
      <c r="A14" s="1425">
        <v>45217</v>
      </c>
      <c r="B14" s="20">
        <f t="shared" si="2"/>
        <v>21.673500000000001</v>
      </c>
      <c r="C14" s="20">
        <f t="shared" si="4"/>
        <v>46.671500000000002</v>
      </c>
      <c r="D14" s="20">
        <f t="shared" si="5"/>
        <v>9.7125000000000004</v>
      </c>
      <c r="E14" s="20">
        <f t="shared" si="6"/>
        <v>7.2130999999999998</v>
      </c>
      <c r="F14" s="20">
        <f t="shared" si="7"/>
        <v>14.389099999999999</v>
      </c>
      <c r="G14" s="20">
        <f t="shared" si="8"/>
        <v>11.2867</v>
      </c>
      <c r="H14" s="1239">
        <f t="shared" si="9"/>
        <v>11.2867</v>
      </c>
      <c r="I14" s="1243">
        <f t="shared" si="3"/>
        <v>0.92026898916423772</v>
      </c>
      <c r="J14" s="1243">
        <f t="shared" si="10"/>
        <v>0.12093838824177333</v>
      </c>
      <c r="K14" s="1243">
        <f t="shared" si="11"/>
        <v>0.1</v>
      </c>
      <c r="L14" s="203"/>
      <c r="N14" s="1425">
        <v>45217</v>
      </c>
      <c r="O14" s="1502">
        <v>21.673500000000001</v>
      </c>
      <c r="P14" s="1502">
        <v>3.4630000000000001</v>
      </c>
      <c r="Q14" s="1502">
        <v>17.259599999999999</v>
      </c>
      <c r="R14" s="1233">
        <f>'B. PE'!$U$23</f>
        <v>15.978235616082999</v>
      </c>
      <c r="S14" s="1233"/>
      <c r="T14" s="1233"/>
      <c r="V14" s="1425">
        <v>45217</v>
      </c>
      <c r="W14" s="1">
        <v>46.671500000000002</v>
      </c>
      <c r="X14" s="1">
        <v>1.3838999999999999</v>
      </c>
      <c r="Z14" s="1">
        <v>1.0833600000000001</v>
      </c>
      <c r="AB14" s="1425">
        <v>45217</v>
      </c>
      <c r="AC14" s="1">
        <v>6.9390000000000001</v>
      </c>
      <c r="AD14" s="1502">
        <v>0.97719999999999996</v>
      </c>
      <c r="AE14" s="1">
        <v>5.2944000000000004</v>
      </c>
      <c r="AF14" s="1">
        <v>2.7660000000000001E-2</v>
      </c>
      <c r="AH14" s="1425">
        <v>45217</v>
      </c>
      <c r="AI14" s="1">
        <v>9.7125000000000004</v>
      </c>
      <c r="AJ14" s="1">
        <v>1.7239</v>
      </c>
      <c r="AK14" s="1">
        <v>5.2241</v>
      </c>
      <c r="AL14" s="1">
        <v>3.1350000000000003E-2</v>
      </c>
      <c r="AN14" s="1425">
        <v>45217</v>
      </c>
      <c r="AO14" s="1">
        <v>7.2130999999999998</v>
      </c>
      <c r="AP14" s="1">
        <v>1.0986</v>
      </c>
      <c r="AQ14" s="1">
        <v>4.6269</v>
      </c>
      <c r="AR14" s="1">
        <v>0.28294000000000002</v>
      </c>
      <c r="AT14" s="1425">
        <v>45217</v>
      </c>
      <c r="AU14" s="1">
        <v>7.3971999999999998</v>
      </c>
      <c r="AX14" s="1">
        <v>0.19742000000000001</v>
      </c>
      <c r="BA14" s="1425">
        <v>45216</v>
      </c>
      <c r="BB14" s="1">
        <v>11.632199999999999</v>
      </c>
      <c r="BC14" s="1">
        <v>2.0680000000000001</v>
      </c>
      <c r="BD14" s="1">
        <v>11.364800000000001</v>
      </c>
      <c r="BE14" s="1">
        <v>0.59128999999999998</v>
      </c>
      <c r="BG14" s="1425">
        <v>45216</v>
      </c>
      <c r="BH14" s="1">
        <v>15.0679</v>
      </c>
      <c r="BI14" s="1">
        <v>2.4397000000000002</v>
      </c>
      <c r="BJ14" s="1">
        <v>19.0715</v>
      </c>
      <c r="BT14" s="1425">
        <v>45217</v>
      </c>
      <c r="BU14" s="1">
        <v>94.104299999999995</v>
      </c>
      <c r="BV14" s="1">
        <v>2.8111000000000002</v>
      </c>
      <c r="BW14" s="1">
        <v>15.105700000000001</v>
      </c>
      <c r="BX14" s="1">
        <v>1.9867999999999999</v>
      </c>
      <c r="BZ14" s="1425">
        <v>45217</v>
      </c>
      <c r="CB14" s="1">
        <v>7.6007999999999996</v>
      </c>
      <c r="CC14" s="1">
        <v>42.0077</v>
      </c>
      <c r="CD14" s="1">
        <v>3.9655</v>
      </c>
      <c r="CF14" s="1425">
        <v>45217</v>
      </c>
      <c r="CG14" s="1">
        <v>11.520099999999999</v>
      </c>
      <c r="CH14" s="1">
        <v>1.1086</v>
      </c>
      <c r="CL14" s="1425">
        <v>45217</v>
      </c>
      <c r="CM14" s="1">
        <v>18.6508</v>
      </c>
      <c r="CN14" s="1">
        <v>2.2563</v>
      </c>
      <c r="CO14" s="1">
        <v>9.1308000000000007</v>
      </c>
    </row>
    <row r="15" spans="1:93" ht="15" customHeight="1">
      <c r="A15" s="1425">
        <v>45216</v>
      </c>
      <c r="B15" s="20">
        <f t="shared" si="2"/>
        <v>21.0532</v>
      </c>
      <c r="C15" s="20">
        <f t="shared" si="4"/>
        <v>47.581299999999999</v>
      </c>
      <c r="D15" s="20">
        <f t="shared" si="5"/>
        <v>9.7125000000000004</v>
      </c>
      <c r="E15" s="20">
        <f t="shared" si="6"/>
        <v>7.2130999999999998</v>
      </c>
      <c r="F15" s="20">
        <f t="shared" si="7"/>
        <v>15.0679</v>
      </c>
      <c r="G15" s="20">
        <f t="shared" si="8"/>
        <v>11.632199999999999</v>
      </c>
      <c r="H15" s="1239">
        <f t="shared" si="9"/>
        <v>11.632199999999999</v>
      </c>
      <c r="I15" s="1243">
        <f t="shared" si="3"/>
        <v>0.80990698234211944</v>
      </c>
      <c r="J15" s="1243">
        <f t="shared" si="10"/>
        <v>0.12093838824177333</v>
      </c>
      <c r="K15" s="1243">
        <f t="shared" si="11"/>
        <v>0.1</v>
      </c>
      <c r="L15" s="203"/>
      <c r="N15" s="1425">
        <v>45216</v>
      </c>
      <c r="O15" s="1502">
        <v>21.0532</v>
      </c>
      <c r="P15" s="1502">
        <v>3.3639000000000001</v>
      </c>
      <c r="Q15" s="1502">
        <v>16.790400000000002</v>
      </c>
      <c r="R15" s="1233">
        <f>'B. PE'!$U$23</f>
        <v>15.978235616082999</v>
      </c>
      <c r="S15" s="1233"/>
      <c r="T15" s="1233"/>
      <c r="V15" s="1425">
        <v>45216</v>
      </c>
      <c r="W15" s="1">
        <v>47.581299999999999</v>
      </c>
      <c r="X15" s="1">
        <v>1.4109</v>
      </c>
      <c r="Z15" s="1">
        <v>1.1207</v>
      </c>
      <c r="AB15" s="1425">
        <v>45216</v>
      </c>
      <c r="AC15" s="1">
        <v>7.1026999999999996</v>
      </c>
      <c r="AD15" s="1502">
        <v>1.0002</v>
      </c>
      <c r="AE15" s="1">
        <v>5.3540000000000001</v>
      </c>
      <c r="AF15" s="1">
        <v>2.802E-2</v>
      </c>
      <c r="AH15" s="1425">
        <v>45216</v>
      </c>
      <c r="AI15" s="1">
        <v>9.7125000000000004</v>
      </c>
      <c r="AJ15" s="1">
        <v>1.7239</v>
      </c>
      <c r="AK15" s="1">
        <v>5.2241</v>
      </c>
      <c r="AL15" s="1">
        <v>3.159E-2</v>
      </c>
      <c r="AN15" s="1425">
        <v>45216</v>
      </c>
      <c r="AO15" s="1">
        <v>7.2130999999999998</v>
      </c>
      <c r="AP15" s="1">
        <v>1.0986</v>
      </c>
      <c r="AQ15" s="1">
        <v>4.6269</v>
      </c>
      <c r="AR15" s="1">
        <v>0.28123999999999999</v>
      </c>
      <c r="AT15" s="1425">
        <v>45216</v>
      </c>
      <c r="AU15" s="1">
        <v>7.3971999999999998</v>
      </c>
      <c r="AX15" s="1">
        <v>0.19666</v>
      </c>
      <c r="BA15" s="1425">
        <v>45215</v>
      </c>
      <c r="BB15" s="1">
        <v>11.9777</v>
      </c>
      <c r="BC15" s="1">
        <v>2.1294</v>
      </c>
      <c r="BD15" s="1">
        <v>11.582700000000001</v>
      </c>
      <c r="BE15" s="1">
        <v>0.60362000000000005</v>
      </c>
      <c r="BG15" s="1425">
        <v>45215</v>
      </c>
      <c r="BH15" s="1">
        <v>14.7964</v>
      </c>
      <c r="BI15" s="1">
        <v>2.3957000000000002</v>
      </c>
      <c r="BJ15" s="1">
        <v>18.857700000000001</v>
      </c>
      <c r="BT15" s="1425">
        <v>45216</v>
      </c>
      <c r="BU15" s="1">
        <v>97.472700000000003</v>
      </c>
      <c r="BV15" s="1">
        <v>2.9117000000000002</v>
      </c>
      <c r="BW15" s="1">
        <v>15.648999999999999</v>
      </c>
      <c r="BX15" s="1">
        <v>2.0246</v>
      </c>
      <c r="BZ15" s="1425">
        <v>45216</v>
      </c>
      <c r="CB15" s="1">
        <v>7.5608000000000004</v>
      </c>
      <c r="CC15" s="1">
        <v>41.840400000000002</v>
      </c>
      <c r="CD15" s="1">
        <v>3.9838</v>
      </c>
      <c r="CF15" s="1425">
        <v>45216</v>
      </c>
      <c r="CG15" s="1">
        <v>12.278</v>
      </c>
      <c r="CH15" s="1">
        <v>1.1815</v>
      </c>
      <c r="CL15" s="1425">
        <v>45216</v>
      </c>
      <c r="CM15" s="1">
        <v>19.069600000000001</v>
      </c>
      <c r="CN15" s="1">
        <v>2.3069999999999999</v>
      </c>
      <c r="CO15" s="1">
        <v>9.3168000000000006</v>
      </c>
    </row>
    <row r="16" spans="1:93" ht="15" customHeight="1">
      <c r="A16" s="1425">
        <v>45215</v>
      </c>
      <c r="B16" s="20">
        <f t="shared" si="2"/>
        <v>22.565300000000001</v>
      </c>
      <c r="C16" s="20">
        <f t="shared" si="4"/>
        <v>48.218200000000003</v>
      </c>
      <c r="D16" s="20">
        <f t="shared" si="5"/>
        <v>9.8729999999999993</v>
      </c>
      <c r="E16" s="20">
        <f t="shared" si="6"/>
        <v>7.3224</v>
      </c>
      <c r="F16" s="20">
        <f t="shared" si="7"/>
        <v>14.7964</v>
      </c>
      <c r="G16" s="20">
        <f t="shared" si="8"/>
        <v>11.9777</v>
      </c>
      <c r="H16" s="1239">
        <f t="shared" si="9"/>
        <v>11.9777</v>
      </c>
      <c r="I16" s="1243">
        <f t="shared" si="3"/>
        <v>0.88394266011003775</v>
      </c>
      <c r="J16" s="1243">
        <f t="shared" si="10"/>
        <v>0.12093838824177333</v>
      </c>
      <c r="K16" s="1243">
        <f t="shared" si="11"/>
        <v>0.1</v>
      </c>
      <c r="L16" s="203"/>
      <c r="N16" s="1425">
        <v>45215</v>
      </c>
      <c r="O16" s="1502">
        <v>22.565300000000001</v>
      </c>
      <c r="P16" s="1502">
        <v>3.6055000000000001</v>
      </c>
      <c r="Q16" s="1502">
        <v>17.934100000000001</v>
      </c>
      <c r="R16" s="1233">
        <f>'B. PE'!$U$23</f>
        <v>15.978235616082999</v>
      </c>
      <c r="S16" s="1233"/>
      <c r="T16" s="1233"/>
      <c r="V16" s="1425">
        <v>45215</v>
      </c>
      <c r="W16" s="1">
        <v>48.218200000000003</v>
      </c>
      <c r="X16" s="1">
        <v>1.4298</v>
      </c>
      <c r="Z16" s="1">
        <v>1.12497</v>
      </c>
      <c r="AB16" s="1425">
        <v>45215</v>
      </c>
      <c r="AC16" s="1">
        <v>7.1026999999999996</v>
      </c>
      <c r="AD16" s="1502">
        <v>1.0002</v>
      </c>
      <c r="AE16" s="1">
        <v>5.3540000000000001</v>
      </c>
      <c r="AF16" s="1">
        <v>2.802E-2</v>
      </c>
      <c r="AH16" s="1425">
        <v>45215</v>
      </c>
      <c r="AI16" s="1">
        <v>9.8729999999999993</v>
      </c>
      <c r="AJ16" s="1">
        <v>1.7524</v>
      </c>
      <c r="AK16" s="1">
        <v>5.3079000000000001</v>
      </c>
      <c r="AL16" s="1">
        <v>3.1329999999999997E-2</v>
      </c>
      <c r="AN16" s="1425">
        <v>45215</v>
      </c>
      <c r="AO16" s="1">
        <v>7.3224</v>
      </c>
      <c r="AP16" s="1">
        <v>1.1152</v>
      </c>
      <c r="AQ16" s="1">
        <v>4.7102000000000004</v>
      </c>
      <c r="AR16" s="1">
        <v>0.28420000000000001</v>
      </c>
      <c r="AT16" s="1425">
        <v>45215</v>
      </c>
      <c r="AU16" s="1">
        <v>7.3971999999999998</v>
      </c>
      <c r="AX16" s="1">
        <v>0.19724</v>
      </c>
      <c r="BA16" s="1425">
        <v>45211</v>
      </c>
      <c r="BB16" s="1">
        <v>12.380800000000001</v>
      </c>
      <c r="BC16" s="1">
        <v>2.2010000000000001</v>
      </c>
      <c r="BD16" s="1">
        <v>11.837</v>
      </c>
      <c r="BE16" s="1">
        <v>0.58221000000000001</v>
      </c>
      <c r="BG16" s="1425">
        <v>45211</v>
      </c>
      <c r="BH16" s="1">
        <v>15.2036</v>
      </c>
      <c r="BI16" s="1">
        <v>2.4615999999999998</v>
      </c>
      <c r="BJ16" s="1">
        <v>19.1784</v>
      </c>
      <c r="BT16" s="1425">
        <v>45215</v>
      </c>
      <c r="BU16" s="1">
        <v>102.31480000000001</v>
      </c>
      <c r="BV16" s="1">
        <v>3.0562999999999998</v>
      </c>
      <c r="BW16" s="1">
        <v>16.43</v>
      </c>
      <c r="BX16" s="1">
        <v>1.98</v>
      </c>
      <c r="BZ16" s="1425">
        <v>45215</v>
      </c>
      <c r="CB16" s="1">
        <v>7.7607999999999997</v>
      </c>
      <c r="CC16" s="1">
        <v>42.677</v>
      </c>
      <c r="CD16" s="1">
        <v>3.9271799999999999</v>
      </c>
      <c r="CF16" s="1425">
        <v>45215</v>
      </c>
      <c r="CG16" s="1">
        <v>12.5054</v>
      </c>
      <c r="CH16" s="1">
        <v>1.2034</v>
      </c>
      <c r="CL16" s="1425">
        <v>45215</v>
      </c>
      <c r="CM16" s="1">
        <v>19.1662</v>
      </c>
      <c r="CN16" s="1">
        <v>2.3186</v>
      </c>
      <c r="CO16" s="1">
        <v>9.3597000000000001</v>
      </c>
    </row>
    <row r="17" spans="1:93" ht="15" customHeight="1">
      <c r="A17" s="1425">
        <v>45212</v>
      </c>
      <c r="B17" s="20">
        <f t="shared" si="2"/>
        <v>23.534600000000001</v>
      </c>
      <c r="C17" s="20">
        <f t="shared" si="4"/>
        <v>49.855800000000002</v>
      </c>
      <c r="D17" s="20">
        <f t="shared" si="5"/>
        <v>9.9533000000000005</v>
      </c>
      <c r="E17" s="20">
        <f t="shared" si="6"/>
        <v>7.2678000000000003</v>
      </c>
      <c r="F17" s="20">
        <f t="shared" si="7"/>
        <v>14.7964</v>
      </c>
      <c r="G17" s="20">
        <f t="shared" si="8"/>
        <v>11.9777</v>
      </c>
      <c r="H17" s="1239">
        <f t="shared" si="9"/>
        <v>11.9777</v>
      </c>
      <c r="I17" s="1243">
        <f t="shared" si="3"/>
        <v>0.96486804645299173</v>
      </c>
      <c r="J17" s="1243">
        <f t="shared" si="10"/>
        <v>0.12093838824177333</v>
      </c>
      <c r="K17" s="1243">
        <f t="shared" si="11"/>
        <v>0.1</v>
      </c>
      <c r="L17" s="203"/>
      <c r="N17" s="1425">
        <v>45212</v>
      </c>
      <c r="O17" s="1502">
        <v>23.534600000000001</v>
      </c>
      <c r="P17" s="1502">
        <v>3.7604000000000002</v>
      </c>
      <c r="Q17" s="1502">
        <v>18.667200000000001</v>
      </c>
      <c r="R17" s="1233">
        <f>'B. PE'!$U$23</f>
        <v>15.978235616082999</v>
      </c>
      <c r="S17" s="1233"/>
      <c r="T17" s="1233"/>
      <c r="V17" s="1425">
        <v>45212</v>
      </c>
      <c r="W17" s="1">
        <v>49.855800000000002</v>
      </c>
      <c r="X17" s="1">
        <v>1.4782999999999999</v>
      </c>
      <c r="Z17" s="1">
        <v>1.10561</v>
      </c>
      <c r="AB17" s="1425">
        <v>45212</v>
      </c>
      <c r="AC17" s="1">
        <v>7.2008999999999999</v>
      </c>
      <c r="AD17" s="1502">
        <v>1.0141</v>
      </c>
      <c r="AE17" s="1">
        <v>5.3898000000000001</v>
      </c>
      <c r="AF17" s="1">
        <v>2.8680000000000001E-2</v>
      </c>
      <c r="AH17" s="1425">
        <v>45212</v>
      </c>
      <c r="AI17" s="1">
        <v>9.9533000000000005</v>
      </c>
      <c r="AJ17" s="1">
        <v>1.7665999999999999</v>
      </c>
      <c r="AK17" s="1">
        <v>5.3498000000000001</v>
      </c>
      <c r="AL17" s="1">
        <v>3.1870000000000002E-2</v>
      </c>
      <c r="AN17" s="1425">
        <v>45212</v>
      </c>
      <c r="AO17" s="1">
        <v>7.2678000000000003</v>
      </c>
      <c r="AP17" s="1">
        <v>1.1069</v>
      </c>
      <c r="AQ17" s="1">
        <v>4.6685999999999996</v>
      </c>
      <c r="AR17" s="1">
        <v>0.28189999999999998</v>
      </c>
      <c r="AT17" s="1425">
        <v>45212</v>
      </c>
      <c r="AU17" s="1">
        <v>7.3575999999999997</v>
      </c>
      <c r="AX17" s="1">
        <v>0.19606000000000001</v>
      </c>
      <c r="BA17" s="1425">
        <v>45210</v>
      </c>
      <c r="BB17" s="1">
        <v>12.668699999999999</v>
      </c>
      <c r="BC17" s="1">
        <v>2.2522000000000002</v>
      </c>
      <c r="BD17" s="1">
        <v>12.018599999999999</v>
      </c>
      <c r="BE17" s="1">
        <v>0.57540999999999998</v>
      </c>
      <c r="BG17" s="1425">
        <v>45210</v>
      </c>
      <c r="BH17" s="1">
        <v>15.475099999999999</v>
      </c>
      <c r="BI17" s="1">
        <v>2.5055999999999998</v>
      </c>
      <c r="BJ17" s="1">
        <v>19.392199999999999</v>
      </c>
      <c r="BT17" s="1425">
        <v>45212</v>
      </c>
      <c r="BU17" s="1">
        <v>104.20950000000001</v>
      </c>
      <c r="BV17" s="1">
        <v>3.1128999999999998</v>
      </c>
      <c r="BW17" s="1">
        <v>16.735600000000002</v>
      </c>
      <c r="BX17" s="1">
        <v>2.0188000000000001</v>
      </c>
      <c r="BZ17" s="1425">
        <v>45212</v>
      </c>
      <c r="CB17" s="1">
        <v>7.7927999999999997</v>
      </c>
      <c r="CC17" s="1">
        <v>42.8108</v>
      </c>
      <c r="CD17" s="1">
        <v>3.9310399999999999</v>
      </c>
      <c r="CF17" s="1425">
        <v>45212</v>
      </c>
      <c r="CG17" s="1">
        <v>12.3538</v>
      </c>
      <c r="CH17" s="1">
        <v>1.1888000000000001</v>
      </c>
      <c r="CL17" s="1425">
        <v>45212</v>
      </c>
      <c r="CM17" s="1">
        <v>19.279</v>
      </c>
      <c r="CN17" s="1">
        <v>2.3323</v>
      </c>
      <c r="CO17" s="1">
        <v>9.4098000000000006</v>
      </c>
    </row>
    <row r="18" spans="1:93" ht="15" customHeight="1">
      <c r="A18" s="1425">
        <v>45211</v>
      </c>
      <c r="B18" s="20">
        <f t="shared" si="2"/>
        <v>23.534600000000001</v>
      </c>
      <c r="C18" s="20">
        <f t="shared" si="4"/>
        <v>50.037700000000001</v>
      </c>
      <c r="D18" s="20">
        <f t="shared" si="5"/>
        <v>9.8729999999999993</v>
      </c>
      <c r="E18" s="20">
        <f t="shared" si="6"/>
        <v>7.3224</v>
      </c>
      <c r="F18" s="20">
        <f t="shared" si="7"/>
        <v>15.2036</v>
      </c>
      <c r="G18" s="20">
        <f t="shared" si="8"/>
        <v>12.380800000000001</v>
      </c>
      <c r="H18" s="1239">
        <f t="shared" si="9"/>
        <v>12.380800000000001</v>
      </c>
      <c r="I18" s="1243">
        <f t="shared" si="3"/>
        <v>0.90089493409149646</v>
      </c>
      <c r="J18" s="1243">
        <f t="shared" si="10"/>
        <v>0.12093838824177333</v>
      </c>
      <c r="K18" s="1243">
        <f t="shared" si="11"/>
        <v>0.1</v>
      </c>
      <c r="L18" s="203"/>
      <c r="N18" s="1425">
        <v>45211</v>
      </c>
      <c r="O18" s="1502">
        <v>23.534600000000001</v>
      </c>
      <c r="P18" s="1502">
        <v>3.7604000000000002</v>
      </c>
      <c r="Q18" s="1502">
        <v>18.667200000000001</v>
      </c>
      <c r="R18" s="1233">
        <f>'B. PE'!$U$23</f>
        <v>15.978235616082999</v>
      </c>
      <c r="S18" s="1233"/>
      <c r="T18" s="1233"/>
      <c r="V18" s="1425">
        <v>45211</v>
      </c>
      <c r="W18" s="1">
        <v>50.037700000000001</v>
      </c>
      <c r="X18" s="1">
        <v>1.4837</v>
      </c>
      <c r="Z18" s="1">
        <v>1.0859300000000001</v>
      </c>
      <c r="AB18" s="1425">
        <v>45211</v>
      </c>
      <c r="AC18" s="1">
        <v>7.2008999999999999</v>
      </c>
      <c r="AD18" s="1502">
        <v>1.0141</v>
      </c>
      <c r="AE18" s="1">
        <v>5.3898000000000001</v>
      </c>
      <c r="AF18" s="1">
        <v>2.811E-2</v>
      </c>
      <c r="AH18" s="1425">
        <v>45211</v>
      </c>
      <c r="AI18" s="1">
        <v>9.8729999999999993</v>
      </c>
      <c r="AJ18" s="1">
        <v>1.7524</v>
      </c>
      <c r="AK18" s="1">
        <v>5.3079000000000001</v>
      </c>
      <c r="AL18" s="1">
        <v>3.211E-2</v>
      </c>
      <c r="AN18" s="1425">
        <v>45211</v>
      </c>
      <c r="AO18" s="1">
        <v>7.3224</v>
      </c>
      <c r="AP18" s="1">
        <v>1.1152</v>
      </c>
      <c r="AQ18" s="1">
        <v>4.7102000000000004</v>
      </c>
      <c r="AR18" s="1">
        <v>0.27918999999999999</v>
      </c>
      <c r="AT18" s="1425">
        <v>45211</v>
      </c>
      <c r="AU18" s="1">
        <v>7.3575999999999997</v>
      </c>
      <c r="AX18" s="1">
        <v>0.19670000000000001</v>
      </c>
      <c r="BA18" s="1425">
        <v>45209</v>
      </c>
      <c r="BB18" s="1">
        <v>12.265599999999999</v>
      </c>
      <c r="BC18" s="1">
        <v>2.1806000000000001</v>
      </c>
      <c r="BD18" s="1">
        <v>11.7643</v>
      </c>
      <c r="BE18" s="1">
        <v>0.58442000000000005</v>
      </c>
      <c r="BG18" s="1425">
        <v>45209</v>
      </c>
      <c r="BH18" s="1">
        <v>14.9321</v>
      </c>
      <c r="BI18" s="1">
        <v>2.4177</v>
      </c>
      <c r="BJ18" s="1">
        <v>18.964600000000001</v>
      </c>
      <c r="BT18" s="1425">
        <v>45211</v>
      </c>
      <c r="BU18" s="1">
        <v>101.8937</v>
      </c>
      <c r="BV18" s="1">
        <v>3.0438000000000001</v>
      </c>
      <c r="BW18" s="1">
        <v>16.362100000000002</v>
      </c>
      <c r="BX18" s="1">
        <v>2.0017999999999998</v>
      </c>
      <c r="BZ18" s="1425">
        <v>45211</v>
      </c>
      <c r="CB18" s="1">
        <v>7.6807999999999996</v>
      </c>
      <c r="CC18" s="1">
        <v>42.342399999999998</v>
      </c>
      <c r="CD18" s="1">
        <v>3.8970600000000002</v>
      </c>
      <c r="CF18" s="1425">
        <v>45211</v>
      </c>
      <c r="CG18" s="1">
        <v>12.3538</v>
      </c>
      <c r="CH18" s="1">
        <v>1.1888000000000001</v>
      </c>
      <c r="CL18" s="1425">
        <v>45211</v>
      </c>
      <c r="CM18" s="1">
        <v>19.7944</v>
      </c>
      <c r="CN18" s="1">
        <v>2.3946000000000001</v>
      </c>
      <c r="CO18" s="1">
        <v>9.6386000000000003</v>
      </c>
    </row>
    <row r="19" spans="1:93" ht="15" customHeight="1">
      <c r="A19" s="1425">
        <v>45210</v>
      </c>
      <c r="B19" s="20">
        <f t="shared" si="2"/>
        <v>23.069299999999998</v>
      </c>
      <c r="C19" s="20">
        <f t="shared" si="4"/>
        <v>49.127899999999997</v>
      </c>
      <c r="D19" s="20">
        <f t="shared" si="5"/>
        <v>10.0336</v>
      </c>
      <c r="E19" s="20">
        <f t="shared" si="6"/>
        <v>7.2678000000000003</v>
      </c>
      <c r="F19" s="20">
        <f t="shared" si="7"/>
        <v>15.475099999999999</v>
      </c>
      <c r="G19" s="20">
        <f t="shared" si="8"/>
        <v>12.668699999999999</v>
      </c>
      <c r="H19" s="1239">
        <f t="shared" si="9"/>
        <v>12.668699999999999</v>
      </c>
      <c r="I19" s="1243">
        <f t="shared" si="3"/>
        <v>0.8209682129973872</v>
      </c>
      <c r="J19" s="1243">
        <f t="shared" si="10"/>
        <v>0.12093838824177333</v>
      </c>
      <c r="K19" s="1243">
        <f t="shared" si="11"/>
        <v>0.1</v>
      </c>
      <c r="L19" s="203"/>
      <c r="N19" s="1425">
        <v>45210</v>
      </c>
      <c r="O19" s="1502">
        <v>23.069299999999998</v>
      </c>
      <c r="P19" s="1502">
        <v>3.6861000000000002</v>
      </c>
      <c r="Q19" s="1502">
        <v>18.315300000000001</v>
      </c>
      <c r="R19" s="1233">
        <f>'B. PE'!$U$23</f>
        <v>15.978235616082999</v>
      </c>
      <c r="S19" s="1233"/>
      <c r="T19" s="1233"/>
      <c r="V19" s="1425">
        <v>45210</v>
      </c>
      <c r="W19" s="1">
        <v>49.127899999999997</v>
      </c>
      <c r="X19" s="1">
        <v>1.4567000000000001</v>
      </c>
      <c r="Z19" s="1">
        <v>1.08673</v>
      </c>
      <c r="AB19" s="1425">
        <v>45210</v>
      </c>
      <c r="AC19" s="1">
        <v>7.3644999999999996</v>
      </c>
      <c r="AD19" s="1502">
        <v>1.0370999999999999</v>
      </c>
      <c r="AE19" s="1">
        <v>5.4493999999999998</v>
      </c>
      <c r="AF19" s="1">
        <v>2.7369999999999998E-2</v>
      </c>
      <c r="AH19" s="1425">
        <v>45210</v>
      </c>
      <c r="AI19" s="1">
        <v>10.0336</v>
      </c>
      <c r="AJ19" s="1">
        <v>1.7808999999999999</v>
      </c>
      <c r="AK19" s="1">
        <v>5.3917000000000002</v>
      </c>
      <c r="AL19" s="1">
        <v>3.1189999999999999E-2</v>
      </c>
      <c r="AN19" s="1425">
        <v>45210</v>
      </c>
      <c r="AO19" s="1">
        <v>7.2678000000000003</v>
      </c>
      <c r="AP19" s="1">
        <v>1.1069</v>
      </c>
      <c r="AQ19" s="1">
        <v>4.6685999999999996</v>
      </c>
      <c r="AR19" s="1">
        <v>0.28111999999999998</v>
      </c>
      <c r="AT19" s="1425">
        <v>45210</v>
      </c>
      <c r="AU19" s="1">
        <v>7.3179999999999996</v>
      </c>
      <c r="AX19" s="1">
        <v>0.19234999999999999</v>
      </c>
      <c r="BA19" s="1425">
        <v>45208</v>
      </c>
      <c r="BB19" s="1">
        <v>12.265599999999999</v>
      </c>
      <c r="BC19" s="1">
        <v>2.1806000000000001</v>
      </c>
      <c r="BD19" s="1">
        <v>11.7643</v>
      </c>
      <c r="BE19" s="1">
        <v>0.60326000000000002</v>
      </c>
      <c r="BG19" s="1425">
        <v>45208</v>
      </c>
      <c r="BH19" s="1">
        <v>15.0679</v>
      </c>
      <c r="BI19" s="1">
        <v>2.4397000000000002</v>
      </c>
      <c r="BJ19" s="1">
        <v>19.0715</v>
      </c>
      <c r="BT19" s="1425">
        <v>45210</v>
      </c>
      <c r="BU19" s="1">
        <v>103.7884</v>
      </c>
      <c r="BV19" s="1">
        <v>3.1004</v>
      </c>
      <c r="BW19" s="1">
        <v>16.6677</v>
      </c>
      <c r="BX19" s="1">
        <v>1.9663999999999999</v>
      </c>
      <c r="BZ19" s="1425">
        <v>45210</v>
      </c>
      <c r="CB19" s="1">
        <v>7.6807999999999996</v>
      </c>
      <c r="CC19" s="1">
        <v>42.342399999999998</v>
      </c>
      <c r="CD19" s="1">
        <v>3.9368500000000002</v>
      </c>
      <c r="CF19" s="1425">
        <v>45210</v>
      </c>
      <c r="CG19" s="1">
        <v>12.1264</v>
      </c>
      <c r="CH19" s="1">
        <v>1.1669</v>
      </c>
      <c r="CL19" s="1425">
        <v>45210</v>
      </c>
      <c r="CM19" s="1">
        <v>19.890999999999998</v>
      </c>
      <c r="CN19" s="1">
        <v>2.4062999999999999</v>
      </c>
      <c r="CO19" s="1">
        <v>9.6815999999999995</v>
      </c>
    </row>
    <row r="20" spans="1:93" ht="15" customHeight="1">
      <c r="A20" s="1425">
        <v>45209</v>
      </c>
      <c r="B20" s="20">
        <f t="shared" si="2"/>
        <v>22.6816</v>
      </c>
      <c r="C20" s="20">
        <f t="shared" si="4"/>
        <v>48.218200000000003</v>
      </c>
      <c r="D20" s="20">
        <f t="shared" si="5"/>
        <v>10.133900000000001</v>
      </c>
      <c r="E20" s="20">
        <f t="shared" si="6"/>
        <v>7.2130999999999998</v>
      </c>
      <c r="F20" s="20">
        <f t="shared" si="7"/>
        <v>14.9321</v>
      </c>
      <c r="G20" s="20">
        <f t="shared" si="8"/>
        <v>12.265599999999999</v>
      </c>
      <c r="H20" s="1239">
        <f t="shared" si="9"/>
        <v>12.265599999999999</v>
      </c>
      <c r="I20" s="1243">
        <f t="shared" si="3"/>
        <v>0.84920427863292458</v>
      </c>
      <c r="J20" s="1243">
        <f t="shared" si="10"/>
        <v>0.12093838824177333</v>
      </c>
      <c r="K20" s="1243">
        <f t="shared" si="11"/>
        <v>0.1</v>
      </c>
      <c r="L20" s="203"/>
      <c r="N20" s="1425">
        <v>45209</v>
      </c>
      <c r="O20" s="1502">
        <v>22.6816</v>
      </c>
      <c r="P20" s="1502">
        <v>3.6240999999999999</v>
      </c>
      <c r="Q20" s="1502">
        <v>18.022099999999998</v>
      </c>
      <c r="R20" s="1233">
        <f>'B. PE'!$U$23</f>
        <v>15.978235616082999</v>
      </c>
      <c r="S20" s="1233"/>
      <c r="T20" s="1233"/>
      <c r="V20" s="1425">
        <v>45209</v>
      </c>
      <c r="W20" s="1">
        <v>48.218200000000003</v>
      </c>
      <c r="X20" s="1">
        <v>1.4298</v>
      </c>
      <c r="Z20" s="1">
        <v>1.0617799999999999</v>
      </c>
      <c r="AB20" s="1425">
        <v>45209</v>
      </c>
      <c r="AC20" s="1">
        <v>7.2336</v>
      </c>
      <c r="AD20" s="1502">
        <v>1.0186999999999999</v>
      </c>
      <c r="AE20" s="1">
        <v>5.4016999999999999</v>
      </c>
      <c r="AF20" s="1">
        <v>2.7609999999999999E-2</v>
      </c>
      <c r="AH20" s="1425">
        <v>45209</v>
      </c>
      <c r="AI20" s="1">
        <v>10.133900000000001</v>
      </c>
      <c r="AJ20" s="1">
        <v>1.7987</v>
      </c>
      <c r="AK20" s="1">
        <v>5.444</v>
      </c>
      <c r="AL20" s="1">
        <v>3.1320000000000001E-2</v>
      </c>
      <c r="AN20" s="1425">
        <v>45209</v>
      </c>
      <c r="AO20" s="1">
        <v>7.2130999999999998</v>
      </c>
      <c r="AP20" s="1">
        <v>1.0986</v>
      </c>
      <c r="AQ20" s="1">
        <v>4.6269</v>
      </c>
      <c r="AR20" s="1">
        <v>0.28226000000000001</v>
      </c>
      <c r="AT20" s="1425">
        <v>45209</v>
      </c>
      <c r="AU20" s="1">
        <v>7.3575999999999997</v>
      </c>
      <c r="AX20" s="1">
        <v>0.19419</v>
      </c>
      <c r="BA20" s="1425">
        <v>45205</v>
      </c>
      <c r="BB20" s="1">
        <v>12.4384</v>
      </c>
      <c r="BC20" s="1">
        <v>2.2113</v>
      </c>
      <c r="BD20" s="1">
        <v>11.8733</v>
      </c>
      <c r="BE20" s="1">
        <v>0.60677999999999999</v>
      </c>
      <c r="BG20" s="1425">
        <v>45205</v>
      </c>
      <c r="BH20" s="1">
        <v>15.339399999999999</v>
      </c>
      <c r="BI20" s="1">
        <v>2.4836</v>
      </c>
      <c r="BJ20" s="1">
        <v>19.285299999999999</v>
      </c>
      <c r="BT20" s="1425">
        <v>45209</v>
      </c>
      <c r="BU20" s="1">
        <v>102.8411</v>
      </c>
      <c r="BV20" s="1">
        <v>3.0720999999999998</v>
      </c>
      <c r="BW20" s="1">
        <v>16.514900000000001</v>
      </c>
      <c r="BX20" s="1">
        <v>1.9801</v>
      </c>
      <c r="BZ20" s="1425">
        <v>45209</v>
      </c>
      <c r="CB20" s="1">
        <v>7.6087999999999996</v>
      </c>
      <c r="CC20" s="1">
        <v>42.041200000000003</v>
      </c>
      <c r="CD20" s="1">
        <v>3.9970500000000002</v>
      </c>
      <c r="CF20" s="1425">
        <v>45209</v>
      </c>
      <c r="CG20" s="1">
        <v>12.050599999999999</v>
      </c>
      <c r="CH20" s="1">
        <v>1.1596</v>
      </c>
      <c r="CL20" s="1425">
        <v>45209</v>
      </c>
      <c r="CM20" s="1">
        <v>20.003699999999998</v>
      </c>
      <c r="CN20" s="1">
        <v>2.42</v>
      </c>
      <c r="CO20" s="1">
        <v>9.7316000000000003</v>
      </c>
    </row>
    <row r="21" spans="1:93" ht="15" customHeight="1">
      <c r="A21" s="1425">
        <v>45208</v>
      </c>
      <c r="B21" s="20">
        <f t="shared" si="2"/>
        <v>22.797899999999998</v>
      </c>
      <c r="C21" s="20">
        <f t="shared" si="4"/>
        <v>48.218200000000003</v>
      </c>
      <c r="D21" s="20">
        <f t="shared" si="5"/>
        <v>9.8329000000000004</v>
      </c>
      <c r="E21" s="20">
        <f t="shared" si="6"/>
        <v>7.2678000000000003</v>
      </c>
      <c r="F21" s="20">
        <f t="shared" si="7"/>
        <v>15.0679</v>
      </c>
      <c r="G21" s="20">
        <f t="shared" si="8"/>
        <v>12.265599999999999</v>
      </c>
      <c r="H21" s="1239">
        <f t="shared" si="9"/>
        <v>12.265599999999999</v>
      </c>
      <c r="I21" s="1243">
        <f t="shared" si="3"/>
        <v>0.85868608139838254</v>
      </c>
      <c r="J21" s="1243">
        <f t="shared" si="10"/>
        <v>0.12093838824177333</v>
      </c>
      <c r="K21" s="1243">
        <f t="shared" si="11"/>
        <v>0.1</v>
      </c>
      <c r="L21" s="203"/>
      <c r="N21" s="1425">
        <v>45208</v>
      </c>
      <c r="O21" s="1502">
        <v>22.797899999999998</v>
      </c>
      <c r="P21" s="1502">
        <v>3.6427</v>
      </c>
      <c r="Q21" s="1502">
        <v>18.11</v>
      </c>
      <c r="R21" s="1233">
        <f>'B. PE'!$U$23</f>
        <v>15.978235616082999</v>
      </c>
      <c r="S21" s="1233"/>
      <c r="T21" s="1233"/>
      <c r="V21" s="1425">
        <v>45208</v>
      </c>
      <c r="W21" s="1">
        <v>48.218200000000003</v>
      </c>
      <c r="X21" s="1">
        <v>1.4298</v>
      </c>
      <c r="Z21" s="1">
        <v>1.02844</v>
      </c>
      <c r="AB21" s="1425">
        <v>45208</v>
      </c>
      <c r="AC21" s="1">
        <v>7.0372000000000003</v>
      </c>
      <c r="AD21" s="1502">
        <v>0.99099999999999999</v>
      </c>
      <c r="AE21" s="1">
        <v>5.3301999999999996</v>
      </c>
      <c r="AF21" s="1">
        <v>2.7779999999999999E-2</v>
      </c>
      <c r="AH21" s="1425">
        <v>45208</v>
      </c>
      <c r="AI21" s="1">
        <v>9.8329000000000004</v>
      </c>
      <c r="AJ21" s="1">
        <v>1.7453000000000001</v>
      </c>
      <c r="AK21" s="1">
        <v>5.2869000000000002</v>
      </c>
      <c r="AL21" s="1">
        <v>3.1370000000000002E-2</v>
      </c>
      <c r="AN21" s="1425">
        <v>45208</v>
      </c>
      <c r="AO21" s="1">
        <v>7.2678000000000003</v>
      </c>
      <c r="AP21" s="1">
        <v>1.1069</v>
      </c>
      <c r="AQ21" s="1">
        <v>4.6685999999999996</v>
      </c>
      <c r="AR21" s="1">
        <v>0.28129999999999999</v>
      </c>
      <c r="AT21" s="1425">
        <v>45208</v>
      </c>
      <c r="AU21" s="1">
        <v>7.1993999999999998</v>
      </c>
      <c r="AX21" s="1">
        <v>0.19459000000000001</v>
      </c>
      <c r="BA21" s="1425">
        <v>45204</v>
      </c>
      <c r="BB21" s="1">
        <v>12.8415</v>
      </c>
      <c r="BC21" s="1">
        <v>2.2829000000000002</v>
      </c>
      <c r="BD21" s="1">
        <v>12.127599999999999</v>
      </c>
      <c r="BE21" s="1">
        <v>0.59028000000000003</v>
      </c>
      <c r="BG21" s="1425">
        <v>45204</v>
      </c>
      <c r="BH21" s="1">
        <v>15.610900000000001</v>
      </c>
      <c r="BI21" s="1">
        <v>2.5276000000000001</v>
      </c>
      <c r="BJ21" s="1">
        <v>19.499199999999998</v>
      </c>
      <c r="BT21" s="1425">
        <v>45208</v>
      </c>
      <c r="BU21" s="1">
        <v>100.94629999999999</v>
      </c>
      <c r="BV21" s="1">
        <v>3.0154999999999998</v>
      </c>
      <c r="BW21" s="1">
        <v>16.209299999999999</v>
      </c>
      <c r="BX21" s="1">
        <v>1.9258</v>
      </c>
      <c r="BZ21" s="1425">
        <v>45208</v>
      </c>
      <c r="CB21" s="1">
        <v>7.6807999999999996</v>
      </c>
      <c r="CC21" s="1">
        <v>42.342399999999998</v>
      </c>
      <c r="CD21" s="1">
        <v>3.8679000000000001</v>
      </c>
      <c r="CF21" s="1425">
        <v>45208</v>
      </c>
      <c r="CG21" s="1">
        <v>11.9749</v>
      </c>
      <c r="CH21" s="1">
        <v>1.1523000000000001</v>
      </c>
      <c r="CL21" s="1425">
        <v>45208</v>
      </c>
      <c r="CM21" s="1">
        <v>19.778300000000002</v>
      </c>
      <c r="CN21" s="1">
        <v>2.3927</v>
      </c>
      <c r="CO21" s="1">
        <v>9.6315000000000008</v>
      </c>
    </row>
    <row r="22" spans="1:93" ht="15" customHeight="1">
      <c r="A22" s="1425">
        <v>45205</v>
      </c>
      <c r="B22" s="20">
        <f t="shared" si="2"/>
        <v>22.4878</v>
      </c>
      <c r="C22" s="20">
        <f t="shared" si="4"/>
        <v>47.126399999999997</v>
      </c>
      <c r="D22" s="20">
        <f t="shared" si="5"/>
        <v>9.8329000000000004</v>
      </c>
      <c r="E22" s="20">
        <f t="shared" si="6"/>
        <v>7.2678000000000003</v>
      </c>
      <c r="F22" s="20">
        <f t="shared" si="7"/>
        <v>15.339399999999999</v>
      </c>
      <c r="G22" s="20">
        <f t="shared" si="8"/>
        <v>12.4384</v>
      </c>
      <c r="H22" s="1239">
        <f t="shared" si="9"/>
        <v>12.4384</v>
      </c>
      <c r="I22" s="1243">
        <f t="shared" si="3"/>
        <v>0.80793349626961675</v>
      </c>
      <c r="J22" s="1243">
        <f t="shared" si="10"/>
        <v>0.12093838824177333</v>
      </c>
      <c r="K22" s="1243">
        <f t="shared" si="11"/>
        <v>0.1</v>
      </c>
      <c r="L22" s="203"/>
      <c r="N22" s="1425">
        <v>45205</v>
      </c>
      <c r="O22" s="1502">
        <v>22.4878</v>
      </c>
      <c r="P22" s="1502">
        <v>3.5931000000000002</v>
      </c>
      <c r="Q22" s="1502">
        <v>17.875399999999999</v>
      </c>
      <c r="R22" s="1233">
        <f>'B. PE'!$U$23</f>
        <v>15.978235616082999</v>
      </c>
      <c r="S22" s="1233"/>
      <c r="T22" s="1233"/>
      <c r="V22" s="1425">
        <v>45205</v>
      </c>
      <c r="W22" s="1">
        <v>47.126399999999997</v>
      </c>
      <c r="X22" s="1">
        <v>1.3974</v>
      </c>
      <c r="Z22" s="1">
        <v>1.05315</v>
      </c>
      <c r="AB22" s="1425">
        <v>45205</v>
      </c>
      <c r="AC22" s="1">
        <v>7.07</v>
      </c>
      <c r="AD22" s="1502">
        <v>0.99560000000000004</v>
      </c>
      <c r="AE22" s="1">
        <v>5.3421000000000003</v>
      </c>
      <c r="AF22" s="1">
        <v>2.666E-2</v>
      </c>
      <c r="AH22" s="1425">
        <v>45205</v>
      </c>
      <c r="AI22" s="1">
        <v>9.8329000000000004</v>
      </c>
      <c r="AJ22" s="1">
        <v>1.7453000000000001</v>
      </c>
      <c r="AK22" s="1">
        <v>5.2869000000000002</v>
      </c>
      <c r="AL22" s="1">
        <v>3.141E-2</v>
      </c>
      <c r="AN22" s="1425">
        <v>45205</v>
      </c>
      <c r="AO22" s="1">
        <v>7.2678000000000003</v>
      </c>
      <c r="AP22" s="1">
        <v>1.1069</v>
      </c>
      <c r="AQ22" s="1">
        <v>4.6685999999999996</v>
      </c>
      <c r="AR22" s="1">
        <v>0.28117999999999999</v>
      </c>
      <c r="AT22" s="1425">
        <v>45205</v>
      </c>
      <c r="AU22" s="1">
        <v>7.2389000000000001</v>
      </c>
      <c r="AX22" s="1">
        <v>0.19661999999999999</v>
      </c>
      <c r="BA22" s="1425">
        <v>45203</v>
      </c>
      <c r="BB22" s="1">
        <v>12.898999999999999</v>
      </c>
      <c r="BC22" s="1">
        <v>2.2932000000000001</v>
      </c>
      <c r="BD22" s="1">
        <v>12.1639</v>
      </c>
      <c r="BE22" s="1">
        <v>0.57108999999999999</v>
      </c>
      <c r="BG22" s="1425">
        <v>45203</v>
      </c>
      <c r="BH22" s="1">
        <v>15.610900000000001</v>
      </c>
      <c r="BI22" s="1">
        <v>2.5276000000000001</v>
      </c>
      <c r="BJ22" s="1">
        <v>19.499199999999998</v>
      </c>
      <c r="BT22" s="1425">
        <v>45205</v>
      </c>
      <c r="BU22" s="1">
        <v>101.6832</v>
      </c>
      <c r="BV22" s="1">
        <v>3.0375000000000001</v>
      </c>
      <c r="BW22" s="1">
        <v>16.328099999999999</v>
      </c>
      <c r="BX22" s="1">
        <v>2.0160999999999998</v>
      </c>
      <c r="BZ22" s="1425">
        <v>45205</v>
      </c>
      <c r="CB22" s="1">
        <v>7.8007999999999997</v>
      </c>
      <c r="CC22" s="1">
        <v>42.844299999999997</v>
      </c>
      <c r="CD22" s="1">
        <v>3.90116</v>
      </c>
      <c r="CF22" s="1425">
        <v>45205</v>
      </c>
      <c r="CG22" s="1">
        <v>12.050599999999999</v>
      </c>
      <c r="CH22" s="1">
        <v>1.1596</v>
      </c>
      <c r="CL22" s="1425">
        <v>45205</v>
      </c>
      <c r="CM22" s="1">
        <v>20.052099999999999</v>
      </c>
      <c r="CN22" s="1">
        <v>2.4258000000000002</v>
      </c>
      <c r="CO22" s="1">
        <v>9.7530999999999999</v>
      </c>
    </row>
    <row r="23" spans="1:93" ht="15" customHeight="1">
      <c r="A23" s="1425">
        <v>45204</v>
      </c>
      <c r="B23" s="20">
        <f t="shared" si="2"/>
        <v>21.3246</v>
      </c>
      <c r="C23" s="20">
        <f t="shared" si="4"/>
        <v>45.6708</v>
      </c>
      <c r="D23" s="20">
        <f t="shared" si="5"/>
        <v>9.8329000000000004</v>
      </c>
      <c r="E23" s="20">
        <f t="shared" si="6"/>
        <v>7.2678000000000003</v>
      </c>
      <c r="F23" s="20">
        <f t="shared" si="7"/>
        <v>15.610900000000001</v>
      </c>
      <c r="G23" s="20">
        <f t="shared" si="8"/>
        <v>12.8415</v>
      </c>
      <c r="H23" s="1239">
        <f t="shared" si="9"/>
        <v>12.8415</v>
      </c>
      <c r="I23" s="1243">
        <f t="shared" si="3"/>
        <v>0.66060039714986574</v>
      </c>
      <c r="J23" s="1243">
        <f t="shared" si="10"/>
        <v>0.12093838824177333</v>
      </c>
      <c r="K23" s="1243">
        <f t="shared" si="11"/>
        <v>0.1</v>
      </c>
      <c r="L23" s="203"/>
      <c r="N23" s="1425">
        <v>45204</v>
      </c>
      <c r="O23" s="1502">
        <v>21.3246</v>
      </c>
      <c r="P23" s="1502">
        <v>3.4073000000000002</v>
      </c>
      <c r="Q23" s="1502">
        <v>16.995699999999999</v>
      </c>
      <c r="R23" s="1233">
        <f>'B. PE'!$U$23</f>
        <v>15.978235616082999</v>
      </c>
      <c r="S23" s="1233"/>
      <c r="T23" s="1233"/>
      <c r="V23" s="1425">
        <v>45204</v>
      </c>
      <c r="W23" s="1">
        <v>45.6708</v>
      </c>
      <c r="X23" s="1">
        <v>1.3542000000000001</v>
      </c>
      <c r="Z23" s="1">
        <v>1.05345</v>
      </c>
      <c r="AB23" s="1425">
        <v>45204</v>
      </c>
      <c r="AC23" s="1">
        <v>7.1026999999999996</v>
      </c>
      <c r="AD23" s="1502">
        <v>1.0002</v>
      </c>
      <c r="AE23" s="1">
        <v>5.3540000000000001</v>
      </c>
      <c r="AF23" s="1">
        <v>2.7689999999999999E-2</v>
      </c>
      <c r="AH23" s="1425">
        <v>45204</v>
      </c>
      <c r="AI23" s="1">
        <v>9.8329000000000004</v>
      </c>
      <c r="AJ23" s="1">
        <v>1.7453000000000001</v>
      </c>
      <c r="AK23" s="1">
        <v>5.2869000000000002</v>
      </c>
      <c r="AL23" s="1">
        <v>3.1800000000000002E-2</v>
      </c>
      <c r="AN23" s="1425">
        <v>45204</v>
      </c>
      <c r="AO23" s="1">
        <v>7.2678000000000003</v>
      </c>
      <c r="AP23" s="1">
        <v>1.1069</v>
      </c>
      <c r="AQ23" s="1">
        <v>4.6685999999999996</v>
      </c>
      <c r="AR23" s="1">
        <v>0.28360000000000002</v>
      </c>
      <c r="AT23" s="1425">
        <v>45204</v>
      </c>
      <c r="AU23" s="1">
        <v>7.2785000000000002</v>
      </c>
      <c r="AX23" s="1">
        <v>0.2</v>
      </c>
      <c r="BA23" s="1425">
        <v>45202</v>
      </c>
      <c r="BB23" s="1">
        <v>12.6111</v>
      </c>
      <c r="BC23" s="1">
        <v>2.242</v>
      </c>
      <c r="BD23" s="1">
        <v>11.9823</v>
      </c>
      <c r="BE23" s="1">
        <v>0.60702</v>
      </c>
      <c r="BG23" s="1425">
        <v>45202</v>
      </c>
      <c r="BH23" s="1">
        <v>15.339399999999999</v>
      </c>
      <c r="BI23" s="1">
        <v>2.4836</v>
      </c>
      <c r="BJ23" s="1">
        <v>19.285299999999999</v>
      </c>
      <c r="BT23" s="1425">
        <v>45204</v>
      </c>
      <c r="BU23" s="1">
        <v>98.946399999999997</v>
      </c>
      <c r="BV23" s="1">
        <v>2.9557000000000002</v>
      </c>
      <c r="BW23" s="1">
        <v>15.886699999999999</v>
      </c>
      <c r="BX23" s="1">
        <v>2.0085000000000002</v>
      </c>
      <c r="BZ23" s="1425">
        <v>45204</v>
      </c>
      <c r="CB23" s="1">
        <v>7.5528000000000004</v>
      </c>
      <c r="CC23" s="1">
        <v>41.807000000000002</v>
      </c>
      <c r="CD23" s="1">
        <v>3.6481400000000002</v>
      </c>
      <c r="CF23" s="1425">
        <v>45204</v>
      </c>
      <c r="CG23" s="1">
        <v>11.9749</v>
      </c>
      <c r="CH23" s="1">
        <v>1.1523000000000001</v>
      </c>
      <c r="CL23" s="1425">
        <v>45204</v>
      </c>
      <c r="CM23" s="1">
        <v>20.035900000000002</v>
      </c>
      <c r="CN23" s="1">
        <v>2.4239000000000002</v>
      </c>
      <c r="CO23" s="1">
        <v>9.7459000000000007</v>
      </c>
    </row>
    <row r="24" spans="1:93" ht="15" customHeight="1">
      <c r="A24" s="1425">
        <v>45203</v>
      </c>
      <c r="B24" s="20">
        <f t="shared" si="2"/>
        <v>21.557200000000002</v>
      </c>
      <c r="C24" s="20">
        <f t="shared" si="4"/>
        <v>46.762500000000003</v>
      </c>
      <c r="D24" s="20">
        <f t="shared" si="5"/>
        <v>9.8329000000000004</v>
      </c>
      <c r="E24" s="20">
        <f t="shared" si="6"/>
        <v>7.2678000000000003</v>
      </c>
      <c r="F24" s="20">
        <f t="shared" si="7"/>
        <v>15.610900000000001</v>
      </c>
      <c r="G24" s="20">
        <f t="shared" si="8"/>
        <v>12.898999999999999</v>
      </c>
      <c r="H24" s="1239">
        <f t="shared" si="9"/>
        <v>12.898999999999999</v>
      </c>
      <c r="I24" s="1243">
        <f t="shared" si="3"/>
        <v>0.67123032793239812</v>
      </c>
      <c r="J24" s="1243">
        <f t="shared" si="10"/>
        <v>0.12093838824177333</v>
      </c>
      <c r="K24" s="1243">
        <f t="shared" si="11"/>
        <v>0.1</v>
      </c>
      <c r="L24" s="203"/>
      <c r="N24" s="1425">
        <v>45203</v>
      </c>
      <c r="O24" s="1502">
        <v>21.557200000000002</v>
      </c>
      <c r="P24" s="1502">
        <v>3.4445000000000001</v>
      </c>
      <c r="Q24" s="1502">
        <v>17.171600000000002</v>
      </c>
      <c r="R24" s="1233">
        <f>'B. PE'!$U$23</f>
        <v>15.978235616082999</v>
      </c>
      <c r="S24" s="1233"/>
      <c r="T24" s="1233"/>
      <c r="V24" s="1425">
        <v>45203</v>
      </c>
      <c r="W24" s="1">
        <v>46.762500000000003</v>
      </c>
      <c r="X24" s="1">
        <v>1.3866000000000001</v>
      </c>
      <c r="Z24" s="1">
        <v>1.1344000000000001</v>
      </c>
      <c r="AB24" s="1425">
        <v>45203</v>
      </c>
      <c r="AC24" s="1">
        <v>6.8080999999999996</v>
      </c>
      <c r="AD24" s="1502">
        <v>0.95879999999999999</v>
      </c>
      <c r="AE24" s="1">
        <v>5.2466999999999997</v>
      </c>
      <c r="AF24" s="1">
        <v>2.8510000000000001E-2</v>
      </c>
      <c r="AH24" s="1425">
        <v>45203</v>
      </c>
      <c r="AI24" s="1">
        <v>9.8329000000000004</v>
      </c>
      <c r="AJ24" s="1">
        <v>1.7453000000000001</v>
      </c>
      <c r="AK24" s="1">
        <v>5.2869000000000002</v>
      </c>
      <c r="AL24" s="1">
        <v>3.1719999999999998E-2</v>
      </c>
      <c r="AN24" s="1425">
        <v>45203</v>
      </c>
      <c r="AO24" s="1">
        <v>7.2678000000000003</v>
      </c>
      <c r="AP24" s="1">
        <v>1.1069</v>
      </c>
      <c r="AQ24" s="1">
        <v>4.6685999999999996</v>
      </c>
      <c r="AR24" s="1">
        <v>0.28401999999999999</v>
      </c>
      <c r="AT24" s="1425">
        <v>45203</v>
      </c>
      <c r="AU24" s="1">
        <v>7.3575999999999997</v>
      </c>
      <c r="AX24" s="1">
        <v>0.20136000000000001</v>
      </c>
      <c r="BA24" s="1425">
        <v>45201</v>
      </c>
      <c r="BB24" s="1">
        <v>12.150399999999999</v>
      </c>
      <c r="BC24" s="1">
        <v>2.1600999999999999</v>
      </c>
      <c r="BD24" s="1">
        <v>11.691700000000001</v>
      </c>
      <c r="BE24" s="1">
        <v>0.62063000000000001</v>
      </c>
      <c r="BG24" s="1425">
        <v>45201</v>
      </c>
      <c r="BH24" s="1">
        <v>15.746600000000001</v>
      </c>
      <c r="BI24" s="1">
        <v>2.5495000000000001</v>
      </c>
      <c r="BJ24" s="1">
        <v>19.606100000000001</v>
      </c>
      <c r="BT24" s="1425">
        <v>45203</v>
      </c>
      <c r="BU24" s="1">
        <v>103.5779</v>
      </c>
      <c r="BV24" s="1">
        <v>3.0941000000000001</v>
      </c>
      <c r="BW24" s="1">
        <v>16.633700000000001</v>
      </c>
      <c r="BX24" s="1">
        <v>2.1332</v>
      </c>
      <c r="BZ24" s="1425">
        <v>45203</v>
      </c>
      <c r="CB24" s="1">
        <v>7.6167999999999996</v>
      </c>
      <c r="CC24" s="1">
        <v>42.0747</v>
      </c>
      <c r="CD24" s="1">
        <v>3.6991399999999999</v>
      </c>
      <c r="CF24" s="1425">
        <v>45203</v>
      </c>
      <c r="CG24" s="1">
        <v>11.9749</v>
      </c>
      <c r="CH24" s="1">
        <v>1.1523000000000001</v>
      </c>
      <c r="CL24" s="1425">
        <v>45203</v>
      </c>
      <c r="CM24" s="1">
        <v>19.8749</v>
      </c>
      <c r="CN24" s="1">
        <v>2.4043999999999999</v>
      </c>
      <c r="CO24" s="1">
        <v>9.6744000000000003</v>
      </c>
    </row>
    <row r="25" spans="1:93" ht="15" customHeight="1">
      <c r="A25" s="1425">
        <v>45202</v>
      </c>
      <c r="B25" s="20">
        <f t="shared" si="2"/>
        <v>20.898099999999999</v>
      </c>
      <c r="C25" s="20">
        <f t="shared" si="4"/>
        <v>46.762500000000003</v>
      </c>
      <c r="D25" s="20">
        <f t="shared" si="5"/>
        <v>9.9533000000000005</v>
      </c>
      <c r="E25" s="20">
        <f t="shared" si="6"/>
        <v>7.3224</v>
      </c>
      <c r="F25" s="20">
        <f t="shared" si="7"/>
        <v>15.339399999999999</v>
      </c>
      <c r="G25" s="20">
        <f t="shared" si="8"/>
        <v>12.6111</v>
      </c>
      <c r="H25" s="1239">
        <f t="shared" si="9"/>
        <v>12.6111</v>
      </c>
      <c r="I25" s="1243">
        <f t="shared" si="3"/>
        <v>0.65711952169120846</v>
      </c>
      <c r="J25" s="1243">
        <f t="shared" si="10"/>
        <v>0.12093838824177333</v>
      </c>
      <c r="K25" s="1243">
        <f t="shared" si="11"/>
        <v>0.1</v>
      </c>
      <c r="L25" s="203"/>
      <c r="N25" s="1425">
        <v>45202</v>
      </c>
      <c r="O25" s="1502">
        <v>20.898099999999999</v>
      </c>
      <c r="P25" s="1502">
        <v>3.3391000000000002</v>
      </c>
      <c r="Q25" s="1502">
        <v>16.673100000000002</v>
      </c>
      <c r="R25" s="1233">
        <f>'B. PE'!$U$23</f>
        <v>15.978235616082999</v>
      </c>
      <c r="S25" s="1233"/>
      <c r="T25" s="1233"/>
      <c r="V25" s="1425">
        <v>45202</v>
      </c>
      <c r="W25" s="1">
        <v>46.762500000000003</v>
      </c>
      <c r="X25" s="1">
        <v>1.3866000000000001</v>
      </c>
      <c r="Z25" s="1">
        <v>1.13828</v>
      </c>
      <c r="AB25" s="1425">
        <v>45202</v>
      </c>
      <c r="AC25" s="1">
        <v>7.07</v>
      </c>
      <c r="AD25" s="1502">
        <v>0.99560000000000004</v>
      </c>
      <c r="AE25" s="1">
        <v>5.3421000000000003</v>
      </c>
      <c r="AF25" s="1">
        <v>2.92E-2</v>
      </c>
      <c r="AH25" s="1425">
        <v>45202</v>
      </c>
      <c r="AI25" s="1">
        <v>9.9533000000000005</v>
      </c>
      <c r="AJ25" s="1">
        <v>1.7665999999999999</v>
      </c>
      <c r="AK25" s="1">
        <v>5.3498000000000001</v>
      </c>
      <c r="AL25" s="1">
        <v>3.2039999999999999E-2</v>
      </c>
      <c r="AN25" s="1425">
        <v>45202</v>
      </c>
      <c r="AO25" s="1">
        <v>7.3224</v>
      </c>
      <c r="AP25" s="1">
        <v>1.1152</v>
      </c>
      <c r="AQ25" s="1">
        <v>4.7102000000000004</v>
      </c>
      <c r="AR25" s="1">
        <v>0.28754000000000002</v>
      </c>
      <c r="AT25" s="1425">
        <v>45202</v>
      </c>
      <c r="AU25" s="1">
        <v>7.4763000000000002</v>
      </c>
      <c r="AX25" s="1">
        <v>0.20554</v>
      </c>
      <c r="BA25" s="1425">
        <v>45198</v>
      </c>
      <c r="BB25" s="1">
        <v>12.783899999999999</v>
      </c>
      <c r="BC25" s="1">
        <v>2.2726999999999999</v>
      </c>
      <c r="BD25" s="1">
        <v>12.091200000000001</v>
      </c>
      <c r="BE25" s="1">
        <v>0.61582000000000003</v>
      </c>
      <c r="BG25" s="1425">
        <v>45198</v>
      </c>
      <c r="BH25" s="1">
        <v>16.6968</v>
      </c>
      <c r="BI25" s="1">
        <v>2.7033999999999998</v>
      </c>
      <c r="BJ25" s="1">
        <v>20.354500000000002</v>
      </c>
      <c r="BT25" s="1425">
        <v>45202</v>
      </c>
      <c r="BU25" s="1">
        <v>103.1568</v>
      </c>
      <c r="BV25" s="1">
        <v>3.0815000000000001</v>
      </c>
      <c r="BW25" s="1">
        <v>16.565799999999999</v>
      </c>
      <c r="BX25" s="1">
        <v>2.1615000000000002</v>
      </c>
      <c r="BZ25" s="1425">
        <v>45202</v>
      </c>
      <c r="CB25" s="1">
        <v>7.1208</v>
      </c>
      <c r="CC25" s="1">
        <v>40</v>
      </c>
      <c r="CD25" s="1">
        <v>3.6572800000000001</v>
      </c>
      <c r="CF25" s="1425">
        <v>45202</v>
      </c>
      <c r="CG25" s="1">
        <v>11.899100000000001</v>
      </c>
      <c r="CH25" s="1">
        <v>1.1451</v>
      </c>
      <c r="CL25" s="1425">
        <v>45202</v>
      </c>
      <c r="CM25" s="1">
        <v>20.116499999999998</v>
      </c>
      <c r="CN25" s="1">
        <v>2.4336000000000002</v>
      </c>
      <c r="CO25" s="1">
        <v>9.7817000000000007</v>
      </c>
    </row>
    <row r="26" spans="1:93" ht="15" customHeight="1">
      <c r="A26" s="1425">
        <v>45201</v>
      </c>
      <c r="B26" s="20">
        <f t="shared" si="2"/>
        <v>22.449000000000002</v>
      </c>
      <c r="C26" s="20">
        <f t="shared" si="4"/>
        <v>50.219700000000003</v>
      </c>
      <c r="D26" s="20">
        <f t="shared" si="5"/>
        <v>9.9131</v>
      </c>
      <c r="E26" s="20">
        <f t="shared" si="6"/>
        <v>7.3224</v>
      </c>
      <c r="F26" s="20">
        <f t="shared" si="7"/>
        <v>15.746600000000001</v>
      </c>
      <c r="G26" s="20">
        <f t="shared" si="8"/>
        <v>12.150399999999999</v>
      </c>
      <c r="H26" s="1239">
        <f t="shared" si="9"/>
        <v>12.150399999999999</v>
      </c>
      <c r="I26" s="1243">
        <f t="shared" si="3"/>
        <v>0.84759349486436686</v>
      </c>
      <c r="J26" s="1243">
        <f t="shared" si="10"/>
        <v>0.12093838824177333</v>
      </c>
      <c r="K26" s="1243">
        <f t="shared" si="11"/>
        <v>0.1</v>
      </c>
      <c r="L26" s="203"/>
      <c r="N26" s="1425">
        <v>45201</v>
      </c>
      <c r="O26" s="1502">
        <v>22.449000000000002</v>
      </c>
      <c r="P26" s="1502">
        <v>3.5869</v>
      </c>
      <c r="Q26" s="1502">
        <v>17.8461</v>
      </c>
      <c r="R26" s="1233">
        <f>'B. PE'!$U$23</f>
        <v>15.978235616082999</v>
      </c>
      <c r="S26" s="1233"/>
      <c r="T26" s="1233"/>
      <c r="V26" s="1425">
        <v>45201</v>
      </c>
      <c r="W26" s="1">
        <v>50.219700000000003</v>
      </c>
      <c r="X26" s="1">
        <v>1.4891000000000001</v>
      </c>
      <c r="Z26" s="1">
        <v>1.1147499999999999</v>
      </c>
      <c r="AB26" s="1425">
        <v>45201</v>
      </c>
      <c r="AC26" s="1">
        <v>7.2663000000000002</v>
      </c>
      <c r="AD26" s="1502">
        <v>1.0233000000000001</v>
      </c>
      <c r="AE26" s="1">
        <v>5.4137000000000004</v>
      </c>
      <c r="AF26" s="1">
        <v>2.8559999999999999E-2</v>
      </c>
      <c r="AH26" s="1425">
        <v>45201</v>
      </c>
      <c r="AI26" s="1">
        <v>9.9131</v>
      </c>
      <c r="AJ26" s="1">
        <v>1.7595000000000001</v>
      </c>
      <c r="AK26" s="1">
        <v>5.3288000000000002</v>
      </c>
      <c r="AL26" s="1">
        <v>3.1519999999999999E-2</v>
      </c>
      <c r="AN26" s="1425">
        <v>45201</v>
      </c>
      <c r="AO26" s="1">
        <v>7.3224</v>
      </c>
      <c r="AP26" s="1">
        <v>1.1152</v>
      </c>
      <c r="AQ26" s="1">
        <v>4.7102000000000004</v>
      </c>
      <c r="AR26" s="1">
        <v>0.28461999999999998</v>
      </c>
      <c r="AT26" s="1425">
        <v>45201</v>
      </c>
      <c r="AU26" s="1">
        <v>7.5157999999999996</v>
      </c>
      <c r="AX26" s="1">
        <v>0.20285</v>
      </c>
      <c r="BA26" s="1425">
        <v>45197</v>
      </c>
      <c r="BB26" s="1">
        <v>13.0718</v>
      </c>
      <c r="BC26" s="1">
        <v>2.3239000000000001</v>
      </c>
      <c r="BD26" s="1">
        <v>12.2729</v>
      </c>
      <c r="BE26" s="1">
        <v>0.61729999999999996</v>
      </c>
      <c r="BG26" s="1425">
        <v>45197</v>
      </c>
      <c r="BH26" s="1">
        <v>16.832599999999999</v>
      </c>
      <c r="BI26" s="1">
        <v>2.7254</v>
      </c>
      <c r="BJ26" s="1">
        <v>20.461400000000001</v>
      </c>
      <c r="BT26" s="1425">
        <v>45201</v>
      </c>
      <c r="BU26" s="1">
        <v>109.262</v>
      </c>
      <c r="BV26" s="1">
        <v>3.2639</v>
      </c>
      <c r="BW26" s="1">
        <v>17.5505</v>
      </c>
      <c r="BX26" s="1">
        <v>2.1720999999999999</v>
      </c>
      <c r="BZ26" s="1425">
        <v>45201</v>
      </c>
      <c r="CB26" s="1">
        <v>7.2008000000000001</v>
      </c>
      <c r="CC26" s="1">
        <v>40.334600000000002</v>
      </c>
      <c r="CD26" s="1">
        <v>3.4918</v>
      </c>
      <c r="CF26" s="1425">
        <v>45201</v>
      </c>
      <c r="CG26" s="1">
        <v>12.202199999999999</v>
      </c>
      <c r="CH26" s="1">
        <v>1.1741999999999999</v>
      </c>
      <c r="CL26" s="1425">
        <v>45201</v>
      </c>
      <c r="CM26" s="1">
        <v>20.068200000000001</v>
      </c>
      <c r="CN26" s="1">
        <v>2.4278</v>
      </c>
      <c r="CO26" s="1">
        <v>9.7601999999999993</v>
      </c>
    </row>
    <row r="27" spans="1:93" ht="15" customHeight="1">
      <c r="A27" s="1425">
        <v>45198</v>
      </c>
      <c r="B27" s="20">
        <f t="shared" si="2"/>
        <v>22.449000000000002</v>
      </c>
      <c r="C27" s="20">
        <f t="shared" si="4"/>
        <v>50.401600000000002</v>
      </c>
      <c r="D27" s="20">
        <f t="shared" si="5"/>
        <v>9.9533000000000005</v>
      </c>
      <c r="E27" s="20">
        <f t="shared" si="6"/>
        <v>7.3769999999999998</v>
      </c>
      <c r="F27" s="20">
        <f t="shared" si="7"/>
        <v>16.6968</v>
      </c>
      <c r="G27" s="20">
        <f t="shared" si="8"/>
        <v>12.783899999999999</v>
      </c>
      <c r="H27" s="1239">
        <f t="shared" si="9"/>
        <v>12.783899999999999</v>
      </c>
      <c r="I27" s="1243">
        <f t="shared" si="3"/>
        <v>0.75603689015089315</v>
      </c>
      <c r="J27" s="1243">
        <f t="shared" si="10"/>
        <v>0.12093838824177333</v>
      </c>
      <c r="K27" s="1243">
        <f t="shared" si="11"/>
        <v>0.1</v>
      </c>
      <c r="L27" s="203"/>
      <c r="N27" s="1425">
        <v>45198</v>
      </c>
      <c r="O27" s="1502">
        <v>22.449000000000002</v>
      </c>
      <c r="P27" s="1502">
        <v>3.5869</v>
      </c>
      <c r="Q27" s="1502">
        <v>17.8461</v>
      </c>
      <c r="R27" s="1233">
        <f>'B. PE'!$U$23</f>
        <v>15.978235616082999</v>
      </c>
      <c r="S27" s="1233"/>
      <c r="T27" s="1233"/>
      <c r="V27" s="1425">
        <v>45198</v>
      </c>
      <c r="W27" s="1">
        <v>50.401600000000002</v>
      </c>
      <c r="X27" s="1">
        <v>1.4944999999999999</v>
      </c>
      <c r="Z27" s="1">
        <v>1.1149800000000001</v>
      </c>
      <c r="AB27" s="1425">
        <v>45198</v>
      </c>
      <c r="AC27" s="1">
        <v>7.3973000000000004</v>
      </c>
      <c r="AD27" s="1502">
        <v>1.0417000000000001</v>
      </c>
      <c r="AE27" s="1">
        <v>5.4612999999999996</v>
      </c>
      <c r="AF27" s="1">
        <v>2.8400000000000002E-2</v>
      </c>
      <c r="AH27" s="1425">
        <v>45198</v>
      </c>
      <c r="AI27" s="1">
        <v>9.9533000000000005</v>
      </c>
      <c r="AJ27" s="1">
        <v>1.7665999999999999</v>
      </c>
      <c r="AK27" s="1">
        <v>5.3498000000000001</v>
      </c>
      <c r="AL27" s="1">
        <v>3.2149999999999998E-2</v>
      </c>
      <c r="AN27" s="1425">
        <v>45198</v>
      </c>
      <c r="AO27" s="1">
        <v>7.3769999999999998</v>
      </c>
      <c r="AP27" s="1">
        <v>1.1234999999999999</v>
      </c>
      <c r="AQ27" s="1">
        <v>4.7518000000000002</v>
      </c>
      <c r="AR27" s="1">
        <v>0.28778999999999999</v>
      </c>
      <c r="AT27" s="1425">
        <v>45198</v>
      </c>
      <c r="AU27" s="1">
        <v>7.6345000000000001</v>
      </c>
      <c r="AX27" s="1">
        <v>0.20465</v>
      </c>
      <c r="BA27" s="1425">
        <v>45196</v>
      </c>
      <c r="BB27" s="1">
        <v>13.014200000000001</v>
      </c>
      <c r="BC27" s="1">
        <v>2.3136999999999999</v>
      </c>
      <c r="BD27" s="1">
        <v>12.236499999999999</v>
      </c>
      <c r="BE27" s="1">
        <v>0.64449999999999996</v>
      </c>
      <c r="BG27" s="1425">
        <v>45196</v>
      </c>
      <c r="BH27" s="1">
        <v>17.239799999999999</v>
      </c>
      <c r="BI27" s="1">
        <v>2.7913000000000001</v>
      </c>
      <c r="BJ27" s="1">
        <v>20.7821</v>
      </c>
      <c r="BT27" s="1425">
        <v>45198</v>
      </c>
      <c r="BU27" s="1">
        <v>110.73569999999999</v>
      </c>
      <c r="BV27" s="1">
        <v>3.3079000000000001</v>
      </c>
      <c r="BW27" s="1">
        <v>17.7882</v>
      </c>
      <c r="BX27" s="1">
        <v>2.1316000000000002</v>
      </c>
      <c r="BZ27" s="1425">
        <v>45198</v>
      </c>
      <c r="CB27" s="1">
        <v>7.1208</v>
      </c>
      <c r="CC27" s="1">
        <v>40</v>
      </c>
      <c r="CD27" s="1">
        <v>3.4843199999999999</v>
      </c>
      <c r="CF27" s="1425">
        <v>45198</v>
      </c>
      <c r="CG27" s="1">
        <v>12.202199999999999</v>
      </c>
      <c r="CH27" s="1">
        <v>1.1741999999999999</v>
      </c>
      <c r="CL27" s="1425">
        <v>45198</v>
      </c>
      <c r="CM27" s="1">
        <v>19.9876</v>
      </c>
      <c r="CN27" s="1">
        <v>2.4180000000000001</v>
      </c>
      <c r="CO27" s="1">
        <v>9.7245000000000008</v>
      </c>
    </row>
    <row r="28" spans="1:93" ht="15" customHeight="1">
      <c r="A28" s="1425">
        <v>45197</v>
      </c>
      <c r="B28" s="20">
        <f t="shared" si="2"/>
        <v>18.557300000000001</v>
      </c>
      <c r="C28" s="20">
        <f t="shared" si="4"/>
        <v>31.985499999999998</v>
      </c>
      <c r="D28" s="20">
        <f t="shared" si="5"/>
        <v>9.9533000000000005</v>
      </c>
      <c r="E28" s="20">
        <f t="shared" si="6"/>
        <v>7.3769999999999998</v>
      </c>
      <c r="F28" s="20">
        <f t="shared" si="7"/>
        <v>16.832599999999999</v>
      </c>
      <c r="G28" s="20">
        <f t="shared" si="8"/>
        <v>13.0718</v>
      </c>
      <c r="H28" s="1239">
        <f t="shared" si="9"/>
        <v>13.0718</v>
      </c>
      <c r="I28" s="1243">
        <f t="shared" si="3"/>
        <v>0.41964381339983792</v>
      </c>
      <c r="J28" s="1243">
        <f t="shared" si="10"/>
        <v>0.12093838824177333</v>
      </c>
      <c r="K28" s="1243">
        <f t="shared" si="11"/>
        <v>0.1</v>
      </c>
      <c r="L28" s="203"/>
      <c r="N28" s="1425">
        <v>45197</v>
      </c>
      <c r="O28" s="1502">
        <v>18.557300000000001</v>
      </c>
      <c r="P28" s="1502">
        <v>3.6677</v>
      </c>
      <c r="Q28" s="1502">
        <v>16.2836</v>
      </c>
      <c r="R28" s="1233">
        <f>'B. PE'!$U$23</f>
        <v>15.978235616082999</v>
      </c>
      <c r="S28" s="1233"/>
      <c r="T28" s="1233"/>
      <c r="V28" s="1425">
        <v>45197</v>
      </c>
      <c r="W28" s="1">
        <v>31.985499999999998</v>
      </c>
      <c r="X28" s="1">
        <v>1.4756</v>
      </c>
      <c r="Z28" s="1">
        <v>1.06837</v>
      </c>
      <c r="AB28" s="1425">
        <v>45196</v>
      </c>
      <c r="AC28" s="1">
        <v>7.2663000000000002</v>
      </c>
      <c r="AD28" s="1502">
        <v>1.0233000000000001</v>
      </c>
      <c r="AE28" s="1">
        <v>5.4137000000000004</v>
      </c>
      <c r="AF28" s="1">
        <v>2.9729999999999999E-2</v>
      </c>
      <c r="AH28" s="1425">
        <v>45196</v>
      </c>
      <c r="AI28" s="1">
        <v>10.3302</v>
      </c>
      <c r="AJ28" s="1">
        <v>1.8134999999999999</v>
      </c>
      <c r="AK28" s="1">
        <v>6.3045999999999998</v>
      </c>
      <c r="AL28" s="1">
        <v>3.2460000000000003E-2</v>
      </c>
      <c r="AN28" s="1425">
        <v>45196</v>
      </c>
      <c r="AO28" s="1">
        <v>7.3224</v>
      </c>
      <c r="AP28" s="1">
        <v>1.1152</v>
      </c>
      <c r="AQ28" s="1">
        <v>4.7102000000000004</v>
      </c>
      <c r="AR28" s="1">
        <v>0.28815000000000002</v>
      </c>
      <c r="AT28" s="1425">
        <v>45196</v>
      </c>
      <c r="AU28" s="1">
        <v>7.5553999999999997</v>
      </c>
      <c r="AX28" s="1">
        <v>0.20704</v>
      </c>
      <c r="BA28" s="1425">
        <v>45195</v>
      </c>
      <c r="BB28" s="1">
        <v>12.9566</v>
      </c>
      <c r="BC28" s="1">
        <v>2.3033999999999999</v>
      </c>
      <c r="BD28" s="1">
        <v>12.200200000000001</v>
      </c>
      <c r="BE28" s="1">
        <v>0.62834999999999996</v>
      </c>
      <c r="BG28" s="1425">
        <v>45195</v>
      </c>
      <c r="BH28" s="1">
        <v>16.6968</v>
      </c>
      <c r="BI28" s="1">
        <v>2.7033999999999998</v>
      </c>
      <c r="BJ28" s="1">
        <v>20.354500000000002</v>
      </c>
      <c r="BT28" s="1425">
        <v>45197</v>
      </c>
      <c r="BU28" s="1">
        <v>49.618600000000001</v>
      </c>
      <c r="BV28" s="1">
        <v>3.3386</v>
      </c>
      <c r="BW28" s="1">
        <v>12.820499999999999</v>
      </c>
      <c r="BX28" s="1">
        <v>2.1120999999999999</v>
      </c>
      <c r="BZ28" s="1425">
        <v>45197</v>
      </c>
      <c r="CB28" s="1">
        <v>6.7279999999999998</v>
      </c>
      <c r="CC28" s="1">
        <v>34.067399999999999</v>
      </c>
      <c r="CD28" s="1">
        <v>3.4409200000000002</v>
      </c>
      <c r="CF28" s="1425">
        <v>45197</v>
      </c>
      <c r="CG28" s="1">
        <v>8.8981999999999992</v>
      </c>
      <c r="CH28" s="1">
        <v>1.1918</v>
      </c>
      <c r="CL28" s="1425">
        <v>45197</v>
      </c>
      <c r="CM28" s="1">
        <v>19.7944</v>
      </c>
      <c r="CN28" s="1">
        <v>2.3946000000000001</v>
      </c>
      <c r="CO28" s="1">
        <v>9.6386000000000003</v>
      </c>
    </row>
    <row r="29" spans="1:93" ht="15" customHeight="1">
      <c r="A29" s="1425">
        <v>45196</v>
      </c>
      <c r="B29" s="20">
        <f t="shared" si="2"/>
        <v>18.5899</v>
      </c>
      <c r="C29" s="20">
        <f t="shared" si="4"/>
        <v>31.985499999999998</v>
      </c>
      <c r="D29" s="20">
        <f t="shared" si="5"/>
        <v>10.3302</v>
      </c>
      <c r="E29" s="20">
        <f t="shared" si="6"/>
        <v>7.3224</v>
      </c>
      <c r="F29" s="20">
        <f t="shared" si="7"/>
        <v>17.239799999999999</v>
      </c>
      <c r="G29" s="20">
        <f t="shared" si="8"/>
        <v>13.014200000000001</v>
      </c>
      <c r="H29" s="1239">
        <f t="shared" si="9"/>
        <v>13.014200000000001</v>
      </c>
      <c r="I29" s="1243">
        <f t="shared" si="3"/>
        <v>0.42843202040847683</v>
      </c>
      <c r="J29" s="1243">
        <f t="shared" si="10"/>
        <v>0.12093838824177333</v>
      </c>
      <c r="K29" s="1243">
        <f t="shared" si="11"/>
        <v>0.1</v>
      </c>
      <c r="L29" s="203"/>
      <c r="N29" s="1425">
        <v>45196</v>
      </c>
      <c r="O29" s="1502">
        <v>18.5899</v>
      </c>
      <c r="P29" s="1502">
        <v>3.6741000000000001</v>
      </c>
      <c r="Q29" s="1502">
        <v>16.309000000000001</v>
      </c>
      <c r="R29" s="1233">
        <f>'B. PE'!$U$23</f>
        <v>15.978235616082999</v>
      </c>
      <c r="S29" s="1233"/>
      <c r="T29" s="1233"/>
      <c r="V29" s="1425">
        <v>45196</v>
      </c>
      <c r="W29" s="1">
        <v>31.985499999999998</v>
      </c>
      <c r="X29" s="1">
        <v>1.4756</v>
      </c>
      <c r="Z29" s="1">
        <v>1.05803</v>
      </c>
      <c r="AB29" s="1425">
        <v>45195</v>
      </c>
      <c r="AC29" s="1">
        <v>7.2008999999999999</v>
      </c>
      <c r="AD29" s="1502">
        <v>1.0141</v>
      </c>
      <c r="AE29" s="1">
        <v>5.3898000000000001</v>
      </c>
      <c r="AF29" s="1">
        <v>3.0190000000000002E-2</v>
      </c>
      <c r="AH29" s="1425">
        <v>45195</v>
      </c>
      <c r="AI29" s="1">
        <v>10.498799999999999</v>
      </c>
      <c r="AJ29" s="1">
        <v>1.8431</v>
      </c>
      <c r="AK29" s="1">
        <v>6.3929999999999998</v>
      </c>
      <c r="AL29" s="1">
        <v>3.2410000000000001E-2</v>
      </c>
      <c r="AN29" s="1425">
        <v>45195</v>
      </c>
      <c r="AO29" s="1">
        <v>7.3769999999999998</v>
      </c>
      <c r="AP29" s="1">
        <v>1.1234999999999999</v>
      </c>
      <c r="AQ29" s="1">
        <v>4.7518000000000002</v>
      </c>
      <c r="AR29" s="1">
        <v>0.28784999999999999</v>
      </c>
      <c r="AT29" s="1425">
        <v>45195</v>
      </c>
      <c r="AU29" s="1">
        <v>7.5949</v>
      </c>
      <c r="AX29" s="1">
        <v>0.20682</v>
      </c>
      <c r="BA29" s="1425">
        <v>45194</v>
      </c>
      <c r="BB29" s="1">
        <v>13.417299999999999</v>
      </c>
      <c r="BC29" s="1">
        <v>2.3853</v>
      </c>
      <c r="BD29" s="1">
        <v>12.4908</v>
      </c>
      <c r="BE29" s="1">
        <v>0.62795999999999996</v>
      </c>
      <c r="BG29" s="1425">
        <v>45194</v>
      </c>
      <c r="BH29" s="1">
        <v>17.647099999999998</v>
      </c>
      <c r="BI29" s="1">
        <v>2.8573</v>
      </c>
      <c r="BJ29" s="1">
        <v>21.102799999999998</v>
      </c>
      <c r="BT29" s="1425">
        <v>45196</v>
      </c>
      <c r="BU29" s="1">
        <v>48.682400000000001</v>
      </c>
      <c r="BV29" s="1">
        <v>3.2755999999999998</v>
      </c>
      <c r="BW29" s="1">
        <v>12.5716</v>
      </c>
      <c r="BX29" s="1">
        <v>2.0914000000000001</v>
      </c>
      <c r="BZ29" s="1425">
        <v>45196</v>
      </c>
      <c r="CB29" s="1">
        <v>6.7122000000000002</v>
      </c>
      <c r="CC29" s="1">
        <v>34.006100000000004</v>
      </c>
      <c r="CD29" s="1">
        <v>3.5472600000000001</v>
      </c>
      <c r="CF29" s="1425">
        <v>45196</v>
      </c>
      <c r="CG29" s="1">
        <v>8.8981999999999992</v>
      </c>
      <c r="CH29" s="1">
        <v>1.1918</v>
      </c>
      <c r="CL29" s="1425">
        <v>45196</v>
      </c>
      <c r="CM29" s="1">
        <v>19.729900000000001</v>
      </c>
      <c r="CN29" s="1">
        <v>2.3868</v>
      </c>
      <c r="CO29" s="1">
        <v>9.61</v>
      </c>
    </row>
    <row r="30" spans="1:93" ht="15" customHeight="1">
      <c r="A30" s="1425">
        <v>45195</v>
      </c>
      <c r="B30" s="20">
        <f t="shared" si="2"/>
        <v>17.611499999999999</v>
      </c>
      <c r="C30" s="20">
        <f t="shared" si="4"/>
        <v>30.633199999999999</v>
      </c>
      <c r="D30" s="20">
        <f t="shared" si="5"/>
        <v>10.498799999999999</v>
      </c>
      <c r="E30" s="20">
        <f t="shared" si="6"/>
        <v>7.3769999999999998</v>
      </c>
      <c r="F30" s="20">
        <f t="shared" si="7"/>
        <v>16.6968</v>
      </c>
      <c r="G30" s="20">
        <f t="shared" si="8"/>
        <v>12.9566</v>
      </c>
      <c r="H30" s="1239">
        <f t="shared" si="9"/>
        <v>12.9566</v>
      </c>
      <c r="I30" s="1243">
        <f t="shared" si="3"/>
        <v>0.35926863529012243</v>
      </c>
      <c r="J30" s="1243">
        <f t="shared" si="10"/>
        <v>0.12093838824177333</v>
      </c>
      <c r="K30" s="1243">
        <f t="shared" si="11"/>
        <v>0.1</v>
      </c>
      <c r="L30" s="203"/>
      <c r="N30" s="1425">
        <v>45195</v>
      </c>
      <c r="O30" s="1502">
        <v>17.611499999999999</v>
      </c>
      <c r="P30" s="1502">
        <v>3.4807999999999999</v>
      </c>
      <c r="Q30" s="1502">
        <v>15.545999999999999</v>
      </c>
      <c r="R30" s="1233">
        <f>'B. PE'!$U$23</f>
        <v>15.978235616082999</v>
      </c>
      <c r="S30" s="1233"/>
      <c r="T30" s="1233"/>
      <c r="V30" s="1425">
        <v>45195</v>
      </c>
      <c r="W30" s="1">
        <v>30.633199999999999</v>
      </c>
      <c r="X30" s="1">
        <v>1.4132</v>
      </c>
      <c r="Z30" s="1">
        <v>1.12805</v>
      </c>
      <c r="AB30" s="1425">
        <v>45194</v>
      </c>
      <c r="AC30" s="1">
        <v>7.4954999999999998</v>
      </c>
      <c r="AD30" s="1502">
        <v>1.0555000000000001</v>
      </c>
      <c r="AE30" s="1">
        <v>5.4970999999999997</v>
      </c>
      <c r="AF30" s="1">
        <v>3.0020000000000002E-2</v>
      </c>
      <c r="AH30" s="1425">
        <v>45194</v>
      </c>
      <c r="AI30" s="1">
        <v>10.541</v>
      </c>
      <c r="AJ30" s="1">
        <v>1.8505</v>
      </c>
      <c r="AK30" s="1">
        <v>6.4151999999999996</v>
      </c>
      <c r="AL30" s="1">
        <v>3.2489999999999998E-2</v>
      </c>
      <c r="AN30" s="1425">
        <v>45194</v>
      </c>
      <c r="AO30" s="1">
        <v>7.3769999999999998</v>
      </c>
      <c r="AP30" s="1">
        <v>1.1234999999999999</v>
      </c>
      <c r="AQ30" s="1">
        <v>4.7518000000000002</v>
      </c>
      <c r="AR30" s="1">
        <v>0.28769</v>
      </c>
      <c r="AT30" s="1425">
        <v>45194</v>
      </c>
      <c r="AU30" s="1">
        <v>7.6741000000000001</v>
      </c>
      <c r="AX30" s="1">
        <v>0.20671</v>
      </c>
      <c r="BA30" s="1425">
        <v>45191</v>
      </c>
      <c r="BB30" s="1">
        <v>13.014200000000001</v>
      </c>
      <c r="BC30" s="1">
        <v>2.3136999999999999</v>
      </c>
      <c r="BD30" s="1">
        <v>12.236499999999999</v>
      </c>
      <c r="BE30" s="1">
        <v>0.63558999999999999</v>
      </c>
      <c r="BG30" s="1425">
        <v>45191</v>
      </c>
      <c r="BH30" s="1">
        <v>17.511299999999999</v>
      </c>
      <c r="BI30" s="1">
        <v>2.8353000000000002</v>
      </c>
      <c r="BJ30" s="1">
        <v>20.995899999999999</v>
      </c>
      <c r="BT30" s="1425">
        <v>45195</v>
      </c>
      <c r="BU30" s="1">
        <v>48.214300000000001</v>
      </c>
      <c r="BV30" s="1">
        <v>3.2441</v>
      </c>
      <c r="BW30" s="1">
        <v>12.4472</v>
      </c>
      <c r="BX30" s="1">
        <v>2.141</v>
      </c>
      <c r="BZ30" s="1425">
        <v>45195</v>
      </c>
      <c r="CB30" s="1">
        <v>6.6253000000000002</v>
      </c>
      <c r="CC30" s="1">
        <v>33.669199999999996</v>
      </c>
      <c r="CD30" s="1">
        <v>3.6574300000000002</v>
      </c>
      <c r="CF30" s="1425">
        <v>45195</v>
      </c>
      <c r="CG30" s="1">
        <v>8.8981999999999992</v>
      </c>
      <c r="CH30" s="1">
        <v>1.1918</v>
      </c>
      <c r="CL30" s="1425">
        <v>45195</v>
      </c>
      <c r="CM30" s="1">
        <v>19.842700000000001</v>
      </c>
      <c r="CN30" s="1">
        <v>2.4005000000000001</v>
      </c>
      <c r="CO30" s="1">
        <v>9.6600999999999999</v>
      </c>
    </row>
    <row r="31" spans="1:93">
      <c r="A31" s="1425">
        <v>45194</v>
      </c>
      <c r="B31" s="20">
        <f t="shared" si="2"/>
        <v>17.611499999999999</v>
      </c>
      <c r="C31" s="20">
        <f t="shared" si="4"/>
        <v>30.339200000000002</v>
      </c>
      <c r="D31" s="20">
        <f t="shared" si="5"/>
        <v>10.541</v>
      </c>
      <c r="E31" s="20">
        <f t="shared" si="6"/>
        <v>7.3769999999999998</v>
      </c>
      <c r="F31" s="20">
        <f t="shared" si="7"/>
        <v>17.647099999999998</v>
      </c>
      <c r="G31" s="20">
        <f t="shared" si="8"/>
        <v>13.417299999999999</v>
      </c>
      <c r="H31" s="1239">
        <f t="shared" si="9"/>
        <v>13.417299999999999</v>
      </c>
      <c r="I31" s="1243">
        <f t="shared" si="3"/>
        <v>0.31259642401973586</v>
      </c>
      <c r="J31" s="1243">
        <f t="shared" si="10"/>
        <v>0.12093838824177333</v>
      </c>
      <c r="K31" s="1243">
        <f t="shared" si="11"/>
        <v>0.1</v>
      </c>
      <c r="L31" s="203"/>
      <c r="N31" s="1425">
        <v>45194</v>
      </c>
      <c r="O31" s="1502">
        <v>17.611499999999999</v>
      </c>
      <c r="P31" s="1502">
        <v>3.4807999999999999</v>
      </c>
      <c r="Q31" s="1502">
        <v>15.545999999999999</v>
      </c>
      <c r="R31" s="1233">
        <f>'B. PE'!$U$23</f>
        <v>15.978235616082999</v>
      </c>
      <c r="S31" s="1233"/>
      <c r="T31" s="1233"/>
      <c r="V31" s="1425">
        <v>45194</v>
      </c>
      <c r="W31" s="1">
        <v>30.339200000000002</v>
      </c>
      <c r="X31" s="1">
        <v>1.3996999999999999</v>
      </c>
      <c r="Z31" s="1">
        <v>1.21384</v>
      </c>
      <c r="AB31" s="1425">
        <v>45191</v>
      </c>
      <c r="AC31" s="1">
        <v>7.5937000000000001</v>
      </c>
      <c r="AD31" s="1502">
        <v>1.0693999999999999</v>
      </c>
      <c r="AE31" s="1">
        <v>5.5328999999999997</v>
      </c>
      <c r="AF31" s="1">
        <v>3.0089999999999999E-2</v>
      </c>
      <c r="AH31" s="1425">
        <v>45191</v>
      </c>
      <c r="AI31" s="1">
        <v>10.498799999999999</v>
      </c>
      <c r="AJ31" s="1">
        <v>1.8431</v>
      </c>
      <c r="AK31" s="1">
        <v>6.3929999999999998</v>
      </c>
      <c r="AL31" s="1">
        <v>3.2890000000000003E-2</v>
      </c>
      <c r="AN31" s="1425">
        <v>45191</v>
      </c>
      <c r="AO31" s="1">
        <v>7.3769999999999998</v>
      </c>
      <c r="AP31" s="1">
        <v>1.1234999999999999</v>
      </c>
      <c r="AQ31" s="1">
        <v>4.7518000000000002</v>
      </c>
      <c r="AR31" s="1">
        <v>0.28805999999999998</v>
      </c>
      <c r="AT31" s="1425">
        <v>45191</v>
      </c>
      <c r="AU31" s="1">
        <v>7.6741000000000001</v>
      </c>
      <c r="AX31" s="1">
        <v>0.20483999999999999</v>
      </c>
      <c r="BA31" s="1425">
        <v>45190</v>
      </c>
      <c r="BB31" s="1">
        <v>13.0718</v>
      </c>
      <c r="BC31" s="1">
        <v>2.3239000000000001</v>
      </c>
      <c r="BD31" s="1">
        <v>12.2729</v>
      </c>
      <c r="BE31" s="1">
        <v>0.62163999999999997</v>
      </c>
      <c r="BG31" s="1425">
        <v>45190</v>
      </c>
      <c r="BH31" s="1">
        <v>17.375599999999999</v>
      </c>
      <c r="BI31" s="1">
        <v>2.8132999999999999</v>
      </c>
      <c r="BJ31" s="1">
        <v>20.888999999999999</v>
      </c>
      <c r="BT31" s="1425">
        <v>45194</v>
      </c>
      <c r="BU31" s="1">
        <v>47.746200000000002</v>
      </c>
      <c r="BV31" s="1">
        <v>3.2126000000000001</v>
      </c>
      <c r="BW31" s="1">
        <v>12.322800000000001</v>
      </c>
      <c r="BX31" s="1">
        <v>2.2302</v>
      </c>
      <c r="BZ31" s="1425">
        <v>45194</v>
      </c>
      <c r="CB31" s="1">
        <v>6.8305999999999996</v>
      </c>
      <c r="CC31" s="1">
        <v>34.465600000000002</v>
      </c>
      <c r="CD31" s="1">
        <v>3.6415299999999999</v>
      </c>
      <c r="CF31" s="1425">
        <v>45194</v>
      </c>
      <c r="CG31" s="1">
        <v>8.7324000000000002</v>
      </c>
      <c r="CH31" s="1">
        <v>1.1696</v>
      </c>
      <c r="CL31" s="1425">
        <v>45194</v>
      </c>
      <c r="CM31" s="1">
        <v>20.116499999999998</v>
      </c>
      <c r="CN31" s="1">
        <v>2.4336000000000002</v>
      </c>
      <c r="CO31" s="1">
        <v>9.7817000000000007</v>
      </c>
    </row>
    <row r="32" spans="1:93">
      <c r="A32" s="1425">
        <v>45191</v>
      </c>
      <c r="B32" s="20">
        <f t="shared" si="2"/>
        <v>18.916</v>
      </c>
      <c r="C32" s="20">
        <f t="shared" si="4"/>
        <v>32.279499999999999</v>
      </c>
      <c r="D32" s="20">
        <f t="shared" si="5"/>
        <v>10.498799999999999</v>
      </c>
      <c r="E32" s="20">
        <f t="shared" si="6"/>
        <v>7.3769999999999998</v>
      </c>
      <c r="F32" s="20">
        <f t="shared" si="7"/>
        <v>17.511299999999999</v>
      </c>
      <c r="G32" s="20">
        <f t="shared" si="8"/>
        <v>13.014200000000001</v>
      </c>
      <c r="H32" s="1239">
        <f t="shared" si="9"/>
        <v>13.014200000000001</v>
      </c>
      <c r="I32" s="1243">
        <f t="shared" si="3"/>
        <v>0.45348926557145264</v>
      </c>
      <c r="J32" s="1243">
        <f t="shared" si="10"/>
        <v>0.12093838824177333</v>
      </c>
      <c r="K32" s="1243">
        <f t="shared" si="11"/>
        <v>0.1</v>
      </c>
      <c r="L32" s="203"/>
      <c r="N32" s="1425">
        <v>45191</v>
      </c>
      <c r="O32" s="1502">
        <v>18.916</v>
      </c>
      <c r="P32" s="1502">
        <v>3.7385999999999999</v>
      </c>
      <c r="Q32" s="1502">
        <v>16.563300000000002</v>
      </c>
      <c r="R32" s="1233">
        <f>'B. PE'!$U$23</f>
        <v>15.978235616082999</v>
      </c>
      <c r="S32" s="1233"/>
      <c r="T32" s="1233"/>
      <c r="V32" s="1425">
        <v>45191</v>
      </c>
      <c r="W32" s="1">
        <v>32.279499999999999</v>
      </c>
      <c r="X32" s="1">
        <v>1.4892000000000001</v>
      </c>
      <c r="Z32" s="1">
        <v>1.24949</v>
      </c>
      <c r="AB32" s="1425">
        <v>45190</v>
      </c>
      <c r="AC32" s="1">
        <v>7.5609000000000002</v>
      </c>
      <c r="AD32" s="1502">
        <v>1.0648</v>
      </c>
      <c r="AE32" s="1">
        <v>5.5209999999999999</v>
      </c>
      <c r="AF32" s="1">
        <v>3.0159999999999999E-2</v>
      </c>
      <c r="AH32" s="1425">
        <v>45190</v>
      </c>
      <c r="AI32" s="1">
        <v>10.541</v>
      </c>
      <c r="AJ32" s="1">
        <v>1.8505</v>
      </c>
      <c r="AK32" s="1">
        <v>6.4151999999999996</v>
      </c>
      <c r="AL32" s="1">
        <v>3.2500000000000001E-2</v>
      </c>
      <c r="AN32" s="1425">
        <v>45190</v>
      </c>
      <c r="AO32" s="1">
        <v>7.3769999999999998</v>
      </c>
      <c r="AP32" s="1">
        <v>1.1234999999999999</v>
      </c>
      <c r="AQ32" s="1">
        <v>4.7518000000000002</v>
      </c>
      <c r="AR32" s="1">
        <v>0.28748000000000001</v>
      </c>
      <c r="AT32" s="1425">
        <v>45190</v>
      </c>
      <c r="AU32" s="1">
        <v>7.6741000000000001</v>
      </c>
      <c r="AX32" s="1">
        <v>0.20336000000000001</v>
      </c>
      <c r="BA32" s="1425">
        <v>45189</v>
      </c>
      <c r="BB32" s="1">
        <v>13.1294</v>
      </c>
      <c r="BC32" s="1">
        <v>2.3340999999999998</v>
      </c>
      <c r="BD32" s="1">
        <v>12.309200000000001</v>
      </c>
      <c r="BE32" s="1">
        <v>0.61068</v>
      </c>
      <c r="BG32" s="1425">
        <v>45189</v>
      </c>
      <c r="BH32" s="1">
        <v>17.511299999999999</v>
      </c>
      <c r="BI32" s="1">
        <v>2.8353000000000002</v>
      </c>
      <c r="BJ32" s="1">
        <v>20.995899999999999</v>
      </c>
      <c r="BT32" s="1425">
        <v>45191</v>
      </c>
      <c r="BU32" s="1">
        <v>48.776000000000003</v>
      </c>
      <c r="BV32" s="1">
        <v>3.2818999999999998</v>
      </c>
      <c r="BW32" s="1">
        <v>12.596500000000001</v>
      </c>
      <c r="BX32" s="1">
        <v>2.2972000000000001</v>
      </c>
      <c r="BZ32" s="1425">
        <v>45191</v>
      </c>
      <c r="CB32" s="1">
        <v>7.0279999999999996</v>
      </c>
      <c r="CC32" s="1">
        <v>35.231400000000001</v>
      </c>
      <c r="CD32" s="1">
        <v>3.6722899999999998</v>
      </c>
      <c r="CF32" s="1425">
        <v>45191</v>
      </c>
      <c r="CG32" s="1">
        <v>8.8981999999999992</v>
      </c>
      <c r="CH32" s="1">
        <v>1.1918</v>
      </c>
      <c r="CL32" s="1425">
        <v>45191</v>
      </c>
      <c r="CM32" s="1">
        <v>20.180900000000001</v>
      </c>
      <c r="CN32" s="1">
        <v>2.4413999999999998</v>
      </c>
      <c r="CO32" s="1">
        <v>9.8102999999999998</v>
      </c>
    </row>
    <row r="33" spans="1:93">
      <c r="A33" s="1425">
        <v>45190</v>
      </c>
      <c r="B33" s="20">
        <f t="shared" si="2"/>
        <v>19.894500000000001</v>
      </c>
      <c r="C33" s="20">
        <f t="shared" si="4"/>
        <v>34.690199999999997</v>
      </c>
      <c r="D33" s="20">
        <f t="shared" si="5"/>
        <v>10.541</v>
      </c>
      <c r="E33" s="20">
        <f t="shared" si="6"/>
        <v>7.3769999999999998</v>
      </c>
      <c r="F33" s="20">
        <f t="shared" si="7"/>
        <v>17.375599999999999</v>
      </c>
      <c r="G33" s="20">
        <f t="shared" si="8"/>
        <v>13.0718</v>
      </c>
      <c r="H33" s="1239">
        <f t="shared" si="9"/>
        <v>13.0718</v>
      </c>
      <c r="I33" s="1243">
        <f t="shared" si="3"/>
        <v>0.5219403601646293</v>
      </c>
      <c r="J33" s="1243">
        <f t="shared" si="10"/>
        <v>0.12093838824177333</v>
      </c>
      <c r="K33" s="1243">
        <f t="shared" si="11"/>
        <v>0.1</v>
      </c>
      <c r="L33" s="203"/>
      <c r="N33" s="1425">
        <v>45190</v>
      </c>
      <c r="O33" s="1502">
        <v>19.894500000000001</v>
      </c>
      <c r="P33" s="1502">
        <v>3.9319999999999999</v>
      </c>
      <c r="Q33" s="1502">
        <v>17.3263</v>
      </c>
      <c r="R33" s="1233">
        <f>'B. PE'!$U$23</f>
        <v>15.978235616082999</v>
      </c>
      <c r="S33" s="1233"/>
      <c r="T33" s="1233"/>
      <c r="V33" s="1425">
        <v>45190</v>
      </c>
      <c r="W33" s="1">
        <v>34.690199999999997</v>
      </c>
      <c r="X33" s="1">
        <v>1.6004</v>
      </c>
      <c r="Z33" s="1">
        <v>1.20618</v>
      </c>
      <c r="AB33" s="1425">
        <v>45189</v>
      </c>
      <c r="AC33" s="1">
        <v>7.5609000000000002</v>
      </c>
      <c r="AD33" s="1502">
        <v>1.0648</v>
      </c>
      <c r="AE33" s="1">
        <v>5.5209999999999999</v>
      </c>
      <c r="AF33" s="1">
        <v>3.031E-2</v>
      </c>
      <c r="AH33" s="1425">
        <v>45189</v>
      </c>
      <c r="AI33" s="1">
        <v>10.6464</v>
      </c>
      <c r="AJ33" s="1">
        <v>1.869</v>
      </c>
      <c r="AK33" s="1">
        <v>6.4705000000000004</v>
      </c>
      <c r="AL33" s="1">
        <v>3.3169999999999998E-2</v>
      </c>
      <c r="AN33" s="1425">
        <v>45189</v>
      </c>
      <c r="AO33" s="1">
        <v>7.3769999999999998</v>
      </c>
      <c r="AP33" s="1">
        <v>1.1234999999999999</v>
      </c>
      <c r="AQ33" s="1">
        <v>4.7518000000000002</v>
      </c>
      <c r="AR33" s="1">
        <v>0.28782000000000002</v>
      </c>
      <c r="AT33" s="1425">
        <v>45189</v>
      </c>
      <c r="AU33" s="1">
        <v>7.5949</v>
      </c>
      <c r="AX33" s="1">
        <v>0.19933999999999999</v>
      </c>
      <c r="BA33" s="1425">
        <v>45188</v>
      </c>
      <c r="BB33" s="1">
        <v>12.898999999999999</v>
      </c>
      <c r="BC33" s="1">
        <v>2.2932000000000001</v>
      </c>
      <c r="BD33" s="1">
        <v>12.1639</v>
      </c>
      <c r="BE33" s="1">
        <v>0.63004000000000004</v>
      </c>
      <c r="BG33" s="1425">
        <v>45188</v>
      </c>
      <c r="BH33" s="1">
        <v>17.918500000000002</v>
      </c>
      <c r="BI33" s="1">
        <v>2.9011999999999998</v>
      </c>
      <c r="BJ33" s="1">
        <v>21.316700000000001</v>
      </c>
      <c r="BT33" s="1425">
        <v>45190</v>
      </c>
      <c r="BU33" s="1">
        <v>50.741999999999997</v>
      </c>
      <c r="BV33" s="1">
        <v>3.4142000000000001</v>
      </c>
      <c r="BW33" s="1">
        <v>13.1191</v>
      </c>
      <c r="BX33" s="1">
        <v>2.2808999999999999</v>
      </c>
      <c r="BZ33" s="1425">
        <v>45190</v>
      </c>
      <c r="CB33" s="1">
        <v>6.9885999999999999</v>
      </c>
      <c r="CC33" s="1">
        <v>35.078200000000002</v>
      </c>
      <c r="CD33" s="1">
        <v>3.5753900000000001</v>
      </c>
      <c r="CF33" s="1425">
        <v>45190</v>
      </c>
      <c r="CG33" s="1">
        <v>9.1745000000000001</v>
      </c>
      <c r="CH33" s="1">
        <v>1.2287999999999999</v>
      </c>
      <c r="CL33" s="1425">
        <v>45190</v>
      </c>
      <c r="CM33" s="1">
        <v>20.406400000000001</v>
      </c>
      <c r="CN33" s="1">
        <v>2.4687000000000001</v>
      </c>
      <c r="CO33" s="1">
        <v>9.9103999999999992</v>
      </c>
    </row>
    <row r="34" spans="1:93">
      <c r="A34" s="1425">
        <v>45189</v>
      </c>
      <c r="B34" s="20">
        <f t="shared" si="2"/>
        <v>20.4163</v>
      </c>
      <c r="C34" s="20">
        <f t="shared" si="4"/>
        <v>35.689700000000002</v>
      </c>
      <c r="D34" s="20">
        <f t="shared" si="5"/>
        <v>10.6464</v>
      </c>
      <c r="E34" s="20">
        <f t="shared" si="6"/>
        <v>7.3769999999999998</v>
      </c>
      <c r="F34" s="20">
        <f t="shared" si="7"/>
        <v>17.511299999999999</v>
      </c>
      <c r="G34" s="20">
        <f t="shared" si="8"/>
        <v>13.1294</v>
      </c>
      <c r="H34" s="1239">
        <f t="shared" si="9"/>
        <v>13.1294</v>
      </c>
      <c r="I34" s="1243">
        <f t="shared" si="3"/>
        <v>0.55500632169025232</v>
      </c>
      <c r="J34" s="1243">
        <f t="shared" si="10"/>
        <v>0.12093838824177333</v>
      </c>
      <c r="K34" s="1243">
        <f t="shared" si="11"/>
        <v>0.1</v>
      </c>
      <c r="L34" s="203"/>
      <c r="N34" s="1425">
        <v>45189</v>
      </c>
      <c r="O34" s="1502">
        <v>20.4163</v>
      </c>
      <c r="P34" s="1502">
        <v>4.0350999999999999</v>
      </c>
      <c r="Q34" s="1502">
        <v>17.7333</v>
      </c>
      <c r="R34" s="1233">
        <f>'B. PE'!$U$23</f>
        <v>15.978235616082999</v>
      </c>
      <c r="S34" s="1233"/>
      <c r="T34" s="1233"/>
      <c r="V34" s="1425">
        <v>45189</v>
      </c>
      <c r="W34" s="1">
        <v>35.689700000000002</v>
      </c>
      <c r="X34" s="1">
        <v>1.6465000000000001</v>
      </c>
      <c r="Z34" s="1">
        <v>1.1716299999999999</v>
      </c>
      <c r="AB34" s="1425">
        <v>45188</v>
      </c>
      <c r="AC34" s="1">
        <v>7.5937000000000001</v>
      </c>
      <c r="AD34" s="1502">
        <v>1.0693999999999999</v>
      </c>
      <c r="AE34" s="1">
        <v>5.5328999999999997</v>
      </c>
      <c r="AF34" s="1">
        <v>3.0980000000000001E-2</v>
      </c>
      <c r="AH34" s="1425">
        <v>45188</v>
      </c>
      <c r="AI34" s="1">
        <v>10.541</v>
      </c>
      <c r="AJ34" s="1">
        <v>1.8505</v>
      </c>
      <c r="AK34" s="1">
        <v>6.4151999999999996</v>
      </c>
      <c r="AL34" s="1">
        <v>3.32E-2</v>
      </c>
      <c r="AN34" s="1425">
        <v>45188</v>
      </c>
      <c r="AO34" s="1">
        <v>7.3769999999999998</v>
      </c>
      <c r="AP34" s="1">
        <v>1.1234999999999999</v>
      </c>
      <c r="AQ34" s="1">
        <v>4.7518000000000002</v>
      </c>
      <c r="AR34" s="1">
        <v>0.28833999999999999</v>
      </c>
      <c r="AT34" s="1425">
        <v>45188</v>
      </c>
      <c r="AU34" s="1">
        <v>7.5553999999999997</v>
      </c>
      <c r="AX34" s="1">
        <v>0.2029</v>
      </c>
      <c r="BA34" s="1425">
        <v>45187</v>
      </c>
      <c r="BB34" s="1">
        <v>12.5535</v>
      </c>
      <c r="BC34" s="1">
        <v>2.2317999999999998</v>
      </c>
      <c r="BD34" s="1">
        <v>11.9459</v>
      </c>
      <c r="BE34" s="1">
        <v>0.64051000000000002</v>
      </c>
      <c r="BG34" s="1425">
        <v>45187</v>
      </c>
      <c r="BH34" s="1">
        <v>16.832599999999999</v>
      </c>
      <c r="BI34" s="1">
        <v>2.7254</v>
      </c>
      <c r="BJ34" s="1">
        <v>20.461400000000001</v>
      </c>
      <c r="BT34" s="1425">
        <v>45189</v>
      </c>
      <c r="BU34" s="1">
        <v>52.239899999999999</v>
      </c>
      <c r="BV34" s="1">
        <v>3.5148999999999999</v>
      </c>
      <c r="BW34" s="1">
        <v>13.517300000000001</v>
      </c>
      <c r="BX34" s="1">
        <v>2.2610000000000001</v>
      </c>
      <c r="BZ34" s="1425">
        <v>45189</v>
      </c>
      <c r="CB34" s="1">
        <v>7.0438000000000001</v>
      </c>
      <c r="CC34" s="1">
        <v>35.2926</v>
      </c>
      <c r="CD34" s="1">
        <v>3.5560100000000001</v>
      </c>
      <c r="CF34" s="1425">
        <v>45189</v>
      </c>
      <c r="CG34" s="1">
        <v>9.1745000000000001</v>
      </c>
      <c r="CH34" s="1">
        <v>1.2287999999999999</v>
      </c>
      <c r="CL34" s="1425">
        <v>45189</v>
      </c>
      <c r="CM34" s="1">
        <v>21.002300000000002</v>
      </c>
      <c r="CN34" s="1">
        <v>2.5407999999999999</v>
      </c>
      <c r="CO34" s="1">
        <v>10.1751</v>
      </c>
    </row>
    <row r="35" spans="1:93">
      <c r="A35" s="1425">
        <v>45188</v>
      </c>
      <c r="B35" s="20">
        <f t="shared" si="2"/>
        <v>19.6662</v>
      </c>
      <c r="C35" s="20">
        <f t="shared" si="4"/>
        <v>34.513800000000003</v>
      </c>
      <c r="D35" s="20">
        <f t="shared" si="5"/>
        <v>10.541</v>
      </c>
      <c r="E35" s="20">
        <f t="shared" si="6"/>
        <v>7.3769999999999998</v>
      </c>
      <c r="F35" s="20">
        <f t="shared" si="7"/>
        <v>17.918500000000002</v>
      </c>
      <c r="G35" s="20">
        <f t="shared" si="8"/>
        <v>12.898999999999999</v>
      </c>
      <c r="H35" s="1239">
        <f t="shared" si="9"/>
        <v>12.898999999999999</v>
      </c>
      <c r="I35" s="1243">
        <f t="shared" si="3"/>
        <v>0.52462981626482685</v>
      </c>
      <c r="J35" s="1243">
        <f t="shared" si="10"/>
        <v>0.12093838824177333</v>
      </c>
      <c r="K35" s="1243">
        <f t="shared" si="11"/>
        <v>0.1</v>
      </c>
      <c r="L35" s="203"/>
      <c r="N35" s="1425">
        <v>45188</v>
      </c>
      <c r="O35" s="1502">
        <v>19.6662</v>
      </c>
      <c r="P35" s="1502">
        <v>3.8868999999999998</v>
      </c>
      <c r="Q35" s="1502">
        <v>17.148299999999999</v>
      </c>
      <c r="R35" s="1233">
        <f>'B. PE'!$U$23</f>
        <v>15.978235616082999</v>
      </c>
      <c r="S35" s="1233"/>
      <c r="T35" s="1233"/>
      <c r="V35" s="1425">
        <v>45188</v>
      </c>
      <c r="W35" s="1">
        <v>34.513800000000003</v>
      </c>
      <c r="X35" s="1">
        <v>1.5922000000000001</v>
      </c>
      <c r="Z35" s="1">
        <v>1.2165999999999999</v>
      </c>
      <c r="AB35" s="1425">
        <v>45187</v>
      </c>
      <c r="AC35" s="1">
        <v>7.6264000000000003</v>
      </c>
      <c r="AD35" s="1502">
        <v>1.0740000000000001</v>
      </c>
      <c r="AE35" s="1">
        <v>5.5448000000000004</v>
      </c>
      <c r="AF35" s="1">
        <v>3.1220000000000001E-2</v>
      </c>
      <c r="AH35" s="1425">
        <v>45187</v>
      </c>
      <c r="AI35" s="1">
        <v>10.751799999999999</v>
      </c>
      <c r="AJ35" s="1">
        <v>1.8875</v>
      </c>
      <c r="AK35" s="1">
        <v>6.5258000000000003</v>
      </c>
      <c r="AL35" s="1">
        <v>3.3169999999999998E-2</v>
      </c>
      <c r="AN35" s="1425">
        <v>45187</v>
      </c>
      <c r="AO35" s="1">
        <v>7.3769999999999998</v>
      </c>
      <c r="AP35" s="1">
        <v>1.1234999999999999</v>
      </c>
      <c r="AQ35" s="1">
        <v>4.7518000000000002</v>
      </c>
      <c r="AR35" s="1">
        <v>0.28815000000000002</v>
      </c>
      <c r="AT35" s="1425">
        <v>45187</v>
      </c>
      <c r="AU35" s="1">
        <v>7.3971999999999998</v>
      </c>
      <c r="AX35" s="1">
        <v>0.19636999999999999</v>
      </c>
      <c r="BA35" s="1425">
        <v>45184</v>
      </c>
      <c r="BB35" s="1">
        <v>12.9566</v>
      </c>
      <c r="BC35" s="1">
        <v>2.3033999999999999</v>
      </c>
      <c r="BD35" s="1">
        <v>12.200200000000001</v>
      </c>
      <c r="BE35" s="1">
        <v>0.63505</v>
      </c>
      <c r="BG35" s="1425">
        <v>45184</v>
      </c>
      <c r="BH35" s="1">
        <v>16.968299999999999</v>
      </c>
      <c r="BI35" s="1">
        <v>2.7473999999999998</v>
      </c>
      <c r="BJ35" s="1">
        <v>20.568300000000001</v>
      </c>
      <c r="BT35" s="1425">
        <v>45188</v>
      </c>
      <c r="BU35" s="1">
        <v>51.959099999999999</v>
      </c>
      <c r="BV35" s="1">
        <v>3.4961000000000002</v>
      </c>
      <c r="BW35" s="1">
        <v>13.4427</v>
      </c>
      <c r="BX35" s="1">
        <v>2.3052999999999999</v>
      </c>
      <c r="BZ35" s="1425">
        <v>45188</v>
      </c>
      <c r="CB35" s="1">
        <v>6.8700999999999999</v>
      </c>
      <c r="CC35" s="1">
        <v>34.618699999999997</v>
      </c>
      <c r="CD35" s="1">
        <v>3.5466799999999998</v>
      </c>
      <c r="CF35" s="1425">
        <v>45188</v>
      </c>
      <c r="CG35" s="1">
        <v>9.0640000000000001</v>
      </c>
      <c r="CH35" s="1">
        <v>1.214</v>
      </c>
      <c r="CL35" s="1425">
        <v>45188</v>
      </c>
      <c r="CM35" s="1">
        <v>20.744599999999998</v>
      </c>
      <c r="CN35" s="1">
        <v>2.5095999999999998</v>
      </c>
      <c r="CO35" s="1">
        <v>10.060600000000001</v>
      </c>
    </row>
    <row r="36" spans="1:93">
      <c r="A36" s="1425">
        <v>45187</v>
      </c>
      <c r="B36" s="20">
        <f t="shared" si="2"/>
        <v>19.0791</v>
      </c>
      <c r="C36" s="20">
        <f t="shared" si="4"/>
        <v>33.514299999999999</v>
      </c>
      <c r="D36" s="20">
        <f t="shared" si="5"/>
        <v>10.751799999999999</v>
      </c>
      <c r="E36" s="20">
        <f t="shared" si="6"/>
        <v>7.3769999999999998</v>
      </c>
      <c r="F36" s="20">
        <f t="shared" si="7"/>
        <v>16.832599999999999</v>
      </c>
      <c r="G36" s="20">
        <f t="shared" si="8"/>
        <v>12.5535</v>
      </c>
      <c r="H36" s="1239">
        <f t="shared" si="9"/>
        <v>12.5535</v>
      </c>
      <c r="I36" s="1243">
        <f t="shared" si="3"/>
        <v>0.51982315688851721</v>
      </c>
      <c r="J36" s="1243">
        <f t="shared" si="10"/>
        <v>0.12093838824177333</v>
      </c>
      <c r="K36" s="1243">
        <f t="shared" si="11"/>
        <v>0.1</v>
      </c>
      <c r="L36" s="203"/>
      <c r="N36" s="1425">
        <v>45187</v>
      </c>
      <c r="O36" s="1502">
        <v>19.0791</v>
      </c>
      <c r="P36" s="1502">
        <v>3.7707999999999999</v>
      </c>
      <c r="Q36" s="1502">
        <v>16.6905</v>
      </c>
      <c r="R36" s="1233">
        <f>'B. PE'!$U$23</f>
        <v>15.978235616082999</v>
      </c>
      <c r="S36" s="1233"/>
      <c r="T36" s="1233"/>
      <c r="V36" s="1425">
        <v>45187</v>
      </c>
      <c r="W36" s="1">
        <v>33.514299999999999</v>
      </c>
      <c r="X36" s="1">
        <v>1.5461</v>
      </c>
      <c r="Z36" s="1">
        <v>1.2564599999999999</v>
      </c>
      <c r="AB36" s="1425">
        <v>45184</v>
      </c>
      <c r="AC36" s="1">
        <v>7.79</v>
      </c>
      <c r="AD36" s="1502">
        <v>1.097</v>
      </c>
      <c r="AE36" s="1">
        <v>5.6044</v>
      </c>
      <c r="AF36" s="1">
        <v>3.177E-2</v>
      </c>
      <c r="AH36" s="1425">
        <v>45184</v>
      </c>
      <c r="AI36" s="1">
        <v>10.751799999999999</v>
      </c>
      <c r="AJ36" s="1">
        <v>1.8875</v>
      </c>
      <c r="AK36" s="1">
        <v>6.5258000000000003</v>
      </c>
      <c r="AL36" s="1">
        <v>3.288E-2</v>
      </c>
      <c r="AN36" s="1425">
        <v>45184</v>
      </c>
      <c r="AO36" s="1">
        <v>7.3769999999999998</v>
      </c>
      <c r="AP36" s="1">
        <v>1.1234999999999999</v>
      </c>
      <c r="AQ36" s="1">
        <v>4.7518000000000002</v>
      </c>
      <c r="AR36" s="1">
        <v>0.28626000000000001</v>
      </c>
      <c r="AT36" s="1425">
        <v>45184</v>
      </c>
      <c r="AU36" s="1">
        <v>7.5157999999999996</v>
      </c>
      <c r="AX36" s="1">
        <v>0.19868</v>
      </c>
      <c r="BA36" s="1425">
        <v>45183</v>
      </c>
      <c r="BB36" s="1">
        <v>13.186999999999999</v>
      </c>
      <c r="BC36" s="1">
        <v>2.3443999999999998</v>
      </c>
      <c r="BD36" s="1">
        <v>12.345499999999999</v>
      </c>
      <c r="BE36" s="1">
        <v>0.65664</v>
      </c>
      <c r="BG36" s="1425">
        <v>45183</v>
      </c>
      <c r="BH36" s="1">
        <v>16.968299999999999</v>
      </c>
      <c r="BI36" s="1">
        <v>2.7473999999999998</v>
      </c>
      <c r="BJ36" s="1">
        <v>20.568300000000001</v>
      </c>
      <c r="BT36" s="1425">
        <v>45187</v>
      </c>
      <c r="BU36" s="1">
        <v>51.491</v>
      </c>
      <c r="BV36" s="1">
        <v>3.4645999999999999</v>
      </c>
      <c r="BW36" s="1">
        <v>13.318199999999999</v>
      </c>
      <c r="BX36" s="1">
        <v>2.3683000000000001</v>
      </c>
      <c r="BZ36" s="1425">
        <v>45187</v>
      </c>
      <c r="CB36" s="1">
        <v>6.8305999999999996</v>
      </c>
      <c r="CC36" s="1">
        <v>34.465600000000002</v>
      </c>
      <c r="CD36" s="1">
        <v>3.4883199999999999</v>
      </c>
      <c r="CF36" s="1425">
        <v>45187</v>
      </c>
      <c r="CG36" s="1">
        <v>9.2850999999999999</v>
      </c>
      <c r="CH36" s="1">
        <v>1.2436</v>
      </c>
      <c r="CL36" s="1425">
        <v>45187</v>
      </c>
      <c r="CM36" s="1">
        <v>20.921800000000001</v>
      </c>
      <c r="CN36" s="1">
        <v>2.5310000000000001</v>
      </c>
      <c r="CO36" s="1">
        <v>10.1393</v>
      </c>
    </row>
    <row r="37" spans="1:93">
      <c r="A37" s="1425">
        <v>45184</v>
      </c>
      <c r="B37" s="20">
        <f t="shared" si="2"/>
        <v>19.209599999999998</v>
      </c>
      <c r="C37" s="20">
        <f t="shared" si="4"/>
        <v>34.690199999999997</v>
      </c>
      <c r="D37" s="20">
        <f t="shared" si="5"/>
        <v>10.751799999999999</v>
      </c>
      <c r="E37" s="20">
        <f t="shared" si="6"/>
        <v>7.3769999999999998</v>
      </c>
      <c r="F37" s="20">
        <f t="shared" si="7"/>
        <v>16.968299999999999</v>
      </c>
      <c r="G37" s="20">
        <f t="shared" si="8"/>
        <v>12.9566</v>
      </c>
      <c r="H37" s="1239">
        <f t="shared" si="9"/>
        <v>12.9566</v>
      </c>
      <c r="I37" s="1243">
        <f t="shared" si="3"/>
        <v>0.48261117885865112</v>
      </c>
      <c r="J37" s="1243">
        <f t="shared" si="10"/>
        <v>0.12093838824177333</v>
      </c>
      <c r="K37" s="1243">
        <f t="shared" si="11"/>
        <v>0.1</v>
      </c>
      <c r="L37" s="203"/>
      <c r="N37" s="1425">
        <v>45184</v>
      </c>
      <c r="O37" s="1502">
        <v>19.209599999999998</v>
      </c>
      <c r="P37" s="1502">
        <v>3.7966000000000002</v>
      </c>
      <c r="Q37" s="1502">
        <v>16.792200000000001</v>
      </c>
      <c r="R37" s="1233">
        <f>'B. PE'!$U$23</f>
        <v>15.978235616082999</v>
      </c>
      <c r="S37" s="1233"/>
      <c r="T37" s="1233"/>
      <c r="V37" s="1425">
        <v>45184</v>
      </c>
      <c r="W37" s="1">
        <v>34.690199999999997</v>
      </c>
      <c r="X37" s="1">
        <v>1.6004</v>
      </c>
      <c r="Z37" s="1">
        <v>1.29623</v>
      </c>
      <c r="AB37" s="1425">
        <v>45183</v>
      </c>
      <c r="AC37" s="1">
        <v>7.8555000000000001</v>
      </c>
      <c r="AD37" s="1502">
        <v>1.1063000000000001</v>
      </c>
      <c r="AE37" s="1">
        <v>5.6283000000000003</v>
      </c>
      <c r="AF37" s="1">
        <v>3.1789999999999999E-2</v>
      </c>
      <c r="AH37" s="1425">
        <v>45183</v>
      </c>
      <c r="AI37" s="1">
        <v>10.751799999999999</v>
      </c>
      <c r="AJ37" s="1">
        <v>1.8875</v>
      </c>
      <c r="AK37" s="1">
        <v>6.5258000000000003</v>
      </c>
      <c r="AL37" s="1">
        <v>3.322E-2</v>
      </c>
      <c r="AN37" s="1425">
        <v>45183</v>
      </c>
      <c r="AO37" s="1">
        <v>7.3769999999999998</v>
      </c>
      <c r="AP37" s="1">
        <v>1.1234999999999999</v>
      </c>
      <c r="AQ37" s="1">
        <v>4.7518000000000002</v>
      </c>
      <c r="AR37" s="1">
        <v>0.28858</v>
      </c>
      <c r="AT37" s="1425">
        <v>45183</v>
      </c>
      <c r="AU37" s="1">
        <v>7.2785000000000002</v>
      </c>
      <c r="AX37" s="1">
        <v>0.20201</v>
      </c>
      <c r="BA37" s="1425">
        <v>45182</v>
      </c>
      <c r="BB37" s="1">
        <v>13.0718</v>
      </c>
      <c r="BC37" s="1">
        <v>2.3239000000000001</v>
      </c>
      <c r="BD37" s="1">
        <v>12.2729</v>
      </c>
      <c r="BE37" s="1">
        <v>0.65917000000000003</v>
      </c>
      <c r="BG37" s="1425">
        <v>45182</v>
      </c>
      <c r="BH37" s="1">
        <v>16.4253</v>
      </c>
      <c r="BI37" s="1">
        <v>2.6594000000000002</v>
      </c>
      <c r="BJ37" s="1">
        <v>20.140599999999999</v>
      </c>
      <c r="BT37" s="1425">
        <v>45184</v>
      </c>
      <c r="BU37" s="1">
        <v>52.333599999999997</v>
      </c>
      <c r="BV37" s="1">
        <v>3.5211999999999999</v>
      </c>
      <c r="BW37" s="1">
        <v>13.542199999999999</v>
      </c>
      <c r="BX37" s="1">
        <v>2.3812000000000002</v>
      </c>
      <c r="BZ37" s="1425">
        <v>45184</v>
      </c>
      <c r="CB37" s="1">
        <v>6.7911000000000001</v>
      </c>
      <c r="CC37" s="1">
        <v>34.312399999999997</v>
      </c>
      <c r="CD37" s="1">
        <v>3.49526</v>
      </c>
      <c r="CF37" s="1425">
        <v>45184</v>
      </c>
      <c r="CG37" s="1">
        <v>9.3402999999999992</v>
      </c>
      <c r="CH37" s="1">
        <v>1.2509999999999999</v>
      </c>
      <c r="CL37" s="1425">
        <v>45184</v>
      </c>
      <c r="CM37" s="1">
        <v>21.115100000000002</v>
      </c>
      <c r="CN37" s="1">
        <v>2.5543999999999998</v>
      </c>
      <c r="CO37" s="1">
        <v>10.225099999999999</v>
      </c>
    </row>
    <row r="38" spans="1:93">
      <c r="A38" s="1425">
        <v>45183</v>
      </c>
      <c r="B38" s="20">
        <f t="shared" si="2"/>
        <v>19.405200000000001</v>
      </c>
      <c r="C38" s="20">
        <f t="shared" si="4"/>
        <v>35.7485</v>
      </c>
      <c r="D38" s="20">
        <f t="shared" si="5"/>
        <v>10.751799999999999</v>
      </c>
      <c r="E38" s="20">
        <f t="shared" si="6"/>
        <v>7.3769999999999998</v>
      </c>
      <c r="F38" s="20">
        <f t="shared" si="7"/>
        <v>16.968299999999999</v>
      </c>
      <c r="G38" s="20">
        <f t="shared" si="8"/>
        <v>13.186999999999999</v>
      </c>
      <c r="H38" s="1239">
        <f t="shared" si="9"/>
        <v>13.186999999999999</v>
      </c>
      <c r="I38" s="1243">
        <f t="shared" si="3"/>
        <v>0.47154015318116338</v>
      </c>
      <c r="J38" s="1243">
        <f t="shared" si="10"/>
        <v>0.12093838824177333</v>
      </c>
      <c r="K38" s="1243">
        <f t="shared" si="11"/>
        <v>0.1</v>
      </c>
      <c r="L38" s="203"/>
      <c r="N38" s="1425">
        <v>45183</v>
      </c>
      <c r="O38" s="1502">
        <v>19.405200000000001</v>
      </c>
      <c r="P38" s="1502">
        <v>3.8353000000000002</v>
      </c>
      <c r="Q38" s="1502">
        <v>16.944800000000001</v>
      </c>
      <c r="R38" s="1233">
        <f>'B. PE'!$U$23</f>
        <v>15.978235616082999</v>
      </c>
      <c r="S38" s="1233"/>
      <c r="T38" s="1233"/>
      <c r="V38" s="1425">
        <v>45183</v>
      </c>
      <c r="W38" s="1">
        <v>35.7485</v>
      </c>
      <c r="X38" s="1">
        <v>1.6492</v>
      </c>
      <c r="Z38" s="1">
        <v>1.2938000000000001</v>
      </c>
      <c r="AB38" s="1425">
        <v>45182</v>
      </c>
      <c r="AC38" s="1">
        <v>7.9863999999999997</v>
      </c>
      <c r="AD38" s="1502">
        <v>1.1247</v>
      </c>
      <c r="AE38" s="1">
        <v>5.6760000000000002</v>
      </c>
      <c r="AF38" s="1">
        <v>3.09E-2</v>
      </c>
      <c r="AH38" s="1425">
        <v>45182</v>
      </c>
      <c r="AI38" s="1">
        <v>10.6464</v>
      </c>
      <c r="AJ38" s="1">
        <v>1.869</v>
      </c>
      <c r="AK38" s="1">
        <v>6.4705000000000004</v>
      </c>
      <c r="AL38" s="1">
        <v>3.3239999999999999E-2</v>
      </c>
      <c r="AN38" s="1425">
        <v>45182</v>
      </c>
      <c r="AO38" s="1">
        <v>7.3224</v>
      </c>
      <c r="AP38" s="1">
        <v>1.1152</v>
      </c>
      <c r="AQ38" s="1">
        <v>4.7102000000000004</v>
      </c>
      <c r="AR38" s="1">
        <v>0.28882999999999998</v>
      </c>
      <c r="AT38" s="1425">
        <v>45182</v>
      </c>
      <c r="AU38" s="1">
        <v>7.3575999999999997</v>
      </c>
      <c r="AX38" s="1">
        <v>0.20324999999999999</v>
      </c>
      <c r="BA38" s="1425">
        <v>45181</v>
      </c>
      <c r="BB38" s="1">
        <v>13.4749</v>
      </c>
      <c r="BC38" s="1">
        <v>2.3956</v>
      </c>
      <c r="BD38" s="1">
        <v>12.527100000000001</v>
      </c>
      <c r="BE38" s="1">
        <v>0.65698999999999996</v>
      </c>
      <c r="BG38" s="1425">
        <v>45181</v>
      </c>
      <c r="BH38" s="1">
        <v>17.647099999999998</v>
      </c>
      <c r="BI38" s="1">
        <v>2.8573</v>
      </c>
      <c r="BJ38" s="1">
        <v>21.102799999999998</v>
      </c>
      <c r="BT38" s="1425">
        <v>45183</v>
      </c>
      <c r="BU38" s="1">
        <v>53.644199999999998</v>
      </c>
      <c r="BV38" s="1">
        <v>3.6093999999999999</v>
      </c>
      <c r="BW38" s="1">
        <v>13.890599999999999</v>
      </c>
      <c r="BX38" s="1">
        <v>2.3138999999999998</v>
      </c>
      <c r="BZ38" s="1425">
        <v>45183</v>
      </c>
      <c r="CB38" s="1">
        <v>6.6647999999999996</v>
      </c>
      <c r="CC38" s="1">
        <v>33.822299999999998</v>
      </c>
      <c r="CD38" s="1">
        <v>3.5869800000000001</v>
      </c>
      <c r="CF38" s="1425">
        <v>45183</v>
      </c>
      <c r="CG38" s="1">
        <v>9.3956</v>
      </c>
      <c r="CH38" s="1">
        <v>1.2584</v>
      </c>
      <c r="CL38" s="1425">
        <v>45183</v>
      </c>
      <c r="CM38" s="1">
        <v>21.147300000000001</v>
      </c>
      <c r="CN38" s="1">
        <v>2.5583</v>
      </c>
      <c r="CO38" s="1">
        <v>10.2394</v>
      </c>
    </row>
    <row r="39" spans="1:93">
      <c r="A39" s="1425">
        <v>45182</v>
      </c>
      <c r="B39" s="20">
        <f t="shared" si="2"/>
        <v>20.024899999999999</v>
      </c>
      <c r="C39" s="20">
        <f t="shared" si="4"/>
        <v>36.806899999999999</v>
      </c>
      <c r="D39" s="20">
        <f t="shared" si="5"/>
        <v>10.6464</v>
      </c>
      <c r="E39" s="20">
        <f t="shared" si="6"/>
        <v>7.3224</v>
      </c>
      <c r="F39" s="20">
        <f t="shared" si="7"/>
        <v>16.4253</v>
      </c>
      <c r="G39" s="20">
        <f t="shared" si="8"/>
        <v>13.0718</v>
      </c>
      <c r="H39" s="1239">
        <f t="shared" si="9"/>
        <v>13.0718</v>
      </c>
      <c r="I39" s="1243">
        <f t="shared" si="3"/>
        <v>0.53191603298704071</v>
      </c>
      <c r="J39" s="1243">
        <f t="shared" si="10"/>
        <v>0.12093838824177333</v>
      </c>
      <c r="K39" s="1243">
        <f t="shared" si="11"/>
        <v>0.1</v>
      </c>
      <c r="L39" s="203"/>
      <c r="N39" s="1425">
        <v>45182</v>
      </c>
      <c r="O39" s="1502">
        <v>20.024899999999999</v>
      </c>
      <c r="P39" s="1502">
        <v>3.9578000000000002</v>
      </c>
      <c r="Q39" s="1502">
        <v>17.428100000000001</v>
      </c>
      <c r="R39" s="1233">
        <f>'B. PE'!$U$23</f>
        <v>15.978235616082999</v>
      </c>
      <c r="S39" s="1233"/>
      <c r="T39" s="1233"/>
      <c r="V39" s="1425">
        <v>45182</v>
      </c>
      <c r="W39" s="1">
        <v>36.806899999999999</v>
      </c>
      <c r="X39" s="1">
        <v>1.698</v>
      </c>
      <c r="Z39" s="1">
        <v>1.2689999999999999</v>
      </c>
      <c r="AB39" s="1425">
        <v>45181</v>
      </c>
      <c r="AC39" s="1">
        <v>7.9863999999999997</v>
      </c>
      <c r="AD39" s="1502">
        <v>1.1247</v>
      </c>
      <c r="AE39" s="1">
        <v>5.6760000000000002</v>
      </c>
      <c r="AF39" s="1">
        <v>3.0890000000000001E-2</v>
      </c>
      <c r="AH39" s="1425">
        <v>45181</v>
      </c>
      <c r="AI39" s="1">
        <v>10.751799999999999</v>
      </c>
      <c r="AJ39" s="1">
        <v>1.8875</v>
      </c>
      <c r="AK39" s="1">
        <v>6.5258000000000003</v>
      </c>
      <c r="AL39" s="1">
        <v>3.3570000000000003E-2</v>
      </c>
      <c r="AN39" s="1425">
        <v>45181</v>
      </c>
      <c r="AO39" s="1">
        <v>7.3769999999999998</v>
      </c>
      <c r="AP39" s="1">
        <v>1.1234999999999999</v>
      </c>
      <c r="AQ39" s="1">
        <v>4.7518000000000002</v>
      </c>
      <c r="AR39" s="1">
        <v>0.28861999999999999</v>
      </c>
      <c r="AT39" s="1425">
        <v>45181</v>
      </c>
      <c r="AU39" s="1">
        <v>7.4763000000000002</v>
      </c>
      <c r="AX39" s="1">
        <v>0.2031</v>
      </c>
      <c r="BA39" s="1425">
        <v>45180</v>
      </c>
      <c r="BB39" s="1">
        <v>13.4749</v>
      </c>
      <c r="BC39" s="1">
        <v>2.3956</v>
      </c>
      <c r="BD39" s="1">
        <v>12.527100000000001</v>
      </c>
      <c r="BE39" s="1">
        <v>0.65964999999999996</v>
      </c>
      <c r="BG39" s="1425">
        <v>45180</v>
      </c>
      <c r="BH39" s="1">
        <v>17.918500000000002</v>
      </c>
      <c r="BI39" s="1">
        <v>2.9011999999999998</v>
      </c>
      <c r="BJ39" s="1">
        <v>21.316700000000001</v>
      </c>
      <c r="BT39" s="1425">
        <v>45182</v>
      </c>
      <c r="BU39" s="1">
        <v>53.831499999999998</v>
      </c>
      <c r="BV39" s="1">
        <v>3.6219999999999999</v>
      </c>
      <c r="BW39" s="1">
        <v>13.9404</v>
      </c>
      <c r="BX39" s="1">
        <v>2.2639</v>
      </c>
      <c r="BZ39" s="1425">
        <v>45182</v>
      </c>
      <c r="CB39" s="1">
        <v>6.6647999999999996</v>
      </c>
      <c r="CC39" s="1">
        <v>33.822299999999998</v>
      </c>
      <c r="CD39" s="1">
        <v>3.53078</v>
      </c>
      <c r="CF39" s="1425">
        <v>45182</v>
      </c>
      <c r="CG39" s="1">
        <v>9.3956</v>
      </c>
      <c r="CH39" s="1">
        <v>1.2584</v>
      </c>
      <c r="CL39" s="1425">
        <v>45182</v>
      </c>
      <c r="CM39" s="1">
        <v>21.0184</v>
      </c>
      <c r="CN39" s="1">
        <v>2.5427</v>
      </c>
      <c r="CO39" s="1">
        <v>10.1822</v>
      </c>
    </row>
    <row r="40" spans="1:93">
      <c r="A40" s="1425">
        <v>45181</v>
      </c>
      <c r="B40" s="20">
        <f t="shared" si="2"/>
        <v>20.220600000000001</v>
      </c>
      <c r="C40" s="20">
        <f t="shared" si="4"/>
        <v>36.689300000000003</v>
      </c>
      <c r="D40" s="20">
        <f t="shared" si="5"/>
        <v>10.751799999999999</v>
      </c>
      <c r="E40" s="20">
        <f t="shared" si="6"/>
        <v>7.3769999999999998</v>
      </c>
      <c r="F40" s="20">
        <f t="shared" si="7"/>
        <v>17.647099999999998</v>
      </c>
      <c r="G40" s="20">
        <f t="shared" si="8"/>
        <v>13.4749</v>
      </c>
      <c r="H40" s="1239">
        <f t="shared" si="9"/>
        <v>13.4749</v>
      </c>
      <c r="I40" s="1243">
        <f t="shared" si="3"/>
        <v>0.50061224944155436</v>
      </c>
      <c r="J40" s="1243">
        <f t="shared" si="10"/>
        <v>0.12093838824177333</v>
      </c>
      <c r="K40" s="1243">
        <f t="shared" si="11"/>
        <v>0.1</v>
      </c>
      <c r="L40" s="203"/>
      <c r="N40" s="1425">
        <v>45181</v>
      </c>
      <c r="O40" s="1502">
        <v>20.220600000000001</v>
      </c>
      <c r="P40" s="1502">
        <v>3.9964</v>
      </c>
      <c r="Q40" s="1502">
        <v>17.5807</v>
      </c>
      <c r="R40" s="1233">
        <f>'B. PE'!$U$23</f>
        <v>15.978235616082999</v>
      </c>
      <c r="S40" s="1233"/>
      <c r="T40" s="1233"/>
      <c r="V40" s="1425">
        <v>45181</v>
      </c>
      <c r="W40" s="1">
        <v>36.689300000000003</v>
      </c>
      <c r="X40" s="1">
        <v>1.6926000000000001</v>
      </c>
      <c r="Z40" s="1">
        <v>1.2385200000000001</v>
      </c>
      <c r="AB40" s="1425">
        <v>45180</v>
      </c>
      <c r="AC40" s="1">
        <v>7.7572999999999999</v>
      </c>
      <c r="AD40" s="1502">
        <v>1.0924</v>
      </c>
      <c r="AE40" s="1">
        <v>5.5925000000000002</v>
      </c>
      <c r="AF40" s="1">
        <v>3.116E-2</v>
      </c>
      <c r="AH40" s="1425">
        <v>45180</v>
      </c>
      <c r="AI40" s="1">
        <v>10.751799999999999</v>
      </c>
      <c r="AJ40" s="1">
        <v>1.8875</v>
      </c>
      <c r="AK40" s="1">
        <v>6.5258000000000003</v>
      </c>
      <c r="AL40" s="1">
        <v>3.39E-2</v>
      </c>
      <c r="AN40" s="1425">
        <v>45180</v>
      </c>
      <c r="AO40" s="1">
        <v>7.3769999999999998</v>
      </c>
      <c r="AP40" s="1">
        <v>1.1234999999999999</v>
      </c>
      <c r="AQ40" s="1">
        <v>4.7518000000000002</v>
      </c>
      <c r="AR40" s="1">
        <v>0.2908</v>
      </c>
      <c r="AT40" s="1425">
        <v>45180</v>
      </c>
      <c r="AU40" s="1">
        <v>7.5157999999999996</v>
      </c>
      <c r="AX40" s="1">
        <v>0.20205999999999999</v>
      </c>
      <c r="BA40" s="1425">
        <v>45177</v>
      </c>
      <c r="BB40" s="1">
        <v>13.4749</v>
      </c>
      <c r="BC40" s="1">
        <v>2.3956</v>
      </c>
      <c r="BD40" s="1">
        <v>12.527100000000001</v>
      </c>
      <c r="BE40" s="1">
        <v>0.66591999999999996</v>
      </c>
      <c r="BG40" s="1425">
        <v>45177</v>
      </c>
      <c r="BH40" s="1">
        <v>18.190000000000001</v>
      </c>
      <c r="BI40" s="1">
        <v>2.9451999999999998</v>
      </c>
      <c r="BJ40" s="1">
        <v>21.5305</v>
      </c>
      <c r="BT40" s="1425">
        <v>45181</v>
      </c>
      <c r="BU40" s="1">
        <v>52.239899999999999</v>
      </c>
      <c r="BV40" s="1">
        <v>3.5148999999999999</v>
      </c>
      <c r="BW40" s="1">
        <v>13.517300000000001</v>
      </c>
      <c r="BX40" s="1">
        <v>2.3066</v>
      </c>
      <c r="BZ40" s="1425">
        <v>45181</v>
      </c>
      <c r="CB40" s="1">
        <v>6.8305999999999996</v>
      </c>
      <c r="CC40" s="1">
        <v>34.465600000000002</v>
      </c>
      <c r="CD40" s="1">
        <v>3.5742500000000001</v>
      </c>
      <c r="CF40" s="1425">
        <v>45181</v>
      </c>
      <c r="CG40" s="1">
        <v>9.5061999999999998</v>
      </c>
      <c r="CH40" s="1">
        <v>1.2732000000000001</v>
      </c>
      <c r="CL40" s="1425">
        <v>45181</v>
      </c>
      <c r="CM40" s="1">
        <v>21.0989</v>
      </c>
      <c r="CN40" s="1">
        <v>2.5525000000000002</v>
      </c>
      <c r="CO40" s="1">
        <v>10.218</v>
      </c>
    </row>
    <row r="41" spans="1:93">
      <c r="A41" s="1425">
        <v>45180</v>
      </c>
      <c r="B41" s="20">
        <f t="shared" si="2"/>
        <v>19.568300000000001</v>
      </c>
      <c r="C41" s="20">
        <f t="shared" si="4"/>
        <v>35.924900000000001</v>
      </c>
      <c r="D41" s="20">
        <f t="shared" si="5"/>
        <v>10.751799999999999</v>
      </c>
      <c r="E41" s="20">
        <f t="shared" si="6"/>
        <v>7.3769999999999998</v>
      </c>
      <c r="F41" s="20">
        <f t="shared" si="7"/>
        <v>17.918500000000002</v>
      </c>
      <c r="G41" s="20">
        <f t="shared" si="8"/>
        <v>13.4749</v>
      </c>
      <c r="H41" s="1239">
        <f t="shared" si="9"/>
        <v>13.4749</v>
      </c>
      <c r="I41" s="1243">
        <f t="shared" si="3"/>
        <v>0.45220372692932798</v>
      </c>
      <c r="J41" s="1243">
        <f t="shared" si="10"/>
        <v>0.12093838824177333</v>
      </c>
      <c r="K41" s="1243">
        <f t="shared" si="11"/>
        <v>0.1</v>
      </c>
      <c r="L41" s="203"/>
      <c r="N41" s="1425">
        <v>45180</v>
      </c>
      <c r="O41" s="1502">
        <v>19.568300000000001</v>
      </c>
      <c r="P41" s="1502">
        <v>3.8675000000000002</v>
      </c>
      <c r="Q41" s="1502">
        <v>17.071999999999999</v>
      </c>
      <c r="R41" s="1233">
        <f>'B. PE'!$U$23</f>
        <v>15.978235616082999</v>
      </c>
      <c r="S41" s="1233"/>
      <c r="T41" s="1233"/>
      <c r="V41" s="1425">
        <v>45180</v>
      </c>
      <c r="W41" s="1">
        <v>35.924900000000001</v>
      </c>
      <c r="X41" s="1">
        <v>1.6573</v>
      </c>
      <c r="Z41" s="1">
        <v>1.2154100000000001</v>
      </c>
      <c r="AB41" s="1425">
        <v>45177</v>
      </c>
      <c r="AC41" s="1">
        <v>7.7572999999999999</v>
      </c>
      <c r="AD41" s="1502">
        <v>1.0924</v>
      </c>
      <c r="AE41" s="1">
        <v>5.5925000000000002</v>
      </c>
      <c r="AF41" s="1">
        <v>3.1550000000000002E-2</v>
      </c>
      <c r="AH41" s="1425">
        <v>45177</v>
      </c>
      <c r="AI41" s="1">
        <v>10.857200000000001</v>
      </c>
      <c r="AJ41" s="1">
        <v>1.9059999999999999</v>
      </c>
      <c r="AK41" s="1">
        <v>6.5811000000000002</v>
      </c>
      <c r="AL41" s="1">
        <v>3.39E-2</v>
      </c>
      <c r="AN41" s="1425">
        <v>45177</v>
      </c>
      <c r="AO41" s="1">
        <v>7.3769999999999998</v>
      </c>
      <c r="AP41" s="1">
        <v>1.1234999999999999</v>
      </c>
      <c r="AQ41" s="1">
        <v>4.7518000000000002</v>
      </c>
      <c r="AT41" s="1425">
        <v>45177</v>
      </c>
      <c r="AU41" s="1">
        <v>7.5157999999999996</v>
      </c>
      <c r="AX41" s="1">
        <v>0.20535</v>
      </c>
      <c r="BA41" s="1425">
        <v>45176</v>
      </c>
      <c r="BB41" s="1">
        <v>13.532500000000001</v>
      </c>
      <c r="BC41" s="1">
        <v>2.4058000000000002</v>
      </c>
      <c r="BD41" s="1">
        <v>12.563499999999999</v>
      </c>
      <c r="BE41" s="1">
        <v>0.67634000000000005</v>
      </c>
      <c r="BG41" s="1425">
        <v>45176</v>
      </c>
      <c r="BH41" s="1">
        <v>18.054300000000001</v>
      </c>
      <c r="BI41" s="1">
        <v>2.9232</v>
      </c>
      <c r="BJ41" s="1">
        <v>21.4236</v>
      </c>
      <c r="BT41" s="1425">
        <v>45180</v>
      </c>
      <c r="BU41" s="1">
        <v>51.0229</v>
      </c>
      <c r="BV41" s="1">
        <v>3.4331</v>
      </c>
      <c r="BW41" s="1">
        <v>13.1938</v>
      </c>
      <c r="BX41" s="1">
        <v>2.2854000000000001</v>
      </c>
      <c r="BZ41" s="1425">
        <v>45180</v>
      </c>
      <c r="CB41" s="1">
        <v>6.7122000000000002</v>
      </c>
      <c r="CC41" s="1">
        <v>34.006100000000004</v>
      </c>
      <c r="CD41" s="1">
        <v>3.49871</v>
      </c>
      <c r="CF41" s="1425">
        <v>45180</v>
      </c>
      <c r="CG41" s="1">
        <v>9.5061999999999998</v>
      </c>
      <c r="CH41" s="1">
        <v>1.2732000000000001</v>
      </c>
      <c r="CL41" s="1425">
        <v>45180</v>
      </c>
      <c r="CM41" s="1">
        <v>21.324400000000001</v>
      </c>
      <c r="CN41" s="1">
        <v>2.5796999999999999</v>
      </c>
      <c r="CO41" s="1">
        <v>10.318099999999999</v>
      </c>
    </row>
    <row r="42" spans="1:93">
      <c r="A42" s="1425">
        <v>45177</v>
      </c>
      <c r="B42" s="20">
        <f t="shared" si="2"/>
        <v>19.535699999999999</v>
      </c>
      <c r="C42" s="20">
        <f t="shared" si="4"/>
        <v>35.042999999999999</v>
      </c>
      <c r="D42" s="20">
        <f t="shared" si="5"/>
        <v>10.857200000000001</v>
      </c>
      <c r="E42" s="20">
        <f t="shared" si="6"/>
        <v>7.3769999999999998</v>
      </c>
      <c r="F42" s="20">
        <f t="shared" si="7"/>
        <v>18.190000000000001</v>
      </c>
      <c r="G42" s="20">
        <f t="shared" si="8"/>
        <v>13.4749</v>
      </c>
      <c r="H42" s="1239">
        <f t="shared" si="9"/>
        <v>13.4749</v>
      </c>
      <c r="I42" s="1243">
        <f t="shared" si="3"/>
        <v>0.44978441398451929</v>
      </c>
      <c r="J42" s="1243">
        <f t="shared" si="10"/>
        <v>0.12093838824177333</v>
      </c>
      <c r="K42" s="1243">
        <f t="shared" si="11"/>
        <v>0.1</v>
      </c>
      <c r="L42" s="203"/>
      <c r="N42" s="1425">
        <v>45177</v>
      </c>
      <c r="O42" s="1502">
        <v>19.535699999999999</v>
      </c>
      <c r="P42" s="1502">
        <v>3.8611</v>
      </c>
      <c r="Q42" s="1502">
        <v>17.046600000000002</v>
      </c>
      <c r="R42" s="1233">
        <f>'B. PE'!$U$23</f>
        <v>15.978235616082999</v>
      </c>
      <c r="S42" s="1233"/>
      <c r="T42" s="1233"/>
      <c r="V42" s="1425">
        <v>45177</v>
      </c>
      <c r="W42" s="1">
        <v>35.042999999999999</v>
      </c>
      <c r="X42" s="1">
        <v>1.6167</v>
      </c>
      <c r="Z42" s="1">
        <v>1.2261</v>
      </c>
      <c r="AB42" s="1425">
        <v>45176</v>
      </c>
      <c r="AC42" s="1">
        <v>7.8228</v>
      </c>
      <c r="AD42" s="1502">
        <v>1.1015999999999999</v>
      </c>
      <c r="AE42" s="1">
        <v>5.6162999999999998</v>
      </c>
      <c r="AF42" s="1">
        <v>3.1940000000000003E-2</v>
      </c>
      <c r="AH42" s="1425">
        <v>45176</v>
      </c>
      <c r="AI42" s="1">
        <v>10.9626</v>
      </c>
      <c r="AJ42" s="1">
        <v>1.9245000000000001</v>
      </c>
      <c r="AK42" s="1">
        <v>6.6364000000000001</v>
      </c>
      <c r="AL42" s="1">
        <v>3.3709999999999997E-2</v>
      </c>
      <c r="AN42" s="1425">
        <v>45176</v>
      </c>
      <c r="AO42" s="1">
        <v>7.4317000000000002</v>
      </c>
      <c r="AP42" s="1">
        <v>1.1318999999999999</v>
      </c>
      <c r="AQ42" s="1">
        <v>4.7934999999999999</v>
      </c>
      <c r="AR42" s="1">
        <v>0.29153000000000001</v>
      </c>
      <c r="AT42" s="1425">
        <v>45176</v>
      </c>
      <c r="AU42" s="1">
        <v>7.4763000000000002</v>
      </c>
      <c r="AX42" s="1">
        <v>0.20899999999999999</v>
      </c>
      <c r="BA42" s="1425">
        <v>45175</v>
      </c>
      <c r="BB42" s="1">
        <v>13.647600000000001</v>
      </c>
      <c r="BC42" s="1">
        <v>2.4262999999999999</v>
      </c>
      <c r="BD42" s="1">
        <v>12.636100000000001</v>
      </c>
      <c r="BE42" s="1">
        <v>0.66947999999999996</v>
      </c>
      <c r="BG42" s="1425">
        <v>45175</v>
      </c>
      <c r="BH42" s="1">
        <v>18.054300000000001</v>
      </c>
      <c r="BI42" s="1">
        <v>2.9232</v>
      </c>
      <c r="BJ42" s="1">
        <v>21.4236</v>
      </c>
      <c r="BT42" s="1425">
        <v>45177</v>
      </c>
      <c r="BU42" s="1">
        <v>51.959099999999999</v>
      </c>
      <c r="BV42" s="1">
        <v>3.4961000000000002</v>
      </c>
      <c r="BW42" s="1">
        <v>13.4427</v>
      </c>
      <c r="BX42" s="1">
        <v>2.286</v>
      </c>
      <c r="BZ42" s="1425">
        <v>45177</v>
      </c>
      <c r="CB42" s="1">
        <v>6.7911000000000001</v>
      </c>
      <c r="CC42" s="1">
        <v>34.312399999999997</v>
      </c>
      <c r="CD42" s="1">
        <v>3.5245199999999999</v>
      </c>
      <c r="CF42" s="1425">
        <v>45177</v>
      </c>
      <c r="CG42" s="1">
        <v>9.3956</v>
      </c>
      <c r="CH42" s="1">
        <v>1.2584</v>
      </c>
      <c r="CL42" s="1425">
        <v>45177</v>
      </c>
      <c r="CM42" s="1">
        <v>21.4694</v>
      </c>
      <c r="CN42" s="1">
        <v>2.5973000000000002</v>
      </c>
      <c r="CO42" s="1">
        <v>10.3825</v>
      </c>
    </row>
    <row r="43" spans="1:93">
      <c r="A43" s="1425">
        <v>45176</v>
      </c>
      <c r="B43" s="20">
        <f t="shared" si="2"/>
        <v>19.177</v>
      </c>
      <c r="C43" s="20">
        <f t="shared" si="4"/>
        <v>34.3962</v>
      </c>
      <c r="D43" s="20">
        <f t="shared" si="5"/>
        <v>10.9626</v>
      </c>
      <c r="E43" s="20">
        <f t="shared" si="6"/>
        <v>7.4317000000000002</v>
      </c>
      <c r="F43" s="20">
        <f t="shared" si="7"/>
        <v>18.054300000000001</v>
      </c>
      <c r="G43" s="20">
        <f t="shared" si="8"/>
        <v>13.532500000000001</v>
      </c>
      <c r="H43" s="1239">
        <f t="shared" si="9"/>
        <v>13.532500000000001</v>
      </c>
      <c r="I43" s="1243">
        <f t="shared" si="3"/>
        <v>0.41710696471457598</v>
      </c>
      <c r="J43" s="1243">
        <f t="shared" si="10"/>
        <v>0.12093838824177333</v>
      </c>
      <c r="K43" s="1243">
        <f t="shared" si="11"/>
        <v>0.1</v>
      </c>
      <c r="L43" s="203"/>
      <c r="N43" s="1425">
        <v>45176</v>
      </c>
      <c r="O43" s="1502">
        <v>19.177</v>
      </c>
      <c r="P43" s="1502">
        <v>3.7902</v>
      </c>
      <c r="Q43" s="1502">
        <v>16.7668</v>
      </c>
      <c r="R43" s="1233">
        <f>'B. PE'!$U$23</f>
        <v>15.978235616082999</v>
      </c>
      <c r="S43" s="1233"/>
      <c r="T43" s="1233"/>
      <c r="V43" s="1425">
        <v>45176</v>
      </c>
      <c r="W43" s="1">
        <v>34.3962</v>
      </c>
      <c r="X43" s="1">
        <v>1.5868</v>
      </c>
      <c r="Z43" s="1">
        <v>1.2046699999999999</v>
      </c>
      <c r="AB43" s="1425">
        <v>45175</v>
      </c>
      <c r="AC43" s="1">
        <v>7.9210000000000003</v>
      </c>
      <c r="AD43" s="1502">
        <v>1.1154999999999999</v>
      </c>
      <c r="AE43" s="1">
        <v>5.6520999999999999</v>
      </c>
      <c r="AF43" s="1">
        <v>3.1910000000000001E-2</v>
      </c>
      <c r="AH43" s="1425">
        <v>45175</v>
      </c>
      <c r="AI43" s="1">
        <v>10.9626</v>
      </c>
      <c r="AJ43" s="1">
        <v>1.9245000000000001</v>
      </c>
      <c r="AK43" s="1">
        <v>6.6364000000000001</v>
      </c>
      <c r="AL43" s="1">
        <v>3.4479999999999997E-2</v>
      </c>
      <c r="AN43" s="1425">
        <v>45175</v>
      </c>
      <c r="AQ43" s="1">
        <v>4.7934999999999999</v>
      </c>
      <c r="AR43" s="1">
        <v>0.29210000000000003</v>
      </c>
      <c r="AT43" s="1425">
        <v>45175</v>
      </c>
      <c r="AU43" s="1">
        <v>7.5949</v>
      </c>
      <c r="AX43" s="1">
        <v>0.20510999999999999</v>
      </c>
      <c r="BA43" s="1425">
        <v>45174</v>
      </c>
      <c r="BB43" s="1">
        <v>13.820399999999999</v>
      </c>
      <c r="BC43" s="1">
        <v>2.4569999999999999</v>
      </c>
      <c r="BD43" s="1">
        <v>12.745100000000001</v>
      </c>
      <c r="BE43" s="1">
        <v>0.66080000000000005</v>
      </c>
      <c r="BG43" s="1425">
        <v>45174</v>
      </c>
      <c r="BH43" s="1">
        <v>18.461500000000001</v>
      </c>
      <c r="BI43" s="1">
        <v>2.9891000000000001</v>
      </c>
      <c r="BJ43" s="1">
        <v>21.744299999999999</v>
      </c>
      <c r="BT43" s="1425">
        <v>45176</v>
      </c>
      <c r="BU43" s="1">
        <v>51.491</v>
      </c>
      <c r="BV43" s="1">
        <v>3.4645999999999999</v>
      </c>
      <c r="BW43" s="1">
        <v>13.318199999999999</v>
      </c>
      <c r="BX43" s="1">
        <v>2.2555999999999998</v>
      </c>
      <c r="BZ43" s="1425">
        <v>45176</v>
      </c>
      <c r="CB43" s="1">
        <v>6.649</v>
      </c>
      <c r="CC43" s="1">
        <v>33.761099999999999</v>
      </c>
      <c r="CD43" s="1">
        <v>3.4312299999999998</v>
      </c>
      <c r="CF43" s="1425">
        <v>45176</v>
      </c>
      <c r="CG43" s="1">
        <v>9.6166999999999998</v>
      </c>
      <c r="CH43" s="1">
        <v>1.288</v>
      </c>
      <c r="CL43" s="1425">
        <v>45176</v>
      </c>
      <c r="CM43" s="1">
        <v>21.7593</v>
      </c>
      <c r="CN43" s="1">
        <v>2.6322999999999999</v>
      </c>
      <c r="CO43" s="1">
        <v>10.511200000000001</v>
      </c>
    </row>
    <row r="44" spans="1:93">
      <c r="A44" s="1425">
        <v>45175</v>
      </c>
      <c r="B44" s="20">
        <f t="shared" si="2"/>
        <v>19.535699999999999</v>
      </c>
      <c r="C44" s="20">
        <f t="shared" si="4"/>
        <v>34.690199999999997</v>
      </c>
      <c r="D44" s="20">
        <f t="shared" si="5"/>
        <v>10.9626</v>
      </c>
      <c r="E44" s="20">
        <f t="shared" si="6"/>
        <v>7.4317000000000002</v>
      </c>
      <c r="F44" s="20">
        <f t="shared" si="7"/>
        <v>18.054300000000001</v>
      </c>
      <c r="G44" s="20">
        <f t="shared" si="8"/>
        <v>13.647600000000001</v>
      </c>
      <c r="H44" s="1239">
        <f t="shared" si="9"/>
        <v>13.647600000000001</v>
      </c>
      <c r="I44" s="1243">
        <f t="shared" si="3"/>
        <v>0.43143849468038309</v>
      </c>
      <c r="J44" s="1243">
        <f t="shared" si="10"/>
        <v>0.12093838824177333</v>
      </c>
      <c r="K44" s="1243">
        <f t="shared" si="11"/>
        <v>0.1</v>
      </c>
      <c r="L44" s="203"/>
      <c r="N44" s="1425">
        <v>45175</v>
      </c>
      <c r="O44" s="1502">
        <v>19.535699999999999</v>
      </c>
      <c r="P44" s="1502">
        <v>3.8611</v>
      </c>
      <c r="Q44" s="1502">
        <v>17.046600000000002</v>
      </c>
      <c r="R44" s="1233">
        <f>'B. PE'!$U$23</f>
        <v>15.978235616082999</v>
      </c>
      <c r="S44" s="1233"/>
      <c r="T44" s="1233"/>
      <c r="V44" s="1425">
        <v>45175</v>
      </c>
      <c r="W44" s="1">
        <v>34.690199999999997</v>
      </c>
      <c r="X44" s="1">
        <v>1.6004</v>
      </c>
      <c r="Z44" s="1">
        <v>1.20407</v>
      </c>
      <c r="AB44" s="1425">
        <v>45174</v>
      </c>
      <c r="AC44" s="1">
        <v>7.9863999999999997</v>
      </c>
      <c r="AD44" s="1502">
        <v>1.1247</v>
      </c>
      <c r="AE44" s="1">
        <v>5.6760000000000002</v>
      </c>
      <c r="AF44" s="1">
        <v>3.1600000000000003E-2</v>
      </c>
      <c r="AH44" s="1425">
        <v>45174</v>
      </c>
      <c r="AI44" s="1">
        <v>10.857200000000001</v>
      </c>
      <c r="AJ44" s="1">
        <v>1.9059999999999999</v>
      </c>
      <c r="AK44" s="1">
        <v>6.5811000000000002</v>
      </c>
      <c r="AL44" s="1">
        <v>3.4419999999999999E-2</v>
      </c>
      <c r="AN44" s="1425">
        <v>45174</v>
      </c>
      <c r="AO44" s="1">
        <v>7.4317000000000002</v>
      </c>
      <c r="AP44" s="1">
        <v>1.1318999999999999</v>
      </c>
      <c r="AQ44" s="1">
        <v>4.7934999999999999</v>
      </c>
      <c r="AR44" s="1">
        <v>0.29276000000000002</v>
      </c>
      <c r="AT44" s="1425">
        <v>45174</v>
      </c>
      <c r="AU44" s="1">
        <v>7.7135999999999996</v>
      </c>
      <c r="AX44" s="1">
        <v>0.20558000000000001</v>
      </c>
      <c r="BA44" s="1425">
        <v>45173</v>
      </c>
      <c r="BB44" s="1">
        <v>13.5901</v>
      </c>
      <c r="BC44" s="1">
        <v>2.4159999999999999</v>
      </c>
      <c r="BD44" s="1">
        <v>12.5998</v>
      </c>
      <c r="BE44" s="1">
        <v>0.68555999999999995</v>
      </c>
      <c r="BG44" s="1425">
        <v>45173</v>
      </c>
      <c r="BH44" s="1">
        <v>18.054300000000001</v>
      </c>
      <c r="BI44" s="1">
        <v>2.9232</v>
      </c>
      <c r="BJ44" s="1">
        <v>21.4236</v>
      </c>
      <c r="BT44" s="1425">
        <v>45175</v>
      </c>
      <c r="BU44" s="1">
        <v>51.491</v>
      </c>
      <c r="BV44" s="1">
        <v>3.4645999999999999</v>
      </c>
      <c r="BW44" s="1">
        <v>13.318199999999999</v>
      </c>
      <c r="BX44" s="1">
        <v>2.2338</v>
      </c>
      <c r="BZ44" s="1425">
        <v>45175</v>
      </c>
      <c r="CB44" s="1">
        <v>6.6963999999999997</v>
      </c>
      <c r="CC44" s="1">
        <v>33.944800000000001</v>
      </c>
      <c r="CD44" s="1">
        <v>3.4668899999999998</v>
      </c>
      <c r="CF44" s="1425">
        <v>45175</v>
      </c>
      <c r="CG44" s="1">
        <v>9.5061999999999998</v>
      </c>
      <c r="CH44" s="1">
        <v>1.2732000000000001</v>
      </c>
      <c r="CL44" s="1425">
        <v>45175</v>
      </c>
      <c r="CM44" s="1">
        <v>21.807600000000001</v>
      </c>
      <c r="CN44" s="1">
        <v>2.6381999999999999</v>
      </c>
      <c r="CO44" s="1">
        <v>10.5327</v>
      </c>
    </row>
    <row r="45" spans="1:93">
      <c r="A45" s="1425">
        <v>45174</v>
      </c>
      <c r="B45" s="20">
        <f t="shared" si="2"/>
        <v>19.2422</v>
      </c>
      <c r="C45" s="20">
        <f t="shared" si="4"/>
        <v>34.102200000000003</v>
      </c>
      <c r="D45" s="20">
        <f t="shared" si="5"/>
        <v>10.857200000000001</v>
      </c>
      <c r="E45" s="20">
        <f t="shared" si="6"/>
        <v>7.4317000000000002</v>
      </c>
      <c r="F45" s="20">
        <f t="shared" si="7"/>
        <v>18.461500000000001</v>
      </c>
      <c r="G45" s="20">
        <f t="shared" si="8"/>
        <v>13.820399999999999</v>
      </c>
      <c r="H45" s="1239">
        <f t="shared" si="9"/>
        <v>13.820399999999999</v>
      </c>
      <c r="I45" s="1243">
        <f t="shared" si="3"/>
        <v>0.3923041301264798</v>
      </c>
      <c r="J45" s="1243">
        <f t="shared" si="10"/>
        <v>0.12093838824177333</v>
      </c>
      <c r="K45" s="1243">
        <f t="shared" si="11"/>
        <v>0.1</v>
      </c>
      <c r="L45" s="203"/>
      <c r="N45" s="1425">
        <v>45174</v>
      </c>
      <c r="O45" s="1502">
        <v>19.2422</v>
      </c>
      <c r="P45" s="1502">
        <v>3.8031000000000001</v>
      </c>
      <c r="Q45" s="1502">
        <v>16.817699999999999</v>
      </c>
      <c r="R45" s="1233">
        <f>'B. PE'!$U$23</f>
        <v>15.978235616082999</v>
      </c>
      <c r="S45" s="1233"/>
      <c r="T45" s="1233"/>
      <c r="V45" s="1425">
        <v>45174</v>
      </c>
      <c r="W45" s="1">
        <v>34.102200000000003</v>
      </c>
      <c r="X45" s="1">
        <v>1.5732999999999999</v>
      </c>
      <c r="Z45" s="1">
        <v>1.17913</v>
      </c>
      <c r="AB45" s="1425">
        <v>45173</v>
      </c>
      <c r="AC45" s="1">
        <v>7.9537000000000004</v>
      </c>
      <c r="AD45" s="1502">
        <v>1.1201000000000001</v>
      </c>
      <c r="AE45" s="1">
        <v>5.6639999999999997</v>
      </c>
      <c r="AF45" s="1">
        <v>3.1910000000000001E-2</v>
      </c>
      <c r="AH45" s="1425">
        <v>45173</v>
      </c>
      <c r="AI45" s="1">
        <v>11.068</v>
      </c>
      <c r="AJ45" s="1">
        <v>1.9430000000000001</v>
      </c>
      <c r="AK45" s="1">
        <v>6.6917</v>
      </c>
      <c r="AL45" s="1">
        <v>3.4479999999999997E-2</v>
      </c>
      <c r="AN45" s="1425">
        <v>45173</v>
      </c>
      <c r="AO45" s="1">
        <v>7.4317000000000002</v>
      </c>
      <c r="AP45" s="1">
        <v>1.1318999999999999</v>
      </c>
      <c r="AQ45" s="1">
        <v>4.7934999999999999</v>
      </c>
      <c r="AR45" s="1">
        <v>0.28886000000000001</v>
      </c>
      <c r="AT45" s="1425">
        <v>45173</v>
      </c>
      <c r="AU45" s="1">
        <v>7.5553999999999997</v>
      </c>
      <c r="AX45" s="1">
        <v>0.20910000000000001</v>
      </c>
      <c r="BA45" s="1425">
        <v>45170</v>
      </c>
      <c r="BB45" s="1">
        <v>13.3597</v>
      </c>
      <c r="BC45" s="1">
        <v>2.3751000000000002</v>
      </c>
      <c r="BD45" s="1">
        <v>12.454499999999999</v>
      </c>
      <c r="BE45" s="1">
        <v>0.68876999999999999</v>
      </c>
      <c r="BG45" s="1425">
        <v>45170</v>
      </c>
      <c r="BH45" s="1">
        <v>18.461500000000001</v>
      </c>
      <c r="BI45" s="1">
        <v>2.9891000000000001</v>
      </c>
      <c r="BJ45" s="1">
        <v>21.744299999999999</v>
      </c>
      <c r="BT45" s="1425">
        <v>45174</v>
      </c>
      <c r="BU45" s="1">
        <v>50.835599999999999</v>
      </c>
      <c r="BV45" s="1">
        <v>3.4205000000000001</v>
      </c>
      <c r="BW45" s="1">
        <v>13.144</v>
      </c>
      <c r="BX45" s="1">
        <v>2.2298</v>
      </c>
      <c r="BZ45" s="1425">
        <v>45174</v>
      </c>
      <c r="CB45" s="1">
        <v>6.5225999999999997</v>
      </c>
      <c r="CC45" s="1">
        <v>33.271000000000001</v>
      </c>
      <c r="CD45" s="1">
        <v>3.45242</v>
      </c>
      <c r="CF45" s="1425">
        <v>45174</v>
      </c>
      <c r="CG45" s="1">
        <v>9.3956</v>
      </c>
      <c r="CH45" s="1">
        <v>1.2584</v>
      </c>
      <c r="CL45" s="1425">
        <v>45174</v>
      </c>
      <c r="CM45" s="1">
        <v>21.662700000000001</v>
      </c>
      <c r="CN45" s="1">
        <v>2.6206999999999998</v>
      </c>
      <c r="CO45" s="1">
        <v>10.468299999999999</v>
      </c>
    </row>
    <row r="46" spans="1:93">
      <c r="A46" s="1425">
        <v>45169</v>
      </c>
      <c r="B46" s="20">
        <f t="shared" si="2"/>
        <v>18.883400000000002</v>
      </c>
      <c r="C46" s="20">
        <f t="shared" si="4"/>
        <v>34.102200000000003</v>
      </c>
      <c r="D46" s="20">
        <f t="shared" si="5"/>
        <v>11.068</v>
      </c>
      <c r="E46" s="20">
        <f t="shared" si="6"/>
        <v>7.4317000000000002</v>
      </c>
      <c r="F46" s="20">
        <f t="shared" si="7"/>
        <v>18.597300000000001</v>
      </c>
      <c r="G46" s="20">
        <f t="shared" si="8"/>
        <v>13.820399999999999</v>
      </c>
      <c r="H46" s="1239">
        <f t="shared" si="9"/>
        <v>13.820399999999999</v>
      </c>
      <c r="I46" s="1243">
        <f t="shared" si="3"/>
        <v>0.36634250817631919</v>
      </c>
      <c r="J46" s="1243">
        <f t="shared" si="10"/>
        <v>0.12093838824177333</v>
      </c>
      <c r="K46" s="1243">
        <f t="shared" si="11"/>
        <v>0.1</v>
      </c>
      <c r="L46" s="203"/>
      <c r="N46" s="1425">
        <v>45169</v>
      </c>
      <c r="O46" s="1502">
        <v>18.883400000000002</v>
      </c>
      <c r="P46" s="1502">
        <v>3.7322000000000002</v>
      </c>
      <c r="Q46" s="1502">
        <v>16.5379</v>
      </c>
      <c r="R46" s="1233">
        <f>'B. PE'!$U$23</f>
        <v>15.978235616082999</v>
      </c>
      <c r="S46" s="1233"/>
      <c r="T46" s="1233"/>
      <c r="V46" s="1425">
        <v>45169</v>
      </c>
      <c r="W46" s="1">
        <v>34.102200000000003</v>
      </c>
      <c r="X46" s="1">
        <v>1.5732999999999999</v>
      </c>
      <c r="Z46" s="1">
        <v>1.1268100000000001</v>
      </c>
      <c r="AB46" s="1425">
        <v>45170</v>
      </c>
      <c r="AC46" s="1">
        <v>7.8882000000000003</v>
      </c>
      <c r="AD46" s="1502">
        <v>1.1109</v>
      </c>
      <c r="AE46" s="1">
        <v>5.6402000000000001</v>
      </c>
      <c r="AF46" s="1">
        <v>3.2050000000000002E-2</v>
      </c>
      <c r="AH46" s="1425">
        <v>45170</v>
      </c>
      <c r="AI46" s="1">
        <v>11.068</v>
      </c>
      <c r="AJ46" s="1">
        <v>1.9430000000000001</v>
      </c>
      <c r="AK46" s="1">
        <v>6.6917</v>
      </c>
      <c r="AL46" s="1">
        <v>3.449E-2</v>
      </c>
      <c r="AN46" s="1425">
        <v>45170</v>
      </c>
      <c r="AO46" s="1">
        <v>7.4317000000000002</v>
      </c>
      <c r="AP46" s="1">
        <v>1.1318999999999999</v>
      </c>
      <c r="AQ46" s="1">
        <v>4.7934999999999999</v>
      </c>
      <c r="AR46" s="1">
        <v>0.29064000000000001</v>
      </c>
      <c r="AT46" s="1425">
        <v>45170</v>
      </c>
      <c r="AU46" s="1">
        <v>7.5553999999999997</v>
      </c>
      <c r="AX46" s="1">
        <v>0.20022000000000001</v>
      </c>
      <c r="BA46" s="1425">
        <v>45169</v>
      </c>
      <c r="BB46" s="1">
        <v>13.820399999999999</v>
      </c>
      <c r="BC46" s="1">
        <v>2.4569999999999999</v>
      </c>
      <c r="BD46" s="1">
        <v>12.745100000000001</v>
      </c>
      <c r="BE46" s="1">
        <v>0.62831999999999999</v>
      </c>
      <c r="BG46" s="1425">
        <v>45169</v>
      </c>
      <c r="BH46" s="1">
        <v>18.597300000000001</v>
      </c>
      <c r="BI46" s="1">
        <v>3.0110999999999999</v>
      </c>
      <c r="BJ46" s="1">
        <v>21.851199999999999</v>
      </c>
      <c r="BT46" s="1425">
        <v>45169</v>
      </c>
      <c r="BU46" s="1">
        <v>50.3675</v>
      </c>
      <c r="BV46" s="1">
        <v>3.3889999999999998</v>
      </c>
      <c r="BW46" s="1">
        <v>13.019600000000001</v>
      </c>
      <c r="BX46" s="1">
        <v>2.1915</v>
      </c>
      <c r="BZ46" s="1425">
        <v>45169</v>
      </c>
      <c r="CB46" s="1">
        <v>6.5937000000000001</v>
      </c>
      <c r="CC46" s="1">
        <v>33.546599999999998</v>
      </c>
      <c r="CD46" s="1">
        <v>3.3555700000000002</v>
      </c>
      <c r="CF46" s="1425">
        <v>45169</v>
      </c>
      <c r="CG46" s="1">
        <v>9.5061999999999998</v>
      </c>
      <c r="CH46" s="1">
        <v>1.2732000000000001</v>
      </c>
      <c r="CL46" s="1425">
        <v>45173</v>
      </c>
      <c r="CM46" s="1">
        <v>21.533799999999999</v>
      </c>
      <c r="CN46" s="1">
        <v>2.6051000000000002</v>
      </c>
      <c r="CO46" s="1">
        <v>10.411099999999999</v>
      </c>
    </row>
    <row r="47" spans="1:93">
      <c r="A47" s="1425">
        <v>45168</v>
      </c>
      <c r="B47" s="20">
        <f t="shared" si="2"/>
        <v>18.981300000000001</v>
      </c>
      <c r="C47" s="20">
        <f t="shared" si="4"/>
        <v>33.455500000000001</v>
      </c>
      <c r="D47" s="20">
        <f t="shared" si="5"/>
        <v>11.068</v>
      </c>
      <c r="E47" s="20">
        <f t="shared" si="6"/>
        <v>7.3224</v>
      </c>
      <c r="F47" s="20">
        <f t="shared" si="7"/>
        <v>18.190000000000001</v>
      </c>
      <c r="G47" s="20">
        <f t="shared" si="8"/>
        <v>13.878</v>
      </c>
      <c r="H47" s="1239">
        <f t="shared" si="9"/>
        <v>13.878</v>
      </c>
      <c r="I47" s="1243">
        <f t="shared" si="3"/>
        <v>0.36772589710332904</v>
      </c>
      <c r="J47" s="1243">
        <f t="shared" si="10"/>
        <v>0.12093838824177333</v>
      </c>
      <c r="K47" s="1243">
        <f t="shared" si="11"/>
        <v>0.1</v>
      </c>
      <c r="L47" s="203"/>
      <c r="N47" s="1425">
        <v>45168</v>
      </c>
      <c r="O47" s="1502">
        <v>18.981300000000001</v>
      </c>
      <c r="P47" s="1502">
        <v>3.7515000000000001</v>
      </c>
      <c r="Q47" s="1502">
        <v>16.6142</v>
      </c>
      <c r="R47" s="1233">
        <f>'B. PE'!$U$23</f>
        <v>15.978235616082999</v>
      </c>
      <c r="S47" s="1233"/>
      <c r="T47" s="1233"/>
      <c r="V47" s="1425">
        <v>45168</v>
      </c>
      <c r="W47" s="1">
        <v>33.455500000000001</v>
      </c>
      <c r="X47" s="1">
        <v>1.5434000000000001</v>
      </c>
      <c r="Z47" s="1">
        <v>1.12287</v>
      </c>
      <c r="AB47" s="1425">
        <v>45169</v>
      </c>
      <c r="AC47" s="1">
        <v>7.9537000000000004</v>
      </c>
      <c r="AD47" s="1502">
        <v>1.1201000000000001</v>
      </c>
      <c r="AE47" s="1">
        <v>5.6639999999999997</v>
      </c>
      <c r="AF47" s="1">
        <v>3.1519999999999999E-2</v>
      </c>
      <c r="AH47" s="1425">
        <v>45169</v>
      </c>
      <c r="AI47" s="1">
        <v>11.068</v>
      </c>
      <c r="AJ47" s="1">
        <v>1.9430000000000001</v>
      </c>
      <c r="AK47" s="1">
        <v>6.6917</v>
      </c>
      <c r="AL47" s="1">
        <v>3.4479999999999997E-2</v>
      </c>
      <c r="AN47" s="1425">
        <v>45168</v>
      </c>
      <c r="AO47" s="1">
        <v>7.3224</v>
      </c>
      <c r="AP47" s="1">
        <v>1.1152</v>
      </c>
      <c r="AQ47" s="1">
        <v>4.7102000000000004</v>
      </c>
      <c r="AR47" s="1">
        <v>0.29431000000000002</v>
      </c>
      <c r="AT47" s="1425">
        <v>45168</v>
      </c>
      <c r="AU47" s="1">
        <v>7.6741000000000001</v>
      </c>
      <c r="AX47" s="1">
        <v>0.19979</v>
      </c>
      <c r="BA47" s="1425">
        <v>45168</v>
      </c>
      <c r="BB47" s="1">
        <v>13.878</v>
      </c>
      <c r="BC47" s="1">
        <v>2.4672000000000001</v>
      </c>
      <c r="BD47" s="1">
        <v>12.7814</v>
      </c>
      <c r="BE47" s="1">
        <v>0.62465999999999999</v>
      </c>
      <c r="BG47" s="1425">
        <v>45168</v>
      </c>
      <c r="BH47" s="1">
        <v>18.190000000000001</v>
      </c>
      <c r="BI47" s="1">
        <v>2.9451999999999998</v>
      </c>
      <c r="BJ47" s="1">
        <v>21.5305</v>
      </c>
      <c r="BT47" s="1425">
        <v>45168</v>
      </c>
      <c r="BU47" s="1">
        <v>50.3675</v>
      </c>
      <c r="BV47" s="1">
        <v>3.3889999999999998</v>
      </c>
      <c r="BW47" s="1">
        <v>13.019600000000001</v>
      </c>
      <c r="BX47" s="1">
        <v>2.1541000000000001</v>
      </c>
      <c r="BZ47" s="1425">
        <v>45168</v>
      </c>
      <c r="CB47" s="1">
        <v>6.5778999999999996</v>
      </c>
      <c r="CC47" s="1">
        <v>33.485399999999998</v>
      </c>
      <c r="CD47" s="1">
        <v>3.36653</v>
      </c>
      <c r="CF47" s="1425">
        <v>45168</v>
      </c>
      <c r="CG47" s="1">
        <v>9.4509000000000007</v>
      </c>
      <c r="CH47" s="1">
        <v>1.2658</v>
      </c>
      <c r="CL47" s="1425">
        <v>45170</v>
      </c>
      <c r="CM47" s="1">
        <v>21.630400000000002</v>
      </c>
      <c r="CN47" s="1">
        <v>2.6168</v>
      </c>
      <c r="CO47" s="1">
        <v>10.454000000000001</v>
      </c>
    </row>
    <row r="48" spans="1:93">
      <c r="A48" s="1425">
        <v>45167</v>
      </c>
      <c r="B48" s="20">
        <f t="shared" si="2"/>
        <v>18.6877</v>
      </c>
      <c r="C48" s="20">
        <f t="shared" si="4"/>
        <v>31.985499999999998</v>
      </c>
      <c r="D48" s="20">
        <f t="shared" si="5"/>
        <v>11.068</v>
      </c>
      <c r="E48" s="20">
        <f t="shared" si="6"/>
        <v>7.3769999999999998</v>
      </c>
      <c r="F48" s="20">
        <f t="shared" si="7"/>
        <v>17.647099999999998</v>
      </c>
      <c r="G48" s="20">
        <f t="shared" si="8"/>
        <v>12.668699999999999</v>
      </c>
      <c r="H48" s="1239">
        <f t="shared" si="9"/>
        <v>12.668699999999999</v>
      </c>
      <c r="I48" s="1243">
        <f t="shared" si="3"/>
        <v>0.47510794319859184</v>
      </c>
      <c r="J48" s="1243">
        <f t="shared" si="10"/>
        <v>0.12093838824177333</v>
      </c>
      <c r="K48" s="1243">
        <f t="shared" si="11"/>
        <v>0.1</v>
      </c>
      <c r="L48" s="203"/>
      <c r="N48" s="1425">
        <v>45167</v>
      </c>
      <c r="O48" s="1502">
        <v>18.6877</v>
      </c>
      <c r="P48" s="1502">
        <v>3.6934999999999998</v>
      </c>
      <c r="Q48" s="1502">
        <v>16.385300000000001</v>
      </c>
      <c r="R48" s="1233">
        <f>'B. PE'!$U$23</f>
        <v>15.978235616082999</v>
      </c>
      <c r="S48" s="1233"/>
      <c r="T48" s="1233"/>
      <c r="V48" s="1425">
        <v>45167</v>
      </c>
      <c r="W48" s="1">
        <v>31.985499999999998</v>
      </c>
      <c r="X48" s="1">
        <v>1.4756</v>
      </c>
      <c r="Z48" s="1">
        <v>1.0768800000000001</v>
      </c>
      <c r="AB48" s="1425">
        <v>45168</v>
      </c>
      <c r="AC48" s="1">
        <v>7.9863999999999997</v>
      </c>
      <c r="AD48" s="1502">
        <v>1.1247</v>
      </c>
      <c r="AE48" s="1">
        <v>5.6760000000000002</v>
      </c>
      <c r="AF48" s="1">
        <v>3.1570000000000001E-2</v>
      </c>
      <c r="AH48" s="1425">
        <v>45168</v>
      </c>
      <c r="AI48" s="1">
        <v>11.068</v>
      </c>
      <c r="AJ48" s="1">
        <v>1.9430000000000001</v>
      </c>
      <c r="AK48" s="1">
        <v>6.6917</v>
      </c>
      <c r="AL48" s="1">
        <v>3.406E-2</v>
      </c>
      <c r="AN48" s="1425">
        <v>45167</v>
      </c>
      <c r="AO48" s="1">
        <v>7.3769999999999998</v>
      </c>
      <c r="AP48" s="1">
        <v>1.1234999999999999</v>
      </c>
      <c r="AQ48" s="1">
        <v>4.7518000000000002</v>
      </c>
      <c r="AR48" s="1">
        <v>0.29310000000000003</v>
      </c>
      <c r="AT48" s="1425">
        <v>45167</v>
      </c>
      <c r="AU48" s="1">
        <v>7.3575999999999997</v>
      </c>
      <c r="AX48" s="1">
        <v>0.19935</v>
      </c>
      <c r="BA48" s="1425">
        <v>45167</v>
      </c>
      <c r="BB48" s="1">
        <v>12.668699999999999</v>
      </c>
      <c r="BC48" s="1">
        <v>2.2522000000000002</v>
      </c>
      <c r="BD48" s="1">
        <v>12.018599999999999</v>
      </c>
      <c r="BE48" s="1">
        <v>0.62607999999999997</v>
      </c>
      <c r="BG48" s="1425">
        <v>45167</v>
      </c>
      <c r="BH48" s="1">
        <v>17.647099999999998</v>
      </c>
      <c r="BI48" s="1">
        <v>2.8573</v>
      </c>
      <c r="BJ48" s="1">
        <v>21.102799999999998</v>
      </c>
      <c r="BT48" s="1425">
        <v>45167</v>
      </c>
      <c r="BU48" s="1">
        <v>49.524999999999999</v>
      </c>
      <c r="BV48" s="1">
        <v>3.3323</v>
      </c>
      <c r="BW48" s="1">
        <v>12.7956</v>
      </c>
      <c r="BX48" s="1">
        <v>2.1078999999999999</v>
      </c>
      <c r="BZ48" s="1425">
        <v>45167</v>
      </c>
      <c r="CB48" s="1">
        <v>6.3963000000000001</v>
      </c>
      <c r="CC48" s="1">
        <v>32.780900000000003</v>
      </c>
      <c r="CD48" s="1">
        <v>3.2139600000000002</v>
      </c>
      <c r="CF48" s="1425">
        <v>45167</v>
      </c>
      <c r="CG48" s="1">
        <v>9.2850999999999999</v>
      </c>
      <c r="CH48" s="1">
        <v>1.2436</v>
      </c>
      <c r="CL48" s="1425">
        <v>45169</v>
      </c>
      <c r="CM48" s="1">
        <v>21.775400000000001</v>
      </c>
      <c r="CN48" s="1">
        <v>2.6343000000000001</v>
      </c>
      <c r="CO48" s="1">
        <v>10.5184</v>
      </c>
    </row>
    <row r="49" spans="1:93">
      <c r="A49" s="1425">
        <v>45166</v>
      </c>
      <c r="B49" s="20">
        <f t="shared" si="2"/>
        <v>18.557300000000001</v>
      </c>
      <c r="C49" s="20">
        <f t="shared" si="4"/>
        <v>31.691500000000001</v>
      </c>
      <c r="D49" s="20">
        <f t="shared" si="5"/>
        <v>10.9626</v>
      </c>
      <c r="E49" s="20">
        <f t="shared" si="6"/>
        <v>7.4863</v>
      </c>
      <c r="F49" s="20">
        <f t="shared" si="7"/>
        <v>17.918500000000002</v>
      </c>
      <c r="G49" s="20">
        <f t="shared" si="8"/>
        <v>12.668699999999999</v>
      </c>
      <c r="H49" s="1239">
        <f t="shared" si="9"/>
        <v>12.668699999999999</v>
      </c>
      <c r="I49" s="1243">
        <f t="shared" si="3"/>
        <v>0.46481485866742456</v>
      </c>
      <c r="J49" s="1243">
        <f t="shared" si="10"/>
        <v>0.12093838824177333</v>
      </c>
      <c r="K49" s="1243">
        <f t="shared" si="11"/>
        <v>0.1</v>
      </c>
      <c r="L49" s="203"/>
      <c r="N49" s="1425">
        <v>45166</v>
      </c>
      <c r="O49" s="1502">
        <v>18.557300000000001</v>
      </c>
      <c r="P49" s="1502">
        <v>3.6677</v>
      </c>
      <c r="Q49" s="1502">
        <v>16.2836</v>
      </c>
      <c r="R49" s="1233">
        <f>'B. PE'!$U$23</f>
        <v>15.978235616082999</v>
      </c>
      <c r="S49" s="1233"/>
      <c r="T49" s="1233"/>
      <c r="V49" s="1425">
        <v>45166</v>
      </c>
      <c r="W49" s="1">
        <v>31.691500000000001</v>
      </c>
      <c r="X49" s="1">
        <v>1.462</v>
      </c>
      <c r="Z49" s="1">
        <v>1.0874999999999999</v>
      </c>
      <c r="AB49" s="1425">
        <v>45167</v>
      </c>
      <c r="AC49" s="1">
        <v>7.8555000000000001</v>
      </c>
      <c r="AD49" s="1502">
        <v>1.1063000000000001</v>
      </c>
      <c r="AE49" s="1">
        <v>5.6283000000000003</v>
      </c>
      <c r="AF49" s="1">
        <v>3.2030000000000003E-2</v>
      </c>
      <c r="AH49" s="1425">
        <v>45167</v>
      </c>
      <c r="AI49" s="1">
        <v>11.068</v>
      </c>
      <c r="AJ49" s="1">
        <v>1.9430000000000001</v>
      </c>
      <c r="AK49" s="1">
        <v>6.6917</v>
      </c>
      <c r="AL49" s="1">
        <v>3.3989999999999999E-2</v>
      </c>
      <c r="AN49" s="1425">
        <v>45166</v>
      </c>
      <c r="AO49" s="1">
        <v>7.4863</v>
      </c>
      <c r="AP49" s="1">
        <v>1.1402000000000001</v>
      </c>
      <c r="AQ49" s="1">
        <v>4.8350999999999997</v>
      </c>
      <c r="AR49" s="1">
        <v>0.29504000000000002</v>
      </c>
      <c r="AT49" s="1425">
        <v>45166</v>
      </c>
      <c r="AU49" s="1">
        <v>7.3575999999999997</v>
      </c>
      <c r="AX49" s="1">
        <v>0.20028000000000001</v>
      </c>
      <c r="BA49" s="1425">
        <v>45166</v>
      </c>
      <c r="BB49" s="1">
        <v>12.668699999999999</v>
      </c>
      <c r="BC49" s="1">
        <v>2.2522000000000002</v>
      </c>
      <c r="BD49" s="1">
        <v>12.018599999999999</v>
      </c>
      <c r="BE49" s="1">
        <v>0.62016000000000004</v>
      </c>
      <c r="BG49" s="1425">
        <v>45166</v>
      </c>
      <c r="BH49" s="1">
        <v>17.918500000000002</v>
      </c>
      <c r="BI49" s="1">
        <v>2.9011999999999998</v>
      </c>
      <c r="BJ49" s="1">
        <v>21.316700000000001</v>
      </c>
      <c r="BT49" s="1425">
        <v>45166</v>
      </c>
      <c r="BU49" s="1">
        <v>48.401499999999999</v>
      </c>
      <c r="BV49" s="1">
        <v>3.2566999999999999</v>
      </c>
      <c r="BW49" s="1">
        <v>12.497</v>
      </c>
      <c r="BX49" s="1">
        <v>2.0958000000000001</v>
      </c>
      <c r="BZ49" s="1425">
        <v>45166</v>
      </c>
      <c r="CB49" s="1">
        <v>6.3804999999999996</v>
      </c>
      <c r="CC49" s="1">
        <v>32.7196</v>
      </c>
      <c r="CD49" s="1">
        <v>3.2083300000000001</v>
      </c>
      <c r="CF49" s="1425">
        <v>45166</v>
      </c>
      <c r="CG49" s="1">
        <v>9.1193000000000008</v>
      </c>
      <c r="CH49" s="1">
        <v>1.2214</v>
      </c>
      <c r="CL49" s="1425">
        <v>45168</v>
      </c>
      <c r="CM49" s="1">
        <v>21.775400000000001</v>
      </c>
      <c r="CN49" s="1">
        <v>2.6343000000000001</v>
      </c>
      <c r="CO49" s="1">
        <v>10.5184</v>
      </c>
    </row>
    <row r="50" spans="1:93">
      <c r="A50" s="1425">
        <v>45163</v>
      </c>
      <c r="B50" s="20">
        <f t="shared" si="2"/>
        <v>17.9376</v>
      </c>
      <c r="C50" s="20">
        <f t="shared" si="4"/>
        <v>30.339200000000002</v>
      </c>
      <c r="D50" s="20">
        <f t="shared" si="5"/>
        <v>10.9626</v>
      </c>
      <c r="E50" s="20">
        <f t="shared" si="6"/>
        <v>7.4317000000000002</v>
      </c>
      <c r="F50" s="20">
        <f t="shared" si="7"/>
        <v>17.918500000000002</v>
      </c>
      <c r="G50" s="20">
        <f t="shared" si="8"/>
        <v>12.668699999999999</v>
      </c>
      <c r="H50" s="1239">
        <f t="shared" si="9"/>
        <v>12.668699999999999</v>
      </c>
      <c r="I50" s="1243">
        <f t="shared" si="3"/>
        <v>0.41589902673518209</v>
      </c>
      <c r="J50" s="1243">
        <f t="shared" si="10"/>
        <v>0.12093838824177333</v>
      </c>
      <c r="K50" s="1243">
        <f t="shared" si="11"/>
        <v>0.1</v>
      </c>
      <c r="L50" s="203"/>
      <c r="N50" s="1425">
        <v>45163</v>
      </c>
      <c r="O50" s="1502">
        <v>17.9376</v>
      </c>
      <c r="P50" s="1502">
        <v>3.5451999999999999</v>
      </c>
      <c r="Q50" s="1502">
        <v>15.8003</v>
      </c>
      <c r="R50" s="1233">
        <f>'B. PE'!$U$23</f>
        <v>15.978235616082999</v>
      </c>
      <c r="S50" s="1233"/>
      <c r="T50" s="1233"/>
      <c r="V50" s="1425">
        <v>45163</v>
      </c>
      <c r="W50" s="1">
        <v>30.339200000000002</v>
      </c>
      <c r="X50" s="1">
        <v>1.3996999999999999</v>
      </c>
      <c r="Z50" s="1">
        <v>1.06941</v>
      </c>
      <c r="AB50" s="1425">
        <v>45166</v>
      </c>
      <c r="AC50" s="1">
        <v>7.8882000000000003</v>
      </c>
      <c r="AD50" s="1502">
        <v>1.1109</v>
      </c>
      <c r="AE50" s="1">
        <v>5.6402000000000001</v>
      </c>
      <c r="AF50" s="1">
        <v>3.2309999999999998E-2</v>
      </c>
      <c r="AH50" s="1425">
        <v>45166</v>
      </c>
      <c r="AI50" s="1">
        <v>10.9626</v>
      </c>
      <c r="AJ50" s="1">
        <v>1.9245000000000001</v>
      </c>
      <c r="AK50" s="1">
        <v>6.6364000000000001</v>
      </c>
      <c r="AL50" s="1">
        <v>3.3689999999999998E-2</v>
      </c>
      <c r="AN50" s="1425">
        <v>45163</v>
      </c>
      <c r="AO50" s="1">
        <v>7.4317000000000002</v>
      </c>
      <c r="AP50" s="1">
        <v>1.1318999999999999</v>
      </c>
      <c r="AQ50" s="1">
        <v>4.7934999999999999</v>
      </c>
      <c r="AR50" s="1">
        <v>0.29632999999999998</v>
      </c>
      <c r="AT50" s="1425">
        <v>45163</v>
      </c>
      <c r="AU50" s="1">
        <v>7.3179999999999996</v>
      </c>
      <c r="AX50" s="1">
        <v>0.19755</v>
      </c>
      <c r="BA50" s="1425">
        <v>45163</v>
      </c>
      <c r="BB50" s="1">
        <v>12.668699999999999</v>
      </c>
      <c r="BC50" s="1">
        <v>2.2522000000000002</v>
      </c>
      <c r="BD50" s="1">
        <v>12.018599999999999</v>
      </c>
      <c r="BE50" s="1">
        <v>0.63532</v>
      </c>
      <c r="BG50" s="1425">
        <v>45163</v>
      </c>
      <c r="BH50" s="1">
        <v>17.918500000000002</v>
      </c>
      <c r="BI50" s="1">
        <v>2.9011999999999998</v>
      </c>
      <c r="BJ50" s="1">
        <v>21.316700000000001</v>
      </c>
      <c r="BT50" s="1425">
        <v>45163</v>
      </c>
      <c r="BU50" s="1">
        <v>47.278100000000002</v>
      </c>
      <c r="BV50" s="1">
        <v>3.1810999999999998</v>
      </c>
      <c r="BW50" s="1">
        <v>12.1983</v>
      </c>
      <c r="BX50" s="1">
        <v>2.0842999999999998</v>
      </c>
      <c r="BZ50" s="1425">
        <v>45163</v>
      </c>
      <c r="CB50" s="1">
        <v>6.0804</v>
      </c>
      <c r="CC50" s="1">
        <v>31.555599999999998</v>
      </c>
      <c r="CD50" s="1">
        <v>3.10338</v>
      </c>
      <c r="CF50" s="1425">
        <v>45163</v>
      </c>
      <c r="CG50" s="1">
        <v>9.0086999999999993</v>
      </c>
      <c r="CH50" s="1">
        <v>1.2065999999999999</v>
      </c>
      <c r="CL50" s="1425">
        <v>45167</v>
      </c>
      <c r="CM50" s="1">
        <v>21.791499999999999</v>
      </c>
      <c r="CN50" s="1">
        <v>2.6362000000000001</v>
      </c>
      <c r="CO50" s="1">
        <v>10.525499999999999</v>
      </c>
    </row>
    <row r="51" spans="1:93">
      <c r="A51" s="1425">
        <v>45162</v>
      </c>
      <c r="B51" s="20">
        <f t="shared" si="2"/>
        <v>17.546299999999999</v>
      </c>
      <c r="C51" s="20">
        <f t="shared" si="4"/>
        <v>30.692</v>
      </c>
      <c r="D51" s="20">
        <f t="shared" si="5"/>
        <v>10.857200000000001</v>
      </c>
      <c r="E51" s="20">
        <f t="shared" si="6"/>
        <v>7.4863</v>
      </c>
      <c r="F51" s="20">
        <f t="shared" si="7"/>
        <v>17.375599999999999</v>
      </c>
      <c r="G51" s="20">
        <f t="shared" si="8"/>
        <v>12.495900000000001</v>
      </c>
      <c r="H51" s="1239">
        <f t="shared" si="9"/>
        <v>12.495900000000001</v>
      </c>
      <c r="I51" s="1243">
        <f t="shared" si="3"/>
        <v>0.4041645659776405</v>
      </c>
      <c r="J51" s="1243">
        <f t="shared" si="10"/>
        <v>0.12093838824177333</v>
      </c>
      <c r="K51" s="1243">
        <f t="shared" si="11"/>
        <v>0.1</v>
      </c>
      <c r="L51" s="203"/>
      <c r="N51" s="1425">
        <v>45162</v>
      </c>
      <c r="O51" s="1502">
        <v>17.546299999999999</v>
      </c>
      <c r="P51" s="1502">
        <v>3.4679000000000002</v>
      </c>
      <c r="Q51" s="1502">
        <v>15.495200000000001</v>
      </c>
      <c r="R51" s="1233">
        <f>'B. PE'!$U$23</f>
        <v>15.978235616082999</v>
      </c>
      <c r="S51" s="1233"/>
      <c r="T51" s="1233"/>
      <c r="V51" s="1425">
        <v>45162</v>
      </c>
      <c r="W51" s="1">
        <v>30.692</v>
      </c>
      <c r="X51" s="1">
        <v>1.4158999999999999</v>
      </c>
      <c r="Z51" s="1">
        <v>1.08446</v>
      </c>
      <c r="AB51" s="1425">
        <v>45163</v>
      </c>
      <c r="AC51" s="1">
        <v>8.0191999999999997</v>
      </c>
      <c r="AD51" s="1502">
        <v>1.1293</v>
      </c>
      <c r="AE51" s="1">
        <v>5.6879</v>
      </c>
      <c r="AF51" s="1">
        <v>3.2419999999999997E-2</v>
      </c>
      <c r="AH51" s="1425">
        <v>45163</v>
      </c>
      <c r="AI51" s="1">
        <v>10.9626</v>
      </c>
      <c r="AJ51" s="1">
        <v>1.9245000000000001</v>
      </c>
      <c r="AK51" s="1">
        <v>6.6364000000000001</v>
      </c>
      <c r="AL51" s="1">
        <v>3.347E-2</v>
      </c>
      <c r="AN51" s="1425">
        <v>45162</v>
      </c>
      <c r="AO51" s="1">
        <v>7.4863</v>
      </c>
      <c r="AP51" s="1">
        <v>1.1402000000000001</v>
      </c>
      <c r="AQ51" s="1">
        <v>4.8350999999999997</v>
      </c>
      <c r="AR51" s="1">
        <v>0.29697000000000001</v>
      </c>
      <c r="AT51" s="1425">
        <v>45162</v>
      </c>
      <c r="AU51" s="1">
        <v>7.3575999999999997</v>
      </c>
      <c r="AX51" s="1">
        <v>0.20013</v>
      </c>
      <c r="BA51" s="1425">
        <v>45162</v>
      </c>
      <c r="BB51" s="1">
        <v>12.495900000000001</v>
      </c>
      <c r="BC51" s="1">
        <v>2.2214999999999998</v>
      </c>
      <c r="BD51" s="1">
        <v>11.909599999999999</v>
      </c>
      <c r="BE51" s="1">
        <v>0.60241</v>
      </c>
      <c r="BG51" s="1425">
        <v>45162</v>
      </c>
      <c r="BH51" s="1">
        <v>17.375599999999999</v>
      </c>
      <c r="BI51" s="1">
        <v>2.8132999999999999</v>
      </c>
      <c r="BJ51" s="1">
        <v>20.888999999999999</v>
      </c>
      <c r="BT51" s="1425">
        <v>45162</v>
      </c>
      <c r="BU51" s="1">
        <v>47.090800000000002</v>
      </c>
      <c r="BV51" s="1">
        <v>3.1684999999999999</v>
      </c>
      <c r="BW51" s="1">
        <v>12.1486</v>
      </c>
      <c r="BX51" s="1">
        <v>2.0895000000000001</v>
      </c>
      <c r="BZ51" s="1425">
        <v>45162</v>
      </c>
      <c r="CB51" s="1">
        <v>6.0804</v>
      </c>
      <c r="CC51" s="1">
        <v>31.555599999999998</v>
      </c>
      <c r="CD51" s="1">
        <v>3.1259100000000002</v>
      </c>
      <c r="CF51" s="1425">
        <v>45162</v>
      </c>
      <c r="CG51" s="1">
        <v>9.0086999999999993</v>
      </c>
      <c r="CH51" s="1">
        <v>1.2065999999999999</v>
      </c>
      <c r="CL51" s="1425">
        <v>45166</v>
      </c>
      <c r="CM51" s="1">
        <v>21.710999999999999</v>
      </c>
      <c r="CN51" s="1">
        <v>2.6265000000000001</v>
      </c>
      <c r="CO51" s="1">
        <v>10.489800000000001</v>
      </c>
    </row>
    <row r="52" spans="1:93">
      <c r="A52" s="1425">
        <v>45161</v>
      </c>
      <c r="B52" s="20">
        <f t="shared" si="2"/>
        <v>16.763500000000001</v>
      </c>
      <c r="C52" s="20">
        <f t="shared" si="4"/>
        <v>29.9864</v>
      </c>
      <c r="D52" s="20">
        <f t="shared" si="5"/>
        <v>10.751799999999999</v>
      </c>
      <c r="E52" s="20">
        <f t="shared" si="6"/>
        <v>7.5410000000000004</v>
      </c>
      <c r="F52" s="20">
        <f t="shared" si="7"/>
        <v>16.968299999999999</v>
      </c>
      <c r="G52" s="20">
        <f t="shared" si="8"/>
        <v>12.783899999999999</v>
      </c>
      <c r="H52" s="1239">
        <f t="shared" si="9"/>
        <v>12.783899999999999</v>
      </c>
      <c r="I52" s="1243">
        <f t="shared" si="3"/>
        <v>0.31129780426943277</v>
      </c>
      <c r="J52" s="1243">
        <f t="shared" si="10"/>
        <v>0.12093838824177333</v>
      </c>
      <c r="K52" s="1243">
        <f t="shared" si="11"/>
        <v>0.1</v>
      </c>
      <c r="L52" s="203"/>
      <c r="N52" s="1425">
        <v>45161</v>
      </c>
      <c r="O52" s="1502">
        <v>16.763500000000001</v>
      </c>
      <c r="P52" s="1502">
        <v>3.3132000000000001</v>
      </c>
      <c r="Q52" s="1502">
        <v>14.8848</v>
      </c>
      <c r="R52" s="1233">
        <f>'B. PE'!$U$23</f>
        <v>15.978235616082999</v>
      </c>
      <c r="S52" s="1233"/>
      <c r="T52" s="1233"/>
      <c r="V52" s="1425">
        <v>45161</v>
      </c>
      <c r="W52" s="1">
        <v>29.9864</v>
      </c>
      <c r="X52" s="1">
        <v>1.3834</v>
      </c>
      <c r="Z52" s="1">
        <v>1.05829</v>
      </c>
      <c r="AB52" s="1425">
        <v>45162</v>
      </c>
      <c r="AC52" s="1">
        <v>8.0846</v>
      </c>
      <c r="AD52" s="1502">
        <v>1.1385000000000001</v>
      </c>
      <c r="AE52" s="1">
        <v>5.7117000000000004</v>
      </c>
      <c r="AF52" s="1">
        <v>3.2620000000000003E-2</v>
      </c>
      <c r="AH52" s="1425">
        <v>45162</v>
      </c>
      <c r="AI52" s="1">
        <v>10.857200000000001</v>
      </c>
      <c r="AJ52" s="1">
        <v>1.9059999999999999</v>
      </c>
      <c r="AK52" s="1">
        <v>6.5811000000000002</v>
      </c>
      <c r="AL52" s="1">
        <v>3.3599999999999998E-2</v>
      </c>
      <c r="AN52" s="1425">
        <v>45161</v>
      </c>
      <c r="AO52" s="1">
        <v>7.5410000000000004</v>
      </c>
      <c r="AP52" s="1">
        <v>1.1485000000000001</v>
      </c>
      <c r="AQ52" s="1">
        <v>4.8768000000000002</v>
      </c>
      <c r="AR52" s="1">
        <v>0.29687000000000002</v>
      </c>
      <c r="AT52" s="1425">
        <v>45161</v>
      </c>
      <c r="AU52" s="1">
        <v>7.2785000000000002</v>
      </c>
      <c r="AX52" s="1">
        <v>0.19791</v>
      </c>
      <c r="BA52" s="1425">
        <v>45161</v>
      </c>
      <c r="BB52" s="1">
        <v>12.783899999999999</v>
      </c>
      <c r="BC52" s="1">
        <v>2.2726999999999999</v>
      </c>
      <c r="BD52" s="1">
        <v>12.091200000000001</v>
      </c>
      <c r="BE52" s="1">
        <v>0.59601999999999999</v>
      </c>
      <c r="BG52" s="1425">
        <v>45161</v>
      </c>
      <c r="BH52" s="1">
        <v>16.968299999999999</v>
      </c>
      <c r="BI52" s="1">
        <v>2.7473999999999998</v>
      </c>
      <c r="BJ52" s="1">
        <v>20.568300000000001</v>
      </c>
      <c r="BT52" s="1425">
        <v>45161</v>
      </c>
      <c r="BU52" s="1">
        <v>46.5291</v>
      </c>
      <c r="BV52" s="1">
        <v>3.1307</v>
      </c>
      <c r="BW52" s="1">
        <v>11.9992</v>
      </c>
      <c r="BX52" s="1">
        <v>2.0577999999999999</v>
      </c>
      <c r="BZ52" s="1425">
        <v>45161</v>
      </c>
      <c r="CB52" s="1">
        <v>5.8434999999999997</v>
      </c>
      <c r="CC52" s="1">
        <v>30.636700000000001</v>
      </c>
      <c r="CD52" s="1">
        <v>3.05308</v>
      </c>
      <c r="CF52" s="1425">
        <v>45161</v>
      </c>
      <c r="CG52" s="1">
        <v>8.7324000000000002</v>
      </c>
      <c r="CH52" s="1">
        <v>1.1696</v>
      </c>
      <c r="CL52" s="1425">
        <v>45163</v>
      </c>
      <c r="CM52" s="1">
        <v>21.7593</v>
      </c>
      <c r="CN52" s="1">
        <v>2.6322999999999999</v>
      </c>
      <c r="CO52" s="1">
        <v>10.511200000000001</v>
      </c>
    </row>
    <row r="53" spans="1:93">
      <c r="A53" s="1425">
        <v>45160</v>
      </c>
      <c r="B53" s="20">
        <f t="shared" si="2"/>
        <v>16.926600000000001</v>
      </c>
      <c r="C53" s="20">
        <f t="shared" si="4"/>
        <v>30.515599999999999</v>
      </c>
      <c r="D53" s="20">
        <f t="shared" si="5"/>
        <v>10.857200000000001</v>
      </c>
      <c r="E53" s="20">
        <f t="shared" si="6"/>
        <v>7.5410000000000004</v>
      </c>
      <c r="F53" s="20">
        <f t="shared" si="7"/>
        <v>16.6968</v>
      </c>
      <c r="G53" s="20">
        <f t="shared" si="8"/>
        <v>12.150399999999999</v>
      </c>
      <c r="H53" s="1239">
        <f t="shared" si="9"/>
        <v>12.150399999999999</v>
      </c>
      <c r="I53" s="1243">
        <f t="shared" si="3"/>
        <v>0.39308993942586268</v>
      </c>
      <c r="J53" s="1243">
        <f t="shared" si="10"/>
        <v>0.12093838824177333</v>
      </c>
      <c r="K53" s="1243">
        <f t="shared" si="11"/>
        <v>0.1</v>
      </c>
      <c r="L53" s="203"/>
      <c r="N53" s="1425">
        <v>45160</v>
      </c>
      <c r="O53" s="1502">
        <v>16.926600000000001</v>
      </c>
      <c r="P53" s="1502">
        <v>3.3454000000000002</v>
      </c>
      <c r="Q53" s="1502">
        <v>15.011900000000001</v>
      </c>
      <c r="R53" s="1233">
        <f>'B. PE'!$U$23</f>
        <v>15.978235616082999</v>
      </c>
      <c r="S53" s="1233"/>
      <c r="T53" s="1233"/>
      <c r="V53" s="1425">
        <v>45160</v>
      </c>
      <c r="W53" s="1">
        <v>30.515599999999999</v>
      </c>
      <c r="X53" s="1">
        <v>1.4077999999999999</v>
      </c>
      <c r="Z53" s="1">
        <v>1.07473</v>
      </c>
      <c r="AB53" s="1425">
        <v>45161</v>
      </c>
      <c r="AC53" s="1">
        <v>8.0846</v>
      </c>
      <c r="AD53" s="1502">
        <v>1.1385000000000001</v>
      </c>
      <c r="AE53" s="1">
        <v>5.7117000000000004</v>
      </c>
      <c r="AF53" s="1">
        <v>3.2309999999999998E-2</v>
      </c>
      <c r="AH53" s="1425">
        <v>45161</v>
      </c>
      <c r="AI53" s="1">
        <v>10.751799999999999</v>
      </c>
      <c r="AJ53" s="1">
        <v>1.8875</v>
      </c>
      <c r="AK53" s="1">
        <v>6.5258000000000003</v>
      </c>
      <c r="AL53" s="1">
        <v>3.3550000000000003E-2</v>
      </c>
      <c r="AN53" s="1425">
        <v>45160</v>
      </c>
      <c r="AO53" s="1">
        <v>7.5410000000000004</v>
      </c>
      <c r="AP53" s="1">
        <v>1.1485000000000001</v>
      </c>
      <c r="AQ53" s="1">
        <v>4.8768000000000002</v>
      </c>
      <c r="AR53" s="1">
        <v>0.2969</v>
      </c>
      <c r="AT53" s="1425">
        <v>45160</v>
      </c>
      <c r="AU53" s="1">
        <v>7.3575999999999997</v>
      </c>
      <c r="AX53" s="1">
        <v>0.19578000000000001</v>
      </c>
      <c r="BA53" s="1425">
        <v>45160</v>
      </c>
      <c r="BB53" s="1">
        <v>12.150399999999999</v>
      </c>
      <c r="BC53" s="1">
        <v>2.1600999999999999</v>
      </c>
      <c r="BD53" s="1">
        <v>11.691700000000001</v>
      </c>
      <c r="BE53" s="1">
        <v>0.56769999999999998</v>
      </c>
      <c r="BG53" s="1425">
        <v>45160</v>
      </c>
      <c r="BH53" s="1">
        <v>16.6968</v>
      </c>
      <c r="BI53" s="1">
        <v>2.7033999999999998</v>
      </c>
      <c r="BJ53" s="1">
        <v>20.354500000000002</v>
      </c>
      <c r="BT53" s="1425">
        <v>45160</v>
      </c>
      <c r="BU53" s="1">
        <v>46.81</v>
      </c>
      <c r="BV53" s="1">
        <v>3.1496</v>
      </c>
      <c r="BW53" s="1">
        <v>12.0739</v>
      </c>
      <c r="BX53" s="1">
        <v>2.1074999999999999</v>
      </c>
      <c r="BZ53" s="1425">
        <v>45160</v>
      </c>
      <c r="CB53" s="1">
        <v>5.9066999999999998</v>
      </c>
      <c r="CC53" s="1">
        <v>30.881699999999999</v>
      </c>
      <c r="CD53" s="1">
        <v>2.86314</v>
      </c>
      <c r="CF53" s="1425">
        <v>45160</v>
      </c>
      <c r="CG53" s="1">
        <v>8.9535</v>
      </c>
      <c r="CH53" s="1">
        <v>1.1992</v>
      </c>
      <c r="CL53" s="1425">
        <v>45162</v>
      </c>
      <c r="CM53" s="1">
        <v>21.598199999999999</v>
      </c>
      <c r="CN53" s="1">
        <v>2.6128999999999998</v>
      </c>
      <c r="CO53" s="1">
        <v>10.4397</v>
      </c>
    </row>
    <row r="54" spans="1:93">
      <c r="A54" s="1425">
        <v>45159</v>
      </c>
      <c r="B54" s="20">
        <f t="shared" si="2"/>
        <v>15.834</v>
      </c>
      <c r="C54" s="20">
        <f t="shared" si="4"/>
        <v>29.633700000000001</v>
      </c>
      <c r="D54" s="20">
        <f t="shared" si="5"/>
        <v>10.857200000000001</v>
      </c>
      <c r="E54" s="20">
        <f t="shared" si="6"/>
        <v>7.5410000000000004</v>
      </c>
      <c r="F54" s="20">
        <f t="shared" si="7"/>
        <v>15.882300000000001</v>
      </c>
      <c r="G54" s="20">
        <f t="shared" si="8"/>
        <v>12.0929</v>
      </c>
      <c r="H54" s="1239">
        <f t="shared" si="9"/>
        <v>12.0929</v>
      </c>
      <c r="I54" s="1243">
        <f t="shared" si="3"/>
        <v>0.3093633454340976</v>
      </c>
      <c r="J54" s="1243">
        <f t="shared" si="10"/>
        <v>0.12093838824177333</v>
      </c>
      <c r="K54" s="1243">
        <f t="shared" si="11"/>
        <v>0.1</v>
      </c>
      <c r="L54" s="203"/>
      <c r="N54" s="1425">
        <v>45159</v>
      </c>
      <c r="O54" s="1502">
        <v>15.834</v>
      </c>
      <c r="P54" s="1502">
        <v>3.1295000000000002</v>
      </c>
      <c r="Q54" s="1502">
        <v>14.1599</v>
      </c>
      <c r="R54" s="1233">
        <f>'B. PE'!$U$23</f>
        <v>15.978235616082999</v>
      </c>
      <c r="S54" s="1233"/>
      <c r="T54" s="1233"/>
      <c r="V54" s="1425">
        <v>45159</v>
      </c>
      <c r="W54" s="1">
        <v>29.633700000000001</v>
      </c>
      <c r="X54" s="1">
        <v>1.3671</v>
      </c>
      <c r="Z54" s="1">
        <v>1.1523600000000001</v>
      </c>
      <c r="AB54" s="1425">
        <v>45160</v>
      </c>
      <c r="AC54" s="1">
        <v>8.1828000000000003</v>
      </c>
      <c r="AD54" s="1502">
        <v>1.1523000000000001</v>
      </c>
      <c r="AE54" s="1">
        <v>5.7474999999999996</v>
      </c>
      <c r="AF54" s="1">
        <v>3.3009999999999998E-2</v>
      </c>
      <c r="AH54" s="1425">
        <v>45160</v>
      </c>
      <c r="AI54" s="1">
        <v>10.857200000000001</v>
      </c>
      <c r="AJ54" s="1">
        <v>1.9059999999999999</v>
      </c>
      <c r="AK54" s="1">
        <v>6.5811000000000002</v>
      </c>
      <c r="AL54" s="1">
        <v>3.431E-2</v>
      </c>
      <c r="AN54" s="1425">
        <v>45159</v>
      </c>
      <c r="AO54" s="1">
        <v>7.5410000000000004</v>
      </c>
      <c r="AP54" s="1">
        <v>1.1485000000000001</v>
      </c>
      <c r="AQ54" s="1">
        <v>4.8768000000000002</v>
      </c>
      <c r="AR54" s="1">
        <v>0.29880000000000001</v>
      </c>
      <c r="AT54" s="1425">
        <v>45159</v>
      </c>
      <c r="AU54" s="1">
        <v>7.2785000000000002</v>
      </c>
      <c r="AX54" s="1">
        <v>0.19561000000000001</v>
      </c>
      <c r="BA54" s="1425">
        <v>45159</v>
      </c>
      <c r="BB54" s="1">
        <v>12.0929</v>
      </c>
      <c r="BC54" s="1">
        <v>2.1499000000000001</v>
      </c>
      <c r="BD54" s="1">
        <v>11.6554</v>
      </c>
      <c r="BE54" s="1">
        <v>0.56633999999999995</v>
      </c>
      <c r="BG54" s="1425">
        <v>45159</v>
      </c>
      <c r="BH54" s="1">
        <v>15.882300000000001</v>
      </c>
      <c r="BI54" s="1">
        <v>2.5714999999999999</v>
      </c>
      <c r="BJ54" s="1">
        <v>19.713000000000001</v>
      </c>
      <c r="BT54" s="1425">
        <v>45159</v>
      </c>
      <c r="BU54" s="1">
        <v>45.873800000000003</v>
      </c>
      <c r="BV54" s="1">
        <v>3.0865999999999998</v>
      </c>
      <c r="BW54" s="1">
        <v>11.824999999999999</v>
      </c>
      <c r="BX54" s="1">
        <v>2.2585999999999999</v>
      </c>
      <c r="BZ54" s="1425">
        <v>45159</v>
      </c>
      <c r="CB54" s="1">
        <v>5.7408999999999999</v>
      </c>
      <c r="CC54" s="1">
        <v>30.238499999999998</v>
      </c>
      <c r="CD54" s="1">
        <v>3.00034</v>
      </c>
      <c r="CF54" s="1425">
        <v>45159</v>
      </c>
      <c r="CG54" s="1">
        <v>9.0086999999999993</v>
      </c>
      <c r="CH54" s="1">
        <v>1.2065999999999999</v>
      </c>
      <c r="CL54" s="1425">
        <v>45161</v>
      </c>
      <c r="CM54" s="1">
        <v>21.694900000000001</v>
      </c>
      <c r="CN54" s="1">
        <v>2.6246</v>
      </c>
      <c r="CO54" s="1">
        <v>10.4826</v>
      </c>
    </row>
    <row r="55" spans="1:93">
      <c r="A55" s="1425">
        <v>45156</v>
      </c>
      <c r="B55" s="20">
        <f t="shared" si="2"/>
        <v>16.290600000000001</v>
      </c>
      <c r="C55" s="20">
        <f t="shared" si="4"/>
        <v>30.103999999999999</v>
      </c>
      <c r="D55" s="20">
        <f t="shared" si="5"/>
        <v>11.068</v>
      </c>
      <c r="E55" s="20">
        <f t="shared" si="6"/>
        <v>7.5410000000000004</v>
      </c>
      <c r="F55" s="20">
        <f t="shared" si="7"/>
        <v>15.746600000000001</v>
      </c>
      <c r="G55" s="20">
        <f t="shared" si="8"/>
        <v>11.5746</v>
      </c>
      <c r="H55" s="1239">
        <f t="shared" si="9"/>
        <v>11.5746</v>
      </c>
      <c r="I55" s="1243">
        <f t="shared" si="3"/>
        <v>0.4074438857498317</v>
      </c>
      <c r="J55" s="1243">
        <f t="shared" si="10"/>
        <v>0.12093838824177333</v>
      </c>
      <c r="K55" s="1243">
        <f t="shared" si="11"/>
        <v>0.1</v>
      </c>
      <c r="L55" s="203"/>
      <c r="N55" s="1425">
        <v>45156</v>
      </c>
      <c r="O55" s="1502">
        <v>16.290600000000001</v>
      </c>
      <c r="P55" s="1502">
        <v>3.2197</v>
      </c>
      <c r="Q55" s="1502">
        <v>14.516</v>
      </c>
      <c r="R55" s="1233">
        <f>'B. PE'!$U$23</f>
        <v>15.978235616082999</v>
      </c>
      <c r="S55" s="1233"/>
      <c r="T55" s="1233"/>
      <c r="V55" s="1425">
        <v>45156</v>
      </c>
      <c r="W55" s="1">
        <v>30.103999999999999</v>
      </c>
      <c r="X55" s="1">
        <v>1.3888</v>
      </c>
      <c r="Z55" s="1">
        <v>1.1461600000000001</v>
      </c>
      <c r="AB55" s="1425">
        <v>45159</v>
      </c>
      <c r="AC55" s="1">
        <v>8.1173999999999999</v>
      </c>
      <c r="AD55" s="1502">
        <v>1.1431</v>
      </c>
      <c r="AE55" s="1">
        <v>5.7236000000000002</v>
      </c>
      <c r="AF55" s="1">
        <v>3.3619999999999997E-2</v>
      </c>
      <c r="AH55" s="1425">
        <v>45159</v>
      </c>
      <c r="AI55" s="1">
        <v>10.857200000000001</v>
      </c>
      <c r="AJ55" s="1">
        <v>1.9059999999999999</v>
      </c>
      <c r="AK55" s="1">
        <v>6.5811000000000002</v>
      </c>
      <c r="AL55" s="1">
        <v>3.4270000000000002E-2</v>
      </c>
      <c r="AN55" s="1425">
        <v>45156</v>
      </c>
      <c r="AO55" s="1">
        <v>7.5410000000000004</v>
      </c>
      <c r="AP55" s="1">
        <v>1.1485000000000001</v>
      </c>
      <c r="AQ55" s="1">
        <v>4.8768000000000002</v>
      </c>
      <c r="AR55" s="1">
        <v>0.29812</v>
      </c>
      <c r="AT55" s="1425">
        <v>45156</v>
      </c>
      <c r="AU55" s="1">
        <v>7.1993999999999998</v>
      </c>
      <c r="AX55" s="1">
        <v>0.19550999999999999</v>
      </c>
      <c r="BA55" s="1425">
        <v>45156</v>
      </c>
      <c r="BB55" s="1">
        <v>11.5746</v>
      </c>
      <c r="BC55" s="1">
        <v>2.0577000000000001</v>
      </c>
      <c r="BD55" s="1">
        <v>11.3284</v>
      </c>
      <c r="BE55" s="1">
        <v>0.59033000000000002</v>
      </c>
      <c r="BG55" s="1425">
        <v>45156</v>
      </c>
      <c r="BH55" s="1">
        <v>15.746600000000001</v>
      </c>
      <c r="BI55" s="1">
        <v>2.5495000000000001</v>
      </c>
      <c r="BJ55" s="1">
        <v>19.606100000000001</v>
      </c>
      <c r="BT55" s="1425">
        <v>45156</v>
      </c>
      <c r="BU55" s="1">
        <v>46.997199999999999</v>
      </c>
      <c r="BV55" s="1">
        <v>3.1621999999999999</v>
      </c>
      <c r="BW55" s="1">
        <v>12.123699999999999</v>
      </c>
      <c r="BX55" s="1">
        <v>2.2505000000000002</v>
      </c>
      <c r="BZ55" s="1425">
        <v>45156</v>
      </c>
      <c r="CB55" s="1">
        <v>5.3855000000000004</v>
      </c>
      <c r="CC55" s="1">
        <v>28.86</v>
      </c>
      <c r="CD55" s="1">
        <v>3.0619900000000002</v>
      </c>
      <c r="CF55" s="1425">
        <v>45156</v>
      </c>
      <c r="CG55" s="1">
        <v>9.2850999999999999</v>
      </c>
      <c r="CH55" s="1">
        <v>1.2436</v>
      </c>
      <c r="CL55" s="1425">
        <v>45160</v>
      </c>
      <c r="CM55" s="1">
        <v>21.678799999999999</v>
      </c>
      <c r="CN55" s="1">
        <v>2.6225999999999998</v>
      </c>
      <c r="CO55" s="1">
        <v>10.4755</v>
      </c>
    </row>
    <row r="56" spans="1:93">
      <c r="A56" s="1425">
        <v>45155</v>
      </c>
      <c r="B56" s="20">
        <f t="shared" si="2"/>
        <v>17.5136</v>
      </c>
      <c r="C56" s="20">
        <f t="shared" si="4"/>
        <v>32.338299999999997</v>
      </c>
      <c r="D56" s="20">
        <f t="shared" si="5"/>
        <v>11.068</v>
      </c>
      <c r="E56" s="20">
        <f t="shared" si="6"/>
        <v>7.5956000000000001</v>
      </c>
      <c r="F56" s="20">
        <f t="shared" si="7"/>
        <v>16.1538</v>
      </c>
      <c r="G56" s="20">
        <f t="shared" si="8"/>
        <v>11.5746</v>
      </c>
      <c r="H56" s="1239">
        <f t="shared" si="9"/>
        <v>11.5746</v>
      </c>
      <c r="I56" s="1243">
        <f t="shared" si="3"/>
        <v>0.5131062844504346</v>
      </c>
      <c r="J56" s="1243">
        <f t="shared" si="10"/>
        <v>0.12093838824177333</v>
      </c>
      <c r="K56" s="1243">
        <f t="shared" si="11"/>
        <v>0.1</v>
      </c>
      <c r="L56" s="203"/>
      <c r="N56" s="1425">
        <v>45155</v>
      </c>
      <c r="O56" s="1502">
        <v>17.5136</v>
      </c>
      <c r="P56" s="1502">
        <v>3.4613999999999998</v>
      </c>
      <c r="Q56" s="1502">
        <v>15.4697</v>
      </c>
      <c r="R56" s="1233">
        <f>'B. PE'!$U$23</f>
        <v>15.978235616082999</v>
      </c>
      <c r="S56" s="1233"/>
      <c r="T56" s="1233"/>
      <c r="V56" s="1425">
        <v>45155</v>
      </c>
      <c r="W56" s="1">
        <v>32.338299999999997</v>
      </c>
      <c r="X56" s="1">
        <v>1.4919</v>
      </c>
      <c r="Z56" s="1">
        <v>1.16429</v>
      </c>
      <c r="AB56" s="1425">
        <v>45156</v>
      </c>
      <c r="AC56" s="1">
        <v>8.2645999999999997</v>
      </c>
      <c r="AD56" s="1502">
        <v>1.1638999999999999</v>
      </c>
      <c r="AE56" s="1">
        <v>5.7773000000000003</v>
      </c>
      <c r="AF56" s="1">
        <v>3.2640000000000002E-2</v>
      </c>
      <c r="AH56" s="1425">
        <v>45156</v>
      </c>
      <c r="AI56" s="1">
        <v>11.068</v>
      </c>
      <c r="AJ56" s="1">
        <v>1.9430000000000001</v>
      </c>
      <c r="AK56" s="1">
        <v>6.6917</v>
      </c>
      <c r="AL56" s="1">
        <v>3.4599999999999999E-2</v>
      </c>
      <c r="AN56" s="1425">
        <v>45155</v>
      </c>
      <c r="AO56" s="1">
        <v>7.5956000000000001</v>
      </c>
      <c r="AP56" s="1">
        <v>1.1568000000000001</v>
      </c>
      <c r="AQ56" s="1">
        <v>4.9184000000000001</v>
      </c>
      <c r="AR56" s="1">
        <v>0.29772999999999999</v>
      </c>
      <c r="AT56" s="1425">
        <v>45155</v>
      </c>
      <c r="AU56" s="1">
        <v>7.1993999999999998</v>
      </c>
      <c r="AX56" s="1">
        <v>0.19633</v>
      </c>
      <c r="BA56" s="1425">
        <v>45155</v>
      </c>
      <c r="BB56" s="1">
        <v>11.5746</v>
      </c>
      <c r="BC56" s="1">
        <v>2.0577000000000001</v>
      </c>
      <c r="BD56" s="1">
        <v>11.3284</v>
      </c>
      <c r="BE56" s="1">
        <v>0.54810000000000003</v>
      </c>
      <c r="BG56" s="1425">
        <v>45155</v>
      </c>
      <c r="BH56" s="1">
        <v>16.1538</v>
      </c>
      <c r="BI56" s="1">
        <v>2.6154999999999999</v>
      </c>
      <c r="BJ56" s="1">
        <v>19.9268</v>
      </c>
      <c r="BT56" s="1425">
        <v>45155</v>
      </c>
      <c r="BU56" s="1">
        <v>50.461199999999998</v>
      </c>
      <c r="BV56" s="1">
        <v>3.3953000000000002</v>
      </c>
      <c r="BW56" s="1">
        <v>13.044499999999999</v>
      </c>
      <c r="BX56" s="1">
        <v>2.2534999999999998</v>
      </c>
      <c r="BZ56" s="1425">
        <v>45155</v>
      </c>
      <c r="CB56" s="1">
        <v>5.6539999999999999</v>
      </c>
      <c r="CC56" s="1">
        <v>29.901499999999999</v>
      </c>
      <c r="CD56" s="1">
        <v>3.1006100000000001</v>
      </c>
      <c r="CF56" s="1425">
        <v>45155</v>
      </c>
      <c r="CG56" s="1">
        <v>10.0588</v>
      </c>
      <c r="CH56" s="1">
        <v>1.3472999999999999</v>
      </c>
      <c r="CL56" s="1425">
        <v>45159</v>
      </c>
      <c r="CM56" s="1">
        <v>21.694900000000001</v>
      </c>
      <c r="CN56" s="1">
        <v>2.6246</v>
      </c>
      <c r="CO56" s="1">
        <v>10.4826</v>
      </c>
    </row>
    <row r="57" spans="1:93">
      <c r="A57" s="1425">
        <v>45154</v>
      </c>
      <c r="B57" s="20">
        <f t="shared" si="2"/>
        <v>17.285299999999999</v>
      </c>
      <c r="C57" s="20">
        <f t="shared" si="4"/>
        <v>32.220700000000001</v>
      </c>
      <c r="D57" s="20">
        <f t="shared" si="5"/>
        <v>11.068</v>
      </c>
      <c r="E57" s="20">
        <f t="shared" si="6"/>
        <v>7.5410000000000004</v>
      </c>
      <c r="F57" s="20">
        <f t="shared" si="7"/>
        <v>15.610900000000001</v>
      </c>
      <c r="G57" s="20">
        <f t="shared" si="8"/>
        <v>12.035299999999999</v>
      </c>
      <c r="H57" s="1239">
        <f t="shared" si="9"/>
        <v>12.035299999999999</v>
      </c>
      <c r="I57" s="1243">
        <f t="shared" si="3"/>
        <v>0.43621679559296411</v>
      </c>
      <c r="J57" s="1243">
        <f t="shared" si="10"/>
        <v>0.12093838824177333</v>
      </c>
      <c r="K57" s="1243">
        <f t="shared" si="11"/>
        <v>0.1</v>
      </c>
      <c r="L57" s="203"/>
      <c r="N57" s="1425">
        <v>45154</v>
      </c>
      <c r="O57" s="1502">
        <v>17.285299999999999</v>
      </c>
      <c r="P57" s="1502">
        <v>3.4163000000000001</v>
      </c>
      <c r="Q57" s="1502">
        <v>15.291700000000001</v>
      </c>
      <c r="R57" s="1233">
        <f>'B. PE'!$U$23</f>
        <v>15.978235616082999</v>
      </c>
      <c r="S57" s="1233"/>
      <c r="T57" s="1233"/>
      <c r="V57" s="1425">
        <v>45154</v>
      </c>
      <c r="W57" s="1">
        <v>32.220700000000001</v>
      </c>
      <c r="X57" s="1">
        <v>1.4864999999999999</v>
      </c>
      <c r="Z57" s="1">
        <v>1.1648400000000001</v>
      </c>
      <c r="AB57" s="1425">
        <v>45154</v>
      </c>
      <c r="AC57" s="1">
        <v>8.4283000000000001</v>
      </c>
      <c r="AD57" s="1502">
        <v>1.1869000000000001</v>
      </c>
      <c r="AE57" s="1">
        <v>5.8369</v>
      </c>
      <c r="AF57" s="1">
        <v>3.2539999999999999E-2</v>
      </c>
      <c r="AH57" s="1425">
        <v>45154</v>
      </c>
      <c r="AI57" s="1">
        <v>11.068</v>
      </c>
      <c r="AJ57" s="1">
        <v>1.9430000000000001</v>
      </c>
      <c r="AK57" s="1">
        <v>6.6917</v>
      </c>
      <c r="AL57" s="1">
        <v>3.4299999999999997E-2</v>
      </c>
      <c r="AN57" s="1425">
        <v>45154</v>
      </c>
      <c r="AO57" s="1">
        <v>7.5410000000000004</v>
      </c>
      <c r="AP57" s="1">
        <v>1.1485000000000001</v>
      </c>
      <c r="AQ57" s="1">
        <v>4.8768000000000002</v>
      </c>
      <c r="AR57" s="1">
        <v>0.29892999999999997</v>
      </c>
      <c r="AT57" s="1425">
        <v>45154</v>
      </c>
      <c r="AU57" s="1">
        <v>7.1597999999999997</v>
      </c>
      <c r="AX57" s="1">
        <v>0.19603999999999999</v>
      </c>
      <c r="BA57" s="1425">
        <v>45154</v>
      </c>
      <c r="BB57" s="1">
        <v>12.035299999999999</v>
      </c>
      <c r="BC57" s="1">
        <v>2.1396000000000002</v>
      </c>
      <c r="BD57" s="1">
        <v>11.619</v>
      </c>
      <c r="BE57" s="1">
        <v>0.44380999999999998</v>
      </c>
      <c r="BG57" s="1425">
        <v>45154</v>
      </c>
      <c r="BH57" s="1">
        <v>15.610900000000001</v>
      </c>
      <c r="BI57" s="1">
        <v>2.5276000000000001</v>
      </c>
      <c r="BJ57" s="1">
        <v>19.499199999999998</v>
      </c>
      <c r="BT57" s="1425">
        <v>45154</v>
      </c>
      <c r="BU57" s="1">
        <v>50.3675</v>
      </c>
      <c r="BV57" s="1">
        <v>3.3889999999999998</v>
      </c>
      <c r="BW57" s="1">
        <v>13.019600000000001</v>
      </c>
      <c r="BX57" s="1">
        <v>2.2791999999999999</v>
      </c>
      <c r="BZ57" s="1425">
        <v>45154</v>
      </c>
      <c r="CB57" s="1">
        <v>5.7804000000000002</v>
      </c>
      <c r="CC57" s="1">
        <v>30.3916</v>
      </c>
      <c r="CD57" s="1">
        <v>3.1202700000000001</v>
      </c>
      <c r="CF57" s="1425">
        <v>45154</v>
      </c>
      <c r="CG57" s="1">
        <v>10.0036</v>
      </c>
      <c r="CH57" s="1">
        <v>1.3399000000000001</v>
      </c>
      <c r="CL57" s="1425">
        <v>45156</v>
      </c>
      <c r="CM57" s="1">
        <v>21.694900000000001</v>
      </c>
      <c r="CN57" s="1">
        <v>2.6246</v>
      </c>
      <c r="CO57" s="1">
        <v>10.4826</v>
      </c>
    </row>
    <row r="58" spans="1:93">
      <c r="A58" s="1425">
        <v>45153</v>
      </c>
      <c r="B58" s="20">
        <f t="shared" si="2"/>
        <v>17.611499999999999</v>
      </c>
      <c r="C58" s="20">
        <f t="shared" si="4"/>
        <v>32.808700000000002</v>
      </c>
      <c r="D58" s="20">
        <f t="shared" si="5"/>
        <v>11.173400000000001</v>
      </c>
      <c r="E58" s="20">
        <f t="shared" si="6"/>
        <v>7.5410000000000004</v>
      </c>
      <c r="F58" s="20">
        <f t="shared" si="7"/>
        <v>15.0679</v>
      </c>
      <c r="G58" s="20">
        <f t="shared" si="8"/>
        <v>11.1715</v>
      </c>
      <c r="H58" s="1239">
        <f t="shared" si="9"/>
        <v>11.173400000000001</v>
      </c>
      <c r="I58" s="1243">
        <f t="shared" si="3"/>
        <v>0.57619882936259303</v>
      </c>
      <c r="J58" s="1243">
        <f t="shared" si="10"/>
        <v>0.12093838824177333</v>
      </c>
      <c r="K58" s="1243">
        <f t="shared" si="11"/>
        <v>0.1</v>
      </c>
      <c r="L58" s="203"/>
      <c r="N58" s="1425">
        <v>45153</v>
      </c>
      <c r="O58" s="1502">
        <v>17.611499999999999</v>
      </c>
      <c r="P58" s="1502">
        <v>3.4807999999999999</v>
      </c>
      <c r="Q58" s="1502">
        <v>15.545999999999999</v>
      </c>
      <c r="R58" s="1233">
        <f>'B. PE'!$U$23</f>
        <v>15.978235616082999</v>
      </c>
      <c r="S58" s="1233"/>
      <c r="T58" s="1233"/>
      <c r="V58" s="1425">
        <v>45153</v>
      </c>
      <c r="W58" s="1">
        <v>32.808700000000002</v>
      </c>
      <c r="X58" s="1">
        <v>1.5136000000000001</v>
      </c>
      <c r="Z58" s="1">
        <v>1.1367</v>
      </c>
      <c r="AB58" s="1425">
        <v>45153</v>
      </c>
      <c r="AC58" s="1">
        <v>8.1828000000000003</v>
      </c>
      <c r="AD58" s="1502">
        <v>1.1523000000000001</v>
      </c>
      <c r="AE58" s="1">
        <v>5.7474999999999996</v>
      </c>
      <c r="AF58" s="1">
        <v>3.2640000000000002E-2</v>
      </c>
      <c r="AH58" s="1425">
        <v>45153</v>
      </c>
      <c r="AI58" s="1">
        <v>11.173400000000001</v>
      </c>
      <c r="AJ58" s="1">
        <v>1.9615</v>
      </c>
      <c r="AK58" s="1">
        <v>6.7469999999999999</v>
      </c>
      <c r="AL58" s="1">
        <v>3.3939999999999998E-2</v>
      </c>
      <c r="AN58" s="1425">
        <v>45153</v>
      </c>
      <c r="AO58" s="1">
        <v>7.5410000000000004</v>
      </c>
      <c r="AP58" s="1">
        <v>1.1485000000000001</v>
      </c>
      <c r="AQ58" s="1">
        <v>4.8768000000000002</v>
      </c>
      <c r="AR58" s="1">
        <v>0.29425000000000001</v>
      </c>
      <c r="AT58" s="1425">
        <v>45153</v>
      </c>
      <c r="AU58" s="1">
        <v>7.1993999999999998</v>
      </c>
      <c r="AX58" s="1">
        <v>0.19725000000000001</v>
      </c>
      <c r="BA58" s="1425">
        <v>45153</v>
      </c>
      <c r="BB58" s="1">
        <v>11.1715</v>
      </c>
      <c r="BC58" s="1">
        <v>1.9861</v>
      </c>
      <c r="BD58" s="1">
        <v>11.074199999999999</v>
      </c>
      <c r="BE58" s="1">
        <v>0.44224000000000002</v>
      </c>
      <c r="BG58" s="1425">
        <v>45153</v>
      </c>
      <c r="BH58" s="1">
        <v>15.0679</v>
      </c>
      <c r="BI58" s="1">
        <v>2.4397000000000002</v>
      </c>
      <c r="BJ58" s="1">
        <v>19.0715</v>
      </c>
      <c r="BT58" s="1425">
        <v>45153</v>
      </c>
      <c r="BU58" s="1">
        <v>50.5548</v>
      </c>
      <c r="BV58" s="1">
        <v>3.4016000000000002</v>
      </c>
      <c r="BW58" s="1">
        <v>13.0694</v>
      </c>
      <c r="BX58" s="1">
        <v>2.2439</v>
      </c>
      <c r="BZ58" s="1425">
        <v>45153</v>
      </c>
      <c r="CB58" s="1">
        <v>5.8672000000000004</v>
      </c>
      <c r="CC58" s="1">
        <v>30.7286</v>
      </c>
      <c r="CD58" s="1">
        <v>3.1575000000000002</v>
      </c>
      <c r="CF58" s="1425">
        <v>45153</v>
      </c>
      <c r="CG58" s="1">
        <v>9.9482999999999997</v>
      </c>
      <c r="CH58" s="1">
        <v>1.3325</v>
      </c>
      <c r="CL58" s="1425">
        <v>45155</v>
      </c>
      <c r="CM58" s="1">
        <v>21.872</v>
      </c>
      <c r="CN58" s="1">
        <v>2.6459999999999999</v>
      </c>
      <c r="CO58" s="1">
        <v>10.561299999999999</v>
      </c>
    </row>
    <row r="59" spans="1:93">
      <c r="A59" s="1425">
        <v>45152</v>
      </c>
      <c r="B59" s="20">
        <f t="shared" si="2"/>
        <v>17.7746</v>
      </c>
      <c r="C59" s="20">
        <f t="shared" si="4"/>
        <v>32.573500000000003</v>
      </c>
      <c r="D59" s="20">
        <f t="shared" si="5"/>
        <v>11.068</v>
      </c>
      <c r="E59" s="20">
        <f t="shared" si="6"/>
        <v>7.5410000000000004</v>
      </c>
      <c r="F59" s="20">
        <f t="shared" si="7"/>
        <v>15.0679</v>
      </c>
      <c r="G59" s="20">
        <f t="shared" si="8"/>
        <v>11.1715</v>
      </c>
      <c r="H59" s="1239">
        <f t="shared" si="9"/>
        <v>11.1715</v>
      </c>
      <c r="I59" s="1243">
        <f t="shared" si="3"/>
        <v>0.59106655328290736</v>
      </c>
      <c r="J59" s="1243">
        <f t="shared" si="10"/>
        <v>0.12093838824177333</v>
      </c>
      <c r="K59" s="1243">
        <f t="shared" si="11"/>
        <v>0.1</v>
      </c>
      <c r="L59" s="203"/>
      <c r="N59" s="1425">
        <v>45152</v>
      </c>
      <c r="O59" s="1502">
        <v>17.7746</v>
      </c>
      <c r="P59" s="1502">
        <v>3.5129999999999999</v>
      </c>
      <c r="Q59" s="1502">
        <v>15.6732</v>
      </c>
      <c r="R59" s="1233">
        <f>'B. PE'!$U$23</f>
        <v>15.978235616082999</v>
      </c>
      <c r="S59" s="1233"/>
      <c r="T59" s="1233"/>
      <c r="V59" s="1425">
        <v>45152</v>
      </c>
      <c r="W59" s="1">
        <v>32.573500000000003</v>
      </c>
      <c r="X59" s="1">
        <v>1.5026999999999999</v>
      </c>
      <c r="Z59" s="1">
        <v>1.1581900000000001</v>
      </c>
      <c r="AB59" s="1425">
        <v>45152</v>
      </c>
      <c r="AC59" s="1">
        <v>8.1501000000000001</v>
      </c>
      <c r="AD59" s="1502">
        <v>1.1476999999999999</v>
      </c>
      <c r="AE59" s="1">
        <v>5.7355999999999998</v>
      </c>
      <c r="AF59" s="1">
        <v>3.2500000000000001E-2</v>
      </c>
      <c r="AH59" s="1425">
        <v>45152</v>
      </c>
      <c r="AI59" s="1">
        <v>11.068</v>
      </c>
      <c r="AJ59" s="1">
        <v>1.9430000000000001</v>
      </c>
      <c r="AK59" s="1">
        <v>6.6917</v>
      </c>
      <c r="AL59" s="1">
        <v>3.4540000000000001E-2</v>
      </c>
      <c r="AN59" s="1425">
        <v>45152</v>
      </c>
      <c r="AO59" s="1">
        <v>7.5410000000000004</v>
      </c>
      <c r="AP59" s="1">
        <v>1.1485000000000001</v>
      </c>
      <c r="AQ59" s="1">
        <v>4.8768000000000002</v>
      </c>
      <c r="AR59" s="1">
        <v>0.29971999999999999</v>
      </c>
      <c r="AT59" s="1425">
        <v>45152</v>
      </c>
      <c r="AU59" s="1">
        <v>7.1597999999999997</v>
      </c>
      <c r="AX59" s="1">
        <v>0.19689000000000001</v>
      </c>
      <c r="BA59" s="1425">
        <v>45149</v>
      </c>
      <c r="BB59" s="1">
        <v>8.9832999999999998</v>
      </c>
      <c r="BC59" s="1">
        <v>1.597</v>
      </c>
      <c r="BD59" s="1">
        <v>9.6938999999999993</v>
      </c>
      <c r="BE59" s="1">
        <v>0.43633</v>
      </c>
      <c r="BG59" s="1425">
        <v>45149</v>
      </c>
      <c r="BH59" s="1">
        <v>15.2036</v>
      </c>
      <c r="BI59" s="1">
        <v>2.4615999999999998</v>
      </c>
      <c r="BJ59" s="1">
        <v>19.1784</v>
      </c>
      <c r="BT59" s="1425">
        <v>45152</v>
      </c>
      <c r="BU59" s="1">
        <v>50.741999999999997</v>
      </c>
      <c r="BV59" s="1">
        <v>3.4142000000000001</v>
      </c>
      <c r="BW59" s="1">
        <v>13.1191</v>
      </c>
      <c r="BX59" s="1">
        <v>2.19</v>
      </c>
      <c r="BZ59" s="1425">
        <v>45152</v>
      </c>
      <c r="CB59" s="1">
        <v>5.8593000000000002</v>
      </c>
      <c r="CC59" s="1">
        <v>30.697900000000001</v>
      </c>
      <c r="CD59" s="1">
        <v>3.1165799999999999</v>
      </c>
      <c r="CF59" s="1425">
        <v>45152</v>
      </c>
      <c r="CG59" s="1">
        <v>10.0588</v>
      </c>
      <c r="CH59" s="1">
        <v>1.3472999999999999</v>
      </c>
      <c r="CL59" s="1425">
        <v>45154</v>
      </c>
      <c r="CM59" s="1">
        <v>21.7271</v>
      </c>
      <c r="CN59" s="1">
        <v>2.6284999999999998</v>
      </c>
      <c r="CO59" s="1">
        <v>10.4969</v>
      </c>
    </row>
    <row r="60" spans="1:93">
      <c r="A60" s="1425">
        <v>45149</v>
      </c>
      <c r="B60" s="20">
        <f t="shared" si="2"/>
        <v>17.481000000000002</v>
      </c>
      <c r="C60" s="20">
        <f t="shared" si="4"/>
        <v>31.750299999999999</v>
      </c>
      <c r="D60" s="20">
        <f t="shared" si="5"/>
        <v>10.9626</v>
      </c>
      <c r="E60" s="20">
        <f t="shared" si="6"/>
        <v>7.3769999999999998</v>
      </c>
      <c r="F60" s="20">
        <f t="shared" si="7"/>
        <v>15.2036</v>
      </c>
      <c r="G60" s="20">
        <f t="shared" si="8"/>
        <v>8.9832999999999998</v>
      </c>
      <c r="H60" s="1239">
        <f t="shared" si="9"/>
        <v>10.9626</v>
      </c>
      <c r="I60" s="1243">
        <f t="shared" si="3"/>
        <v>0.59460346997974955</v>
      </c>
      <c r="J60" s="1243">
        <f t="shared" si="10"/>
        <v>0.12093838824177333</v>
      </c>
      <c r="K60" s="1243">
        <f t="shared" si="11"/>
        <v>0.1</v>
      </c>
      <c r="L60" s="203"/>
      <c r="N60" s="1425">
        <v>45149</v>
      </c>
      <c r="O60" s="1502">
        <v>17.481000000000002</v>
      </c>
      <c r="P60" s="1502">
        <v>3.4550000000000001</v>
      </c>
      <c r="Q60" s="1502">
        <v>15.4443</v>
      </c>
      <c r="R60" s="1233">
        <f>'B. PE'!$U$23</f>
        <v>15.978235616082999</v>
      </c>
      <c r="S60" s="1233"/>
      <c r="T60" s="1233"/>
      <c r="V60" s="1425">
        <v>45149</v>
      </c>
      <c r="W60" s="1">
        <v>31.750299999999999</v>
      </c>
      <c r="X60" s="1">
        <v>1.4648000000000001</v>
      </c>
      <c r="Z60" s="1">
        <v>1.19208</v>
      </c>
      <c r="AB60" s="1425">
        <v>45149</v>
      </c>
      <c r="AC60" s="1">
        <v>8.1828000000000003</v>
      </c>
      <c r="AD60" s="1502">
        <v>1.1523000000000001</v>
      </c>
      <c r="AE60" s="1">
        <v>5.7474999999999996</v>
      </c>
      <c r="AF60" s="1">
        <v>3.2640000000000002E-2</v>
      </c>
      <c r="AH60" s="1425">
        <v>45149</v>
      </c>
      <c r="AI60" s="1">
        <v>10.9626</v>
      </c>
      <c r="AJ60" s="1">
        <v>1.9245000000000001</v>
      </c>
      <c r="AK60" s="1">
        <v>6.6364000000000001</v>
      </c>
      <c r="AL60" s="1">
        <v>3.4880000000000001E-2</v>
      </c>
      <c r="AN60" s="1425">
        <v>45149</v>
      </c>
      <c r="AO60" s="1">
        <v>7.3769999999999998</v>
      </c>
      <c r="AP60" s="1">
        <v>1.1234999999999999</v>
      </c>
      <c r="AQ60" s="1">
        <v>4.7518000000000002</v>
      </c>
      <c r="AR60" s="1">
        <v>0.30184</v>
      </c>
      <c r="AT60" s="1425">
        <v>45149</v>
      </c>
      <c r="AU60" s="1">
        <v>7.1597999999999997</v>
      </c>
      <c r="AX60" s="1">
        <v>0.19903999999999999</v>
      </c>
      <c r="BA60" s="1425">
        <v>45148</v>
      </c>
      <c r="BB60" s="1">
        <v>8.9257000000000009</v>
      </c>
      <c r="BC60" s="1">
        <v>1.5868</v>
      </c>
      <c r="BD60" s="1">
        <v>9.6575000000000006</v>
      </c>
      <c r="BE60" s="1">
        <v>0.44240000000000002</v>
      </c>
      <c r="BG60" s="1425">
        <v>45148</v>
      </c>
      <c r="BH60" s="1">
        <v>15.2036</v>
      </c>
      <c r="BI60" s="1">
        <v>2.4615999999999998</v>
      </c>
      <c r="BJ60" s="1">
        <v>19.1784</v>
      </c>
      <c r="BT60" s="1425">
        <v>45149</v>
      </c>
      <c r="BU60" s="1">
        <v>49.8994</v>
      </c>
      <c r="BV60" s="1">
        <v>3.3574999999999999</v>
      </c>
      <c r="BW60" s="1">
        <v>12.895200000000001</v>
      </c>
      <c r="BX60" s="1">
        <v>2.2157</v>
      </c>
      <c r="BZ60" s="1425">
        <v>45149</v>
      </c>
      <c r="CB60" s="1">
        <v>5.9225000000000003</v>
      </c>
      <c r="CC60" s="1">
        <v>30.943000000000001</v>
      </c>
      <c r="CD60" s="1">
        <v>3.2645300000000002</v>
      </c>
      <c r="CF60" s="1425">
        <v>45149</v>
      </c>
      <c r="CG60" s="1">
        <v>10.114100000000001</v>
      </c>
      <c r="CH60" s="1">
        <v>1.3547</v>
      </c>
      <c r="CL60" s="1425">
        <v>45153</v>
      </c>
      <c r="CM60" s="1">
        <v>21.872</v>
      </c>
      <c r="CN60" s="1">
        <v>2.6459999999999999</v>
      </c>
      <c r="CO60" s="1">
        <v>10.561299999999999</v>
      </c>
    </row>
    <row r="61" spans="1:93">
      <c r="A61" s="1425">
        <v>45148</v>
      </c>
      <c r="B61" s="20">
        <f t="shared" si="2"/>
        <v>17.7746</v>
      </c>
      <c r="C61" s="20">
        <f t="shared" si="4"/>
        <v>32.338299999999997</v>
      </c>
      <c r="D61" s="20">
        <f t="shared" si="5"/>
        <v>11.068</v>
      </c>
      <c r="E61" s="20">
        <f t="shared" si="6"/>
        <v>7.4863</v>
      </c>
      <c r="F61" s="20">
        <f t="shared" si="7"/>
        <v>15.2036</v>
      </c>
      <c r="G61" s="20">
        <f t="shared" si="8"/>
        <v>8.9257000000000009</v>
      </c>
      <c r="H61" s="1239">
        <f t="shared" si="9"/>
        <v>11.068</v>
      </c>
      <c r="I61" s="1243">
        <f t="shared" si="3"/>
        <v>0.60594506685941463</v>
      </c>
      <c r="J61" s="1243">
        <f t="shared" si="10"/>
        <v>0.12093838824177333</v>
      </c>
      <c r="K61" s="1243">
        <f t="shared" si="11"/>
        <v>0.1</v>
      </c>
      <c r="L61" s="203"/>
      <c r="N61" s="1425">
        <v>45148</v>
      </c>
      <c r="O61" s="1502">
        <v>17.7746</v>
      </c>
      <c r="P61" s="1502">
        <v>3.5129999999999999</v>
      </c>
      <c r="Q61" s="1502">
        <v>15.6732</v>
      </c>
      <c r="R61" s="1233">
        <f>'B. PE'!$U$23</f>
        <v>15.978235616082999</v>
      </c>
      <c r="S61" s="1233"/>
      <c r="T61" s="1233"/>
      <c r="V61" s="1425">
        <v>45148</v>
      </c>
      <c r="W61" s="1">
        <v>32.338299999999997</v>
      </c>
      <c r="X61" s="1">
        <v>1.4919</v>
      </c>
      <c r="Z61" s="1">
        <v>1.1783300000000001</v>
      </c>
      <c r="AB61" s="1425">
        <v>45148</v>
      </c>
      <c r="AC61" s="1">
        <v>8.0846</v>
      </c>
      <c r="AD61" s="1502">
        <v>1.1385000000000001</v>
      </c>
      <c r="AE61" s="1">
        <v>5.7117000000000004</v>
      </c>
      <c r="AF61" s="1">
        <v>3.354E-2</v>
      </c>
      <c r="AH61" s="1425">
        <v>45148</v>
      </c>
      <c r="AI61" s="1">
        <v>11.068</v>
      </c>
      <c r="AJ61" s="1">
        <v>1.9430000000000001</v>
      </c>
      <c r="AK61" s="1">
        <v>6.6917</v>
      </c>
      <c r="AL61" s="1">
        <v>3.3869999999999997E-2</v>
      </c>
      <c r="AN61" s="1425">
        <v>45148</v>
      </c>
      <c r="AO61" s="1">
        <v>7.4863</v>
      </c>
      <c r="AP61" s="1">
        <v>1.1402000000000001</v>
      </c>
      <c r="AQ61" s="1">
        <v>4.8350999999999997</v>
      </c>
      <c r="AR61" s="1">
        <v>0.29892999999999997</v>
      </c>
      <c r="AT61" s="1425">
        <v>45148</v>
      </c>
      <c r="AU61" s="1">
        <v>7.1203000000000003</v>
      </c>
      <c r="AX61" s="1">
        <v>0.19747000000000001</v>
      </c>
      <c r="BA61" s="1425">
        <v>45147</v>
      </c>
      <c r="BB61" s="1">
        <v>8.8104999999999993</v>
      </c>
      <c r="BC61" s="1">
        <v>1.5663</v>
      </c>
      <c r="BD61" s="1">
        <v>9.5848999999999993</v>
      </c>
      <c r="BE61" s="1">
        <v>0.46448</v>
      </c>
      <c r="BG61" s="1425">
        <v>45147</v>
      </c>
      <c r="BH61" s="1">
        <v>14.9321</v>
      </c>
      <c r="BI61" s="1">
        <v>2.4177</v>
      </c>
      <c r="BJ61" s="1">
        <v>18.964600000000001</v>
      </c>
      <c r="BT61" s="1425">
        <v>45148</v>
      </c>
      <c r="BU61" s="1">
        <v>48.682400000000001</v>
      </c>
      <c r="BV61" s="1">
        <v>3.2755999999999998</v>
      </c>
      <c r="BW61" s="1">
        <v>12.5716</v>
      </c>
      <c r="BX61" s="1">
        <v>2.2585999999999999</v>
      </c>
      <c r="BZ61" s="1425">
        <v>45148</v>
      </c>
      <c r="CB61" s="1">
        <v>5.8434999999999997</v>
      </c>
      <c r="CC61" s="1">
        <v>30.636700000000001</v>
      </c>
      <c r="CD61" s="1">
        <v>3.3331900000000001</v>
      </c>
      <c r="CF61" s="1425">
        <v>45148</v>
      </c>
      <c r="CG61" s="1">
        <v>10.114100000000001</v>
      </c>
      <c r="CH61" s="1">
        <v>1.3547</v>
      </c>
      <c r="CL61" s="1425">
        <v>45152</v>
      </c>
      <c r="CM61" s="1">
        <v>21.904299999999999</v>
      </c>
      <c r="CN61" s="1">
        <v>2.6499000000000001</v>
      </c>
      <c r="CO61" s="1">
        <v>10.5756</v>
      </c>
    </row>
    <row r="62" spans="1:93">
      <c r="A62" s="1425">
        <v>45147</v>
      </c>
      <c r="B62" s="20">
        <f t="shared" si="2"/>
        <v>18.198499999999999</v>
      </c>
      <c r="C62" s="20">
        <f t="shared" si="4"/>
        <v>33.2791</v>
      </c>
      <c r="D62" s="20">
        <f t="shared" si="5"/>
        <v>11.173400000000001</v>
      </c>
      <c r="E62" s="20">
        <f t="shared" si="6"/>
        <v>7.5410000000000004</v>
      </c>
      <c r="F62" s="20">
        <f t="shared" si="7"/>
        <v>14.9321</v>
      </c>
      <c r="G62" s="20">
        <f t="shared" si="8"/>
        <v>8.8104999999999993</v>
      </c>
      <c r="H62" s="1239">
        <f t="shared" si="9"/>
        <v>11.173400000000001</v>
      </c>
      <c r="I62" s="1243">
        <f t="shared" si="3"/>
        <v>0.62873431542771208</v>
      </c>
      <c r="J62" s="1243">
        <f t="shared" si="10"/>
        <v>0.12093838824177333</v>
      </c>
      <c r="K62" s="1243">
        <f t="shared" si="11"/>
        <v>0.1</v>
      </c>
      <c r="L62" s="203"/>
      <c r="N62" s="1425">
        <v>45147</v>
      </c>
      <c r="O62" s="1502">
        <v>18.198499999999999</v>
      </c>
      <c r="P62" s="1502">
        <v>3.5968</v>
      </c>
      <c r="Q62" s="1502">
        <v>16.003799999999998</v>
      </c>
      <c r="R62" s="1233">
        <f>'B. PE'!$U$23</f>
        <v>15.978235616082999</v>
      </c>
      <c r="S62" s="1233"/>
      <c r="T62" s="1233"/>
      <c r="V62" s="1425">
        <v>45147</v>
      </c>
      <c r="W62" s="1">
        <v>33.2791</v>
      </c>
      <c r="X62" s="1">
        <v>1.5353000000000001</v>
      </c>
      <c r="Z62" s="1">
        <v>1.19814</v>
      </c>
      <c r="AB62" s="1425">
        <v>45147</v>
      </c>
      <c r="AC62" s="1">
        <v>8.1173999999999999</v>
      </c>
      <c r="AD62" s="1502">
        <v>1.1431</v>
      </c>
      <c r="AE62" s="1">
        <v>5.7236000000000002</v>
      </c>
      <c r="AF62" s="1">
        <v>3.5529999999999999E-2</v>
      </c>
      <c r="AH62" s="1425">
        <v>45147</v>
      </c>
      <c r="AI62" s="1">
        <v>11.173400000000001</v>
      </c>
      <c r="AJ62" s="1">
        <v>1.9615</v>
      </c>
      <c r="AK62" s="1">
        <v>6.7469999999999999</v>
      </c>
      <c r="AL62" s="1">
        <v>3.3890000000000003E-2</v>
      </c>
      <c r="AN62" s="1425">
        <v>45147</v>
      </c>
      <c r="AO62" s="1">
        <v>7.5410000000000004</v>
      </c>
      <c r="AP62" s="1">
        <v>1.1485000000000001</v>
      </c>
      <c r="AQ62" s="1">
        <v>4.8768000000000002</v>
      </c>
      <c r="AR62" s="1">
        <v>0.29825000000000002</v>
      </c>
      <c r="AT62" s="1425">
        <v>45147</v>
      </c>
      <c r="AU62" s="1">
        <v>7.1993999999999998</v>
      </c>
      <c r="AX62" s="1">
        <v>0.19736999999999999</v>
      </c>
      <c r="BA62" s="1425">
        <v>45146</v>
      </c>
      <c r="BB62" s="1">
        <v>8.9257000000000009</v>
      </c>
      <c r="BC62" s="1">
        <v>1.5868</v>
      </c>
      <c r="BD62" s="1">
        <v>9.6575000000000006</v>
      </c>
      <c r="BE62" s="1">
        <v>0.47957</v>
      </c>
      <c r="BG62" s="1425">
        <v>45146</v>
      </c>
      <c r="BH62" s="1">
        <v>14.7964</v>
      </c>
      <c r="BI62" s="1">
        <v>2.3957000000000002</v>
      </c>
      <c r="BJ62" s="1">
        <v>18.857700000000001</v>
      </c>
      <c r="BT62" s="1425">
        <v>45147</v>
      </c>
      <c r="BU62" s="1">
        <v>49.244100000000003</v>
      </c>
      <c r="BV62" s="1">
        <v>3.3134000000000001</v>
      </c>
      <c r="BW62" s="1">
        <v>12.721</v>
      </c>
      <c r="BX62" s="1">
        <v>2.2677</v>
      </c>
      <c r="BZ62" s="1425">
        <v>45147</v>
      </c>
      <c r="CB62" s="1">
        <v>6.1199000000000003</v>
      </c>
      <c r="CC62" s="1">
        <v>31.7088</v>
      </c>
      <c r="CD62" s="1">
        <v>3.41412</v>
      </c>
      <c r="CF62" s="1425">
        <v>45147</v>
      </c>
      <c r="CG62" s="1">
        <v>10.0588</v>
      </c>
      <c r="CH62" s="1">
        <v>1.3472999999999999</v>
      </c>
      <c r="CL62" s="1425">
        <v>45149</v>
      </c>
      <c r="CM62" s="1">
        <v>21.807600000000001</v>
      </c>
      <c r="CN62" s="1">
        <v>2.6381999999999999</v>
      </c>
      <c r="CO62" s="1">
        <v>10.5327</v>
      </c>
    </row>
    <row r="63" spans="1:93">
      <c r="A63" s="1425">
        <v>45146</v>
      </c>
      <c r="B63" s="20">
        <f t="shared" si="2"/>
        <v>17.970199999999998</v>
      </c>
      <c r="C63" s="20">
        <f t="shared" si="4"/>
        <v>32.8827</v>
      </c>
      <c r="D63" s="20">
        <f t="shared" si="5"/>
        <v>10.857200000000001</v>
      </c>
      <c r="E63" s="20">
        <f t="shared" si="6"/>
        <v>7.4863</v>
      </c>
      <c r="F63" s="20">
        <f t="shared" si="7"/>
        <v>14.7964</v>
      </c>
      <c r="G63" s="20">
        <f t="shared" si="8"/>
        <v>8.9257000000000009</v>
      </c>
      <c r="H63" s="1239">
        <f t="shared" si="9"/>
        <v>10.857200000000001</v>
      </c>
      <c r="I63" s="1243">
        <f t="shared" si="3"/>
        <v>0.65514128873005917</v>
      </c>
      <c r="J63" s="1243">
        <f t="shared" si="10"/>
        <v>0.12093838824177333</v>
      </c>
      <c r="K63" s="1243">
        <f t="shared" si="11"/>
        <v>0.1</v>
      </c>
      <c r="L63" s="203"/>
      <c r="N63" s="1425">
        <v>45146</v>
      </c>
      <c r="O63" s="1502">
        <v>17.970199999999998</v>
      </c>
      <c r="P63" s="1502">
        <v>3.5516999999999999</v>
      </c>
      <c r="Q63" s="1502">
        <v>15.825799999999999</v>
      </c>
      <c r="R63" s="1233">
        <f>'B. PE'!$U$23</f>
        <v>15.978235616082999</v>
      </c>
      <c r="S63" s="1233"/>
      <c r="T63" s="1233"/>
      <c r="V63" s="1425">
        <v>45146</v>
      </c>
      <c r="W63" s="1">
        <v>32.8827</v>
      </c>
      <c r="X63" s="1">
        <v>1.5169999999999999</v>
      </c>
      <c r="Z63" s="1">
        <v>1.19204</v>
      </c>
      <c r="AB63" s="1425">
        <v>45146</v>
      </c>
      <c r="AC63" s="1">
        <v>8.3465000000000007</v>
      </c>
      <c r="AD63" s="1502">
        <v>1.1754</v>
      </c>
      <c r="AE63" s="1">
        <v>5.8071000000000002</v>
      </c>
      <c r="AF63" s="1">
        <v>3.4340000000000002E-2</v>
      </c>
      <c r="AH63" s="1425">
        <v>45146</v>
      </c>
      <c r="AI63" s="1">
        <v>10.857200000000001</v>
      </c>
      <c r="AJ63" s="1">
        <v>1.9059999999999999</v>
      </c>
      <c r="AK63" s="1">
        <v>6.5811000000000002</v>
      </c>
      <c r="AL63" s="1">
        <v>3.4009999999999999E-2</v>
      </c>
      <c r="AN63" s="1425">
        <v>45146</v>
      </c>
      <c r="AO63" s="1">
        <v>7.4863</v>
      </c>
      <c r="AP63" s="1">
        <v>1.1402000000000001</v>
      </c>
      <c r="AQ63" s="1">
        <v>4.8350999999999997</v>
      </c>
      <c r="AR63" s="1">
        <v>0.29857</v>
      </c>
      <c r="AT63" s="1425">
        <v>45146</v>
      </c>
      <c r="AU63" s="1">
        <v>7.1597999999999997</v>
      </c>
      <c r="AX63" s="1">
        <v>0.19758999999999999</v>
      </c>
      <c r="BA63" s="1425">
        <v>45145</v>
      </c>
      <c r="BB63" s="1">
        <v>9.3287999999999993</v>
      </c>
      <c r="BC63" s="1">
        <v>1.6585000000000001</v>
      </c>
      <c r="BD63" s="1">
        <v>9.9117999999999995</v>
      </c>
      <c r="BE63" s="1">
        <v>0.48287999999999998</v>
      </c>
      <c r="BG63" s="1425">
        <v>45145</v>
      </c>
      <c r="BH63" s="1">
        <v>15.0679</v>
      </c>
      <c r="BI63" s="1">
        <v>2.4397000000000002</v>
      </c>
      <c r="BJ63" s="1">
        <v>19.0715</v>
      </c>
      <c r="BT63" s="1425">
        <v>45146</v>
      </c>
      <c r="BU63" s="1">
        <v>50.180300000000003</v>
      </c>
      <c r="BV63" s="1">
        <v>3.3763999999999998</v>
      </c>
      <c r="BW63" s="1">
        <v>12.969799999999999</v>
      </c>
      <c r="BX63" s="1">
        <v>2.2334999999999998</v>
      </c>
      <c r="BZ63" s="1425">
        <v>45146</v>
      </c>
      <c r="CB63" s="1">
        <v>6.2462999999999997</v>
      </c>
      <c r="CC63" s="1">
        <v>32.198900000000002</v>
      </c>
      <c r="CD63" s="1">
        <v>3.3291200000000001</v>
      </c>
      <c r="CF63" s="1425">
        <v>45146</v>
      </c>
      <c r="CG63" s="1">
        <v>10.114100000000001</v>
      </c>
      <c r="CH63" s="1">
        <v>1.3547</v>
      </c>
      <c r="CL63" s="1425">
        <v>45148</v>
      </c>
      <c r="CM63" s="1">
        <v>22.161899999999999</v>
      </c>
      <c r="CN63" s="1">
        <v>2.6810999999999998</v>
      </c>
      <c r="CO63" s="1">
        <v>10.69</v>
      </c>
    </row>
    <row r="64" spans="1:93">
      <c r="A64" s="1425">
        <v>45145</v>
      </c>
      <c r="B64" s="20">
        <f t="shared" si="2"/>
        <v>18.329000000000001</v>
      </c>
      <c r="C64" s="20">
        <f t="shared" si="4"/>
        <v>33.427100000000003</v>
      </c>
      <c r="D64" s="20">
        <f t="shared" si="5"/>
        <v>10.857200000000001</v>
      </c>
      <c r="E64" s="20">
        <f t="shared" si="6"/>
        <v>7.4317000000000002</v>
      </c>
      <c r="F64" s="20">
        <f t="shared" si="7"/>
        <v>15.0679</v>
      </c>
      <c r="G64" s="20">
        <f t="shared" si="8"/>
        <v>9.3287999999999993</v>
      </c>
      <c r="H64" s="1239">
        <f t="shared" si="9"/>
        <v>10.857200000000001</v>
      </c>
      <c r="I64" s="1243">
        <f t="shared" si="3"/>
        <v>0.68818848321850923</v>
      </c>
      <c r="J64" s="1243">
        <f t="shared" si="10"/>
        <v>0.12093838824177333</v>
      </c>
      <c r="K64" s="1243">
        <f t="shared" si="11"/>
        <v>0.1</v>
      </c>
      <c r="L64" s="203"/>
      <c r="N64" s="1425">
        <v>45145</v>
      </c>
      <c r="O64" s="1502">
        <v>18.329000000000001</v>
      </c>
      <c r="P64" s="1502">
        <v>3.6225999999999998</v>
      </c>
      <c r="Q64" s="1502">
        <v>16.105499999999999</v>
      </c>
      <c r="R64" s="1233">
        <f>'B. PE'!$U$23</f>
        <v>15.978235616082999</v>
      </c>
      <c r="S64" s="1233"/>
      <c r="T64" s="1233"/>
      <c r="V64" s="1425">
        <v>45145</v>
      </c>
      <c r="W64" s="1">
        <v>33.427100000000003</v>
      </c>
      <c r="X64" s="1">
        <v>1.5421</v>
      </c>
      <c r="Z64" s="1">
        <v>1.1967300000000001</v>
      </c>
      <c r="AB64" s="1425">
        <v>45145</v>
      </c>
      <c r="AC64" s="1">
        <v>8.8374000000000006</v>
      </c>
      <c r="AD64" s="1502">
        <v>1.2444999999999999</v>
      </c>
      <c r="AE64" s="1">
        <v>5.9859</v>
      </c>
      <c r="AF64" s="1">
        <v>3.465E-2</v>
      </c>
      <c r="AH64" s="1425">
        <v>45145</v>
      </c>
      <c r="AI64" s="1">
        <v>10.857200000000001</v>
      </c>
      <c r="AJ64" s="1">
        <v>1.9059999999999999</v>
      </c>
      <c r="AK64" s="1">
        <v>6.5811000000000002</v>
      </c>
      <c r="AL64" s="1">
        <v>3.3660000000000002E-2</v>
      </c>
      <c r="AN64" s="1425">
        <v>45145</v>
      </c>
      <c r="AO64" s="1">
        <v>7.4317000000000002</v>
      </c>
      <c r="AP64" s="1">
        <v>1.1318999999999999</v>
      </c>
      <c r="AQ64" s="1">
        <v>4.7934999999999999</v>
      </c>
      <c r="AR64" s="1">
        <v>0.29857</v>
      </c>
      <c r="AT64" s="1425">
        <v>45145</v>
      </c>
      <c r="AU64" s="1">
        <v>7.1203000000000003</v>
      </c>
      <c r="AX64" s="1">
        <v>0.19758999999999999</v>
      </c>
      <c r="BA64" s="1425">
        <v>45142</v>
      </c>
      <c r="BB64" s="1">
        <v>9.5591000000000008</v>
      </c>
      <c r="BC64" s="1">
        <v>1.6994</v>
      </c>
      <c r="BD64" s="1">
        <v>10.0571</v>
      </c>
      <c r="BE64" s="1">
        <v>0.48737000000000003</v>
      </c>
      <c r="BG64" s="1425">
        <v>45142</v>
      </c>
      <c r="BH64" s="1">
        <v>15.475099999999999</v>
      </c>
      <c r="BI64" s="1">
        <v>2.5055999999999998</v>
      </c>
      <c r="BJ64" s="1">
        <v>19.392199999999999</v>
      </c>
      <c r="BT64" s="1425">
        <v>45145</v>
      </c>
      <c r="BU64" s="1">
        <v>50.3675</v>
      </c>
      <c r="BV64" s="1">
        <v>3.3889999999999998</v>
      </c>
      <c r="BW64" s="1">
        <v>13.019600000000001</v>
      </c>
      <c r="BX64" s="1">
        <v>2.2187000000000001</v>
      </c>
      <c r="BZ64" s="1425">
        <v>45145</v>
      </c>
      <c r="CB64" s="1">
        <v>6.3963000000000001</v>
      </c>
      <c r="CC64" s="1">
        <v>32.780900000000003</v>
      </c>
      <c r="CD64" s="1">
        <v>3.3258999999999999</v>
      </c>
      <c r="CF64" s="1425">
        <v>45145</v>
      </c>
      <c r="CG64" s="1">
        <v>10.224600000000001</v>
      </c>
      <c r="CH64" s="1">
        <v>1.3694999999999999</v>
      </c>
      <c r="CL64" s="1425">
        <v>45147</v>
      </c>
      <c r="CM64" s="1">
        <v>21.936499999999999</v>
      </c>
      <c r="CN64" s="1">
        <v>2.6537999999999999</v>
      </c>
      <c r="CO64" s="1">
        <v>10.5899</v>
      </c>
    </row>
    <row r="65" spans="1:93">
      <c r="A65" s="1425">
        <v>45142</v>
      </c>
      <c r="B65" s="20">
        <f t="shared" si="2"/>
        <v>18.2638</v>
      </c>
      <c r="C65" s="20">
        <f t="shared" si="4"/>
        <v>33.263800000000003</v>
      </c>
      <c r="D65" s="20">
        <f t="shared" si="5"/>
        <v>10.857200000000001</v>
      </c>
      <c r="E65" s="20">
        <f t="shared" si="6"/>
        <v>7.4317000000000002</v>
      </c>
      <c r="F65" s="20">
        <f t="shared" si="7"/>
        <v>15.475099999999999</v>
      </c>
      <c r="G65" s="20">
        <f t="shared" si="8"/>
        <v>9.5591000000000008</v>
      </c>
      <c r="H65" s="1239">
        <f t="shared" si="9"/>
        <v>10.857200000000001</v>
      </c>
      <c r="I65" s="1243">
        <f t="shared" si="3"/>
        <v>0.68218325166709648</v>
      </c>
      <c r="J65" s="1243">
        <f t="shared" si="10"/>
        <v>0.12093838824177333</v>
      </c>
      <c r="K65" s="1243">
        <f t="shared" si="11"/>
        <v>0.1</v>
      </c>
      <c r="L65" s="203"/>
      <c r="N65" s="1425">
        <v>45142</v>
      </c>
      <c r="O65" s="1502">
        <v>18.2638</v>
      </c>
      <c r="P65" s="1502">
        <v>3.6097000000000001</v>
      </c>
      <c r="Q65" s="1502">
        <v>16.0547</v>
      </c>
      <c r="R65" s="1233">
        <f>'B. PE'!$U$23</f>
        <v>15.978235616082999</v>
      </c>
      <c r="S65" s="1233"/>
      <c r="T65" s="1233"/>
      <c r="V65" s="1425">
        <v>45142</v>
      </c>
      <c r="W65" s="1">
        <v>33.263800000000003</v>
      </c>
      <c r="X65" s="1">
        <v>1.5346</v>
      </c>
      <c r="Z65" s="1">
        <v>1.15073</v>
      </c>
      <c r="AB65" s="1425">
        <v>45142</v>
      </c>
      <c r="AC65" s="1">
        <v>8.5100999999999996</v>
      </c>
      <c r="AD65" s="1502">
        <v>1.1983999999999999</v>
      </c>
      <c r="AE65" s="1">
        <v>5.8666999999999998</v>
      </c>
      <c r="AF65" s="1">
        <v>3.3919999999999999E-2</v>
      </c>
      <c r="AH65" s="1425">
        <v>45142</v>
      </c>
      <c r="AI65" s="1">
        <v>10.857200000000001</v>
      </c>
      <c r="AJ65" s="1">
        <v>1.9059999999999999</v>
      </c>
      <c r="AK65" s="1">
        <v>6.5811000000000002</v>
      </c>
      <c r="AL65" s="1">
        <v>3.3590000000000002E-2</v>
      </c>
      <c r="AN65" s="1425">
        <v>45142</v>
      </c>
      <c r="AO65" s="1">
        <v>7.4317000000000002</v>
      </c>
      <c r="AP65" s="1">
        <v>1.1318999999999999</v>
      </c>
      <c r="AQ65" s="1">
        <v>4.7934999999999999</v>
      </c>
      <c r="AR65" s="1">
        <v>0.29942999999999997</v>
      </c>
      <c r="AT65" s="1425">
        <v>45142</v>
      </c>
      <c r="AU65" s="1">
        <v>7.1203000000000003</v>
      </c>
      <c r="AX65" s="1">
        <v>0.19925000000000001</v>
      </c>
      <c r="BA65" s="1425">
        <v>45141</v>
      </c>
      <c r="BB65" s="1">
        <v>9.6166999999999998</v>
      </c>
      <c r="BC65" s="1">
        <v>1.7096</v>
      </c>
      <c r="BD65" s="1">
        <v>10.093400000000001</v>
      </c>
      <c r="BE65" s="1">
        <v>0.48669000000000001</v>
      </c>
      <c r="BG65" s="1425">
        <v>45141</v>
      </c>
      <c r="BH65" s="1">
        <v>15.610900000000001</v>
      </c>
      <c r="BI65" s="1">
        <v>2.5276000000000001</v>
      </c>
      <c r="BJ65" s="1">
        <v>19.499199999999998</v>
      </c>
      <c r="BT65" s="1425">
        <v>45142</v>
      </c>
      <c r="BU65" s="1">
        <v>49.618600000000001</v>
      </c>
      <c r="BV65" s="1">
        <v>3.3386</v>
      </c>
      <c r="BW65" s="1">
        <v>12.820499999999999</v>
      </c>
      <c r="BX65" s="1">
        <v>2.1779999999999999</v>
      </c>
      <c r="BZ65" s="1425">
        <v>45142</v>
      </c>
      <c r="CB65" s="1">
        <v>6.2384000000000004</v>
      </c>
      <c r="CC65" s="1">
        <v>32.168199999999999</v>
      </c>
      <c r="CD65" s="1">
        <v>3.2185999999999999</v>
      </c>
      <c r="CF65" s="1425">
        <v>45142</v>
      </c>
      <c r="CG65" s="1">
        <v>10.3904</v>
      </c>
      <c r="CH65" s="1">
        <v>1.3916999999999999</v>
      </c>
      <c r="CL65" s="1425">
        <v>45146</v>
      </c>
      <c r="CM65" s="1">
        <v>21.9848</v>
      </c>
      <c r="CN65" s="1">
        <v>2.6596000000000002</v>
      </c>
      <c r="CO65" s="1">
        <v>10.6114</v>
      </c>
    </row>
    <row r="66" spans="1:93">
      <c r="A66" s="1425">
        <v>45141</v>
      </c>
      <c r="B66" s="20">
        <f t="shared" si="2"/>
        <v>18.2638</v>
      </c>
      <c r="C66" s="20">
        <f t="shared" si="4"/>
        <v>33.427100000000003</v>
      </c>
      <c r="D66" s="20">
        <f t="shared" si="5"/>
        <v>10.751799999999999</v>
      </c>
      <c r="E66" s="20">
        <f t="shared" si="6"/>
        <v>7.4317000000000002</v>
      </c>
      <c r="F66" s="20">
        <f t="shared" si="7"/>
        <v>15.610900000000001</v>
      </c>
      <c r="G66" s="20">
        <f t="shared" si="8"/>
        <v>9.6166999999999998</v>
      </c>
      <c r="H66" s="1239">
        <f t="shared" si="9"/>
        <v>10.751799999999999</v>
      </c>
      <c r="I66" s="1243">
        <f t="shared" si="3"/>
        <v>0.69867371044848303</v>
      </c>
      <c r="J66" s="1243">
        <f t="shared" si="10"/>
        <v>0.12093838824177333</v>
      </c>
      <c r="K66" s="1243">
        <f t="shared" si="11"/>
        <v>0.1</v>
      </c>
      <c r="L66" s="203"/>
      <c r="N66" s="1425">
        <v>45141</v>
      </c>
      <c r="O66" s="1502">
        <v>18.2638</v>
      </c>
      <c r="P66" s="1502">
        <v>3.6097000000000001</v>
      </c>
      <c r="Q66" s="1502">
        <v>16.0547</v>
      </c>
      <c r="R66" s="1233">
        <f>'B. PE'!$U$23</f>
        <v>15.978235616082999</v>
      </c>
      <c r="S66" s="1233"/>
      <c r="T66" s="1233"/>
      <c r="V66" s="1425">
        <v>45141</v>
      </c>
      <c r="W66" s="1">
        <v>33.427100000000003</v>
      </c>
      <c r="X66" s="1">
        <v>1.5421</v>
      </c>
      <c r="Z66" s="1">
        <v>1.1354200000000001</v>
      </c>
      <c r="AB66" s="1425">
        <v>45141</v>
      </c>
      <c r="AC66" s="1">
        <v>8.5920000000000005</v>
      </c>
      <c r="AD66" s="1502">
        <v>1.21</v>
      </c>
      <c r="AE66" s="1">
        <v>5.8964999999999996</v>
      </c>
      <c r="AF66" s="1">
        <v>3.3390000000000003E-2</v>
      </c>
      <c r="AH66" s="1425">
        <v>45141</v>
      </c>
      <c r="AI66" s="1">
        <v>10.751799999999999</v>
      </c>
      <c r="AJ66" s="1">
        <v>1.8875</v>
      </c>
      <c r="AK66" s="1">
        <v>6.5258000000000003</v>
      </c>
      <c r="AL66" s="1">
        <v>3.4709999999999998E-2</v>
      </c>
      <c r="AN66" s="1425">
        <v>45141</v>
      </c>
      <c r="AO66" s="1">
        <v>7.4317000000000002</v>
      </c>
      <c r="AP66" s="1">
        <v>1.1318999999999999</v>
      </c>
      <c r="AQ66" s="1">
        <v>4.7934999999999999</v>
      </c>
      <c r="AR66" s="1">
        <v>0.30330000000000001</v>
      </c>
      <c r="AT66" s="1425">
        <v>45141</v>
      </c>
      <c r="AU66" s="1">
        <v>7.1203000000000003</v>
      </c>
      <c r="AX66" s="1">
        <v>0.19925000000000001</v>
      </c>
      <c r="BA66" s="1425">
        <v>45140</v>
      </c>
      <c r="BB66" s="1">
        <v>9.6743000000000006</v>
      </c>
      <c r="BC66" s="1">
        <v>1.7199</v>
      </c>
      <c r="BD66" s="1">
        <v>10.1297</v>
      </c>
      <c r="BE66" s="1">
        <v>0.47904000000000002</v>
      </c>
      <c r="BG66" s="1425">
        <v>45140</v>
      </c>
      <c r="BH66" s="1">
        <v>15.882300000000001</v>
      </c>
      <c r="BI66" s="1">
        <v>2.5714999999999999</v>
      </c>
      <c r="BJ66" s="1">
        <v>19.713000000000001</v>
      </c>
      <c r="BT66" s="1425">
        <v>45141</v>
      </c>
      <c r="BU66" s="1">
        <v>49.337699999999998</v>
      </c>
      <c r="BV66" s="1">
        <v>3.3197000000000001</v>
      </c>
      <c r="BW66" s="1">
        <v>12.745799999999999</v>
      </c>
      <c r="BX66" s="1">
        <v>2.1823999999999999</v>
      </c>
      <c r="BZ66" s="1425">
        <v>45141</v>
      </c>
      <c r="CB66" s="1">
        <v>6.2384000000000004</v>
      </c>
      <c r="CC66" s="1">
        <v>32.168199999999999</v>
      </c>
      <c r="CD66" s="1">
        <v>3.2165499999999998</v>
      </c>
      <c r="CF66" s="1425">
        <v>45141</v>
      </c>
      <c r="CG66" s="1">
        <v>10.4457</v>
      </c>
      <c r="CH66" s="1">
        <v>1.3991</v>
      </c>
      <c r="CL66" s="1425">
        <v>45145</v>
      </c>
      <c r="CM66" s="1">
        <v>22.065300000000001</v>
      </c>
      <c r="CN66" s="1">
        <v>2.6694</v>
      </c>
      <c r="CO66" s="1">
        <v>10.6471</v>
      </c>
    </row>
    <row r="67" spans="1:93">
      <c r="A67" s="1425">
        <v>45140</v>
      </c>
      <c r="B67" s="20">
        <f t="shared" si="2"/>
        <v>17.611499999999999</v>
      </c>
      <c r="C67" s="20">
        <f t="shared" si="4"/>
        <v>32.1205</v>
      </c>
      <c r="D67" s="20">
        <f t="shared" si="5"/>
        <v>10.751799999999999</v>
      </c>
      <c r="E67" s="20">
        <f t="shared" si="6"/>
        <v>7.4317000000000002</v>
      </c>
      <c r="F67" s="20">
        <f t="shared" si="7"/>
        <v>15.882300000000001</v>
      </c>
      <c r="G67" s="20">
        <f t="shared" si="8"/>
        <v>9.6743000000000006</v>
      </c>
      <c r="H67" s="1239">
        <f t="shared" si="9"/>
        <v>10.751799999999999</v>
      </c>
      <c r="I67" s="1243">
        <f t="shared" si="3"/>
        <v>0.63800479919641373</v>
      </c>
      <c r="J67" s="1243">
        <f t="shared" si="10"/>
        <v>0.12093838824177333</v>
      </c>
      <c r="K67" s="1243">
        <f t="shared" si="11"/>
        <v>0.1</v>
      </c>
      <c r="L67" s="203"/>
      <c r="N67" s="1425">
        <v>45140</v>
      </c>
      <c r="O67" s="1502">
        <v>17.611499999999999</v>
      </c>
      <c r="P67" s="1502">
        <v>3.4807999999999999</v>
      </c>
      <c r="Q67" s="1502">
        <v>15.545999999999999</v>
      </c>
      <c r="R67" s="1233">
        <f>'B. PE'!$U$23</f>
        <v>15.978235616082999</v>
      </c>
      <c r="S67" s="1233"/>
      <c r="T67" s="1233"/>
      <c r="V67" s="1425">
        <v>45140</v>
      </c>
      <c r="W67" s="1">
        <v>32.1205</v>
      </c>
      <c r="X67" s="1">
        <v>1.4818</v>
      </c>
      <c r="Z67" s="1">
        <v>1.1667400000000001</v>
      </c>
      <c r="AB67" s="1425">
        <v>45140</v>
      </c>
      <c r="AC67" s="1">
        <v>8.4283000000000001</v>
      </c>
      <c r="AD67" s="1502">
        <v>1.1869000000000001</v>
      </c>
      <c r="AE67" s="1">
        <v>5.8369</v>
      </c>
      <c r="AF67" s="1">
        <v>3.3140000000000003E-2</v>
      </c>
      <c r="AH67" s="1425">
        <v>45140</v>
      </c>
      <c r="AI67" s="1">
        <v>10.751799999999999</v>
      </c>
      <c r="AJ67" s="1">
        <v>1.8875</v>
      </c>
      <c r="AK67" s="1">
        <v>6.5258000000000003</v>
      </c>
      <c r="AL67" s="1">
        <v>3.4139999999999997E-2</v>
      </c>
      <c r="AN67" s="1425">
        <v>45140</v>
      </c>
      <c r="AO67" s="1">
        <v>7.4317000000000002</v>
      </c>
      <c r="AP67" s="1">
        <v>1.1318999999999999</v>
      </c>
      <c r="AQ67" s="1">
        <v>4.7934999999999999</v>
      </c>
      <c r="AR67" s="1">
        <v>0.30175000000000002</v>
      </c>
      <c r="AT67" s="1425">
        <v>45140</v>
      </c>
      <c r="AU67" s="1">
        <v>7.1597999999999997</v>
      </c>
      <c r="AX67" s="1">
        <v>0.19969000000000001</v>
      </c>
      <c r="BA67" s="1425">
        <v>45138</v>
      </c>
      <c r="BB67" s="1">
        <v>9.5591000000000008</v>
      </c>
      <c r="BC67" s="1">
        <v>1.6994</v>
      </c>
      <c r="BD67" s="1">
        <v>10.0571</v>
      </c>
      <c r="BE67" s="1">
        <v>0.48160999999999998</v>
      </c>
      <c r="BG67" s="1425">
        <v>45138</v>
      </c>
      <c r="BH67" s="1">
        <v>16.0181</v>
      </c>
      <c r="BI67" s="1">
        <v>2.5935000000000001</v>
      </c>
      <c r="BJ67" s="1">
        <v>19.819900000000001</v>
      </c>
      <c r="BT67" s="1425">
        <v>45140</v>
      </c>
      <c r="BU67" s="1">
        <v>48.401499999999999</v>
      </c>
      <c r="BV67" s="1">
        <v>3.2566999999999999</v>
      </c>
      <c r="BW67" s="1">
        <v>12.497</v>
      </c>
      <c r="BX67" s="1">
        <v>2.2669000000000001</v>
      </c>
      <c r="BZ67" s="1425">
        <v>45140</v>
      </c>
      <c r="CB67" s="1">
        <v>6.0331000000000001</v>
      </c>
      <c r="CC67" s="1">
        <v>31.3718</v>
      </c>
      <c r="CD67" s="1">
        <v>3.2251300000000001</v>
      </c>
      <c r="CF67" s="1425">
        <v>45140</v>
      </c>
      <c r="CG67" s="1">
        <v>10.3352</v>
      </c>
      <c r="CH67" s="1">
        <v>1.3843000000000001</v>
      </c>
      <c r="CL67" s="1425">
        <v>45142</v>
      </c>
      <c r="CM67" s="1">
        <v>21.904299999999999</v>
      </c>
      <c r="CN67" s="1">
        <v>2.6499000000000001</v>
      </c>
      <c r="CO67" s="1">
        <v>10.5756</v>
      </c>
    </row>
    <row r="68" spans="1:93">
      <c r="A68" s="1425">
        <v>45139</v>
      </c>
      <c r="B68" s="20">
        <f t="shared" si="2"/>
        <v>17.318000000000001</v>
      </c>
      <c r="C68" s="20">
        <f t="shared" si="4"/>
        <v>31.630600000000001</v>
      </c>
      <c r="D68" s="20">
        <f t="shared" si="5"/>
        <v>11.068</v>
      </c>
      <c r="E68" s="20">
        <f t="shared" si="6"/>
        <v>7.4863</v>
      </c>
      <c r="F68" s="20">
        <f t="shared" si="7"/>
        <v>15.882300000000001</v>
      </c>
      <c r="G68" s="20">
        <f t="shared" si="8"/>
        <v>9.6743000000000006</v>
      </c>
      <c r="H68" s="1239">
        <f t="shared" si="9"/>
        <v>11.068</v>
      </c>
      <c r="I68" s="1243">
        <f t="shared" si="3"/>
        <v>0.564691001084207</v>
      </c>
      <c r="J68" s="1243">
        <f t="shared" si="10"/>
        <v>0.12093838824177333</v>
      </c>
      <c r="K68" s="1243">
        <f t="shared" si="11"/>
        <v>0.1</v>
      </c>
      <c r="L68" s="203"/>
      <c r="N68" s="1425">
        <v>45139</v>
      </c>
      <c r="O68" s="1502">
        <v>17.318000000000001</v>
      </c>
      <c r="P68" s="1502">
        <v>3.4228000000000001</v>
      </c>
      <c r="Q68" s="1502">
        <v>15.3171</v>
      </c>
      <c r="R68" s="1233">
        <f>'B. PE'!$U$23</f>
        <v>15.978235616082999</v>
      </c>
      <c r="S68" s="1233"/>
      <c r="T68" s="1233"/>
      <c r="V68" s="1425">
        <v>45139</v>
      </c>
      <c r="W68" s="1">
        <v>31.630600000000001</v>
      </c>
      <c r="X68" s="1">
        <v>1.4592000000000001</v>
      </c>
      <c r="Z68" s="1">
        <v>1.17245</v>
      </c>
      <c r="AB68" s="1425">
        <v>45139</v>
      </c>
      <c r="AC68" s="1">
        <v>8.2645999999999997</v>
      </c>
      <c r="AD68" s="1502">
        <v>1.1638999999999999</v>
      </c>
      <c r="AE68" s="1">
        <v>5.7773000000000003</v>
      </c>
      <c r="AF68" s="1">
        <v>3.2079999999999997E-2</v>
      </c>
      <c r="AH68" s="1425">
        <v>45139</v>
      </c>
      <c r="AI68" s="1">
        <v>11.068</v>
      </c>
      <c r="AJ68" s="1">
        <v>1.9430000000000001</v>
      </c>
      <c r="AK68" s="1">
        <v>6.6917</v>
      </c>
      <c r="AL68" s="1">
        <v>3.5130000000000002E-2</v>
      </c>
      <c r="AN68" s="1425">
        <v>45139</v>
      </c>
      <c r="AO68" s="1">
        <v>7.4863</v>
      </c>
      <c r="AP68" s="1">
        <v>1.1402000000000001</v>
      </c>
      <c r="AQ68" s="1">
        <v>4.8350999999999997</v>
      </c>
      <c r="AR68" s="1">
        <v>0.30082999999999999</v>
      </c>
      <c r="AT68" s="1425">
        <v>45139</v>
      </c>
      <c r="AU68" s="1">
        <v>7.1203000000000003</v>
      </c>
      <c r="AX68" s="1">
        <v>0.19763</v>
      </c>
      <c r="BA68" s="1425">
        <v>45134</v>
      </c>
      <c r="BB68" s="1">
        <v>9.5015000000000001</v>
      </c>
      <c r="BC68" s="1">
        <v>1.6892</v>
      </c>
      <c r="BD68" s="1">
        <v>10.020799999999999</v>
      </c>
      <c r="BE68" s="1">
        <v>0.47950999999999999</v>
      </c>
      <c r="BG68" s="1425">
        <v>45134</v>
      </c>
      <c r="BH68" s="1">
        <v>15.475099999999999</v>
      </c>
      <c r="BI68" s="1">
        <v>2.5055999999999998</v>
      </c>
      <c r="BJ68" s="1">
        <v>19.392199999999999</v>
      </c>
      <c r="BT68" s="1425">
        <v>45139</v>
      </c>
      <c r="BU68" s="1">
        <v>48.401499999999999</v>
      </c>
      <c r="BV68" s="1">
        <v>3.2566999999999999</v>
      </c>
      <c r="BW68" s="1">
        <v>12.497</v>
      </c>
      <c r="BX68" s="1">
        <v>2.3003999999999998</v>
      </c>
      <c r="BZ68" s="1425">
        <v>45139</v>
      </c>
      <c r="CB68" s="1">
        <v>6.0172999999999996</v>
      </c>
      <c r="CC68" s="1">
        <v>31.310600000000001</v>
      </c>
      <c r="CD68" s="1">
        <v>3.30491</v>
      </c>
      <c r="CF68" s="1425">
        <v>45139</v>
      </c>
      <c r="CG68" s="1">
        <v>10.1694</v>
      </c>
      <c r="CH68" s="1">
        <v>1.3621000000000001</v>
      </c>
      <c r="CL68" s="1425">
        <v>45141</v>
      </c>
      <c r="CM68" s="1">
        <v>21.888100000000001</v>
      </c>
      <c r="CN68" s="1">
        <v>2.6478999999999999</v>
      </c>
      <c r="CO68" s="1">
        <v>10.5684</v>
      </c>
    </row>
    <row r="69" spans="1:93">
      <c r="A69" s="1425">
        <v>45138</v>
      </c>
      <c r="B69" s="20">
        <f t="shared" ref="B69:B132" si="12">O69</f>
        <v>17.644100000000002</v>
      </c>
      <c r="C69" s="20">
        <f t="shared" si="4"/>
        <v>32.501600000000003</v>
      </c>
      <c r="D69" s="20">
        <f t="shared" si="5"/>
        <v>10.857200000000001</v>
      </c>
      <c r="E69" s="20">
        <f t="shared" si="6"/>
        <v>7.4317000000000002</v>
      </c>
      <c r="F69" s="20">
        <f t="shared" si="7"/>
        <v>16.0181</v>
      </c>
      <c r="G69" s="20">
        <f t="shared" si="8"/>
        <v>9.5591000000000008</v>
      </c>
      <c r="H69" s="1239">
        <f t="shared" si="9"/>
        <v>10.857200000000001</v>
      </c>
      <c r="I69" s="1243">
        <f t="shared" ref="I69:I132" si="13">B69/H69-1</f>
        <v>0.62510592049515545</v>
      </c>
      <c r="J69" s="1243">
        <f t="shared" si="10"/>
        <v>0.12093838824177333</v>
      </c>
      <c r="K69" s="1243">
        <f t="shared" si="11"/>
        <v>0.1</v>
      </c>
      <c r="L69" s="203"/>
      <c r="N69" s="1425">
        <v>45138</v>
      </c>
      <c r="O69" s="1502">
        <v>17.644100000000002</v>
      </c>
      <c r="P69" s="1502">
        <v>3.4872000000000001</v>
      </c>
      <c r="Q69" s="1502">
        <v>15.5715</v>
      </c>
      <c r="R69" s="1233">
        <f>'B. PE'!$U$23</f>
        <v>15.978235616082999</v>
      </c>
      <c r="S69" s="1233"/>
      <c r="T69" s="1233"/>
      <c r="V69" s="1425">
        <v>45138</v>
      </c>
      <c r="W69" s="1">
        <v>32.501600000000003</v>
      </c>
      <c r="X69" s="1">
        <v>1.4994000000000001</v>
      </c>
      <c r="Z69" s="1">
        <v>1.1579900000000001</v>
      </c>
      <c r="AB69" s="1425">
        <v>45138</v>
      </c>
      <c r="AC69" s="1">
        <v>8.1828000000000003</v>
      </c>
      <c r="AD69" s="1502">
        <v>1.1523000000000001</v>
      </c>
      <c r="AE69" s="1">
        <v>5.7474999999999996</v>
      </c>
      <c r="AF69" s="1">
        <v>3.1809999999999998E-2</v>
      </c>
      <c r="AH69" s="1425">
        <v>45138</v>
      </c>
      <c r="AI69" s="1">
        <v>10.857200000000001</v>
      </c>
      <c r="AJ69" s="1">
        <v>1.9059999999999999</v>
      </c>
      <c r="AK69" s="1">
        <v>6.5811000000000002</v>
      </c>
      <c r="AL69" s="1">
        <v>3.56E-2</v>
      </c>
      <c r="AN69" s="1425">
        <v>45138</v>
      </c>
      <c r="AO69" s="1">
        <v>7.4317000000000002</v>
      </c>
      <c r="AP69" s="1">
        <v>1.1318999999999999</v>
      </c>
      <c r="AQ69" s="1">
        <v>4.7934999999999999</v>
      </c>
      <c r="AR69" s="1">
        <v>0.30282999999999999</v>
      </c>
      <c r="AT69" s="1425">
        <v>45138</v>
      </c>
      <c r="AU69" s="1">
        <v>7.1203000000000003</v>
      </c>
      <c r="AX69" s="1">
        <v>0.19783000000000001</v>
      </c>
      <c r="BA69" s="1425">
        <v>45133</v>
      </c>
      <c r="BB69" s="1">
        <v>9.5015000000000001</v>
      </c>
      <c r="BC69" s="1">
        <v>1.6892</v>
      </c>
      <c r="BD69" s="1">
        <v>10.020799999999999</v>
      </c>
      <c r="BE69" s="1">
        <v>0.48155999999999999</v>
      </c>
      <c r="BG69" s="1425">
        <v>45133</v>
      </c>
      <c r="BH69" s="1">
        <v>15.746600000000001</v>
      </c>
      <c r="BI69" s="1">
        <v>2.5495000000000001</v>
      </c>
      <c r="BJ69" s="1">
        <v>19.606100000000001</v>
      </c>
      <c r="BT69" s="1425">
        <v>45138</v>
      </c>
      <c r="BU69" s="1">
        <v>50.273899999999998</v>
      </c>
      <c r="BV69" s="1">
        <v>3.3826999999999998</v>
      </c>
      <c r="BW69" s="1">
        <v>12.9947</v>
      </c>
      <c r="BX69" s="1">
        <v>2.2858000000000001</v>
      </c>
      <c r="BZ69" s="1425">
        <v>45138</v>
      </c>
      <c r="CB69" s="1">
        <v>6.0331000000000001</v>
      </c>
      <c r="CC69" s="1">
        <v>31.3718</v>
      </c>
      <c r="CD69" s="1">
        <v>3.2955899999999998</v>
      </c>
      <c r="CF69" s="1425">
        <v>45138</v>
      </c>
      <c r="CG69" s="1">
        <v>10.3352</v>
      </c>
      <c r="CH69" s="1">
        <v>1.3843000000000001</v>
      </c>
      <c r="CL69" s="1425">
        <v>45140</v>
      </c>
      <c r="CM69" s="1">
        <v>22.113600000000002</v>
      </c>
      <c r="CN69" s="1">
        <v>2.6751999999999998</v>
      </c>
      <c r="CO69" s="1">
        <v>10.6686</v>
      </c>
    </row>
    <row r="70" spans="1:93">
      <c r="A70" s="1425">
        <v>45135</v>
      </c>
      <c r="B70" s="20">
        <f t="shared" si="12"/>
        <v>17.448399999999999</v>
      </c>
      <c r="C70" s="20">
        <f t="shared" ref="C70:C133" si="14">IF(W70=0,W69,W70)</f>
        <v>32.664999999999999</v>
      </c>
      <c r="D70" s="20">
        <f t="shared" ref="D70:D133" si="15">IFERROR(          IF(VLOOKUP(A70,$AH$5:$AI$1301,2,)=0,D69,VLOOKUP(A70,$AH$5:$AI$1301,2,)),D69)</f>
        <v>11.173400000000001</v>
      </c>
      <c r="E70" s="20">
        <f t="shared" ref="E70:E133" si="16">IFERROR(IF(VLOOKUP(A70,$AN$5:$AO$1301,2,)=0, E69, VLOOKUP(A70,$AN$5:$AO$1301,2,)),E69)</f>
        <v>7.4863</v>
      </c>
      <c r="F70" s="20">
        <f t="shared" ref="F70:F133" si="17">IFERROR(IF(VLOOKUP(A70,$BG$5:$BH$1301,2,)=0,F69,VLOOKUP(A70,$BG$5:$BH$1301,2,)),F69)</f>
        <v>16.0181</v>
      </c>
      <c r="G70" s="20">
        <f t="shared" ref="G70:G133" si="18">IFERROR(IF(VLOOKUP(A70,$BA$5:$BB$1301,2,)=0,G69,VLOOKUP(A70,$BA$5:$BB$1301,2,)),G69)</f>
        <v>9.5591000000000008</v>
      </c>
      <c r="H70" s="1239">
        <f t="shared" ref="H70:H133" si="19">MEDIAN(C70:G70)</f>
        <v>11.173400000000001</v>
      </c>
      <c r="I70" s="1243">
        <f t="shared" si="13"/>
        <v>0.56160166108794085</v>
      </c>
      <c r="J70" s="1243">
        <f t="shared" ref="J70:J133" si="20">$I$3</f>
        <v>0.12093838824177333</v>
      </c>
      <c r="K70" s="1243">
        <f t="shared" si="11"/>
        <v>0.1</v>
      </c>
      <c r="L70" s="203"/>
      <c r="N70" s="1425">
        <v>45135</v>
      </c>
      <c r="O70" s="1502">
        <v>17.448399999999999</v>
      </c>
      <c r="P70" s="1502">
        <v>3.4485000000000001</v>
      </c>
      <c r="Q70" s="1502">
        <v>15.418900000000001</v>
      </c>
      <c r="R70" s="1233">
        <f>'B. PE'!$U$23</f>
        <v>15.978235616082999</v>
      </c>
      <c r="S70" s="1233"/>
      <c r="T70" s="1233"/>
      <c r="V70" s="1425">
        <v>45135</v>
      </c>
      <c r="W70" s="1">
        <v>32.664999999999999</v>
      </c>
      <c r="X70" s="1">
        <v>1.5069999999999999</v>
      </c>
      <c r="Z70" s="1">
        <v>1.16171</v>
      </c>
      <c r="AB70" s="1425">
        <v>45135</v>
      </c>
      <c r="AC70" s="1">
        <v>7.9210000000000003</v>
      </c>
      <c r="AD70" s="1502">
        <v>1.1154999999999999</v>
      </c>
      <c r="AE70" s="1">
        <v>5.6520999999999999</v>
      </c>
      <c r="AF70" s="1">
        <v>3.1800000000000002E-2</v>
      </c>
      <c r="AH70" s="1425">
        <v>45135</v>
      </c>
      <c r="AI70" s="1">
        <v>11.173400000000001</v>
      </c>
      <c r="AJ70" s="1">
        <v>1.9615</v>
      </c>
      <c r="AK70" s="1">
        <v>6.7469999999999999</v>
      </c>
      <c r="AL70" s="1">
        <v>3.5920000000000001E-2</v>
      </c>
      <c r="AN70" s="1425">
        <v>45135</v>
      </c>
      <c r="AO70" s="1">
        <v>7.4863</v>
      </c>
      <c r="AP70" s="1">
        <v>1.1402000000000001</v>
      </c>
      <c r="AQ70" s="1">
        <v>4.8350999999999997</v>
      </c>
      <c r="AR70" s="1">
        <v>0.30123</v>
      </c>
      <c r="AT70" s="1425">
        <v>45135</v>
      </c>
      <c r="AU70" s="1">
        <v>7.1203000000000003</v>
      </c>
      <c r="AX70" s="1">
        <v>0.19789000000000001</v>
      </c>
      <c r="BA70" s="1425">
        <v>45132</v>
      </c>
      <c r="BB70" s="1">
        <v>9.5015000000000001</v>
      </c>
      <c r="BC70" s="1">
        <v>1.6892</v>
      </c>
      <c r="BD70" s="1">
        <v>10.020799999999999</v>
      </c>
      <c r="BE70" s="1">
        <v>0.49064999999999998</v>
      </c>
      <c r="BG70" s="1425">
        <v>45132</v>
      </c>
      <c r="BH70" s="1">
        <v>15.882300000000001</v>
      </c>
      <c r="BI70" s="1">
        <v>2.5714999999999999</v>
      </c>
      <c r="BJ70" s="1">
        <v>19.713000000000001</v>
      </c>
      <c r="BT70" s="1425">
        <v>45135</v>
      </c>
      <c r="BU70" s="1">
        <v>51.0229</v>
      </c>
      <c r="BV70" s="1">
        <v>3.4331</v>
      </c>
      <c r="BW70" s="1">
        <v>13.1938</v>
      </c>
      <c r="BX70" s="1">
        <v>2.222</v>
      </c>
      <c r="BZ70" s="1425">
        <v>45135</v>
      </c>
      <c r="CB70" s="1">
        <v>6.1830999999999996</v>
      </c>
      <c r="CC70" s="1">
        <v>31.953800000000001</v>
      </c>
      <c r="CD70" s="1">
        <v>3.2316699999999998</v>
      </c>
      <c r="CF70" s="1425">
        <v>45135</v>
      </c>
      <c r="CG70" s="1">
        <v>10.4457</v>
      </c>
      <c r="CH70" s="1">
        <v>1.3991</v>
      </c>
      <c r="CL70" s="1425">
        <v>45138</v>
      </c>
      <c r="CM70" s="1">
        <v>22.629000000000001</v>
      </c>
      <c r="CN70" s="1">
        <v>2.7376</v>
      </c>
      <c r="CO70" s="1">
        <v>10.897399999999999</v>
      </c>
    </row>
    <row r="71" spans="1:93">
      <c r="A71" s="1425">
        <v>45134</v>
      </c>
      <c r="B71" s="20">
        <f t="shared" si="12"/>
        <v>17.644100000000002</v>
      </c>
      <c r="C71" s="20">
        <f t="shared" si="14"/>
        <v>32.229399999999998</v>
      </c>
      <c r="D71" s="20">
        <f t="shared" si="15"/>
        <v>11.2789</v>
      </c>
      <c r="E71" s="20">
        <f t="shared" si="16"/>
        <v>7.4863</v>
      </c>
      <c r="F71" s="20">
        <f t="shared" si="17"/>
        <v>15.475099999999999</v>
      </c>
      <c r="G71" s="20">
        <f t="shared" si="18"/>
        <v>9.5015000000000001</v>
      </c>
      <c r="H71" s="1239">
        <f t="shared" si="19"/>
        <v>11.2789</v>
      </c>
      <c r="I71" s="1243">
        <f t="shared" si="13"/>
        <v>0.56434581386482741</v>
      </c>
      <c r="J71" s="1243">
        <f t="shared" si="20"/>
        <v>0.12093838824177333</v>
      </c>
      <c r="K71" s="1243">
        <f t="shared" ref="K71:K134" si="21">K70</f>
        <v>0.1</v>
      </c>
      <c r="L71" s="203"/>
      <c r="N71" s="1425">
        <v>45134</v>
      </c>
      <c r="O71" s="1502">
        <v>17.644100000000002</v>
      </c>
      <c r="P71" s="1502">
        <v>3.4872000000000001</v>
      </c>
      <c r="Q71" s="1502">
        <v>15.5715</v>
      </c>
      <c r="R71" s="1233">
        <f>'B. PE'!$U$23</f>
        <v>15.978235616082999</v>
      </c>
      <c r="S71" s="1233"/>
      <c r="T71" s="1233"/>
      <c r="V71" s="1425">
        <v>45134</v>
      </c>
      <c r="W71" s="1">
        <v>32.229399999999998</v>
      </c>
      <c r="X71" s="1">
        <v>1.4869000000000001</v>
      </c>
      <c r="Z71" s="1">
        <v>1.1619600000000001</v>
      </c>
      <c r="AB71" s="1425">
        <v>45134</v>
      </c>
      <c r="AC71" s="1">
        <v>7.8228</v>
      </c>
      <c r="AD71" s="1502">
        <v>1.1015999999999999</v>
      </c>
      <c r="AE71" s="1">
        <v>5.6162999999999998</v>
      </c>
      <c r="AF71" s="1">
        <v>3.184E-2</v>
      </c>
      <c r="AH71" s="1425">
        <v>45134</v>
      </c>
      <c r="AI71" s="1">
        <v>11.2789</v>
      </c>
      <c r="AJ71" s="1">
        <v>1.98</v>
      </c>
      <c r="AK71" s="1">
        <v>6.8022999999999998</v>
      </c>
      <c r="AL71" s="1">
        <v>3.5970000000000002E-2</v>
      </c>
      <c r="AN71" s="1425">
        <v>45134</v>
      </c>
      <c r="AO71" s="1">
        <v>7.4863</v>
      </c>
      <c r="AP71" s="1">
        <v>1.1402000000000001</v>
      </c>
      <c r="AQ71" s="1">
        <v>4.8350999999999997</v>
      </c>
      <c r="AR71" s="1">
        <v>0.30018</v>
      </c>
      <c r="AT71" s="1425">
        <v>45134</v>
      </c>
      <c r="AU71" s="1">
        <v>7.0807000000000002</v>
      </c>
      <c r="AX71" s="1">
        <v>0.20705999999999999</v>
      </c>
      <c r="BA71" s="1425">
        <v>45131</v>
      </c>
      <c r="BB71" s="1">
        <v>9.5591000000000008</v>
      </c>
      <c r="BC71" s="1">
        <v>1.6994</v>
      </c>
      <c r="BD71" s="1">
        <v>10.0571</v>
      </c>
      <c r="BE71" s="1">
        <v>0.47903000000000001</v>
      </c>
      <c r="BG71" s="1425">
        <v>45131</v>
      </c>
      <c r="BH71" s="1">
        <v>16.0181</v>
      </c>
      <c r="BI71" s="1">
        <v>2.5935000000000001</v>
      </c>
      <c r="BJ71" s="1">
        <v>19.819900000000001</v>
      </c>
      <c r="BT71" s="1425">
        <v>45134</v>
      </c>
      <c r="BU71" s="1">
        <v>50.648400000000002</v>
      </c>
      <c r="BV71" s="1">
        <v>3.4079000000000002</v>
      </c>
      <c r="BW71" s="1">
        <v>13.094200000000001</v>
      </c>
      <c r="BX71" s="1">
        <v>2.2648000000000001</v>
      </c>
      <c r="BZ71" s="1425">
        <v>45134</v>
      </c>
      <c r="CB71" s="1">
        <v>6.1593999999999998</v>
      </c>
      <c r="CC71" s="1">
        <v>31.861899999999999</v>
      </c>
      <c r="CD71" s="1">
        <v>3.2408000000000001</v>
      </c>
      <c r="CF71" s="1425">
        <v>45134</v>
      </c>
      <c r="CG71" s="1">
        <v>10.3904</v>
      </c>
      <c r="CH71" s="1">
        <v>1.3916999999999999</v>
      </c>
      <c r="CL71" s="1425">
        <v>45135</v>
      </c>
      <c r="CM71" s="1">
        <v>22.934999999999999</v>
      </c>
      <c r="CN71" s="1">
        <v>2.7746</v>
      </c>
      <c r="CO71" s="1">
        <v>11.033300000000001</v>
      </c>
    </row>
    <row r="72" spans="1:93">
      <c r="A72" s="1425">
        <v>45133</v>
      </c>
      <c r="B72" s="20">
        <f t="shared" si="12"/>
        <v>17.089700000000001</v>
      </c>
      <c r="C72" s="20">
        <f t="shared" si="14"/>
        <v>32.338299999999997</v>
      </c>
      <c r="D72" s="20">
        <f t="shared" si="15"/>
        <v>11.3843</v>
      </c>
      <c r="E72" s="20">
        <f t="shared" si="16"/>
        <v>7.4863</v>
      </c>
      <c r="F72" s="20">
        <f t="shared" si="17"/>
        <v>15.746600000000001</v>
      </c>
      <c r="G72" s="20">
        <f t="shared" si="18"/>
        <v>9.5015000000000001</v>
      </c>
      <c r="H72" s="1239">
        <f t="shared" si="19"/>
        <v>11.3843</v>
      </c>
      <c r="I72" s="1243">
        <f t="shared" si="13"/>
        <v>0.5011638835940726</v>
      </c>
      <c r="J72" s="1243">
        <f t="shared" si="20"/>
        <v>0.12093838824177333</v>
      </c>
      <c r="K72" s="1243">
        <f t="shared" si="21"/>
        <v>0.1</v>
      </c>
      <c r="L72" s="203"/>
      <c r="N72" s="1425">
        <v>45133</v>
      </c>
      <c r="O72" s="1502">
        <v>17.089700000000001</v>
      </c>
      <c r="P72" s="1502">
        <v>3.3776000000000002</v>
      </c>
      <c r="Q72" s="1502">
        <v>15.139099999999999</v>
      </c>
      <c r="R72" s="1233">
        <f>'B. PE'!$U$23</f>
        <v>15.978235616082999</v>
      </c>
      <c r="S72" s="1233"/>
      <c r="T72" s="1233"/>
      <c r="V72" s="1425">
        <v>45133</v>
      </c>
      <c r="W72" s="1">
        <v>32.338299999999997</v>
      </c>
      <c r="X72" s="1">
        <v>1.4919</v>
      </c>
      <c r="Z72" s="1">
        <v>1.18513</v>
      </c>
      <c r="AB72" s="1425">
        <v>45133</v>
      </c>
      <c r="AC72" s="1">
        <v>7.8228</v>
      </c>
      <c r="AD72" s="1502">
        <v>1.1015999999999999</v>
      </c>
      <c r="AE72" s="1">
        <v>5.6162999999999998</v>
      </c>
      <c r="AF72" s="1">
        <v>3.2370000000000003E-2</v>
      </c>
      <c r="AH72" s="1425">
        <v>45133</v>
      </c>
      <c r="AI72" s="1">
        <v>11.3843</v>
      </c>
      <c r="AJ72" s="1">
        <v>1.9984999999999999</v>
      </c>
      <c r="AK72" s="1">
        <v>6.8575999999999997</v>
      </c>
      <c r="AL72" s="1">
        <v>3.6299999999999999E-2</v>
      </c>
      <c r="AN72" s="1425">
        <v>45133</v>
      </c>
      <c r="AO72" s="1">
        <v>7.4863</v>
      </c>
      <c r="AP72" s="1">
        <v>1.1402000000000001</v>
      </c>
      <c r="AQ72" s="1">
        <v>4.8350999999999997</v>
      </c>
      <c r="AR72" s="1">
        <v>0.29109000000000002</v>
      </c>
      <c r="AT72" s="1425">
        <v>45133</v>
      </c>
      <c r="AU72" s="1">
        <v>7.1203000000000003</v>
      </c>
      <c r="AX72" s="1">
        <v>0.20244999999999999</v>
      </c>
      <c r="BA72" s="1425">
        <v>45128</v>
      </c>
      <c r="BB72" s="1">
        <v>9.7318999999999996</v>
      </c>
      <c r="BC72" s="1">
        <v>1.7301</v>
      </c>
      <c r="BD72" s="1">
        <v>10.1661</v>
      </c>
      <c r="BE72" s="1">
        <v>0.50205999999999995</v>
      </c>
      <c r="BG72" s="1425">
        <v>45128</v>
      </c>
      <c r="BH72" s="1">
        <v>16.1538</v>
      </c>
      <c r="BI72" s="1">
        <v>2.6154999999999999</v>
      </c>
      <c r="BJ72" s="1">
        <v>19.9268</v>
      </c>
      <c r="BT72" s="1425">
        <v>45133</v>
      </c>
      <c r="BU72" s="1">
        <v>49.244100000000003</v>
      </c>
      <c r="BV72" s="1">
        <v>3.3134000000000001</v>
      </c>
      <c r="BW72" s="1">
        <v>12.721</v>
      </c>
      <c r="BX72" s="1">
        <v>2.3022</v>
      </c>
      <c r="BZ72" s="1425">
        <v>45133</v>
      </c>
      <c r="CB72" s="1">
        <v>6.0410000000000004</v>
      </c>
      <c r="CC72" s="1">
        <v>31.4024</v>
      </c>
      <c r="CD72" s="1">
        <v>3.25265</v>
      </c>
      <c r="CF72" s="1425">
        <v>45133</v>
      </c>
      <c r="CG72" s="1">
        <v>10.3904</v>
      </c>
      <c r="CH72" s="1">
        <v>1.3916999999999999</v>
      </c>
      <c r="CL72" s="1425">
        <v>45134</v>
      </c>
      <c r="CM72" s="1">
        <v>22.822299999999998</v>
      </c>
      <c r="CN72" s="1">
        <v>2.7608999999999999</v>
      </c>
      <c r="CO72" s="1">
        <v>10.9833</v>
      </c>
    </row>
    <row r="73" spans="1:93">
      <c r="A73" s="1425">
        <v>45132</v>
      </c>
      <c r="B73" s="20">
        <f t="shared" si="12"/>
        <v>17.448399999999999</v>
      </c>
      <c r="C73" s="20">
        <f t="shared" si="14"/>
        <v>32.338299999999997</v>
      </c>
      <c r="D73" s="20">
        <f t="shared" si="15"/>
        <v>11.3843</v>
      </c>
      <c r="E73" s="20">
        <f t="shared" si="16"/>
        <v>7.4863</v>
      </c>
      <c r="F73" s="20">
        <f t="shared" si="17"/>
        <v>15.882300000000001</v>
      </c>
      <c r="G73" s="20">
        <f t="shared" si="18"/>
        <v>9.5015000000000001</v>
      </c>
      <c r="H73" s="1239">
        <f t="shared" si="19"/>
        <v>11.3843</v>
      </c>
      <c r="I73" s="1243">
        <f t="shared" si="13"/>
        <v>0.53267218889171919</v>
      </c>
      <c r="J73" s="1243">
        <f t="shared" si="20"/>
        <v>0.12093838824177333</v>
      </c>
      <c r="K73" s="1243">
        <f t="shared" si="21"/>
        <v>0.1</v>
      </c>
      <c r="L73" s="203"/>
      <c r="N73" s="1425">
        <v>45132</v>
      </c>
      <c r="O73" s="1502">
        <v>17.448399999999999</v>
      </c>
      <c r="P73" s="1502">
        <v>3.4485000000000001</v>
      </c>
      <c r="Q73" s="1502">
        <v>15.418900000000001</v>
      </c>
      <c r="R73" s="1233">
        <f>'B. PE'!$U$23</f>
        <v>15.978235616082999</v>
      </c>
      <c r="S73" s="1233"/>
      <c r="T73" s="1233"/>
      <c r="V73" s="1425">
        <v>45132</v>
      </c>
      <c r="W73" s="1">
        <v>32.338299999999997</v>
      </c>
      <c r="X73" s="1">
        <v>1.4919</v>
      </c>
      <c r="Z73" s="1">
        <v>1.18573</v>
      </c>
      <c r="AB73" s="1425">
        <v>45132</v>
      </c>
      <c r="AC73" s="1">
        <v>7.8228</v>
      </c>
      <c r="AD73" s="1502">
        <v>1.1015999999999999</v>
      </c>
      <c r="AE73" s="1">
        <v>5.6162999999999998</v>
      </c>
      <c r="AF73" s="1">
        <v>3.1940000000000003E-2</v>
      </c>
      <c r="AH73" s="1425">
        <v>45132</v>
      </c>
      <c r="AI73" s="1">
        <v>11.3843</v>
      </c>
      <c r="AJ73" s="1">
        <v>1.9984999999999999</v>
      </c>
      <c r="AK73" s="1">
        <v>6.8575999999999997</v>
      </c>
      <c r="AL73" s="1">
        <v>3.6269999999999997E-2</v>
      </c>
      <c r="AN73" s="1425">
        <v>45132</v>
      </c>
      <c r="AO73" s="1">
        <v>7.4863</v>
      </c>
      <c r="AP73" s="1">
        <v>1.1402000000000001</v>
      </c>
      <c r="AQ73" s="1">
        <v>4.8350999999999997</v>
      </c>
      <c r="AR73" s="1">
        <v>0.29818</v>
      </c>
      <c r="AT73" s="1425">
        <v>45132</v>
      </c>
      <c r="AU73" s="1">
        <v>7.4763000000000002</v>
      </c>
      <c r="AX73" s="1">
        <v>0.19952</v>
      </c>
      <c r="BA73" s="1425">
        <v>45127</v>
      </c>
      <c r="BB73" s="1">
        <v>9.4438999999999993</v>
      </c>
      <c r="BC73" s="1">
        <v>1.6789000000000001</v>
      </c>
      <c r="BD73" s="1">
        <v>9.9844000000000008</v>
      </c>
      <c r="BE73" s="1">
        <v>0.49263000000000001</v>
      </c>
      <c r="BG73" s="1425">
        <v>45127</v>
      </c>
      <c r="BH73" s="1">
        <v>16.0181</v>
      </c>
      <c r="BI73" s="1">
        <v>2.5935000000000001</v>
      </c>
      <c r="BJ73" s="1">
        <v>19.819900000000001</v>
      </c>
      <c r="BT73" s="1425">
        <v>45132</v>
      </c>
      <c r="BU73" s="1">
        <v>50.180300000000003</v>
      </c>
      <c r="BV73" s="1">
        <v>3.3763999999999998</v>
      </c>
      <c r="BW73" s="1">
        <v>12.969799999999999</v>
      </c>
      <c r="BX73" s="1">
        <v>2.2187999999999999</v>
      </c>
      <c r="BZ73" s="1425">
        <v>45132</v>
      </c>
      <c r="CB73" s="1">
        <v>6.0567000000000002</v>
      </c>
      <c r="CC73" s="1">
        <v>31.463699999999999</v>
      </c>
      <c r="CD73" s="1">
        <v>3.26275</v>
      </c>
      <c r="CF73" s="1425">
        <v>45132</v>
      </c>
      <c r="CG73" s="1">
        <v>10.4457</v>
      </c>
      <c r="CH73" s="1">
        <v>1.3991</v>
      </c>
      <c r="CL73" s="1425">
        <v>45133</v>
      </c>
      <c r="CM73" s="1">
        <v>22.629000000000001</v>
      </c>
      <c r="CN73" s="1">
        <v>2.7376</v>
      </c>
      <c r="CO73" s="1">
        <v>10.897399999999999</v>
      </c>
    </row>
    <row r="74" spans="1:93">
      <c r="A74" s="1425">
        <v>45131</v>
      </c>
      <c r="B74" s="20">
        <f t="shared" si="12"/>
        <v>17.7746</v>
      </c>
      <c r="C74" s="20">
        <f t="shared" si="14"/>
        <v>32.991599999999998</v>
      </c>
      <c r="D74" s="20">
        <f t="shared" si="15"/>
        <v>11.489699999999999</v>
      </c>
      <c r="E74" s="20">
        <f t="shared" si="16"/>
        <v>7.2678000000000003</v>
      </c>
      <c r="F74" s="20">
        <f t="shared" si="17"/>
        <v>16.0181</v>
      </c>
      <c r="G74" s="20">
        <f t="shared" si="18"/>
        <v>9.5591000000000008</v>
      </c>
      <c r="H74" s="1239">
        <f t="shared" si="19"/>
        <v>11.489699999999999</v>
      </c>
      <c r="I74" s="1243">
        <f t="shared" si="13"/>
        <v>0.54700296787557567</v>
      </c>
      <c r="J74" s="1243">
        <f t="shared" si="20"/>
        <v>0.12093838824177333</v>
      </c>
      <c r="K74" s="1243">
        <f t="shared" si="21"/>
        <v>0.1</v>
      </c>
      <c r="L74" s="203"/>
      <c r="N74" s="1425">
        <v>45131</v>
      </c>
      <c r="O74" s="1502">
        <v>17.7746</v>
      </c>
      <c r="P74" s="1502">
        <v>3.5129999999999999</v>
      </c>
      <c r="Q74" s="1502">
        <v>15.6732</v>
      </c>
      <c r="R74" s="1233">
        <f>'B. PE'!$U$23</f>
        <v>15.978235616082999</v>
      </c>
      <c r="S74" s="1233"/>
      <c r="T74" s="1233"/>
      <c r="V74" s="1425">
        <v>45131</v>
      </c>
      <c r="W74" s="1">
        <v>32.991599999999998</v>
      </c>
      <c r="X74" s="1">
        <v>1.522</v>
      </c>
      <c r="Z74" s="1">
        <v>1.1529100000000001</v>
      </c>
      <c r="AB74" s="1425">
        <v>45131</v>
      </c>
      <c r="AC74" s="1">
        <v>7.9537000000000004</v>
      </c>
      <c r="AD74" s="1502">
        <v>1.1201000000000001</v>
      </c>
      <c r="AE74" s="1">
        <v>5.6639999999999997</v>
      </c>
      <c r="AF74" s="1">
        <v>3.1559999999999998E-2</v>
      </c>
      <c r="AH74" s="1425">
        <v>45131</v>
      </c>
      <c r="AI74" s="1">
        <v>11.489699999999999</v>
      </c>
      <c r="AJ74" s="1">
        <v>2.0169999999999999</v>
      </c>
      <c r="AK74" s="1">
        <v>6.9128999999999996</v>
      </c>
      <c r="AL74" s="1">
        <v>3.6949999999999997E-2</v>
      </c>
      <c r="AN74" s="1425">
        <v>45131</v>
      </c>
      <c r="AO74" s="1">
        <v>7.2678000000000003</v>
      </c>
      <c r="AP74" s="1">
        <v>1.1069</v>
      </c>
      <c r="AQ74" s="1">
        <v>4.6685999999999996</v>
      </c>
      <c r="AR74" s="1">
        <v>0.29923</v>
      </c>
      <c r="AT74" s="1425">
        <v>45131</v>
      </c>
      <c r="AU74" s="1">
        <v>7.3179999999999996</v>
      </c>
      <c r="AX74" s="1">
        <v>0.20022000000000001</v>
      </c>
      <c r="BA74" s="1425">
        <v>45126</v>
      </c>
      <c r="BB74" s="1">
        <v>9.8469999999999995</v>
      </c>
      <c r="BC74" s="1">
        <v>1.7505999999999999</v>
      </c>
      <c r="BD74" s="1">
        <v>10.2387</v>
      </c>
      <c r="BE74" s="1">
        <v>0.49168000000000001</v>
      </c>
      <c r="BG74" s="1425">
        <v>45126</v>
      </c>
      <c r="BH74" s="1">
        <v>16.2896</v>
      </c>
      <c r="BI74" s="1">
        <v>2.6375000000000002</v>
      </c>
      <c r="BJ74" s="1">
        <v>20.0337</v>
      </c>
      <c r="BT74" s="1425">
        <v>45131</v>
      </c>
      <c r="BU74" s="1">
        <v>51.0229</v>
      </c>
      <c r="BV74" s="1">
        <v>3.4331</v>
      </c>
      <c r="BW74" s="1">
        <v>13.1938</v>
      </c>
      <c r="BX74" s="1">
        <v>2.0758999999999999</v>
      </c>
      <c r="BZ74" s="1425">
        <v>45131</v>
      </c>
      <c r="CB74" s="1">
        <v>6.0804</v>
      </c>
      <c r="CC74" s="1">
        <v>31.555599999999998</v>
      </c>
      <c r="CD74" s="1">
        <v>3.2343999999999999</v>
      </c>
      <c r="CF74" s="1425">
        <v>45131</v>
      </c>
      <c r="CG74" s="1">
        <v>10.500999999999999</v>
      </c>
      <c r="CH74" s="1">
        <v>1.4065000000000001</v>
      </c>
      <c r="CL74" s="1425">
        <v>45132</v>
      </c>
      <c r="CM74" s="1">
        <v>22.645099999999999</v>
      </c>
      <c r="CN74" s="1">
        <v>2.7395</v>
      </c>
      <c r="CO74" s="1">
        <v>10.9046</v>
      </c>
    </row>
    <row r="75" spans="1:93">
      <c r="A75" s="1425">
        <v>45128</v>
      </c>
      <c r="B75" s="20">
        <f t="shared" si="12"/>
        <v>17.905000000000001</v>
      </c>
      <c r="C75" s="20">
        <f t="shared" si="14"/>
        <v>32.991599999999998</v>
      </c>
      <c r="D75" s="20">
        <f t="shared" si="15"/>
        <v>11.489699999999999</v>
      </c>
      <c r="E75" s="20">
        <f t="shared" si="16"/>
        <v>7.4317000000000002</v>
      </c>
      <c r="F75" s="20">
        <f t="shared" si="17"/>
        <v>16.1538</v>
      </c>
      <c r="G75" s="20">
        <f t="shared" si="18"/>
        <v>9.7318999999999996</v>
      </c>
      <c r="H75" s="1239">
        <f t="shared" si="19"/>
        <v>11.489699999999999</v>
      </c>
      <c r="I75" s="1243">
        <f t="shared" si="13"/>
        <v>0.55835226333150589</v>
      </c>
      <c r="J75" s="1243">
        <f t="shared" si="20"/>
        <v>0.12093838824177333</v>
      </c>
      <c r="K75" s="1243">
        <f t="shared" si="21"/>
        <v>0.1</v>
      </c>
      <c r="L75" s="203"/>
      <c r="N75" s="1425">
        <v>45128</v>
      </c>
      <c r="O75" s="1502">
        <v>17.905000000000001</v>
      </c>
      <c r="P75" s="1502">
        <v>3.5388000000000002</v>
      </c>
      <c r="Q75" s="1502">
        <v>15.774900000000001</v>
      </c>
      <c r="R75" s="1233">
        <f>'B. PE'!$U$23</f>
        <v>15.978235616082999</v>
      </c>
      <c r="S75" s="1233"/>
      <c r="T75" s="1233"/>
      <c r="V75" s="1425">
        <v>45128</v>
      </c>
      <c r="W75" s="1">
        <v>32.991599999999998</v>
      </c>
      <c r="X75" s="1">
        <v>1.522</v>
      </c>
      <c r="Z75" s="1">
        <v>1.1317999999999999</v>
      </c>
      <c r="AB75" s="1425">
        <v>45128</v>
      </c>
      <c r="AC75" s="1">
        <v>7.8555000000000001</v>
      </c>
      <c r="AD75" s="1502">
        <v>1.1063000000000001</v>
      </c>
      <c r="AE75" s="1">
        <v>5.6283000000000003</v>
      </c>
      <c r="AF75" s="1">
        <v>3.1600000000000003E-2</v>
      </c>
      <c r="AH75" s="1425">
        <v>45128</v>
      </c>
      <c r="AI75" s="1">
        <v>11.489699999999999</v>
      </c>
      <c r="AJ75" s="1">
        <v>2.0169999999999999</v>
      </c>
      <c r="AK75" s="1">
        <v>6.9128999999999996</v>
      </c>
      <c r="AL75" s="1">
        <v>3.6339999999999997E-2</v>
      </c>
      <c r="AN75" s="1425">
        <v>45128</v>
      </c>
      <c r="AO75" s="1">
        <v>7.4317000000000002</v>
      </c>
      <c r="AP75" s="1">
        <v>1.1318999999999999</v>
      </c>
      <c r="AQ75" s="1">
        <v>4.7934999999999999</v>
      </c>
      <c r="AR75" s="1">
        <v>0.29955999999999999</v>
      </c>
      <c r="AT75" s="1425">
        <v>45128</v>
      </c>
      <c r="AU75" s="1">
        <v>7.1993999999999998</v>
      </c>
      <c r="AX75" s="1">
        <v>0.20044000000000001</v>
      </c>
      <c r="BA75" s="1425">
        <v>45125</v>
      </c>
      <c r="BB75" s="1">
        <v>9.6743000000000006</v>
      </c>
      <c r="BC75" s="1">
        <v>1.7199</v>
      </c>
      <c r="BD75" s="1">
        <v>10.1297</v>
      </c>
      <c r="BE75" s="1">
        <v>0.48182000000000003</v>
      </c>
      <c r="BG75" s="1425">
        <v>45125</v>
      </c>
      <c r="BH75" s="1">
        <v>16.5611</v>
      </c>
      <c r="BI75" s="1">
        <v>2.6814</v>
      </c>
      <c r="BJ75" s="1">
        <v>20.247499999999999</v>
      </c>
      <c r="BT75" s="1425">
        <v>45128</v>
      </c>
      <c r="BU75" s="1">
        <v>49.150500000000001</v>
      </c>
      <c r="BV75" s="1">
        <v>3.3071000000000002</v>
      </c>
      <c r="BW75" s="1">
        <v>12.696099999999999</v>
      </c>
      <c r="BX75" s="1">
        <v>2.0512999999999999</v>
      </c>
      <c r="BZ75" s="1425">
        <v>45128</v>
      </c>
      <c r="CB75" s="1">
        <v>6.0961999999999996</v>
      </c>
      <c r="CC75" s="1">
        <v>31.616900000000001</v>
      </c>
      <c r="CD75" s="1">
        <v>3.25678</v>
      </c>
      <c r="CF75" s="1425">
        <v>45128</v>
      </c>
      <c r="CG75" s="1">
        <v>10.500999999999999</v>
      </c>
      <c r="CH75" s="1">
        <v>1.4065000000000001</v>
      </c>
      <c r="CL75" s="1425">
        <v>45131</v>
      </c>
      <c r="CM75" s="1">
        <v>22.339099999999998</v>
      </c>
      <c r="CN75" s="1">
        <v>2.7025000000000001</v>
      </c>
      <c r="CO75" s="1">
        <v>10.768700000000001</v>
      </c>
    </row>
    <row r="76" spans="1:93">
      <c r="A76" s="1425">
        <v>45127</v>
      </c>
      <c r="B76" s="20">
        <f t="shared" si="12"/>
        <v>16.763500000000001</v>
      </c>
      <c r="C76" s="20">
        <f t="shared" si="14"/>
        <v>32.066099999999999</v>
      </c>
      <c r="D76" s="20">
        <f t="shared" si="15"/>
        <v>11.7005</v>
      </c>
      <c r="E76" s="20">
        <f t="shared" si="16"/>
        <v>7.4317000000000002</v>
      </c>
      <c r="F76" s="20">
        <f t="shared" si="17"/>
        <v>16.0181</v>
      </c>
      <c r="G76" s="20">
        <f t="shared" si="18"/>
        <v>9.4438999999999993</v>
      </c>
      <c r="H76" s="1239">
        <f t="shared" si="19"/>
        <v>11.7005</v>
      </c>
      <c r="I76" s="1243">
        <f t="shared" si="13"/>
        <v>0.43271655057476188</v>
      </c>
      <c r="J76" s="1243">
        <f t="shared" si="20"/>
        <v>0.12093838824177333</v>
      </c>
      <c r="K76" s="1243">
        <f t="shared" si="21"/>
        <v>0.1</v>
      </c>
      <c r="L76" s="203"/>
      <c r="N76" s="1425">
        <v>45127</v>
      </c>
      <c r="O76" s="1502">
        <v>16.763500000000001</v>
      </c>
      <c r="P76" s="1502">
        <v>3.3132000000000001</v>
      </c>
      <c r="Q76" s="1502">
        <v>14.8848</v>
      </c>
      <c r="R76" s="1233">
        <f>'B. PE'!$U$23</f>
        <v>15.978235616082999</v>
      </c>
      <c r="S76" s="1233"/>
      <c r="T76" s="1233"/>
      <c r="V76" s="1425">
        <v>45127</v>
      </c>
      <c r="W76" s="1">
        <v>32.066099999999999</v>
      </c>
      <c r="X76" s="1">
        <v>1.4793000000000001</v>
      </c>
      <c r="Z76" s="1">
        <v>1.1493800000000001</v>
      </c>
      <c r="AB76" s="1425">
        <v>45127</v>
      </c>
      <c r="AC76" s="1">
        <v>7.7572999999999999</v>
      </c>
      <c r="AD76" s="1502">
        <v>1.0924</v>
      </c>
      <c r="AE76" s="1">
        <v>5.5925000000000002</v>
      </c>
      <c r="AF76" s="1">
        <v>3.202E-2</v>
      </c>
      <c r="AH76" s="1425">
        <v>45127</v>
      </c>
      <c r="AI76" s="1">
        <v>11.7005</v>
      </c>
      <c r="AJ76" s="1">
        <v>2.0539999999999998</v>
      </c>
      <c r="AK76" s="1">
        <v>7.0236000000000001</v>
      </c>
      <c r="AL76" s="1">
        <v>3.669E-2</v>
      </c>
      <c r="AN76" s="1425">
        <v>45127</v>
      </c>
      <c r="AO76" s="1">
        <v>7.4317000000000002</v>
      </c>
      <c r="AP76" s="1">
        <v>1.1318999999999999</v>
      </c>
      <c r="AQ76" s="1">
        <v>4.7934999999999999</v>
      </c>
      <c r="AR76" s="1">
        <v>0.29981999999999998</v>
      </c>
      <c r="AT76" s="1425">
        <v>45127</v>
      </c>
      <c r="AU76" s="1">
        <v>7.1993999999999998</v>
      </c>
      <c r="AX76" s="1">
        <v>0.20172000000000001</v>
      </c>
      <c r="BA76" s="1425">
        <v>45124</v>
      </c>
      <c r="BB76" s="1">
        <v>9.7895000000000003</v>
      </c>
      <c r="BC76" s="1">
        <v>1.7403999999999999</v>
      </c>
      <c r="BD76" s="1">
        <v>10.202400000000001</v>
      </c>
      <c r="BE76" s="1">
        <v>0.46887000000000001</v>
      </c>
      <c r="BG76" s="1425">
        <v>45124</v>
      </c>
      <c r="BH76" s="1">
        <v>16.6968</v>
      </c>
      <c r="BI76" s="1">
        <v>2.7033999999999998</v>
      </c>
      <c r="BJ76" s="1">
        <v>20.354500000000002</v>
      </c>
      <c r="BT76" s="1425">
        <v>45127</v>
      </c>
      <c r="BU76" s="1">
        <v>45.967399999999998</v>
      </c>
      <c r="BV76" s="1">
        <v>3.0929000000000002</v>
      </c>
      <c r="BW76" s="1">
        <v>11.8499</v>
      </c>
      <c r="BX76" s="1">
        <v>2.0322</v>
      </c>
      <c r="BZ76" s="1425">
        <v>45127</v>
      </c>
      <c r="CB76" s="1">
        <v>6.0410000000000004</v>
      </c>
      <c r="CC76" s="1">
        <v>31.4024</v>
      </c>
      <c r="CD76" s="1">
        <v>3.2989299999999999</v>
      </c>
      <c r="CF76" s="1425">
        <v>45127</v>
      </c>
      <c r="CG76" s="1">
        <v>10.6668</v>
      </c>
      <c r="CH76" s="1">
        <v>1.4287000000000001</v>
      </c>
      <c r="CL76" s="1425">
        <v>45128</v>
      </c>
      <c r="CM76" s="1">
        <v>21.662700000000001</v>
      </c>
      <c r="CN76" s="1">
        <v>2.6206999999999998</v>
      </c>
      <c r="CO76" s="1">
        <v>10.468299999999999</v>
      </c>
    </row>
    <row r="77" spans="1:93">
      <c r="A77" s="1425">
        <v>45126</v>
      </c>
      <c r="B77" s="20">
        <f t="shared" si="12"/>
        <v>16.094899999999999</v>
      </c>
      <c r="C77" s="20">
        <f t="shared" si="14"/>
        <v>31.467199999999998</v>
      </c>
      <c r="D77" s="20">
        <f t="shared" si="15"/>
        <v>11.7005</v>
      </c>
      <c r="E77" s="20">
        <f t="shared" si="16"/>
        <v>7.4317000000000002</v>
      </c>
      <c r="F77" s="20">
        <f t="shared" si="17"/>
        <v>16.2896</v>
      </c>
      <c r="G77" s="20">
        <f t="shared" si="18"/>
        <v>9.8469999999999995</v>
      </c>
      <c r="H77" s="1239">
        <f t="shared" si="19"/>
        <v>11.7005</v>
      </c>
      <c r="I77" s="1243">
        <f t="shared" si="13"/>
        <v>0.3755736934319045</v>
      </c>
      <c r="J77" s="1243">
        <f t="shared" si="20"/>
        <v>0.12093838824177333</v>
      </c>
      <c r="K77" s="1243">
        <f t="shared" si="21"/>
        <v>0.1</v>
      </c>
      <c r="L77" s="203"/>
      <c r="N77" s="1425">
        <v>45126</v>
      </c>
      <c r="O77" s="1502">
        <v>16.094899999999999</v>
      </c>
      <c r="P77" s="1502">
        <v>3.181</v>
      </c>
      <c r="Q77" s="1502">
        <v>14.3634</v>
      </c>
      <c r="R77" s="1233">
        <f>'B. PE'!$U$23</f>
        <v>15.978235616082999</v>
      </c>
      <c r="S77" s="1233"/>
      <c r="T77" s="1233"/>
      <c r="V77" s="1425">
        <v>45126</v>
      </c>
      <c r="W77" s="1">
        <v>31.467199999999998</v>
      </c>
      <c r="X77" s="1">
        <v>1.4517</v>
      </c>
      <c r="Z77" s="1">
        <v>1.1593199999999999</v>
      </c>
      <c r="AB77" s="1425">
        <v>45125</v>
      </c>
      <c r="AC77" s="1">
        <v>7.7572999999999999</v>
      </c>
      <c r="AD77" s="1502">
        <v>1.0924</v>
      </c>
      <c r="AE77" s="1">
        <v>5.5925000000000002</v>
      </c>
      <c r="AF77" s="1">
        <v>3.193E-2</v>
      </c>
      <c r="AH77" s="1425">
        <v>45125</v>
      </c>
      <c r="AI77" s="1">
        <v>11.489699999999999</v>
      </c>
      <c r="AJ77" s="1">
        <v>2.0169999999999999</v>
      </c>
      <c r="AK77" s="1">
        <v>6.9128999999999996</v>
      </c>
      <c r="AL77" s="1">
        <v>3.6409999999999998E-2</v>
      </c>
      <c r="AN77" s="1425">
        <v>45125</v>
      </c>
      <c r="AO77" s="1">
        <v>7.4317000000000002</v>
      </c>
      <c r="AP77" s="1">
        <v>1.1318999999999999</v>
      </c>
      <c r="AQ77" s="1">
        <v>4.7934999999999999</v>
      </c>
      <c r="AR77" s="1">
        <v>0.30038999999999999</v>
      </c>
      <c r="AT77" s="1425">
        <v>45125</v>
      </c>
      <c r="AU77" s="1">
        <v>7.1993999999999998</v>
      </c>
      <c r="AX77" s="1">
        <v>0.19989000000000001</v>
      </c>
      <c r="BA77" s="1425">
        <v>45121</v>
      </c>
      <c r="BB77" s="1">
        <v>9.6166999999999998</v>
      </c>
      <c r="BC77" s="1">
        <v>1.7096</v>
      </c>
      <c r="BD77" s="1">
        <v>10.093400000000001</v>
      </c>
      <c r="BE77" s="1">
        <v>0.47328999999999999</v>
      </c>
      <c r="BG77" s="1425">
        <v>45121</v>
      </c>
      <c r="BH77" s="1">
        <v>16.0181</v>
      </c>
      <c r="BI77" s="1">
        <v>2.5935000000000001</v>
      </c>
      <c r="BJ77" s="1">
        <v>19.819900000000001</v>
      </c>
      <c r="BT77" s="1425">
        <v>45126</v>
      </c>
      <c r="BU77" s="1">
        <v>45.405700000000003</v>
      </c>
      <c r="BV77" s="1">
        <v>3.0550999999999999</v>
      </c>
      <c r="BW77" s="1">
        <v>11.7043</v>
      </c>
      <c r="BX77" s="1">
        <v>2.0579000000000001</v>
      </c>
      <c r="BZ77" s="1425">
        <v>45126</v>
      </c>
      <c r="CB77" s="1">
        <v>6.0804</v>
      </c>
      <c r="CC77" s="1">
        <v>31.555599999999998</v>
      </c>
      <c r="CD77" s="1">
        <v>3.3543400000000001</v>
      </c>
      <c r="CF77" s="1425">
        <v>45126</v>
      </c>
      <c r="CG77" s="1">
        <v>10.5563</v>
      </c>
      <c r="CH77" s="1">
        <v>1.4138999999999999</v>
      </c>
      <c r="CL77" s="1425">
        <v>45127</v>
      </c>
      <c r="CM77" s="1">
        <v>21.9526</v>
      </c>
      <c r="CN77" s="1">
        <v>2.6556999999999999</v>
      </c>
      <c r="CO77" s="1">
        <v>10.597</v>
      </c>
    </row>
    <row r="78" spans="1:93">
      <c r="A78" s="1425">
        <v>45125</v>
      </c>
      <c r="B78" s="20">
        <f t="shared" si="12"/>
        <v>15.9808</v>
      </c>
      <c r="C78" s="20">
        <f t="shared" si="14"/>
        <v>31.9572</v>
      </c>
      <c r="D78" s="20">
        <f t="shared" si="15"/>
        <v>11.489699999999999</v>
      </c>
      <c r="E78" s="20">
        <f t="shared" si="16"/>
        <v>7.4317000000000002</v>
      </c>
      <c r="F78" s="20">
        <f t="shared" si="17"/>
        <v>16.5611</v>
      </c>
      <c r="G78" s="20">
        <f t="shared" si="18"/>
        <v>9.6743000000000006</v>
      </c>
      <c r="H78" s="1239">
        <f t="shared" si="19"/>
        <v>11.489699999999999</v>
      </c>
      <c r="I78" s="1243">
        <f t="shared" si="13"/>
        <v>0.39088052777705262</v>
      </c>
      <c r="J78" s="1243">
        <f t="shared" si="20"/>
        <v>0.12093838824177333</v>
      </c>
      <c r="K78" s="1243">
        <f t="shared" si="21"/>
        <v>0.1</v>
      </c>
      <c r="L78" s="203"/>
      <c r="N78" s="1425">
        <v>45125</v>
      </c>
      <c r="O78" s="1502">
        <v>15.9808</v>
      </c>
      <c r="P78" s="1502">
        <v>3.1585000000000001</v>
      </c>
      <c r="Q78" s="1502">
        <v>14.2744</v>
      </c>
      <c r="R78" s="1233">
        <f>'B. PE'!$U$23</f>
        <v>15.978235616082999</v>
      </c>
      <c r="S78" s="1233"/>
      <c r="T78" s="1233"/>
      <c r="V78" s="1425">
        <v>45125</v>
      </c>
      <c r="W78" s="1">
        <v>31.9572</v>
      </c>
      <c r="X78" s="1">
        <v>1.4742999999999999</v>
      </c>
      <c r="Z78" s="1">
        <v>1.15516</v>
      </c>
      <c r="AB78" s="1425">
        <v>45124</v>
      </c>
      <c r="AC78" s="1">
        <v>7.8555000000000001</v>
      </c>
      <c r="AD78" s="1502">
        <v>1.1063000000000001</v>
      </c>
      <c r="AE78" s="1">
        <v>5.6283000000000003</v>
      </c>
      <c r="AF78" s="1">
        <v>3.1820000000000001E-2</v>
      </c>
      <c r="AH78" s="1425">
        <v>45124</v>
      </c>
      <c r="AI78" s="1">
        <v>11.5951</v>
      </c>
      <c r="AJ78" s="1">
        <v>2.0354999999999999</v>
      </c>
      <c r="AK78" s="1">
        <v>6.9683000000000002</v>
      </c>
      <c r="AL78" s="1">
        <v>3.5099999999999999E-2</v>
      </c>
      <c r="AN78" s="1425">
        <v>45124</v>
      </c>
      <c r="AO78" s="1">
        <v>7.4317000000000002</v>
      </c>
      <c r="AP78" s="1">
        <v>1.1318999999999999</v>
      </c>
      <c r="AQ78" s="1">
        <v>4.7934999999999999</v>
      </c>
      <c r="AR78" s="1">
        <v>0.29654999999999998</v>
      </c>
      <c r="AT78" s="1425">
        <v>45124</v>
      </c>
      <c r="AU78" s="1">
        <v>7.2389000000000001</v>
      </c>
      <c r="AX78" s="1">
        <v>0.19625000000000001</v>
      </c>
      <c r="BA78" s="1425">
        <v>45120</v>
      </c>
      <c r="BB78" s="1">
        <v>9.3287999999999993</v>
      </c>
      <c r="BC78" s="1">
        <v>1.6585000000000001</v>
      </c>
      <c r="BD78" s="1">
        <v>9.9117999999999995</v>
      </c>
      <c r="BE78" s="1">
        <v>0.47417999999999999</v>
      </c>
      <c r="BG78" s="1425">
        <v>45120</v>
      </c>
      <c r="BH78" s="1">
        <v>15.882300000000001</v>
      </c>
      <c r="BI78" s="1">
        <v>2.5714999999999999</v>
      </c>
      <c r="BJ78" s="1">
        <v>19.713000000000001</v>
      </c>
      <c r="BT78" s="1425">
        <v>45125</v>
      </c>
      <c r="BU78" s="1">
        <v>44.984400000000001</v>
      </c>
      <c r="BV78" s="1">
        <v>3.0268000000000002</v>
      </c>
      <c r="BW78" s="1">
        <v>11.5923</v>
      </c>
      <c r="BX78" s="1">
        <v>2.0912999999999999</v>
      </c>
      <c r="BZ78" s="1425">
        <v>45125</v>
      </c>
      <c r="CB78" s="1">
        <v>6.1593999999999998</v>
      </c>
      <c r="CC78" s="1">
        <v>31.861899999999999</v>
      </c>
      <c r="CD78" s="1">
        <v>3.2648199999999998</v>
      </c>
      <c r="CF78" s="1425">
        <v>45125</v>
      </c>
      <c r="CG78" s="1">
        <v>10.832599999999999</v>
      </c>
      <c r="CH78" s="1">
        <v>1.4509000000000001</v>
      </c>
      <c r="CL78" s="1425">
        <v>45126</v>
      </c>
      <c r="CM78" s="1">
        <v>21.8398</v>
      </c>
      <c r="CN78" s="1">
        <v>2.6421000000000001</v>
      </c>
      <c r="CO78" s="1">
        <v>10.547000000000001</v>
      </c>
    </row>
    <row r="79" spans="1:93">
      <c r="A79" s="1425">
        <v>45124</v>
      </c>
      <c r="B79" s="20">
        <f t="shared" si="12"/>
        <v>16.094899999999999</v>
      </c>
      <c r="C79" s="20">
        <f t="shared" si="14"/>
        <v>32.229399999999998</v>
      </c>
      <c r="D79" s="20">
        <f t="shared" si="15"/>
        <v>11.5951</v>
      </c>
      <c r="E79" s="20">
        <f t="shared" si="16"/>
        <v>7.4317000000000002</v>
      </c>
      <c r="F79" s="20">
        <f t="shared" si="17"/>
        <v>16.6968</v>
      </c>
      <c r="G79" s="20">
        <f t="shared" si="18"/>
        <v>9.7895000000000003</v>
      </c>
      <c r="H79" s="1239">
        <f t="shared" si="19"/>
        <v>11.5951</v>
      </c>
      <c r="I79" s="1243">
        <f t="shared" si="13"/>
        <v>0.38807772248622241</v>
      </c>
      <c r="J79" s="1243">
        <f t="shared" si="20"/>
        <v>0.12093838824177333</v>
      </c>
      <c r="K79" s="1243">
        <f t="shared" si="21"/>
        <v>0.1</v>
      </c>
      <c r="L79" s="203"/>
      <c r="N79" s="1425">
        <v>45124</v>
      </c>
      <c r="O79" s="1502">
        <v>16.094899999999999</v>
      </c>
      <c r="P79" s="1502">
        <v>3.181</v>
      </c>
      <c r="Q79" s="1502">
        <v>14.3634</v>
      </c>
      <c r="R79" s="1233">
        <f>'B. PE'!$U$23</f>
        <v>15.978235616082999</v>
      </c>
      <c r="S79" s="1233"/>
      <c r="T79" s="1233"/>
      <c r="V79" s="1425">
        <v>45124</v>
      </c>
      <c r="W79" s="1">
        <v>32.229399999999998</v>
      </c>
      <c r="X79" s="1">
        <v>1.4869000000000001</v>
      </c>
      <c r="Z79" s="1">
        <v>1.16577</v>
      </c>
      <c r="AB79" s="1425">
        <v>45121</v>
      </c>
      <c r="AC79" s="1">
        <v>7.8228</v>
      </c>
      <c r="AD79" s="1502">
        <v>1.1015999999999999</v>
      </c>
      <c r="AE79" s="1">
        <v>5.6162999999999998</v>
      </c>
      <c r="AF79" s="1">
        <v>3.2149999999999998E-2</v>
      </c>
      <c r="AH79" s="1425">
        <v>45121</v>
      </c>
      <c r="AI79" s="1">
        <v>11.489699999999999</v>
      </c>
      <c r="AJ79" s="1">
        <v>2.0169999999999999</v>
      </c>
      <c r="AK79" s="1">
        <v>6.9128999999999996</v>
      </c>
      <c r="AL79" s="1">
        <v>3.517E-2</v>
      </c>
      <c r="AN79" s="1425">
        <v>45121</v>
      </c>
      <c r="AO79" s="1">
        <v>7.4317000000000002</v>
      </c>
      <c r="AP79" s="1">
        <v>1.1318999999999999</v>
      </c>
      <c r="AQ79" s="1">
        <v>4.7934999999999999</v>
      </c>
      <c r="AR79" s="1">
        <v>0.29455999999999999</v>
      </c>
      <c r="AT79" s="1425">
        <v>45121</v>
      </c>
      <c r="AU79" s="1">
        <v>7.1597999999999997</v>
      </c>
      <c r="AX79" s="1">
        <v>0.19350999999999999</v>
      </c>
      <c r="BA79" s="1425">
        <v>45119</v>
      </c>
      <c r="BB79" s="1">
        <v>9.4438999999999993</v>
      </c>
      <c r="BC79" s="1">
        <v>1.6789000000000001</v>
      </c>
      <c r="BD79" s="1">
        <v>9.9844000000000008</v>
      </c>
      <c r="BE79" s="1">
        <v>0.46995999999999999</v>
      </c>
      <c r="BG79" s="1425">
        <v>45119</v>
      </c>
      <c r="BH79" s="1">
        <v>15.882300000000001</v>
      </c>
      <c r="BI79" s="1">
        <v>2.5714999999999999</v>
      </c>
      <c r="BJ79" s="1">
        <v>19.713000000000001</v>
      </c>
      <c r="BT79" s="1425">
        <v>45124</v>
      </c>
      <c r="BU79" s="1">
        <v>45.546100000000003</v>
      </c>
      <c r="BV79" s="1">
        <v>3.0646</v>
      </c>
      <c r="BW79" s="1">
        <v>11.7417</v>
      </c>
      <c r="BX79" s="1">
        <v>2.085</v>
      </c>
      <c r="BZ79" s="1425">
        <v>45124</v>
      </c>
      <c r="CB79" s="1">
        <v>6.2621000000000002</v>
      </c>
      <c r="CC79" s="1">
        <v>32.260100000000001</v>
      </c>
      <c r="CD79" s="1">
        <v>3.2278500000000001</v>
      </c>
      <c r="CF79" s="1425">
        <v>45124</v>
      </c>
      <c r="CG79" s="1">
        <v>10.722099999999999</v>
      </c>
      <c r="CH79" s="1">
        <v>1.4360999999999999</v>
      </c>
      <c r="CL79" s="1425">
        <v>45125</v>
      </c>
      <c r="CM79" s="1">
        <v>22.226400000000002</v>
      </c>
      <c r="CN79" s="1">
        <v>2.6888999999999998</v>
      </c>
      <c r="CO79" s="1">
        <v>10.7186</v>
      </c>
    </row>
    <row r="80" spans="1:93">
      <c r="A80" s="1425">
        <v>45121</v>
      </c>
      <c r="B80" s="20">
        <f t="shared" si="12"/>
        <v>16.306899999999999</v>
      </c>
      <c r="C80" s="20">
        <f t="shared" si="14"/>
        <v>32.1205</v>
      </c>
      <c r="D80" s="20">
        <f t="shared" si="15"/>
        <v>11.489699999999999</v>
      </c>
      <c r="E80" s="20">
        <f t="shared" si="16"/>
        <v>7.4317000000000002</v>
      </c>
      <c r="F80" s="20">
        <f t="shared" si="17"/>
        <v>16.0181</v>
      </c>
      <c r="G80" s="20">
        <f t="shared" si="18"/>
        <v>9.6166999999999998</v>
      </c>
      <c r="H80" s="1239">
        <f t="shared" si="19"/>
        <v>11.489699999999999</v>
      </c>
      <c r="I80" s="1243">
        <f t="shared" si="13"/>
        <v>0.41926246986431326</v>
      </c>
      <c r="J80" s="1243">
        <f t="shared" si="20"/>
        <v>0.12093838824177333</v>
      </c>
      <c r="K80" s="1243">
        <f t="shared" si="21"/>
        <v>0.1</v>
      </c>
      <c r="L80" s="203"/>
      <c r="N80" s="1425">
        <v>45121</v>
      </c>
      <c r="O80" s="1502">
        <v>16.306899999999999</v>
      </c>
      <c r="P80" s="1502">
        <v>3.2229000000000001</v>
      </c>
      <c r="Q80" s="1502">
        <v>14.528700000000001</v>
      </c>
      <c r="R80" s="1233">
        <f>'B. PE'!$U$23</f>
        <v>15.978235616082999</v>
      </c>
      <c r="S80" s="1233"/>
      <c r="T80" s="1233"/>
      <c r="V80" s="1425">
        <v>45121</v>
      </c>
      <c r="W80" s="1">
        <v>32.1205</v>
      </c>
      <c r="X80" s="1">
        <v>1.4818</v>
      </c>
      <c r="Z80" s="1">
        <v>1.1557900000000001</v>
      </c>
      <c r="AB80" s="1425">
        <v>45120</v>
      </c>
      <c r="AC80" s="1">
        <v>7.79</v>
      </c>
      <c r="AD80" s="1502">
        <v>1.097</v>
      </c>
      <c r="AE80" s="1">
        <v>5.6044</v>
      </c>
      <c r="AF80" s="1">
        <v>3.1949999999999999E-2</v>
      </c>
      <c r="AH80" s="1425">
        <v>45120</v>
      </c>
      <c r="AI80" s="1">
        <v>11.068</v>
      </c>
      <c r="AJ80" s="1">
        <v>1.9430000000000001</v>
      </c>
      <c r="AK80" s="1">
        <v>6.6917</v>
      </c>
      <c r="AL80" s="1">
        <v>3.465E-2</v>
      </c>
      <c r="AN80" s="1425">
        <v>45120</v>
      </c>
      <c r="AO80" s="1">
        <v>7.4317000000000002</v>
      </c>
      <c r="AP80" s="1">
        <v>1.1318999999999999</v>
      </c>
      <c r="AQ80" s="1">
        <v>4.7934999999999999</v>
      </c>
      <c r="AR80" s="1">
        <v>0.28332000000000002</v>
      </c>
      <c r="AT80" s="1425">
        <v>45120</v>
      </c>
      <c r="AU80" s="1">
        <v>7.1203000000000003</v>
      </c>
      <c r="AX80" s="1">
        <v>0.19531999999999999</v>
      </c>
      <c r="BA80" s="1425">
        <v>45118</v>
      </c>
      <c r="BB80" s="1">
        <v>9.5015000000000001</v>
      </c>
      <c r="BC80" s="1">
        <v>1.6892</v>
      </c>
      <c r="BD80" s="1">
        <v>10.020799999999999</v>
      </c>
      <c r="BE80" s="1">
        <v>0.47288000000000002</v>
      </c>
      <c r="BG80" s="1425">
        <v>45118</v>
      </c>
      <c r="BH80" s="1">
        <v>16.4253</v>
      </c>
      <c r="BI80" s="1">
        <v>2.6594000000000002</v>
      </c>
      <c r="BJ80" s="1">
        <v>20.140599999999999</v>
      </c>
      <c r="BT80" s="1425">
        <v>45121</v>
      </c>
      <c r="BU80" s="1">
        <v>46.295099999999998</v>
      </c>
      <c r="BV80" s="1">
        <v>3.1149</v>
      </c>
      <c r="BW80" s="1">
        <v>11.940799999999999</v>
      </c>
      <c r="BX80" s="1">
        <v>2.0762</v>
      </c>
      <c r="BZ80" s="1425">
        <v>45121</v>
      </c>
      <c r="CB80" s="1">
        <v>6.0961999999999996</v>
      </c>
      <c r="CC80" s="1">
        <v>31.616900000000001</v>
      </c>
      <c r="CD80" s="1">
        <v>3.21041</v>
      </c>
      <c r="CF80" s="1425">
        <v>45121</v>
      </c>
      <c r="CG80" s="1">
        <v>10.943099999999999</v>
      </c>
      <c r="CH80" s="1">
        <v>1.4657</v>
      </c>
      <c r="CL80" s="1425">
        <v>45124</v>
      </c>
      <c r="CM80" s="1">
        <v>20.8735</v>
      </c>
      <c r="CN80" s="1">
        <v>2.5251999999999999</v>
      </c>
      <c r="CO80" s="1">
        <v>10.117800000000001</v>
      </c>
    </row>
    <row r="81" spans="1:93">
      <c r="A81" s="1425">
        <v>45120</v>
      </c>
      <c r="B81" s="20">
        <f t="shared" si="12"/>
        <v>16.4374</v>
      </c>
      <c r="C81" s="20">
        <f t="shared" si="14"/>
        <v>32.447200000000002</v>
      </c>
      <c r="D81" s="20">
        <f t="shared" si="15"/>
        <v>11.068</v>
      </c>
      <c r="E81" s="20">
        <f t="shared" si="16"/>
        <v>7.4317000000000002</v>
      </c>
      <c r="F81" s="20">
        <f t="shared" si="17"/>
        <v>15.882300000000001</v>
      </c>
      <c r="G81" s="20">
        <f t="shared" si="18"/>
        <v>9.3287999999999993</v>
      </c>
      <c r="H81" s="1239">
        <f t="shared" si="19"/>
        <v>11.068</v>
      </c>
      <c r="I81" s="1243">
        <f t="shared" si="13"/>
        <v>0.48512829779544631</v>
      </c>
      <c r="J81" s="1243">
        <f t="shared" si="20"/>
        <v>0.12093838824177333</v>
      </c>
      <c r="K81" s="1243">
        <f t="shared" si="21"/>
        <v>0.1</v>
      </c>
      <c r="L81" s="203"/>
      <c r="N81" s="1425">
        <v>45120</v>
      </c>
      <c r="O81" s="1502">
        <v>16.4374</v>
      </c>
      <c r="P81" s="1502">
        <v>3.2486999999999999</v>
      </c>
      <c r="Q81" s="1502">
        <v>14.6304</v>
      </c>
      <c r="R81" s="1233">
        <f>'B. PE'!$U$23</f>
        <v>15.978235616082999</v>
      </c>
      <c r="S81" s="1233"/>
      <c r="T81" s="1233"/>
      <c r="V81" s="1425">
        <v>45120</v>
      </c>
      <c r="W81" s="1">
        <v>32.447200000000002</v>
      </c>
      <c r="X81" s="1">
        <v>1.4968999999999999</v>
      </c>
      <c r="Z81" s="1">
        <v>1.1728499999999999</v>
      </c>
      <c r="AB81" s="1425">
        <v>45119</v>
      </c>
      <c r="AC81" s="1">
        <v>7.8555000000000001</v>
      </c>
      <c r="AD81" s="1502">
        <v>1.1063000000000001</v>
      </c>
      <c r="AE81" s="1">
        <v>5.6283000000000003</v>
      </c>
      <c r="AF81" s="1">
        <v>3.2379999999999999E-2</v>
      </c>
      <c r="AH81" s="1425">
        <v>45119</v>
      </c>
      <c r="AI81" s="1">
        <v>11.068</v>
      </c>
      <c r="AJ81" s="1">
        <v>1.9430000000000001</v>
      </c>
      <c r="AK81" s="1">
        <v>6.6917</v>
      </c>
      <c r="AL81" s="1">
        <v>3.4549999999999997E-2</v>
      </c>
      <c r="AN81" s="1425">
        <v>45119</v>
      </c>
      <c r="AO81" s="1">
        <v>7.4863</v>
      </c>
      <c r="AP81" s="1">
        <v>1.1402000000000001</v>
      </c>
      <c r="AQ81" s="1">
        <v>4.8350999999999997</v>
      </c>
      <c r="AR81" s="1">
        <v>0.27843000000000001</v>
      </c>
      <c r="AT81" s="1425">
        <v>45119</v>
      </c>
      <c r="AU81" s="1">
        <v>7.1203000000000003</v>
      </c>
      <c r="AX81" s="1">
        <v>0.19703999999999999</v>
      </c>
      <c r="BA81" s="1425">
        <v>45117</v>
      </c>
      <c r="BB81" s="1">
        <v>9.5015000000000001</v>
      </c>
      <c r="BC81" s="1">
        <v>1.6892</v>
      </c>
      <c r="BD81" s="1">
        <v>10.020799999999999</v>
      </c>
      <c r="BE81" s="1">
        <v>0.47710000000000002</v>
      </c>
      <c r="BG81" s="1425">
        <v>45117</v>
      </c>
      <c r="BH81" s="1">
        <v>16.2896</v>
      </c>
      <c r="BI81" s="1">
        <v>2.6375000000000002</v>
      </c>
      <c r="BJ81" s="1">
        <v>20.0337</v>
      </c>
      <c r="BT81" s="1425">
        <v>45120</v>
      </c>
      <c r="BU81" s="1">
        <v>46.201500000000003</v>
      </c>
      <c r="BV81" s="1">
        <v>3.1086999999999998</v>
      </c>
      <c r="BW81" s="1">
        <v>11.915900000000001</v>
      </c>
      <c r="BX81" s="1">
        <v>2.0605000000000002</v>
      </c>
      <c r="BZ81" s="1425">
        <v>45120</v>
      </c>
      <c r="CB81" s="1">
        <v>6.0331000000000001</v>
      </c>
      <c r="CC81" s="1">
        <v>31.3718</v>
      </c>
      <c r="CD81" s="1">
        <v>3.2427000000000001</v>
      </c>
      <c r="CF81" s="1425">
        <v>45120</v>
      </c>
      <c r="CG81" s="1">
        <v>10.832599999999999</v>
      </c>
      <c r="CH81" s="1">
        <v>1.4509000000000001</v>
      </c>
      <c r="CL81" s="1425">
        <v>45121</v>
      </c>
      <c r="CM81" s="1">
        <v>21.082799999999999</v>
      </c>
      <c r="CN81" s="1">
        <v>2.5505</v>
      </c>
      <c r="CO81" s="1">
        <v>10.210800000000001</v>
      </c>
    </row>
    <row r="82" spans="1:93">
      <c r="A82" s="1425">
        <v>45119</v>
      </c>
      <c r="B82" s="20">
        <f t="shared" si="12"/>
        <v>15.9808</v>
      </c>
      <c r="C82" s="20">
        <f t="shared" si="14"/>
        <v>32.174999999999997</v>
      </c>
      <c r="D82" s="20">
        <f t="shared" si="15"/>
        <v>11.068</v>
      </c>
      <c r="E82" s="20">
        <f t="shared" si="16"/>
        <v>7.4863</v>
      </c>
      <c r="F82" s="20">
        <f t="shared" si="17"/>
        <v>15.882300000000001</v>
      </c>
      <c r="G82" s="20">
        <f t="shared" si="18"/>
        <v>9.4438999999999993</v>
      </c>
      <c r="H82" s="1239">
        <f t="shared" si="19"/>
        <v>11.068</v>
      </c>
      <c r="I82" s="1243">
        <f t="shared" si="13"/>
        <v>0.44387423202023868</v>
      </c>
      <c r="J82" s="1243">
        <f t="shared" si="20"/>
        <v>0.12093838824177333</v>
      </c>
      <c r="K82" s="1243">
        <f t="shared" si="21"/>
        <v>0.1</v>
      </c>
      <c r="L82" s="203"/>
      <c r="N82" s="1425">
        <v>45119</v>
      </c>
      <c r="O82" s="1502">
        <v>15.9808</v>
      </c>
      <c r="P82" s="1502">
        <v>3.1585000000000001</v>
      </c>
      <c r="Q82" s="1502">
        <v>14.2744</v>
      </c>
      <c r="R82" s="1233">
        <f>'B. PE'!$U$23</f>
        <v>15.978235616082999</v>
      </c>
      <c r="S82" s="1233"/>
      <c r="T82" s="1233"/>
      <c r="V82" s="1425">
        <v>45119</v>
      </c>
      <c r="W82" s="1">
        <v>32.174999999999997</v>
      </c>
      <c r="X82" s="1">
        <v>1.4843</v>
      </c>
      <c r="Z82" s="1">
        <v>1.18252</v>
      </c>
      <c r="AB82" s="1425">
        <v>45118</v>
      </c>
      <c r="AC82" s="1">
        <v>7.9210000000000003</v>
      </c>
      <c r="AD82" s="1502">
        <v>1.1154999999999999</v>
      </c>
      <c r="AE82" s="1">
        <v>5.6520999999999999</v>
      </c>
      <c r="AF82" s="1">
        <v>3.2980000000000002E-2</v>
      </c>
      <c r="AH82" s="1425">
        <v>45118</v>
      </c>
      <c r="AI82" s="1">
        <v>11.068</v>
      </c>
      <c r="AJ82" s="1">
        <v>1.9430000000000001</v>
      </c>
      <c r="AK82" s="1">
        <v>6.6917</v>
      </c>
      <c r="AL82" s="1">
        <v>3.5619999999999999E-2</v>
      </c>
      <c r="AN82" s="1425">
        <v>45118</v>
      </c>
      <c r="AO82" s="1">
        <v>7.2130999999999998</v>
      </c>
      <c r="AP82" s="1">
        <v>1.0986</v>
      </c>
      <c r="AQ82" s="1">
        <v>4.6269</v>
      </c>
      <c r="AR82" s="1">
        <v>0.27200999999999997</v>
      </c>
      <c r="AT82" s="1425">
        <v>45118</v>
      </c>
      <c r="AU82" s="1">
        <v>7.1993999999999998</v>
      </c>
      <c r="AX82" s="1">
        <v>0.19811999999999999</v>
      </c>
      <c r="BA82" s="1425">
        <v>45114</v>
      </c>
      <c r="BB82" s="1">
        <v>9.5591000000000008</v>
      </c>
      <c r="BC82" s="1">
        <v>1.6994</v>
      </c>
      <c r="BD82" s="1">
        <v>10.0571</v>
      </c>
      <c r="BE82" s="1">
        <v>0.50609000000000004</v>
      </c>
      <c r="BG82" s="1425">
        <v>45114</v>
      </c>
      <c r="BH82" s="1">
        <v>16.2896</v>
      </c>
      <c r="BI82" s="1">
        <v>2.6375000000000002</v>
      </c>
      <c r="BJ82" s="1">
        <v>20.0337</v>
      </c>
      <c r="BT82" s="1425">
        <v>45119</v>
      </c>
      <c r="BU82" s="1">
        <v>46.014200000000002</v>
      </c>
      <c r="BV82" s="1">
        <v>3.0960999999999999</v>
      </c>
      <c r="BW82" s="1">
        <v>11.866099999999999</v>
      </c>
      <c r="BX82" s="1">
        <v>2.0192999999999999</v>
      </c>
      <c r="BZ82" s="1425">
        <v>45119</v>
      </c>
      <c r="CB82" s="1">
        <v>6.0015000000000001</v>
      </c>
      <c r="CC82" s="1">
        <v>31.249300000000002</v>
      </c>
      <c r="CD82" s="1">
        <v>3.19279</v>
      </c>
      <c r="CF82" s="1425">
        <v>45119</v>
      </c>
      <c r="CG82" s="1">
        <v>10.943099999999999</v>
      </c>
      <c r="CH82" s="1">
        <v>1.4657</v>
      </c>
      <c r="CL82" s="1425">
        <v>45120</v>
      </c>
      <c r="CM82" s="1">
        <v>20.9057</v>
      </c>
      <c r="CN82" s="1">
        <v>2.5291000000000001</v>
      </c>
      <c r="CO82" s="1">
        <v>10.132099999999999</v>
      </c>
    </row>
    <row r="83" spans="1:93">
      <c r="A83" s="1425">
        <v>45118</v>
      </c>
      <c r="B83" s="20">
        <f t="shared" si="12"/>
        <v>15.7851</v>
      </c>
      <c r="C83" s="20">
        <f t="shared" si="14"/>
        <v>32.664999999999999</v>
      </c>
      <c r="D83" s="20">
        <f t="shared" si="15"/>
        <v>11.068</v>
      </c>
      <c r="E83" s="20">
        <f t="shared" si="16"/>
        <v>7.2130999999999998</v>
      </c>
      <c r="F83" s="20">
        <f t="shared" si="17"/>
        <v>16.4253</v>
      </c>
      <c r="G83" s="20">
        <f t="shared" si="18"/>
        <v>9.5015000000000001</v>
      </c>
      <c r="H83" s="1239">
        <f t="shared" si="19"/>
        <v>11.068</v>
      </c>
      <c r="I83" s="1243">
        <f t="shared" si="13"/>
        <v>0.42619262739428998</v>
      </c>
      <c r="J83" s="1243">
        <f t="shared" si="20"/>
        <v>0.12093838824177333</v>
      </c>
      <c r="K83" s="1243">
        <f t="shared" si="21"/>
        <v>0.1</v>
      </c>
      <c r="L83" s="203"/>
      <c r="N83" s="1425">
        <v>45118</v>
      </c>
      <c r="O83" s="1502">
        <v>15.7851</v>
      </c>
      <c r="P83" s="1502">
        <v>3.1198000000000001</v>
      </c>
      <c r="Q83" s="1502">
        <v>14.1218</v>
      </c>
      <c r="R83" s="1233">
        <f>'B. PE'!$U$23</f>
        <v>15.978235616082999</v>
      </c>
      <c r="S83" s="1233"/>
      <c r="T83" s="1233"/>
      <c r="V83" s="1425">
        <v>45118</v>
      </c>
      <c r="W83" s="1">
        <v>32.664999999999999</v>
      </c>
      <c r="X83" s="1">
        <v>1.5069999999999999</v>
      </c>
      <c r="Z83" s="1">
        <v>1.1491800000000001</v>
      </c>
      <c r="AB83" s="1425">
        <v>45117</v>
      </c>
      <c r="AC83" s="1">
        <v>8.0518999999999998</v>
      </c>
      <c r="AD83" s="1502">
        <v>1.1338999999999999</v>
      </c>
      <c r="AE83" s="1">
        <v>5.6997999999999998</v>
      </c>
      <c r="AF83" s="1">
        <v>3.1759999999999997E-2</v>
      </c>
      <c r="AH83" s="1425">
        <v>45117</v>
      </c>
      <c r="AI83" s="1">
        <v>11.068</v>
      </c>
      <c r="AJ83" s="1">
        <v>1.9430000000000001</v>
      </c>
      <c r="AK83" s="1">
        <v>6.6917</v>
      </c>
      <c r="AL83" s="1">
        <v>3.5069999999999997E-2</v>
      </c>
      <c r="AN83" s="1425">
        <v>45117</v>
      </c>
      <c r="AO83" s="1">
        <v>7.1037999999999997</v>
      </c>
      <c r="AP83" s="1">
        <v>1.0819000000000001</v>
      </c>
      <c r="AQ83" s="1">
        <v>4.5437000000000003</v>
      </c>
      <c r="AR83" s="1">
        <v>0.28111999999999998</v>
      </c>
      <c r="AT83" s="1425">
        <v>45117</v>
      </c>
      <c r="AU83" s="1">
        <v>7.2785000000000002</v>
      </c>
      <c r="AX83" s="1">
        <v>0.19850000000000001</v>
      </c>
      <c r="BA83" s="1425">
        <v>45113</v>
      </c>
      <c r="BB83" s="1">
        <v>9.6743000000000006</v>
      </c>
      <c r="BC83" s="1">
        <v>1.7199</v>
      </c>
      <c r="BD83" s="1">
        <v>10.1297</v>
      </c>
      <c r="BE83" s="1">
        <v>0.50712999999999997</v>
      </c>
      <c r="BG83" s="1425">
        <v>45113</v>
      </c>
      <c r="BH83" s="1">
        <v>16.2896</v>
      </c>
      <c r="BI83" s="1">
        <v>2.6375000000000002</v>
      </c>
      <c r="BJ83" s="1">
        <v>20.0337</v>
      </c>
      <c r="BT83" s="1425">
        <v>45118</v>
      </c>
      <c r="BU83" s="1">
        <v>45.686500000000002</v>
      </c>
      <c r="BV83" s="1">
        <v>3.0739999999999998</v>
      </c>
      <c r="BW83" s="1">
        <v>11.779</v>
      </c>
      <c r="BX83" s="1">
        <v>1.9240999999999999</v>
      </c>
      <c r="BZ83" s="1425">
        <v>45118</v>
      </c>
      <c r="CB83" s="1">
        <v>6.0646000000000004</v>
      </c>
      <c r="CC83" s="1">
        <v>31.494299999999999</v>
      </c>
      <c r="CD83" s="1">
        <v>3.17997</v>
      </c>
      <c r="CF83" s="1425">
        <v>45118</v>
      </c>
      <c r="CG83" s="1">
        <v>9.9482999999999997</v>
      </c>
      <c r="CH83" s="1">
        <v>1.3325</v>
      </c>
      <c r="CL83" s="1425">
        <v>45119</v>
      </c>
      <c r="CM83" s="1">
        <v>20.776800000000001</v>
      </c>
      <c r="CN83" s="1">
        <v>2.5135000000000001</v>
      </c>
      <c r="CO83" s="1">
        <v>10.0749</v>
      </c>
    </row>
    <row r="84" spans="1:93">
      <c r="A84" s="1425">
        <v>45117</v>
      </c>
      <c r="B84" s="20">
        <f t="shared" si="12"/>
        <v>15.605700000000001</v>
      </c>
      <c r="C84" s="20">
        <f t="shared" si="14"/>
        <v>32.8827</v>
      </c>
      <c r="D84" s="20">
        <f t="shared" si="15"/>
        <v>11.068</v>
      </c>
      <c r="E84" s="20">
        <f t="shared" si="16"/>
        <v>7.1037999999999997</v>
      </c>
      <c r="F84" s="20">
        <f t="shared" si="17"/>
        <v>16.2896</v>
      </c>
      <c r="G84" s="20">
        <f t="shared" si="18"/>
        <v>9.5015000000000001</v>
      </c>
      <c r="H84" s="1239">
        <f t="shared" si="19"/>
        <v>11.068</v>
      </c>
      <c r="I84" s="1243">
        <f t="shared" si="13"/>
        <v>0.40998373689916878</v>
      </c>
      <c r="J84" s="1243">
        <f t="shared" si="20"/>
        <v>0.12093838824177333</v>
      </c>
      <c r="K84" s="1243">
        <f t="shared" si="21"/>
        <v>0.1</v>
      </c>
      <c r="L84" s="203"/>
      <c r="N84" s="1425">
        <v>45117</v>
      </c>
      <c r="O84" s="1502">
        <v>15.605700000000001</v>
      </c>
      <c r="P84" s="1502">
        <v>3.0842999999999998</v>
      </c>
      <c r="Q84" s="1502">
        <v>13.9819</v>
      </c>
      <c r="R84" s="1233">
        <f>'B. PE'!$U$23</f>
        <v>15.978235616082999</v>
      </c>
      <c r="S84" s="1233"/>
      <c r="T84" s="1233"/>
      <c r="V84" s="1425">
        <v>45117</v>
      </c>
      <c r="W84" s="1">
        <v>32.8827</v>
      </c>
      <c r="X84" s="1">
        <v>1.5169999999999999</v>
      </c>
      <c r="Z84" s="1">
        <v>1.09337</v>
      </c>
      <c r="AB84" s="1425">
        <v>45114</v>
      </c>
      <c r="AC84" s="1">
        <v>8.1828000000000003</v>
      </c>
      <c r="AD84" s="1502">
        <v>1.1523000000000001</v>
      </c>
      <c r="AE84" s="1">
        <v>5.7474999999999996</v>
      </c>
      <c r="AF84" s="1">
        <v>3.1980000000000001E-2</v>
      </c>
      <c r="AH84" s="1425">
        <v>45114</v>
      </c>
      <c r="AI84" s="1">
        <v>11.3843</v>
      </c>
      <c r="AJ84" s="1">
        <v>1.9984999999999999</v>
      </c>
      <c r="AK84" s="1">
        <v>6.8575999999999997</v>
      </c>
      <c r="AL84" s="1">
        <v>3.5159999999999997E-2</v>
      </c>
      <c r="AN84" s="1425">
        <v>45114</v>
      </c>
      <c r="AO84" s="1">
        <v>6.9398999999999997</v>
      </c>
      <c r="AP84" s="1">
        <v>1.0569999999999999</v>
      </c>
      <c r="AQ84" s="1">
        <v>4.4187000000000003</v>
      </c>
      <c r="AR84" s="1">
        <v>0.28375</v>
      </c>
      <c r="AT84" s="1425">
        <v>45114</v>
      </c>
      <c r="AU84" s="1">
        <v>7.3179999999999996</v>
      </c>
      <c r="AX84" s="1">
        <v>0.19775999999999999</v>
      </c>
      <c r="BA84" s="1425">
        <v>45112</v>
      </c>
      <c r="BB84" s="1">
        <v>10.192500000000001</v>
      </c>
      <c r="BC84" s="1">
        <v>1.8120000000000001</v>
      </c>
      <c r="BD84" s="1">
        <v>10.4567</v>
      </c>
      <c r="BE84" s="1">
        <v>0.49953999999999998</v>
      </c>
      <c r="BG84" s="1425">
        <v>45112</v>
      </c>
      <c r="BH84" s="1">
        <v>16.4253</v>
      </c>
      <c r="BI84" s="1">
        <v>2.6594000000000002</v>
      </c>
      <c r="BJ84" s="1">
        <v>20.140599999999999</v>
      </c>
      <c r="BT84" s="1425">
        <v>45117</v>
      </c>
      <c r="BU84" s="1">
        <v>44.703499999999998</v>
      </c>
      <c r="BV84" s="1">
        <v>3.0078999999999998</v>
      </c>
      <c r="BW84" s="1">
        <v>11.5176</v>
      </c>
      <c r="BX84" s="1">
        <v>1.8219000000000001</v>
      </c>
      <c r="BZ84" s="1425">
        <v>45117</v>
      </c>
      <c r="CB84" s="1">
        <v>5.9619999999999997</v>
      </c>
      <c r="CC84" s="1">
        <v>31.0961</v>
      </c>
      <c r="CD84" s="1">
        <v>3.1418699999999999</v>
      </c>
      <c r="CF84" s="1425">
        <v>45117</v>
      </c>
      <c r="CG84" s="1">
        <v>9.8377999999999997</v>
      </c>
      <c r="CH84" s="1">
        <v>1.3177000000000001</v>
      </c>
      <c r="CL84" s="1425">
        <v>45118</v>
      </c>
      <c r="CM84" s="1">
        <v>20.519100000000002</v>
      </c>
      <c r="CN84" s="1">
        <v>2.4823</v>
      </c>
      <c r="CO84" s="1">
        <v>9.9604999999999997</v>
      </c>
    </row>
    <row r="85" spans="1:93">
      <c r="A85" s="1425">
        <v>45114</v>
      </c>
      <c r="B85" s="20">
        <f t="shared" si="12"/>
        <v>15.0024</v>
      </c>
      <c r="C85" s="20">
        <f t="shared" si="14"/>
        <v>31.9572</v>
      </c>
      <c r="D85" s="20">
        <f t="shared" si="15"/>
        <v>11.3843</v>
      </c>
      <c r="E85" s="20">
        <f t="shared" si="16"/>
        <v>6.9398999999999997</v>
      </c>
      <c r="F85" s="20">
        <f t="shared" si="17"/>
        <v>16.2896</v>
      </c>
      <c r="G85" s="20">
        <f t="shared" si="18"/>
        <v>9.5591000000000008</v>
      </c>
      <c r="H85" s="1239">
        <f t="shared" si="19"/>
        <v>11.3843</v>
      </c>
      <c r="I85" s="1243">
        <f t="shared" si="13"/>
        <v>0.31781488541236613</v>
      </c>
      <c r="J85" s="1243">
        <f t="shared" si="20"/>
        <v>0.12093838824177333</v>
      </c>
      <c r="K85" s="1243">
        <f t="shared" si="21"/>
        <v>0.1</v>
      </c>
      <c r="L85" s="203"/>
      <c r="N85" s="1425">
        <v>45114</v>
      </c>
      <c r="O85" s="1502">
        <v>15.0024</v>
      </c>
      <c r="P85" s="1502">
        <v>2.9651000000000001</v>
      </c>
      <c r="Q85" s="1502">
        <v>13.5114</v>
      </c>
      <c r="R85" s="1233">
        <f>'B. PE'!$U$23</f>
        <v>15.978235616082999</v>
      </c>
      <c r="S85" s="1233"/>
      <c r="T85" s="1233"/>
      <c r="V85" s="1425">
        <v>45114</v>
      </c>
      <c r="W85" s="1">
        <v>31.9572</v>
      </c>
      <c r="X85" s="1">
        <v>1.4742999999999999</v>
      </c>
      <c r="Z85" s="1">
        <v>1.08758</v>
      </c>
      <c r="AB85" s="1425">
        <v>45113</v>
      </c>
      <c r="AC85" s="1">
        <v>7.8555000000000001</v>
      </c>
      <c r="AD85" s="1502">
        <v>1.1063000000000001</v>
      </c>
      <c r="AE85" s="1">
        <v>5.6283000000000003</v>
      </c>
      <c r="AF85" s="1">
        <v>3.159E-2</v>
      </c>
      <c r="AH85" s="1425">
        <v>45113</v>
      </c>
      <c r="AI85" s="1">
        <v>11.173400000000001</v>
      </c>
      <c r="AJ85" s="1">
        <v>1.9615</v>
      </c>
      <c r="AK85" s="1">
        <v>6.7469999999999999</v>
      </c>
      <c r="AL85" s="1">
        <v>3.5319999999999997E-2</v>
      </c>
      <c r="AN85" s="1425">
        <v>45113</v>
      </c>
      <c r="AO85" s="1">
        <v>7.1585000000000001</v>
      </c>
      <c r="AP85" s="1">
        <v>1.0903</v>
      </c>
      <c r="AQ85" s="1">
        <v>4.5853000000000002</v>
      </c>
      <c r="AR85" s="1">
        <v>0.28810999999999998</v>
      </c>
      <c r="AT85" s="1425">
        <v>45113</v>
      </c>
      <c r="AU85" s="1">
        <v>7.3179999999999996</v>
      </c>
      <c r="AX85" s="1">
        <v>0.20211000000000001</v>
      </c>
      <c r="BA85" s="1425">
        <v>45111</v>
      </c>
      <c r="BB85" s="1">
        <v>10.192500000000001</v>
      </c>
      <c r="BC85" s="1">
        <v>1.8120000000000001</v>
      </c>
      <c r="BD85" s="1">
        <v>10.4567</v>
      </c>
      <c r="BE85" s="1">
        <v>0.49571999999999999</v>
      </c>
      <c r="BG85" s="1425">
        <v>45111</v>
      </c>
      <c r="BH85" s="1">
        <v>16.4253</v>
      </c>
      <c r="BI85" s="1">
        <v>2.6594000000000002</v>
      </c>
      <c r="BJ85" s="1">
        <v>20.140599999999999</v>
      </c>
      <c r="BT85" s="1425">
        <v>45114</v>
      </c>
      <c r="BU85" s="1">
        <v>42.597099999999998</v>
      </c>
      <c r="BV85" s="1">
        <v>2.8660999999999999</v>
      </c>
      <c r="BW85" s="1">
        <v>10.9575</v>
      </c>
      <c r="BX85" s="1">
        <v>1.825</v>
      </c>
      <c r="BZ85" s="1425">
        <v>45114</v>
      </c>
      <c r="CB85" s="1">
        <v>5.9382999999999999</v>
      </c>
      <c r="CC85" s="1">
        <v>31.004200000000001</v>
      </c>
      <c r="CD85" s="1">
        <v>3.1575000000000002</v>
      </c>
      <c r="CF85" s="1425">
        <v>45114</v>
      </c>
      <c r="CG85" s="1">
        <v>10.0036</v>
      </c>
      <c r="CH85" s="1">
        <v>1.3399000000000001</v>
      </c>
      <c r="CL85" s="1425">
        <v>45117</v>
      </c>
      <c r="CM85" s="1">
        <v>20.8735</v>
      </c>
      <c r="CN85" s="1">
        <v>2.5251999999999999</v>
      </c>
      <c r="CO85" s="1">
        <v>10.117800000000001</v>
      </c>
    </row>
    <row r="86" spans="1:93">
      <c r="A86" s="1425">
        <v>45113</v>
      </c>
      <c r="B86" s="20">
        <f t="shared" si="12"/>
        <v>14.023999999999999</v>
      </c>
      <c r="C86" s="20">
        <f t="shared" si="14"/>
        <v>30.487300000000001</v>
      </c>
      <c r="D86" s="20">
        <f t="shared" si="15"/>
        <v>11.173400000000001</v>
      </c>
      <c r="E86" s="20">
        <f t="shared" si="16"/>
        <v>7.1585000000000001</v>
      </c>
      <c r="F86" s="20">
        <f t="shared" si="17"/>
        <v>16.2896</v>
      </c>
      <c r="G86" s="20">
        <f t="shared" si="18"/>
        <v>9.6743000000000006</v>
      </c>
      <c r="H86" s="1239">
        <f t="shared" si="19"/>
        <v>11.173400000000001</v>
      </c>
      <c r="I86" s="1243">
        <f t="shared" si="13"/>
        <v>0.25512377611112091</v>
      </c>
      <c r="J86" s="1243">
        <f t="shared" si="20"/>
        <v>0.12093838824177333</v>
      </c>
      <c r="K86" s="1243">
        <f t="shared" si="21"/>
        <v>0.1</v>
      </c>
      <c r="L86" s="203"/>
      <c r="N86" s="1425">
        <v>45113</v>
      </c>
      <c r="O86" s="1502">
        <v>14.023999999999999</v>
      </c>
      <c r="P86" s="1502">
        <v>2.7717000000000001</v>
      </c>
      <c r="Q86" s="1502">
        <v>12.7484</v>
      </c>
      <c r="R86" s="1233">
        <f>'B. PE'!$U$23</f>
        <v>15.978235616082999</v>
      </c>
      <c r="S86" s="1233"/>
      <c r="T86" s="1233"/>
      <c r="V86" s="1425">
        <v>45113</v>
      </c>
      <c r="W86" s="1">
        <v>30.487300000000001</v>
      </c>
      <c r="X86" s="1">
        <v>1.4065000000000001</v>
      </c>
      <c r="Z86" s="1">
        <v>1.08815</v>
      </c>
      <c r="AB86" s="1425">
        <v>45112</v>
      </c>
      <c r="AC86" s="1">
        <v>7.8882000000000003</v>
      </c>
      <c r="AD86" s="1502">
        <v>1.1109</v>
      </c>
      <c r="AE86" s="1">
        <v>5.6402000000000001</v>
      </c>
      <c r="AF86" s="1">
        <v>3.1780000000000003E-2</v>
      </c>
      <c r="AH86" s="1425">
        <v>45112</v>
      </c>
      <c r="AI86" s="1">
        <v>11.173400000000001</v>
      </c>
      <c r="AJ86" s="1">
        <v>1.9615</v>
      </c>
      <c r="AK86" s="1">
        <v>6.7469999999999999</v>
      </c>
      <c r="AL86" s="1">
        <v>3.5229999999999997E-2</v>
      </c>
      <c r="AN86" s="1425">
        <v>45112</v>
      </c>
      <c r="AO86" s="1">
        <v>7.2130999999999998</v>
      </c>
      <c r="AP86" s="1">
        <v>1.0986</v>
      </c>
      <c r="AQ86" s="1">
        <v>4.6269</v>
      </c>
      <c r="AR86" s="1">
        <v>0.28711999999999999</v>
      </c>
      <c r="AT86" s="1425">
        <v>45112</v>
      </c>
      <c r="AU86" s="1">
        <v>7.2785000000000002</v>
      </c>
      <c r="AX86" s="1">
        <v>0.20033999999999999</v>
      </c>
      <c r="BA86" s="1425">
        <v>45110</v>
      </c>
      <c r="BB86" s="1">
        <v>10.077400000000001</v>
      </c>
      <c r="BC86" s="1">
        <v>1.7915000000000001</v>
      </c>
      <c r="BD86" s="1">
        <v>10.384</v>
      </c>
      <c r="BE86" s="1">
        <v>0.48324</v>
      </c>
      <c r="BG86" s="1425">
        <v>45110</v>
      </c>
      <c r="BH86" s="1">
        <v>16.2896</v>
      </c>
      <c r="BI86" s="1">
        <v>2.6375000000000002</v>
      </c>
      <c r="BJ86" s="1">
        <v>20.0337</v>
      </c>
      <c r="BT86" s="1425">
        <v>45113</v>
      </c>
      <c r="BU86" s="1">
        <v>40.443800000000003</v>
      </c>
      <c r="BV86" s="1">
        <v>2.7212999999999998</v>
      </c>
      <c r="BW86" s="1">
        <v>10.3849</v>
      </c>
      <c r="BX86" s="1">
        <v>1.825</v>
      </c>
      <c r="BZ86" s="1425">
        <v>45113</v>
      </c>
      <c r="CB86" s="1">
        <v>5.883</v>
      </c>
      <c r="CC86" s="1">
        <v>30.7898</v>
      </c>
      <c r="CD86" s="1">
        <v>3.07199</v>
      </c>
      <c r="CF86" s="1425">
        <v>45113</v>
      </c>
      <c r="CG86" s="1">
        <v>9.8377999999999997</v>
      </c>
      <c r="CH86" s="1">
        <v>1.3177000000000001</v>
      </c>
      <c r="CL86" s="1425">
        <v>45114</v>
      </c>
      <c r="CM86" s="1">
        <v>20.970099999999999</v>
      </c>
      <c r="CN86" s="1">
        <v>2.5369000000000002</v>
      </c>
      <c r="CO86" s="1">
        <v>10.1608</v>
      </c>
    </row>
    <row r="87" spans="1:93">
      <c r="A87" s="1425">
        <v>45112</v>
      </c>
      <c r="B87" s="20">
        <f t="shared" si="12"/>
        <v>14.105499999999999</v>
      </c>
      <c r="C87" s="20">
        <f t="shared" si="14"/>
        <v>30.378399999999999</v>
      </c>
      <c r="D87" s="20">
        <f t="shared" si="15"/>
        <v>11.173400000000001</v>
      </c>
      <c r="E87" s="20">
        <f t="shared" si="16"/>
        <v>7.2130999999999998</v>
      </c>
      <c r="F87" s="20">
        <f t="shared" si="17"/>
        <v>16.4253</v>
      </c>
      <c r="G87" s="20">
        <f t="shared" si="18"/>
        <v>10.192500000000001</v>
      </c>
      <c r="H87" s="1239">
        <f t="shared" si="19"/>
        <v>11.173400000000001</v>
      </c>
      <c r="I87" s="1243">
        <f t="shared" si="13"/>
        <v>0.26241788533481292</v>
      </c>
      <c r="J87" s="1243">
        <f t="shared" si="20"/>
        <v>0.12093838824177333</v>
      </c>
      <c r="K87" s="1243">
        <f t="shared" si="21"/>
        <v>0.1</v>
      </c>
      <c r="L87" s="203"/>
      <c r="N87" s="1425">
        <v>45112</v>
      </c>
      <c r="O87" s="1502">
        <v>14.105499999999999</v>
      </c>
      <c r="P87" s="1502">
        <v>2.7877999999999998</v>
      </c>
      <c r="Q87" s="1502">
        <v>12.811999999999999</v>
      </c>
      <c r="R87" s="1233">
        <f>'B. PE'!$U$23</f>
        <v>15.978235616082999</v>
      </c>
      <c r="S87" s="1233"/>
      <c r="T87" s="1233"/>
      <c r="V87" s="1425">
        <v>45112</v>
      </c>
      <c r="W87" s="1">
        <v>30.378399999999999</v>
      </c>
      <c r="X87" s="1">
        <v>1.4015</v>
      </c>
      <c r="Z87" s="1">
        <v>1.08412</v>
      </c>
      <c r="AB87" s="1425">
        <v>45111</v>
      </c>
      <c r="AC87" s="1">
        <v>7.7572999999999999</v>
      </c>
      <c r="AD87" s="1502">
        <v>1.0924</v>
      </c>
      <c r="AE87" s="1">
        <v>5.5925000000000002</v>
      </c>
      <c r="AF87" s="1">
        <v>3.1859999999999999E-2</v>
      </c>
      <c r="AH87" s="1425">
        <v>45111</v>
      </c>
      <c r="AI87" s="1">
        <v>11.173400000000001</v>
      </c>
      <c r="AJ87" s="1">
        <v>1.9615</v>
      </c>
      <c r="AK87" s="1">
        <v>6.7469999999999999</v>
      </c>
      <c r="AL87" s="1">
        <v>3.5139999999999998E-2</v>
      </c>
      <c r="AN87" s="1425">
        <v>45111</v>
      </c>
      <c r="AO87" s="1">
        <v>7.3224</v>
      </c>
      <c r="AP87" s="1">
        <v>1.1152</v>
      </c>
      <c r="AQ87" s="1">
        <v>4.7102000000000004</v>
      </c>
      <c r="AR87" s="1">
        <v>0.29153000000000001</v>
      </c>
      <c r="AT87" s="1425">
        <v>45111</v>
      </c>
      <c r="AU87" s="1">
        <v>7.4367000000000001</v>
      </c>
      <c r="AX87" s="1">
        <v>0.19936000000000001</v>
      </c>
      <c r="BA87" s="1425">
        <v>45107</v>
      </c>
      <c r="BB87" s="1">
        <v>10.077400000000001</v>
      </c>
      <c r="BC87" s="1">
        <v>1.7915000000000001</v>
      </c>
      <c r="BD87" s="1">
        <v>10.384</v>
      </c>
      <c r="BE87" s="1">
        <v>0.49207000000000001</v>
      </c>
      <c r="BG87" s="1425">
        <v>45107</v>
      </c>
      <c r="BH87" s="1">
        <v>16.1538</v>
      </c>
      <c r="BI87" s="1">
        <v>2.6154999999999999</v>
      </c>
      <c r="BJ87" s="1">
        <v>19.9268</v>
      </c>
      <c r="BT87" s="1425">
        <v>45112</v>
      </c>
      <c r="BU87" s="1">
        <v>40.584299999999999</v>
      </c>
      <c r="BV87" s="1">
        <v>2.7307000000000001</v>
      </c>
      <c r="BW87" s="1">
        <v>10.4223</v>
      </c>
      <c r="BX87" s="1">
        <v>1.8176000000000001</v>
      </c>
      <c r="BZ87" s="1425">
        <v>45112</v>
      </c>
      <c r="CB87" s="1">
        <v>5.9225000000000003</v>
      </c>
      <c r="CC87" s="1">
        <v>30.943000000000001</v>
      </c>
      <c r="CD87" s="1">
        <v>3.0095499999999999</v>
      </c>
      <c r="CF87" s="1425">
        <v>45112</v>
      </c>
      <c r="CG87" s="1">
        <v>9.8930000000000007</v>
      </c>
      <c r="CH87" s="1">
        <v>1.3250999999999999</v>
      </c>
      <c r="CL87" s="1425">
        <v>45113</v>
      </c>
      <c r="CM87" s="1">
        <v>20.9057</v>
      </c>
      <c r="CN87" s="1">
        <v>2.5291000000000001</v>
      </c>
      <c r="CO87" s="1">
        <v>10.132099999999999</v>
      </c>
    </row>
    <row r="88" spans="1:93">
      <c r="A88" s="1425">
        <v>45111</v>
      </c>
      <c r="B88" s="20">
        <f t="shared" si="12"/>
        <v>13.7957</v>
      </c>
      <c r="C88" s="20">
        <f t="shared" si="14"/>
        <v>30.324000000000002</v>
      </c>
      <c r="D88" s="20">
        <f t="shared" si="15"/>
        <v>11.173400000000001</v>
      </c>
      <c r="E88" s="20">
        <f t="shared" si="16"/>
        <v>7.3224</v>
      </c>
      <c r="F88" s="20">
        <f t="shared" si="17"/>
        <v>16.4253</v>
      </c>
      <c r="G88" s="20">
        <f t="shared" si="18"/>
        <v>10.192500000000001</v>
      </c>
      <c r="H88" s="1239">
        <f t="shared" si="19"/>
        <v>11.173400000000001</v>
      </c>
      <c r="I88" s="1243">
        <f t="shared" si="13"/>
        <v>0.23469132045751517</v>
      </c>
      <c r="J88" s="1243">
        <f t="shared" si="20"/>
        <v>0.12093838824177333</v>
      </c>
      <c r="K88" s="1243">
        <f t="shared" si="21"/>
        <v>0.1</v>
      </c>
      <c r="L88" s="203"/>
      <c r="N88" s="1425">
        <v>45111</v>
      </c>
      <c r="O88" s="1502">
        <v>13.7957</v>
      </c>
      <c r="P88" s="1502">
        <v>2.7265999999999999</v>
      </c>
      <c r="Q88" s="1502">
        <v>12.5703</v>
      </c>
      <c r="R88" s="1233">
        <f>'B. PE'!$U$23</f>
        <v>15.978235616082999</v>
      </c>
      <c r="S88" s="1233"/>
      <c r="T88" s="1233"/>
      <c r="V88" s="1425">
        <v>45111</v>
      </c>
      <c r="W88" s="1">
        <v>30.324000000000002</v>
      </c>
      <c r="X88" s="1">
        <v>1.399</v>
      </c>
      <c r="Z88" s="1">
        <v>1.07972</v>
      </c>
      <c r="AB88" s="1425">
        <v>45110</v>
      </c>
      <c r="AC88" s="1">
        <v>7.8228</v>
      </c>
      <c r="AD88" s="1502">
        <v>1.1015999999999999</v>
      </c>
      <c r="AE88" s="1">
        <v>5.6162999999999998</v>
      </c>
      <c r="AF88" s="1">
        <v>3.1660000000000001E-2</v>
      </c>
      <c r="AH88" s="1425">
        <v>45110</v>
      </c>
      <c r="AI88" s="1">
        <v>11.173400000000001</v>
      </c>
      <c r="AJ88" s="1">
        <v>1.9615</v>
      </c>
      <c r="AK88" s="1">
        <v>6.7469999999999999</v>
      </c>
      <c r="AL88" s="1">
        <v>3.5589999999999997E-2</v>
      </c>
      <c r="AN88" s="1425">
        <v>45110</v>
      </c>
      <c r="AO88" s="1">
        <v>7.3224</v>
      </c>
      <c r="AP88" s="1">
        <v>1.1152</v>
      </c>
      <c r="AQ88" s="1">
        <v>4.7102000000000004</v>
      </c>
      <c r="AR88" s="1">
        <v>0.28902</v>
      </c>
      <c r="AT88" s="1425">
        <v>45110</v>
      </c>
      <c r="AU88" s="1">
        <v>7.3971999999999998</v>
      </c>
      <c r="AX88" s="1">
        <v>0.19696</v>
      </c>
      <c r="BA88" s="1425">
        <v>45106</v>
      </c>
      <c r="BB88" s="1">
        <v>9.5738000000000003</v>
      </c>
      <c r="BC88" s="1">
        <v>1.6426000000000001</v>
      </c>
      <c r="BD88" s="1">
        <v>9.2385999999999999</v>
      </c>
      <c r="BE88" s="1">
        <v>0.51590000000000003</v>
      </c>
      <c r="BG88" s="1425">
        <v>45106</v>
      </c>
      <c r="BH88" s="1">
        <v>13.891</v>
      </c>
      <c r="BI88" s="1">
        <v>2.3854000000000002</v>
      </c>
      <c r="BJ88" s="1">
        <v>17.002800000000001</v>
      </c>
      <c r="BT88" s="1425">
        <v>45111</v>
      </c>
      <c r="BU88" s="1">
        <v>40.490600000000001</v>
      </c>
      <c r="BV88" s="1">
        <v>2.7244000000000002</v>
      </c>
      <c r="BW88" s="1">
        <v>10.397399999999999</v>
      </c>
      <c r="BX88" s="1">
        <v>1.8361000000000001</v>
      </c>
      <c r="BZ88" s="1425">
        <v>45111</v>
      </c>
      <c r="CB88" s="1">
        <v>5.7488000000000001</v>
      </c>
      <c r="CC88" s="1">
        <v>30.269100000000002</v>
      </c>
      <c r="CD88" s="1">
        <v>3.0360900000000002</v>
      </c>
      <c r="CF88" s="1425">
        <v>45111</v>
      </c>
      <c r="CG88" s="1">
        <v>9.6166999999999998</v>
      </c>
      <c r="CH88" s="1">
        <v>1.288</v>
      </c>
      <c r="CL88" s="1425">
        <v>45112</v>
      </c>
      <c r="CM88" s="1">
        <v>21.340499999999999</v>
      </c>
      <c r="CN88" s="1">
        <v>2.5817000000000001</v>
      </c>
      <c r="CO88" s="1">
        <v>10.3253</v>
      </c>
    </row>
    <row r="89" spans="1:93">
      <c r="A89" s="1425">
        <v>45110</v>
      </c>
      <c r="B89" s="20">
        <f t="shared" si="12"/>
        <v>13.6326</v>
      </c>
      <c r="C89" s="20">
        <f t="shared" si="14"/>
        <v>30.160599999999999</v>
      </c>
      <c r="D89" s="20">
        <f t="shared" si="15"/>
        <v>11.173400000000001</v>
      </c>
      <c r="E89" s="20">
        <f t="shared" si="16"/>
        <v>7.3224</v>
      </c>
      <c r="F89" s="20">
        <f t="shared" si="17"/>
        <v>16.2896</v>
      </c>
      <c r="G89" s="20">
        <f t="shared" si="18"/>
        <v>10.077400000000001</v>
      </c>
      <c r="H89" s="1239">
        <f t="shared" si="19"/>
        <v>11.173400000000001</v>
      </c>
      <c r="I89" s="1243">
        <f t="shared" si="13"/>
        <v>0.22009415218286277</v>
      </c>
      <c r="J89" s="1243">
        <f t="shared" si="20"/>
        <v>0.12093838824177333</v>
      </c>
      <c r="K89" s="1243">
        <f t="shared" si="21"/>
        <v>0.1</v>
      </c>
      <c r="L89" s="203"/>
      <c r="N89" s="1425">
        <v>45110</v>
      </c>
      <c r="O89" s="1502">
        <v>13.6326</v>
      </c>
      <c r="P89" s="1502">
        <v>2.6943999999999999</v>
      </c>
      <c r="Q89" s="1502">
        <v>12.443199999999999</v>
      </c>
      <c r="R89" s="1233">
        <f>'B. PE'!$U$23</f>
        <v>15.978235616082999</v>
      </c>
      <c r="S89" s="1233"/>
      <c r="T89" s="1233"/>
      <c r="V89" s="1425">
        <v>45110</v>
      </c>
      <c r="W89" s="1">
        <v>30.160599999999999</v>
      </c>
      <c r="X89" s="1">
        <v>1.3914</v>
      </c>
      <c r="Z89" s="1">
        <v>1.0609</v>
      </c>
      <c r="AB89" s="1425">
        <v>45104</v>
      </c>
      <c r="AC89" s="1">
        <v>7.79</v>
      </c>
      <c r="AD89" s="1502">
        <v>1.097</v>
      </c>
      <c r="AE89" s="1">
        <v>5.6044</v>
      </c>
      <c r="AF89" s="1">
        <v>3.1940000000000003E-2</v>
      </c>
      <c r="AH89" s="1425">
        <v>45104</v>
      </c>
      <c r="AI89" s="1">
        <v>11.068</v>
      </c>
      <c r="AJ89" s="1">
        <v>1.9430000000000001</v>
      </c>
      <c r="AK89" s="1">
        <v>6.6917</v>
      </c>
      <c r="AL89" s="1">
        <v>3.56E-2</v>
      </c>
      <c r="AN89" s="1425">
        <v>45107</v>
      </c>
      <c r="AO89" s="1">
        <v>7.4317000000000002</v>
      </c>
      <c r="AP89" s="1">
        <v>1.1318999999999999</v>
      </c>
      <c r="AQ89" s="1">
        <v>4.7934999999999999</v>
      </c>
      <c r="AR89" s="1">
        <v>0.29147000000000001</v>
      </c>
      <c r="AT89" s="1425">
        <v>45107</v>
      </c>
      <c r="AU89" s="1">
        <v>7.3575999999999997</v>
      </c>
      <c r="AX89" s="1">
        <v>0.19395999999999999</v>
      </c>
      <c r="BA89" s="1425">
        <v>45105</v>
      </c>
      <c r="BB89" s="1">
        <v>9.7408000000000001</v>
      </c>
      <c r="BC89" s="1">
        <v>1.6713</v>
      </c>
      <c r="BD89" s="1">
        <v>9.3434000000000008</v>
      </c>
      <c r="BE89" s="1">
        <v>0.50802999999999998</v>
      </c>
      <c r="BG89" s="1425">
        <v>45105</v>
      </c>
      <c r="BH89" s="1">
        <v>13.891</v>
      </c>
      <c r="BI89" s="1">
        <v>2.3854000000000002</v>
      </c>
      <c r="BJ89" s="1">
        <v>17.002800000000001</v>
      </c>
      <c r="BT89" s="1425">
        <v>45110</v>
      </c>
      <c r="BU89" s="1">
        <v>40.256599999999999</v>
      </c>
      <c r="BV89" s="1">
        <v>2.7086999999999999</v>
      </c>
      <c r="BW89" s="1">
        <v>10.335100000000001</v>
      </c>
      <c r="BX89" s="1">
        <v>1.8120000000000001</v>
      </c>
      <c r="BZ89" s="1425">
        <v>45110</v>
      </c>
      <c r="CB89" s="1">
        <v>5.6223999999999998</v>
      </c>
      <c r="CC89" s="1">
        <v>29.779</v>
      </c>
      <c r="CD89" s="1">
        <v>2.8431999999999999</v>
      </c>
      <c r="CF89" s="1425">
        <v>45110</v>
      </c>
      <c r="CG89" s="1">
        <v>9.5614000000000008</v>
      </c>
      <c r="CH89" s="1">
        <v>1.2806</v>
      </c>
      <c r="CL89" s="1425">
        <v>45111</v>
      </c>
      <c r="CM89" s="1">
        <v>21.372800000000002</v>
      </c>
      <c r="CN89" s="1">
        <v>2.5855999999999999</v>
      </c>
      <c r="CO89" s="1">
        <v>10.339600000000001</v>
      </c>
    </row>
    <row r="90" spans="1:93">
      <c r="A90" s="1425">
        <v>45107</v>
      </c>
      <c r="B90" s="20">
        <f t="shared" si="12"/>
        <v>13.567399999999999</v>
      </c>
      <c r="C90" s="20">
        <f t="shared" si="14"/>
        <v>29.942900000000002</v>
      </c>
      <c r="D90" s="20">
        <f t="shared" si="15"/>
        <v>11.173400000000001</v>
      </c>
      <c r="E90" s="20">
        <f t="shared" si="16"/>
        <v>7.4317000000000002</v>
      </c>
      <c r="F90" s="20">
        <f t="shared" si="17"/>
        <v>16.1538</v>
      </c>
      <c r="G90" s="20">
        <f t="shared" si="18"/>
        <v>10.077400000000001</v>
      </c>
      <c r="H90" s="1239">
        <f t="shared" si="19"/>
        <v>11.173400000000001</v>
      </c>
      <c r="I90" s="1243">
        <f t="shared" si="13"/>
        <v>0.21425886480390921</v>
      </c>
      <c r="J90" s="1243">
        <f t="shared" si="20"/>
        <v>0.12093838824177333</v>
      </c>
      <c r="K90" s="1243">
        <f t="shared" si="21"/>
        <v>0.1</v>
      </c>
      <c r="L90" s="203"/>
      <c r="N90" s="1425">
        <v>45107</v>
      </c>
      <c r="O90" s="1502">
        <v>13.567399999999999</v>
      </c>
      <c r="P90" s="1502">
        <v>2.6815000000000002</v>
      </c>
      <c r="Q90" s="1502">
        <v>12.392300000000001</v>
      </c>
      <c r="R90" s="1233">
        <f>'B. PE'!$U$23</f>
        <v>15.978235616082999</v>
      </c>
      <c r="S90" s="1233"/>
      <c r="T90" s="1233"/>
      <c r="V90" s="1425">
        <v>45107</v>
      </c>
      <c r="W90" s="1">
        <v>29.942900000000002</v>
      </c>
      <c r="X90" s="1">
        <v>1.3814</v>
      </c>
      <c r="Z90" s="1">
        <v>1.10084</v>
      </c>
      <c r="AB90" s="1425">
        <v>45103</v>
      </c>
      <c r="AC90" s="1">
        <v>7.8905000000000003</v>
      </c>
      <c r="AD90" s="1502">
        <v>1.0798000000000001</v>
      </c>
      <c r="AE90" s="1">
        <v>6.0877999999999997</v>
      </c>
      <c r="AF90" s="1">
        <v>3.2230000000000002E-2</v>
      </c>
      <c r="AH90" s="1425">
        <v>45103</v>
      </c>
      <c r="AI90" s="1">
        <v>11.6617</v>
      </c>
      <c r="AJ90" s="1">
        <v>1.9493</v>
      </c>
      <c r="AK90" s="1">
        <v>6.0228999999999999</v>
      </c>
      <c r="AL90" s="1">
        <v>3.5779999999999999E-2</v>
      </c>
      <c r="AN90" s="1425">
        <v>45105</v>
      </c>
      <c r="AO90" s="1">
        <v>7.7142999999999997</v>
      </c>
      <c r="AP90" s="1">
        <v>1.1299999999999999</v>
      </c>
      <c r="AQ90" s="1">
        <v>5.5514999999999999</v>
      </c>
      <c r="AR90" s="1">
        <v>0.29308000000000001</v>
      </c>
      <c r="AT90" s="1425">
        <v>45105</v>
      </c>
      <c r="AU90" s="1">
        <v>8.5900999999999996</v>
      </c>
      <c r="AV90" s="1">
        <v>0.75639999999999996</v>
      </c>
      <c r="AW90" s="1">
        <v>6.2808000000000002</v>
      </c>
      <c r="AX90" s="1">
        <v>0.20002</v>
      </c>
      <c r="BA90" s="1425">
        <v>45104</v>
      </c>
      <c r="BB90" s="1">
        <v>10.1305</v>
      </c>
      <c r="BC90" s="1">
        <v>1.7381</v>
      </c>
      <c r="BD90" s="1">
        <v>9.5877999999999997</v>
      </c>
      <c r="BE90" s="1">
        <v>0.51898999999999995</v>
      </c>
      <c r="BG90" s="1425">
        <v>45104</v>
      </c>
      <c r="BH90" s="1">
        <v>14.358000000000001</v>
      </c>
      <c r="BI90" s="1">
        <v>2.4655999999999998</v>
      </c>
      <c r="BJ90" s="1">
        <v>17.379300000000001</v>
      </c>
      <c r="BT90" s="1425">
        <v>45107</v>
      </c>
      <c r="BU90" s="1">
        <v>40.537399999999998</v>
      </c>
      <c r="BV90" s="1">
        <v>2.7275</v>
      </c>
      <c r="BW90" s="1">
        <v>10.409800000000001</v>
      </c>
      <c r="BX90" s="1">
        <v>1.8640000000000001</v>
      </c>
      <c r="BZ90" s="1425">
        <v>45107</v>
      </c>
      <c r="CB90" s="1">
        <v>5.6539999999999999</v>
      </c>
      <c r="CC90" s="1">
        <v>29.901499999999999</v>
      </c>
      <c r="CD90" s="1">
        <v>2.8873500000000001</v>
      </c>
      <c r="CF90" s="1425">
        <v>45107</v>
      </c>
      <c r="CG90" s="1">
        <v>9.5061999999999998</v>
      </c>
      <c r="CH90" s="1">
        <v>1.2732000000000001</v>
      </c>
      <c r="CL90" s="1425">
        <v>45110</v>
      </c>
      <c r="CM90" s="1">
        <v>21.5016</v>
      </c>
      <c r="CN90" s="1">
        <v>2.6012</v>
      </c>
      <c r="CO90" s="1">
        <v>10.396800000000001</v>
      </c>
    </row>
    <row r="91" spans="1:93">
      <c r="A91" s="1425">
        <v>45106</v>
      </c>
      <c r="B91" s="20">
        <f t="shared" si="12"/>
        <v>11.894600000000001</v>
      </c>
      <c r="C91" s="20">
        <f t="shared" si="14"/>
        <v>26.326699999999999</v>
      </c>
      <c r="D91" s="20">
        <f t="shared" si="15"/>
        <v>11.173400000000001</v>
      </c>
      <c r="E91" s="20">
        <f t="shared" si="16"/>
        <v>7.4317000000000002</v>
      </c>
      <c r="F91" s="20">
        <f t="shared" si="17"/>
        <v>13.891</v>
      </c>
      <c r="G91" s="20">
        <f t="shared" si="18"/>
        <v>9.5738000000000003</v>
      </c>
      <c r="H91" s="1239">
        <f t="shared" si="19"/>
        <v>11.173400000000001</v>
      </c>
      <c r="I91" s="1243">
        <f t="shared" si="13"/>
        <v>6.4546154259222721E-2</v>
      </c>
      <c r="J91" s="1243">
        <f t="shared" si="20"/>
        <v>0.12093838824177333</v>
      </c>
      <c r="K91" s="1243">
        <f t="shared" si="21"/>
        <v>0.1</v>
      </c>
      <c r="L91" s="203"/>
      <c r="N91" s="1425">
        <v>45106</v>
      </c>
      <c r="O91" s="1502">
        <v>11.894600000000001</v>
      </c>
      <c r="P91" s="1502">
        <v>2.6633</v>
      </c>
      <c r="Q91" s="1502">
        <v>11.9025</v>
      </c>
      <c r="R91" s="1233">
        <f>'B. PE'!$U$23</f>
        <v>15.978235616082999</v>
      </c>
      <c r="S91" s="1233"/>
      <c r="T91" s="1233"/>
      <c r="V91" s="1425">
        <v>45106</v>
      </c>
      <c r="W91" s="1">
        <v>26.326699999999999</v>
      </c>
      <c r="X91" s="1">
        <v>1.3794</v>
      </c>
      <c r="Y91" s="1">
        <v>6.0532000000000004</v>
      </c>
      <c r="Z91" s="1">
        <v>1.1214999999999999</v>
      </c>
      <c r="AB91" s="1425">
        <v>45100</v>
      </c>
      <c r="AC91" s="1">
        <v>7.9568000000000003</v>
      </c>
      <c r="AD91" s="1502">
        <v>1.0889</v>
      </c>
      <c r="AE91" s="1">
        <v>6.1135999999999999</v>
      </c>
      <c r="AF91" s="1">
        <v>3.184E-2</v>
      </c>
      <c r="AH91" s="1425">
        <v>45100</v>
      </c>
      <c r="AI91" s="1">
        <v>11.6617</v>
      </c>
      <c r="AJ91" s="1">
        <v>1.9493</v>
      </c>
      <c r="AK91" s="1">
        <v>6.0228999999999999</v>
      </c>
      <c r="AL91" s="1">
        <v>3.5779999999999999E-2</v>
      </c>
      <c r="AN91" s="1425">
        <v>45104</v>
      </c>
      <c r="AO91" s="1">
        <v>7.7713999999999999</v>
      </c>
      <c r="AP91" s="1">
        <v>1.1384000000000001</v>
      </c>
      <c r="AQ91" s="1">
        <v>5.5945999999999998</v>
      </c>
      <c r="AR91" s="1">
        <v>0.29071999999999998</v>
      </c>
      <c r="AT91" s="1425">
        <v>45104</v>
      </c>
      <c r="AU91" s="1">
        <v>8.4499999999999993</v>
      </c>
      <c r="AV91" s="1">
        <v>0.74399999999999999</v>
      </c>
      <c r="AW91" s="1">
        <v>6.1818</v>
      </c>
      <c r="AX91" s="1">
        <v>0.20094000000000001</v>
      </c>
      <c r="BA91" s="1425">
        <v>45103</v>
      </c>
      <c r="BB91" s="1">
        <v>9.9634999999999998</v>
      </c>
      <c r="BC91" s="1">
        <v>1.7095</v>
      </c>
      <c r="BD91" s="1">
        <v>9.4831000000000003</v>
      </c>
      <c r="BE91" s="1">
        <v>0.52346999999999999</v>
      </c>
      <c r="BG91" s="1425">
        <v>45103</v>
      </c>
      <c r="BH91" s="1">
        <v>14.124499999999999</v>
      </c>
      <c r="BI91" s="1">
        <v>2.4255</v>
      </c>
      <c r="BJ91" s="1">
        <v>17.191099999999999</v>
      </c>
      <c r="BT91" s="1425">
        <v>45106</v>
      </c>
      <c r="BU91" s="1">
        <v>23.284199999999998</v>
      </c>
      <c r="BV91" s="1">
        <v>2.6101000000000001</v>
      </c>
      <c r="BW91" s="1">
        <v>7.5141</v>
      </c>
      <c r="BX91" s="1">
        <v>1.8785000000000001</v>
      </c>
      <c r="BZ91" s="1425">
        <v>45106</v>
      </c>
      <c r="CA91" s="1">
        <v>43.665300000000002</v>
      </c>
      <c r="CB91" s="1">
        <v>4.5570000000000004</v>
      </c>
      <c r="CC91" s="1">
        <v>20.0138</v>
      </c>
      <c r="CD91" s="1">
        <v>2.9154300000000002</v>
      </c>
      <c r="CF91" s="1425">
        <v>45106</v>
      </c>
      <c r="CG91" s="1">
        <v>6.9431000000000003</v>
      </c>
      <c r="CH91" s="1">
        <v>1.2695000000000001</v>
      </c>
      <c r="CL91" s="1425">
        <v>45107</v>
      </c>
      <c r="CM91" s="1">
        <v>21.437200000000001</v>
      </c>
      <c r="CN91" s="1">
        <v>2.5933999999999999</v>
      </c>
      <c r="CO91" s="1">
        <v>10.3682</v>
      </c>
    </row>
    <row r="92" spans="1:93">
      <c r="A92" s="1425">
        <v>45105</v>
      </c>
      <c r="B92" s="20">
        <f t="shared" si="12"/>
        <v>12.4246</v>
      </c>
      <c r="C92" s="20">
        <f t="shared" si="14"/>
        <v>27.3018</v>
      </c>
      <c r="D92" s="20">
        <f t="shared" si="15"/>
        <v>11.173400000000001</v>
      </c>
      <c r="E92" s="20">
        <f t="shared" si="16"/>
        <v>7.7142999999999997</v>
      </c>
      <c r="F92" s="20">
        <f t="shared" si="17"/>
        <v>13.891</v>
      </c>
      <c r="G92" s="20">
        <f t="shared" si="18"/>
        <v>9.7408000000000001</v>
      </c>
      <c r="H92" s="1239">
        <f t="shared" si="19"/>
        <v>11.173400000000001</v>
      </c>
      <c r="I92" s="1243">
        <f t="shared" si="13"/>
        <v>0.11198023878139152</v>
      </c>
      <c r="J92" s="1243">
        <f t="shared" si="20"/>
        <v>0.12093838824177333</v>
      </c>
      <c r="K92" s="1243">
        <f t="shared" si="21"/>
        <v>0.1</v>
      </c>
      <c r="L92" s="203"/>
      <c r="N92" s="1425">
        <v>45105</v>
      </c>
      <c r="O92" s="1502">
        <v>12.4246</v>
      </c>
      <c r="P92" s="1502">
        <v>2.7818999999999998</v>
      </c>
      <c r="Q92" s="1502">
        <v>12.327199999999999</v>
      </c>
      <c r="R92" s="1233">
        <f>'B. PE'!$U$23</f>
        <v>15.978235616082999</v>
      </c>
      <c r="S92" s="1233"/>
      <c r="T92" s="1233"/>
      <c r="V92" s="1425">
        <v>45105</v>
      </c>
      <c r="W92" s="1">
        <v>27.3018</v>
      </c>
      <c r="X92" s="1">
        <v>1.4305000000000001</v>
      </c>
      <c r="Y92" s="1">
        <v>6.2472000000000003</v>
      </c>
      <c r="Z92" s="1">
        <v>1.12524</v>
      </c>
      <c r="AB92" s="1425">
        <v>45099</v>
      </c>
      <c r="AC92" s="1">
        <v>7.99</v>
      </c>
      <c r="AD92" s="1502">
        <v>1.0933999999999999</v>
      </c>
      <c r="AE92" s="1">
        <v>6.1265000000000001</v>
      </c>
      <c r="AF92" s="1">
        <v>3.1440000000000003E-2</v>
      </c>
      <c r="AH92" s="1425">
        <v>45099</v>
      </c>
      <c r="AI92" s="1">
        <v>11.6617</v>
      </c>
      <c r="AJ92" s="1">
        <v>1.9493</v>
      </c>
      <c r="AK92" s="1">
        <v>6.0228999999999999</v>
      </c>
      <c r="AL92" s="1">
        <v>3.5299999999999998E-2</v>
      </c>
      <c r="AN92" s="1425">
        <v>45103</v>
      </c>
      <c r="AO92" s="1">
        <v>7.8285999999999998</v>
      </c>
      <c r="AP92" s="1">
        <v>1.1468</v>
      </c>
      <c r="AQ92" s="1">
        <v>5.6376999999999997</v>
      </c>
      <c r="AR92" s="1">
        <v>0.29638999999999999</v>
      </c>
      <c r="AT92" s="1425">
        <v>45103</v>
      </c>
      <c r="AU92" s="1">
        <v>8.7302</v>
      </c>
      <c r="AV92" s="1">
        <v>0.76870000000000005</v>
      </c>
      <c r="AW92" s="1">
        <v>6.3798000000000004</v>
      </c>
      <c r="AX92" s="1">
        <v>0.20082</v>
      </c>
      <c r="BA92" s="1425">
        <v>45100</v>
      </c>
      <c r="BB92" s="1">
        <v>10.1861</v>
      </c>
      <c r="BC92" s="1">
        <v>1.7477</v>
      </c>
      <c r="BD92" s="1">
        <v>9.6227</v>
      </c>
      <c r="BE92" s="1">
        <v>0.52539000000000002</v>
      </c>
      <c r="BG92" s="1425">
        <v>45100</v>
      </c>
      <c r="BH92" s="1">
        <v>14.7082</v>
      </c>
      <c r="BI92" s="1">
        <v>2.5257000000000001</v>
      </c>
      <c r="BJ92" s="1">
        <v>17.6617</v>
      </c>
      <c r="BT92" s="1425">
        <v>45105</v>
      </c>
      <c r="BU92" s="1">
        <v>23.938600000000001</v>
      </c>
      <c r="BV92" s="1">
        <v>2.6833999999999998</v>
      </c>
      <c r="BW92" s="1">
        <v>7.7343000000000002</v>
      </c>
      <c r="BX92" s="1">
        <v>1.8845000000000001</v>
      </c>
      <c r="BZ92" s="1425">
        <v>45105</v>
      </c>
      <c r="CA92" s="1">
        <v>44.317</v>
      </c>
      <c r="CB92" s="1">
        <v>4.625</v>
      </c>
      <c r="CC92" s="1">
        <v>20.2211</v>
      </c>
      <c r="CD92" s="1">
        <v>2.9319299999999999</v>
      </c>
      <c r="CF92" s="1425">
        <v>45105</v>
      </c>
      <c r="CG92" s="1">
        <v>6.9839000000000002</v>
      </c>
      <c r="CH92" s="1">
        <v>1.2768999999999999</v>
      </c>
      <c r="CL92" s="1425">
        <v>45106</v>
      </c>
      <c r="CM92" s="1">
        <v>21.361000000000001</v>
      </c>
      <c r="CN92" s="1">
        <v>2.4449000000000001</v>
      </c>
      <c r="CO92" s="1">
        <v>10.6401</v>
      </c>
    </row>
    <row r="93" spans="1:93">
      <c r="A93" s="1425">
        <v>45104</v>
      </c>
      <c r="B93" s="20">
        <f t="shared" si="12"/>
        <v>12.5129</v>
      </c>
      <c r="C93" s="20">
        <f t="shared" si="14"/>
        <v>27.789300000000001</v>
      </c>
      <c r="D93" s="20">
        <f t="shared" si="15"/>
        <v>11.068</v>
      </c>
      <c r="E93" s="20">
        <f t="shared" si="16"/>
        <v>7.7713999999999999</v>
      </c>
      <c r="F93" s="20">
        <f t="shared" si="17"/>
        <v>14.358000000000001</v>
      </c>
      <c r="G93" s="20">
        <f t="shared" si="18"/>
        <v>10.1305</v>
      </c>
      <c r="H93" s="1239">
        <f t="shared" si="19"/>
        <v>11.068</v>
      </c>
      <c r="I93" s="1243">
        <f t="shared" si="13"/>
        <v>0.13054752439465123</v>
      </c>
      <c r="J93" s="1243">
        <f t="shared" si="20"/>
        <v>0.12093838824177333</v>
      </c>
      <c r="K93" s="1243">
        <f t="shared" si="21"/>
        <v>0.1</v>
      </c>
      <c r="L93" s="203"/>
      <c r="N93" s="1425">
        <v>45104</v>
      </c>
      <c r="O93" s="1502">
        <v>12.5129</v>
      </c>
      <c r="P93" s="1502">
        <v>2.8016999999999999</v>
      </c>
      <c r="Q93" s="1502">
        <v>12.398</v>
      </c>
      <c r="R93" s="1233">
        <f>'B. PE'!$U$23</f>
        <v>15.978235616082999</v>
      </c>
      <c r="S93" s="1233"/>
      <c r="T93" s="1233"/>
      <c r="V93" s="1425">
        <v>45104</v>
      </c>
      <c r="W93" s="1">
        <v>27.789300000000001</v>
      </c>
      <c r="X93" s="1">
        <v>1.4560999999999999</v>
      </c>
      <c r="Y93" s="1">
        <v>6.3441999999999998</v>
      </c>
      <c r="Z93" s="1">
        <v>1.0627899999999999</v>
      </c>
      <c r="AB93" s="1425">
        <v>45098</v>
      </c>
      <c r="AC93" s="1">
        <v>7.8905000000000003</v>
      </c>
      <c r="AD93" s="1502">
        <v>1.0798000000000001</v>
      </c>
      <c r="AE93" s="1">
        <v>6.0877999999999997</v>
      </c>
      <c r="AF93" s="1">
        <v>3.2140000000000002E-2</v>
      </c>
      <c r="AH93" s="1425">
        <v>45098</v>
      </c>
      <c r="AI93" s="1">
        <v>11.6617</v>
      </c>
      <c r="AJ93" s="1">
        <v>1.9493</v>
      </c>
      <c r="AK93" s="1">
        <v>6.0228999999999999</v>
      </c>
      <c r="AL93" s="1">
        <v>3.5009999999999999E-2</v>
      </c>
      <c r="AN93" s="1425">
        <v>45100</v>
      </c>
      <c r="AO93" s="1">
        <v>7.7713999999999999</v>
      </c>
      <c r="AP93" s="1">
        <v>1.1384000000000001</v>
      </c>
      <c r="AQ93" s="1">
        <v>5.5945999999999998</v>
      </c>
      <c r="AR93" s="1">
        <v>0.30132999999999999</v>
      </c>
      <c r="AT93" s="1425">
        <v>45100</v>
      </c>
      <c r="AU93" s="1">
        <v>8.7767999999999997</v>
      </c>
      <c r="AV93" s="1">
        <v>0.77280000000000004</v>
      </c>
      <c r="AW93" s="1">
        <v>6.4127999999999998</v>
      </c>
      <c r="AX93" s="1">
        <v>0.20232</v>
      </c>
      <c r="BA93" s="1425">
        <v>45099</v>
      </c>
      <c r="BB93" s="1">
        <v>10.2418</v>
      </c>
      <c r="BC93" s="1">
        <v>1.7572000000000001</v>
      </c>
      <c r="BD93" s="1">
        <v>9.6577000000000002</v>
      </c>
      <c r="BE93" s="1">
        <v>0.53981000000000001</v>
      </c>
      <c r="BG93" s="1425">
        <v>45099</v>
      </c>
      <c r="BH93" s="1">
        <v>14.8249</v>
      </c>
      <c r="BI93" s="1">
        <v>2.5457999999999998</v>
      </c>
      <c r="BJ93" s="1">
        <v>17.755800000000001</v>
      </c>
      <c r="BT93" s="1425">
        <v>45104</v>
      </c>
      <c r="BU93" s="1">
        <v>24.1022</v>
      </c>
      <c r="BV93" s="1">
        <v>2.7018</v>
      </c>
      <c r="BW93" s="1">
        <v>7.7893999999999997</v>
      </c>
      <c r="BX93" s="1">
        <v>1.8237000000000001</v>
      </c>
      <c r="BZ93" s="1425">
        <v>45104</v>
      </c>
      <c r="CA93" s="1">
        <v>44.708100000000002</v>
      </c>
      <c r="CB93" s="1">
        <v>4.6657999999999999</v>
      </c>
      <c r="CC93" s="1">
        <v>20.345500000000001</v>
      </c>
      <c r="CD93" s="1">
        <v>2.8822899999999998</v>
      </c>
      <c r="CF93" s="1425">
        <v>45104</v>
      </c>
      <c r="CG93" s="1">
        <v>7.0247000000000002</v>
      </c>
      <c r="CH93" s="1">
        <v>1.2844</v>
      </c>
      <c r="CL93" s="1425">
        <v>45105</v>
      </c>
      <c r="CM93" s="1">
        <v>21.328700000000001</v>
      </c>
      <c r="CN93" s="1">
        <v>2.4411999999999998</v>
      </c>
      <c r="CO93" s="1">
        <v>10.625500000000001</v>
      </c>
    </row>
    <row r="94" spans="1:93">
      <c r="A94" s="1425">
        <v>45103</v>
      </c>
      <c r="B94" s="20">
        <f t="shared" si="12"/>
        <v>12.6012</v>
      </c>
      <c r="C94" s="20">
        <f t="shared" si="14"/>
        <v>27.886800000000001</v>
      </c>
      <c r="D94" s="20">
        <f t="shared" si="15"/>
        <v>11.6617</v>
      </c>
      <c r="E94" s="20">
        <f t="shared" si="16"/>
        <v>7.8285999999999998</v>
      </c>
      <c r="F94" s="20">
        <f t="shared" si="17"/>
        <v>14.124499999999999</v>
      </c>
      <c r="G94" s="20">
        <f t="shared" si="18"/>
        <v>9.9634999999999998</v>
      </c>
      <c r="H94" s="1239">
        <f t="shared" si="19"/>
        <v>11.6617</v>
      </c>
      <c r="I94" s="1243">
        <f t="shared" si="13"/>
        <v>8.0562868192459058E-2</v>
      </c>
      <c r="J94" s="1243">
        <f t="shared" si="20"/>
        <v>0.12093838824177333</v>
      </c>
      <c r="K94" s="1243">
        <f t="shared" si="21"/>
        <v>0.1</v>
      </c>
      <c r="L94" s="203"/>
      <c r="N94" s="1425">
        <v>45103</v>
      </c>
      <c r="O94" s="1502">
        <v>12.6012</v>
      </c>
      <c r="P94" s="1502">
        <v>2.8214999999999999</v>
      </c>
      <c r="Q94" s="1502">
        <v>12.4688</v>
      </c>
      <c r="R94" s="1233">
        <f>'B. PE'!$U$23</f>
        <v>15.978235616082999</v>
      </c>
      <c r="S94" s="1233"/>
      <c r="T94" s="1233"/>
      <c r="V94" s="1425">
        <v>45103</v>
      </c>
      <c r="W94" s="1">
        <v>27.886800000000001</v>
      </c>
      <c r="X94" s="1">
        <v>1.4612000000000001</v>
      </c>
      <c r="Y94" s="1">
        <v>6.3635999999999999</v>
      </c>
      <c r="Z94" s="1">
        <v>1.0767</v>
      </c>
      <c r="AB94" s="1425">
        <v>45097</v>
      </c>
      <c r="AC94" s="1">
        <v>7.8242000000000003</v>
      </c>
      <c r="AD94" s="1502">
        <v>1.0708</v>
      </c>
      <c r="AE94" s="1">
        <v>6.0620000000000003</v>
      </c>
      <c r="AF94" s="1">
        <v>3.2460000000000003E-2</v>
      </c>
      <c r="AH94" s="1425">
        <v>45097</v>
      </c>
      <c r="AI94" s="1">
        <v>11.5527</v>
      </c>
      <c r="AJ94" s="1">
        <v>1.9311</v>
      </c>
      <c r="AK94" s="1">
        <v>5.9664000000000001</v>
      </c>
      <c r="AL94" s="1">
        <v>3.5400000000000001E-2</v>
      </c>
      <c r="AN94" s="1425">
        <v>45099</v>
      </c>
      <c r="AO94" s="1">
        <v>7.8856999999999999</v>
      </c>
      <c r="AP94" s="1">
        <v>1.1551</v>
      </c>
      <c r="AQ94" s="1">
        <v>5.6806999999999999</v>
      </c>
      <c r="AR94" s="1">
        <v>0.30179</v>
      </c>
      <c r="AT94" s="1425">
        <v>45099</v>
      </c>
      <c r="AU94" s="1">
        <v>8.7302</v>
      </c>
      <c r="AV94" s="1">
        <v>0.76870000000000005</v>
      </c>
      <c r="AW94" s="1">
        <v>6.3798000000000004</v>
      </c>
      <c r="AX94" s="1">
        <v>0.20263</v>
      </c>
      <c r="BA94" s="1425">
        <v>45098</v>
      </c>
      <c r="BB94" s="1">
        <v>10.1861</v>
      </c>
      <c r="BC94" s="1">
        <v>1.7477</v>
      </c>
      <c r="BD94" s="1">
        <v>9.6227</v>
      </c>
      <c r="BE94" s="1">
        <v>0.54395000000000004</v>
      </c>
      <c r="BG94" s="1425">
        <v>45098</v>
      </c>
      <c r="BH94" s="1">
        <v>14.941599999999999</v>
      </c>
      <c r="BI94" s="1">
        <v>2.5657999999999999</v>
      </c>
      <c r="BJ94" s="1">
        <v>17.849900000000002</v>
      </c>
      <c r="BT94" s="1425">
        <v>45103</v>
      </c>
      <c r="BU94" s="1">
        <v>24.184000000000001</v>
      </c>
      <c r="BV94" s="1">
        <v>2.7109000000000001</v>
      </c>
      <c r="BW94" s="1">
        <v>7.8169000000000004</v>
      </c>
      <c r="BX94" s="1">
        <v>1.8304</v>
      </c>
      <c r="BZ94" s="1425">
        <v>45103</v>
      </c>
      <c r="CA94" s="1">
        <v>44.968800000000002</v>
      </c>
      <c r="CB94" s="1">
        <v>4.6929999999999996</v>
      </c>
      <c r="CC94" s="1">
        <v>20.4284</v>
      </c>
      <c r="CD94" s="1">
        <v>2.8273799999999998</v>
      </c>
      <c r="CF94" s="1425">
        <v>45103</v>
      </c>
      <c r="CG94" s="1">
        <v>6.9839000000000002</v>
      </c>
      <c r="CH94" s="1">
        <v>1.2768999999999999</v>
      </c>
      <c r="CL94" s="1425">
        <v>45104</v>
      </c>
      <c r="CM94" s="1">
        <v>21.215599999999998</v>
      </c>
      <c r="CN94" s="1">
        <v>2.4281999999999999</v>
      </c>
      <c r="CO94" s="1">
        <v>10.574400000000001</v>
      </c>
    </row>
    <row r="95" spans="1:93">
      <c r="A95" s="1425">
        <v>45100</v>
      </c>
      <c r="B95" s="20">
        <f t="shared" si="12"/>
        <v>12.071199999999999</v>
      </c>
      <c r="C95" s="20">
        <f t="shared" si="14"/>
        <v>26.326699999999999</v>
      </c>
      <c r="D95" s="20">
        <f t="shared" si="15"/>
        <v>11.6617</v>
      </c>
      <c r="E95" s="20">
        <f t="shared" si="16"/>
        <v>7.7713999999999999</v>
      </c>
      <c r="F95" s="20">
        <f t="shared" si="17"/>
        <v>14.7082</v>
      </c>
      <c r="G95" s="20">
        <f t="shared" si="18"/>
        <v>10.1861</v>
      </c>
      <c r="H95" s="1239">
        <f t="shared" si="19"/>
        <v>11.6617</v>
      </c>
      <c r="I95" s="1243">
        <f t="shared" si="13"/>
        <v>3.51149489354039E-2</v>
      </c>
      <c r="J95" s="1243">
        <f t="shared" si="20"/>
        <v>0.12093838824177333</v>
      </c>
      <c r="K95" s="1243">
        <f t="shared" si="21"/>
        <v>0.1</v>
      </c>
      <c r="L95" s="203"/>
      <c r="N95" s="1425">
        <v>45100</v>
      </c>
      <c r="O95" s="1502">
        <v>12.071199999999999</v>
      </c>
      <c r="P95" s="1502">
        <v>2.7027999999999999</v>
      </c>
      <c r="Q95" s="1502">
        <v>12.044</v>
      </c>
      <c r="R95" s="1233">
        <f>'B. PE'!$U$23</f>
        <v>15.978235616082999</v>
      </c>
      <c r="S95" s="1233"/>
      <c r="T95" s="1233"/>
      <c r="V95" s="1425">
        <v>45100</v>
      </c>
      <c r="W95" s="1">
        <v>26.326699999999999</v>
      </c>
      <c r="X95" s="1">
        <v>1.3794</v>
      </c>
      <c r="Y95" s="1">
        <v>6.0532000000000004</v>
      </c>
      <c r="Z95" s="1">
        <v>1.0745499999999999</v>
      </c>
      <c r="AB95" s="1425">
        <v>45096</v>
      </c>
      <c r="AC95" s="1">
        <v>7.99</v>
      </c>
      <c r="AD95" s="1502">
        <v>1.0933999999999999</v>
      </c>
      <c r="AE95" s="1">
        <v>6.1265000000000001</v>
      </c>
      <c r="AF95" s="1">
        <v>3.2689999999999997E-2</v>
      </c>
      <c r="AH95" s="1425">
        <v>45096</v>
      </c>
      <c r="AI95" s="1">
        <v>11.4437</v>
      </c>
      <c r="AJ95" s="1">
        <v>1.9129</v>
      </c>
      <c r="AK95" s="1">
        <v>5.9099000000000004</v>
      </c>
      <c r="AL95" s="1">
        <v>3.551E-2</v>
      </c>
      <c r="AN95" s="1425">
        <v>45098</v>
      </c>
      <c r="AO95" s="1">
        <v>8</v>
      </c>
      <c r="AP95" s="1">
        <v>1.1718999999999999</v>
      </c>
      <c r="AQ95" s="1">
        <v>5.7668999999999997</v>
      </c>
      <c r="AR95" s="1">
        <v>0.30035000000000001</v>
      </c>
      <c r="AT95" s="1425">
        <v>45098</v>
      </c>
      <c r="AU95" s="1">
        <v>8.7767999999999997</v>
      </c>
      <c r="AV95" s="1">
        <v>0.77280000000000004</v>
      </c>
      <c r="AW95" s="1">
        <v>6.4127999999999998</v>
      </c>
      <c r="AX95" s="1">
        <v>0.20311000000000001</v>
      </c>
      <c r="BA95" s="1425">
        <v>45097</v>
      </c>
      <c r="BB95" s="1">
        <v>10.464399999999999</v>
      </c>
      <c r="BC95" s="1">
        <v>1.7954000000000001</v>
      </c>
      <c r="BD95" s="1">
        <v>9.7973999999999997</v>
      </c>
      <c r="BE95" s="1">
        <v>0.52473999999999998</v>
      </c>
      <c r="BG95" s="1425">
        <v>45097</v>
      </c>
      <c r="BH95" s="1">
        <v>14.941599999999999</v>
      </c>
      <c r="BI95" s="1">
        <v>2.5657999999999999</v>
      </c>
      <c r="BJ95" s="1">
        <v>17.849900000000002</v>
      </c>
      <c r="BT95" s="1425">
        <v>45100</v>
      </c>
      <c r="BU95" s="1">
        <v>23.3933</v>
      </c>
      <c r="BV95" s="1">
        <v>2.6223000000000001</v>
      </c>
      <c r="BW95" s="1">
        <v>7.5507999999999997</v>
      </c>
      <c r="BX95" s="1">
        <v>1.8151999999999999</v>
      </c>
      <c r="BZ95" s="1425">
        <v>45100</v>
      </c>
      <c r="CA95" s="1">
        <v>44.186700000000002</v>
      </c>
      <c r="CB95" s="1">
        <v>4.6113999999999997</v>
      </c>
      <c r="CC95" s="1">
        <v>20.1797</v>
      </c>
      <c r="CD95" s="1">
        <v>2.8353999999999999</v>
      </c>
      <c r="CF95" s="1425">
        <v>45100</v>
      </c>
      <c r="CG95" s="1">
        <v>6.9431000000000003</v>
      </c>
      <c r="CH95" s="1">
        <v>1.2695000000000001</v>
      </c>
      <c r="CL95" s="1425">
        <v>45103</v>
      </c>
      <c r="CM95" s="1">
        <v>21.2318</v>
      </c>
      <c r="CN95" s="1">
        <v>2.4300999999999999</v>
      </c>
      <c r="CO95" s="1">
        <v>10.5817</v>
      </c>
    </row>
    <row r="96" spans="1:93">
      <c r="A96" s="1425">
        <v>45099</v>
      </c>
      <c r="B96" s="20">
        <f t="shared" si="12"/>
        <v>12.2773</v>
      </c>
      <c r="C96" s="20">
        <f t="shared" si="14"/>
        <v>26.667999999999999</v>
      </c>
      <c r="D96" s="20">
        <f t="shared" si="15"/>
        <v>11.6617</v>
      </c>
      <c r="E96" s="20">
        <f t="shared" si="16"/>
        <v>7.8856999999999999</v>
      </c>
      <c r="F96" s="20">
        <f t="shared" si="17"/>
        <v>14.8249</v>
      </c>
      <c r="G96" s="20">
        <f t="shared" si="18"/>
        <v>10.2418</v>
      </c>
      <c r="H96" s="1239">
        <f t="shared" si="19"/>
        <v>11.6617</v>
      </c>
      <c r="I96" s="1243">
        <f t="shared" si="13"/>
        <v>5.2788186971024942E-2</v>
      </c>
      <c r="J96" s="1243">
        <f t="shared" si="20"/>
        <v>0.12093838824177333</v>
      </c>
      <c r="K96" s="1243">
        <f t="shared" si="21"/>
        <v>0.1</v>
      </c>
      <c r="L96" s="203"/>
      <c r="N96" s="1425">
        <v>45099</v>
      </c>
      <c r="O96" s="1502">
        <v>12.2773</v>
      </c>
      <c r="P96" s="1502">
        <v>2.7490000000000001</v>
      </c>
      <c r="Q96" s="1502">
        <v>12.209199999999999</v>
      </c>
      <c r="R96" s="1233">
        <f>'B. PE'!$U$23</f>
        <v>15.978235616082999</v>
      </c>
      <c r="S96" s="1233"/>
      <c r="T96" s="1233"/>
      <c r="V96" s="1425">
        <v>45099</v>
      </c>
      <c r="W96" s="1">
        <v>26.667999999999999</v>
      </c>
      <c r="X96" s="1">
        <v>1.3973</v>
      </c>
      <c r="Y96" s="1">
        <v>6.1211000000000002</v>
      </c>
      <c r="Z96" s="1">
        <v>1.0746899999999999</v>
      </c>
      <c r="AB96" s="1425">
        <v>45093</v>
      </c>
      <c r="AC96" s="1">
        <v>8.0563000000000002</v>
      </c>
      <c r="AD96" s="1502">
        <v>1.1025</v>
      </c>
      <c r="AE96" s="1">
        <v>6.1523000000000003</v>
      </c>
      <c r="AF96" s="1">
        <v>3.2509999999999997E-2</v>
      </c>
      <c r="AH96" s="1425">
        <v>45093</v>
      </c>
      <c r="AI96" s="1">
        <v>11.5527</v>
      </c>
      <c r="AJ96" s="1">
        <v>1.9311</v>
      </c>
      <c r="AK96" s="1">
        <v>5.9664000000000001</v>
      </c>
      <c r="AL96" s="1">
        <v>3.594E-2</v>
      </c>
      <c r="AN96" s="1425">
        <v>45097</v>
      </c>
      <c r="AO96" s="1">
        <v>8</v>
      </c>
      <c r="AP96" s="1">
        <v>1.1718999999999999</v>
      </c>
      <c r="AQ96" s="1">
        <v>5.7668999999999997</v>
      </c>
      <c r="AR96" s="1">
        <v>0.30329</v>
      </c>
      <c r="AT96" s="1425">
        <v>45097</v>
      </c>
      <c r="AU96" s="1">
        <v>8.7767999999999997</v>
      </c>
      <c r="AV96" s="1">
        <v>0.77280000000000004</v>
      </c>
      <c r="AW96" s="1">
        <v>6.4127999999999998</v>
      </c>
      <c r="AX96" s="1">
        <v>0.20255999999999999</v>
      </c>
      <c r="BA96" s="1425">
        <v>45096</v>
      </c>
      <c r="BB96" s="1">
        <v>10.520099999999999</v>
      </c>
      <c r="BC96" s="1">
        <v>1.8049999999999999</v>
      </c>
      <c r="BD96" s="1">
        <v>9.8323</v>
      </c>
      <c r="BE96" s="1">
        <v>0.54037000000000002</v>
      </c>
      <c r="BG96" s="1425">
        <v>45096</v>
      </c>
      <c r="BH96" s="1">
        <v>15.2918</v>
      </c>
      <c r="BI96" s="1">
        <v>2.6259999999999999</v>
      </c>
      <c r="BJ96" s="1">
        <v>18.132300000000001</v>
      </c>
      <c r="BT96" s="1425">
        <v>45099</v>
      </c>
      <c r="BU96" s="1">
        <v>23.475100000000001</v>
      </c>
      <c r="BV96" s="1">
        <v>2.6315</v>
      </c>
      <c r="BW96" s="1">
        <v>7.5782999999999996</v>
      </c>
      <c r="BX96" s="1">
        <v>1.8069</v>
      </c>
      <c r="BZ96" s="1425">
        <v>45099</v>
      </c>
      <c r="CA96" s="1">
        <v>43.339500000000001</v>
      </c>
      <c r="CB96" s="1">
        <v>4.5229999999999997</v>
      </c>
      <c r="CC96" s="1">
        <v>19.9102</v>
      </c>
      <c r="CD96" s="1">
        <v>2.7294800000000001</v>
      </c>
      <c r="CF96" s="1425">
        <v>45099</v>
      </c>
      <c r="CG96" s="1">
        <v>6.9021999999999997</v>
      </c>
      <c r="CH96" s="1">
        <v>1.262</v>
      </c>
      <c r="CL96" s="1425">
        <v>45100</v>
      </c>
      <c r="CM96" s="1">
        <v>21.457999999999998</v>
      </c>
      <c r="CN96" s="1">
        <v>2.456</v>
      </c>
      <c r="CO96" s="1">
        <v>10.6838</v>
      </c>
    </row>
    <row r="97" spans="1:93">
      <c r="A97" s="1425">
        <v>45098</v>
      </c>
      <c r="B97" s="20">
        <f t="shared" si="12"/>
        <v>12.071199999999999</v>
      </c>
      <c r="C97" s="20">
        <f t="shared" si="14"/>
        <v>26.619199999999999</v>
      </c>
      <c r="D97" s="20">
        <f t="shared" si="15"/>
        <v>11.6617</v>
      </c>
      <c r="E97" s="20">
        <f t="shared" si="16"/>
        <v>8</v>
      </c>
      <c r="F97" s="20">
        <f t="shared" si="17"/>
        <v>14.941599999999999</v>
      </c>
      <c r="G97" s="20">
        <f t="shared" si="18"/>
        <v>10.1861</v>
      </c>
      <c r="H97" s="1239">
        <f t="shared" si="19"/>
        <v>11.6617</v>
      </c>
      <c r="I97" s="1243">
        <f t="shared" si="13"/>
        <v>3.51149489354039E-2</v>
      </c>
      <c r="J97" s="1243">
        <f t="shared" si="20"/>
        <v>0.12093838824177333</v>
      </c>
      <c r="K97" s="1243">
        <f t="shared" si="21"/>
        <v>0.1</v>
      </c>
      <c r="L97" s="203"/>
      <c r="N97" s="1425">
        <v>45098</v>
      </c>
      <c r="O97" s="1502">
        <v>12.071199999999999</v>
      </c>
      <c r="P97" s="1502">
        <v>2.7027999999999999</v>
      </c>
      <c r="Q97" s="1502">
        <v>12.044</v>
      </c>
      <c r="R97" s="1233">
        <f>'B. PE'!$U$23</f>
        <v>15.978235616082999</v>
      </c>
      <c r="S97" s="1233"/>
      <c r="T97" s="1233"/>
      <c r="V97" s="1425">
        <v>45098</v>
      </c>
      <c r="W97" s="1">
        <v>26.619199999999999</v>
      </c>
      <c r="X97" s="1">
        <v>1.3948</v>
      </c>
      <c r="Y97" s="1">
        <v>6.1113999999999997</v>
      </c>
      <c r="Z97" s="1">
        <v>1.04101</v>
      </c>
      <c r="AB97" s="1425">
        <v>45092</v>
      </c>
      <c r="AC97" s="1">
        <v>8.0893999999999995</v>
      </c>
      <c r="AD97" s="1502">
        <v>1.1071</v>
      </c>
      <c r="AE97" s="1">
        <v>6.1651999999999996</v>
      </c>
      <c r="AF97" s="1">
        <v>3.313E-2</v>
      </c>
      <c r="AH97" s="1425">
        <v>45092</v>
      </c>
      <c r="AI97" s="1">
        <v>11.5527</v>
      </c>
      <c r="AJ97" s="1">
        <v>1.9311</v>
      </c>
      <c r="AK97" s="1">
        <v>5.9664000000000001</v>
      </c>
      <c r="AL97" s="1">
        <v>3.569E-2</v>
      </c>
      <c r="AN97" s="1425">
        <v>45096</v>
      </c>
      <c r="AO97" s="1">
        <v>7.9428999999999998</v>
      </c>
      <c r="AP97" s="1">
        <v>1.1635</v>
      </c>
      <c r="AQ97" s="1">
        <v>5.7237999999999998</v>
      </c>
      <c r="AR97" s="1">
        <v>0.30035000000000001</v>
      </c>
      <c r="AT97" s="1425">
        <v>45096</v>
      </c>
      <c r="AU97" s="1">
        <v>8.7767999999999997</v>
      </c>
      <c r="AV97" s="1">
        <v>0.77280000000000004</v>
      </c>
      <c r="AW97" s="1">
        <v>6.4127999999999998</v>
      </c>
      <c r="AX97" s="1">
        <v>0.20419000000000001</v>
      </c>
      <c r="BA97" s="1425">
        <v>45093</v>
      </c>
      <c r="BB97" s="1">
        <v>10.1305</v>
      </c>
      <c r="BC97" s="1">
        <v>1.7381</v>
      </c>
      <c r="BD97" s="1">
        <v>9.5877999999999997</v>
      </c>
      <c r="BE97" s="1">
        <v>0.56927000000000005</v>
      </c>
      <c r="BG97" s="1425">
        <v>45093</v>
      </c>
      <c r="BH97" s="1">
        <v>15.2918</v>
      </c>
      <c r="BI97" s="1">
        <v>2.6259999999999999</v>
      </c>
      <c r="BJ97" s="1">
        <v>18.132300000000001</v>
      </c>
      <c r="BT97" s="1425">
        <v>45098</v>
      </c>
      <c r="BU97" s="1">
        <v>23.284199999999998</v>
      </c>
      <c r="BV97" s="1">
        <v>2.6101000000000001</v>
      </c>
      <c r="BW97" s="1">
        <v>7.5141</v>
      </c>
      <c r="BX97" s="1">
        <v>1.764</v>
      </c>
      <c r="BZ97" s="1425">
        <v>45098</v>
      </c>
      <c r="CA97" s="1">
        <v>43.469799999999999</v>
      </c>
      <c r="CB97" s="1">
        <v>4.5366</v>
      </c>
      <c r="CC97" s="1">
        <v>19.951599999999999</v>
      </c>
      <c r="CD97" s="1">
        <v>2.6693899999999999</v>
      </c>
      <c r="CF97" s="1425">
        <v>45098</v>
      </c>
      <c r="CG97" s="1">
        <v>6.8613999999999997</v>
      </c>
      <c r="CH97" s="1">
        <v>1.2544999999999999</v>
      </c>
      <c r="CL97" s="1425">
        <v>45099</v>
      </c>
      <c r="CM97" s="1">
        <v>21.344899999999999</v>
      </c>
      <c r="CN97" s="1">
        <v>2.4430000000000001</v>
      </c>
      <c r="CO97" s="1">
        <v>10.6328</v>
      </c>
    </row>
    <row r="98" spans="1:93">
      <c r="A98" s="1425">
        <v>45097</v>
      </c>
      <c r="B98" s="20">
        <f t="shared" si="12"/>
        <v>12.071199999999999</v>
      </c>
      <c r="C98" s="20">
        <f t="shared" si="14"/>
        <v>26.619199999999999</v>
      </c>
      <c r="D98" s="20">
        <f t="shared" si="15"/>
        <v>11.5527</v>
      </c>
      <c r="E98" s="20">
        <f t="shared" si="16"/>
        <v>8</v>
      </c>
      <c r="F98" s="20">
        <f t="shared" si="17"/>
        <v>14.941599999999999</v>
      </c>
      <c r="G98" s="20">
        <f t="shared" si="18"/>
        <v>10.464399999999999</v>
      </c>
      <c r="H98" s="1239">
        <f t="shared" si="19"/>
        <v>11.5527</v>
      </c>
      <c r="I98" s="1243">
        <f t="shared" si="13"/>
        <v>4.4881283163243246E-2</v>
      </c>
      <c r="J98" s="1243">
        <f t="shared" si="20"/>
        <v>0.12093838824177333</v>
      </c>
      <c r="K98" s="1243">
        <f t="shared" si="21"/>
        <v>0.1</v>
      </c>
      <c r="L98" s="203"/>
      <c r="N98" s="1425">
        <v>45097</v>
      </c>
      <c r="O98" s="1502">
        <v>12.071199999999999</v>
      </c>
      <c r="P98" s="1502">
        <v>2.7027999999999999</v>
      </c>
      <c r="Q98" s="1502">
        <v>12.044</v>
      </c>
      <c r="R98" s="1233">
        <f>'B. PE'!$U$23</f>
        <v>15.978235616082999</v>
      </c>
      <c r="S98" s="1233"/>
      <c r="T98" s="1233"/>
      <c r="V98" s="1425">
        <v>45097</v>
      </c>
      <c r="W98" s="1">
        <v>26.619199999999999</v>
      </c>
      <c r="X98" s="1">
        <v>1.3948</v>
      </c>
      <c r="Y98" s="1">
        <v>6.1113999999999997</v>
      </c>
      <c r="Z98" s="1">
        <v>1.03471</v>
      </c>
      <c r="AB98" s="1425">
        <v>45091</v>
      </c>
      <c r="AC98" s="1">
        <v>8.0230999999999995</v>
      </c>
      <c r="AD98" s="1502">
        <v>1.0980000000000001</v>
      </c>
      <c r="AE98" s="1">
        <v>6.1394000000000002</v>
      </c>
      <c r="AF98" s="1">
        <v>3.3959999999999997E-2</v>
      </c>
      <c r="AH98" s="1425">
        <v>45091</v>
      </c>
      <c r="AI98" s="1">
        <v>11.6617</v>
      </c>
      <c r="AJ98" s="1">
        <v>1.9493</v>
      </c>
      <c r="AK98" s="1">
        <v>6.0228999999999999</v>
      </c>
      <c r="AL98" s="1">
        <v>3.5979999999999998E-2</v>
      </c>
      <c r="AN98" s="1425">
        <v>45093</v>
      </c>
      <c r="AO98" s="1">
        <v>8</v>
      </c>
      <c r="AP98" s="1">
        <v>1.1718999999999999</v>
      </c>
      <c r="AQ98" s="1">
        <v>5.7668999999999997</v>
      </c>
      <c r="AR98" s="1">
        <v>0.3029</v>
      </c>
      <c r="AT98" s="1425">
        <v>45093</v>
      </c>
      <c r="AU98" s="1">
        <v>8.7302</v>
      </c>
      <c r="AV98" s="1">
        <v>0.76870000000000005</v>
      </c>
      <c r="AW98" s="1">
        <v>6.3715000000000002</v>
      </c>
      <c r="AX98" s="1">
        <v>0.20338000000000001</v>
      </c>
      <c r="BA98" s="1425">
        <v>45092</v>
      </c>
      <c r="BB98" s="1">
        <v>10.408799999999999</v>
      </c>
      <c r="BC98" s="1">
        <v>1.7859</v>
      </c>
      <c r="BD98" s="1">
        <v>9.7623999999999995</v>
      </c>
      <c r="BE98" s="1">
        <v>0.58042000000000005</v>
      </c>
      <c r="BG98" s="1425">
        <v>45092</v>
      </c>
      <c r="BH98" s="1">
        <v>15.1751</v>
      </c>
      <c r="BI98" s="1">
        <v>2.6059000000000001</v>
      </c>
      <c r="BJ98" s="1">
        <v>18.0382</v>
      </c>
      <c r="BT98" s="1425">
        <v>45097</v>
      </c>
      <c r="BU98" s="1">
        <v>23.1752</v>
      </c>
      <c r="BV98" s="1">
        <v>2.5977999999999999</v>
      </c>
      <c r="BW98" s="1">
        <v>7.4774000000000003</v>
      </c>
      <c r="BX98" s="1">
        <v>1.7569999999999999</v>
      </c>
      <c r="BZ98" s="1425">
        <v>45097</v>
      </c>
      <c r="CA98" s="1">
        <v>41.840499999999999</v>
      </c>
      <c r="CB98" s="1">
        <v>4.3665000000000003</v>
      </c>
      <c r="CC98" s="1">
        <v>19.433399999999999</v>
      </c>
      <c r="CD98" s="1">
        <v>2.6343700000000001</v>
      </c>
      <c r="CF98" s="1425">
        <v>45097</v>
      </c>
      <c r="CG98" s="1">
        <v>6.8205</v>
      </c>
      <c r="CH98" s="1">
        <v>1.2471000000000001</v>
      </c>
      <c r="CL98" s="1425">
        <v>45098</v>
      </c>
      <c r="CM98" s="1">
        <v>21.377199999999998</v>
      </c>
      <c r="CN98" s="1">
        <v>2.4466999999999999</v>
      </c>
      <c r="CO98" s="1">
        <v>10.647399999999999</v>
      </c>
    </row>
    <row r="99" spans="1:93">
      <c r="A99" s="1425">
        <v>45096</v>
      </c>
      <c r="B99" s="20">
        <f t="shared" si="12"/>
        <v>11.835699999999999</v>
      </c>
      <c r="C99" s="20">
        <f t="shared" si="14"/>
        <v>25.790400000000002</v>
      </c>
      <c r="D99" s="20">
        <f t="shared" si="15"/>
        <v>11.4437</v>
      </c>
      <c r="E99" s="20">
        <f t="shared" si="16"/>
        <v>7.9428999999999998</v>
      </c>
      <c r="F99" s="20">
        <f t="shared" si="17"/>
        <v>15.2918</v>
      </c>
      <c r="G99" s="20">
        <f t="shared" si="18"/>
        <v>10.520099999999999</v>
      </c>
      <c r="H99" s="1239">
        <f t="shared" si="19"/>
        <v>11.4437</v>
      </c>
      <c r="I99" s="1243">
        <f t="shared" si="13"/>
        <v>3.4254655399914347E-2</v>
      </c>
      <c r="J99" s="1243">
        <f t="shared" si="20"/>
        <v>0.12093838824177333</v>
      </c>
      <c r="K99" s="1243">
        <f t="shared" si="21"/>
        <v>0.1</v>
      </c>
      <c r="L99" s="203"/>
      <c r="N99" s="1425">
        <v>45096</v>
      </c>
      <c r="O99" s="1502">
        <v>11.835699999999999</v>
      </c>
      <c r="P99" s="1502">
        <v>2.6501000000000001</v>
      </c>
      <c r="Q99" s="1502">
        <v>11.8553</v>
      </c>
      <c r="R99" s="1233">
        <f>'B. PE'!$U$23</f>
        <v>15.978235616082999</v>
      </c>
      <c r="S99" s="1233"/>
      <c r="T99" s="1233"/>
      <c r="V99" s="1425">
        <v>45096</v>
      </c>
      <c r="W99" s="1">
        <v>25.790400000000002</v>
      </c>
      <c r="X99" s="1">
        <v>1.3512999999999999</v>
      </c>
      <c r="Y99" s="1">
        <v>5.9465000000000003</v>
      </c>
      <c r="Z99" s="1">
        <v>1.04623</v>
      </c>
      <c r="AB99" s="1425">
        <v>45090</v>
      </c>
      <c r="AC99" s="1">
        <v>8.1556999999999995</v>
      </c>
      <c r="AD99" s="1502">
        <v>1.1161000000000001</v>
      </c>
      <c r="AE99" s="1">
        <v>6.1909999999999998</v>
      </c>
      <c r="AF99" s="1">
        <v>3.4290000000000001E-2</v>
      </c>
      <c r="AH99" s="1425">
        <v>45090</v>
      </c>
      <c r="AI99" s="1">
        <v>11.5527</v>
      </c>
      <c r="AJ99" s="1">
        <v>1.9311</v>
      </c>
      <c r="AK99" s="1">
        <v>5.9664000000000001</v>
      </c>
      <c r="AL99" s="1">
        <v>3.6639999999999999E-2</v>
      </c>
      <c r="AN99" s="1425">
        <v>45092</v>
      </c>
      <c r="AO99" s="1">
        <v>7.9428999999999998</v>
      </c>
      <c r="AP99" s="1">
        <v>1.1635</v>
      </c>
      <c r="AQ99" s="1">
        <v>5.7237999999999998</v>
      </c>
      <c r="AR99" s="1">
        <v>0.30329</v>
      </c>
      <c r="AT99" s="1425">
        <v>45092</v>
      </c>
      <c r="AU99" s="1">
        <v>8.8234999999999992</v>
      </c>
      <c r="AV99" s="1">
        <v>0.77690000000000003</v>
      </c>
      <c r="AW99" s="1">
        <v>6.4062000000000001</v>
      </c>
      <c r="AX99" s="1">
        <v>0.20255999999999999</v>
      </c>
      <c r="BA99" s="1425">
        <v>45091</v>
      </c>
      <c r="BB99" s="1">
        <v>10.965400000000001</v>
      </c>
      <c r="BC99" s="1">
        <v>1.8814</v>
      </c>
      <c r="BD99" s="1">
        <v>10.111700000000001</v>
      </c>
      <c r="BE99" s="1">
        <v>0.56510000000000005</v>
      </c>
      <c r="BG99" s="1425">
        <v>45091</v>
      </c>
      <c r="BH99" s="1">
        <v>15.5253</v>
      </c>
      <c r="BI99" s="1">
        <v>2.6661000000000001</v>
      </c>
      <c r="BJ99" s="1">
        <v>18.320499999999999</v>
      </c>
      <c r="BT99" s="1425">
        <v>45096</v>
      </c>
      <c r="BU99" s="1">
        <v>22.629899999999999</v>
      </c>
      <c r="BV99" s="1">
        <v>2.5367000000000002</v>
      </c>
      <c r="BW99" s="1">
        <v>7.2938000000000001</v>
      </c>
      <c r="BX99" s="1">
        <v>1.7746999999999999</v>
      </c>
      <c r="BZ99" s="1425">
        <v>45096</v>
      </c>
      <c r="CA99" s="1">
        <v>40.928100000000001</v>
      </c>
      <c r="CB99" s="1">
        <v>4.2713000000000001</v>
      </c>
      <c r="CC99" s="1">
        <v>19.1431</v>
      </c>
      <c r="CD99" s="1">
        <v>2.65991</v>
      </c>
      <c r="CF99" s="1425">
        <v>45096</v>
      </c>
      <c r="CG99" s="1">
        <v>6.8205</v>
      </c>
      <c r="CH99" s="1">
        <v>1.2471000000000001</v>
      </c>
      <c r="CL99" s="1425">
        <v>45097</v>
      </c>
      <c r="CM99" s="1">
        <v>21.603400000000001</v>
      </c>
      <c r="CN99" s="1">
        <v>2.4725999999999999</v>
      </c>
      <c r="CO99" s="1">
        <v>10.749499999999999</v>
      </c>
    </row>
    <row r="100" spans="1:93">
      <c r="A100" s="1425">
        <v>45093</v>
      </c>
      <c r="B100" s="20">
        <f t="shared" si="12"/>
        <v>11.4824</v>
      </c>
      <c r="C100" s="20">
        <f t="shared" si="14"/>
        <v>25.644200000000001</v>
      </c>
      <c r="D100" s="20">
        <f t="shared" si="15"/>
        <v>11.5527</v>
      </c>
      <c r="E100" s="20">
        <f t="shared" si="16"/>
        <v>8</v>
      </c>
      <c r="F100" s="20">
        <f t="shared" si="17"/>
        <v>15.2918</v>
      </c>
      <c r="G100" s="20">
        <f t="shared" si="18"/>
        <v>10.1305</v>
      </c>
      <c r="H100" s="1239">
        <f t="shared" si="19"/>
        <v>11.5527</v>
      </c>
      <c r="I100" s="1243">
        <f t="shared" si="13"/>
        <v>-6.0851575822101767E-3</v>
      </c>
      <c r="J100" s="1243">
        <f t="shared" si="20"/>
        <v>0.12093838824177333</v>
      </c>
      <c r="K100" s="1243">
        <f t="shared" si="21"/>
        <v>0.1</v>
      </c>
      <c r="L100" s="203"/>
      <c r="N100" s="1425">
        <v>45093</v>
      </c>
      <c r="O100" s="1502">
        <v>11.4824</v>
      </c>
      <c r="P100" s="1502">
        <v>2.5710000000000002</v>
      </c>
      <c r="Q100" s="1502">
        <v>11.5722</v>
      </c>
      <c r="R100" s="1233">
        <f>'B. PE'!$U$23</f>
        <v>15.978235616082999</v>
      </c>
      <c r="S100" s="1233"/>
      <c r="T100" s="1233"/>
      <c r="V100" s="1425">
        <v>45093</v>
      </c>
      <c r="W100" s="1">
        <v>25.644200000000001</v>
      </c>
      <c r="X100" s="1">
        <v>1.3436999999999999</v>
      </c>
      <c r="Y100" s="1">
        <v>5.9173999999999998</v>
      </c>
      <c r="Z100" s="1">
        <v>1.05989</v>
      </c>
      <c r="AB100" s="1425">
        <v>45089</v>
      </c>
      <c r="AC100" s="1">
        <v>8.3712</v>
      </c>
      <c r="AD100" s="1502">
        <v>1.1456</v>
      </c>
      <c r="AE100" s="1">
        <v>6.2748999999999997</v>
      </c>
      <c r="AF100" s="1">
        <v>3.4049999999999997E-2</v>
      </c>
      <c r="AH100" s="1425">
        <v>45089</v>
      </c>
      <c r="AI100" s="1">
        <v>11.6617</v>
      </c>
      <c r="AJ100" s="1">
        <v>1.9493</v>
      </c>
      <c r="AK100" s="1">
        <v>6.0228999999999999</v>
      </c>
      <c r="AL100" s="1">
        <v>3.7420000000000002E-2</v>
      </c>
      <c r="AN100" s="1425">
        <v>45091</v>
      </c>
      <c r="AO100" s="1">
        <v>8</v>
      </c>
      <c r="AP100" s="1">
        <v>1.1718999999999999</v>
      </c>
      <c r="AQ100" s="1">
        <v>5.7668999999999997</v>
      </c>
      <c r="AR100" s="1">
        <v>0.29654000000000003</v>
      </c>
      <c r="AT100" s="1425">
        <v>45091</v>
      </c>
      <c r="AU100" s="1">
        <v>8.7767999999999997</v>
      </c>
      <c r="AV100" s="1">
        <v>0.77280000000000004</v>
      </c>
      <c r="AW100" s="1">
        <v>6.3704999999999998</v>
      </c>
      <c r="AX100" s="1">
        <v>0.20238</v>
      </c>
      <c r="BA100" s="1425">
        <v>45090</v>
      </c>
      <c r="BB100" s="1">
        <v>11.188000000000001</v>
      </c>
      <c r="BC100" s="1">
        <v>1.9196</v>
      </c>
      <c r="BD100" s="1">
        <v>10.2514</v>
      </c>
      <c r="BE100" s="1">
        <v>0.56955</v>
      </c>
      <c r="BG100" s="1425">
        <v>45090</v>
      </c>
      <c r="BH100" s="1">
        <v>15.5253</v>
      </c>
      <c r="BI100" s="1">
        <v>2.6661000000000001</v>
      </c>
      <c r="BJ100" s="1">
        <v>18.320499999999999</v>
      </c>
      <c r="BT100" s="1425">
        <v>45093</v>
      </c>
      <c r="BU100" s="1">
        <v>22.548100000000002</v>
      </c>
      <c r="BV100" s="1">
        <v>2.5276000000000001</v>
      </c>
      <c r="BW100" s="1">
        <v>7.2663000000000002</v>
      </c>
      <c r="BX100" s="1">
        <v>1.7894000000000001</v>
      </c>
      <c r="BZ100" s="1425">
        <v>45093</v>
      </c>
      <c r="CA100" s="1">
        <v>40.406700000000001</v>
      </c>
      <c r="CB100" s="1">
        <v>4.2168999999999999</v>
      </c>
      <c r="CC100" s="1">
        <v>18.9773</v>
      </c>
      <c r="CD100" s="1">
        <v>2.6255299999999999</v>
      </c>
      <c r="CF100" s="1425">
        <v>45093</v>
      </c>
      <c r="CG100" s="1">
        <v>6.7797000000000001</v>
      </c>
      <c r="CH100" s="1">
        <v>1.2396</v>
      </c>
      <c r="CL100" s="1425">
        <v>45096</v>
      </c>
      <c r="CM100" s="1">
        <v>21.9589</v>
      </c>
      <c r="CN100" s="1">
        <v>2.5133000000000001</v>
      </c>
      <c r="CO100" s="1">
        <v>10.91</v>
      </c>
    </row>
    <row r="101" spans="1:93">
      <c r="A101" s="1425">
        <v>45092</v>
      </c>
      <c r="B101" s="20">
        <f t="shared" si="12"/>
        <v>11.6296</v>
      </c>
      <c r="C101" s="20">
        <f t="shared" si="14"/>
        <v>25.887899999999998</v>
      </c>
      <c r="D101" s="20">
        <f t="shared" si="15"/>
        <v>11.5527</v>
      </c>
      <c r="E101" s="20">
        <f t="shared" si="16"/>
        <v>7.9428999999999998</v>
      </c>
      <c r="F101" s="20">
        <f t="shared" si="17"/>
        <v>15.1751</v>
      </c>
      <c r="G101" s="20">
        <f t="shared" si="18"/>
        <v>10.408799999999999</v>
      </c>
      <c r="H101" s="1239">
        <f t="shared" si="19"/>
        <v>11.5527</v>
      </c>
      <c r="I101" s="1243">
        <f t="shared" si="13"/>
        <v>6.6564526041532623E-3</v>
      </c>
      <c r="J101" s="1243">
        <f t="shared" si="20"/>
        <v>0.12093838824177333</v>
      </c>
      <c r="K101" s="1243">
        <f t="shared" si="21"/>
        <v>0.1</v>
      </c>
      <c r="L101" s="203"/>
      <c r="N101" s="1425">
        <v>45092</v>
      </c>
      <c r="O101" s="1502">
        <v>11.6296</v>
      </c>
      <c r="P101" s="1502">
        <v>2.6038999999999999</v>
      </c>
      <c r="Q101" s="1502">
        <v>11.690099999999999</v>
      </c>
      <c r="R101" s="1233">
        <f>'B. PE'!$U$23</f>
        <v>15.978235616082999</v>
      </c>
      <c r="S101" s="1233"/>
      <c r="T101" s="1233"/>
      <c r="V101" s="1425">
        <v>45092</v>
      </c>
      <c r="W101" s="1">
        <v>25.887899999999998</v>
      </c>
      <c r="X101" s="1">
        <v>1.3564000000000001</v>
      </c>
      <c r="Y101" s="1">
        <v>5.9659000000000004</v>
      </c>
      <c r="Z101" s="1">
        <v>1.08958</v>
      </c>
      <c r="AB101" s="1425">
        <v>45086</v>
      </c>
      <c r="AC101" s="1">
        <v>8.4541000000000004</v>
      </c>
      <c r="AD101" s="1502">
        <v>1.157</v>
      </c>
      <c r="AE101" s="1">
        <v>6.3071999999999999</v>
      </c>
      <c r="AF101" s="1">
        <v>3.3349999999999998E-2</v>
      </c>
      <c r="AH101" s="1425">
        <v>45086</v>
      </c>
      <c r="AI101" s="1">
        <v>11.8797</v>
      </c>
      <c r="AJ101" s="1">
        <v>1.9858</v>
      </c>
      <c r="AK101" s="1">
        <v>6.1359000000000004</v>
      </c>
      <c r="AL101" s="1">
        <v>3.7319999999999999E-2</v>
      </c>
      <c r="AN101" s="1425">
        <v>45090</v>
      </c>
      <c r="AO101" s="1">
        <v>8</v>
      </c>
      <c r="AP101" s="1">
        <v>1.1718999999999999</v>
      </c>
      <c r="AQ101" s="1">
        <v>5.7668999999999997</v>
      </c>
      <c r="AR101" s="1">
        <v>0.29476000000000002</v>
      </c>
      <c r="AT101" s="1425">
        <v>45090</v>
      </c>
      <c r="AU101" s="1">
        <v>8.7302</v>
      </c>
      <c r="AV101" s="1">
        <v>0.76870000000000005</v>
      </c>
      <c r="AW101" s="1">
        <v>6.3376999999999999</v>
      </c>
      <c r="AX101" s="1">
        <v>0.20263999999999999</v>
      </c>
      <c r="BA101" s="1425">
        <v>45089</v>
      </c>
      <c r="BB101" s="1">
        <v>10.909700000000001</v>
      </c>
      <c r="BC101" s="1">
        <v>1.8717999999999999</v>
      </c>
      <c r="BD101" s="1">
        <v>10.076700000000001</v>
      </c>
      <c r="BE101" s="1">
        <v>0.56874000000000002</v>
      </c>
      <c r="BG101" s="1425">
        <v>45089</v>
      </c>
      <c r="BH101" s="1">
        <v>15.4086</v>
      </c>
      <c r="BI101" s="1">
        <v>2.6459999999999999</v>
      </c>
      <c r="BJ101" s="1">
        <v>18.226400000000002</v>
      </c>
      <c r="BT101" s="1425">
        <v>45092</v>
      </c>
      <c r="BU101" s="1">
        <v>22.738900000000001</v>
      </c>
      <c r="BV101" s="1">
        <v>2.5489000000000002</v>
      </c>
      <c r="BW101" s="1">
        <v>7.3304999999999998</v>
      </c>
      <c r="BX101" s="1">
        <v>1.83</v>
      </c>
      <c r="BZ101" s="1425">
        <v>45092</v>
      </c>
      <c r="CA101" s="1">
        <v>40.732599999999998</v>
      </c>
      <c r="CB101" s="1">
        <v>4.2508999999999997</v>
      </c>
      <c r="CC101" s="1">
        <v>19.081</v>
      </c>
      <c r="CD101" s="1">
        <v>2.6343800000000002</v>
      </c>
      <c r="CF101" s="1425">
        <v>45092</v>
      </c>
      <c r="CG101" s="1">
        <v>6.7797000000000001</v>
      </c>
      <c r="CH101" s="1">
        <v>1.2396</v>
      </c>
      <c r="CL101" s="1425">
        <v>45093</v>
      </c>
      <c r="CM101" s="1">
        <v>22.249700000000001</v>
      </c>
      <c r="CN101" s="1">
        <v>2.5466000000000002</v>
      </c>
      <c r="CO101" s="1">
        <v>11.0413</v>
      </c>
    </row>
    <row r="102" spans="1:93">
      <c r="A102" s="1425">
        <v>45091</v>
      </c>
      <c r="B102" s="20">
        <f t="shared" si="12"/>
        <v>11.747400000000001</v>
      </c>
      <c r="C102" s="20">
        <f t="shared" si="14"/>
        <v>26.229199999999999</v>
      </c>
      <c r="D102" s="20">
        <f t="shared" si="15"/>
        <v>11.6617</v>
      </c>
      <c r="E102" s="20">
        <f t="shared" si="16"/>
        <v>8</v>
      </c>
      <c r="F102" s="20">
        <f t="shared" si="17"/>
        <v>15.5253</v>
      </c>
      <c r="G102" s="20">
        <f t="shared" si="18"/>
        <v>10.965400000000001</v>
      </c>
      <c r="H102" s="1239">
        <f t="shared" si="19"/>
        <v>11.6617</v>
      </c>
      <c r="I102" s="1243">
        <f t="shared" si="13"/>
        <v>7.3488427930747946E-3</v>
      </c>
      <c r="J102" s="1243">
        <f t="shared" si="20"/>
        <v>0.12093838824177333</v>
      </c>
      <c r="K102" s="1243">
        <f t="shared" si="21"/>
        <v>0.1</v>
      </c>
      <c r="L102" s="203"/>
      <c r="N102" s="1425">
        <v>45091</v>
      </c>
      <c r="O102" s="1502">
        <v>11.747400000000001</v>
      </c>
      <c r="P102" s="1502">
        <v>2.6303000000000001</v>
      </c>
      <c r="Q102" s="1502">
        <v>11.7845</v>
      </c>
      <c r="R102" s="1233">
        <f>'B. PE'!$U$23</f>
        <v>15.978235616082999</v>
      </c>
      <c r="S102" s="1233"/>
      <c r="T102" s="1233"/>
      <c r="V102" s="1425">
        <v>45091</v>
      </c>
      <c r="W102" s="1">
        <v>26.229199999999999</v>
      </c>
      <c r="X102" s="1">
        <v>1.3743000000000001</v>
      </c>
      <c r="Y102" s="1">
        <v>6.0338000000000003</v>
      </c>
      <c r="Z102" s="1">
        <v>1.1059099999999999</v>
      </c>
      <c r="AB102" s="1425">
        <v>45085</v>
      </c>
      <c r="AC102" s="1">
        <v>8.3712</v>
      </c>
      <c r="AD102" s="1502">
        <v>1.1456</v>
      </c>
      <c r="AE102" s="1">
        <v>6.2748999999999997</v>
      </c>
      <c r="AF102" s="1">
        <v>3.2149999999999998E-2</v>
      </c>
      <c r="AH102" s="1425">
        <v>45085</v>
      </c>
      <c r="AI102" s="1">
        <v>12.0976</v>
      </c>
      <c r="AJ102" s="1">
        <v>2.0222000000000002</v>
      </c>
      <c r="AK102" s="1">
        <v>6.2488000000000001</v>
      </c>
      <c r="AL102" s="1">
        <v>3.6659999999999998E-2</v>
      </c>
      <c r="AN102" s="1425">
        <v>45089</v>
      </c>
      <c r="AO102" s="1">
        <v>7.8285999999999998</v>
      </c>
      <c r="AP102" s="1">
        <v>1.1468</v>
      </c>
      <c r="AQ102" s="1">
        <v>5.6376999999999997</v>
      </c>
      <c r="AR102" s="1">
        <v>0.29449999999999998</v>
      </c>
      <c r="AT102" s="1425">
        <v>45089</v>
      </c>
      <c r="AU102" s="1">
        <v>8.7302</v>
      </c>
      <c r="AV102" s="1">
        <v>0.76870000000000005</v>
      </c>
      <c r="AW102" s="1">
        <v>6.3338000000000001</v>
      </c>
      <c r="AX102" s="1">
        <v>0.20355000000000001</v>
      </c>
      <c r="BA102" s="1425">
        <v>45086</v>
      </c>
      <c r="BB102" s="1">
        <v>10.965400000000001</v>
      </c>
      <c r="BC102" s="1">
        <v>1.8814</v>
      </c>
      <c r="BD102" s="1">
        <v>10.111700000000001</v>
      </c>
      <c r="BE102" s="1">
        <v>0.55949000000000004</v>
      </c>
      <c r="BG102" s="1425">
        <v>45086</v>
      </c>
      <c r="BH102" s="1">
        <v>15.5253</v>
      </c>
      <c r="BI102" s="1">
        <v>2.6661000000000001</v>
      </c>
      <c r="BJ102" s="1">
        <v>18.320499999999999</v>
      </c>
      <c r="BT102" s="1425">
        <v>45091</v>
      </c>
      <c r="BU102" s="1">
        <v>22.9298</v>
      </c>
      <c r="BV102" s="1">
        <v>2.5703</v>
      </c>
      <c r="BW102" s="1">
        <v>7.3948</v>
      </c>
      <c r="BX102" s="1">
        <v>1.831</v>
      </c>
      <c r="BZ102" s="1425">
        <v>45091</v>
      </c>
      <c r="CA102" s="1">
        <v>40.211199999999998</v>
      </c>
      <c r="CB102" s="1">
        <v>4.1965000000000003</v>
      </c>
      <c r="CC102" s="1">
        <v>18.915199999999999</v>
      </c>
      <c r="CD102" s="1">
        <v>2.6442399999999999</v>
      </c>
      <c r="CF102" s="1425">
        <v>45091</v>
      </c>
      <c r="CG102" s="1">
        <v>6.7388000000000003</v>
      </c>
      <c r="CH102" s="1">
        <v>1.2321</v>
      </c>
      <c r="CL102" s="1425">
        <v>45092</v>
      </c>
      <c r="CM102" s="1">
        <v>22.265899999999998</v>
      </c>
      <c r="CN102" s="1">
        <v>2.5485000000000002</v>
      </c>
      <c r="CO102" s="1">
        <v>11.0486</v>
      </c>
    </row>
    <row r="103" spans="1:93">
      <c r="A103" s="1425">
        <v>45090</v>
      </c>
      <c r="B103" s="20">
        <f t="shared" si="12"/>
        <v>11.982900000000001</v>
      </c>
      <c r="C103" s="20">
        <f t="shared" si="14"/>
        <v>26.9605</v>
      </c>
      <c r="D103" s="20">
        <f t="shared" si="15"/>
        <v>11.5527</v>
      </c>
      <c r="E103" s="20">
        <f t="shared" si="16"/>
        <v>8</v>
      </c>
      <c r="F103" s="20">
        <f t="shared" si="17"/>
        <v>15.5253</v>
      </c>
      <c r="G103" s="20">
        <f t="shared" si="18"/>
        <v>11.188000000000001</v>
      </c>
      <c r="H103" s="1239">
        <f t="shared" si="19"/>
        <v>11.5527</v>
      </c>
      <c r="I103" s="1243">
        <f t="shared" si="13"/>
        <v>3.7238048248461553E-2</v>
      </c>
      <c r="J103" s="1243">
        <f t="shared" si="20"/>
        <v>0.12093838824177333</v>
      </c>
      <c r="K103" s="1243">
        <f t="shared" si="21"/>
        <v>0.1</v>
      </c>
      <c r="L103" s="203"/>
      <c r="N103" s="1425">
        <v>45090</v>
      </c>
      <c r="O103" s="1502">
        <v>11.982900000000001</v>
      </c>
      <c r="P103" s="1502">
        <v>2.6829999999999998</v>
      </c>
      <c r="Q103" s="1502">
        <v>11.9733</v>
      </c>
      <c r="R103" s="1233">
        <f>'B. PE'!$U$23</f>
        <v>15.978235616082999</v>
      </c>
      <c r="S103" s="1233"/>
      <c r="T103" s="1233"/>
      <c r="V103" s="1425">
        <v>45090</v>
      </c>
      <c r="W103" s="1">
        <v>26.9605</v>
      </c>
      <c r="X103" s="1">
        <v>1.4126000000000001</v>
      </c>
      <c r="Y103" s="1">
        <v>6.1792999999999996</v>
      </c>
      <c r="Z103" s="1">
        <v>1.0568500000000001</v>
      </c>
      <c r="AB103" s="1425">
        <v>45084</v>
      </c>
      <c r="AC103" s="1">
        <v>8.2219999999999995</v>
      </c>
      <c r="AD103" s="1502">
        <v>1.1252</v>
      </c>
      <c r="AE103" s="1">
        <v>6.2168000000000001</v>
      </c>
      <c r="AF103" s="1">
        <v>3.2759999999999997E-2</v>
      </c>
      <c r="AH103" s="1425">
        <v>45084</v>
      </c>
      <c r="AI103" s="1">
        <v>12.0976</v>
      </c>
      <c r="AJ103" s="1">
        <v>2.0222000000000002</v>
      </c>
      <c r="AK103" s="1">
        <v>6.2488000000000001</v>
      </c>
      <c r="AL103" s="1">
        <v>3.7080000000000002E-2</v>
      </c>
      <c r="AN103" s="1425">
        <v>45086</v>
      </c>
      <c r="AO103" s="1">
        <v>7.7713999999999999</v>
      </c>
      <c r="AP103" s="1">
        <v>1.1384000000000001</v>
      </c>
      <c r="AQ103" s="1">
        <v>5.5945999999999998</v>
      </c>
      <c r="AR103" s="1">
        <v>0.29802000000000001</v>
      </c>
      <c r="AT103" s="1425">
        <v>45086</v>
      </c>
      <c r="AU103" s="1">
        <v>8.7302</v>
      </c>
      <c r="AV103" s="1">
        <v>0.76870000000000005</v>
      </c>
      <c r="AW103" s="1">
        <v>6.3226000000000004</v>
      </c>
      <c r="AX103" s="1">
        <v>0.20557</v>
      </c>
      <c r="BA103" s="1425">
        <v>45085</v>
      </c>
      <c r="BB103" s="1">
        <v>10.965400000000001</v>
      </c>
      <c r="BC103" s="1">
        <v>1.8814</v>
      </c>
      <c r="BD103" s="1">
        <v>10.111700000000001</v>
      </c>
      <c r="BE103" s="1">
        <v>0.56091000000000002</v>
      </c>
      <c r="BG103" s="1425">
        <v>45085</v>
      </c>
      <c r="BH103" s="1">
        <v>15.1751</v>
      </c>
      <c r="BI103" s="1">
        <v>2.6059000000000001</v>
      </c>
      <c r="BJ103" s="1">
        <v>18.0382</v>
      </c>
      <c r="BT103" s="1425">
        <v>45090</v>
      </c>
      <c r="BU103" s="1">
        <v>23.447800000000001</v>
      </c>
      <c r="BV103" s="1">
        <v>2.6284000000000001</v>
      </c>
      <c r="BW103" s="1">
        <v>7.5690999999999997</v>
      </c>
      <c r="BX103" s="1">
        <v>1.7632000000000001</v>
      </c>
      <c r="BZ103" s="1425">
        <v>45090</v>
      </c>
      <c r="CA103" s="1">
        <v>40.341500000000003</v>
      </c>
      <c r="CB103" s="1">
        <v>4.2100999999999997</v>
      </c>
      <c r="CC103" s="1">
        <v>18.956600000000002</v>
      </c>
      <c r="CD103" s="1">
        <v>2.47445</v>
      </c>
      <c r="CF103" s="1425">
        <v>45090</v>
      </c>
      <c r="CG103" s="1">
        <v>6.8205</v>
      </c>
      <c r="CH103" s="1">
        <v>1.2471000000000001</v>
      </c>
      <c r="CL103" s="1425">
        <v>45091</v>
      </c>
      <c r="CM103" s="1">
        <v>22.265899999999998</v>
      </c>
      <c r="CN103" s="1">
        <v>2.5485000000000002</v>
      </c>
      <c r="CO103" s="1">
        <v>11.0486</v>
      </c>
    </row>
    <row r="104" spans="1:93">
      <c r="A104" s="1425">
        <v>45089</v>
      </c>
      <c r="B104" s="20">
        <f t="shared" si="12"/>
        <v>12.071199999999999</v>
      </c>
      <c r="C104" s="20">
        <f t="shared" si="14"/>
        <v>27.3505</v>
      </c>
      <c r="D104" s="20">
        <f t="shared" si="15"/>
        <v>11.6617</v>
      </c>
      <c r="E104" s="20">
        <f t="shared" si="16"/>
        <v>7.8285999999999998</v>
      </c>
      <c r="F104" s="20">
        <f t="shared" si="17"/>
        <v>15.4086</v>
      </c>
      <c r="G104" s="20">
        <f t="shared" si="18"/>
        <v>10.909700000000001</v>
      </c>
      <c r="H104" s="1239">
        <f t="shared" si="19"/>
        <v>11.6617</v>
      </c>
      <c r="I104" s="1243">
        <f t="shared" si="13"/>
        <v>3.51149489354039E-2</v>
      </c>
      <c r="J104" s="1243">
        <f t="shared" si="20"/>
        <v>0.12093838824177333</v>
      </c>
      <c r="K104" s="1243">
        <f t="shared" si="21"/>
        <v>0.1</v>
      </c>
      <c r="L104" s="203"/>
      <c r="N104" s="1425">
        <v>45089</v>
      </c>
      <c r="O104" s="1502">
        <v>12.071199999999999</v>
      </c>
      <c r="P104" s="1502">
        <v>2.7027999999999999</v>
      </c>
      <c r="Q104" s="1502">
        <v>12.044</v>
      </c>
      <c r="R104" s="1233">
        <f>'B. PE'!$U$23</f>
        <v>15.978235616082999</v>
      </c>
      <c r="S104" s="1233"/>
      <c r="T104" s="1233"/>
      <c r="V104" s="1425">
        <v>45089</v>
      </c>
      <c r="W104" s="1">
        <v>27.3505</v>
      </c>
      <c r="X104" s="1">
        <v>1.4331</v>
      </c>
      <c r="Y104" s="1">
        <v>6.2568999999999999</v>
      </c>
      <c r="Z104" s="1">
        <v>1.02894</v>
      </c>
      <c r="AB104" s="1425">
        <v>45083</v>
      </c>
      <c r="AC104" s="1">
        <v>7.9236000000000004</v>
      </c>
      <c r="AD104" s="1502">
        <v>1.0844</v>
      </c>
      <c r="AE104" s="1">
        <v>6.1006999999999998</v>
      </c>
      <c r="AF104" s="1">
        <v>3.2259999999999997E-2</v>
      </c>
      <c r="AH104" s="1425">
        <v>45083</v>
      </c>
      <c r="AI104" s="1">
        <v>11.8797</v>
      </c>
      <c r="AJ104" s="1">
        <v>1.9858</v>
      </c>
      <c r="AK104" s="1">
        <v>6.1359000000000004</v>
      </c>
      <c r="AL104" s="1">
        <v>3.6659999999999998E-2</v>
      </c>
      <c r="AN104" s="1425">
        <v>45085</v>
      </c>
      <c r="AO104" s="1">
        <v>7.7713999999999999</v>
      </c>
      <c r="AP104" s="1">
        <v>1.1384000000000001</v>
      </c>
      <c r="AQ104" s="1">
        <v>5.5945999999999998</v>
      </c>
      <c r="AR104" s="1">
        <v>0.29731000000000002</v>
      </c>
      <c r="AT104" s="1425">
        <v>45085</v>
      </c>
      <c r="AU104" s="1">
        <v>8.7767999999999997</v>
      </c>
      <c r="AV104" s="1">
        <v>0.77280000000000004</v>
      </c>
      <c r="AW104" s="1">
        <v>6.3384999999999998</v>
      </c>
      <c r="AX104" s="1">
        <v>0.20508000000000001</v>
      </c>
      <c r="BA104" s="1425">
        <v>45084</v>
      </c>
      <c r="BB104" s="1">
        <v>10.854100000000001</v>
      </c>
      <c r="BC104" s="1">
        <v>1.8623000000000001</v>
      </c>
      <c r="BD104" s="1">
        <v>10.0418</v>
      </c>
      <c r="BE104" s="1">
        <v>0.56044000000000005</v>
      </c>
      <c r="BG104" s="1425">
        <v>45084</v>
      </c>
      <c r="BH104" s="1">
        <v>15.058400000000001</v>
      </c>
      <c r="BI104" s="1">
        <v>2.5859000000000001</v>
      </c>
      <c r="BJ104" s="1">
        <v>17.943999999999999</v>
      </c>
      <c r="BT104" s="1425">
        <v>45089</v>
      </c>
      <c r="BU104" s="1">
        <v>23.447800000000001</v>
      </c>
      <c r="BV104" s="1">
        <v>2.6284000000000001</v>
      </c>
      <c r="BW104" s="1">
        <v>7.5690999999999997</v>
      </c>
      <c r="BX104" s="1">
        <v>1.7306999999999999</v>
      </c>
      <c r="BZ104" s="1425">
        <v>45089</v>
      </c>
      <c r="CA104" s="1">
        <v>40.471899999999998</v>
      </c>
      <c r="CB104" s="1">
        <v>4.2237</v>
      </c>
      <c r="CC104" s="1">
        <v>18.998100000000001</v>
      </c>
      <c r="CD104" s="1">
        <v>2.4353899999999999</v>
      </c>
      <c r="CF104" s="1425">
        <v>45089</v>
      </c>
      <c r="CG104" s="1">
        <v>6.8613999999999997</v>
      </c>
      <c r="CH104" s="1">
        <v>1.2544999999999999</v>
      </c>
      <c r="CL104" s="1425">
        <v>45090</v>
      </c>
      <c r="CM104" s="1">
        <v>22.4436</v>
      </c>
      <c r="CN104" s="1">
        <v>2.5688</v>
      </c>
      <c r="CO104" s="1">
        <v>11.1288</v>
      </c>
    </row>
    <row r="105" spans="1:93">
      <c r="A105" s="1425">
        <v>45086</v>
      </c>
      <c r="B105" s="20">
        <f t="shared" si="12"/>
        <v>11.291</v>
      </c>
      <c r="C105" s="20">
        <f t="shared" si="14"/>
        <v>26.131699999999999</v>
      </c>
      <c r="D105" s="20">
        <f t="shared" si="15"/>
        <v>11.8797</v>
      </c>
      <c r="E105" s="20">
        <f t="shared" si="16"/>
        <v>7.7713999999999999</v>
      </c>
      <c r="F105" s="20">
        <f t="shared" si="17"/>
        <v>15.5253</v>
      </c>
      <c r="G105" s="20">
        <f t="shared" si="18"/>
        <v>10.965400000000001</v>
      </c>
      <c r="H105" s="1239">
        <f t="shared" si="19"/>
        <v>11.8797</v>
      </c>
      <c r="I105" s="1243">
        <f t="shared" si="13"/>
        <v>-4.9555123445878202E-2</v>
      </c>
      <c r="J105" s="1243">
        <f t="shared" si="20"/>
        <v>0.12093838824177333</v>
      </c>
      <c r="K105" s="1243">
        <f t="shared" si="21"/>
        <v>0.1</v>
      </c>
      <c r="L105" s="203"/>
      <c r="N105" s="1425">
        <v>45086</v>
      </c>
      <c r="O105" s="1502">
        <v>11.291</v>
      </c>
      <c r="P105" s="1502">
        <v>2.5280999999999998</v>
      </c>
      <c r="Q105" s="1502">
        <v>11.418799999999999</v>
      </c>
      <c r="R105" s="1233">
        <f>'B. PE'!$U$23</f>
        <v>15.978235616082999</v>
      </c>
      <c r="S105" s="1233"/>
      <c r="T105" s="1233"/>
      <c r="V105" s="1425">
        <v>45086</v>
      </c>
      <c r="W105" s="1">
        <v>26.131699999999999</v>
      </c>
      <c r="X105" s="1">
        <v>1.3692</v>
      </c>
      <c r="Y105" s="1">
        <v>6.0144000000000002</v>
      </c>
      <c r="Z105" s="1">
        <v>1.07212</v>
      </c>
      <c r="AB105" s="1425">
        <v>45082</v>
      </c>
      <c r="AC105" s="1">
        <v>8.0563000000000002</v>
      </c>
      <c r="AD105" s="1502">
        <v>1.1025</v>
      </c>
      <c r="AE105" s="1">
        <v>6.1523000000000003</v>
      </c>
      <c r="AF105" s="1">
        <v>3.2980000000000002E-2</v>
      </c>
      <c r="AH105" s="1425">
        <v>45082</v>
      </c>
      <c r="AI105" s="1">
        <v>11.9886</v>
      </c>
      <c r="AJ105" s="1">
        <v>2.004</v>
      </c>
      <c r="AK105" s="1">
        <v>6.1924000000000001</v>
      </c>
      <c r="AL105" s="1">
        <v>3.6049999999999999E-2</v>
      </c>
      <c r="AN105" s="1425">
        <v>45084</v>
      </c>
      <c r="AO105" s="1">
        <v>7.8285999999999998</v>
      </c>
      <c r="AP105" s="1">
        <v>1.1468</v>
      </c>
      <c r="AQ105" s="1">
        <v>5.6376999999999997</v>
      </c>
      <c r="AR105" s="1">
        <v>0.30143999999999999</v>
      </c>
      <c r="AT105" s="1425">
        <v>45084</v>
      </c>
      <c r="AU105" s="1">
        <v>8.8234999999999992</v>
      </c>
      <c r="AV105" s="1">
        <v>0.77690000000000003</v>
      </c>
      <c r="AW105" s="1">
        <v>6.3388</v>
      </c>
      <c r="AX105" s="1">
        <v>0.20641999999999999</v>
      </c>
      <c r="BA105" s="1425">
        <v>45083</v>
      </c>
      <c r="BB105" s="1">
        <v>10.854100000000001</v>
      </c>
      <c r="BC105" s="1">
        <v>1.8623000000000001</v>
      </c>
      <c r="BD105" s="1">
        <v>10.0418</v>
      </c>
      <c r="BE105" s="1">
        <v>0.55803000000000003</v>
      </c>
      <c r="BG105" s="1425">
        <v>45083</v>
      </c>
      <c r="BH105" s="1">
        <v>15.1751</v>
      </c>
      <c r="BI105" s="1">
        <v>2.6059000000000001</v>
      </c>
      <c r="BJ105" s="1">
        <v>18.0382</v>
      </c>
      <c r="BT105" s="1425">
        <v>45086</v>
      </c>
      <c r="BU105" s="1">
        <v>22.575299999999999</v>
      </c>
      <c r="BV105" s="1">
        <v>2.5306000000000002</v>
      </c>
      <c r="BW105" s="1">
        <v>7.2755000000000001</v>
      </c>
      <c r="BX105" s="1">
        <v>1.7794000000000001</v>
      </c>
      <c r="BZ105" s="1425">
        <v>45086</v>
      </c>
      <c r="CA105" s="1">
        <v>37.865000000000002</v>
      </c>
      <c r="CB105" s="1">
        <v>3.9516</v>
      </c>
      <c r="CC105" s="1">
        <v>18.168900000000001</v>
      </c>
      <c r="CD105" s="1">
        <v>2.4477500000000001</v>
      </c>
      <c r="CF105" s="1425">
        <v>45086</v>
      </c>
      <c r="CG105" s="1">
        <v>6.3304</v>
      </c>
      <c r="CH105" s="1">
        <v>1.1575</v>
      </c>
      <c r="CL105" s="1425">
        <v>45089</v>
      </c>
      <c r="CM105" s="1">
        <v>22.395099999999999</v>
      </c>
      <c r="CN105" s="1">
        <v>2.5632999999999999</v>
      </c>
      <c r="CO105" s="1">
        <v>11.1069</v>
      </c>
    </row>
    <row r="106" spans="1:93">
      <c r="A106" s="1425">
        <v>45085</v>
      </c>
      <c r="B106" s="20">
        <f t="shared" si="12"/>
        <v>10.923</v>
      </c>
      <c r="C106" s="20">
        <f t="shared" si="14"/>
        <v>25.449200000000001</v>
      </c>
      <c r="D106" s="20">
        <f t="shared" si="15"/>
        <v>12.0976</v>
      </c>
      <c r="E106" s="20">
        <f t="shared" si="16"/>
        <v>7.7713999999999999</v>
      </c>
      <c r="F106" s="20">
        <f t="shared" si="17"/>
        <v>15.1751</v>
      </c>
      <c r="G106" s="20">
        <f t="shared" si="18"/>
        <v>10.965400000000001</v>
      </c>
      <c r="H106" s="1239">
        <f t="shared" si="19"/>
        <v>12.0976</v>
      </c>
      <c r="I106" s="1243">
        <f t="shared" si="13"/>
        <v>-9.7093638407617977E-2</v>
      </c>
      <c r="J106" s="1243">
        <f t="shared" si="20"/>
        <v>0.12093838824177333</v>
      </c>
      <c r="K106" s="1243">
        <f t="shared" si="21"/>
        <v>0.1</v>
      </c>
      <c r="L106" s="203"/>
      <c r="N106" s="1425">
        <v>45085</v>
      </c>
      <c r="O106" s="1502">
        <v>10.923</v>
      </c>
      <c r="P106" s="1502">
        <v>2.4457</v>
      </c>
      <c r="Q106" s="1502">
        <v>11.123900000000001</v>
      </c>
      <c r="R106" s="1233">
        <f>'B. PE'!$U$23</f>
        <v>15.978235616082999</v>
      </c>
      <c r="S106" s="1233"/>
      <c r="T106" s="1233"/>
      <c r="V106" s="1425">
        <v>45085</v>
      </c>
      <c r="W106" s="1">
        <v>25.449200000000001</v>
      </c>
      <c r="X106" s="1">
        <v>1.3333999999999999</v>
      </c>
      <c r="Y106" s="1">
        <v>5.8785999999999996</v>
      </c>
      <c r="Z106" s="1">
        <v>1.0525500000000001</v>
      </c>
      <c r="AB106" s="1425">
        <v>45077</v>
      </c>
      <c r="AC106" s="1">
        <v>8.0230999999999995</v>
      </c>
      <c r="AD106" s="1502">
        <v>1.0980000000000001</v>
      </c>
      <c r="AE106" s="1">
        <v>6.1394000000000002</v>
      </c>
      <c r="AF106" s="1">
        <v>3.3020000000000001E-2</v>
      </c>
      <c r="AH106" s="1425">
        <v>45077</v>
      </c>
      <c r="AI106" s="1">
        <v>11.9886</v>
      </c>
      <c r="AJ106" s="1">
        <v>2.004</v>
      </c>
      <c r="AK106" s="1">
        <v>6.1924000000000001</v>
      </c>
      <c r="AL106" s="1">
        <v>3.6429999999999997E-2</v>
      </c>
      <c r="AN106" s="1425">
        <v>45083</v>
      </c>
      <c r="AO106" s="1">
        <v>7.8285999999999998</v>
      </c>
      <c r="AP106" s="1">
        <v>1.1468</v>
      </c>
      <c r="AQ106" s="1">
        <v>5.6376999999999997</v>
      </c>
      <c r="AR106" s="1">
        <v>0.30138999999999999</v>
      </c>
      <c r="AT106" s="1425">
        <v>45083</v>
      </c>
      <c r="AU106" s="1">
        <v>8.8234999999999992</v>
      </c>
      <c r="AV106" s="1">
        <v>0.77690000000000003</v>
      </c>
      <c r="AW106" s="1">
        <v>6.3122999999999996</v>
      </c>
      <c r="AX106" s="1">
        <v>0.20055999999999999</v>
      </c>
      <c r="BA106" s="1425">
        <v>45079</v>
      </c>
      <c r="BB106" s="1">
        <v>10.854100000000001</v>
      </c>
      <c r="BC106" s="1">
        <v>1.8623000000000001</v>
      </c>
      <c r="BD106" s="1">
        <v>10.0418</v>
      </c>
      <c r="BE106" s="1">
        <v>0.56955</v>
      </c>
      <c r="BG106" s="1425">
        <v>45079</v>
      </c>
      <c r="BH106" s="1">
        <v>15.058400000000001</v>
      </c>
      <c r="BI106" s="1">
        <v>2.5859000000000001</v>
      </c>
      <c r="BJ106" s="1">
        <v>17.943999999999999</v>
      </c>
      <c r="BT106" s="1425">
        <v>45085</v>
      </c>
      <c r="BU106" s="1">
        <v>22.166399999999999</v>
      </c>
      <c r="BV106" s="1">
        <v>2.4847999999999999</v>
      </c>
      <c r="BW106" s="1">
        <v>7.1378000000000004</v>
      </c>
      <c r="BX106" s="1">
        <v>1.7796000000000001</v>
      </c>
      <c r="BZ106" s="1425">
        <v>45085</v>
      </c>
      <c r="CA106" s="1">
        <v>37.278399999999998</v>
      </c>
      <c r="CB106" s="1">
        <v>3.8904000000000001</v>
      </c>
      <c r="CC106" s="1">
        <v>17.982299999999999</v>
      </c>
      <c r="CD106" s="1">
        <v>2.43954</v>
      </c>
      <c r="CF106" s="1425">
        <v>45085</v>
      </c>
      <c r="CG106" s="1">
        <v>6.2487000000000004</v>
      </c>
      <c r="CH106" s="1">
        <v>1.1425000000000001</v>
      </c>
      <c r="CL106" s="1425">
        <v>45086</v>
      </c>
      <c r="CM106" s="1">
        <v>22.249700000000001</v>
      </c>
      <c r="CN106" s="1">
        <v>2.5466000000000002</v>
      </c>
      <c r="CO106" s="1">
        <v>11.0413</v>
      </c>
    </row>
    <row r="107" spans="1:93">
      <c r="A107" s="1425">
        <v>45084</v>
      </c>
      <c r="B107" s="20">
        <f t="shared" si="12"/>
        <v>11.188000000000001</v>
      </c>
      <c r="C107" s="20">
        <f t="shared" si="14"/>
        <v>26.521699999999999</v>
      </c>
      <c r="D107" s="20">
        <f t="shared" si="15"/>
        <v>12.0976</v>
      </c>
      <c r="E107" s="20">
        <f t="shared" si="16"/>
        <v>7.8285999999999998</v>
      </c>
      <c r="F107" s="20">
        <f t="shared" si="17"/>
        <v>15.058400000000001</v>
      </c>
      <c r="G107" s="20">
        <f t="shared" si="18"/>
        <v>10.854100000000001</v>
      </c>
      <c r="H107" s="1239">
        <f t="shared" si="19"/>
        <v>12.0976</v>
      </c>
      <c r="I107" s="1243">
        <f t="shared" si="13"/>
        <v>-7.5188467133976977E-2</v>
      </c>
      <c r="J107" s="1243">
        <f t="shared" si="20"/>
        <v>0.12093838824177333</v>
      </c>
      <c r="K107" s="1243">
        <f t="shared" si="21"/>
        <v>0.1</v>
      </c>
      <c r="L107" s="203"/>
      <c r="N107" s="1425">
        <v>45084</v>
      </c>
      <c r="O107" s="1502">
        <v>11.188000000000001</v>
      </c>
      <c r="P107" s="1502">
        <v>2.5051000000000001</v>
      </c>
      <c r="Q107" s="1502">
        <v>11.3362</v>
      </c>
      <c r="R107" s="1233">
        <f>'B. PE'!$U$23</f>
        <v>15.978235616082999</v>
      </c>
      <c r="S107" s="1233"/>
      <c r="T107" s="1233"/>
      <c r="V107" s="1425">
        <v>45084</v>
      </c>
      <c r="W107" s="1">
        <v>26.521699999999999</v>
      </c>
      <c r="X107" s="1">
        <v>1.3895999999999999</v>
      </c>
      <c r="Y107" s="1">
        <v>6.0919999999999996</v>
      </c>
      <c r="Z107" s="1">
        <v>1.0520099999999999</v>
      </c>
      <c r="AB107" s="1425">
        <v>45076</v>
      </c>
      <c r="AC107" s="1">
        <v>8.1889000000000003</v>
      </c>
      <c r="AD107" s="1502">
        <v>1.1207</v>
      </c>
      <c r="AE107" s="1">
        <v>6.2039</v>
      </c>
      <c r="AF107" s="1">
        <v>3.3680000000000002E-2</v>
      </c>
      <c r="AH107" s="1425">
        <v>45076</v>
      </c>
      <c r="AI107" s="1">
        <v>11.7707</v>
      </c>
      <c r="AJ107" s="1">
        <v>1.9675</v>
      </c>
      <c r="AK107" s="1">
        <v>6.0793999999999997</v>
      </c>
      <c r="AL107" s="1">
        <v>3.635E-2</v>
      </c>
      <c r="AN107" s="1425">
        <v>45079</v>
      </c>
      <c r="AO107" s="1">
        <v>7.8856999999999999</v>
      </c>
      <c r="AP107" s="1">
        <v>1.1551</v>
      </c>
      <c r="AQ107" s="1">
        <v>5.6806999999999999</v>
      </c>
      <c r="AR107" s="1">
        <v>0.30131999999999998</v>
      </c>
      <c r="AT107" s="1425">
        <v>45079</v>
      </c>
      <c r="AU107" s="1">
        <v>8.8234999999999992</v>
      </c>
      <c r="AV107" s="1">
        <v>0.77690000000000003</v>
      </c>
      <c r="AW107" s="1">
        <v>6.3063000000000002</v>
      </c>
      <c r="AX107" s="1">
        <v>0.2016</v>
      </c>
      <c r="BA107" s="1425">
        <v>45078</v>
      </c>
      <c r="BB107" s="1">
        <v>10.742699999999999</v>
      </c>
      <c r="BC107" s="1">
        <v>1.8431999999999999</v>
      </c>
      <c r="BD107" s="1">
        <v>9.9719999999999995</v>
      </c>
      <c r="BE107" s="1">
        <v>0.57033</v>
      </c>
      <c r="BG107" s="1425">
        <v>45078</v>
      </c>
      <c r="BH107" s="1">
        <v>15.1751</v>
      </c>
      <c r="BI107" s="1">
        <v>2.6059000000000001</v>
      </c>
      <c r="BJ107" s="1">
        <v>18.0382</v>
      </c>
      <c r="BT107" s="1425">
        <v>45084</v>
      </c>
      <c r="BU107" s="1">
        <v>22.793399999999998</v>
      </c>
      <c r="BV107" s="1">
        <v>2.5550999999999999</v>
      </c>
      <c r="BW107" s="1">
        <v>7.3489000000000004</v>
      </c>
      <c r="BX107" s="1">
        <v>1.7532000000000001</v>
      </c>
      <c r="BZ107" s="1425">
        <v>45084</v>
      </c>
      <c r="CA107" s="1">
        <v>37.473999999999997</v>
      </c>
      <c r="CB107" s="1">
        <v>3.9108000000000001</v>
      </c>
      <c r="CC107" s="1">
        <v>18.044499999999999</v>
      </c>
      <c r="CD107" s="1">
        <v>2.4273799999999999</v>
      </c>
      <c r="CF107" s="1425">
        <v>45084</v>
      </c>
      <c r="CG107" s="1">
        <v>6.2079000000000004</v>
      </c>
      <c r="CH107" s="1">
        <v>1.1351</v>
      </c>
      <c r="CL107" s="1425">
        <v>45085</v>
      </c>
      <c r="CM107" s="1">
        <v>22.152799999999999</v>
      </c>
      <c r="CN107" s="1">
        <v>2.5354999999999999</v>
      </c>
      <c r="CO107" s="1">
        <v>10.9975</v>
      </c>
    </row>
    <row r="108" spans="1:93">
      <c r="A108" s="1425">
        <v>45083</v>
      </c>
      <c r="B108" s="20">
        <f t="shared" si="12"/>
        <v>10.9819</v>
      </c>
      <c r="C108" s="20">
        <f t="shared" si="14"/>
        <v>26.034199999999998</v>
      </c>
      <c r="D108" s="20">
        <f t="shared" si="15"/>
        <v>11.8797</v>
      </c>
      <c r="E108" s="20">
        <f t="shared" si="16"/>
        <v>7.8285999999999998</v>
      </c>
      <c r="F108" s="20">
        <f t="shared" si="17"/>
        <v>15.1751</v>
      </c>
      <c r="G108" s="20">
        <f t="shared" si="18"/>
        <v>10.854100000000001</v>
      </c>
      <c r="H108" s="1239">
        <f t="shared" si="19"/>
        <v>11.8797</v>
      </c>
      <c r="I108" s="1243">
        <f t="shared" si="13"/>
        <v>-7.5574299014284918E-2</v>
      </c>
      <c r="J108" s="1243">
        <f t="shared" si="20"/>
        <v>0.12093838824177333</v>
      </c>
      <c r="K108" s="1243">
        <f t="shared" si="21"/>
        <v>0.1</v>
      </c>
      <c r="L108" s="203"/>
      <c r="N108" s="1425">
        <v>45083</v>
      </c>
      <c r="O108" s="1502">
        <v>10.9819</v>
      </c>
      <c r="P108" s="1502">
        <v>2.4588999999999999</v>
      </c>
      <c r="Q108" s="1502">
        <v>11.171099999999999</v>
      </c>
      <c r="R108" s="1233">
        <f>'B. PE'!$U$23</f>
        <v>15.978235616082999</v>
      </c>
      <c r="S108" s="1233"/>
      <c r="T108" s="1233"/>
      <c r="V108" s="1425">
        <v>45083</v>
      </c>
      <c r="W108" s="1">
        <v>26.034199999999998</v>
      </c>
      <c r="X108" s="1">
        <v>1.3641000000000001</v>
      </c>
      <c r="Y108" s="1">
        <v>5.9950000000000001</v>
      </c>
      <c r="Z108" s="1">
        <v>1.06446</v>
      </c>
      <c r="AB108" s="1425">
        <v>45075</v>
      </c>
      <c r="AC108" s="1">
        <v>8.1889000000000003</v>
      </c>
      <c r="AD108" s="1502">
        <v>1.1207</v>
      </c>
      <c r="AE108" s="1">
        <v>6.2039</v>
      </c>
      <c r="AF108" s="1">
        <v>3.3750000000000002E-2</v>
      </c>
      <c r="AH108" s="1425">
        <v>45075</v>
      </c>
      <c r="AI108" s="1">
        <v>11.8797</v>
      </c>
      <c r="AJ108" s="1">
        <v>1.9858</v>
      </c>
      <c r="AK108" s="1">
        <v>6.1359000000000004</v>
      </c>
      <c r="AL108" s="1">
        <v>3.5749999999999997E-2</v>
      </c>
      <c r="AN108" s="1425">
        <v>45078</v>
      </c>
      <c r="AO108" s="1">
        <v>7.9428999999999998</v>
      </c>
      <c r="AP108" s="1">
        <v>1.1635</v>
      </c>
      <c r="AQ108" s="1">
        <v>5.7237999999999998</v>
      </c>
      <c r="AR108" s="1">
        <v>0.30198000000000003</v>
      </c>
      <c r="AT108" s="1425">
        <v>45078</v>
      </c>
      <c r="AU108" s="1">
        <v>8.6367999999999991</v>
      </c>
      <c r="AV108" s="1">
        <v>0.76049999999999995</v>
      </c>
      <c r="AW108" s="1">
        <v>6.1420000000000003</v>
      </c>
      <c r="AX108" s="1">
        <v>0.20421</v>
      </c>
      <c r="BA108" s="1425">
        <v>45077</v>
      </c>
      <c r="BB108" s="1">
        <v>11.021000000000001</v>
      </c>
      <c r="BC108" s="1">
        <v>1.8909</v>
      </c>
      <c r="BD108" s="1">
        <v>10.146599999999999</v>
      </c>
      <c r="BE108" s="1">
        <v>0.56369999999999998</v>
      </c>
      <c r="BG108" s="1425">
        <v>45077</v>
      </c>
      <c r="BH108" s="1">
        <v>15.5253</v>
      </c>
      <c r="BI108" s="1">
        <v>2.6661000000000001</v>
      </c>
      <c r="BJ108" s="1">
        <v>18.320499999999999</v>
      </c>
      <c r="BT108" s="1425">
        <v>45083</v>
      </c>
      <c r="BU108" s="1">
        <v>22.793399999999998</v>
      </c>
      <c r="BV108" s="1">
        <v>2.5550999999999999</v>
      </c>
      <c r="BW108" s="1">
        <v>7.3489000000000004</v>
      </c>
      <c r="BX108" s="1">
        <v>1.7372000000000001</v>
      </c>
      <c r="BZ108" s="1425">
        <v>45083</v>
      </c>
      <c r="CA108" s="1">
        <v>37.343600000000002</v>
      </c>
      <c r="CB108" s="1">
        <v>3.8972000000000002</v>
      </c>
      <c r="CC108" s="1">
        <v>18.003</v>
      </c>
      <c r="CD108" s="1">
        <v>2.4436399999999998</v>
      </c>
      <c r="CF108" s="1425">
        <v>45083</v>
      </c>
      <c r="CG108" s="1">
        <v>6.2487000000000004</v>
      </c>
      <c r="CH108" s="1">
        <v>1.1425000000000001</v>
      </c>
      <c r="CL108" s="1425">
        <v>45084</v>
      </c>
      <c r="CM108" s="1">
        <v>22.023499999999999</v>
      </c>
      <c r="CN108" s="1">
        <v>2.5207000000000002</v>
      </c>
      <c r="CO108" s="1">
        <v>10.9392</v>
      </c>
    </row>
    <row r="109" spans="1:93">
      <c r="A109" s="1425">
        <v>45082</v>
      </c>
      <c r="B109" s="20">
        <f t="shared" si="12"/>
        <v>11.0261</v>
      </c>
      <c r="C109" s="20">
        <f t="shared" si="14"/>
        <v>26.034199999999998</v>
      </c>
      <c r="D109" s="20">
        <f t="shared" si="15"/>
        <v>11.9886</v>
      </c>
      <c r="E109" s="20">
        <f t="shared" si="16"/>
        <v>7.8285999999999998</v>
      </c>
      <c r="F109" s="20">
        <f t="shared" si="17"/>
        <v>15.1751</v>
      </c>
      <c r="G109" s="20">
        <f t="shared" si="18"/>
        <v>10.854100000000001</v>
      </c>
      <c r="H109" s="1239">
        <f t="shared" si="19"/>
        <v>11.9886</v>
      </c>
      <c r="I109" s="1243">
        <f t="shared" si="13"/>
        <v>-8.0284603706854862E-2</v>
      </c>
      <c r="J109" s="1243">
        <f t="shared" si="20"/>
        <v>0.12093838824177333</v>
      </c>
      <c r="K109" s="1243">
        <f t="shared" si="21"/>
        <v>0.1</v>
      </c>
      <c r="L109" s="203"/>
      <c r="N109" s="1425">
        <v>45082</v>
      </c>
      <c r="O109" s="1502">
        <v>11.0261</v>
      </c>
      <c r="P109" s="1502">
        <v>2.4687999999999999</v>
      </c>
      <c r="Q109" s="1502">
        <v>11.2064</v>
      </c>
      <c r="R109" s="1233">
        <f>'B. PE'!$U$23</f>
        <v>15.978235616082999</v>
      </c>
      <c r="S109" s="1233"/>
      <c r="T109" s="1233"/>
      <c r="V109" s="1425">
        <v>45082</v>
      </c>
      <c r="W109" s="1">
        <v>26.034199999999998</v>
      </c>
      <c r="X109" s="1">
        <v>1.3641000000000001</v>
      </c>
      <c r="Y109" s="1">
        <v>5.9950000000000001</v>
      </c>
      <c r="Z109" s="1">
        <v>1.0329699999999999</v>
      </c>
      <c r="AB109" s="1425">
        <v>45072</v>
      </c>
      <c r="AC109" s="1">
        <v>8.3712</v>
      </c>
      <c r="AD109" s="1502">
        <v>1.1456</v>
      </c>
      <c r="AE109" s="1">
        <v>6.2748999999999997</v>
      </c>
      <c r="AF109" s="1">
        <v>3.2809999999999999E-2</v>
      </c>
      <c r="AH109" s="1425">
        <v>45072</v>
      </c>
      <c r="AI109" s="1">
        <v>11.8797</v>
      </c>
      <c r="AJ109" s="1">
        <v>1.9858</v>
      </c>
      <c r="AK109" s="1">
        <v>6.1359000000000004</v>
      </c>
      <c r="AL109" s="1">
        <v>3.5819999999999998E-2</v>
      </c>
      <c r="AN109" s="1425">
        <v>45077</v>
      </c>
      <c r="AO109" s="1">
        <v>7.9428999999999998</v>
      </c>
      <c r="AP109" s="1">
        <v>1.1635</v>
      </c>
      <c r="AQ109" s="1">
        <v>5.7237999999999998</v>
      </c>
      <c r="AR109" s="1">
        <v>0.29757</v>
      </c>
      <c r="AT109" s="1425">
        <v>45077</v>
      </c>
      <c r="AU109" s="1">
        <v>8.6835000000000004</v>
      </c>
      <c r="AV109" s="1">
        <v>0.76459999999999995</v>
      </c>
      <c r="AW109" s="1">
        <v>6.1635</v>
      </c>
      <c r="AX109" s="1">
        <v>0.20634</v>
      </c>
      <c r="BA109" s="1425">
        <v>45076</v>
      </c>
      <c r="BB109" s="1">
        <v>11.021000000000001</v>
      </c>
      <c r="BC109" s="1">
        <v>1.8909</v>
      </c>
      <c r="BD109" s="1">
        <v>10.146599999999999</v>
      </c>
      <c r="BE109" s="1">
        <v>0.56420999999999999</v>
      </c>
      <c r="BG109" s="1425">
        <v>45076</v>
      </c>
      <c r="BH109" s="1">
        <v>15.2918</v>
      </c>
      <c r="BI109" s="1">
        <v>2.6259999999999999</v>
      </c>
      <c r="BJ109" s="1">
        <v>18.132300000000001</v>
      </c>
      <c r="BT109" s="1425">
        <v>45082</v>
      </c>
      <c r="BU109" s="1">
        <v>22.4663</v>
      </c>
      <c r="BV109" s="1">
        <v>2.5184000000000002</v>
      </c>
      <c r="BW109" s="1">
        <v>7.2386999999999997</v>
      </c>
      <c r="BX109" s="1">
        <v>1.6734</v>
      </c>
      <c r="BZ109" s="1425">
        <v>45082</v>
      </c>
      <c r="CA109" s="1">
        <v>37.176400000000001</v>
      </c>
      <c r="CB109" s="1">
        <v>3.8797999999999999</v>
      </c>
      <c r="CC109" s="1">
        <v>17.9498</v>
      </c>
      <c r="CD109" s="1">
        <v>2.4030100000000001</v>
      </c>
      <c r="CF109" s="1425">
        <v>45082</v>
      </c>
      <c r="CG109" s="1">
        <v>6.1670999999999996</v>
      </c>
      <c r="CH109" s="1">
        <v>1.1275999999999999</v>
      </c>
      <c r="CL109" s="1425">
        <v>45083</v>
      </c>
      <c r="CM109" s="1">
        <v>21.894200000000001</v>
      </c>
      <c r="CN109" s="1">
        <v>2.5059</v>
      </c>
      <c r="CO109" s="1">
        <v>10.880800000000001</v>
      </c>
    </row>
    <row r="110" spans="1:93">
      <c r="A110" s="1425">
        <v>45079</v>
      </c>
      <c r="B110" s="20">
        <f t="shared" si="12"/>
        <v>10.996600000000001</v>
      </c>
      <c r="C110" s="20">
        <f t="shared" si="14"/>
        <v>26.326699999999999</v>
      </c>
      <c r="D110" s="20">
        <f t="shared" si="15"/>
        <v>11.9886</v>
      </c>
      <c r="E110" s="20">
        <f t="shared" si="16"/>
        <v>7.8856999999999999</v>
      </c>
      <c r="F110" s="20">
        <f t="shared" si="17"/>
        <v>15.058400000000001</v>
      </c>
      <c r="G110" s="20">
        <f t="shared" si="18"/>
        <v>10.854100000000001</v>
      </c>
      <c r="H110" s="1239">
        <f t="shared" si="19"/>
        <v>11.9886</v>
      </c>
      <c r="I110" s="1243">
        <f t="shared" si="13"/>
        <v>-8.2745274677610281E-2</v>
      </c>
      <c r="J110" s="1243">
        <f t="shared" si="20"/>
        <v>0.12093838824177333</v>
      </c>
      <c r="K110" s="1243">
        <f t="shared" si="21"/>
        <v>0.1</v>
      </c>
      <c r="L110" s="203"/>
      <c r="N110" s="1425">
        <v>45079</v>
      </c>
      <c r="O110" s="1502">
        <v>10.996600000000001</v>
      </c>
      <c r="P110" s="1502">
        <v>2.4622000000000002</v>
      </c>
      <c r="Q110" s="1502">
        <v>11.1828</v>
      </c>
      <c r="R110" s="1233">
        <f>'B. PE'!$U$23</f>
        <v>15.978235616082999</v>
      </c>
      <c r="S110" s="1233"/>
      <c r="T110" s="1233"/>
      <c r="V110" s="1425">
        <v>45079</v>
      </c>
      <c r="W110" s="1">
        <v>26.326699999999999</v>
      </c>
      <c r="X110" s="1">
        <v>1.3794</v>
      </c>
      <c r="Y110" s="1">
        <v>6.0532000000000004</v>
      </c>
      <c r="Z110" s="1">
        <v>1.01698</v>
      </c>
      <c r="AB110" s="1425">
        <v>45071</v>
      </c>
      <c r="AC110" s="1">
        <v>8.3712</v>
      </c>
      <c r="AD110" s="1502">
        <v>1.1456</v>
      </c>
      <c r="AE110" s="1">
        <v>6.2748999999999997</v>
      </c>
      <c r="AF110" s="1">
        <v>3.3610000000000001E-2</v>
      </c>
      <c r="AH110" s="1425">
        <v>45071</v>
      </c>
      <c r="AI110" s="1">
        <v>11.6617</v>
      </c>
      <c r="AJ110" s="1">
        <v>1.9493</v>
      </c>
      <c r="AK110" s="1">
        <v>6.0228999999999999</v>
      </c>
      <c r="AL110" s="1">
        <v>3.6299999999999999E-2</v>
      </c>
      <c r="AN110" s="1425">
        <v>45076</v>
      </c>
      <c r="AO110" s="1">
        <v>7.9428999999999998</v>
      </c>
      <c r="AP110" s="1">
        <v>1.1635</v>
      </c>
      <c r="AQ110" s="1">
        <v>5.7237999999999998</v>
      </c>
      <c r="AR110" s="1">
        <v>0.29565000000000002</v>
      </c>
      <c r="AT110" s="1425">
        <v>45076</v>
      </c>
      <c r="AU110" s="1">
        <v>8.7767999999999997</v>
      </c>
      <c r="AV110" s="1">
        <v>0.77280000000000004</v>
      </c>
      <c r="AW110" s="1">
        <v>6.2070999999999996</v>
      </c>
      <c r="AX110" s="1">
        <v>0.20435</v>
      </c>
      <c r="BA110" s="1425">
        <v>45075</v>
      </c>
      <c r="BB110" s="1">
        <v>10.909700000000001</v>
      </c>
      <c r="BC110" s="1">
        <v>1.8717999999999999</v>
      </c>
      <c r="BD110" s="1">
        <v>10.076700000000001</v>
      </c>
      <c r="BE110" s="1">
        <v>0.57043999999999995</v>
      </c>
      <c r="BG110" s="1425">
        <v>45075</v>
      </c>
      <c r="BH110" s="1">
        <v>15.2918</v>
      </c>
      <c r="BI110" s="1">
        <v>2.6259999999999999</v>
      </c>
      <c r="BJ110" s="1">
        <v>18.132300000000001</v>
      </c>
      <c r="BT110" s="1425">
        <v>45079</v>
      </c>
      <c r="BU110" s="1">
        <v>22.248100000000001</v>
      </c>
      <c r="BV110" s="1">
        <v>2.4939</v>
      </c>
      <c r="BW110" s="1">
        <v>7.1653000000000002</v>
      </c>
      <c r="BX110" s="1">
        <v>1.6688000000000001</v>
      </c>
      <c r="BZ110" s="1425">
        <v>45079</v>
      </c>
      <c r="CA110" s="1">
        <v>37.403100000000002</v>
      </c>
      <c r="CB110" s="1">
        <v>3.9034</v>
      </c>
      <c r="CC110" s="1">
        <v>18.021899999999999</v>
      </c>
      <c r="CD110" s="1">
        <v>2.3580800000000002</v>
      </c>
      <c r="CF110" s="1425">
        <v>45079</v>
      </c>
      <c r="CG110" s="1">
        <v>6.3304</v>
      </c>
      <c r="CH110" s="1">
        <v>1.1575</v>
      </c>
      <c r="CL110" s="1425">
        <v>45082</v>
      </c>
      <c r="CM110" s="1">
        <v>21.748799999999999</v>
      </c>
      <c r="CN110" s="1">
        <v>2.4893000000000001</v>
      </c>
      <c r="CO110" s="1">
        <v>10.815099999999999</v>
      </c>
    </row>
    <row r="111" spans="1:93">
      <c r="A111" s="1425">
        <v>45078</v>
      </c>
      <c r="B111" s="20">
        <f t="shared" si="12"/>
        <v>10.657999999999999</v>
      </c>
      <c r="C111" s="20">
        <f t="shared" si="14"/>
        <v>25.546700000000001</v>
      </c>
      <c r="D111" s="20">
        <f t="shared" si="15"/>
        <v>11.9886</v>
      </c>
      <c r="E111" s="20">
        <f t="shared" si="16"/>
        <v>7.9428999999999998</v>
      </c>
      <c r="F111" s="20">
        <f t="shared" si="17"/>
        <v>15.1751</v>
      </c>
      <c r="G111" s="20">
        <f t="shared" si="18"/>
        <v>10.742699999999999</v>
      </c>
      <c r="H111" s="1239">
        <f t="shared" si="19"/>
        <v>11.9886</v>
      </c>
      <c r="I111" s="1243">
        <f t="shared" si="13"/>
        <v>-0.1109887726673674</v>
      </c>
      <c r="J111" s="1243">
        <f t="shared" si="20"/>
        <v>0.12093838824177333</v>
      </c>
      <c r="K111" s="1243">
        <f t="shared" si="21"/>
        <v>0.1</v>
      </c>
      <c r="L111" s="203"/>
      <c r="N111" s="1425">
        <v>45078</v>
      </c>
      <c r="O111" s="1502">
        <v>10.657999999999999</v>
      </c>
      <c r="P111" s="1502">
        <v>2.3864000000000001</v>
      </c>
      <c r="Q111" s="1502">
        <v>10.9115</v>
      </c>
      <c r="R111" s="1233">
        <f>'B. PE'!$U$23</f>
        <v>15.978235616082999</v>
      </c>
      <c r="S111" s="1233"/>
      <c r="T111" s="1233"/>
      <c r="V111" s="1425">
        <v>45078</v>
      </c>
      <c r="W111" s="1">
        <v>25.546700000000001</v>
      </c>
      <c r="X111" s="1">
        <v>1.3386</v>
      </c>
      <c r="Y111" s="1">
        <v>5.8979999999999997</v>
      </c>
      <c r="Z111" s="1">
        <v>1.0290299999999999</v>
      </c>
      <c r="AB111" s="1425">
        <v>45070</v>
      </c>
      <c r="AC111" s="1">
        <v>8.1226000000000003</v>
      </c>
      <c r="AD111" s="1502">
        <v>1.1115999999999999</v>
      </c>
      <c r="AE111" s="1">
        <v>6.1780999999999997</v>
      </c>
      <c r="AF111" s="1">
        <v>3.4250000000000003E-2</v>
      </c>
      <c r="AH111" s="1425">
        <v>45070</v>
      </c>
      <c r="AI111" s="1">
        <v>11.6617</v>
      </c>
      <c r="AJ111" s="1">
        <v>1.9493</v>
      </c>
      <c r="AK111" s="1">
        <v>6.0228999999999999</v>
      </c>
      <c r="AL111" s="1">
        <v>3.5929999999999997E-2</v>
      </c>
      <c r="AN111" s="1425">
        <v>45075</v>
      </c>
      <c r="AO111" s="1">
        <v>7.8285999999999998</v>
      </c>
      <c r="AP111" s="1">
        <v>1.1468</v>
      </c>
      <c r="AQ111" s="1">
        <v>5.6376999999999997</v>
      </c>
      <c r="AR111" s="1">
        <v>0.29398999999999997</v>
      </c>
      <c r="AT111" s="1425">
        <v>45075</v>
      </c>
      <c r="AU111" s="1">
        <v>8.8702000000000005</v>
      </c>
      <c r="AV111" s="1">
        <v>0.78100000000000003</v>
      </c>
      <c r="AW111" s="1">
        <v>6.2708000000000004</v>
      </c>
      <c r="AX111" s="1">
        <v>0.20860000000000001</v>
      </c>
      <c r="BA111" s="1425">
        <v>45072</v>
      </c>
      <c r="BB111" s="1">
        <v>10.909700000000001</v>
      </c>
      <c r="BC111" s="1">
        <v>1.8717999999999999</v>
      </c>
      <c r="BD111" s="1">
        <v>10.076700000000001</v>
      </c>
      <c r="BE111" s="1">
        <v>0.57121</v>
      </c>
      <c r="BG111" s="1425">
        <v>45072</v>
      </c>
      <c r="BH111" s="1">
        <v>15.1751</v>
      </c>
      <c r="BI111" s="1">
        <v>2.6059000000000001</v>
      </c>
      <c r="BJ111" s="1">
        <v>18.0382</v>
      </c>
      <c r="BT111" s="1425">
        <v>45078</v>
      </c>
      <c r="BU111" s="1">
        <v>21.430199999999999</v>
      </c>
      <c r="BV111" s="1">
        <v>2.4022000000000001</v>
      </c>
      <c r="BW111" s="1">
        <v>6.89</v>
      </c>
      <c r="BX111" s="1">
        <v>1.6777</v>
      </c>
      <c r="BZ111" s="1425">
        <v>45078</v>
      </c>
      <c r="CA111" s="1">
        <v>36.779699999999998</v>
      </c>
      <c r="CB111" s="1">
        <v>3.8384</v>
      </c>
      <c r="CC111" s="1">
        <v>17.823599999999999</v>
      </c>
      <c r="CD111" s="1">
        <v>2.4030100000000001</v>
      </c>
      <c r="CF111" s="1425">
        <v>45078</v>
      </c>
      <c r="CG111" s="1">
        <v>6.2487000000000004</v>
      </c>
      <c r="CH111" s="1">
        <v>1.1425000000000001</v>
      </c>
      <c r="CL111" s="1425">
        <v>45079</v>
      </c>
      <c r="CM111" s="1">
        <v>22.023499999999999</v>
      </c>
      <c r="CN111" s="1">
        <v>2.5207000000000002</v>
      </c>
      <c r="CO111" s="1">
        <v>10.9392</v>
      </c>
    </row>
    <row r="112" spans="1:93">
      <c r="A112" s="1425">
        <v>45077</v>
      </c>
      <c r="B112" s="20">
        <f t="shared" si="12"/>
        <v>10.422499999999999</v>
      </c>
      <c r="C112" s="20">
        <f t="shared" si="14"/>
        <v>25.156700000000001</v>
      </c>
      <c r="D112" s="20">
        <f t="shared" si="15"/>
        <v>11.9886</v>
      </c>
      <c r="E112" s="20">
        <f t="shared" si="16"/>
        <v>7.9428999999999998</v>
      </c>
      <c r="F112" s="20">
        <f t="shared" si="17"/>
        <v>15.5253</v>
      </c>
      <c r="G112" s="20">
        <f t="shared" si="18"/>
        <v>11.021000000000001</v>
      </c>
      <c r="H112" s="1239">
        <f t="shared" si="19"/>
        <v>11.9886</v>
      </c>
      <c r="I112" s="1243">
        <f t="shared" si="13"/>
        <v>-0.13063243414577186</v>
      </c>
      <c r="J112" s="1243">
        <f t="shared" si="20"/>
        <v>0.12093838824177333</v>
      </c>
      <c r="K112" s="1243">
        <f t="shared" si="21"/>
        <v>0.1</v>
      </c>
      <c r="L112" s="203"/>
      <c r="N112" s="1425">
        <v>45077</v>
      </c>
      <c r="O112" s="1502">
        <v>10.422499999999999</v>
      </c>
      <c r="P112" s="1502">
        <v>2.3336999999999999</v>
      </c>
      <c r="Q112" s="1502">
        <v>10.722799999999999</v>
      </c>
      <c r="R112" s="1233">
        <f>'B. PE'!$U$23</f>
        <v>15.978235616082999</v>
      </c>
      <c r="S112" s="1233"/>
      <c r="T112" s="1233"/>
      <c r="V112" s="1425">
        <v>45077</v>
      </c>
      <c r="W112" s="1">
        <v>25.156700000000001</v>
      </c>
      <c r="X112" s="1">
        <v>1.3181</v>
      </c>
      <c r="Y112" s="1">
        <v>5.8204000000000002</v>
      </c>
      <c r="Z112" s="1">
        <v>0.99409000000000003</v>
      </c>
      <c r="AB112" s="1425">
        <v>45069</v>
      </c>
      <c r="AC112" s="1">
        <v>8.2882999999999996</v>
      </c>
      <c r="AD112" s="1502">
        <v>1.1343000000000001</v>
      </c>
      <c r="AE112" s="1">
        <v>6.2426000000000004</v>
      </c>
      <c r="AF112" s="1">
        <v>3.4479999999999997E-2</v>
      </c>
      <c r="AH112" s="1425">
        <v>45069</v>
      </c>
      <c r="AI112" s="1">
        <v>11.7707</v>
      </c>
      <c r="AJ112" s="1">
        <v>1.9675</v>
      </c>
      <c r="AK112" s="1">
        <v>6.0793999999999997</v>
      </c>
      <c r="AL112" s="1">
        <v>3.5819999999999998E-2</v>
      </c>
      <c r="AN112" s="1425">
        <v>45072</v>
      </c>
      <c r="AO112" s="1">
        <v>7.7713999999999999</v>
      </c>
      <c r="AP112" s="1">
        <v>1.1384000000000001</v>
      </c>
      <c r="AQ112" s="1">
        <v>5.5945999999999998</v>
      </c>
      <c r="AR112" s="1">
        <v>0.29609999999999997</v>
      </c>
      <c r="AT112" s="1425">
        <v>45072</v>
      </c>
      <c r="AU112" s="1">
        <v>8.7767999999999997</v>
      </c>
      <c r="AV112" s="1">
        <v>0.77280000000000004</v>
      </c>
      <c r="AW112" s="1">
        <v>6.2070999999999996</v>
      </c>
      <c r="AX112" s="1">
        <v>0.20574999999999999</v>
      </c>
      <c r="BA112" s="1425">
        <v>45071</v>
      </c>
      <c r="BB112" s="1">
        <v>11.021000000000001</v>
      </c>
      <c r="BC112" s="1">
        <v>1.8909</v>
      </c>
      <c r="BD112" s="1">
        <v>10.146599999999999</v>
      </c>
      <c r="BE112" s="1">
        <v>0.57535999999999998</v>
      </c>
      <c r="BG112" s="1425">
        <v>45071</v>
      </c>
      <c r="BH112" s="1">
        <v>15.4086</v>
      </c>
      <c r="BI112" s="1">
        <v>2.6459999999999999</v>
      </c>
      <c r="BJ112" s="1">
        <v>18.226400000000002</v>
      </c>
      <c r="BT112" s="1425">
        <v>45077</v>
      </c>
      <c r="BU112" s="1">
        <v>21.375699999999998</v>
      </c>
      <c r="BV112" s="1">
        <v>2.3961000000000001</v>
      </c>
      <c r="BW112" s="1">
        <v>6.8734000000000002</v>
      </c>
      <c r="BX112" s="1">
        <v>1.6488</v>
      </c>
      <c r="BZ112" s="1425">
        <v>45077</v>
      </c>
      <c r="CA112" s="1">
        <v>36.099699999999999</v>
      </c>
      <c r="CB112" s="1">
        <v>3.7673999999999999</v>
      </c>
      <c r="CC112" s="1">
        <v>17.607299999999999</v>
      </c>
      <c r="CD112" s="1">
        <v>2.34137</v>
      </c>
      <c r="CF112" s="1425">
        <v>45077</v>
      </c>
      <c r="CG112" s="1">
        <v>6.4120999999999997</v>
      </c>
      <c r="CH112" s="1">
        <v>1.1724000000000001</v>
      </c>
      <c r="CL112" s="1425">
        <v>45078</v>
      </c>
      <c r="CM112" s="1">
        <v>21.409500000000001</v>
      </c>
      <c r="CN112" s="1">
        <v>2.4504000000000001</v>
      </c>
      <c r="CO112" s="1">
        <v>10.661899999999999</v>
      </c>
    </row>
    <row r="113" spans="1:93">
      <c r="A113" s="1425">
        <v>45076</v>
      </c>
      <c r="B113" s="20">
        <f t="shared" si="12"/>
        <v>10.4961</v>
      </c>
      <c r="C113" s="20">
        <f t="shared" si="14"/>
        <v>25.449200000000001</v>
      </c>
      <c r="D113" s="20">
        <f t="shared" si="15"/>
        <v>11.7707</v>
      </c>
      <c r="E113" s="20">
        <f t="shared" si="16"/>
        <v>7.9428999999999998</v>
      </c>
      <c r="F113" s="20">
        <f t="shared" si="17"/>
        <v>15.2918</v>
      </c>
      <c r="G113" s="20">
        <f t="shared" si="18"/>
        <v>11.021000000000001</v>
      </c>
      <c r="H113" s="1239">
        <f t="shared" si="19"/>
        <v>11.7707</v>
      </c>
      <c r="I113" s="1243">
        <f t="shared" si="13"/>
        <v>-0.1082858283704452</v>
      </c>
      <c r="J113" s="1243">
        <f t="shared" si="20"/>
        <v>0.12093838824177333</v>
      </c>
      <c r="K113" s="1243">
        <f t="shared" si="21"/>
        <v>0.1</v>
      </c>
      <c r="L113" s="203"/>
      <c r="N113" s="1425">
        <v>45076</v>
      </c>
      <c r="O113" s="1502">
        <v>10.4961</v>
      </c>
      <c r="P113" s="1502">
        <v>2.3500999999999999</v>
      </c>
      <c r="Q113" s="1502">
        <v>10.781700000000001</v>
      </c>
      <c r="R113" s="1233">
        <f>'B. PE'!$U$23</f>
        <v>15.978235616082999</v>
      </c>
      <c r="S113" s="1233"/>
      <c r="T113" s="1233"/>
      <c r="V113" s="1425">
        <v>45076</v>
      </c>
      <c r="W113" s="1">
        <v>25.449200000000001</v>
      </c>
      <c r="X113" s="1">
        <v>1.3333999999999999</v>
      </c>
      <c r="Y113" s="1">
        <v>5.8785999999999996</v>
      </c>
      <c r="Z113" s="1">
        <v>0.96414</v>
      </c>
      <c r="AB113" s="1425">
        <v>45068</v>
      </c>
      <c r="AC113" s="1">
        <v>8.4541000000000004</v>
      </c>
      <c r="AD113" s="1502">
        <v>1.157</v>
      </c>
      <c r="AE113" s="1">
        <v>6.3071999999999999</v>
      </c>
      <c r="AF113" s="1">
        <v>3.3520000000000001E-2</v>
      </c>
      <c r="AH113" s="1425">
        <v>45068</v>
      </c>
      <c r="AI113" s="1">
        <v>11.6617</v>
      </c>
      <c r="AJ113" s="1">
        <v>1.9493</v>
      </c>
      <c r="AK113" s="1">
        <v>6.0228999999999999</v>
      </c>
      <c r="AL113" s="1">
        <v>3.7690000000000001E-2</v>
      </c>
      <c r="AN113" s="1425">
        <v>45071</v>
      </c>
      <c r="AO113" s="1">
        <v>7.7713999999999999</v>
      </c>
      <c r="AP113" s="1">
        <v>1.1384000000000001</v>
      </c>
      <c r="AQ113" s="1">
        <v>5.5945999999999998</v>
      </c>
      <c r="AR113" s="1">
        <v>0.29520999999999997</v>
      </c>
      <c r="AT113" s="1425">
        <v>45071</v>
      </c>
      <c r="AU113" s="1">
        <v>9.0103000000000009</v>
      </c>
      <c r="AV113" s="1">
        <v>0.79330000000000001</v>
      </c>
      <c r="AW113" s="1">
        <v>6.3305999999999996</v>
      </c>
      <c r="AX113" s="1">
        <v>0.20774000000000001</v>
      </c>
      <c r="BA113" s="1425">
        <v>45070</v>
      </c>
      <c r="BB113" s="1">
        <v>11.021000000000001</v>
      </c>
      <c r="BC113" s="1">
        <v>1.8909</v>
      </c>
      <c r="BD113" s="1">
        <v>10.146599999999999</v>
      </c>
      <c r="BE113" s="1">
        <v>0.56871000000000005</v>
      </c>
      <c r="BG113" s="1425">
        <v>45070</v>
      </c>
      <c r="BH113" s="1">
        <v>15.2918</v>
      </c>
      <c r="BI113" s="1">
        <v>2.6259999999999999</v>
      </c>
      <c r="BJ113" s="1">
        <v>18.132300000000001</v>
      </c>
      <c r="BT113" s="1425">
        <v>45076</v>
      </c>
      <c r="BU113" s="1">
        <v>21.4847</v>
      </c>
      <c r="BV113" s="1">
        <v>2.4083999999999999</v>
      </c>
      <c r="BW113" s="1">
        <v>6.9101999999999997</v>
      </c>
      <c r="BX113" s="1">
        <v>1.6268</v>
      </c>
      <c r="BZ113" s="1425">
        <v>45076</v>
      </c>
      <c r="CA113" s="1">
        <v>36.779699999999998</v>
      </c>
      <c r="CB113" s="1">
        <v>3.8384</v>
      </c>
      <c r="CC113" s="1">
        <v>17.823599999999999</v>
      </c>
      <c r="CD113" s="1">
        <v>2.3330600000000001</v>
      </c>
      <c r="CF113" s="1425">
        <v>45076</v>
      </c>
      <c r="CG113" s="1">
        <v>5.9219999999999997</v>
      </c>
      <c r="CH113" s="1">
        <v>1.0828</v>
      </c>
      <c r="CL113" s="1425">
        <v>45077</v>
      </c>
      <c r="CM113" s="1">
        <v>21.215599999999998</v>
      </c>
      <c r="CN113" s="1">
        <v>2.4281999999999999</v>
      </c>
      <c r="CO113" s="1">
        <v>10.574400000000001</v>
      </c>
    </row>
    <row r="114" spans="1:93">
      <c r="A114" s="1425">
        <v>45075</v>
      </c>
      <c r="B114" s="20">
        <f t="shared" si="12"/>
        <v>10.0397</v>
      </c>
      <c r="C114" s="20">
        <f t="shared" si="14"/>
        <v>24.5716</v>
      </c>
      <c r="D114" s="20">
        <f t="shared" si="15"/>
        <v>11.8797</v>
      </c>
      <c r="E114" s="20">
        <f t="shared" si="16"/>
        <v>7.8285999999999998</v>
      </c>
      <c r="F114" s="20">
        <f t="shared" si="17"/>
        <v>15.2918</v>
      </c>
      <c r="G114" s="20">
        <f t="shared" si="18"/>
        <v>10.909700000000001</v>
      </c>
      <c r="H114" s="1239">
        <f t="shared" si="19"/>
        <v>11.8797</v>
      </c>
      <c r="I114" s="1243">
        <f t="shared" si="13"/>
        <v>-0.15488606614645151</v>
      </c>
      <c r="J114" s="1243">
        <f t="shared" si="20"/>
        <v>0.12093838824177333</v>
      </c>
      <c r="K114" s="1243">
        <f t="shared" si="21"/>
        <v>0.1</v>
      </c>
      <c r="L114" s="203"/>
      <c r="N114" s="1425">
        <v>45075</v>
      </c>
      <c r="O114" s="1502">
        <v>10.0397</v>
      </c>
      <c r="P114" s="1502">
        <v>2.2480000000000002</v>
      </c>
      <c r="Q114" s="1502">
        <v>10.416</v>
      </c>
      <c r="R114" s="1233">
        <f>'B. PE'!$U$23</f>
        <v>15.978235616082999</v>
      </c>
      <c r="S114" s="1233"/>
      <c r="T114" s="1233"/>
      <c r="V114" s="1425">
        <v>45075</v>
      </c>
      <c r="W114" s="1">
        <v>24.5716</v>
      </c>
      <c r="X114" s="1">
        <v>1.2875000000000001</v>
      </c>
      <c r="Y114" s="1">
        <v>5.7041000000000004</v>
      </c>
      <c r="Z114" s="1">
        <v>0.96426000000000001</v>
      </c>
      <c r="AB114" s="1425">
        <v>45065</v>
      </c>
      <c r="AC114" s="1">
        <v>8.5370000000000008</v>
      </c>
      <c r="AD114" s="1502">
        <v>1.1682999999999999</v>
      </c>
      <c r="AE114" s="1">
        <v>6.3394000000000004</v>
      </c>
      <c r="AF114" s="1">
        <v>3.2710000000000003E-2</v>
      </c>
      <c r="AH114" s="1425">
        <v>45065</v>
      </c>
      <c r="AI114" s="1">
        <v>11.6617</v>
      </c>
      <c r="AJ114" s="1">
        <v>1.9493</v>
      </c>
      <c r="AK114" s="1">
        <v>6.0228999999999999</v>
      </c>
      <c r="AL114" s="1">
        <v>3.6679999999999997E-2</v>
      </c>
      <c r="AN114" s="1425">
        <v>45070</v>
      </c>
      <c r="AO114" s="1">
        <v>7.7713999999999999</v>
      </c>
      <c r="AP114" s="1">
        <v>1.1384000000000001</v>
      </c>
      <c r="AQ114" s="1">
        <v>5.5945999999999998</v>
      </c>
      <c r="AR114" s="1">
        <v>0.30109999999999998</v>
      </c>
      <c r="AT114" s="1425">
        <v>45070</v>
      </c>
      <c r="AU114" s="1">
        <v>8.8234999999999992</v>
      </c>
      <c r="AV114" s="1">
        <v>0.77690000000000003</v>
      </c>
      <c r="AW114" s="1">
        <v>6.1933999999999996</v>
      </c>
      <c r="AX114" s="1">
        <v>0.20988999999999999</v>
      </c>
      <c r="BA114" s="1425">
        <v>45069</v>
      </c>
      <c r="BB114" s="1">
        <v>11.076700000000001</v>
      </c>
      <c r="BC114" s="1">
        <v>1.9005000000000001</v>
      </c>
      <c r="BD114" s="1">
        <v>10.1815</v>
      </c>
      <c r="BE114" s="1">
        <v>0.57067999999999997</v>
      </c>
      <c r="BG114" s="1425">
        <v>45069</v>
      </c>
      <c r="BH114" s="1">
        <v>15.2918</v>
      </c>
      <c r="BI114" s="1">
        <v>2.6259999999999999</v>
      </c>
      <c r="BJ114" s="1">
        <v>18.132300000000001</v>
      </c>
      <c r="BT114" s="1425">
        <v>45075</v>
      </c>
      <c r="BU114" s="1">
        <v>21.103000000000002</v>
      </c>
      <c r="BV114" s="1">
        <v>2.3656000000000001</v>
      </c>
      <c r="BW114" s="1">
        <v>6.7816000000000001</v>
      </c>
      <c r="BX114" s="1">
        <v>1.6185</v>
      </c>
      <c r="BZ114" s="1425">
        <v>45075</v>
      </c>
      <c r="CA114" s="1">
        <v>35.816299999999998</v>
      </c>
      <c r="CB114" s="1">
        <v>3.7378</v>
      </c>
      <c r="CC114" s="1">
        <v>17.517199999999999</v>
      </c>
      <c r="CD114" s="1">
        <v>2.3259500000000002</v>
      </c>
      <c r="CF114" s="1425">
        <v>45075</v>
      </c>
      <c r="CG114" s="1">
        <v>5.5544000000000002</v>
      </c>
      <c r="CH114" s="1">
        <v>1.0156000000000001</v>
      </c>
      <c r="CL114" s="1425">
        <v>45076</v>
      </c>
      <c r="CM114" s="1">
        <v>21.215599999999998</v>
      </c>
      <c r="CN114" s="1">
        <v>2.4281999999999999</v>
      </c>
      <c r="CO114" s="1">
        <v>10.574400000000001</v>
      </c>
    </row>
    <row r="115" spans="1:93">
      <c r="A115" s="1425">
        <v>45072</v>
      </c>
      <c r="B115" s="20">
        <f t="shared" si="12"/>
        <v>9.7453000000000003</v>
      </c>
      <c r="C115" s="20">
        <f t="shared" si="14"/>
        <v>23.840299999999999</v>
      </c>
      <c r="D115" s="20">
        <f t="shared" si="15"/>
        <v>11.8797</v>
      </c>
      <c r="E115" s="20">
        <f t="shared" si="16"/>
        <v>7.7713999999999999</v>
      </c>
      <c r="F115" s="20">
        <f t="shared" si="17"/>
        <v>15.1751</v>
      </c>
      <c r="G115" s="20">
        <f t="shared" si="18"/>
        <v>10.909700000000001</v>
      </c>
      <c r="H115" s="1239">
        <f t="shared" si="19"/>
        <v>11.8797</v>
      </c>
      <c r="I115" s="1243">
        <f t="shared" si="13"/>
        <v>-0.17966783672988373</v>
      </c>
      <c r="J115" s="1243">
        <f t="shared" si="20"/>
        <v>0.12093838824177333</v>
      </c>
      <c r="K115" s="1243">
        <f t="shared" si="21"/>
        <v>0.1</v>
      </c>
      <c r="L115" s="203"/>
      <c r="N115" s="1425">
        <v>45072</v>
      </c>
      <c r="O115" s="1502">
        <v>9.7453000000000003</v>
      </c>
      <c r="P115" s="1502">
        <v>2.1819999999999999</v>
      </c>
      <c r="Q115" s="1502">
        <v>10.180099999999999</v>
      </c>
      <c r="R115" s="1233">
        <f>'B. PE'!$U$23</f>
        <v>15.978235616082999</v>
      </c>
      <c r="S115" s="1233"/>
      <c r="T115" s="1233"/>
      <c r="V115" s="1425">
        <v>45072</v>
      </c>
      <c r="W115" s="1">
        <v>23.840299999999999</v>
      </c>
      <c r="X115" s="1">
        <v>1.2491000000000001</v>
      </c>
      <c r="Y115" s="1">
        <v>5.5586000000000002</v>
      </c>
      <c r="Z115" s="1">
        <v>0.95648999999999995</v>
      </c>
      <c r="AB115" s="1425">
        <v>45063</v>
      </c>
      <c r="AC115" s="1">
        <v>8.2552000000000003</v>
      </c>
      <c r="AD115" s="1502">
        <v>1.1296999999999999</v>
      </c>
      <c r="AE115" s="1">
        <v>6.2297000000000002</v>
      </c>
      <c r="AF115" s="1">
        <v>3.3390000000000003E-2</v>
      </c>
      <c r="AH115" s="1425">
        <v>45063</v>
      </c>
      <c r="AI115" s="1">
        <v>12.2066</v>
      </c>
      <c r="AJ115" s="1">
        <v>2.0404</v>
      </c>
      <c r="AK115" s="1">
        <v>6.3052999999999999</v>
      </c>
      <c r="AL115" s="1">
        <v>3.7170000000000002E-2</v>
      </c>
      <c r="AN115" s="1425">
        <v>45069</v>
      </c>
      <c r="AO115" s="1">
        <v>7.7142999999999997</v>
      </c>
      <c r="AP115" s="1">
        <v>1.1299999999999999</v>
      </c>
      <c r="AQ115" s="1">
        <v>5.5514999999999999</v>
      </c>
      <c r="AR115" s="1">
        <v>0.30203000000000002</v>
      </c>
      <c r="AT115" s="1425">
        <v>45069</v>
      </c>
      <c r="AU115" s="1">
        <v>8.8702000000000005</v>
      </c>
      <c r="AV115" s="1">
        <v>0.78100000000000003</v>
      </c>
      <c r="AW115" s="1">
        <v>6.2251000000000003</v>
      </c>
      <c r="AX115" s="1">
        <v>0.21274000000000001</v>
      </c>
      <c r="BA115" s="1425">
        <v>45068</v>
      </c>
      <c r="BB115" s="1">
        <v>10.909700000000001</v>
      </c>
      <c r="BC115" s="1">
        <v>1.8717999999999999</v>
      </c>
      <c r="BD115" s="1">
        <v>10.076700000000001</v>
      </c>
      <c r="BE115" s="1">
        <v>0.57745000000000002</v>
      </c>
      <c r="BG115" s="1425">
        <v>45068</v>
      </c>
      <c r="BH115" s="1">
        <v>15.058400000000001</v>
      </c>
      <c r="BI115" s="1">
        <v>2.5859000000000001</v>
      </c>
      <c r="BJ115" s="1">
        <v>17.943999999999999</v>
      </c>
      <c r="BT115" s="1425">
        <v>45072</v>
      </c>
      <c r="BU115" s="1">
        <v>20.830400000000001</v>
      </c>
      <c r="BV115" s="1">
        <v>2.335</v>
      </c>
      <c r="BW115" s="1">
        <v>6.6898</v>
      </c>
      <c r="BX115" s="1">
        <v>1.6166</v>
      </c>
      <c r="BZ115" s="1425">
        <v>45072</v>
      </c>
      <c r="CA115" s="1">
        <v>35.703000000000003</v>
      </c>
      <c r="CB115" s="1">
        <v>3.726</v>
      </c>
      <c r="CC115" s="1">
        <v>17.481100000000001</v>
      </c>
      <c r="CD115" s="1">
        <v>2.3262499999999999</v>
      </c>
      <c r="CF115" s="1425">
        <v>45072</v>
      </c>
      <c r="CG115" s="1">
        <v>5.5544000000000002</v>
      </c>
      <c r="CH115" s="1">
        <v>1.0156000000000001</v>
      </c>
      <c r="CL115" s="1425">
        <v>45072</v>
      </c>
      <c r="CM115" s="1">
        <v>21.651900000000001</v>
      </c>
      <c r="CN115" s="1">
        <v>2.4782000000000002</v>
      </c>
      <c r="CO115" s="1">
        <v>10.7714</v>
      </c>
    </row>
    <row r="116" spans="1:93">
      <c r="A116" s="1425">
        <v>45071</v>
      </c>
      <c r="B116" s="20">
        <f t="shared" si="12"/>
        <v>9.6716999999999995</v>
      </c>
      <c r="C116" s="20">
        <f t="shared" si="14"/>
        <v>23.840299999999999</v>
      </c>
      <c r="D116" s="20">
        <f t="shared" si="15"/>
        <v>11.6617</v>
      </c>
      <c r="E116" s="20">
        <f t="shared" si="16"/>
        <v>7.7713999999999999</v>
      </c>
      <c r="F116" s="20">
        <f t="shared" si="17"/>
        <v>15.4086</v>
      </c>
      <c r="G116" s="20">
        <f t="shared" si="18"/>
        <v>11.021000000000001</v>
      </c>
      <c r="H116" s="1239">
        <f t="shared" si="19"/>
        <v>11.6617</v>
      </c>
      <c r="I116" s="1243">
        <f t="shared" si="13"/>
        <v>-0.17064407419158445</v>
      </c>
      <c r="J116" s="1243">
        <f t="shared" si="20"/>
        <v>0.12093838824177333</v>
      </c>
      <c r="K116" s="1243">
        <f t="shared" si="21"/>
        <v>0.1</v>
      </c>
      <c r="L116" s="203"/>
      <c r="N116" s="1425">
        <v>45071</v>
      </c>
      <c r="O116" s="1502">
        <v>9.6716999999999995</v>
      </c>
      <c r="P116" s="1502">
        <v>2.1656</v>
      </c>
      <c r="Q116" s="1502">
        <v>10.1211</v>
      </c>
      <c r="R116" s="1233">
        <f>'B. PE'!$U$23</f>
        <v>15.978235616082999</v>
      </c>
      <c r="S116" s="1233"/>
      <c r="T116" s="1233"/>
      <c r="V116" s="1425">
        <v>45071</v>
      </c>
      <c r="W116" s="1">
        <v>23.840299999999999</v>
      </c>
      <c r="X116" s="1">
        <v>1.2491000000000001</v>
      </c>
      <c r="Y116" s="1">
        <v>5.5586000000000002</v>
      </c>
      <c r="Z116" s="1">
        <v>0.97219</v>
      </c>
      <c r="AB116" s="1425">
        <v>45062</v>
      </c>
      <c r="AC116" s="1">
        <v>8.0563000000000002</v>
      </c>
      <c r="AD116" s="1502">
        <v>1.1025</v>
      </c>
      <c r="AE116" s="1">
        <v>6.1523000000000003</v>
      </c>
      <c r="AF116" s="1">
        <v>3.3419999999999998E-2</v>
      </c>
      <c r="AH116" s="1425">
        <v>45062</v>
      </c>
      <c r="AI116" s="1">
        <v>11.8797</v>
      </c>
      <c r="AJ116" s="1">
        <v>1.9858</v>
      </c>
      <c r="AK116" s="1">
        <v>6.1359000000000004</v>
      </c>
      <c r="AL116" s="1">
        <v>3.807E-2</v>
      </c>
      <c r="AN116" s="1425">
        <v>45068</v>
      </c>
      <c r="AO116" s="1">
        <v>7.8285999999999998</v>
      </c>
      <c r="AP116" s="1">
        <v>1.1468</v>
      </c>
      <c r="AQ116" s="1">
        <v>5.6376999999999997</v>
      </c>
      <c r="AR116" s="1">
        <v>0.30630000000000002</v>
      </c>
      <c r="AT116" s="1425">
        <v>45068</v>
      </c>
      <c r="AU116" s="1">
        <v>8.9169</v>
      </c>
      <c r="AV116" s="1">
        <v>0.78510000000000002</v>
      </c>
      <c r="AW116" s="1">
        <v>6.2568000000000001</v>
      </c>
      <c r="AX116" s="1">
        <v>0.21265000000000001</v>
      </c>
      <c r="BA116" s="1425">
        <v>45065</v>
      </c>
      <c r="BB116" s="1">
        <v>10.909700000000001</v>
      </c>
      <c r="BC116" s="1">
        <v>1.8717999999999999</v>
      </c>
      <c r="BD116" s="1">
        <v>10.076700000000001</v>
      </c>
      <c r="BE116" s="1">
        <v>0.58104</v>
      </c>
      <c r="BG116" s="1425">
        <v>45065</v>
      </c>
      <c r="BH116" s="1">
        <v>14.8249</v>
      </c>
      <c r="BI116" s="1">
        <v>2.5457999999999998</v>
      </c>
      <c r="BJ116" s="1">
        <v>17.755800000000001</v>
      </c>
      <c r="BT116" s="1425">
        <v>45071</v>
      </c>
      <c r="BU116" s="1">
        <v>20.721299999999999</v>
      </c>
      <c r="BV116" s="1">
        <v>2.3228</v>
      </c>
      <c r="BW116" s="1">
        <v>6.6531000000000002</v>
      </c>
      <c r="BX116" s="1">
        <v>1.6293</v>
      </c>
      <c r="BZ116" s="1425">
        <v>45071</v>
      </c>
      <c r="CA116" s="1">
        <v>35.589599999999997</v>
      </c>
      <c r="CB116" s="1">
        <v>3.7141999999999999</v>
      </c>
      <c r="CC116" s="1">
        <v>17.4451</v>
      </c>
      <c r="CD116" s="1">
        <v>2.3223500000000001</v>
      </c>
      <c r="CF116" s="1425">
        <v>45071</v>
      </c>
      <c r="CG116" s="1">
        <v>5.5136000000000003</v>
      </c>
      <c r="CH116" s="1">
        <v>1.0081</v>
      </c>
      <c r="CL116" s="1425">
        <v>45071</v>
      </c>
      <c r="CM116" s="1">
        <v>21.5549</v>
      </c>
      <c r="CN116" s="1">
        <v>2.4670999999999998</v>
      </c>
      <c r="CO116" s="1">
        <v>10.727600000000001</v>
      </c>
    </row>
    <row r="117" spans="1:93">
      <c r="A117" s="1425">
        <v>45070</v>
      </c>
      <c r="B117" s="20">
        <f t="shared" si="12"/>
        <v>9.8041999999999998</v>
      </c>
      <c r="C117" s="20">
        <f t="shared" si="14"/>
        <v>23.645299999999999</v>
      </c>
      <c r="D117" s="20">
        <f t="shared" si="15"/>
        <v>11.6617</v>
      </c>
      <c r="E117" s="20">
        <f t="shared" si="16"/>
        <v>7.7713999999999999</v>
      </c>
      <c r="F117" s="20">
        <f t="shared" si="17"/>
        <v>15.2918</v>
      </c>
      <c r="G117" s="20">
        <f t="shared" si="18"/>
        <v>11.021000000000001</v>
      </c>
      <c r="H117" s="1239">
        <f t="shared" si="19"/>
        <v>11.6617</v>
      </c>
      <c r="I117" s="1243">
        <f t="shared" si="13"/>
        <v>-0.15928209437732066</v>
      </c>
      <c r="J117" s="1243">
        <f t="shared" si="20"/>
        <v>0.12093838824177333</v>
      </c>
      <c r="K117" s="1243">
        <f t="shared" si="21"/>
        <v>0.1</v>
      </c>
      <c r="L117" s="203"/>
      <c r="N117" s="1425">
        <v>45070</v>
      </c>
      <c r="O117" s="1502">
        <v>9.8041999999999998</v>
      </c>
      <c r="P117" s="1502">
        <v>2.1951999999999998</v>
      </c>
      <c r="Q117" s="1502">
        <v>10.2273</v>
      </c>
      <c r="R117" s="1233">
        <f>'B. PE'!$U$23</f>
        <v>15.978235616082999</v>
      </c>
      <c r="S117" s="1233"/>
      <c r="T117" s="1233"/>
      <c r="V117" s="1425">
        <v>45070</v>
      </c>
      <c r="W117" s="1">
        <v>23.645299999999999</v>
      </c>
      <c r="X117" s="1">
        <v>1.2388999999999999</v>
      </c>
      <c r="Y117" s="1">
        <v>5.5198</v>
      </c>
      <c r="Z117" s="1">
        <v>0.94796999999999998</v>
      </c>
      <c r="AB117" s="1425">
        <v>45061</v>
      </c>
      <c r="AC117" s="1">
        <v>8.1889000000000003</v>
      </c>
      <c r="AD117" s="1502">
        <v>1.1207</v>
      </c>
      <c r="AE117" s="1">
        <v>6.2039</v>
      </c>
      <c r="AF117" s="1">
        <v>3.3079999999999998E-2</v>
      </c>
      <c r="AH117" s="1425">
        <v>45061</v>
      </c>
      <c r="AI117" s="1">
        <v>11.9886</v>
      </c>
      <c r="AJ117" s="1">
        <v>2.004</v>
      </c>
      <c r="AK117" s="1">
        <v>6.1924000000000001</v>
      </c>
      <c r="AL117" s="1">
        <v>3.8300000000000001E-2</v>
      </c>
      <c r="AN117" s="1425">
        <v>45065</v>
      </c>
      <c r="AO117" s="1">
        <v>7.8285999999999998</v>
      </c>
      <c r="AP117" s="1">
        <v>1.1468</v>
      </c>
      <c r="AQ117" s="1">
        <v>5.6376999999999997</v>
      </c>
      <c r="AR117" s="1">
        <v>0.3049</v>
      </c>
      <c r="AT117" s="1425">
        <v>45065</v>
      </c>
      <c r="AU117" s="1">
        <v>9.0103000000000009</v>
      </c>
      <c r="AV117" s="1">
        <v>0.79330000000000001</v>
      </c>
      <c r="AW117" s="1">
        <v>6.3201000000000001</v>
      </c>
      <c r="AX117" s="1">
        <v>0.21321000000000001</v>
      </c>
      <c r="BA117" s="1425">
        <v>45064</v>
      </c>
      <c r="BB117" s="1">
        <v>11.076700000000001</v>
      </c>
      <c r="BC117" s="1">
        <v>1.9005000000000001</v>
      </c>
      <c r="BD117" s="1">
        <v>10.1815</v>
      </c>
      <c r="BE117" s="1">
        <v>0.58884000000000003</v>
      </c>
      <c r="BG117" s="1425">
        <v>45064</v>
      </c>
      <c r="BH117" s="1">
        <v>15.058400000000001</v>
      </c>
      <c r="BI117" s="1">
        <v>2.5859000000000001</v>
      </c>
      <c r="BJ117" s="1">
        <v>17.943999999999999</v>
      </c>
      <c r="BT117" s="1425">
        <v>45070</v>
      </c>
      <c r="BU117" s="1">
        <v>20.693999999999999</v>
      </c>
      <c r="BV117" s="1">
        <v>2.3197000000000001</v>
      </c>
      <c r="BW117" s="1">
        <v>6.6439000000000004</v>
      </c>
      <c r="BX117" s="1">
        <v>1.6445000000000001</v>
      </c>
      <c r="BZ117" s="1425">
        <v>45070</v>
      </c>
      <c r="CA117" s="1">
        <v>35.589599999999997</v>
      </c>
      <c r="CB117" s="1">
        <v>3.7141999999999999</v>
      </c>
      <c r="CC117" s="1">
        <v>17.4451</v>
      </c>
      <c r="CD117" s="1">
        <v>2.3369399999999998</v>
      </c>
      <c r="CF117" s="1425">
        <v>45070</v>
      </c>
      <c r="CG117" s="1">
        <v>5.4318999999999997</v>
      </c>
      <c r="CH117" s="1">
        <v>0.99319999999999997</v>
      </c>
      <c r="CL117" s="1425">
        <v>45070</v>
      </c>
      <c r="CM117" s="1">
        <v>21.813500000000001</v>
      </c>
      <c r="CN117" s="1">
        <v>2.4967000000000001</v>
      </c>
      <c r="CO117" s="1">
        <v>10.8443</v>
      </c>
    </row>
    <row r="118" spans="1:93">
      <c r="A118" s="1425">
        <v>45069</v>
      </c>
      <c r="B118" s="20">
        <f t="shared" si="12"/>
        <v>9.9513999999999996</v>
      </c>
      <c r="C118" s="20">
        <f t="shared" si="14"/>
        <v>24.035299999999999</v>
      </c>
      <c r="D118" s="20">
        <f t="shared" si="15"/>
        <v>11.7707</v>
      </c>
      <c r="E118" s="20">
        <f t="shared" si="16"/>
        <v>7.7142999999999997</v>
      </c>
      <c r="F118" s="20">
        <f t="shared" si="17"/>
        <v>15.2918</v>
      </c>
      <c r="G118" s="20">
        <f t="shared" si="18"/>
        <v>11.076700000000001</v>
      </c>
      <c r="H118" s="1239">
        <f t="shared" si="19"/>
        <v>11.7707</v>
      </c>
      <c r="I118" s="1243">
        <f t="shared" si="13"/>
        <v>-0.15456175078797352</v>
      </c>
      <c r="J118" s="1243">
        <f t="shared" si="20"/>
        <v>0.12093838824177333</v>
      </c>
      <c r="K118" s="1243">
        <f t="shared" si="21"/>
        <v>0.1</v>
      </c>
      <c r="L118" s="203"/>
      <c r="N118" s="1425">
        <v>45069</v>
      </c>
      <c r="O118" s="1502">
        <v>9.9513999999999996</v>
      </c>
      <c r="P118" s="1502">
        <v>2.2282000000000002</v>
      </c>
      <c r="Q118" s="1502">
        <v>10.3452</v>
      </c>
      <c r="R118" s="1233">
        <f>'B. PE'!$U$23</f>
        <v>15.978235616082999</v>
      </c>
      <c r="S118" s="1233"/>
      <c r="T118" s="1233"/>
      <c r="V118" s="1425">
        <v>45069</v>
      </c>
      <c r="W118" s="1">
        <v>24.035299999999999</v>
      </c>
      <c r="X118" s="1">
        <v>1.2594000000000001</v>
      </c>
      <c r="Y118" s="1">
        <v>5.5974000000000004</v>
      </c>
      <c r="Z118" s="1">
        <v>0.95674000000000003</v>
      </c>
      <c r="AB118" s="1425">
        <v>45058</v>
      </c>
      <c r="AC118" s="1">
        <v>8.2219999999999995</v>
      </c>
      <c r="AD118" s="1502">
        <v>1.1252</v>
      </c>
      <c r="AE118" s="1">
        <v>6.2168000000000001</v>
      </c>
      <c r="AF118" s="1">
        <v>3.2939999999999997E-2</v>
      </c>
      <c r="AH118" s="1425">
        <v>45058</v>
      </c>
      <c r="AI118" s="1">
        <v>12.3156</v>
      </c>
      <c r="AJ118" s="1">
        <v>2.0586000000000002</v>
      </c>
      <c r="AK118" s="1">
        <v>6.3617999999999997</v>
      </c>
      <c r="AL118" s="1">
        <v>3.8800000000000001E-2</v>
      </c>
      <c r="AN118" s="1425">
        <v>45064</v>
      </c>
      <c r="AO118" s="1">
        <v>7.9428999999999998</v>
      </c>
      <c r="AP118" s="1">
        <v>1.1635</v>
      </c>
      <c r="AQ118" s="1">
        <v>5.7237999999999998</v>
      </c>
      <c r="AR118" s="1">
        <v>0.30236000000000002</v>
      </c>
      <c r="AT118" s="1425">
        <v>45064</v>
      </c>
      <c r="AU118" s="1">
        <v>9.0103000000000009</v>
      </c>
      <c r="AV118" s="1">
        <v>0.79330000000000001</v>
      </c>
      <c r="AW118" s="1">
        <v>6.3201000000000001</v>
      </c>
      <c r="AX118" s="1">
        <v>0.21343000000000001</v>
      </c>
      <c r="BA118" s="1425">
        <v>45063</v>
      </c>
      <c r="BB118" s="1">
        <v>11.076700000000001</v>
      </c>
      <c r="BC118" s="1">
        <v>1.9005000000000001</v>
      </c>
      <c r="BD118" s="1">
        <v>10.1815</v>
      </c>
      <c r="BE118" s="1">
        <v>0.59809000000000001</v>
      </c>
      <c r="BG118" s="1425">
        <v>45063</v>
      </c>
      <c r="BH118" s="1">
        <v>14.8249</v>
      </c>
      <c r="BI118" s="1">
        <v>2.5457999999999998</v>
      </c>
      <c r="BJ118" s="1">
        <v>17.755800000000001</v>
      </c>
      <c r="BT118" s="1425">
        <v>45069</v>
      </c>
      <c r="BU118" s="1">
        <v>20.857600000000001</v>
      </c>
      <c r="BV118" s="1">
        <v>2.3380999999999998</v>
      </c>
      <c r="BW118" s="1">
        <v>6.6989999999999998</v>
      </c>
      <c r="BX118" s="1">
        <v>1.6318999999999999</v>
      </c>
      <c r="BZ118" s="1425">
        <v>45069</v>
      </c>
      <c r="CA118" s="1">
        <v>35.533000000000001</v>
      </c>
      <c r="CB118" s="1">
        <v>3.7082999999999999</v>
      </c>
      <c r="CC118" s="1">
        <v>17.427099999999999</v>
      </c>
      <c r="CD118" s="1">
        <v>2.3083200000000001</v>
      </c>
      <c r="CF118" s="1425">
        <v>45069</v>
      </c>
      <c r="CG118" s="1">
        <v>5.5136000000000003</v>
      </c>
      <c r="CH118" s="1">
        <v>1.0081</v>
      </c>
      <c r="CL118" s="1425">
        <v>45069</v>
      </c>
      <c r="CM118" s="1">
        <v>21.926600000000001</v>
      </c>
      <c r="CN118" s="1">
        <v>2.5095999999999998</v>
      </c>
      <c r="CO118" s="1">
        <v>10.8954</v>
      </c>
    </row>
    <row r="119" spans="1:93">
      <c r="A119" s="1425">
        <v>45068</v>
      </c>
      <c r="B119" s="20">
        <f t="shared" si="12"/>
        <v>10.054500000000001</v>
      </c>
      <c r="C119" s="20">
        <f t="shared" si="14"/>
        <v>23.401499999999999</v>
      </c>
      <c r="D119" s="20">
        <f t="shared" si="15"/>
        <v>11.6617</v>
      </c>
      <c r="E119" s="20">
        <f t="shared" si="16"/>
        <v>7.8285999999999998</v>
      </c>
      <c r="F119" s="20">
        <f t="shared" si="17"/>
        <v>15.058400000000001</v>
      </c>
      <c r="G119" s="20">
        <f t="shared" si="18"/>
        <v>10.909700000000001</v>
      </c>
      <c r="H119" s="1239">
        <f t="shared" si="19"/>
        <v>11.6617</v>
      </c>
      <c r="I119" s="1243">
        <f t="shared" si="13"/>
        <v>-0.13781867137724335</v>
      </c>
      <c r="J119" s="1243">
        <f t="shared" si="20"/>
        <v>0.12093838824177333</v>
      </c>
      <c r="K119" s="1243">
        <f t="shared" si="21"/>
        <v>0.1</v>
      </c>
      <c r="L119" s="203"/>
      <c r="N119" s="1425">
        <v>45068</v>
      </c>
      <c r="O119" s="1502">
        <v>10.054500000000001</v>
      </c>
      <c r="P119" s="1502">
        <v>2.2513000000000001</v>
      </c>
      <c r="Q119" s="1502">
        <v>10.4278</v>
      </c>
      <c r="R119" s="1233">
        <f>'B. PE'!$U$23</f>
        <v>15.978235616082999</v>
      </c>
      <c r="S119" s="1233"/>
      <c r="T119" s="1233"/>
      <c r="V119" s="1425">
        <v>45068</v>
      </c>
      <c r="W119" s="1">
        <v>23.401499999999999</v>
      </c>
      <c r="X119" s="1">
        <v>1.2262</v>
      </c>
      <c r="Y119" s="1">
        <v>5.4713000000000003</v>
      </c>
      <c r="Z119" s="1">
        <v>0.95908000000000004</v>
      </c>
      <c r="AB119" s="1425">
        <v>45057</v>
      </c>
      <c r="AC119" s="1">
        <v>8.0893999999999995</v>
      </c>
      <c r="AD119" s="1502">
        <v>1.1071</v>
      </c>
      <c r="AE119" s="1">
        <v>6.1651999999999996</v>
      </c>
      <c r="AF119" s="1">
        <v>3.2800000000000003E-2</v>
      </c>
      <c r="AH119" s="1425">
        <v>45057</v>
      </c>
      <c r="AI119" s="1">
        <v>12.3156</v>
      </c>
      <c r="AJ119" s="1">
        <v>2.0586000000000002</v>
      </c>
      <c r="AK119" s="1">
        <v>6.3617999999999997</v>
      </c>
      <c r="AL119" s="1">
        <v>3.8969999999999998E-2</v>
      </c>
      <c r="AN119" s="1425">
        <v>45063</v>
      </c>
      <c r="AO119" s="1">
        <v>7.8856999999999999</v>
      </c>
      <c r="AP119" s="1">
        <v>1.1551</v>
      </c>
      <c r="AQ119" s="1">
        <v>5.6806999999999999</v>
      </c>
      <c r="AR119" s="1">
        <v>0.29346</v>
      </c>
      <c r="AT119" s="1425">
        <v>45063</v>
      </c>
      <c r="AU119" s="1">
        <v>9.0103000000000009</v>
      </c>
      <c r="AV119" s="1">
        <v>0.79330000000000001</v>
      </c>
      <c r="AW119" s="1">
        <v>6.3201000000000001</v>
      </c>
      <c r="AX119" s="1">
        <v>0.21343000000000001</v>
      </c>
      <c r="BA119" s="1425">
        <v>45062</v>
      </c>
      <c r="BB119" s="1">
        <v>11.188000000000001</v>
      </c>
      <c r="BC119" s="1">
        <v>1.9196</v>
      </c>
      <c r="BD119" s="1">
        <v>10.2514</v>
      </c>
      <c r="BE119" s="1">
        <v>0.61189000000000004</v>
      </c>
      <c r="BG119" s="1425">
        <v>45062</v>
      </c>
      <c r="BH119" s="1">
        <v>15.1751</v>
      </c>
      <c r="BI119" s="1">
        <v>2.6059000000000001</v>
      </c>
      <c r="BJ119" s="1">
        <v>18.0382</v>
      </c>
      <c r="BT119" s="1425">
        <v>45068</v>
      </c>
      <c r="BU119" s="1">
        <v>21.0212</v>
      </c>
      <c r="BV119" s="1">
        <v>2.3563999999999998</v>
      </c>
      <c r="BW119" s="1">
        <v>6.7541000000000002</v>
      </c>
      <c r="BX119" s="1">
        <v>1.6240000000000001</v>
      </c>
      <c r="BZ119" s="1425">
        <v>45068</v>
      </c>
      <c r="CA119" s="1">
        <v>35.703000000000003</v>
      </c>
      <c r="CB119" s="1">
        <v>3.726</v>
      </c>
      <c r="CC119" s="1">
        <v>17.481100000000001</v>
      </c>
      <c r="CD119" s="1">
        <v>2.3166199999999999</v>
      </c>
      <c r="CF119" s="1425">
        <v>45068</v>
      </c>
      <c r="CG119" s="1">
        <v>5.5136000000000003</v>
      </c>
      <c r="CH119" s="1">
        <v>1.0081</v>
      </c>
      <c r="CL119" s="1425">
        <v>45068</v>
      </c>
      <c r="CM119" s="1">
        <v>21.829599999999999</v>
      </c>
      <c r="CN119" s="1">
        <v>2.4984999999999999</v>
      </c>
      <c r="CO119" s="1">
        <v>10.851599999999999</v>
      </c>
    </row>
    <row r="120" spans="1:93">
      <c r="A120" s="1425">
        <v>45065</v>
      </c>
      <c r="B120" s="20">
        <f t="shared" si="12"/>
        <v>9.7306000000000008</v>
      </c>
      <c r="C120" s="20">
        <f t="shared" si="14"/>
        <v>23.645299999999999</v>
      </c>
      <c r="D120" s="20">
        <f t="shared" si="15"/>
        <v>11.6617</v>
      </c>
      <c r="E120" s="20">
        <f t="shared" si="16"/>
        <v>7.8285999999999998</v>
      </c>
      <c r="F120" s="20">
        <f t="shared" si="17"/>
        <v>14.8249</v>
      </c>
      <c r="G120" s="20">
        <f t="shared" si="18"/>
        <v>10.909700000000001</v>
      </c>
      <c r="H120" s="1239">
        <f t="shared" si="19"/>
        <v>11.6617</v>
      </c>
      <c r="I120" s="1243">
        <f t="shared" si="13"/>
        <v>-0.16559335259867769</v>
      </c>
      <c r="J120" s="1243">
        <f t="shared" si="20"/>
        <v>0.12093838824177333</v>
      </c>
      <c r="K120" s="1243">
        <f t="shared" si="21"/>
        <v>0.1</v>
      </c>
      <c r="L120" s="203"/>
      <c r="N120" s="1425">
        <v>45065</v>
      </c>
      <c r="O120" s="1502">
        <v>9.7306000000000008</v>
      </c>
      <c r="P120" s="1502">
        <v>2.1787000000000001</v>
      </c>
      <c r="Q120" s="1502">
        <v>10.1683</v>
      </c>
      <c r="R120" s="1233">
        <f>'B. PE'!$U$23</f>
        <v>15.978235616082999</v>
      </c>
      <c r="S120" s="1233"/>
      <c r="T120" s="1233"/>
      <c r="V120" s="1425">
        <v>45065</v>
      </c>
      <c r="W120" s="1">
        <v>23.645299999999999</v>
      </c>
      <c r="X120" s="1">
        <v>1.2388999999999999</v>
      </c>
      <c r="Y120" s="1">
        <v>5.5198</v>
      </c>
      <c r="Z120" s="1">
        <v>0.96911000000000003</v>
      </c>
      <c r="AB120" s="1425">
        <v>45056</v>
      </c>
      <c r="AC120" s="1">
        <v>8.0230999999999995</v>
      </c>
      <c r="AD120" s="1502">
        <v>1.0980000000000001</v>
      </c>
      <c r="AE120" s="1">
        <v>6.1394000000000002</v>
      </c>
      <c r="AF120" s="1">
        <v>3.0450000000000001E-2</v>
      </c>
      <c r="AH120" s="1425">
        <v>45056</v>
      </c>
      <c r="AI120" s="1">
        <v>12.4246</v>
      </c>
      <c r="AJ120" s="1">
        <v>2.0768</v>
      </c>
      <c r="AK120" s="1">
        <v>6.4183000000000003</v>
      </c>
      <c r="AL120" s="1">
        <v>3.8059999999999997E-2</v>
      </c>
      <c r="AN120" s="1425">
        <v>45062</v>
      </c>
      <c r="AO120" s="1">
        <v>7.7713999999999999</v>
      </c>
      <c r="AP120" s="1">
        <v>1.1384000000000001</v>
      </c>
      <c r="AQ120" s="1">
        <v>5.5945999999999998</v>
      </c>
      <c r="AR120" s="1">
        <v>0.29476999999999998</v>
      </c>
      <c r="AT120" s="1425">
        <v>45062</v>
      </c>
      <c r="AU120" s="1">
        <v>8.9635999999999996</v>
      </c>
      <c r="AV120" s="1">
        <v>0.78920000000000001</v>
      </c>
      <c r="AW120" s="1">
        <v>6.2884000000000002</v>
      </c>
      <c r="AX120" s="1">
        <v>0.21884999999999999</v>
      </c>
      <c r="BA120" s="1425">
        <v>45061</v>
      </c>
      <c r="BB120" s="1">
        <v>11.2437</v>
      </c>
      <c r="BC120" s="1">
        <v>1.9291</v>
      </c>
      <c r="BD120" s="1">
        <v>10.286300000000001</v>
      </c>
      <c r="BE120" s="1">
        <v>0.62363000000000002</v>
      </c>
      <c r="BG120" s="1425">
        <v>45061</v>
      </c>
      <c r="BH120" s="1">
        <v>14.8249</v>
      </c>
      <c r="BI120" s="1">
        <v>2.5457999999999998</v>
      </c>
      <c r="BJ120" s="1">
        <v>17.755800000000001</v>
      </c>
      <c r="BT120" s="1425">
        <v>45065</v>
      </c>
      <c r="BU120" s="1">
        <v>20.884899999999998</v>
      </c>
      <c r="BV120" s="1">
        <v>2.3411</v>
      </c>
      <c r="BW120" s="1">
        <v>6.7081999999999997</v>
      </c>
      <c r="BX120" s="1">
        <v>1.6264000000000001</v>
      </c>
      <c r="BZ120" s="1425">
        <v>45065</v>
      </c>
      <c r="CA120" s="1">
        <v>35.3063</v>
      </c>
      <c r="CB120" s="1">
        <v>3.6846000000000001</v>
      </c>
      <c r="CC120" s="1">
        <v>17.354900000000001</v>
      </c>
      <c r="CD120" s="1">
        <v>2.2984800000000001</v>
      </c>
      <c r="CF120" s="1425">
        <v>45065</v>
      </c>
      <c r="CG120" s="1">
        <v>5.4318999999999997</v>
      </c>
      <c r="CH120" s="1">
        <v>0.99319999999999997</v>
      </c>
      <c r="CL120" s="1425">
        <v>45065</v>
      </c>
      <c r="CM120" s="1">
        <v>21.942699999999999</v>
      </c>
      <c r="CN120" s="1">
        <v>2.5114999999999998</v>
      </c>
      <c r="CO120" s="1">
        <v>10.902699999999999</v>
      </c>
    </row>
    <row r="121" spans="1:93">
      <c r="A121" s="1425">
        <v>45064</v>
      </c>
      <c r="B121" s="20">
        <f t="shared" si="12"/>
        <v>9.7158999999999995</v>
      </c>
      <c r="C121" s="20">
        <f t="shared" si="14"/>
        <v>23.694099999999999</v>
      </c>
      <c r="D121" s="20">
        <f t="shared" si="15"/>
        <v>11.6617</v>
      </c>
      <c r="E121" s="20">
        <f t="shared" si="16"/>
        <v>7.9428999999999998</v>
      </c>
      <c r="F121" s="20">
        <f t="shared" si="17"/>
        <v>15.058400000000001</v>
      </c>
      <c r="G121" s="20">
        <f t="shared" si="18"/>
        <v>11.076700000000001</v>
      </c>
      <c r="H121" s="1239">
        <f t="shared" si="19"/>
        <v>11.6617</v>
      </c>
      <c r="I121" s="1243">
        <f t="shared" si="13"/>
        <v>-0.16685388922712818</v>
      </c>
      <c r="J121" s="1243">
        <f t="shared" si="20"/>
        <v>0.12093838824177333</v>
      </c>
      <c r="K121" s="1243">
        <f t="shared" si="21"/>
        <v>0.1</v>
      </c>
      <c r="L121" s="203"/>
      <c r="N121" s="1425">
        <v>45064</v>
      </c>
      <c r="O121" s="1502">
        <v>9.7158999999999995</v>
      </c>
      <c r="P121" s="1502">
        <v>2.1753999999999998</v>
      </c>
      <c r="Q121" s="1502">
        <v>10.156499999999999</v>
      </c>
      <c r="R121" s="1233">
        <f>'B. PE'!$U$23</f>
        <v>15.978235616082999</v>
      </c>
      <c r="S121" s="1233"/>
      <c r="T121" s="1233"/>
      <c r="V121" s="1425">
        <v>45064</v>
      </c>
      <c r="W121" s="1">
        <v>23.694099999999999</v>
      </c>
      <c r="X121" s="1">
        <v>1.2415</v>
      </c>
      <c r="Y121" s="1">
        <v>5.5294999999999996</v>
      </c>
      <c r="Z121" s="1">
        <v>0.95530000000000004</v>
      </c>
      <c r="AB121" s="1425">
        <v>45055</v>
      </c>
      <c r="AC121" s="1">
        <v>8.0230999999999995</v>
      </c>
      <c r="AD121" s="1502">
        <v>1.0980000000000001</v>
      </c>
      <c r="AE121" s="1">
        <v>6.1394000000000002</v>
      </c>
      <c r="AF121" s="1">
        <v>3.107E-2</v>
      </c>
      <c r="AH121" s="1425">
        <v>45055</v>
      </c>
      <c r="AI121" s="1">
        <v>12.5336</v>
      </c>
      <c r="AJ121" s="1">
        <v>2.0951</v>
      </c>
      <c r="AK121" s="1">
        <v>6.4748000000000001</v>
      </c>
      <c r="AL121" s="1">
        <v>3.884E-2</v>
      </c>
      <c r="AN121" s="1425">
        <v>45061</v>
      </c>
      <c r="AO121" s="1">
        <v>7.5429000000000004</v>
      </c>
      <c r="AP121" s="1">
        <v>1.1049</v>
      </c>
      <c r="AQ121" s="1">
        <v>5.4222999999999999</v>
      </c>
      <c r="AR121" s="1">
        <v>0.29346</v>
      </c>
      <c r="AT121" s="1425">
        <v>45061</v>
      </c>
      <c r="AU121" s="1">
        <v>8.9635999999999996</v>
      </c>
      <c r="AV121" s="1">
        <v>0.78920000000000001</v>
      </c>
      <c r="AW121" s="1">
        <v>6.2637</v>
      </c>
      <c r="AX121" s="1">
        <v>0.21281</v>
      </c>
      <c r="BA121" s="1425">
        <v>45058</v>
      </c>
      <c r="BB121" s="1">
        <v>11.5777</v>
      </c>
      <c r="BC121" s="1">
        <v>1.9863999999999999</v>
      </c>
      <c r="BD121" s="1">
        <v>10.495799999999999</v>
      </c>
      <c r="BE121" s="1">
        <v>0.63019999999999998</v>
      </c>
      <c r="BG121" s="1425">
        <v>45058</v>
      </c>
      <c r="BH121" s="1">
        <v>14.8249</v>
      </c>
      <c r="BI121" s="1">
        <v>2.5457999999999998</v>
      </c>
      <c r="BJ121" s="1">
        <v>17.755800000000001</v>
      </c>
      <c r="BT121" s="1425">
        <v>45064</v>
      </c>
      <c r="BU121" s="1">
        <v>20.7758</v>
      </c>
      <c r="BV121" s="1">
        <v>2.3289</v>
      </c>
      <c r="BW121" s="1">
        <v>6.6715</v>
      </c>
      <c r="BX121" s="1">
        <v>1.6392</v>
      </c>
      <c r="BZ121" s="1425">
        <v>45064</v>
      </c>
      <c r="CA121" s="1">
        <v>35.419600000000003</v>
      </c>
      <c r="CB121" s="1">
        <v>3.6964000000000001</v>
      </c>
      <c r="CC121" s="1">
        <v>17.390999999999998</v>
      </c>
      <c r="CD121" s="1">
        <v>2.3429600000000002</v>
      </c>
      <c r="CF121" s="1425">
        <v>45064</v>
      </c>
      <c r="CG121" s="1">
        <v>5.4728000000000003</v>
      </c>
      <c r="CH121" s="1">
        <v>1.0005999999999999</v>
      </c>
      <c r="CL121" s="1425">
        <v>45063</v>
      </c>
      <c r="CM121" s="1">
        <v>21.684200000000001</v>
      </c>
      <c r="CN121" s="1">
        <v>2.4819</v>
      </c>
      <c r="CO121" s="1">
        <v>10.786</v>
      </c>
    </row>
    <row r="122" spans="1:93">
      <c r="A122" s="1425">
        <v>45063</v>
      </c>
      <c r="B122" s="20">
        <f t="shared" si="12"/>
        <v>9.6864000000000008</v>
      </c>
      <c r="C122" s="20">
        <f t="shared" si="14"/>
        <v>23.937799999999999</v>
      </c>
      <c r="D122" s="20">
        <f t="shared" si="15"/>
        <v>12.2066</v>
      </c>
      <c r="E122" s="20">
        <f t="shared" si="16"/>
        <v>7.8856999999999999</v>
      </c>
      <c r="F122" s="20">
        <f t="shared" si="17"/>
        <v>14.8249</v>
      </c>
      <c r="G122" s="20">
        <f t="shared" si="18"/>
        <v>11.076700000000001</v>
      </c>
      <c r="H122" s="1239">
        <f t="shared" si="19"/>
        <v>12.2066</v>
      </c>
      <c r="I122" s="1243">
        <f t="shared" si="13"/>
        <v>-0.20646207789228765</v>
      </c>
      <c r="J122" s="1243">
        <f t="shared" si="20"/>
        <v>0.12093838824177333</v>
      </c>
      <c r="K122" s="1243">
        <f t="shared" si="21"/>
        <v>0.1</v>
      </c>
      <c r="L122" s="203"/>
      <c r="N122" s="1425">
        <v>45063</v>
      </c>
      <c r="O122" s="1502">
        <v>9.6864000000000008</v>
      </c>
      <c r="P122" s="1502">
        <v>2.1688999999999998</v>
      </c>
      <c r="Q122" s="1502">
        <v>10.132899999999999</v>
      </c>
      <c r="R122" s="1233">
        <f>'B. PE'!$U$23</f>
        <v>15.978235616082999</v>
      </c>
      <c r="S122" s="1233"/>
      <c r="T122" s="1233"/>
      <c r="V122" s="1425">
        <v>45063</v>
      </c>
      <c r="W122" s="1">
        <v>23.937799999999999</v>
      </c>
      <c r="X122" s="1">
        <v>1.2543</v>
      </c>
      <c r="Y122" s="1">
        <v>5.5780000000000003</v>
      </c>
      <c r="Z122" s="1">
        <v>0.96306999999999998</v>
      </c>
      <c r="AB122" s="1425">
        <v>45054</v>
      </c>
      <c r="AC122" s="1">
        <v>7.4263000000000003</v>
      </c>
      <c r="AD122" s="1502">
        <v>1.0163</v>
      </c>
      <c r="AE122" s="1">
        <v>5.9070999999999998</v>
      </c>
      <c r="AF122" s="1">
        <v>3.3020000000000001E-2</v>
      </c>
      <c r="AH122" s="1425">
        <v>45054</v>
      </c>
      <c r="AI122" s="1">
        <v>12.2066</v>
      </c>
      <c r="AJ122" s="1">
        <v>2.0404</v>
      </c>
      <c r="AK122" s="1">
        <v>6.3052999999999999</v>
      </c>
      <c r="AL122" s="1">
        <v>3.771E-2</v>
      </c>
      <c r="AN122" s="1425">
        <v>45058</v>
      </c>
      <c r="AO122" s="1">
        <v>7.5429000000000004</v>
      </c>
      <c r="AP122" s="1">
        <v>1.1049</v>
      </c>
      <c r="AQ122" s="1">
        <v>5.4222999999999999</v>
      </c>
      <c r="AR122" s="1">
        <v>0.29385</v>
      </c>
      <c r="AT122" s="1425">
        <v>45058</v>
      </c>
      <c r="AU122" s="1">
        <v>9.1502999999999997</v>
      </c>
      <c r="AV122" s="1">
        <v>0.80569999999999997</v>
      </c>
      <c r="AW122" s="1">
        <v>6.2462</v>
      </c>
      <c r="AX122" s="1">
        <v>0.21759000000000001</v>
      </c>
      <c r="BA122" s="1425">
        <v>45057</v>
      </c>
      <c r="BB122" s="1">
        <v>11.7446</v>
      </c>
      <c r="BC122" s="1">
        <v>2.0150999999999999</v>
      </c>
      <c r="BD122" s="1">
        <v>10.6006</v>
      </c>
      <c r="BE122" s="1">
        <v>0.62548000000000004</v>
      </c>
      <c r="BG122" s="1425">
        <v>45057</v>
      </c>
      <c r="BH122" s="1">
        <v>15.5253</v>
      </c>
      <c r="BI122" s="1">
        <v>2.6661000000000001</v>
      </c>
      <c r="BJ122" s="1">
        <v>18.320499999999999</v>
      </c>
      <c r="BT122" s="1425">
        <v>45063</v>
      </c>
      <c r="BU122" s="1">
        <v>20.803100000000001</v>
      </c>
      <c r="BV122" s="1">
        <v>2.3319999999999999</v>
      </c>
      <c r="BW122" s="1">
        <v>6.6806000000000001</v>
      </c>
      <c r="BX122" s="1">
        <v>1.6581999999999999</v>
      </c>
      <c r="BZ122" s="1425">
        <v>45063</v>
      </c>
      <c r="CA122" s="1">
        <v>35.136299999999999</v>
      </c>
      <c r="CB122" s="1">
        <v>3.6669</v>
      </c>
      <c r="CC122" s="1">
        <v>17.300899999999999</v>
      </c>
      <c r="CD122" s="1">
        <v>2.3612000000000002</v>
      </c>
      <c r="CF122" s="1425">
        <v>45063</v>
      </c>
      <c r="CG122" s="1">
        <v>5.5136000000000003</v>
      </c>
      <c r="CH122" s="1">
        <v>1.0081</v>
      </c>
      <c r="CL122" s="1425">
        <v>45062</v>
      </c>
      <c r="CM122" s="1">
        <v>21.910399999999999</v>
      </c>
      <c r="CN122" s="1">
        <v>2.5078</v>
      </c>
      <c r="CO122" s="1">
        <v>10.8881</v>
      </c>
    </row>
    <row r="123" spans="1:93">
      <c r="A123" s="1425">
        <v>45062</v>
      </c>
      <c r="B123" s="20">
        <f t="shared" si="12"/>
        <v>9.6864000000000008</v>
      </c>
      <c r="C123" s="20">
        <f t="shared" si="14"/>
        <v>23.596499999999999</v>
      </c>
      <c r="D123" s="20">
        <f t="shared" si="15"/>
        <v>11.8797</v>
      </c>
      <c r="E123" s="20">
        <f t="shared" si="16"/>
        <v>7.7713999999999999</v>
      </c>
      <c r="F123" s="20">
        <f t="shared" si="17"/>
        <v>15.1751</v>
      </c>
      <c r="G123" s="20">
        <f t="shared" si="18"/>
        <v>11.188000000000001</v>
      </c>
      <c r="H123" s="1239">
        <f t="shared" si="19"/>
        <v>11.8797</v>
      </c>
      <c r="I123" s="1243">
        <f t="shared" si="13"/>
        <v>-0.18462587439076739</v>
      </c>
      <c r="J123" s="1243">
        <f t="shared" si="20"/>
        <v>0.12093838824177333</v>
      </c>
      <c r="K123" s="1243">
        <f t="shared" si="21"/>
        <v>0.1</v>
      </c>
      <c r="L123" s="203"/>
      <c r="N123" s="1425">
        <v>45062</v>
      </c>
      <c r="O123" s="1502">
        <v>9.6864000000000008</v>
      </c>
      <c r="P123" s="1502">
        <v>2.1688999999999998</v>
      </c>
      <c r="Q123" s="1502">
        <v>10.132899999999999</v>
      </c>
      <c r="R123" s="1233">
        <f>'B. PE'!$U$23</f>
        <v>15.978235616082999</v>
      </c>
      <c r="S123" s="1233"/>
      <c r="T123" s="1233"/>
      <c r="V123" s="1425">
        <v>45062</v>
      </c>
      <c r="W123" s="1">
        <v>23.596499999999999</v>
      </c>
      <c r="X123" s="1">
        <v>1.2363999999999999</v>
      </c>
      <c r="Y123" s="1">
        <v>5.5101000000000004</v>
      </c>
      <c r="Z123" s="1">
        <v>0.98667000000000005</v>
      </c>
      <c r="AB123" s="1425">
        <v>45051</v>
      </c>
      <c r="AC123" s="1">
        <v>7.5590000000000002</v>
      </c>
      <c r="AD123" s="1502">
        <v>1.0345</v>
      </c>
      <c r="AE123" s="1">
        <v>5.9587000000000003</v>
      </c>
      <c r="AF123" s="1">
        <v>3.2730000000000002E-2</v>
      </c>
      <c r="AH123" s="1425">
        <v>45051</v>
      </c>
      <c r="AI123" s="1">
        <v>12.4246</v>
      </c>
      <c r="AJ123" s="1">
        <v>2.0768</v>
      </c>
      <c r="AK123" s="1">
        <v>6.4183000000000003</v>
      </c>
      <c r="AL123" s="1">
        <v>3.8179999999999999E-2</v>
      </c>
      <c r="AN123" s="1425">
        <v>45057</v>
      </c>
      <c r="AO123" s="1">
        <v>7.4856999999999996</v>
      </c>
      <c r="AP123" s="1">
        <v>1.0965</v>
      </c>
      <c r="AQ123" s="1">
        <v>5.3792</v>
      </c>
      <c r="AR123" s="1">
        <v>0.29008</v>
      </c>
      <c r="AT123" s="1425">
        <v>45057</v>
      </c>
      <c r="AU123" s="1">
        <v>8.8702000000000005</v>
      </c>
      <c r="AV123" s="1">
        <v>0.78100000000000003</v>
      </c>
      <c r="AW123" s="1">
        <v>6.0613999999999999</v>
      </c>
      <c r="AX123" s="1">
        <v>0.21812000000000001</v>
      </c>
      <c r="BA123" s="1425">
        <v>45056</v>
      </c>
      <c r="BB123" s="1">
        <v>11.8003</v>
      </c>
      <c r="BC123" s="1">
        <v>2.0246</v>
      </c>
      <c r="BD123" s="1">
        <v>10.6355</v>
      </c>
      <c r="BE123" s="1">
        <v>0.61212</v>
      </c>
      <c r="BG123" s="1425">
        <v>45056</v>
      </c>
      <c r="BH123" s="1">
        <v>15.641999999999999</v>
      </c>
      <c r="BI123" s="1">
        <v>2.6861000000000002</v>
      </c>
      <c r="BJ123" s="1">
        <v>18.4147</v>
      </c>
      <c r="BT123" s="1425">
        <v>45062</v>
      </c>
      <c r="BU123" s="1">
        <v>20.966699999999999</v>
      </c>
      <c r="BV123" s="1">
        <v>2.3502999999999998</v>
      </c>
      <c r="BW123" s="1">
        <v>6.7356999999999996</v>
      </c>
      <c r="BX123" s="1">
        <v>1.6623000000000001</v>
      </c>
      <c r="BZ123" s="1425">
        <v>45062</v>
      </c>
      <c r="CA123" s="1">
        <v>35.816299999999998</v>
      </c>
      <c r="CB123" s="1">
        <v>3.7378</v>
      </c>
      <c r="CC123" s="1">
        <v>17.517199999999999</v>
      </c>
      <c r="CD123" s="1">
        <v>2.37582</v>
      </c>
      <c r="CF123" s="1425">
        <v>45062</v>
      </c>
      <c r="CG123" s="1">
        <v>5.5136000000000003</v>
      </c>
      <c r="CH123" s="1">
        <v>1.0081</v>
      </c>
      <c r="CL123" s="1425">
        <v>45061</v>
      </c>
      <c r="CM123" s="1">
        <v>22.071999999999999</v>
      </c>
      <c r="CN123" s="1">
        <v>2.5263</v>
      </c>
      <c r="CO123" s="1">
        <v>10.961</v>
      </c>
    </row>
    <row r="124" spans="1:93">
      <c r="A124" s="1425">
        <v>45061</v>
      </c>
      <c r="B124" s="20">
        <f t="shared" si="12"/>
        <v>9.8630999999999993</v>
      </c>
      <c r="C124" s="20">
        <f t="shared" si="14"/>
        <v>23.791599999999999</v>
      </c>
      <c r="D124" s="20">
        <f t="shared" si="15"/>
        <v>11.9886</v>
      </c>
      <c r="E124" s="20">
        <f t="shared" si="16"/>
        <v>7.5429000000000004</v>
      </c>
      <c r="F124" s="20">
        <f t="shared" si="17"/>
        <v>14.8249</v>
      </c>
      <c r="G124" s="20">
        <f t="shared" si="18"/>
        <v>11.2437</v>
      </c>
      <c r="H124" s="1239">
        <f t="shared" si="19"/>
        <v>11.9886</v>
      </c>
      <c r="I124" s="1243">
        <f t="shared" si="13"/>
        <v>-0.17729342875731946</v>
      </c>
      <c r="J124" s="1243">
        <f t="shared" si="20"/>
        <v>0.12093838824177333</v>
      </c>
      <c r="K124" s="1243">
        <f t="shared" si="21"/>
        <v>0.1</v>
      </c>
      <c r="L124" s="203"/>
      <c r="N124" s="1425">
        <v>45061</v>
      </c>
      <c r="O124" s="1502">
        <v>9.8630999999999993</v>
      </c>
      <c r="P124" s="1502">
        <v>2.2084000000000001</v>
      </c>
      <c r="Q124" s="1502">
        <v>10.2745</v>
      </c>
      <c r="R124" s="1233">
        <f>'B. PE'!$U$23</f>
        <v>15.978235616082999</v>
      </c>
      <c r="S124" s="1233"/>
      <c r="T124" s="1233"/>
      <c r="V124" s="1425">
        <v>45061</v>
      </c>
      <c r="W124" s="1">
        <v>23.791599999999999</v>
      </c>
      <c r="X124" s="1">
        <v>1.2465999999999999</v>
      </c>
      <c r="Y124" s="1">
        <v>5.5488999999999997</v>
      </c>
      <c r="Z124" s="1">
        <v>0.99829000000000001</v>
      </c>
      <c r="AB124" s="1425">
        <v>45050</v>
      </c>
      <c r="AC124" s="1">
        <v>8.0563000000000002</v>
      </c>
      <c r="AD124" s="1502">
        <v>1.1025</v>
      </c>
      <c r="AE124" s="1">
        <v>6.1523000000000003</v>
      </c>
      <c r="AF124" s="1">
        <v>3.2680000000000001E-2</v>
      </c>
      <c r="AH124" s="1425">
        <v>45050</v>
      </c>
      <c r="AI124" s="1">
        <v>12.0976</v>
      </c>
      <c r="AJ124" s="1">
        <v>2.0222000000000002</v>
      </c>
      <c r="AK124" s="1">
        <v>6.2488000000000001</v>
      </c>
      <c r="AL124" s="1">
        <v>3.8309999999999997E-2</v>
      </c>
      <c r="AN124" s="1425">
        <v>45056</v>
      </c>
      <c r="AO124" s="1">
        <v>7.4856999999999996</v>
      </c>
      <c r="AP124" s="1">
        <v>1.0965</v>
      </c>
      <c r="AQ124" s="1">
        <v>5.3792</v>
      </c>
      <c r="AR124" s="1">
        <v>0.29074</v>
      </c>
      <c r="AT124" s="1425">
        <v>45056</v>
      </c>
      <c r="AU124" s="1">
        <v>9.0570000000000004</v>
      </c>
      <c r="AV124" s="1">
        <v>0.79749999999999999</v>
      </c>
      <c r="AW124" s="1">
        <v>6.1845999999999997</v>
      </c>
      <c r="AX124" s="1">
        <v>0.21636</v>
      </c>
      <c r="BA124" s="1425">
        <v>45055</v>
      </c>
      <c r="BB124" s="1">
        <v>11.7446</v>
      </c>
      <c r="BC124" s="1">
        <v>2.0150999999999999</v>
      </c>
      <c r="BD124" s="1">
        <v>10.6006</v>
      </c>
      <c r="BE124" s="1">
        <v>0.57435999999999998</v>
      </c>
      <c r="BG124" s="1425">
        <v>45055</v>
      </c>
      <c r="BH124" s="1">
        <v>15.4086</v>
      </c>
      <c r="BI124" s="1">
        <v>2.6459999999999999</v>
      </c>
      <c r="BJ124" s="1">
        <v>18.226400000000002</v>
      </c>
      <c r="BT124" s="1425">
        <v>45061</v>
      </c>
      <c r="BU124" s="1">
        <v>21.2121</v>
      </c>
      <c r="BV124" s="1">
        <v>2.3778000000000001</v>
      </c>
      <c r="BW124" s="1">
        <v>6.8182999999999998</v>
      </c>
      <c r="BX124" s="1">
        <v>1.6492</v>
      </c>
      <c r="BZ124" s="1425">
        <v>45061</v>
      </c>
      <c r="CA124" s="1">
        <v>36.099699999999999</v>
      </c>
      <c r="CB124" s="1">
        <v>3.7673999999999999</v>
      </c>
      <c r="CC124" s="1">
        <v>17.607299999999999</v>
      </c>
      <c r="CD124" s="1">
        <v>2.38273</v>
      </c>
      <c r="CF124" s="1425">
        <v>45061</v>
      </c>
      <c r="CG124" s="1">
        <v>5.5544000000000002</v>
      </c>
      <c r="CH124" s="1">
        <v>1.0156000000000001</v>
      </c>
      <c r="CL124" s="1425">
        <v>45058</v>
      </c>
      <c r="CM124" s="1">
        <v>22.023499999999999</v>
      </c>
      <c r="CN124" s="1">
        <v>2.5207000000000002</v>
      </c>
      <c r="CO124" s="1">
        <v>10.9392</v>
      </c>
    </row>
    <row r="125" spans="1:93">
      <c r="A125" s="1425">
        <v>45058</v>
      </c>
      <c r="B125" s="20">
        <f t="shared" si="12"/>
        <v>10.025</v>
      </c>
      <c r="C125" s="20">
        <f t="shared" si="14"/>
        <v>24.3766</v>
      </c>
      <c r="D125" s="20">
        <f t="shared" si="15"/>
        <v>12.3156</v>
      </c>
      <c r="E125" s="20">
        <f t="shared" si="16"/>
        <v>7.5429000000000004</v>
      </c>
      <c r="F125" s="20">
        <f t="shared" si="17"/>
        <v>14.8249</v>
      </c>
      <c r="G125" s="20">
        <f t="shared" si="18"/>
        <v>11.5777</v>
      </c>
      <c r="H125" s="1239">
        <f t="shared" si="19"/>
        <v>12.3156</v>
      </c>
      <c r="I125" s="1243">
        <f t="shared" si="13"/>
        <v>-0.18599175030043191</v>
      </c>
      <c r="J125" s="1243">
        <f t="shared" si="20"/>
        <v>0.12093838824177333</v>
      </c>
      <c r="K125" s="1243">
        <f t="shared" si="21"/>
        <v>0.1</v>
      </c>
      <c r="L125" s="203"/>
      <c r="N125" s="1425">
        <v>45058</v>
      </c>
      <c r="O125" s="1502">
        <v>10.025</v>
      </c>
      <c r="P125" s="1502">
        <v>2.2446999999999999</v>
      </c>
      <c r="Q125" s="1502">
        <v>10.404199999999999</v>
      </c>
      <c r="R125" s="1233">
        <f>'B. PE'!$U$23</f>
        <v>15.978235616082999</v>
      </c>
      <c r="S125" s="1233"/>
      <c r="T125" s="1233"/>
      <c r="V125" s="1425">
        <v>45058</v>
      </c>
      <c r="W125" s="1">
        <v>24.3766</v>
      </c>
      <c r="X125" s="1">
        <v>1.2771999999999999</v>
      </c>
      <c r="Y125" s="1">
        <v>5.6653000000000002</v>
      </c>
      <c r="Z125" s="1">
        <v>0.99816000000000005</v>
      </c>
      <c r="AB125" s="1425">
        <v>45049</v>
      </c>
      <c r="AC125" s="1">
        <v>7.9568000000000003</v>
      </c>
      <c r="AD125" s="1502">
        <v>1.0889</v>
      </c>
      <c r="AE125" s="1">
        <v>6.1135999999999999</v>
      </c>
      <c r="AF125" s="1">
        <v>3.3820000000000003E-2</v>
      </c>
      <c r="AH125" s="1425">
        <v>45049</v>
      </c>
      <c r="AI125" s="1">
        <v>12.2066</v>
      </c>
      <c r="AJ125" s="1">
        <v>2.0404</v>
      </c>
      <c r="AK125" s="1">
        <v>6.3052999999999999</v>
      </c>
      <c r="AL125" s="1">
        <v>3.8859999999999999E-2</v>
      </c>
      <c r="AN125" s="1425">
        <v>45055</v>
      </c>
      <c r="AO125" s="1">
        <v>7.3714000000000004</v>
      </c>
      <c r="AP125" s="1">
        <v>1.0798000000000001</v>
      </c>
      <c r="AQ125" s="1">
        <v>5.2930999999999999</v>
      </c>
      <c r="AR125" s="1">
        <v>0.29074</v>
      </c>
      <c r="AT125" s="1425">
        <v>45055</v>
      </c>
      <c r="AU125" s="1">
        <v>9.0570000000000004</v>
      </c>
      <c r="AV125" s="1">
        <v>0.79749999999999999</v>
      </c>
      <c r="AW125" s="1">
        <v>6.1845999999999997</v>
      </c>
      <c r="AX125" s="1">
        <v>0.21973999999999999</v>
      </c>
      <c r="BA125" s="1425">
        <v>45054</v>
      </c>
      <c r="BB125" s="1">
        <v>11.522</v>
      </c>
      <c r="BC125" s="1">
        <v>1.9769000000000001</v>
      </c>
      <c r="BD125" s="1">
        <v>10.460900000000001</v>
      </c>
      <c r="BE125" s="1">
        <v>0.56932000000000005</v>
      </c>
      <c r="BG125" s="1425">
        <v>45054</v>
      </c>
      <c r="BH125" s="1">
        <v>15.1751</v>
      </c>
      <c r="BI125" s="1">
        <v>2.6059000000000001</v>
      </c>
      <c r="BJ125" s="1">
        <v>18.0382</v>
      </c>
      <c r="BT125" s="1425">
        <v>45058</v>
      </c>
      <c r="BU125" s="1">
        <v>21.2666</v>
      </c>
      <c r="BV125" s="1">
        <v>2.3839000000000001</v>
      </c>
      <c r="BW125" s="1">
        <v>6.8367000000000004</v>
      </c>
      <c r="BX125" s="1">
        <v>1.6617999999999999</v>
      </c>
      <c r="BZ125" s="1425">
        <v>45058</v>
      </c>
      <c r="CA125" s="1">
        <v>36.3264</v>
      </c>
      <c r="CB125" s="1">
        <v>3.7911000000000001</v>
      </c>
      <c r="CC125" s="1">
        <v>17.679400000000001</v>
      </c>
      <c r="CD125" s="1">
        <v>2.3713099999999998</v>
      </c>
      <c r="CF125" s="1425">
        <v>45058</v>
      </c>
      <c r="CG125" s="1">
        <v>5.5952999999999999</v>
      </c>
      <c r="CH125" s="1">
        <v>1.0229999999999999</v>
      </c>
      <c r="CL125" s="1425">
        <v>45057</v>
      </c>
      <c r="CM125" s="1">
        <v>22.572900000000001</v>
      </c>
      <c r="CN125" s="1">
        <v>2.5836000000000001</v>
      </c>
      <c r="CO125" s="1">
        <v>11.187200000000001</v>
      </c>
    </row>
    <row r="126" spans="1:93">
      <c r="A126" s="1425">
        <v>45057</v>
      </c>
      <c r="B126" s="20">
        <f t="shared" si="12"/>
        <v>10.098599999999999</v>
      </c>
      <c r="C126" s="20">
        <f t="shared" si="14"/>
        <v>24.6691</v>
      </c>
      <c r="D126" s="20">
        <f t="shared" si="15"/>
        <v>12.3156</v>
      </c>
      <c r="E126" s="20">
        <f t="shared" si="16"/>
        <v>7.4856999999999996</v>
      </c>
      <c r="F126" s="20">
        <f t="shared" si="17"/>
        <v>15.5253</v>
      </c>
      <c r="G126" s="20">
        <f t="shared" si="18"/>
        <v>11.7446</v>
      </c>
      <c r="H126" s="1239">
        <f t="shared" si="19"/>
        <v>12.3156</v>
      </c>
      <c r="I126" s="1243">
        <f t="shared" si="13"/>
        <v>-0.1800155899834357</v>
      </c>
      <c r="J126" s="1243">
        <f t="shared" si="20"/>
        <v>0.12093838824177333</v>
      </c>
      <c r="K126" s="1243">
        <f t="shared" si="21"/>
        <v>0.1</v>
      </c>
      <c r="L126" s="203"/>
      <c r="N126" s="1425">
        <v>45057</v>
      </c>
      <c r="O126" s="1502">
        <v>10.098599999999999</v>
      </c>
      <c r="P126" s="1502">
        <v>2.2610999999999999</v>
      </c>
      <c r="Q126" s="1502">
        <v>10.463200000000001</v>
      </c>
      <c r="R126" s="1233">
        <f>'B. PE'!$U$23</f>
        <v>15.978235616082999</v>
      </c>
      <c r="S126" s="1233"/>
      <c r="T126" s="1233"/>
      <c r="V126" s="1425">
        <v>45057</v>
      </c>
      <c r="W126" s="1">
        <v>24.6691</v>
      </c>
      <c r="X126" s="1">
        <v>1.2926</v>
      </c>
      <c r="Y126" s="1">
        <v>5.7234999999999996</v>
      </c>
      <c r="Z126" s="1">
        <v>0.98268</v>
      </c>
      <c r="AB126" s="1425">
        <v>45048</v>
      </c>
      <c r="AC126" s="1">
        <v>7.99</v>
      </c>
      <c r="AD126" s="1502">
        <v>1.0933999999999999</v>
      </c>
      <c r="AE126" s="1">
        <v>6.1265000000000001</v>
      </c>
      <c r="AF126" s="1">
        <v>3.3579999999999999E-2</v>
      </c>
      <c r="AH126" s="1425">
        <v>45048</v>
      </c>
      <c r="AI126" s="1">
        <v>12.3156</v>
      </c>
      <c r="AJ126" s="1">
        <v>2.0586000000000002</v>
      </c>
      <c r="AK126" s="1">
        <v>6.3617999999999997</v>
      </c>
      <c r="AL126" s="1">
        <v>3.9079999999999997E-2</v>
      </c>
      <c r="AN126" s="1425">
        <v>45054</v>
      </c>
      <c r="AO126" s="1">
        <v>7.3714000000000004</v>
      </c>
      <c r="AP126" s="1">
        <v>1.0798000000000001</v>
      </c>
      <c r="AQ126" s="1">
        <v>5.2930999999999999</v>
      </c>
      <c r="AR126" s="1">
        <v>0.28732000000000002</v>
      </c>
      <c r="AT126" s="1425">
        <v>45054</v>
      </c>
      <c r="AU126" s="1">
        <v>8.9635999999999996</v>
      </c>
      <c r="AV126" s="1">
        <v>0.78920000000000001</v>
      </c>
      <c r="AW126" s="1">
        <v>6.1230000000000002</v>
      </c>
      <c r="AX126" s="1">
        <v>0.21773000000000001</v>
      </c>
      <c r="BA126" s="1425">
        <v>45049</v>
      </c>
      <c r="BB126" s="1">
        <v>10.854100000000001</v>
      </c>
      <c r="BC126" s="1">
        <v>1.8623000000000001</v>
      </c>
      <c r="BD126" s="1">
        <v>10.0418</v>
      </c>
      <c r="BE126" s="1">
        <v>0.60948999999999998</v>
      </c>
      <c r="BG126" s="1425">
        <v>45049</v>
      </c>
      <c r="BH126" s="1">
        <v>14.7082</v>
      </c>
      <c r="BI126" s="1">
        <v>2.5257000000000001</v>
      </c>
      <c r="BJ126" s="1">
        <v>17.6617</v>
      </c>
      <c r="BT126" s="1425">
        <v>45057</v>
      </c>
      <c r="BU126" s="1">
        <v>21.103000000000002</v>
      </c>
      <c r="BV126" s="1">
        <v>2.3656000000000001</v>
      </c>
      <c r="BW126" s="1">
        <v>6.7816000000000001</v>
      </c>
      <c r="BX126" s="1">
        <v>1.6174999999999999</v>
      </c>
      <c r="BZ126" s="1425">
        <v>45057</v>
      </c>
      <c r="CA126" s="1">
        <v>36.439700000000002</v>
      </c>
      <c r="CB126" s="1">
        <v>3.8029000000000002</v>
      </c>
      <c r="CC126" s="1">
        <v>17.715499999999999</v>
      </c>
      <c r="CD126" s="1">
        <v>2.3534799999999998</v>
      </c>
      <c r="CF126" s="1425">
        <v>45057</v>
      </c>
      <c r="CG126" s="1">
        <v>5.7178000000000004</v>
      </c>
      <c r="CH126" s="1">
        <v>1.0455000000000001</v>
      </c>
      <c r="CL126" s="1425">
        <v>45056</v>
      </c>
      <c r="CM126" s="1">
        <v>22.379000000000001</v>
      </c>
      <c r="CN126" s="1">
        <v>2.5613999999999999</v>
      </c>
      <c r="CO126" s="1">
        <v>11.0997</v>
      </c>
    </row>
    <row r="127" spans="1:93">
      <c r="A127" s="1425">
        <v>45056</v>
      </c>
      <c r="B127" s="20">
        <f t="shared" si="12"/>
        <v>10.157500000000001</v>
      </c>
      <c r="C127" s="20">
        <f t="shared" si="14"/>
        <v>24.6691</v>
      </c>
      <c r="D127" s="20">
        <f t="shared" si="15"/>
        <v>12.4246</v>
      </c>
      <c r="E127" s="20">
        <f t="shared" si="16"/>
        <v>7.4856999999999996</v>
      </c>
      <c r="F127" s="20">
        <f t="shared" si="17"/>
        <v>15.641999999999999</v>
      </c>
      <c r="G127" s="20">
        <f t="shared" si="18"/>
        <v>11.8003</v>
      </c>
      <c r="H127" s="1239">
        <f t="shared" si="19"/>
        <v>12.4246</v>
      </c>
      <c r="I127" s="1243">
        <f t="shared" si="13"/>
        <v>-0.18246865090224229</v>
      </c>
      <c r="J127" s="1243">
        <f t="shared" si="20"/>
        <v>0.12093838824177333</v>
      </c>
      <c r="K127" s="1243">
        <f t="shared" si="21"/>
        <v>0.1</v>
      </c>
      <c r="L127" s="203"/>
      <c r="N127" s="1425">
        <v>45056</v>
      </c>
      <c r="O127" s="1502">
        <v>10.157500000000001</v>
      </c>
      <c r="P127" s="1502">
        <v>2.2743000000000002</v>
      </c>
      <c r="Q127" s="1502">
        <v>10.510400000000001</v>
      </c>
      <c r="R127" s="1233">
        <f>'B. PE'!$U$23</f>
        <v>15.978235616082999</v>
      </c>
      <c r="S127" s="1233"/>
      <c r="T127" s="1233"/>
      <c r="V127" s="1425">
        <v>45056</v>
      </c>
      <c r="W127" s="1">
        <v>24.6691</v>
      </c>
      <c r="X127" s="1">
        <v>1.2926</v>
      </c>
      <c r="Y127" s="1">
        <v>5.7234999999999996</v>
      </c>
      <c r="Z127" s="1">
        <v>0.98514999999999997</v>
      </c>
      <c r="AB127" s="1425">
        <v>45044</v>
      </c>
      <c r="AC127" s="1">
        <v>8.2219999999999995</v>
      </c>
      <c r="AD127" s="1502">
        <v>1.1252</v>
      </c>
      <c r="AE127" s="1">
        <v>6.2168000000000001</v>
      </c>
      <c r="AF127" s="1">
        <v>3.4049999999999997E-2</v>
      </c>
      <c r="AH127" s="1425">
        <v>45044</v>
      </c>
      <c r="AI127" s="1">
        <v>12.4246</v>
      </c>
      <c r="AJ127" s="1">
        <v>2.0768</v>
      </c>
      <c r="AK127" s="1">
        <v>6.4183000000000003</v>
      </c>
      <c r="AL127" s="1">
        <v>4.0460000000000003E-2</v>
      </c>
      <c r="AN127" s="1425">
        <v>45051</v>
      </c>
      <c r="AO127" s="1">
        <v>7.3714000000000004</v>
      </c>
      <c r="AP127" s="1">
        <v>1.0798000000000001</v>
      </c>
      <c r="AQ127" s="1">
        <v>5.2930999999999999</v>
      </c>
      <c r="AR127" s="1">
        <v>0.29121999999999998</v>
      </c>
      <c r="AT127" s="1425">
        <v>45051</v>
      </c>
      <c r="AU127" s="1">
        <v>9.1036000000000001</v>
      </c>
      <c r="AV127" s="1">
        <v>0.80159999999999998</v>
      </c>
      <c r="AW127" s="1">
        <v>6.2153999999999998</v>
      </c>
      <c r="AX127" s="1">
        <v>0.22065000000000001</v>
      </c>
      <c r="BA127" s="1425">
        <v>45048</v>
      </c>
      <c r="BB127" s="1">
        <v>10.798400000000001</v>
      </c>
      <c r="BC127" s="1">
        <v>1.8527</v>
      </c>
      <c r="BD127" s="1">
        <v>10.0069</v>
      </c>
      <c r="BE127" s="1">
        <v>0.62375999999999998</v>
      </c>
      <c r="BG127" s="1425">
        <v>45048</v>
      </c>
      <c r="BH127" s="1">
        <v>14.5914</v>
      </c>
      <c r="BI127" s="1">
        <v>2.5057</v>
      </c>
      <c r="BJ127" s="1">
        <v>17.567499999999999</v>
      </c>
      <c r="BT127" s="1425">
        <v>45056</v>
      </c>
      <c r="BU127" s="1">
        <v>21.2666</v>
      </c>
      <c r="BV127" s="1">
        <v>2.3839000000000001</v>
      </c>
      <c r="BW127" s="1">
        <v>6.8367000000000004</v>
      </c>
      <c r="BX127" s="1">
        <v>1.6141000000000001</v>
      </c>
      <c r="BZ127" s="1425">
        <v>45056</v>
      </c>
      <c r="CA127" s="1">
        <v>36.2697</v>
      </c>
      <c r="CB127" s="1">
        <v>3.7850999999999999</v>
      </c>
      <c r="CC127" s="1">
        <v>17.6614</v>
      </c>
      <c r="CD127" s="1">
        <v>2.3546900000000002</v>
      </c>
      <c r="CF127" s="1425">
        <v>45056</v>
      </c>
      <c r="CG127" s="1">
        <v>5.7586000000000004</v>
      </c>
      <c r="CH127" s="1">
        <v>1.0528999999999999</v>
      </c>
      <c r="CL127" s="1425">
        <v>45055</v>
      </c>
      <c r="CM127" s="1">
        <v>22.976800000000001</v>
      </c>
      <c r="CN127" s="1">
        <v>2.6297999999999999</v>
      </c>
      <c r="CO127" s="1">
        <v>11.3696</v>
      </c>
    </row>
    <row r="128" spans="1:93">
      <c r="A128" s="1425">
        <v>45055</v>
      </c>
      <c r="B128" s="20">
        <f t="shared" si="12"/>
        <v>9.8188999999999993</v>
      </c>
      <c r="C128" s="20">
        <f t="shared" si="14"/>
        <v>24.2791</v>
      </c>
      <c r="D128" s="20">
        <f t="shared" si="15"/>
        <v>12.5336</v>
      </c>
      <c r="E128" s="20">
        <f t="shared" si="16"/>
        <v>7.3714000000000004</v>
      </c>
      <c r="F128" s="20">
        <f t="shared" si="17"/>
        <v>15.4086</v>
      </c>
      <c r="G128" s="20">
        <f t="shared" si="18"/>
        <v>11.7446</v>
      </c>
      <c r="H128" s="1239">
        <f t="shared" si="19"/>
        <v>12.5336</v>
      </c>
      <c r="I128" s="1243">
        <f t="shared" si="13"/>
        <v>-0.21659379587668348</v>
      </c>
      <c r="J128" s="1243">
        <f t="shared" si="20"/>
        <v>0.12093838824177333</v>
      </c>
      <c r="K128" s="1243">
        <f t="shared" si="21"/>
        <v>0.1</v>
      </c>
      <c r="L128" s="203"/>
      <c r="N128" s="1425">
        <v>45055</v>
      </c>
      <c r="O128" s="1502">
        <v>9.8188999999999993</v>
      </c>
      <c r="P128" s="1502">
        <v>2.1985000000000001</v>
      </c>
      <c r="Q128" s="1502">
        <v>10.239100000000001</v>
      </c>
      <c r="R128" s="1233">
        <f>'B. PE'!$U$23</f>
        <v>15.978235616082999</v>
      </c>
      <c r="S128" s="1233"/>
      <c r="T128" s="1233"/>
      <c r="V128" s="1425">
        <v>45055</v>
      </c>
      <c r="W128" s="1">
        <v>24.2791</v>
      </c>
      <c r="X128" s="1">
        <v>1.2721</v>
      </c>
      <c r="Y128" s="1">
        <v>5.6459000000000001</v>
      </c>
      <c r="Z128" s="1">
        <v>1.0068699999999999</v>
      </c>
      <c r="AB128" s="1425">
        <v>45043</v>
      </c>
      <c r="AC128" s="1">
        <v>8.1889000000000003</v>
      </c>
      <c r="AD128" s="1502">
        <v>1.1207</v>
      </c>
      <c r="AE128" s="1">
        <v>6.2039</v>
      </c>
      <c r="AF128" s="1">
        <v>3.2910000000000002E-2</v>
      </c>
      <c r="AH128" s="1425">
        <v>45043</v>
      </c>
      <c r="AI128" s="1">
        <v>12.5336</v>
      </c>
      <c r="AJ128" s="1">
        <v>2.0951</v>
      </c>
      <c r="AK128" s="1">
        <v>6.4748000000000001</v>
      </c>
      <c r="AL128" s="1">
        <v>3.7609999999999998E-2</v>
      </c>
      <c r="AN128" s="1425">
        <v>45049</v>
      </c>
      <c r="AO128" s="1">
        <v>7.3143000000000002</v>
      </c>
      <c r="AP128" s="1">
        <v>1.0713999999999999</v>
      </c>
      <c r="AQ128" s="1">
        <v>5.25</v>
      </c>
      <c r="AR128" s="1">
        <v>0.29365999999999998</v>
      </c>
      <c r="AT128" s="1425">
        <v>45049</v>
      </c>
      <c r="AU128" s="1">
        <v>9.0570000000000004</v>
      </c>
      <c r="AV128" s="1">
        <v>0.79749999999999999</v>
      </c>
      <c r="AW128" s="1">
        <v>6.1845999999999997</v>
      </c>
      <c r="AX128" s="1">
        <v>0.21967999999999999</v>
      </c>
      <c r="BA128" s="1425">
        <v>45044</v>
      </c>
      <c r="BB128" s="1">
        <v>11.5777</v>
      </c>
      <c r="BC128" s="1">
        <v>1.9863999999999999</v>
      </c>
      <c r="BD128" s="1">
        <v>10.495799999999999</v>
      </c>
      <c r="BE128" s="1">
        <v>0.64424999999999999</v>
      </c>
      <c r="BG128" s="1425">
        <v>45044</v>
      </c>
      <c r="BH128" s="1">
        <v>15.058400000000001</v>
      </c>
      <c r="BI128" s="1">
        <v>2.5859000000000001</v>
      </c>
      <c r="BJ128" s="1">
        <v>17.943999999999999</v>
      </c>
      <c r="BT128" s="1425">
        <v>45055</v>
      </c>
      <c r="BU128" s="1">
        <v>20.693999999999999</v>
      </c>
      <c r="BV128" s="1">
        <v>2.3197000000000001</v>
      </c>
      <c r="BW128" s="1">
        <v>6.6439000000000004</v>
      </c>
      <c r="BX128" s="1">
        <v>1.6119000000000001</v>
      </c>
      <c r="BZ128" s="1425">
        <v>45055</v>
      </c>
      <c r="CA128" s="1">
        <v>35.9863</v>
      </c>
      <c r="CB128" s="1">
        <v>3.7555999999999998</v>
      </c>
      <c r="CC128" s="1">
        <v>17.571300000000001</v>
      </c>
      <c r="CD128" s="1">
        <v>2.37323</v>
      </c>
      <c r="CF128" s="1425">
        <v>45055</v>
      </c>
      <c r="CG128" s="1">
        <v>5.5136000000000003</v>
      </c>
      <c r="CH128" s="1">
        <v>1.0081</v>
      </c>
      <c r="CL128" s="1425">
        <v>45054</v>
      </c>
      <c r="CM128" s="1">
        <v>22.944500000000001</v>
      </c>
      <c r="CN128" s="1">
        <v>2.6261000000000001</v>
      </c>
      <c r="CO128" s="1">
        <v>11.355</v>
      </c>
    </row>
    <row r="129" spans="1:93">
      <c r="A129" s="1425">
        <v>45054</v>
      </c>
      <c r="B129" s="20">
        <f t="shared" si="12"/>
        <v>9.6864000000000008</v>
      </c>
      <c r="C129" s="20">
        <f t="shared" si="14"/>
        <v>24.3278</v>
      </c>
      <c r="D129" s="20">
        <f t="shared" si="15"/>
        <v>12.2066</v>
      </c>
      <c r="E129" s="20">
        <f t="shared" si="16"/>
        <v>7.3714000000000004</v>
      </c>
      <c r="F129" s="20">
        <f t="shared" si="17"/>
        <v>15.1751</v>
      </c>
      <c r="G129" s="20">
        <f t="shared" si="18"/>
        <v>11.522</v>
      </c>
      <c r="H129" s="1239">
        <f t="shared" si="19"/>
        <v>12.2066</v>
      </c>
      <c r="I129" s="1243">
        <f t="shared" si="13"/>
        <v>-0.20646207789228765</v>
      </c>
      <c r="J129" s="1243">
        <f t="shared" si="20"/>
        <v>0.12093838824177333</v>
      </c>
      <c r="K129" s="1243">
        <f t="shared" si="21"/>
        <v>0.1</v>
      </c>
      <c r="L129" s="203"/>
      <c r="N129" s="1425">
        <v>45054</v>
      </c>
      <c r="O129" s="1502">
        <v>9.6864000000000008</v>
      </c>
      <c r="P129" s="1502">
        <v>2.1688999999999998</v>
      </c>
      <c r="Q129" s="1502">
        <v>10.132899999999999</v>
      </c>
      <c r="R129" s="1233">
        <f>'B. PE'!$U$23</f>
        <v>15.978235616082999</v>
      </c>
      <c r="S129" s="1233"/>
      <c r="T129" s="1233"/>
      <c r="V129" s="1425">
        <v>45054</v>
      </c>
      <c r="W129" s="1">
        <v>24.3278</v>
      </c>
      <c r="X129" s="1">
        <v>1.2746999999999999</v>
      </c>
      <c r="Y129" s="1">
        <v>5.6555999999999997</v>
      </c>
      <c r="Z129" s="1">
        <v>0.98682999999999998</v>
      </c>
      <c r="AB129" s="1425">
        <v>45042</v>
      </c>
      <c r="AC129" s="1">
        <v>8.3712</v>
      </c>
      <c r="AD129" s="1502">
        <v>1.1456</v>
      </c>
      <c r="AE129" s="1">
        <v>6.2748999999999997</v>
      </c>
      <c r="AF129" s="1">
        <v>3.4290000000000001E-2</v>
      </c>
      <c r="AH129" s="1425">
        <v>45042</v>
      </c>
      <c r="AI129" s="1">
        <v>13.0785</v>
      </c>
      <c r="AJ129" s="1">
        <v>2.1861999999999999</v>
      </c>
      <c r="AK129" s="1">
        <v>6.7572000000000001</v>
      </c>
      <c r="AL129" s="1">
        <v>3.798E-2</v>
      </c>
      <c r="AN129" s="1425">
        <v>45048</v>
      </c>
      <c r="AO129" s="1">
        <v>7.4286000000000003</v>
      </c>
      <c r="AP129" s="1">
        <v>1.0882000000000001</v>
      </c>
      <c r="AQ129" s="1">
        <v>5.3361999999999998</v>
      </c>
      <c r="AR129" s="1">
        <v>0.28673999999999999</v>
      </c>
      <c r="AT129" s="1425">
        <v>45048</v>
      </c>
      <c r="AU129" s="1">
        <v>9.1969999999999992</v>
      </c>
      <c r="AV129" s="1">
        <v>0.80979999999999996</v>
      </c>
      <c r="AW129" s="1">
        <v>6.2770000000000001</v>
      </c>
      <c r="AX129" s="1">
        <v>0.22065000000000001</v>
      </c>
      <c r="BA129" s="1425">
        <v>45043</v>
      </c>
      <c r="BB129" s="1">
        <v>11.856</v>
      </c>
      <c r="BC129" s="1">
        <v>2.0341999999999998</v>
      </c>
      <c r="BD129" s="1">
        <v>10.670400000000001</v>
      </c>
      <c r="BE129" s="1">
        <v>0.63634999999999997</v>
      </c>
      <c r="BG129" s="1425">
        <v>45043</v>
      </c>
      <c r="BH129" s="1">
        <v>14.941599999999999</v>
      </c>
      <c r="BI129" s="1">
        <v>2.5657999999999999</v>
      </c>
      <c r="BJ129" s="1">
        <v>17.849900000000002</v>
      </c>
      <c r="BT129" s="1425">
        <v>45054</v>
      </c>
      <c r="BU129" s="1">
        <v>20.639500000000002</v>
      </c>
      <c r="BV129" s="1">
        <v>2.3136000000000001</v>
      </c>
      <c r="BW129" s="1">
        <v>6.6256000000000004</v>
      </c>
      <c r="BX129" s="1">
        <v>1.6156999999999999</v>
      </c>
      <c r="BZ129" s="1425">
        <v>45054</v>
      </c>
      <c r="CA129" s="1">
        <v>35.9863</v>
      </c>
      <c r="CB129" s="1">
        <v>3.7555999999999998</v>
      </c>
      <c r="CC129" s="1">
        <v>17.571300000000001</v>
      </c>
      <c r="CD129" s="1">
        <v>2.3762300000000001</v>
      </c>
      <c r="CF129" s="1425">
        <v>45054</v>
      </c>
      <c r="CG129" s="1">
        <v>5.5136000000000003</v>
      </c>
      <c r="CH129" s="1">
        <v>1.0081</v>
      </c>
      <c r="CL129" s="1425">
        <v>45051</v>
      </c>
      <c r="CM129" s="1">
        <v>22.9284</v>
      </c>
      <c r="CN129" s="1">
        <v>2.6242999999999999</v>
      </c>
      <c r="CO129" s="1">
        <v>11.3477</v>
      </c>
    </row>
    <row r="130" spans="1:93">
      <c r="A130" s="1425">
        <v>45051</v>
      </c>
      <c r="B130" s="20">
        <f t="shared" si="12"/>
        <v>9.8778000000000006</v>
      </c>
      <c r="C130" s="20">
        <f t="shared" si="14"/>
        <v>24.864100000000001</v>
      </c>
      <c r="D130" s="20">
        <f t="shared" si="15"/>
        <v>12.4246</v>
      </c>
      <c r="E130" s="20">
        <f t="shared" si="16"/>
        <v>7.3714000000000004</v>
      </c>
      <c r="F130" s="20">
        <f t="shared" si="17"/>
        <v>15.1751</v>
      </c>
      <c r="G130" s="20">
        <f t="shared" si="18"/>
        <v>11.522</v>
      </c>
      <c r="H130" s="1239">
        <f t="shared" si="19"/>
        <v>12.4246</v>
      </c>
      <c r="I130" s="1243">
        <f t="shared" si="13"/>
        <v>-0.20498044202630261</v>
      </c>
      <c r="J130" s="1243">
        <f t="shared" si="20"/>
        <v>0.12093838824177333</v>
      </c>
      <c r="K130" s="1243">
        <f t="shared" si="21"/>
        <v>0.1</v>
      </c>
      <c r="L130" s="203"/>
      <c r="N130" s="1425">
        <v>45051</v>
      </c>
      <c r="O130" s="1502">
        <v>9.8778000000000006</v>
      </c>
      <c r="P130" s="1502">
        <v>2.2117</v>
      </c>
      <c r="Q130" s="1502">
        <v>10.286300000000001</v>
      </c>
      <c r="R130" s="1233">
        <f>'B. PE'!$U$23</f>
        <v>15.978235616082999</v>
      </c>
      <c r="S130" s="1233"/>
      <c r="T130" s="1233"/>
      <c r="V130" s="1425">
        <v>45051</v>
      </c>
      <c r="W130" s="1">
        <v>24.864100000000001</v>
      </c>
      <c r="X130" s="1">
        <v>1.3028</v>
      </c>
      <c r="Y130" s="1">
        <v>5.7622</v>
      </c>
      <c r="Z130" s="1">
        <v>0.97885999999999995</v>
      </c>
      <c r="AB130" s="1425">
        <v>45034</v>
      </c>
      <c r="AC130" s="1">
        <v>8.1226000000000003</v>
      </c>
      <c r="AD130" s="1502">
        <v>1.1115999999999999</v>
      </c>
      <c r="AE130" s="1">
        <v>6.1780999999999997</v>
      </c>
      <c r="AF130" s="1">
        <v>3.4439999999999998E-2</v>
      </c>
      <c r="AH130" s="1425">
        <v>45034</v>
      </c>
      <c r="AI130" s="1">
        <v>12.2066</v>
      </c>
      <c r="AJ130" s="1">
        <v>2.0404</v>
      </c>
      <c r="AK130" s="1">
        <v>6.3052999999999999</v>
      </c>
      <c r="AL130" s="1">
        <v>3.8830000000000003E-2</v>
      </c>
      <c r="AN130" s="1425">
        <v>45044</v>
      </c>
      <c r="AO130" s="1">
        <v>7.4856999999999996</v>
      </c>
      <c r="AP130" s="1">
        <v>1.0965</v>
      </c>
      <c r="AQ130" s="1">
        <v>5.3792</v>
      </c>
      <c r="AR130" s="1">
        <v>0.30956</v>
      </c>
      <c r="AT130" s="1425">
        <v>45044</v>
      </c>
      <c r="AU130" s="1">
        <v>9.1502999999999997</v>
      </c>
      <c r="AV130" s="1">
        <v>0.80569999999999997</v>
      </c>
      <c r="AW130" s="1">
        <v>6.2462</v>
      </c>
      <c r="AX130" s="1">
        <v>0.22206999999999999</v>
      </c>
      <c r="BA130" s="1425">
        <v>45042</v>
      </c>
      <c r="BB130" s="1">
        <v>12.2456</v>
      </c>
      <c r="BC130" s="1">
        <v>2.101</v>
      </c>
      <c r="BD130" s="1">
        <v>10.914899999999999</v>
      </c>
      <c r="BE130" s="1">
        <v>0.64866999999999997</v>
      </c>
      <c r="BG130" s="1425">
        <v>45042</v>
      </c>
      <c r="BH130" s="1">
        <v>15.058400000000001</v>
      </c>
      <c r="BI130" s="1">
        <v>2.5859000000000001</v>
      </c>
      <c r="BJ130" s="1">
        <v>17.943999999999999</v>
      </c>
      <c r="BT130" s="1425">
        <v>45051</v>
      </c>
      <c r="BU130" s="1">
        <v>20.612300000000001</v>
      </c>
      <c r="BV130" s="1">
        <v>2.3106</v>
      </c>
      <c r="BW130" s="1">
        <v>6.6163999999999996</v>
      </c>
      <c r="BX130" s="1">
        <v>1.671</v>
      </c>
      <c r="BZ130" s="1425">
        <v>45051</v>
      </c>
      <c r="CA130" s="1">
        <v>36.2697</v>
      </c>
      <c r="CB130" s="1">
        <v>3.7850999999999999</v>
      </c>
      <c r="CC130" s="1">
        <v>17.6614</v>
      </c>
      <c r="CD130" s="1">
        <v>2.3649</v>
      </c>
      <c r="CF130" s="1425">
        <v>45051</v>
      </c>
      <c r="CG130" s="1">
        <v>5.4728000000000003</v>
      </c>
      <c r="CH130" s="1">
        <v>1.0005999999999999</v>
      </c>
      <c r="CL130" s="1425">
        <v>45050</v>
      </c>
      <c r="CM130" s="1">
        <v>22.572900000000001</v>
      </c>
      <c r="CN130" s="1">
        <v>2.5836000000000001</v>
      </c>
      <c r="CO130" s="1">
        <v>11.187200000000001</v>
      </c>
    </row>
    <row r="131" spans="1:93">
      <c r="A131" s="1425">
        <v>45050</v>
      </c>
      <c r="B131" s="20">
        <f t="shared" si="12"/>
        <v>9.8778000000000006</v>
      </c>
      <c r="C131" s="20">
        <f t="shared" si="14"/>
        <v>24.3766</v>
      </c>
      <c r="D131" s="20">
        <f t="shared" si="15"/>
        <v>12.0976</v>
      </c>
      <c r="E131" s="20">
        <f t="shared" si="16"/>
        <v>7.3714000000000004</v>
      </c>
      <c r="F131" s="20">
        <f t="shared" si="17"/>
        <v>15.1751</v>
      </c>
      <c r="G131" s="20">
        <f t="shared" si="18"/>
        <v>11.522</v>
      </c>
      <c r="H131" s="1239">
        <f t="shared" si="19"/>
        <v>12.0976</v>
      </c>
      <c r="I131" s="1243">
        <f t="shared" si="13"/>
        <v>-0.18349094035180524</v>
      </c>
      <c r="J131" s="1243">
        <f t="shared" si="20"/>
        <v>0.12093838824177333</v>
      </c>
      <c r="K131" s="1243">
        <f t="shared" si="21"/>
        <v>0.1</v>
      </c>
      <c r="L131" s="203"/>
      <c r="N131" s="1425">
        <v>45050</v>
      </c>
      <c r="O131" s="1502">
        <v>9.8778000000000006</v>
      </c>
      <c r="P131" s="1502">
        <v>2.2117</v>
      </c>
      <c r="Q131" s="1502">
        <v>10.2864</v>
      </c>
      <c r="R131" s="1233">
        <f>'B. PE'!$U$23</f>
        <v>15.978235616082999</v>
      </c>
      <c r="S131" s="1233"/>
      <c r="T131" s="1233"/>
      <c r="V131" s="1425">
        <v>45050</v>
      </c>
      <c r="W131" s="1">
        <v>24.3766</v>
      </c>
      <c r="X131" s="1">
        <v>1.2771999999999999</v>
      </c>
      <c r="Y131" s="1">
        <v>5.6653000000000002</v>
      </c>
      <c r="Z131" s="1">
        <v>0.96323000000000003</v>
      </c>
      <c r="AB131" s="1425">
        <v>45033</v>
      </c>
      <c r="AC131" s="1">
        <v>8.4541000000000004</v>
      </c>
      <c r="AD131" s="1502">
        <v>1.157</v>
      </c>
      <c r="AE131" s="1">
        <v>6.3071999999999999</v>
      </c>
      <c r="AF131" s="1">
        <v>3.5999999999999997E-2</v>
      </c>
      <c r="AH131" s="1425">
        <v>45033</v>
      </c>
      <c r="AI131" s="1">
        <v>12.3156</v>
      </c>
      <c r="AJ131" s="1">
        <v>2.0586000000000002</v>
      </c>
      <c r="AK131" s="1">
        <v>6.3617999999999997</v>
      </c>
      <c r="AL131" s="1">
        <v>3.8379999999999997E-2</v>
      </c>
      <c r="AN131" s="1425">
        <v>45043</v>
      </c>
      <c r="AO131" s="1">
        <v>7.3143000000000002</v>
      </c>
      <c r="AP131" s="1">
        <v>1.0713999999999999</v>
      </c>
      <c r="AQ131" s="1">
        <v>5.25</v>
      </c>
      <c r="AR131" s="1">
        <v>0.31236999999999998</v>
      </c>
      <c r="AT131" s="1425">
        <v>45043</v>
      </c>
      <c r="AU131" s="1">
        <v>9.1969999999999992</v>
      </c>
      <c r="AV131" s="1">
        <v>0.80979999999999996</v>
      </c>
      <c r="AW131" s="1">
        <v>6.2770000000000001</v>
      </c>
      <c r="AX131" s="1">
        <v>0.22473000000000001</v>
      </c>
      <c r="BA131" s="1425">
        <v>45041</v>
      </c>
      <c r="BB131" s="1">
        <v>12.1899</v>
      </c>
      <c r="BC131" s="1">
        <v>2.0914999999999999</v>
      </c>
      <c r="BD131" s="1">
        <v>10.88</v>
      </c>
      <c r="BE131" s="1">
        <v>0.64783999999999997</v>
      </c>
      <c r="BG131" s="1425">
        <v>45041</v>
      </c>
      <c r="BH131" s="1">
        <v>14.941599999999999</v>
      </c>
      <c r="BI131" s="1">
        <v>2.5657999999999999</v>
      </c>
      <c r="BJ131" s="1">
        <v>17.849900000000002</v>
      </c>
      <c r="BT131" s="1425">
        <v>45050</v>
      </c>
      <c r="BU131" s="1">
        <v>20.666799999999999</v>
      </c>
      <c r="BV131" s="1">
        <v>2.3167</v>
      </c>
      <c r="BW131" s="1">
        <v>6.6346999999999996</v>
      </c>
      <c r="BX131" s="1">
        <v>1.6477999999999999</v>
      </c>
      <c r="BZ131" s="1425">
        <v>45050</v>
      </c>
      <c r="CA131" s="1">
        <v>36.3264</v>
      </c>
      <c r="CB131" s="1">
        <v>3.7911000000000001</v>
      </c>
      <c r="CC131" s="1">
        <v>17.679400000000001</v>
      </c>
      <c r="CD131" s="1">
        <v>2.3616000000000001</v>
      </c>
      <c r="CF131" s="1425">
        <v>45050</v>
      </c>
      <c r="CG131" s="1">
        <v>5.5136000000000003</v>
      </c>
      <c r="CH131" s="1">
        <v>1.0081</v>
      </c>
      <c r="CL131" s="1425">
        <v>45049</v>
      </c>
      <c r="CM131" s="1">
        <v>22.7668</v>
      </c>
      <c r="CN131" s="1">
        <v>2.6057999999999999</v>
      </c>
      <c r="CO131" s="1">
        <v>11.274699999999999</v>
      </c>
    </row>
    <row r="132" spans="1:93">
      <c r="A132" s="1425">
        <v>45044</v>
      </c>
      <c r="B132" s="20">
        <f t="shared" si="12"/>
        <v>10.098599999999999</v>
      </c>
      <c r="C132" s="20">
        <f t="shared" si="14"/>
        <v>24.1816</v>
      </c>
      <c r="D132" s="20">
        <f t="shared" si="15"/>
        <v>12.4246</v>
      </c>
      <c r="E132" s="20">
        <f t="shared" si="16"/>
        <v>7.4856999999999996</v>
      </c>
      <c r="F132" s="20">
        <f t="shared" si="17"/>
        <v>15.058400000000001</v>
      </c>
      <c r="G132" s="20">
        <f t="shared" si="18"/>
        <v>11.5777</v>
      </c>
      <c r="H132" s="1239">
        <f t="shared" si="19"/>
        <v>12.4246</v>
      </c>
      <c r="I132" s="1243">
        <f t="shared" si="13"/>
        <v>-0.18720924617291501</v>
      </c>
      <c r="J132" s="1243">
        <f t="shared" si="20"/>
        <v>0.12093838824177333</v>
      </c>
      <c r="K132" s="1243">
        <f t="shared" si="21"/>
        <v>0.1</v>
      </c>
      <c r="L132" s="203"/>
      <c r="N132" s="1425">
        <v>45044</v>
      </c>
      <c r="O132" s="1502">
        <v>10.098599999999999</v>
      </c>
      <c r="P132" s="1502">
        <v>2.2610999999999999</v>
      </c>
      <c r="Q132" s="1502">
        <v>10.4633</v>
      </c>
      <c r="R132" s="1233">
        <f>'B. PE'!$U$23</f>
        <v>15.978235616082999</v>
      </c>
      <c r="S132" s="1233"/>
      <c r="T132" s="1233"/>
      <c r="V132" s="1425">
        <v>45044</v>
      </c>
      <c r="W132" s="1">
        <v>24.1816</v>
      </c>
      <c r="X132" s="1">
        <v>1.2669999999999999</v>
      </c>
      <c r="Y132" s="1">
        <v>5.6265000000000001</v>
      </c>
      <c r="Z132" s="1">
        <v>0.95826</v>
      </c>
      <c r="AB132" s="1425">
        <v>45030</v>
      </c>
      <c r="AC132" s="1">
        <v>8.4541000000000004</v>
      </c>
      <c r="AD132" s="1502">
        <v>1.157</v>
      </c>
      <c r="AE132" s="1">
        <v>6.3071999999999999</v>
      </c>
      <c r="AF132" s="1">
        <v>3.6060000000000002E-2</v>
      </c>
      <c r="AH132" s="1425">
        <v>45030</v>
      </c>
      <c r="AI132" s="1">
        <v>12.5336</v>
      </c>
      <c r="AJ132" s="1">
        <v>2.0951</v>
      </c>
      <c r="AK132" s="1">
        <v>6.4748000000000001</v>
      </c>
      <c r="AL132" s="1">
        <v>3.8760000000000003E-2</v>
      </c>
      <c r="AN132" s="1425">
        <v>45042</v>
      </c>
      <c r="AO132" s="1">
        <v>7.8856999999999999</v>
      </c>
      <c r="AP132" s="1">
        <v>1.1551</v>
      </c>
      <c r="AQ132" s="1">
        <v>5.6806999999999999</v>
      </c>
      <c r="AR132" s="1">
        <v>0.31095</v>
      </c>
      <c r="AT132" s="1425">
        <v>45042</v>
      </c>
      <c r="AU132" s="1">
        <v>9.2437000000000005</v>
      </c>
      <c r="AV132" s="1">
        <v>0.81389999999999996</v>
      </c>
      <c r="AW132" s="1">
        <v>6.3078000000000003</v>
      </c>
      <c r="AX132" s="1">
        <v>0.22195000000000001</v>
      </c>
      <c r="BA132" s="1425">
        <v>45040</v>
      </c>
      <c r="BB132" s="1">
        <v>12.412599999999999</v>
      </c>
      <c r="BC132" s="1">
        <v>2.1297000000000001</v>
      </c>
      <c r="BD132" s="1">
        <v>11.0197</v>
      </c>
      <c r="BE132" s="1">
        <v>0.66498000000000002</v>
      </c>
      <c r="BG132" s="1425">
        <v>45040</v>
      </c>
      <c r="BH132" s="1">
        <v>15.5253</v>
      </c>
      <c r="BI132" s="1">
        <v>2.6661000000000001</v>
      </c>
      <c r="BJ132" s="1">
        <v>18.320499999999999</v>
      </c>
      <c r="BT132" s="1425">
        <v>45044</v>
      </c>
      <c r="BU132" s="1">
        <v>21.375699999999998</v>
      </c>
      <c r="BV132" s="1">
        <v>2.3961000000000001</v>
      </c>
      <c r="BW132" s="1">
        <v>6.8734000000000002</v>
      </c>
      <c r="BX132" s="1">
        <v>1.6354</v>
      </c>
      <c r="BZ132" s="1425">
        <v>45044</v>
      </c>
      <c r="CA132" s="1">
        <v>36.156300000000002</v>
      </c>
      <c r="CB132" s="1">
        <v>3.7732999999999999</v>
      </c>
      <c r="CC132" s="1">
        <v>17.625299999999999</v>
      </c>
      <c r="CD132" s="1">
        <v>2.3738999999999999</v>
      </c>
      <c r="CF132" s="1425">
        <v>45044</v>
      </c>
      <c r="CG132" s="1">
        <v>5.4728000000000003</v>
      </c>
      <c r="CH132" s="1">
        <v>1.0005999999999999</v>
      </c>
      <c r="CL132" s="1425">
        <v>45048</v>
      </c>
      <c r="CM132" s="1">
        <v>22.912199999999999</v>
      </c>
      <c r="CN132" s="1">
        <v>2.6223999999999998</v>
      </c>
      <c r="CO132" s="1">
        <v>11.340400000000001</v>
      </c>
    </row>
    <row r="133" spans="1:93">
      <c r="A133" s="1425">
        <v>45043</v>
      </c>
      <c r="B133" s="20">
        <f t="shared" ref="B133:B196" si="22">O133</f>
        <v>9.8188999999999993</v>
      </c>
      <c r="C133" s="20">
        <f t="shared" si="14"/>
        <v>23.791599999999999</v>
      </c>
      <c r="D133" s="20">
        <f t="shared" si="15"/>
        <v>12.5336</v>
      </c>
      <c r="E133" s="20">
        <f t="shared" si="16"/>
        <v>7.3143000000000002</v>
      </c>
      <c r="F133" s="20">
        <f t="shared" si="17"/>
        <v>14.941599999999999</v>
      </c>
      <c r="G133" s="20">
        <f t="shared" si="18"/>
        <v>11.856</v>
      </c>
      <c r="H133" s="1239">
        <f t="shared" si="19"/>
        <v>12.5336</v>
      </c>
      <c r="I133" s="1243">
        <f t="shared" ref="I133:I196" si="23">B133/H133-1</f>
        <v>-0.21659379587668348</v>
      </c>
      <c r="J133" s="1243">
        <f t="shared" si="20"/>
        <v>0.12093838824177333</v>
      </c>
      <c r="K133" s="1243">
        <f t="shared" si="21"/>
        <v>0.1</v>
      </c>
      <c r="L133" s="203"/>
      <c r="N133" s="1425">
        <v>45043</v>
      </c>
      <c r="O133" s="1502">
        <v>9.8188999999999993</v>
      </c>
      <c r="P133" s="1502">
        <v>2.1985000000000001</v>
      </c>
      <c r="Q133" s="1502">
        <v>10.2392</v>
      </c>
      <c r="R133" s="1233">
        <f>'B. PE'!$U$23</f>
        <v>15.978235616082999</v>
      </c>
      <c r="S133" s="1233"/>
      <c r="T133" s="1233"/>
      <c r="V133" s="1425">
        <v>45043</v>
      </c>
      <c r="W133" s="1">
        <v>23.791599999999999</v>
      </c>
      <c r="X133" s="1">
        <v>1.2465999999999999</v>
      </c>
      <c r="Y133" s="1">
        <v>5.5488999999999997</v>
      </c>
      <c r="Z133" s="1">
        <v>0.95443999999999996</v>
      </c>
      <c r="AB133" s="1425">
        <v>45029</v>
      </c>
      <c r="AC133" s="1">
        <v>8.7856000000000005</v>
      </c>
      <c r="AD133" s="1502">
        <v>1.2022999999999999</v>
      </c>
      <c r="AE133" s="1">
        <v>6.4362000000000004</v>
      </c>
      <c r="AF133" s="1">
        <v>3.5189999999999999E-2</v>
      </c>
      <c r="AH133" s="1425">
        <v>45029</v>
      </c>
      <c r="AI133" s="1">
        <v>12.3156</v>
      </c>
      <c r="AJ133" s="1">
        <v>2.0586000000000002</v>
      </c>
      <c r="AK133" s="1">
        <v>6.3617999999999997</v>
      </c>
      <c r="AL133" s="1">
        <v>3.9219999999999998E-2</v>
      </c>
      <c r="AN133" s="1425">
        <v>45041</v>
      </c>
      <c r="AO133" s="1">
        <v>7.9428999999999998</v>
      </c>
      <c r="AP133" s="1">
        <v>1.1635</v>
      </c>
      <c r="AQ133" s="1">
        <v>5.7237999999999998</v>
      </c>
      <c r="AR133" s="1">
        <v>0.31291999999999998</v>
      </c>
      <c r="AT133" s="1425">
        <v>45041</v>
      </c>
      <c r="AU133" s="1">
        <v>9.3370999999999995</v>
      </c>
      <c r="AV133" s="1">
        <v>0.82210000000000005</v>
      </c>
      <c r="AW133" s="1">
        <v>6.3693999999999997</v>
      </c>
      <c r="AX133" s="1">
        <v>0.224</v>
      </c>
      <c r="BA133" s="1425">
        <v>45037</v>
      </c>
      <c r="BB133" s="1">
        <v>12.412599999999999</v>
      </c>
      <c r="BC133" s="1">
        <v>2.1297000000000001</v>
      </c>
      <c r="BD133" s="1">
        <v>11.0197</v>
      </c>
      <c r="BE133" s="1">
        <v>0.67415999999999998</v>
      </c>
      <c r="BG133" s="1425">
        <v>45037</v>
      </c>
      <c r="BH133" s="1">
        <v>15.5253</v>
      </c>
      <c r="BI133" s="1">
        <v>2.6661000000000001</v>
      </c>
      <c r="BJ133" s="1">
        <v>18.320499999999999</v>
      </c>
      <c r="BT133" s="1425">
        <v>45043</v>
      </c>
      <c r="BU133" s="1">
        <v>21.075800000000001</v>
      </c>
      <c r="BV133" s="1">
        <v>2.3624999999999998</v>
      </c>
      <c r="BW133" s="1">
        <v>6.7724000000000002</v>
      </c>
      <c r="BX133" s="1">
        <v>1.6057999999999999</v>
      </c>
      <c r="BZ133" s="1425">
        <v>45043</v>
      </c>
      <c r="CA133" s="1">
        <v>36.099699999999999</v>
      </c>
      <c r="CB133" s="1">
        <v>3.7673999999999999</v>
      </c>
      <c r="CC133" s="1">
        <v>17.607299999999999</v>
      </c>
      <c r="CD133" s="1">
        <v>2.3334600000000001</v>
      </c>
      <c r="CF133" s="1425">
        <v>45043</v>
      </c>
      <c r="CG133" s="1">
        <v>5.5544000000000002</v>
      </c>
      <c r="CH133" s="1">
        <v>1.0156000000000001</v>
      </c>
      <c r="CL133" s="1425">
        <v>45044</v>
      </c>
      <c r="CM133" s="1">
        <v>22.9284</v>
      </c>
      <c r="CN133" s="1">
        <v>2.6242999999999999</v>
      </c>
      <c r="CO133" s="1">
        <v>11.3477</v>
      </c>
    </row>
    <row r="134" spans="1:93">
      <c r="A134" s="1425">
        <v>45042</v>
      </c>
      <c r="B134" s="20">
        <f t="shared" si="22"/>
        <v>9.8925000000000001</v>
      </c>
      <c r="C134" s="20">
        <f t="shared" ref="C134:C197" si="24">IF(W134=0,W133,W134)</f>
        <v>23.694099999999999</v>
      </c>
      <c r="D134" s="20">
        <f t="shared" ref="D134:D197" si="25">IFERROR(          IF(VLOOKUP(A134,$AH$5:$AI$1301,2,)=0,D133,VLOOKUP(A134,$AH$5:$AI$1301,2,)),D133)</f>
        <v>13.0785</v>
      </c>
      <c r="E134" s="20">
        <f t="shared" ref="E134:E197" si="26">IFERROR(IF(VLOOKUP(A134,$AN$5:$AO$1301,2,)=0, E133, VLOOKUP(A134,$AN$5:$AO$1301,2,)),E133)</f>
        <v>7.8856999999999999</v>
      </c>
      <c r="F134" s="20">
        <f t="shared" ref="F134:F197" si="27">IFERROR(IF(VLOOKUP(A134,$BG$5:$BH$1301,2,)=0,F133,VLOOKUP(A134,$BG$5:$BH$1301,2,)),F133)</f>
        <v>15.058400000000001</v>
      </c>
      <c r="G134" s="20">
        <f t="shared" ref="G134:G197" si="28">IFERROR(IF(VLOOKUP(A134,$BA$5:$BB$1301,2,)=0,G133,VLOOKUP(A134,$BA$5:$BB$1301,2,)),G133)</f>
        <v>12.2456</v>
      </c>
      <c r="H134" s="1239">
        <f t="shared" ref="H134:H197" si="29">MEDIAN(C134:G134)</f>
        <v>13.0785</v>
      </c>
      <c r="I134" s="1243">
        <f t="shared" si="23"/>
        <v>-0.24360591810987497</v>
      </c>
      <c r="J134" s="1243">
        <f t="shared" ref="J134:J197" si="30">$I$3</f>
        <v>0.12093838824177333</v>
      </c>
      <c r="K134" s="1243">
        <f t="shared" si="21"/>
        <v>0.1</v>
      </c>
      <c r="L134" s="203"/>
      <c r="N134" s="1425">
        <v>45042</v>
      </c>
      <c r="O134" s="1502">
        <v>9.8925000000000001</v>
      </c>
      <c r="P134" s="1502">
        <v>2.2149999999999999</v>
      </c>
      <c r="Q134" s="1502">
        <v>10.2982</v>
      </c>
      <c r="R134" s="1233">
        <f>'B. PE'!$U$23</f>
        <v>15.978235616082999</v>
      </c>
      <c r="S134" s="1233"/>
      <c r="T134" s="1233"/>
      <c r="V134" s="1425">
        <v>45042</v>
      </c>
      <c r="W134" s="1">
        <v>23.694099999999999</v>
      </c>
      <c r="X134" s="1">
        <v>1.2415</v>
      </c>
      <c r="Y134" s="1">
        <v>5.5294999999999996</v>
      </c>
      <c r="Z134" s="1">
        <v>0.99312</v>
      </c>
      <c r="AB134" s="1425">
        <v>45028</v>
      </c>
      <c r="AC134" s="1">
        <v>8.8684999999999992</v>
      </c>
      <c r="AD134" s="1502">
        <v>1.2137</v>
      </c>
      <c r="AE134" s="1">
        <v>6.4684999999999997</v>
      </c>
      <c r="AF134" s="1">
        <v>3.6799999999999999E-2</v>
      </c>
      <c r="AH134" s="1425">
        <v>45028</v>
      </c>
      <c r="AI134" s="1">
        <v>12.5336</v>
      </c>
      <c r="AJ134" s="1">
        <v>2.0951</v>
      </c>
      <c r="AK134" s="1">
        <v>6.4748000000000001</v>
      </c>
      <c r="AL134" s="1">
        <v>3.8809999999999997E-2</v>
      </c>
      <c r="AN134" s="1425">
        <v>45036</v>
      </c>
      <c r="AO134" s="1">
        <v>7.8856999999999999</v>
      </c>
      <c r="AP134" s="1">
        <v>1.1551</v>
      </c>
      <c r="AQ134" s="1">
        <v>5.6806999999999999</v>
      </c>
      <c r="AR134" s="1">
        <v>0.31580999999999998</v>
      </c>
      <c r="AT134" s="1425">
        <v>45036</v>
      </c>
      <c r="AU134" s="1">
        <v>9.1969999999999992</v>
      </c>
      <c r="AV134" s="1">
        <v>0.80979999999999996</v>
      </c>
      <c r="AW134" s="1">
        <v>6.2770000000000001</v>
      </c>
      <c r="AX134" s="1">
        <v>0.2346</v>
      </c>
      <c r="BA134" s="1425">
        <v>45036</v>
      </c>
      <c r="BB134" s="1">
        <v>12.690899999999999</v>
      </c>
      <c r="BC134" s="1">
        <v>2.1774</v>
      </c>
      <c r="BD134" s="1">
        <v>11.1943</v>
      </c>
      <c r="BE134" s="1">
        <v>0.69967000000000001</v>
      </c>
      <c r="BG134" s="1425">
        <v>45036</v>
      </c>
      <c r="BH134" s="1">
        <v>15.875500000000001</v>
      </c>
      <c r="BI134" s="1">
        <v>2.7262</v>
      </c>
      <c r="BJ134" s="1">
        <v>18.602900000000002</v>
      </c>
      <c r="BT134" s="1425">
        <v>45042</v>
      </c>
      <c r="BU134" s="1">
        <v>20.939399999999999</v>
      </c>
      <c r="BV134" s="1">
        <v>2.3472</v>
      </c>
      <c r="BW134" s="1">
        <v>6.7264999999999997</v>
      </c>
      <c r="BX134" s="1">
        <v>1.6344000000000001</v>
      </c>
      <c r="BZ134" s="1425">
        <v>45042</v>
      </c>
      <c r="CA134" s="1">
        <v>36.3264</v>
      </c>
      <c r="CB134" s="1">
        <v>3.7911000000000001</v>
      </c>
      <c r="CC134" s="1">
        <v>17.679400000000001</v>
      </c>
      <c r="CD134" s="1">
        <v>2.3612799999999998</v>
      </c>
      <c r="CF134" s="1425">
        <v>45042</v>
      </c>
      <c r="CG134" s="1">
        <v>5.5544000000000002</v>
      </c>
      <c r="CH134" s="1">
        <v>1.0156000000000001</v>
      </c>
      <c r="CL134" s="1425">
        <v>45043</v>
      </c>
      <c r="CM134" s="1">
        <v>23.057600000000001</v>
      </c>
      <c r="CN134" s="1">
        <v>2.6391</v>
      </c>
      <c r="CO134" s="1">
        <v>11.406000000000001</v>
      </c>
    </row>
    <row r="135" spans="1:93">
      <c r="A135" s="1425">
        <v>45041</v>
      </c>
      <c r="B135" s="20">
        <f t="shared" si="22"/>
        <v>9.6864000000000008</v>
      </c>
      <c r="C135" s="20">
        <f t="shared" si="24"/>
        <v>23.596499999999999</v>
      </c>
      <c r="D135" s="20">
        <f t="shared" si="25"/>
        <v>13.0785</v>
      </c>
      <c r="E135" s="20">
        <f t="shared" si="26"/>
        <v>7.9428999999999998</v>
      </c>
      <c r="F135" s="20">
        <f t="shared" si="27"/>
        <v>14.941599999999999</v>
      </c>
      <c r="G135" s="20">
        <f t="shared" si="28"/>
        <v>12.1899</v>
      </c>
      <c r="H135" s="1239">
        <f t="shared" si="29"/>
        <v>13.0785</v>
      </c>
      <c r="I135" s="1243">
        <f t="shared" si="23"/>
        <v>-0.25936460603280187</v>
      </c>
      <c r="J135" s="1243">
        <f t="shared" si="30"/>
        <v>0.12093838824177333</v>
      </c>
      <c r="K135" s="1243">
        <f t="shared" ref="K135:K198" si="31">K134</f>
        <v>0.1</v>
      </c>
      <c r="L135" s="203"/>
      <c r="N135" s="1425">
        <v>45041</v>
      </c>
      <c r="O135" s="1502">
        <v>9.6864000000000008</v>
      </c>
      <c r="P135" s="1502">
        <v>2.1688999999999998</v>
      </c>
      <c r="Q135" s="1502">
        <v>10.132999999999999</v>
      </c>
      <c r="R135" s="1233">
        <f>'B. PE'!$U$23</f>
        <v>15.978235616082999</v>
      </c>
      <c r="S135" s="1233"/>
      <c r="T135" s="1233"/>
      <c r="V135" s="1425">
        <v>45041</v>
      </c>
      <c r="W135" s="1">
        <v>23.596499999999999</v>
      </c>
      <c r="X135" s="1">
        <v>1.2363999999999999</v>
      </c>
      <c r="Y135" s="1">
        <v>5.5101000000000004</v>
      </c>
      <c r="Z135" s="1">
        <v>0.98946999999999996</v>
      </c>
      <c r="AB135" s="1425">
        <v>45027</v>
      </c>
      <c r="AC135" s="1">
        <v>8.7027000000000001</v>
      </c>
      <c r="AD135" s="1502">
        <v>1.1910000000000001</v>
      </c>
      <c r="AE135" s="1">
        <v>6.4039999999999999</v>
      </c>
      <c r="AF135" s="1">
        <v>3.653E-2</v>
      </c>
      <c r="AH135" s="1425">
        <v>45027</v>
      </c>
      <c r="AI135" s="1">
        <v>12.7516</v>
      </c>
      <c r="AJ135" s="1">
        <v>2.1315</v>
      </c>
      <c r="AK135" s="1">
        <v>6.5876999999999999</v>
      </c>
      <c r="AL135" s="1">
        <v>3.9879999999999999E-2</v>
      </c>
      <c r="AN135" s="1425">
        <v>45035</v>
      </c>
      <c r="AO135" s="1">
        <v>7.9428999999999998</v>
      </c>
      <c r="AP135" s="1">
        <v>1.1635</v>
      </c>
      <c r="AQ135" s="1">
        <v>5.7237999999999998</v>
      </c>
      <c r="AR135" s="1">
        <v>0.31208000000000002</v>
      </c>
      <c r="AT135" s="1425">
        <v>45035</v>
      </c>
      <c r="AU135" s="1">
        <v>9.2904</v>
      </c>
      <c r="AV135" s="1">
        <v>0.81799999999999995</v>
      </c>
      <c r="AW135" s="1">
        <v>6.3385999999999996</v>
      </c>
      <c r="AX135" s="1">
        <v>0.23971000000000001</v>
      </c>
      <c r="BA135" s="1425">
        <v>45035</v>
      </c>
      <c r="BB135" s="1">
        <v>12.913500000000001</v>
      </c>
      <c r="BC135" s="1">
        <v>2.2155999999999998</v>
      </c>
      <c r="BD135" s="1">
        <v>11.334</v>
      </c>
      <c r="BE135" s="1">
        <v>0.69860999999999995</v>
      </c>
      <c r="BG135" s="1425">
        <v>45035</v>
      </c>
      <c r="BH135" s="1">
        <v>16.108899999999998</v>
      </c>
      <c r="BI135" s="1">
        <v>2.7663000000000002</v>
      </c>
      <c r="BJ135" s="1">
        <v>18.7911</v>
      </c>
      <c r="BT135" s="1425">
        <v>45041</v>
      </c>
      <c r="BU135" s="1">
        <v>20.557700000000001</v>
      </c>
      <c r="BV135" s="1">
        <v>2.3043999999999998</v>
      </c>
      <c r="BW135" s="1">
        <v>6.5979999999999999</v>
      </c>
      <c r="BX135" s="1">
        <v>1.6732</v>
      </c>
      <c r="BZ135" s="1425">
        <v>45041</v>
      </c>
      <c r="CA135" s="1">
        <v>35.703000000000003</v>
      </c>
      <c r="CB135" s="1">
        <v>3.726</v>
      </c>
      <c r="CC135" s="1">
        <v>17.481100000000001</v>
      </c>
      <c r="CD135" s="1">
        <v>2.42862</v>
      </c>
      <c r="CF135" s="1425">
        <v>45041</v>
      </c>
      <c r="CG135" s="1">
        <v>5.4728000000000003</v>
      </c>
      <c r="CH135" s="1">
        <v>1.0005999999999999</v>
      </c>
      <c r="CL135" s="1425">
        <v>45042</v>
      </c>
      <c r="CM135" s="1">
        <v>23.073799999999999</v>
      </c>
      <c r="CN135" s="1">
        <v>2.6408999999999998</v>
      </c>
      <c r="CO135" s="1">
        <v>11.4133</v>
      </c>
    </row>
    <row r="136" spans="1:93">
      <c r="A136" s="1425">
        <v>45040</v>
      </c>
      <c r="B136" s="20">
        <f t="shared" si="22"/>
        <v>9.9809000000000001</v>
      </c>
      <c r="C136" s="20">
        <f t="shared" si="24"/>
        <v>24.5716</v>
      </c>
      <c r="D136" s="20">
        <f t="shared" si="25"/>
        <v>13.0785</v>
      </c>
      <c r="E136" s="20">
        <f t="shared" si="26"/>
        <v>7.9428999999999998</v>
      </c>
      <c r="F136" s="20">
        <f t="shared" si="27"/>
        <v>15.5253</v>
      </c>
      <c r="G136" s="20">
        <f t="shared" si="28"/>
        <v>12.412599999999999</v>
      </c>
      <c r="H136" s="1239">
        <f t="shared" si="29"/>
        <v>13.0785</v>
      </c>
      <c r="I136" s="1243">
        <f t="shared" si="23"/>
        <v>-0.23684673318805671</v>
      </c>
      <c r="J136" s="1243">
        <f t="shared" si="30"/>
        <v>0.12093838824177333</v>
      </c>
      <c r="K136" s="1243">
        <f t="shared" si="31"/>
        <v>0.1</v>
      </c>
      <c r="L136" s="203"/>
      <c r="N136" s="1425">
        <v>45040</v>
      </c>
      <c r="O136" s="1502">
        <v>9.9809000000000001</v>
      </c>
      <c r="P136" s="1502">
        <v>2.2347999999999999</v>
      </c>
      <c r="Q136" s="1502">
        <v>10.369</v>
      </c>
      <c r="R136" s="1233">
        <f>'B. PE'!$U$23</f>
        <v>15.978235616082999</v>
      </c>
      <c r="S136" s="1233"/>
      <c r="T136" s="1233"/>
      <c r="V136" s="1425">
        <v>45040</v>
      </c>
      <c r="W136" s="1">
        <v>24.5716</v>
      </c>
      <c r="X136" s="1">
        <v>1.2875000000000001</v>
      </c>
      <c r="Y136" s="1">
        <v>5.7041000000000004</v>
      </c>
      <c r="Z136" s="1">
        <v>0.98545000000000005</v>
      </c>
      <c r="AB136" s="1425">
        <v>45026</v>
      </c>
      <c r="AC136" s="1">
        <v>9.1172000000000004</v>
      </c>
      <c r="AD136" s="1502">
        <v>1.2477</v>
      </c>
      <c r="AE136" s="1">
        <v>6.5652999999999997</v>
      </c>
      <c r="AF136" s="1">
        <v>3.406E-2</v>
      </c>
      <c r="AH136" s="1425">
        <v>45026</v>
      </c>
      <c r="AI136" s="1">
        <v>12.6426</v>
      </c>
      <c r="AJ136" s="1">
        <v>2.1133000000000002</v>
      </c>
      <c r="AK136" s="1">
        <v>6.5312999999999999</v>
      </c>
      <c r="AL136" s="1">
        <v>3.9739999999999998E-2</v>
      </c>
      <c r="AN136" s="1425">
        <v>45034</v>
      </c>
      <c r="AO136" s="1">
        <v>8</v>
      </c>
      <c r="AP136" s="1">
        <v>1.1718999999999999</v>
      </c>
      <c r="AQ136" s="1">
        <v>5.7668999999999997</v>
      </c>
      <c r="AR136" s="1">
        <v>0.31591000000000002</v>
      </c>
      <c r="AT136" s="1425">
        <v>45034</v>
      </c>
      <c r="AU136" s="1">
        <v>9.7105999999999995</v>
      </c>
      <c r="AV136" s="1">
        <v>0.85499999999999998</v>
      </c>
      <c r="AW136" s="1">
        <v>6.6157000000000004</v>
      </c>
      <c r="AX136" s="1">
        <v>0.24091000000000001</v>
      </c>
      <c r="BA136" s="1425">
        <v>45034</v>
      </c>
      <c r="BB136" s="1">
        <v>13.3588</v>
      </c>
      <c r="BC136" s="1">
        <v>2.2919999999999998</v>
      </c>
      <c r="BD136" s="1">
        <v>11.613300000000001</v>
      </c>
      <c r="BE136" s="1">
        <v>0.68523000000000001</v>
      </c>
      <c r="BG136" s="1425">
        <v>45034</v>
      </c>
      <c r="BH136" s="1">
        <v>16.342400000000001</v>
      </c>
      <c r="BI136" s="1">
        <v>2.8064</v>
      </c>
      <c r="BJ136" s="1">
        <v>18.979399999999998</v>
      </c>
      <c r="BT136" s="1425">
        <v>45040</v>
      </c>
      <c r="BU136" s="1">
        <v>20.939399999999999</v>
      </c>
      <c r="BV136" s="1">
        <v>2.3472</v>
      </c>
      <c r="BW136" s="1">
        <v>6.7264999999999997</v>
      </c>
      <c r="BX136" s="1">
        <v>1.7199</v>
      </c>
      <c r="BZ136" s="1425">
        <v>45040</v>
      </c>
      <c r="CA136" s="1">
        <v>36.156300000000002</v>
      </c>
      <c r="CB136" s="1">
        <v>3.7732999999999999</v>
      </c>
      <c r="CC136" s="1">
        <v>17.625299999999999</v>
      </c>
      <c r="CD136" s="1">
        <v>2.4691399999999999</v>
      </c>
      <c r="CF136" s="1425">
        <v>45040</v>
      </c>
      <c r="CG136" s="1">
        <v>5.5544000000000002</v>
      </c>
      <c r="CH136" s="1">
        <v>1.0156000000000001</v>
      </c>
      <c r="CL136" s="1425">
        <v>45041</v>
      </c>
      <c r="CM136" s="1">
        <v>23.364599999999999</v>
      </c>
      <c r="CN136" s="1">
        <v>2.6741999999999999</v>
      </c>
      <c r="CO136" s="1">
        <v>11.544700000000001</v>
      </c>
    </row>
    <row r="137" spans="1:93">
      <c r="A137" s="1425">
        <v>45037</v>
      </c>
      <c r="B137" s="20">
        <f t="shared" si="22"/>
        <v>10.142799999999999</v>
      </c>
      <c r="C137" s="20">
        <f t="shared" si="24"/>
        <v>24.4741</v>
      </c>
      <c r="D137" s="20">
        <f t="shared" si="25"/>
        <v>13.0785</v>
      </c>
      <c r="E137" s="20">
        <f t="shared" si="26"/>
        <v>7.9428999999999998</v>
      </c>
      <c r="F137" s="20">
        <f t="shared" si="27"/>
        <v>15.5253</v>
      </c>
      <c r="G137" s="20">
        <f t="shared" si="28"/>
        <v>12.412599999999999</v>
      </c>
      <c r="H137" s="1239">
        <f t="shared" si="29"/>
        <v>13.0785</v>
      </c>
      <c r="I137" s="1243">
        <f t="shared" si="23"/>
        <v>-0.22446763772603895</v>
      </c>
      <c r="J137" s="1243">
        <f t="shared" si="30"/>
        <v>0.12093838824177333</v>
      </c>
      <c r="K137" s="1243">
        <f t="shared" si="31"/>
        <v>0.1</v>
      </c>
      <c r="L137" s="203"/>
      <c r="N137" s="1425">
        <v>45037</v>
      </c>
      <c r="O137" s="1502">
        <v>10.142799999999999</v>
      </c>
      <c r="P137" s="1502">
        <v>2.2709999999999999</v>
      </c>
      <c r="Q137" s="1502">
        <v>10.498699999999999</v>
      </c>
      <c r="R137" s="1233">
        <f>'B. PE'!$U$23</f>
        <v>15.978235616082999</v>
      </c>
      <c r="S137" s="1233"/>
      <c r="T137" s="1233"/>
      <c r="V137" s="1425">
        <v>45037</v>
      </c>
      <c r="W137" s="1">
        <v>24.4741</v>
      </c>
      <c r="X137" s="1">
        <v>1.2824</v>
      </c>
      <c r="Y137" s="1">
        <v>5.6847000000000003</v>
      </c>
      <c r="Z137" s="1">
        <v>1.00447</v>
      </c>
      <c r="AB137" s="1425">
        <v>45022</v>
      </c>
      <c r="AC137" s="1">
        <v>9.0343</v>
      </c>
      <c r="AD137" s="1502">
        <v>1.2363999999999999</v>
      </c>
      <c r="AE137" s="1">
        <v>6.5330000000000004</v>
      </c>
      <c r="AF137" s="1">
        <v>3.3450000000000001E-2</v>
      </c>
      <c r="AH137" s="1425">
        <v>45022</v>
      </c>
      <c r="AI137" s="1">
        <v>12.9695</v>
      </c>
      <c r="AJ137" s="1">
        <v>2.1678999999999999</v>
      </c>
      <c r="AK137" s="1">
        <v>6.7007000000000003</v>
      </c>
      <c r="AL137" s="1">
        <v>4.0140000000000002E-2</v>
      </c>
      <c r="AN137" s="1425">
        <v>45033</v>
      </c>
      <c r="AO137" s="1">
        <v>7.8856999999999999</v>
      </c>
      <c r="AP137" s="1">
        <v>1.1551</v>
      </c>
      <c r="AQ137" s="1">
        <v>5.6806999999999999</v>
      </c>
      <c r="AR137" s="1">
        <v>0.31591000000000002</v>
      </c>
      <c r="AT137" s="1425">
        <v>45033</v>
      </c>
      <c r="AU137" s="1">
        <v>9.8972999999999995</v>
      </c>
      <c r="AV137" s="1">
        <v>0.87150000000000005</v>
      </c>
      <c r="AW137" s="1">
        <v>6.7389000000000001</v>
      </c>
      <c r="AX137" s="1">
        <v>0.23863999999999999</v>
      </c>
      <c r="BA137" s="1425">
        <v>45033</v>
      </c>
      <c r="BB137" s="1">
        <v>13.4145</v>
      </c>
      <c r="BC137" s="1">
        <v>2.3016000000000001</v>
      </c>
      <c r="BD137" s="1">
        <v>11.648300000000001</v>
      </c>
      <c r="BE137" s="1">
        <v>0.68552999999999997</v>
      </c>
      <c r="BG137" s="1425">
        <v>45033</v>
      </c>
      <c r="BH137" s="1">
        <v>16.459099999999999</v>
      </c>
      <c r="BI137" s="1">
        <v>2.8264</v>
      </c>
      <c r="BJ137" s="1">
        <v>19.073499999999999</v>
      </c>
      <c r="BT137" s="1425">
        <v>45037</v>
      </c>
      <c r="BU137" s="1">
        <v>21.430199999999999</v>
      </c>
      <c r="BV137" s="1">
        <v>2.4022000000000001</v>
      </c>
      <c r="BW137" s="1">
        <v>6.8917999999999999</v>
      </c>
      <c r="BX137" s="1">
        <v>1.7230000000000001</v>
      </c>
      <c r="BZ137" s="1425">
        <v>45037</v>
      </c>
      <c r="CA137" s="1">
        <v>37.176400000000001</v>
      </c>
      <c r="CB137" s="1">
        <v>3.8797999999999999</v>
      </c>
      <c r="CC137" s="1">
        <v>17.9498</v>
      </c>
      <c r="CD137" s="1">
        <v>2.50075</v>
      </c>
      <c r="CF137" s="1425">
        <v>45037</v>
      </c>
      <c r="CG137" s="1">
        <v>5.4728000000000003</v>
      </c>
      <c r="CH137" s="1">
        <v>1.0005999999999999</v>
      </c>
      <c r="CL137" s="1425">
        <v>45040</v>
      </c>
      <c r="CM137" s="1">
        <v>23.639299999999999</v>
      </c>
      <c r="CN137" s="1">
        <v>2.7057000000000002</v>
      </c>
      <c r="CO137" s="1">
        <v>11.668699999999999</v>
      </c>
    </row>
    <row r="138" spans="1:93">
      <c r="A138" s="1425">
        <v>45036</v>
      </c>
      <c r="B138" s="20">
        <f t="shared" si="22"/>
        <v>10.2753</v>
      </c>
      <c r="C138" s="20">
        <f t="shared" si="24"/>
        <v>24.3766</v>
      </c>
      <c r="D138" s="20">
        <f t="shared" si="25"/>
        <v>13.0785</v>
      </c>
      <c r="E138" s="20">
        <f t="shared" si="26"/>
        <v>7.8856999999999999</v>
      </c>
      <c r="F138" s="20">
        <f t="shared" si="27"/>
        <v>15.875500000000001</v>
      </c>
      <c r="G138" s="20">
        <f t="shared" si="28"/>
        <v>12.690899999999999</v>
      </c>
      <c r="H138" s="1239">
        <f t="shared" si="29"/>
        <v>13.0785</v>
      </c>
      <c r="I138" s="1243">
        <f t="shared" si="23"/>
        <v>-0.21433650648010094</v>
      </c>
      <c r="J138" s="1243">
        <f t="shared" si="30"/>
        <v>0.12093838824177333</v>
      </c>
      <c r="K138" s="1243">
        <f t="shared" si="31"/>
        <v>0.1</v>
      </c>
      <c r="L138" s="203"/>
      <c r="N138" s="1425">
        <v>45036</v>
      </c>
      <c r="O138" s="1502">
        <v>10.2753</v>
      </c>
      <c r="P138" s="1502">
        <v>2.3007</v>
      </c>
      <c r="Q138" s="1502">
        <v>10.604900000000001</v>
      </c>
      <c r="R138" s="1233">
        <f>'B. PE'!$U$23</f>
        <v>15.978235616082999</v>
      </c>
      <c r="S138" s="1233"/>
      <c r="T138" s="1233"/>
      <c r="V138" s="1425">
        <v>45036</v>
      </c>
      <c r="W138" s="1">
        <v>24.3766</v>
      </c>
      <c r="X138" s="1">
        <v>1.2771999999999999</v>
      </c>
      <c r="Y138" s="1">
        <v>5.6653000000000002</v>
      </c>
      <c r="Z138" s="1">
        <v>0.94920000000000004</v>
      </c>
      <c r="AB138" s="1425">
        <v>45021</v>
      </c>
      <c r="AC138" s="1">
        <v>8.4541000000000004</v>
      </c>
      <c r="AD138" s="1502">
        <v>1.157</v>
      </c>
      <c r="AE138" s="1">
        <v>6.3071999999999999</v>
      </c>
      <c r="AF138" s="1">
        <v>3.483E-2</v>
      </c>
      <c r="AH138" s="1425">
        <v>45021</v>
      </c>
      <c r="AI138" s="1">
        <v>12.9695</v>
      </c>
      <c r="AJ138" s="1">
        <v>2.1678999999999999</v>
      </c>
      <c r="AK138" s="1">
        <v>6.7007000000000003</v>
      </c>
      <c r="AL138" s="1">
        <v>3.952E-2</v>
      </c>
      <c r="AN138" s="1425">
        <v>45030</v>
      </c>
      <c r="AO138" s="1">
        <v>7.9428999999999998</v>
      </c>
      <c r="AP138" s="1">
        <v>1.1635</v>
      </c>
      <c r="AQ138" s="1">
        <v>5.7237999999999998</v>
      </c>
      <c r="AR138" s="1">
        <v>0.31065999999999999</v>
      </c>
      <c r="AT138" s="1425">
        <v>45030</v>
      </c>
      <c r="AU138" s="1">
        <v>9.8972999999999995</v>
      </c>
      <c r="AV138" s="1">
        <v>0.87150000000000005</v>
      </c>
      <c r="AW138" s="1">
        <v>6.7389000000000001</v>
      </c>
      <c r="AX138" s="1">
        <v>0.23129</v>
      </c>
      <c r="BA138" s="1425">
        <v>45028</v>
      </c>
      <c r="BB138" s="1">
        <v>13.024900000000001</v>
      </c>
      <c r="BC138" s="1">
        <v>2.2347000000000001</v>
      </c>
      <c r="BD138" s="1">
        <v>11.4038</v>
      </c>
      <c r="BE138" s="1">
        <v>0.68615000000000004</v>
      </c>
      <c r="BG138" s="1425">
        <v>45028</v>
      </c>
      <c r="BH138" s="1">
        <v>15.9922</v>
      </c>
      <c r="BI138" s="1">
        <v>2.7462</v>
      </c>
      <c r="BJ138" s="1">
        <v>18.696999999999999</v>
      </c>
      <c r="BT138" s="1425">
        <v>45036</v>
      </c>
      <c r="BU138" s="1">
        <v>22.03</v>
      </c>
      <c r="BV138" s="1">
        <v>2.4695</v>
      </c>
      <c r="BW138" s="1">
        <v>7.0937999999999999</v>
      </c>
      <c r="BX138" s="1">
        <v>1.6993</v>
      </c>
      <c r="BZ138" s="1425">
        <v>45036</v>
      </c>
      <c r="CA138" s="1">
        <v>37.799799999999998</v>
      </c>
      <c r="CB138" s="1">
        <v>3.9447999999999999</v>
      </c>
      <c r="CC138" s="1">
        <v>18.148099999999999</v>
      </c>
      <c r="CD138" s="1">
        <v>2.4412500000000001</v>
      </c>
      <c r="CF138" s="1425">
        <v>45036</v>
      </c>
      <c r="CG138" s="1">
        <v>5.5544000000000002</v>
      </c>
      <c r="CH138" s="1">
        <v>1.0156000000000001</v>
      </c>
      <c r="CL138" s="1425">
        <v>45037</v>
      </c>
      <c r="CM138" s="1">
        <v>23.558499999999999</v>
      </c>
      <c r="CN138" s="1">
        <v>2.6964000000000001</v>
      </c>
      <c r="CO138" s="1">
        <v>11.632199999999999</v>
      </c>
    </row>
    <row r="139" spans="1:93">
      <c r="A139" s="1425">
        <v>45035</v>
      </c>
      <c r="B139" s="20">
        <f t="shared" si="22"/>
        <v>10.5108</v>
      </c>
      <c r="C139" s="20">
        <f t="shared" si="24"/>
        <v>24.864100000000001</v>
      </c>
      <c r="D139" s="20">
        <f t="shared" si="25"/>
        <v>13.0785</v>
      </c>
      <c r="E139" s="20">
        <f t="shared" si="26"/>
        <v>7.9428999999999998</v>
      </c>
      <c r="F139" s="20">
        <f t="shared" si="27"/>
        <v>16.108899999999998</v>
      </c>
      <c r="G139" s="20">
        <f t="shared" si="28"/>
        <v>12.913500000000001</v>
      </c>
      <c r="H139" s="1239">
        <f t="shared" si="29"/>
        <v>13.0785</v>
      </c>
      <c r="I139" s="1243">
        <f t="shared" si="23"/>
        <v>-0.19632985434109418</v>
      </c>
      <c r="J139" s="1243">
        <f t="shared" si="30"/>
        <v>0.12093838824177333</v>
      </c>
      <c r="K139" s="1243">
        <f t="shared" si="31"/>
        <v>0.1</v>
      </c>
      <c r="L139" s="203"/>
      <c r="N139" s="1425">
        <v>45035</v>
      </c>
      <c r="O139" s="1502">
        <v>10.5108</v>
      </c>
      <c r="P139" s="1502">
        <v>2.3534000000000002</v>
      </c>
      <c r="Q139" s="1502">
        <v>10.793699999999999</v>
      </c>
      <c r="R139" s="1233">
        <f>'B. PE'!$U$23</f>
        <v>15.978235616082999</v>
      </c>
      <c r="S139" s="1233"/>
      <c r="T139" s="1233"/>
      <c r="V139" s="1425">
        <v>45035</v>
      </c>
      <c r="W139" s="1">
        <v>24.864100000000001</v>
      </c>
      <c r="X139" s="1">
        <v>1.3028</v>
      </c>
      <c r="Y139" s="1">
        <v>5.7622</v>
      </c>
      <c r="Z139" s="1">
        <v>0.89910999999999996</v>
      </c>
      <c r="AB139" s="1425">
        <v>45020</v>
      </c>
      <c r="AC139" s="1">
        <v>8.2882999999999996</v>
      </c>
      <c r="AD139" s="1502">
        <v>1.1343000000000001</v>
      </c>
      <c r="AE139" s="1">
        <v>6.2426000000000004</v>
      </c>
      <c r="AF139" s="1">
        <v>3.4729999999999997E-2</v>
      </c>
      <c r="AH139" s="1425">
        <v>45020</v>
      </c>
      <c r="AI139" s="1">
        <v>13.0785</v>
      </c>
      <c r="AJ139" s="1">
        <v>2.1861999999999999</v>
      </c>
      <c r="AK139" s="1">
        <v>6.7572000000000001</v>
      </c>
      <c r="AL139" s="1">
        <v>3.8739999999999997E-2</v>
      </c>
      <c r="AN139" s="1425">
        <v>45029</v>
      </c>
      <c r="AO139" s="1">
        <v>7.9428999999999998</v>
      </c>
      <c r="AP139" s="1">
        <v>1.1635</v>
      </c>
      <c r="AQ139" s="1">
        <v>5.7237999999999998</v>
      </c>
      <c r="AR139" s="1">
        <v>0.30790000000000001</v>
      </c>
      <c r="AT139" s="1425">
        <v>45029</v>
      </c>
      <c r="AU139" s="1">
        <v>9.8039000000000005</v>
      </c>
      <c r="AV139" s="1">
        <v>0.86319999999999997</v>
      </c>
      <c r="AW139" s="1">
        <v>6.6772999999999998</v>
      </c>
      <c r="AX139" s="1">
        <v>0.22639999999999999</v>
      </c>
      <c r="BA139" s="1425">
        <v>45027</v>
      </c>
      <c r="BB139" s="1">
        <v>13.080500000000001</v>
      </c>
      <c r="BC139" s="1">
        <v>2.2443</v>
      </c>
      <c r="BD139" s="1">
        <v>11.438700000000001</v>
      </c>
      <c r="BE139" s="1">
        <v>0.67581000000000002</v>
      </c>
      <c r="BG139" s="1425">
        <v>45027</v>
      </c>
      <c r="BH139" s="1">
        <v>16.2257</v>
      </c>
      <c r="BI139" s="1">
        <v>2.7863000000000002</v>
      </c>
      <c r="BJ139" s="1">
        <v>18.885300000000001</v>
      </c>
      <c r="BT139" s="1425">
        <v>45035</v>
      </c>
      <c r="BU139" s="1">
        <v>22.084599999999998</v>
      </c>
      <c r="BV139" s="1">
        <v>2.4756</v>
      </c>
      <c r="BW139" s="1">
        <v>7.1120999999999999</v>
      </c>
      <c r="BX139" s="1">
        <v>1.6972</v>
      </c>
      <c r="BZ139" s="1425">
        <v>45035</v>
      </c>
      <c r="CA139" s="1">
        <v>38.309899999999999</v>
      </c>
      <c r="CB139" s="1">
        <v>3.9981</v>
      </c>
      <c r="CC139" s="1">
        <v>18.310400000000001</v>
      </c>
      <c r="CD139" s="1">
        <v>2.4257499999999999</v>
      </c>
      <c r="CF139" s="1425">
        <v>45035</v>
      </c>
      <c r="CG139" s="1">
        <v>5.6360999999999999</v>
      </c>
      <c r="CH139" s="1">
        <v>1.0305</v>
      </c>
      <c r="CL139" s="1425">
        <v>45036</v>
      </c>
      <c r="CM139" s="1">
        <v>23.429300000000001</v>
      </c>
      <c r="CN139" s="1">
        <v>2.6816</v>
      </c>
      <c r="CO139" s="1">
        <v>11.5738</v>
      </c>
    </row>
    <row r="140" spans="1:93">
      <c r="A140" s="1425">
        <v>45034</v>
      </c>
      <c r="B140" s="20">
        <f t="shared" si="22"/>
        <v>10.025</v>
      </c>
      <c r="C140" s="20">
        <f t="shared" si="24"/>
        <v>23.498999999999999</v>
      </c>
      <c r="D140" s="20">
        <f t="shared" si="25"/>
        <v>12.2066</v>
      </c>
      <c r="E140" s="20">
        <f t="shared" si="26"/>
        <v>8</v>
      </c>
      <c r="F140" s="20">
        <f t="shared" si="27"/>
        <v>16.342400000000001</v>
      </c>
      <c r="G140" s="20">
        <f t="shared" si="28"/>
        <v>13.3588</v>
      </c>
      <c r="H140" s="1239">
        <f t="shared" si="29"/>
        <v>13.3588</v>
      </c>
      <c r="I140" s="1243">
        <f t="shared" si="23"/>
        <v>-0.24955834356379314</v>
      </c>
      <c r="J140" s="1243">
        <f t="shared" si="30"/>
        <v>0.12093838824177333</v>
      </c>
      <c r="K140" s="1243">
        <f t="shared" si="31"/>
        <v>0.1</v>
      </c>
      <c r="L140" s="203"/>
      <c r="N140" s="1425">
        <v>45034</v>
      </c>
      <c r="O140" s="1502">
        <v>10.025</v>
      </c>
      <c r="P140" s="1502">
        <v>2.2446999999999999</v>
      </c>
      <c r="Q140" s="1502">
        <v>10.404400000000001</v>
      </c>
      <c r="R140" s="1233">
        <f>'B. PE'!$U$23</f>
        <v>15.978235616082999</v>
      </c>
      <c r="S140" s="1233"/>
      <c r="T140" s="1233"/>
      <c r="V140" s="1425">
        <v>45034</v>
      </c>
      <c r="W140" s="1">
        <v>23.498999999999999</v>
      </c>
      <c r="X140" s="1">
        <v>1.2313000000000001</v>
      </c>
      <c r="Y140" s="1">
        <v>5.4907000000000004</v>
      </c>
      <c r="Z140" s="1">
        <v>0.92023999999999995</v>
      </c>
      <c r="AB140" s="1425">
        <v>45019</v>
      </c>
      <c r="AC140" s="1">
        <v>8.6198999999999995</v>
      </c>
      <c r="AD140" s="1502">
        <v>1.1797</v>
      </c>
      <c r="AE140" s="1">
        <v>6.3716999999999997</v>
      </c>
      <c r="AF140" s="1">
        <v>3.492E-2</v>
      </c>
      <c r="AH140" s="1425">
        <v>45019</v>
      </c>
      <c r="AI140" s="1">
        <v>12.8605</v>
      </c>
      <c r="AJ140" s="1">
        <v>2.1497000000000002</v>
      </c>
      <c r="AK140" s="1">
        <v>6.6441999999999997</v>
      </c>
      <c r="AL140" s="1">
        <v>3.7909999999999999E-2</v>
      </c>
      <c r="AN140" s="1425">
        <v>45028</v>
      </c>
      <c r="AO140" s="1">
        <v>7.8285999999999998</v>
      </c>
      <c r="AP140" s="1">
        <v>1.1468</v>
      </c>
      <c r="AQ140" s="1">
        <v>5.6376999999999997</v>
      </c>
      <c r="AR140" s="1">
        <v>0.30612</v>
      </c>
      <c r="AT140" s="1425">
        <v>45028</v>
      </c>
      <c r="AU140" s="1">
        <v>9.5237999999999996</v>
      </c>
      <c r="AV140" s="1">
        <v>0.83860000000000001</v>
      </c>
      <c r="AW140" s="1">
        <v>6.4924999999999997</v>
      </c>
      <c r="AX140" s="1">
        <v>0.22561999999999999</v>
      </c>
      <c r="BA140" s="1425">
        <v>45026</v>
      </c>
      <c r="BB140" s="1">
        <v>13.136200000000001</v>
      </c>
      <c r="BC140" s="1">
        <v>2.2538</v>
      </c>
      <c r="BD140" s="1">
        <v>11.473699999999999</v>
      </c>
      <c r="BE140" s="1">
        <v>0.67979000000000001</v>
      </c>
      <c r="BG140" s="1425">
        <v>45026</v>
      </c>
      <c r="BH140" s="1">
        <v>16.108899999999998</v>
      </c>
      <c r="BI140" s="1">
        <v>2.7663000000000002</v>
      </c>
      <c r="BJ140" s="1">
        <v>18.7911</v>
      </c>
      <c r="BT140" s="1425">
        <v>45034</v>
      </c>
      <c r="BU140" s="1">
        <v>21.784600000000001</v>
      </c>
      <c r="BV140" s="1">
        <v>2.4420000000000002</v>
      </c>
      <c r="BW140" s="1">
        <v>7.0110999999999999</v>
      </c>
      <c r="BX140" s="1">
        <v>1.7061999999999999</v>
      </c>
      <c r="BZ140" s="1425">
        <v>45034</v>
      </c>
      <c r="CA140" s="1">
        <v>37.403100000000002</v>
      </c>
      <c r="CB140" s="1">
        <v>3.9034</v>
      </c>
      <c r="CC140" s="1">
        <v>18.021899999999999</v>
      </c>
      <c r="CD140" s="1">
        <v>2.41093</v>
      </c>
      <c r="CF140" s="1425">
        <v>45034</v>
      </c>
      <c r="CG140" s="1">
        <v>5.5952999999999999</v>
      </c>
      <c r="CH140" s="1">
        <v>1.0229999999999999</v>
      </c>
      <c r="CL140" s="1425">
        <v>45035</v>
      </c>
      <c r="CM140" s="1">
        <v>23.364599999999999</v>
      </c>
      <c r="CN140" s="1">
        <v>2.6741999999999999</v>
      </c>
      <c r="CO140" s="1">
        <v>11.544700000000001</v>
      </c>
    </row>
    <row r="141" spans="1:93">
      <c r="A141" s="1425">
        <v>45033</v>
      </c>
      <c r="B141" s="20">
        <f t="shared" si="22"/>
        <v>9.6128</v>
      </c>
      <c r="C141" s="20">
        <f t="shared" si="24"/>
        <v>22.2315</v>
      </c>
      <c r="D141" s="20">
        <f t="shared" si="25"/>
        <v>12.3156</v>
      </c>
      <c r="E141" s="20">
        <f t="shared" si="26"/>
        <v>7.8856999999999999</v>
      </c>
      <c r="F141" s="20">
        <f t="shared" si="27"/>
        <v>16.459099999999999</v>
      </c>
      <c r="G141" s="20">
        <f t="shared" si="28"/>
        <v>13.4145</v>
      </c>
      <c r="H141" s="1239">
        <f t="shared" si="29"/>
        <v>13.4145</v>
      </c>
      <c r="I141" s="1243">
        <f t="shared" si="23"/>
        <v>-0.28340228856834027</v>
      </c>
      <c r="J141" s="1243">
        <f t="shared" si="30"/>
        <v>0.12093838824177333</v>
      </c>
      <c r="K141" s="1243">
        <f t="shared" si="31"/>
        <v>0.1</v>
      </c>
      <c r="L141" s="203"/>
      <c r="N141" s="1425">
        <v>45033</v>
      </c>
      <c r="O141" s="1502">
        <v>9.6128</v>
      </c>
      <c r="P141" s="1502">
        <v>2.1524000000000001</v>
      </c>
      <c r="Q141" s="1502">
        <v>10.074</v>
      </c>
      <c r="R141" s="1233">
        <f>'B. PE'!$U$23</f>
        <v>15.978235616082999</v>
      </c>
      <c r="S141" s="1233"/>
      <c r="T141" s="1233"/>
      <c r="V141" s="1425">
        <v>45033</v>
      </c>
      <c r="W141" s="1">
        <v>22.2315</v>
      </c>
      <c r="X141" s="1">
        <v>1.1649</v>
      </c>
      <c r="Y141" s="1">
        <v>5.2385000000000002</v>
      </c>
      <c r="Z141" s="1">
        <v>0.95179000000000002</v>
      </c>
      <c r="AB141" s="1425">
        <v>45016</v>
      </c>
      <c r="AC141" s="1">
        <v>8.6198999999999995</v>
      </c>
      <c r="AD141" s="1502">
        <v>1.1797</v>
      </c>
      <c r="AE141" s="1">
        <v>6.3716999999999997</v>
      </c>
      <c r="AF141" s="1">
        <v>3.422E-2</v>
      </c>
      <c r="AH141" s="1425">
        <v>45016</v>
      </c>
      <c r="AI141" s="1">
        <v>12.6426</v>
      </c>
      <c r="AJ141" s="1">
        <v>2.1133000000000002</v>
      </c>
      <c r="AK141" s="1">
        <v>6.5312999999999999</v>
      </c>
      <c r="AL141" s="1">
        <v>3.7870000000000001E-2</v>
      </c>
      <c r="AN141" s="1425">
        <v>45027</v>
      </c>
      <c r="AO141" s="1">
        <v>7.7713999999999999</v>
      </c>
      <c r="AP141" s="1">
        <v>1.1384000000000001</v>
      </c>
      <c r="AQ141" s="1">
        <v>5.5945999999999998</v>
      </c>
      <c r="AR141" s="1">
        <v>0.30902000000000002</v>
      </c>
      <c r="AT141" s="1425">
        <v>45027</v>
      </c>
      <c r="AU141" s="1">
        <v>9.3370999999999995</v>
      </c>
      <c r="AV141" s="1">
        <v>0.82210000000000005</v>
      </c>
      <c r="AW141" s="1">
        <v>6.3693999999999997</v>
      </c>
      <c r="AX141" s="1">
        <v>0.22608</v>
      </c>
      <c r="BA141" s="1425">
        <v>45023</v>
      </c>
      <c r="BB141" s="1">
        <v>12.857900000000001</v>
      </c>
      <c r="BC141" s="1">
        <v>2.2061000000000002</v>
      </c>
      <c r="BD141" s="1">
        <v>11.298999999999999</v>
      </c>
      <c r="BE141" s="1">
        <v>0.69291999999999998</v>
      </c>
      <c r="BG141" s="1425">
        <v>45023</v>
      </c>
      <c r="BH141" s="1">
        <v>16.342400000000001</v>
      </c>
      <c r="BI141" s="1">
        <v>2.8064</v>
      </c>
      <c r="BJ141" s="1">
        <v>18.979399999999998</v>
      </c>
      <c r="BT141" s="1425">
        <v>45033</v>
      </c>
      <c r="BU141" s="1">
        <v>21.7301</v>
      </c>
      <c r="BV141" s="1">
        <v>2.4359000000000002</v>
      </c>
      <c r="BW141" s="1">
        <v>6.9927999999999999</v>
      </c>
      <c r="BX141" s="1">
        <v>1.7508999999999999</v>
      </c>
      <c r="BZ141" s="1425">
        <v>45033</v>
      </c>
      <c r="CA141" s="1">
        <v>37.119799999999998</v>
      </c>
      <c r="CB141" s="1">
        <v>3.8738999999999999</v>
      </c>
      <c r="CC141" s="1">
        <v>17.931799999999999</v>
      </c>
      <c r="CD141" s="1">
        <v>2.4738799999999999</v>
      </c>
      <c r="CF141" s="1425">
        <v>45033</v>
      </c>
      <c r="CG141" s="1">
        <v>5.5544000000000002</v>
      </c>
      <c r="CH141" s="1">
        <v>1.0156000000000001</v>
      </c>
      <c r="CL141" s="1425">
        <v>45034</v>
      </c>
      <c r="CM141" s="1">
        <v>23.526199999999999</v>
      </c>
      <c r="CN141" s="1">
        <v>2.6926999999999999</v>
      </c>
      <c r="CO141" s="1">
        <v>11.617599999999999</v>
      </c>
    </row>
    <row r="142" spans="1:93">
      <c r="A142" s="1425">
        <v>45030</v>
      </c>
      <c r="B142" s="20">
        <f t="shared" si="22"/>
        <v>9.657</v>
      </c>
      <c r="C142" s="20">
        <f t="shared" si="24"/>
        <v>22.719000000000001</v>
      </c>
      <c r="D142" s="20">
        <f t="shared" si="25"/>
        <v>12.5336</v>
      </c>
      <c r="E142" s="20">
        <f t="shared" si="26"/>
        <v>7.9428999999999998</v>
      </c>
      <c r="F142" s="20">
        <f t="shared" si="27"/>
        <v>16.459099999999999</v>
      </c>
      <c r="G142" s="20">
        <f t="shared" si="28"/>
        <v>13.4145</v>
      </c>
      <c r="H142" s="1239">
        <f t="shared" si="29"/>
        <v>13.4145</v>
      </c>
      <c r="I142" s="1243">
        <f t="shared" si="23"/>
        <v>-0.28010734652801073</v>
      </c>
      <c r="J142" s="1243">
        <f t="shared" si="30"/>
        <v>0.12093838824177333</v>
      </c>
      <c r="K142" s="1243">
        <f t="shared" si="31"/>
        <v>0.1</v>
      </c>
      <c r="L142" s="203"/>
      <c r="N142" s="1425">
        <v>45030</v>
      </c>
      <c r="O142" s="1502">
        <v>9.657</v>
      </c>
      <c r="P142" s="1502">
        <v>2.1623000000000001</v>
      </c>
      <c r="Q142" s="1502">
        <v>10.109400000000001</v>
      </c>
      <c r="R142" s="1233">
        <f>'B. PE'!$U$23</f>
        <v>15.978235616082999</v>
      </c>
      <c r="S142" s="1233"/>
      <c r="T142" s="1233"/>
      <c r="V142" s="1425">
        <v>45030</v>
      </c>
      <c r="W142" s="1">
        <v>22.719000000000001</v>
      </c>
      <c r="X142" s="1">
        <v>1.1903999999999999</v>
      </c>
      <c r="Y142" s="1">
        <v>5.3354999999999997</v>
      </c>
      <c r="Z142" s="1">
        <v>0.94377</v>
      </c>
      <c r="AB142" s="1425">
        <v>45015</v>
      </c>
      <c r="AC142" s="1">
        <v>8.1616</v>
      </c>
      <c r="AD142" s="1502">
        <v>1.2290000000000001</v>
      </c>
      <c r="AE142" s="1">
        <v>5.2389000000000001</v>
      </c>
      <c r="AF142" s="1">
        <v>3.422E-2</v>
      </c>
      <c r="AH142" s="1425">
        <v>45015</v>
      </c>
      <c r="AI142" s="1">
        <v>12.0549</v>
      </c>
      <c r="AJ142" s="1">
        <v>2.1711999999999998</v>
      </c>
      <c r="AK142" s="1">
        <v>5.9288999999999996</v>
      </c>
      <c r="AL142" s="1">
        <v>3.8539999999999998E-2</v>
      </c>
      <c r="AN142" s="1425">
        <v>45026</v>
      </c>
      <c r="AO142" s="1">
        <v>7.7142999999999997</v>
      </c>
      <c r="AP142" s="1">
        <v>1.1299999999999999</v>
      </c>
      <c r="AQ142" s="1">
        <v>5.5514999999999999</v>
      </c>
      <c r="AR142" s="1">
        <v>0.31151000000000001</v>
      </c>
      <c r="AT142" s="1425">
        <v>45026</v>
      </c>
      <c r="AU142" s="1">
        <v>9.2904</v>
      </c>
      <c r="AV142" s="1">
        <v>0.81799999999999995</v>
      </c>
      <c r="AW142" s="1">
        <v>6.3385999999999996</v>
      </c>
      <c r="AX142" s="1">
        <v>0.23419999999999999</v>
      </c>
      <c r="BA142" s="1425">
        <v>45021</v>
      </c>
      <c r="BB142" s="1">
        <v>12.857900000000001</v>
      </c>
      <c r="BC142" s="1">
        <v>2.2061000000000002</v>
      </c>
      <c r="BD142" s="1">
        <v>11.298999999999999</v>
      </c>
      <c r="BE142" s="1">
        <v>0.70198000000000005</v>
      </c>
      <c r="BG142" s="1425">
        <v>45021</v>
      </c>
      <c r="BH142" s="1">
        <v>16.459099999999999</v>
      </c>
      <c r="BI142" s="1">
        <v>2.8264</v>
      </c>
      <c r="BJ142" s="1">
        <v>19.073499999999999</v>
      </c>
      <c r="BT142" s="1425">
        <v>45030</v>
      </c>
      <c r="BU142" s="1">
        <v>21.811900000000001</v>
      </c>
      <c r="BV142" s="1">
        <v>2.4449999999999998</v>
      </c>
      <c r="BW142" s="1">
        <v>7.0202999999999998</v>
      </c>
      <c r="BX142" s="1">
        <v>1.7379</v>
      </c>
      <c r="BZ142" s="1425">
        <v>45030</v>
      </c>
      <c r="CA142" s="1">
        <v>36.836399999999998</v>
      </c>
      <c r="CB142" s="1">
        <v>3.8443000000000001</v>
      </c>
      <c r="CC142" s="1">
        <v>17.841699999999999</v>
      </c>
      <c r="CD142" s="1">
        <v>2.4105099999999999</v>
      </c>
      <c r="CF142" s="1425">
        <v>45030</v>
      </c>
      <c r="CG142" s="1">
        <v>5.5136000000000003</v>
      </c>
      <c r="CH142" s="1">
        <v>1.0081</v>
      </c>
      <c r="CL142" s="1425">
        <v>45033</v>
      </c>
      <c r="CM142" s="1">
        <v>23.510100000000001</v>
      </c>
      <c r="CN142" s="1">
        <v>2.6909000000000001</v>
      </c>
      <c r="CO142" s="1">
        <v>11.610300000000001</v>
      </c>
    </row>
    <row r="143" spans="1:93">
      <c r="A143" s="1425">
        <v>45029</v>
      </c>
      <c r="B143" s="20">
        <f t="shared" si="22"/>
        <v>10.025</v>
      </c>
      <c r="C143" s="20">
        <f t="shared" si="24"/>
        <v>23.498999999999999</v>
      </c>
      <c r="D143" s="20">
        <f t="shared" si="25"/>
        <v>12.3156</v>
      </c>
      <c r="E143" s="20">
        <f t="shared" si="26"/>
        <v>7.9428999999999998</v>
      </c>
      <c r="F143" s="20">
        <f t="shared" si="27"/>
        <v>16.459099999999999</v>
      </c>
      <c r="G143" s="20">
        <f t="shared" si="28"/>
        <v>13.4145</v>
      </c>
      <c r="H143" s="1239">
        <f t="shared" si="29"/>
        <v>13.4145</v>
      </c>
      <c r="I143" s="1243">
        <f t="shared" si="23"/>
        <v>-0.25267434492526741</v>
      </c>
      <c r="J143" s="1243">
        <f t="shared" si="30"/>
        <v>0.12093838824177333</v>
      </c>
      <c r="K143" s="1243">
        <f t="shared" si="31"/>
        <v>0.1</v>
      </c>
      <c r="L143" s="203"/>
      <c r="N143" s="1425">
        <v>45029</v>
      </c>
      <c r="O143" s="1502">
        <v>10.025</v>
      </c>
      <c r="P143" s="1502">
        <v>2.2446999999999999</v>
      </c>
      <c r="Q143" s="1502">
        <v>10.404400000000001</v>
      </c>
      <c r="R143" s="1233">
        <f>'B. PE'!$U$23</f>
        <v>15.978235616082999</v>
      </c>
      <c r="S143" s="1233"/>
      <c r="T143" s="1233"/>
      <c r="V143" s="1425">
        <v>45029</v>
      </c>
      <c r="W143" s="1">
        <v>23.498999999999999</v>
      </c>
      <c r="X143" s="1">
        <v>1.2313000000000001</v>
      </c>
      <c r="Y143" s="1">
        <v>5.4907000000000004</v>
      </c>
      <c r="Z143" s="1">
        <v>0.95553999999999994</v>
      </c>
      <c r="AB143" s="1425">
        <v>45014</v>
      </c>
      <c r="AC143" s="1">
        <v>8.0061</v>
      </c>
      <c r="AD143" s="1502">
        <v>1.2056</v>
      </c>
      <c r="AE143" s="1">
        <v>5.1726999999999999</v>
      </c>
      <c r="AF143" s="1">
        <v>3.4410000000000003E-2</v>
      </c>
      <c r="AH143" s="1425">
        <v>45014</v>
      </c>
      <c r="AI143" s="1">
        <v>12.0549</v>
      </c>
      <c r="AJ143" s="1">
        <v>2.1711999999999998</v>
      </c>
      <c r="AK143" s="1">
        <v>5.9288999999999996</v>
      </c>
      <c r="AL143" s="1">
        <v>3.805E-2</v>
      </c>
      <c r="AN143" s="1425">
        <v>45023</v>
      </c>
      <c r="AO143" s="1">
        <v>7.7713999999999999</v>
      </c>
      <c r="AP143" s="1">
        <v>1.1384000000000001</v>
      </c>
      <c r="AQ143" s="1">
        <v>5.5945999999999998</v>
      </c>
      <c r="AR143" s="1">
        <v>0.31151000000000001</v>
      </c>
      <c r="AT143" s="1425">
        <v>45023</v>
      </c>
      <c r="AU143" s="1">
        <v>9.2904</v>
      </c>
      <c r="AV143" s="1">
        <v>0.81799999999999995</v>
      </c>
      <c r="AW143" s="1">
        <v>6.3385999999999996</v>
      </c>
      <c r="AX143" s="1">
        <v>0.22624</v>
      </c>
      <c r="BA143" s="1425">
        <v>45020</v>
      </c>
      <c r="BB143" s="1">
        <v>13.136200000000001</v>
      </c>
      <c r="BC143" s="1">
        <v>2.2538</v>
      </c>
      <c r="BD143" s="1">
        <v>11.473699999999999</v>
      </c>
      <c r="BE143" s="1">
        <v>0.68886999999999998</v>
      </c>
      <c r="BG143" s="1425">
        <v>45020</v>
      </c>
      <c r="BH143" s="1">
        <v>16.692599999999999</v>
      </c>
      <c r="BI143" s="1">
        <v>2.8664999999999998</v>
      </c>
      <c r="BJ143" s="1">
        <v>19.261800000000001</v>
      </c>
      <c r="BT143" s="1425">
        <v>45029</v>
      </c>
      <c r="BU143" s="1">
        <v>22.384499999999999</v>
      </c>
      <c r="BV143" s="1">
        <v>2.5091999999999999</v>
      </c>
      <c r="BW143" s="1">
        <v>7.2130999999999998</v>
      </c>
      <c r="BX143" s="1">
        <v>1.7356</v>
      </c>
      <c r="BZ143" s="1425">
        <v>45029</v>
      </c>
      <c r="CA143" s="1">
        <v>37.799799999999998</v>
      </c>
      <c r="CB143" s="1">
        <v>3.9447999999999999</v>
      </c>
      <c r="CC143" s="1">
        <v>18.148099999999999</v>
      </c>
      <c r="CD143" s="1">
        <v>2.4288500000000002</v>
      </c>
      <c r="CF143" s="1425">
        <v>45029</v>
      </c>
      <c r="CG143" s="1">
        <v>5.5952999999999999</v>
      </c>
      <c r="CH143" s="1">
        <v>1.0229999999999999</v>
      </c>
      <c r="CL143" s="1425">
        <v>45030</v>
      </c>
      <c r="CM143" s="1">
        <v>23.219200000000001</v>
      </c>
      <c r="CN143" s="1">
        <v>2.6576</v>
      </c>
      <c r="CO143" s="1">
        <v>11.478999999999999</v>
      </c>
    </row>
    <row r="144" spans="1:93">
      <c r="A144" s="1425">
        <v>45028</v>
      </c>
      <c r="B144" s="20">
        <f t="shared" si="22"/>
        <v>9.9513999999999996</v>
      </c>
      <c r="C144" s="20">
        <f t="shared" si="24"/>
        <v>23.303999999999998</v>
      </c>
      <c r="D144" s="20">
        <f t="shared" si="25"/>
        <v>12.5336</v>
      </c>
      <c r="E144" s="20">
        <f t="shared" si="26"/>
        <v>7.8285999999999998</v>
      </c>
      <c r="F144" s="20">
        <f t="shared" si="27"/>
        <v>15.9922</v>
      </c>
      <c r="G144" s="20">
        <f t="shared" si="28"/>
        <v>13.024900000000001</v>
      </c>
      <c r="H144" s="1239">
        <f t="shared" si="29"/>
        <v>13.024900000000001</v>
      </c>
      <c r="I144" s="1243">
        <f t="shared" si="23"/>
        <v>-0.23597110150557787</v>
      </c>
      <c r="J144" s="1243">
        <f t="shared" si="30"/>
        <v>0.12093838824177333</v>
      </c>
      <c r="K144" s="1243">
        <f t="shared" si="31"/>
        <v>0.1</v>
      </c>
      <c r="L144" s="203"/>
      <c r="N144" s="1425">
        <v>45028</v>
      </c>
      <c r="O144" s="1502">
        <v>9.9513999999999996</v>
      </c>
      <c r="P144" s="1502">
        <v>2.2282000000000002</v>
      </c>
      <c r="Q144" s="1502">
        <v>10.3454</v>
      </c>
      <c r="R144" s="1233">
        <f>'B. PE'!$U$23</f>
        <v>15.978235616082999</v>
      </c>
      <c r="S144" s="1233"/>
      <c r="T144" s="1233"/>
      <c r="V144" s="1425">
        <v>45028</v>
      </c>
      <c r="W144" s="1">
        <v>23.303999999999998</v>
      </c>
      <c r="X144" s="1">
        <v>1.2210000000000001</v>
      </c>
      <c r="Y144" s="1">
        <v>5.4519000000000002</v>
      </c>
      <c r="Z144" s="1">
        <v>0.92789999999999995</v>
      </c>
      <c r="AB144" s="1425">
        <v>45013</v>
      </c>
      <c r="AC144" s="1">
        <v>8.0061</v>
      </c>
      <c r="AD144" s="1502">
        <v>1.2056</v>
      </c>
      <c r="AE144" s="1">
        <v>5.1726999999999999</v>
      </c>
      <c r="AF144" s="1">
        <v>3.4259999999999999E-2</v>
      </c>
      <c r="AH144" s="1425">
        <v>45013</v>
      </c>
      <c r="AI144" s="1">
        <v>12.266400000000001</v>
      </c>
      <c r="AJ144" s="1">
        <v>2.2092999999999998</v>
      </c>
      <c r="AK144" s="1">
        <v>6.0358000000000001</v>
      </c>
      <c r="AL144" s="1">
        <v>3.6560000000000002E-2</v>
      </c>
      <c r="AN144" s="1425">
        <v>45022</v>
      </c>
      <c r="AO144" s="1">
        <v>7.8285999999999998</v>
      </c>
      <c r="AP144" s="1">
        <v>1.1468</v>
      </c>
      <c r="AQ144" s="1">
        <v>5.6376999999999997</v>
      </c>
      <c r="AR144" s="1">
        <v>0.30880999999999997</v>
      </c>
      <c r="AT144" s="1425">
        <v>45022</v>
      </c>
      <c r="AU144" s="1">
        <v>9.6172000000000004</v>
      </c>
      <c r="AV144" s="1">
        <v>0.8468</v>
      </c>
      <c r="AW144" s="1">
        <v>6.5540000000000003</v>
      </c>
      <c r="AX144" s="1">
        <v>0.22933999999999999</v>
      </c>
      <c r="BA144" s="1425">
        <v>45019</v>
      </c>
      <c r="BB144" s="1">
        <v>13.3588</v>
      </c>
      <c r="BC144" s="1">
        <v>2.2919999999999998</v>
      </c>
      <c r="BD144" s="1">
        <v>11.613300000000001</v>
      </c>
      <c r="BE144" s="1">
        <v>0.68584999999999996</v>
      </c>
      <c r="BG144" s="1425">
        <v>45019</v>
      </c>
      <c r="BH144" s="1">
        <v>16.926100000000002</v>
      </c>
      <c r="BI144" s="1">
        <v>2.9066000000000001</v>
      </c>
      <c r="BJ144" s="1">
        <v>19.45</v>
      </c>
      <c r="BT144" s="1425">
        <v>45028</v>
      </c>
      <c r="BU144" s="1">
        <v>22.2209</v>
      </c>
      <c r="BV144" s="1">
        <v>2.4908999999999999</v>
      </c>
      <c r="BW144" s="1">
        <v>7.1580000000000004</v>
      </c>
      <c r="BX144" s="1">
        <v>1.7484</v>
      </c>
      <c r="BZ144" s="1425">
        <v>45028</v>
      </c>
      <c r="CA144" s="1">
        <v>36.836399999999998</v>
      </c>
      <c r="CB144" s="1">
        <v>3.8443000000000001</v>
      </c>
      <c r="CC144" s="1">
        <v>17.841699999999999</v>
      </c>
      <c r="CD144" s="1">
        <v>2.44739</v>
      </c>
      <c r="CF144" s="1425">
        <v>45028</v>
      </c>
      <c r="CG144" s="1">
        <v>5.5952999999999999</v>
      </c>
      <c r="CH144" s="1">
        <v>1.0229999999999999</v>
      </c>
      <c r="CL144" s="1425">
        <v>45029</v>
      </c>
      <c r="CM144" s="1">
        <v>22.992999999999999</v>
      </c>
      <c r="CN144" s="1">
        <v>2.6316999999999999</v>
      </c>
      <c r="CO144" s="1">
        <v>11.376899999999999</v>
      </c>
    </row>
    <row r="145" spans="1:93">
      <c r="A145" s="1425">
        <v>45027</v>
      </c>
      <c r="B145" s="20">
        <f t="shared" si="22"/>
        <v>10.0692</v>
      </c>
      <c r="C145" s="20">
        <f t="shared" si="24"/>
        <v>23.596499999999999</v>
      </c>
      <c r="D145" s="20">
        <f t="shared" si="25"/>
        <v>12.7516</v>
      </c>
      <c r="E145" s="20">
        <f t="shared" si="26"/>
        <v>7.7713999999999999</v>
      </c>
      <c r="F145" s="20">
        <f t="shared" si="27"/>
        <v>16.2257</v>
      </c>
      <c r="G145" s="20">
        <f t="shared" si="28"/>
        <v>13.080500000000001</v>
      </c>
      <c r="H145" s="1239">
        <f t="shared" si="29"/>
        <v>13.080500000000001</v>
      </c>
      <c r="I145" s="1243">
        <f t="shared" si="23"/>
        <v>-0.23021291235044528</v>
      </c>
      <c r="J145" s="1243">
        <f t="shared" si="30"/>
        <v>0.12093838824177333</v>
      </c>
      <c r="K145" s="1243">
        <f t="shared" si="31"/>
        <v>0.1</v>
      </c>
      <c r="L145" s="203"/>
      <c r="N145" s="1425">
        <v>45027</v>
      </c>
      <c r="O145" s="1502">
        <v>10.0692</v>
      </c>
      <c r="P145" s="1502">
        <v>2.2545999999999999</v>
      </c>
      <c r="Q145" s="1502">
        <v>10.4397</v>
      </c>
      <c r="R145" s="1233">
        <f>'B. PE'!$U$23</f>
        <v>15.978235616082999</v>
      </c>
      <c r="S145" s="1233"/>
      <c r="T145" s="1233"/>
      <c r="V145" s="1425">
        <v>45027</v>
      </c>
      <c r="W145" s="1">
        <v>23.596499999999999</v>
      </c>
      <c r="X145" s="1">
        <v>1.2363999999999999</v>
      </c>
      <c r="Y145" s="1">
        <v>5.5101000000000004</v>
      </c>
      <c r="Z145" s="1">
        <v>0.86863999999999997</v>
      </c>
      <c r="AB145" s="1425">
        <v>45012</v>
      </c>
      <c r="AC145" s="1">
        <v>8.0838999999999999</v>
      </c>
      <c r="AD145" s="1502">
        <v>1.2173</v>
      </c>
      <c r="AE145" s="1">
        <v>5.2058</v>
      </c>
      <c r="AF145" s="1">
        <v>3.3009999999999998E-2</v>
      </c>
      <c r="AH145" s="1425">
        <v>45012</v>
      </c>
      <c r="AI145" s="1">
        <v>12.160600000000001</v>
      </c>
      <c r="AJ145" s="1">
        <v>2.1901999999999999</v>
      </c>
      <c r="AK145" s="1">
        <v>5.9824000000000002</v>
      </c>
      <c r="AL145" s="1">
        <v>3.6609999999999997E-2</v>
      </c>
      <c r="AN145" s="1425">
        <v>45021</v>
      </c>
      <c r="AO145" s="1">
        <v>7.8285999999999998</v>
      </c>
      <c r="AP145" s="1">
        <v>1.1468</v>
      </c>
      <c r="AQ145" s="1">
        <v>5.6376999999999997</v>
      </c>
      <c r="AR145" s="1">
        <v>0.31070999999999999</v>
      </c>
      <c r="AT145" s="1425">
        <v>45021</v>
      </c>
      <c r="AU145" s="1">
        <v>9.2904</v>
      </c>
      <c r="AV145" s="1">
        <v>0.81799999999999995</v>
      </c>
      <c r="AW145" s="1">
        <v>6.3384</v>
      </c>
      <c r="AX145" s="1">
        <v>0.23133000000000001</v>
      </c>
      <c r="BA145" s="1425">
        <v>45016</v>
      </c>
      <c r="BB145" s="1">
        <v>13.080500000000001</v>
      </c>
      <c r="BC145" s="1">
        <v>2.2443</v>
      </c>
      <c r="BD145" s="1">
        <v>11.438700000000001</v>
      </c>
      <c r="BE145" s="1">
        <v>0.70147000000000004</v>
      </c>
      <c r="BG145" s="1425">
        <v>45016</v>
      </c>
      <c r="BH145" s="1">
        <v>17.0428</v>
      </c>
      <c r="BI145" s="1">
        <v>2.9266000000000001</v>
      </c>
      <c r="BJ145" s="1">
        <v>19.5441</v>
      </c>
      <c r="BT145" s="1425">
        <v>45027</v>
      </c>
      <c r="BU145" s="1">
        <v>22.1936</v>
      </c>
      <c r="BV145" s="1">
        <v>2.4878</v>
      </c>
      <c r="BW145" s="1">
        <v>7.1487999999999996</v>
      </c>
      <c r="BX145" s="1">
        <v>1.663</v>
      </c>
      <c r="BZ145" s="1425">
        <v>45027</v>
      </c>
      <c r="CA145" s="1">
        <v>37.119799999999998</v>
      </c>
      <c r="CB145" s="1">
        <v>3.8738999999999999</v>
      </c>
      <c r="CC145" s="1">
        <v>17.931799999999999</v>
      </c>
      <c r="CD145" s="1">
        <v>2.3508800000000001</v>
      </c>
      <c r="CF145" s="1425">
        <v>45027</v>
      </c>
      <c r="CG145" s="1">
        <v>5.7178000000000004</v>
      </c>
      <c r="CH145" s="1">
        <v>1.0455000000000001</v>
      </c>
      <c r="CL145" s="1425">
        <v>45028</v>
      </c>
      <c r="CM145" s="1">
        <v>23.122299999999999</v>
      </c>
      <c r="CN145" s="1">
        <v>2.6465000000000001</v>
      </c>
      <c r="CO145" s="1">
        <v>11.4352</v>
      </c>
    </row>
    <row r="146" spans="1:93">
      <c r="A146" s="1425">
        <v>45026</v>
      </c>
      <c r="B146" s="20">
        <f t="shared" si="22"/>
        <v>9.8483999999999998</v>
      </c>
      <c r="C146" s="20">
        <f t="shared" si="24"/>
        <v>22.914000000000001</v>
      </c>
      <c r="D146" s="20">
        <f t="shared" si="25"/>
        <v>12.6426</v>
      </c>
      <c r="E146" s="20">
        <f t="shared" si="26"/>
        <v>7.7142999999999997</v>
      </c>
      <c r="F146" s="20">
        <f t="shared" si="27"/>
        <v>16.108899999999998</v>
      </c>
      <c r="G146" s="20">
        <f t="shared" si="28"/>
        <v>13.136200000000001</v>
      </c>
      <c r="H146" s="1239">
        <f t="shared" si="29"/>
        <v>13.136200000000001</v>
      </c>
      <c r="I146" s="1243">
        <f t="shared" si="23"/>
        <v>-0.25028547068406393</v>
      </c>
      <c r="J146" s="1243">
        <f t="shared" si="30"/>
        <v>0.12093838824177333</v>
      </c>
      <c r="K146" s="1243">
        <f t="shared" si="31"/>
        <v>0.1</v>
      </c>
      <c r="L146" s="203"/>
      <c r="N146" s="1425">
        <v>45026</v>
      </c>
      <c r="O146" s="1502">
        <v>9.8483999999999998</v>
      </c>
      <c r="P146" s="1502">
        <v>2.2050999999999998</v>
      </c>
      <c r="Q146" s="1502">
        <v>10.2628</v>
      </c>
      <c r="R146" s="1233">
        <f>'B. PE'!$U$23</f>
        <v>15.978235616082999</v>
      </c>
      <c r="S146" s="1233"/>
      <c r="T146" s="1233"/>
      <c r="V146" s="1425">
        <v>45026</v>
      </c>
      <c r="W146" s="1">
        <v>22.914000000000001</v>
      </c>
      <c r="X146" s="1">
        <v>1.2005999999999999</v>
      </c>
      <c r="Y146" s="1">
        <v>5.3742999999999999</v>
      </c>
      <c r="Z146" s="1">
        <v>0.84870999999999996</v>
      </c>
      <c r="AB146" s="1425">
        <v>45009</v>
      </c>
      <c r="AC146" s="1">
        <v>8.0838999999999999</v>
      </c>
      <c r="AD146" s="1502">
        <v>1.2173</v>
      </c>
      <c r="AE146" s="1">
        <v>5.2058</v>
      </c>
      <c r="AF146" s="1">
        <v>3.1780000000000003E-2</v>
      </c>
      <c r="AH146" s="1425">
        <v>45009</v>
      </c>
      <c r="AI146" s="1">
        <v>11.7377</v>
      </c>
      <c r="AJ146" s="1">
        <v>2.1141000000000001</v>
      </c>
      <c r="AK146" s="1">
        <v>5.7685000000000004</v>
      </c>
      <c r="AL146" s="1">
        <v>3.6470000000000002E-2</v>
      </c>
      <c r="AN146" s="1425">
        <v>45020</v>
      </c>
      <c r="AO146" s="1">
        <v>7.7713999999999999</v>
      </c>
      <c r="AP146" s="1">
        <v>1.1384000000000001</v>
      </c>
      <c r="AQ146" s="1">
        <v>5.5945999999999998</v>
      </c>
      <c r="AR146" s="1">
        <v>0.31047999999999998</v>
      </c>
      <c r="AT146" s="1425">
        <v>45020</v>
      </c>
      <c r="AU146" s="1">
        <v>9.4304000000000006</v>
      </c>
      <c r="AV146" s="1">
        <v>0.83030000000000004</v>
      </c>
      <c r="AW146" s="1">
        <v>6.4307999999999996</v>
      </c>
      <c r="AX146" s="1">
        <v>0.22436</v>
      </c>
      <c r="BA146" s="1425">
        <v>45015</v>
      </c>
      <c r="BB146" s="1">
        <v>11.898899999999999</v>
      </c>
      <c r="BC146" s="1">
        <v>2.3199999999999998</v>
      </c>
      <c r="BD146" s="1">
        <v>11.240399999999999</v>
      </c>
      <c r="BE146" s="1">
        <v>0.70372999999999997</v>
      </c>
      <c r="BG146" s="1425">
        <v>45015</v>
      </c>
      <c r="BH146" s="1">
        <v>15.2613</v>
      </c>
      <c r="BI146" s="1">
        <v>3.0186000000000002</v>
      </c>
      <c r="BJ146" s="1">
        <v>18.043199999999999</v>
      </c>
      <c r="BT146" s="1425">
        <v>45026</v>
      </c>
      <c r="BU146" s="1">
        <v>22.357199999999999</v>
      </c>
      <c r="BV146" s="1">
        <v>2.5062000000000002</v>
      </c>
      <c r="BW146" s="1">
        <v>7.2039</v>
      </c>
      <c r="BX146" s="1">
        <v>1.667</v>
      </c>
      <c r="BZ146" s="1425">
        <v>45026</v>
      </c>
      <c r="CA146" s="1">
        <v>37.403100000000002</v>
      </c>
      <c r="CB146" s="1">
        <v>3.9034</v>
      </c>
      <c r="CC146" s="1">
        <v>18.021899999999999</v>
      </c>
      <c r="CD146" s="1">
        <v>2.37262</v>
      </c>
      <c r="CF146" s="1425">
        <v>45026</v>
      </c>
      <c r="CG146" s="1">
        <v>5.7586000000000004</v>
      </c>
      <c r="CH146" s="1">
        <v>1.0528999999999999</v>
      </c>
      <c r="CL146" s="1425">
        <v>45027</v>
      </c>
      <c r="CM146" s="1">
        <v>23.154599999999999</v>
      </c>
      <c r="CN146" s="1">
        <v>2.6501999999999999</v>
      </c>
      <c r="CO146" s="1">
        <v>11.4498</v>
      </c>
    </row>
    <row r="147" spans="1:93">
      <c r="A147" s="1425">
        <v>45023</v>
      </c>
      <c r="B147" s="20">
        <f t="shared" si="22"/>
        <v>9.2154000000000007</v>
      </c>
      <c r="C147" s="20">
        <f t="shared" si="24"/>
        <v>21.4514</v>
      </c>
      <c r="D147" s="20">
        <f t="shared" si="25"/>
        <v>12.6426</v>
      </c>
      <c r="E147" s="20">
        <f t="shared" si="26"/>
        <v>7.7713999999999999</v>
      </c>
      <c r="F147" s="20">
        <f t="shared" si="27"/>
        <v>16.342400000000001</v>
      </c>
      <c r="G147" s="20">
        <f t="shared" si="28"/>
        <v>12.857900000000001</v>
      </c>
      <c r="H147" s="1239">
        <f t="shared" si="29"/>
        <v>12.857900000000001</v>
      </c>
      <c r="I147" s="1243">
        <f t="shared" si="23"/>
        <v>-0.28328887298859062</v>
      </c>
      <c r="J147" s="1243">
        <f t="shared" si="30"/>
        <v>0.12093838824177333</v>
      </c>
      <c r="K147" s="1243">
        <f t="shared" si="31"/>
        <v>0.1</v>
      </c>
      <c r="L147" s="203"/>
      <c r="N147" s="1425">
        <v>45023</v>
      </c>
      <c r="O147" s="1502">
        <v>9.2154000000000007</v>
      </c>
      <c r="P147" s="1502">
        <v>2.0634000000000001</v>
      </c>
      <c r="Q147" s="1502">
        <v>9.7554999999999996</v>
      </c>
      <c r="R147" s="1233">
        <f>'B. PE'!$U$23</f>
        <v>15.978235616082999</v>
      </c>
      <c r="S147" s="1233"/>
      <c r="T147" s="1233"/>
      <c r="V147" s="1425">
        <v>45023</v>
      </c>
      <c r="W147" s="1">
        <v>21.4514</v>
      </c>
      <c r="X147" s="1">
        <v>1.1240000000000001</v>
      </c>
      <c r="Y147" s="1">
        <v>5.0833000000000004</v>
      </c>
      <c r="Z147" s="1">
        <v>0.88761999999999996</v>
      </c>
      <c r="AB147" s="1425">
        <v>45006</v>
      </c>
      <c r="AC147" s="1">
        <v>7.8506999999999998</v>
      </c>
      <c r="AD147" s="1502">
        <v>1.1821999999999999</v>
      </c>
      <c r="AE147" s="1">
        <v>5.1064999999999996</v>
      </c>
      <c r="AF147" s="1">
        <v>3.2140000000000002E-2</v>
      </c>
      <c r="AH147" s="1425">
        <v>45006</v>
      </c>
      <c r="AI147" s="1">
        <v>11.843400000000001</v>
      </c>
      <c r="AJ147" s="1">
        <v>2.1331000000000002</v>
      </c>
      <c r="AK147" s="1">
        <v>5.8220000000000001</v>
      </c>
      <c r="AL147" s="1">
        <v>3.7409999999999999E-2</v>
      </c>
      <c r="AN147" s="1425">
        <v>45019</v>
      </c>
      <c r="AO147" s="1">
        <v>7.8285999999999998</v>
      </c>
      <c r="AP147" s="1">
        <v>1.1468</v>
      </c>
      <c r="AQ147" s="1">
        <v>5.6376999999999997</v>
      </c>
      <c r="AR147" s="1">
        <v>0.30980999999999997</v>
      </c>
      <c r="AT147" s="1425">
        <v>45019</v>
      </c>
      <c r="AU147" s="1">
        <v>9.5237999999999996</v>
      </c>
      <c r="AV147" s="1">
        <v>0.83860000000000001</v>
      </c>
      <c r="AW147" s="1">
        <v>6.4923999999999999</v>
      </c>
      <c r="AX147" s="1">
        <v>0.21936</v>
      </c>
      <c r="BA147" s="1425">
        <v>45014</v>
      </c>
      <c r="BB147" s="1">
        <v>12.204000000000001</v>
      </c>
      <c r="BC147" s="1">
        <v>2.3795000000000002</v>
      </c>
      <c r="BD147" s="1">
        <v>11.438599999999999</v>
      </c>
      <c r="BE147" s="1">
        <v>0.68278000000000005</v>
      </c>
      <c r="BG147" s="1425">
        <v>45014</v>
      </c>
      <c r="BH147" s="1">
        <v>15.784000000000001</v>
      </c>
      <c r="BI147" s="1">
        <v>3.1219999999999999</v>
      </c>
      <c r="BJ147" s="1">
        <v>18.476600000000001</v>
      </c>
      <c r="BT147" s="1425">
        <v>45023</v>
      </c>
      <c r="BU147" s="1">
        <v>21.2666</v>
      </c>
      <c r="BV147" s="1">
        <v>2.3839000000000001</v>
      </c>
      <c r="BW147" s="1">
        <v>6.8367000000000004</v>
      </c>
      <c r="BX147" s="1">
        <v>1.6936</v>
      </c>
      <c r="BZ147" s="1425">
        <v>45023</v>
      </c>
      <c r="CA147" s="1">
        <v>35.929699999999997</v>
      </c>
      <c r="CB147" s="1">
        <v>3.7496999999999998</v>
      </c>
      <c r="CC147" s="1">
        <v>17.5532</v>
      </c>
      <c r="CD147" s="1">
        <v>2.3933300000000002</v>
      </c>
      <c r="CF147" s="1425">
        <v>45023</v>
      </c>
      <c r="CG147" s="1">
        <v>5.5136000000000003</v>
      </c>
      <c r="CH147" s="1">
        <v>1.0081</v>
      </c>
      <c r="CL147" s="1425">
        <v>45022</v>
      </c>
      <c r="CM147" s="1">
        <v>23.219200000000001</v>
      </c>
      <c r="CN147" s="1">
        <v>2.6576</v>
      </c>
      <c r="CO147" s="1">
        <v>11.478999999999999</v>
      </c>
    </row>
    <row r="148" spans="1:93">
      <c r="A148" s="1425">
        <v>45022</v>
      </c>
      <c r="B148" s="20">
        <f t="shared" si="22"/>
        <v>9.3036999999999992</v>
      </c>
      <c r="C148" s="20">
        <f t="shared" si="24"/>
        <v>20.963899999999999</v>
      </c>
      <c r="D148" s="20">
        <f t="shared" si="25"/>
        <v>12.9695</v>
      </c>
      <c r="E148" s="20">
        <f t="shared" si="26"/>
        <v>7.8285999999999998</v>
      </c>
      <c r="F148" s="20">
        <f t="shared" si="27"/>
        <v>16.342400000000001</v>
      </c>
      <c r="G148" s="20">
        <f t="shared" si="28"/>
        <v>12.857900000000001</v>
      </c>
      <c r="H148" s="1239">
        <f t="shared" si="29"/>
        <v>12.9695</v>
      </c>
      <c r="I148" s="1243">
        <f t="shared" si="23"/>
        <v>-0.2826477504915379</v>
      </c>
      <c r="J148" s="1243">
        <f t="shared" si="30"/>
        <v>0.12093838824177333</v>
      </c>
      <c r="K148" s="1243">
        <f t="shared" si="31"/>
        <v>0.1</v>
      </c>
      <c r="L148" s="203"/>
      <c r="N148" s="1425">
        <v>45022</v>
      </c>
      <c r="O148" s="1502">
        <v>9.3036999999999992</v>
      </c>
      <c r="P148" s="1502">
        <v>2.0832000000000002</v>
      </c>
      <c r="Q148" s="1502">
        <v>9.8262999999999998</v>
      </c>
      <c r="R148" s="1233">
        <f>'B. PE'!$U$23</f>
        <v>15.978235616082999</v>
      </c>
      <c r="S148" s="1233"/>
      <c r="T148" s="1233"/>
      <c r="V148" s="1425">
        <v>45022</v>
      </c>
      <c r="W148" s="1">
        <v>20.963899999999999</v>
      </c>
      <c r="X148" s="1">
        <v>1.0984</v>
      </c>
      <c r="Y148" s="1">
        <v>4.9863</v>
      </c>
      <c r="Z148" s="1">
        <v>0.87187999999999999</v>
      </c>
      <c r="AB148" s="1425">
        <v>45005</v>
      </c>
      <c r="AC148" s="1">
        <v>7.5864000000000003</v>
      </c>
      <c r="AD148" s="1502">
        <v>1.1424000000000001</v>
      </c>
      <c r="AE148" s="1">
        <v>4.9939</v>
      </c>
      <c r="AF148" s="1">
        <v>0.03</v>
      </c>
      <c r="AH148" s="1425">
        <v>45005</v>
      </c>
      <c r="AI148" s="1">
        <v>11.843400000000001</v>
      </c>
      <c r="AJ148" s="1">
        <v>2.1331000000000002</v>
      </c>
      <c r="AK148" s="1">
        <v>5.8220000000000001</v>
      </c>
      <c r="AL148" s="1">
        <v>3.6040000000000003E-2</v>
      </c>
      <c r="AN148" s="1425">
        <v>45016</v>
      </c>
      <c r="AO148" s="1">
        <v>7.8285999999999998</v>
      </c>
      <c r="AP148" s="1">
        <v>1.1468</v>
      </c>
      <c r="AQ148" s="1">
        <v>5.6376999999999997</v>
      </c>
      <c r="AR148" s="1">
        <v>0.30549999999999999</v>
      </c>
      <c r="AT148" s="1425">
        <v>45016</v>
      </c>
      <c r="AU148" s="1">
        <v>9.2437000000000005</v>
      </c>
      <c r="AV148" s="1">
        <v>0.81389999999999996</v>
      </c>
      <c r="AW148" s="1">
        <v>6.3075999999999999</v>
      </c>
      <c r="AX148" s="1">
        <v>0.21951000000000001</v>
      </c>
      <c r="BA148" s="1425">
        <v>45013</v>
      </c>
      <c r="BB148" s="1">
        <v>12.254899999999999</v>
      </c>
      <c r="BC148" s="1">
        <v>2.3894000000000002</v>
      </c>
      <c r="BD148" s="1">
        <v>11.4716</v>
      </c>
      <c r="BE148" s="1">
        <v>0.69542000000000004</v>
      </c>
      <c r="BG148" s="1425">
        <v>45013</v>
      </c>
      <c r="BH148" s="1">
        <v>15.784000000000001</v>
      </c>
      <c r="BI148" s="1">
        <v>3.1219999999999999</v>
      </c>
      <c r="BJ148" s="1">
        <v>18.476600000000001</v>
      </c>
      <c r="BT148" s="1425">
        <v>45022</v>
      </c>
      <c r="BU148" s="1">
        <v>21.321100000000001</v>
      </c>
      <c r="BV148" s="1">
        <v>2.39</v>
      </c>
      <c r="BW148" s="1">
        <v>6.8551000000000002</v>
      </c>
      <c r="BX148" s="1">
        <v>1.6958</v>
      </c>
      <c r="BZ148" s="1425">
        <v>45022</v>
      </c>
      <c r="CA148" s="1">
        <v>36.2697</v>
      </c>
      <c r="CB148" s="1">
        <v>3.7850999999999999</v>
      </c>
      <c r="CC148" s="1">
        <v>17.6614</v>
      </c>
      <c r="CD148" s="1">
        <v>2.4082499999999998</v>
      </c>
      <c r="CF148" s="1425">
        <v>45022</v>
      </c>
      <c r="CG148" s="1">
        <v>5.5544000000000002</v>
      </c>
      <c r="CH148" s="1">
        <v>1.0156000000000001</v>
      </c>
      <c r="CL148" s="1425">
        <v>45021</v>
      </c>
      <c r="CM148" s="1">
        <v>22.879899999999999</v>
      </c>
      <c r="CN148" s="1">
        <v>2.6187</v>
      </c>
      <c r="CO148" s="1">
        <v>11.325799999999999</v>
      </c>
    </row>
    <row r="149" spans="1:93">
      <c r="A149" s="1425">
        <v>45021</v>
      </c>
      <c r="B149" s="20">
        <f t="shared" si="22"/>
        <v>9.6275999999999993</v>
      </c>
      <c r="C149" s="20">
        <f t="shared" si="24"/>
        <v>21.9389</v>
      </c>
      <c r="D149" s="20">
        <f t="shared" si="25"/>
        <v>12.9695</v>
      </c>
      <c r="E149" s="20">
        <f t="shared" si="26"/>
        <v>7.8285999999999998</v>
      </c>
      <c r="F149" s="20">
        <f t="shared" si="27"/>
        <v>16.459099999999999</v>
      </c>
      <c r="G149" s="20">
        <f t="shared" si="28"/>
        <v>12.857900000000001</v>
      </c>
      <c r="H149" s="1239">
        <f t="shared" si="29"/>
        <v>12.9695</v>
      </c>
      <c r="I149" s="1243">
        <f t="shared" si="23"/>
        <v>-0.25767377308300243</v>
      </c>
      <c r="J149" s="1243">
        <f t="shared" si="30"/>
        <v>0.12093838824177333</v>
      </c>
      <c r="K149" s="1243">
        <f t="shared" si="31"/>
        <v>0.1</v>
      </c>
      <c r="L149" s="203"/>
      <c r="N149" s="1425">
        <v>45021</v>
      </c>
      <c r="O149" s="1502">
        <v>9.6275999999999993</v>
      </c>
      <c r="P149" s="1502">
        <v>2.1556999999999999</v>
      </c>
      <c r="Q149" s="1502">
        <v>10.085800000000001</v>
      </c>
      <c r="R149" s="1233">
        <f>'B. PE'!$U$23</f>
        <v>15.978235616082999</v>
      </c>
      <c r="S149" s="1233"/>
      <c r="T149" s="1233"/>
      <c r="V149" s="1425">
        <v>45021</v>
      </c>
      <c r="W149" s="1">
        <v>21.9389</v>
      </c>
      <c r="X149" s="1">
        <v>1.1495</v>
      </c>
      <c r="Y149" s="1">
        <v>5.1802999999999999</v>
      </c>
      <c r="Z149" s="1">
        <v>0.82408000000000003</v>
      </c>
      <c r="AB149" s="1425">
        <v>45002</v>
      </c>
      <c r="AC149" s="1">
        <v>7.6797000000000004</v>
      </c>
      <c r="AD149" s="1502">
        <v>1.1564000000000001</v>
      </c>
      <c r="AE149" s="1">
        <v>5.0336999999999996</v>
      </c>
      <c r="AF149" s="1">
        <v>3.1099999999999999E-2</v>
      </c>
      <c r="AH149" s="1425">
        <v>45002</v>
      </c>
      <c r="AI149" s="1">
        <v>12.160600000000001</v>
      </c>
      <c r="AJ149" s="1">
        <v>2.1901999999999999</v>
      </c>
      <c r="AK149" s="1">
        <v>5.9824000000000002</v>
      </c>
      <c r="AL149" s="1">
        <v>3.5810000000000002E-2</v>
      </c>
      <c r="AN149" s="1425">
        <v>45015</v>
      </c>
      <c r="AO149" s="1">
        <v>8.2530000000000001</v>
      </c>
      <c r="AP149" s="1">
        <v>1.1997</v>
      </c>
      <c r="AQ149" s="1">
        <v>5.7895000000000003</v>
      </c>
      <c r="AR149" s="1">
        <v>0.30454999999999999</v>
      </c>
      <c r="AT149" s="1425">
        <v>45015</v>
      </c>
      <c r="AU149" s="1">
        <v>10.4526</v>
      </c>
      <c r="AV149" s="1">
        <v>0.88170000000000004</v>
      </c>
      <c r="AW149" s="1">
        <v>6.8362999999999996</v>
      </c>
      <c r="AX149" s="1">
        <v>0.21931999999999999</v>
      </c>
      <c r="BA149" s="1425">
        <v>45012</v>
      </c>
      <c r="BB149" s="1">
        <v>11.9498</v>
      </c>
      <c r="BC149" s="1">
        <v>2.3298999999999999</v>
      </c>
      <c r="BD149" s="1">
        <v>11.273400000000001</v>
      </c>
      <c r="BE149" s="1">
        <v>0.69815000000000005</v>
      </c>
      <c r="BG149" s="1425">
        <v>45012</v>
      </c>
      <c r="BH149" s="1">
        <v>15.5749</v>
      </c>
      <c r="BI149" s="1">
        <v>3.0807000000000002</v>
      </c>
      <c r="BJ149" s="1">
        <v>18.3033</v>
      </c>
      <c r="BT149" s="1425">
        <v>45021</v>
      </c>
      <c r="BU149" s="1">
        <v>21.675599999999999</v>
      </c>
      <c r="BV149" s="1">
        <v>2.4298000000000002</v>
      </c>
      <c r="BW149" s="1">
        <v>6.9744000000000002</v>
      </c>
      <c r="BX149" s="1">
        <v>1.6608000000000001</v>
      </c>
      <c r="BZ149" s="1425">
        <v>45021</v>
      </c>
      <c r="CA149" s="1">
        <v>36.609699999999997</v>
      </c>
      <c r="CB149" s="1">
        <v>3.8206000000000002</v>
      </c>
      <c r="CC149" s="1">
        <v>17.769600000000001</v>
      </c>
      <c r="CD149" s="1">
        <v>2.27732</v>
      </c>
      <c r="CF149" s="1425">
        <v>45021</v>
      </c>
      <c r="CG149" s="1">
        <v>6.0037000000000003</v>
      </c>
      <c r="CH149" s="1">
        <v>1.0976999999999999</v>
      </c>
      <c r="CL149" s="1425">
        <v>45020</v>
      </c>
      <c r="CM149" s="1">
        <v>23.267700000000001</v>
      </c>
      <c r="CN149" s="1">
        <v>2.6631</v>
      </c>
      <c r="CO149" s="1">
        <v>11.5009</v>
      </c>
    </row>
    <row r="150" spans="1:93">
      <c r="A150" s="1425">
        <v>45020</v>
      </c>
      <c r="B150" s="20">
        <f t="shared" si="22"/>
        <v>9.3919999999999995</v>
      </c>
      <c r="C150" s="20">
        <f t="shared" si="24"/>
        <v>21.5489</v>
      </c>
      <c r="D150" s="20">
        <f t="shared" si="25"/>
        <v>13.0785</v>
      </c>
      <c r="E150" s="20">
        <f t="shared" si="26"/>
        <v>7.7713999999999999</v>
      </c>
      <c r="F150" s="20">
        <f t="shared" si="27"/>
        <v>16.692599999999999</v>
      </c>
      <c r="G150" s="20">
        <f t="shared" si="28"/>
        <v>13.136200000000001</v>
      </c>
      <c r="H150" s="1239">
        <f t="shared" si="29"/>
        <v>13.136200000000001</v>
      </c>
      <c r="I150" s="1243">
        <f t="shared" si="23"/>
        <v>-0.28502915607253243</v>
      </c>
      <c r="J150" s="1243">
        <f t="shared" si="30"/>
        <v>0.12093838824177333</v>
      </c>
      <c r="K150" s="1243">
        <f t="shared" si="31"/>
        <v>0.1</v>
      </c>
      <c r="L150" s="203"/>
      <c r="N150" s="1425">
        <v>45020</v>
      </c>
      <c r="O150" s="1502">
        <v>9.3919999999999995</v>
      </c>
      <c r="P150" s="1502">
        <v>2.1029</v>
      </c>
      <c r="Q150" s="1502">
        <v>9.8971</v>
      </c>
      <c r="R150" s="1233">
        <f>'B. PE'!$U$23</f>
        <v>15.978235616082999</v>
      </c>
      <c r="S150" s="1233"/>
      <c r="T150" s="1233"/>
      <c r="V150" s="1425">
        <v>45020</v>
      </c>
      <c r="W150" s="1">
        <v>21.5489</v>
      </c>
      <c r="X150" s="1">
        <v>1.1291</v>
      </c>
      <c r="Y150" s="1">
        <v>5.1026999999999996</v>
      </c>
      <c r="Z150" s="1">
        <v>0.80083000000000004</v>
      </c>
      <c r="AB150" s="1425">
        <v>45001</v>
      </c>
      <c r="AC150" s="1">
        <v>7.1821999999999999</v>
      </c>
      <c r="AD150" s="1502">
        <v>1.0814999999999999</v>
      </c>
      <c r="AE150" s="1">
        <v>4.8217999999999996</v>
      </c>
      <c r="AF150" s="1">
        <v>3.1480000000000001E-2</v>
      </c>
      <c r="AH150" s="1425">
        <v>45001</v>
      </c>
      <c r="AI150" s="1">
        <v>11.7377</v>
      </c>
      <c r="AJ150" s="1">
        <v>2.1141000000000001</v>
      </c>
      <c r="AK150" s="1">
        <v>5.7685000000000004</v>
      </c>
      <c r="AL150" s="1">
        <v>3.6429999999999997E-2</v>
      </c>
      <c r="AN150" s="1425">
        <v>45014</v>
      </c>
      <c r="AO150" s="1">
        <v>8.1325000000000003</v>
      </c>
      <c r="AP150" s="1">
        <v>1.1820999999999999</v>
      </c>
      <c r="AQ150" s="1">
        <v>5.6993</v>
      </c>
      <c r="AR150" s="1">
        <v>0.30503999999999998</v>
      </c>
      <c r="AT150" s="1425">
        <v>45014</v>
      </c>
      <c r="AU150" s="1">
        <v>10.4526</v>
      </c>
      <c r="AV150" s="1">
        <v>0.88170000000000004</v>
      </c>
      <c r="AW150" s="1">
        <v>6.8362999999999996</v>
      </c>
      <c r="AX150" s="1">
        <v>0.21967999999999999</v>
      </c>
      <c r="BA150" s="1425">
        <v>45009</v>
      </c>
      <c r="BB150" s="1">
        <v>12.1023</v>
      </c>
      <c r="BC150" s="1">
        <v>2.3597000000000001</v>
      </c>
      <c r="BD150" s="1">
        <v>11.3725</v>
      </c>
      <c r="BE150" s="1">
        <v>0.69764999999999999</v>
      </c>
      <c r="BG150" s="1425">
        <v>45009</v>
      </c>
      <c r="BH150" s="1">
        <v>15.784000000000001</v>
      </c>
      <c r="BI150" s="1">
        <v>3.1219999999999999</v>
      </c>
      <c r="BJ150" s="1">
        <v>18.476600000000001</v>
      </c>
      <c r="BT150" s="1425">
        <v>45020</v>
      </c>
      <c r="BU150" s="1">
        <v>21.7029</v>
      </c>
      <c r="BV150" s="1">
        <v>2.4327999999999999</v>
      </c>
      <c r="BW150" s="1">
        <v>6.9836</v>
      </c>
      <c r="BX150" s="1">
        <v>1.6425000000000001</v>
      </c>
      <c r="BZ150" s="1425">
        <v>45020</v>
      </c>
      <c r="CA150" s="1">
        <v>36.836399999999998</v>
      </c>
      <c r="CB150" s="1">
        <v>3.8443000000000001</v>
      </c>
      <c r="CC150" s="1">
        <v>17.841699999999999</v>
      </c>
      <c r="CD150" s="1">
        <v>2.25996</v>
      </c>
      <c r="CF150" s="1425">
        <v>45020</v>
      </c>
      <c r="CG150" s="1">
        <v>5.7178000000000004</v>
      </c>
      <c r="CH150" s="1">
        <v>1.0455000000000001</v>
      </c>
      <c r="CL150" s="1425">
        <v>45019</v>
      </c>
      <c r="CM150" s="1">
        <v>23.590900000000001</v>
      </c>
      <c r="CN150" s="1">
        <v>2.7000999999999999</v>
      </c>
      <c r="CO150" s="1">
        <v>11.646800000000001</v>
      </c>
    </row>
    <row r="151" spans="1:93">
      <c r="A151" s="1425">
        <v>45019</v>
      </c>
      <c r="B151" s="20">
        <f t="shared" si="22"/>
        <v>8.8032000000000004</v>
      </c>
      <c r="C151" s="20">
        <f t="shared" si="24"/>
        <v>20.378799999999998</v>
      </c>
      <c r="D151" s="20">
        <f t="shared" si="25"/>
        <v>12.8605</v>
      </c>
      <c r="E151" s="20">
        <f t="shared" si="26"/>
        <v>7.8285999999999998</v>
      </c>
      <c r="F151" s="20">
        <f t="shared" si="27"/>
        <v>16.926100000000002</v>
      </c>
      <c r="G151" s="20">
        <f t="shared" si="28"/>
        <v>13.3588</v>
      </c>
      <c r="H151" s="1239">
        <f t="shared" si="29"/>
        <v>13.3588</v>
      </c>
      <c r="I151" s="1243">
        <f t="shared" si="23"/>
        <v>-0.341018654370153</v>
      </c>
      <c r="J151" s="1243">
        <f t="shared" si="30"/>
        <v>0.12093838824177333</v>
      </c>
      <c r="K151" s="1243">
        <f t="shared" si="31"/>
        <v>0.1</v>
      </c>
      <c r="L151" s="203"/>
      <c r="N151" s="1425">
        <v>45019</v>
      </c>
      <c r="O151" s="1502">
        <v>8.8032000000000004</v>
      </c>
      <c r="P151" s="1502">
        <v>1.9711000000000001</v>
      </c>
      <c r="Q151" s="1502">
        <v>9.4252000000000002</v>
      </c>
      <c r="R151" s="1233">
        <f>'B. PE'!$U$23</f>
        <v>15.978235616082999</v>
      </c>
      <c r="S151" s="1233"/>
      <c r="T151" s="1233"/>
      <c r="V151" s="1425">
        <v>45019</v>
      </c>
      <c r="W151" s="1">
        <v>20.378799999999998</v>
      </c>
      <c r="X151" s="1">
        <v>1.0678000000000001</v>
      </c>
      <c r="Y151" s="1">
        <v>4.8699000000000003</v>
      </c>
      <c r="Z151" s="1">
        <v>0.79657999999999995</v>
      </c>
      <c r="AB151" s="1425">
        <v>45000</v>
      </c>
      <c r="AC151" s="1">
        <v>7.4931000000000001</v>
      </c>
      <c r="AD151" s="1502">
        <v>1.1283000000000001</v>
      </c>
      <c r="AE151" s="1">
        <v>4.9542000000000002</v>
      </c>
      <c r="AF151" s="1">
        <v>3.3489999999999999E-2</v>
      </c>
      <c r="AH151" s="1425">
        <v>45000</v>
      </c>
      <c r="AI151" s="1">
        <v>11.7377</v>
      </c>
      <c r="AJ151" s="1">
        <v>2.1141000000000001</v>
      </c>
      <c r="AK151" s="1">
        <v>5.7685000000000004</v>
      </c>
      <c r="AL151" s="1">
        <v>3.6409999999999998E-2</v>
      </c>
      <c r="AN151" s="1425">
        <v>45013</v>
      </c>
      <c r="AO151" s="1">
        <v>8.0723000000000003</v>
      </c>
      <c r="AP151" s="1">
        <v>1.1734</v>
      </c>
      <c r="AQ151" s="1">
        <v>5.6542000000000003</v>
      </c>
      <c r="AR151" s="1">
        <v>0.30262</v>
      </c>
      <c r="AT151" s="1425">
        <v>45013</v>
      </c>
      <c r="AU151" s="1">
        <v>10.3987</v>
      </c>
      <c r="AV151" s="1">
        <v>0.87719999999999998</v>
      </c>
      <c r="AW151" s="1">
        <v>6.8032000000000004</v>
      </c>
      <c r="AX151" s="1">
        <v>0.21906</v>
      </c>
      <c r="BA151" s="1425">
        <v>45008</v>
      </c>
      <c r="BB151" s="1">
        <v>12.051500000000001</v>
      </c>
      <c r="BC151" s="1">
        <v>2.3498000000000001</v>
      </c>
      <c r="BD151" s="1">
        <v>11.339499999999999</v>
      </c>
      <c r="BE151" s="1">
        <v>0.70476000000000005</v>
      </c>
      <c r="BG151" s="1425">
        <v>45008</v>
      </c>
      <c r="BH151" s="1">
        <v>15.784000000000001</v>
      </c>
      <c r="BI151" s="1">
        <v>3.1219999999999999</v>
      </c>
      <c r="BJ151" s="1">
        <v>18.476600000000001</v>
      </c>
      <c r="BT151" s="1425">
        <v>45019</v>
      </c>
      <c r="BU151" s="1">
        <v>21.2666</v>
      </c>
      <c r="BV151" s="1">
        <v>2.3839000000000001</v>
      </c>
      <c r="BW151" s="1">
        <v>6.8367000000000004</v>
      </c>
      <c r="BX151" s="1">
        <v>1.6439999999999999</v>
      </c>
      <c r="BZ151" s="1425">
        <v>45019</v>
      </c>
      <c r="CA151" s="1">
        <v>34.852899999999998</v>
      </c>
      <c r="CB151" s="1">
        <v>3.6373000000000002</v>
      </c>
      <c r="CC151" s="1">
        <v>17.210699999999999</v>
      </c>
      <c r="CD151" s="1">
        <v>2.2850199999999998</v>
      </c>
      <c r="CF151" s="1425">
        <v>45019</v>
      </c>
      <c r="CG151" s="1">
        <v>5.5136000000000003</v>
      </c>
      <c r="CH151" s="1">
        <v>1.0081</v>
      </c>
      <c r="CL151" s="1425">
        <v>45016</v>
      </c>
      <c r="CM151" s="1">
        <v>23.800899999999999</v>
      </c>
      <c r="CN151" s="1">
        <v>2.7241</v>
      </c>
      <c r="CO151" s="1">
        <v>11.7416</v>
      </c>
    </row>
    <row r="152" spans="1:93">
      <c r="A152" s="1425">
        <v>45016</v>
      </c>
      <c r="B152" s="20">
        <f t="shared" si="22"/>
        <v>8.4498999999999995</v>
      </c>
      <c r="C152" s="20">
        <f t="shared" si="24"/>
        <v>19.793800000000001</v>
      </c>
      <c r="D152" s="20">
        <f t="shared" si="25"/>
        <v>12.6426</v>
      </c>
      <c r="E152" s="20">
        <f t="shared" si="26"/>
        <v>7.8285999999999998</v>
      </c>
      <c r="F152" s="20">
        <f t="shared" si="27"/>
        <v>17.0428</v>
      </c>
      <c r="G152" s="20">
        <f t="shared" si="28"/>
        <v>13.080500000000001</v>
      </c>
      <c r="H152" s="1239">
        <f t="shared" si="29"/>
        <v>13.080500000000001</v>
      </c>
      <c r="I152" s="1243">
        <f t="shared" si="23"/>
        <v>-0.35400787431673109</v>
      </c>
      <c r="J152" s="1243">
        <f t="shared" si="30"/>
        <v>0.12093838824177333</v>
      </c>
      <c r="K152" s="1243">
        <f t="shared" si="31"/>
        <v>0.1</v>
      </c>
      <c r="L152" s="203"/>
      <c r="N152" s="1425">
        <v>45016</v>
      </c>
      <c r="O152" s="1502">
        <v>8.4498999999999995</v>
      </c>
      <c r="P152" s="1502">
        <v>1.8919999999999999</v>
      </c>
      <c r="Q152" s="1502">
        <v>9.1419999999999995</v>
      </c>
      <c r="R152" s="1233">
        <f>'B. PE'!$U$23</f>
        <v>15.978235616082999</v>
      </c>
      <c r="S152" s="1233"/>
      <c r="T152" s="1233"/>
      <c r="V152" s="1425">
        <v>45016</v>
      </c>
      <c r="W152" s="1">
        <v>19.793800000000001</v>
      </c>
      <c r="X152" s="1">
        <v>1.0370999999999999</v>
      </c>
      <c r="Y152" s="1">
        <v>4.7534999999999998</v>
      </c>
      <c r="Z152" s="1">
        <v>0.81577999999999995</v>
      </c>
      <c r="AB152" s="1425">
        <v>44999</v>
      </c>
      <c r="AC152" s="1">
        <v>7.5242000000000004</v>
      </c>
      <c r="AD152" s="1502">
        <v>1.133</v>
      </c>
      <c r="AE152" s="1">
        <v>4.9675000000000002</v>
      </c>
      <c r="AF152" s="1">
        <v>3.3320000000000002E-2</v>
      </c>
      <c r="AH152" s="1425">
        <v>44999</v>
      </c>
      <c r="AI152" s="1">
        <v>11.843400000000001</v>
      </c>
      <c r="AJ152" s="1">
        <v>2.1331000000000002</v>
      </c>
      <c r="AK152" s="1">
        <v>5.8220000000000001</v>
      </c>
      <c r="AL152" s="1">
        <v>3.6560000000000002E-2</v>
      </c>
      <c r="AN152" s="1425">
        <v>45012</v>
      </c>
      <c r="AO152" s="1">
        <v>8.0723000000000003</v>
      </c>
      <c r="AP152" s="1">
        <v>1.1734</v>
      </c>
      <c r="AQ152" s="1">
        <v>5.6542000000000003</v>
      </c>
      <c r="AR152" s="1">
        <v>0.30574000000000001</v>
      </c>
      <c r="AT152" s="1425">
        <v>45012</v>
      </c>
      <c r="AU152" s="1">
        <v>10.3987</v>
      </c>
      <c r="AV152" s="1">
        <v>0.87719999999999998</v>
      </c>
      <c r="AW152" s="1">
        <v>6.8032000000000004</v>
      </c>
      <c r="AX152" s="1">
        <v>0.21854999999999999</v>
      </c>
      <c r="BA152" s="1425">
        <v>45007</v>
      </c>
      <c r="BB152" s="1">
        <v>12.204000000000001</v>
      </c>
      <c r="BC152" s="1">
        <v>2.3795000000000002</v>
      </c>
      <c r="BD152" s="1">
        <v>11.438599999999999</v>
      </c>
      <c r="BE152" s="1">
        <v>0.71196000000000004</v>
      </c>
      <c r="BG152" s="1425">
        <v>45007</v>
      </c>
      <c r="BH152" s="1">
        <v>15.888500000000001</v>
      </c>
      <c r="BI152" s="1">
        <v>3.1427</v>
      </c>
      <c r="BJ152" s="1">
        <v>18.563300000000002</v>
      </c>
      <c r="BT152" s="1425">
        <v>45016</v>
      </c>
      <c r="BU152" s="1">
        <v>21.0212</v>
      </c>
      <c r="BV152" s="1">
        <v>2.3563999999999998</v>
      </c>
      <c r="BW152" s="1">
        <v>6.7541000000000002</v>
      </c>
      <c r="BX152" s="1">
        <v>1.6472</v>
      </c>
      <c r="BZ152" s="1425">
        <v>45016</v>
      </c>
      <c r="CA152" s="1">
        <v>34.569499999999998</v>
      </c>
      <c r="CB152" s="1">
        <v>3.6076999999999999</v>
      </c>
      <c r="CC152" s="1">
        <v>17.1206</v>
      </c>
      <c r="CD152" s="1">
        <v>2.3427699999999998</v>
      </c>
      <c r="CF152" s="1425">
        <v>45016</v>
      </c>
      <c r="CG152" s="1">
        <v>5.5136000000000003</v>
      </c>
      <c r="CH152" s="1">
        <v>1.0081</v>
      </c>
      <c r="CL152" s="1425">
        <v>45015</v>
      </c>
      <c r="CM152" s="1">
        <v>23.526199999999999</v>
      </c>
      <c r="CN152" s="1">
        <v>2.6926999999999999</v>
      </c>
      <c r="CO152" s="1">
        <v>11.617599999999999</v>
      </c>
    </row>
    <row r="153" spans="1:93">
      <c r="A153" s="1425">
        <v>45015</v>
      </c>
      <c r="B153" s="20">
        <f t="shared" si="22"/>
        <v>6.9147999999999996</v>
      </c>
      <c r="C153" s="20">
        <f t="shared" si="24"/>
        <v>14.6198</v>
      </c>
      <c r="D153" s="20">
        <f t="shared" si="25"/>
        <v>12.0549</v>
      </c>
      <c r="E153" s="20">
        <f t="shared" si="26"/>
        <v>8.2530000000000001</v>
      </c>
      <c r="F153" s="20">
        <f t="shared" si="27"/>
        <v>15.2613</v>
      </c>
      <c r="G153" s="20">
        <f t="shared" si="28"/>
        <v>11.898899999999999</v>
      </c>
      <c r="H153" s="1239">
        <f t="shared" si="29"/>
        <v>12.0549</v>
      </c>
      <c r="I153" s="1243">
        <f t="shared" si="23"/>
        <v>-0.42639092817028768</v>
      </c>
      <c r="J153" s="1243">
        <f t="shared" si="30"/>
        <v>0.12093838824177333</v>
      </c>
      <c r="K153" s="1243">
        <f t="shared" si="31"/>
        <v>0.1</v>
      </c>
      <c r="L153" s="203"/>
      <c r="N153" s="1425">
        <v>45015</v>
      </c>
      <c r="O153" s="1502">
        <v>6.9147999999999996</v>
      </c>
      <c r="P153" s="1502">
        <v>1.9922</v>
      </c>
      <c r="Q153" s="1502">
        <v>7.4291999999999998</v>
      </c>
      <c r="R153" s="1233">
        <f>'B. PE'!$U$23</f>
        <v>15.978235616082999</v>
      </c>
      <c r="S153" s="1233"/>
      <c r="T153" s="1233"/>
      <c r="V153" s="1425">
        <v>45015</v>
      </c>
      <c r="W153" s="1">
        <v>14.6198</v>
      </c>
      <c r="X153" s="1">
        <v>1.0317000000000001</v>
      </c>
      <c r="Y153" s="1">
        <v>5.6894999999999998</v>
      </c>
      <c r="Z153" s="1">
        <v>0.81533</v>
      </c>
      <c r="AB153" s="1425">
        <v>44998</v>
      </c>
      <c r="AC153" s="1">
        <v>8.0061</v>
      </c>
      <c r="AD153" s="1502">
        <v>1.2056</v>
      </c>
      <c r="AE153" s="1">
        <v>5.1726999999999999</v>
      </c>
      <c r="AF153" s="1">
        <v>3.3570000000000003E-2</v>
      </c>
      <c r="AH153" s="1425">
        <v>44998</v>
      </c>
      <c r="AI153" s="1">
        <v>11.843400000000001</v>
      </c>
      <c r="AJ153" s="1">
        <v>2.1331000000000002</v>
      </c>
      <c r="AK153" s="1">
        <v>5.8220000000000001</v>
      </c>
      <c r="AL153" s="1">
        <v>3.6150000000000002E-2</v>
      </c>
      <c r="AN153" s="1425">
        <v>45009</v>
      </c>
      <c r="AO153" s="1">
        <v>8.0723000000000003</v>
      </c>
      <c r="AP153" s="1">
        <v>1.1734</v>
      </c>
      <c r="AQ153" s="1">
        <v>5.6542000000000003</v>
      </c>
      <c r="AR153" s="1">
        <v>0.29833999999999999</v>
      </c>
      <c r="AT153" s="1425">
        <v>45009</v>
      </c>
      <c r="AU153" s="1">
        <v>10.4526</v>
      </c>
      <c r="AV153" s="1">
        <v>0.88170000000000004</v>
      </c>
      <c r="AW153" s="1">
        <v>6.8362999999999996</v>
      </c>
      <c r="AX153" s="1">
        <v>0.21759000000000001</v>
      </c>
      <c r="BA153" s="1425">
        <v>45006</v>
      </c>
      <c r="BB153" s="1">
        <v>12.3566</v>
      </c>
      <c r="BC153" s="1">
        <v>2.4091999999999998</v>
      </c>
      <c r="BD153" s="1">
        <v>11.537699999999999</v>
      </c>
      <c r="BE153" s="1">
        <v>0.71679999999999999</v>
      </c>
      <c r="BG153" s="1425">
        <v>45006</v>
      </c>
      <c r="BH153" s="1">
        <v>15.784000000000001</v>
      </c>
      <c r="BI153" s="1">
        <v>3.1219999999999999</v>
      </c>
      <c r="BJ153" s="1">
        <v>18.476600000000001</v>
      </c>
      <c r="BT153" s="1425">
        <v>45015</v>
      </c>
      <c r="BU153" s="1">
        <v>13.630599999999999</v>
      </c>
      <c r="BV153" s="1">
        <v>2.3616999999999999</v>
      </c>
      <c r="BW153" s="1">
        <v>5.9779</v>
      </c>
      <c r="BX153" s="1">
        <v>1.6633</v>
      </c>
      <c r="BZ153" s="1425">
        <v>45015</v>
      </c>
      <c r="CA153" s="1">
        <v>22.571300000000001</v>
      </c>
      <c r="CB153" s="1">
        <v>3.6398999999999999</v>
      </c>
      <c r="CC153" s="1">
        <v>14.673999999999999</v>
      </c>
      <c r="CD153" s="1">
        <v>2.4006599999999998</v>
      </c>
      <c r="CF153" s="1425">
        <v>45015</v>
      </c>
      <c r="CG153" s="1">
        <v>4.7854000000000001</v>
      </c>
      <c r="CH153" s="1">
        <v>1.0515000000000001</v>
      </c>
      <c r="CL153" s="1425">
        <v>45014</v>
      </c>
      <c r="CM153" s="1">
        <v>23.6555</v>
      </c>
      <c r="CN153" s="1">
        <v>2.7075</v>
      </c>
      <c r="CO153" s="1">
        <v>11.676</v>
      </c>
    </row>
    <row r="154" spans="1:93">
      <c r="A154" s="1425">
        <v>45014</v>
      </c>
      <c r="B154" s="20">
        <f t="shared" si="22"/>
        <v>7.4348999999999998</v>
      </c>
      <c r="C154" s="20">
        <f t="shared" si="24"/>
        <v>14.9817</v>
      </c>
      <c r="D154" s="20">
        <f t="shared" si="25"/>
        <v>12.0549</v>
      </c>
      <c r="E154" s="20">
        <f t="shared" si="26"/>
        <v>8.1325000000000003</v>
      </c>
      <c r="F154" s="20">
        <f t="shared" si="27"/>
        <v>15.784000000000001</v>
      </c>
      <c r="G154" s="20">
        <f t="shared" si="28"/>
        <v>12.204000000000001</v>
      </c>
      <c r="H154" s="1239">
        <f t="shared" si="29"/>
        <v>12.204000000000001</v>
      </c>
      <c r="I154" s="1243">
        <f t="shared" si="23"/>
        <v>-0.39078171091445435</v>
      </c>
      <c r="J154" s="1243">
        <f t="shared" si="30"/>
        <v>0.12093838824177333</v>
      </c>
      <c r="K154" s="1243">
        <f t="shared" si="31"/>
        <v>0.1</v>
      </c>
      <c r="L154" s="203"/>
      <c r="N154" s="1425">
        <v>45014</v>
      </c>
      <c r="O154" s="1502">
        <v>7.4348999999999998</v>
      </c>
      <c r="P154" s="1502">
        <v>2.1419999999999999</v>
      </c>
      <c r="Q154" s="1502">
        <v>7.8810000000000002</v>
      </c>
      <c r="R154" s="1233">
        <f>'B. PE'!$U$23</f>
        <v>15.978235616082999</v>
      </c>
      <c r="S154" s="1233"/>
      <c r="T154" s="1233"/>
      <c r="V154" s="1425">
        <v>45014</v>
      </c>
      <c r="W154" s="1">
        <v>14.9817</v>
      </c>
      <c r="X154" s="1">
        <v>1.0571999999999999</v>
      </c>
      <c r="Y154" s="1">
        <v>5.7862</v>
      </c>
      <c r="Z154" s="1">
        <v>0.80706999999999995</v>
      </c>
      <c r="AB154" s="1425">
        <v>44995</v>
      </c>
      <c r="AC154" s="1">
        <v>8.0061</v>
      </c>
      <c r="AD154" s="1502">
        <v>1.2056</v>
      </c>
      <c r="AE154" s="1">
        <v>5.1726999999999999</v>
      </c>
      <c r="AF154" s="1">
        <v>3.2710000000000003E-2</v>
      </c>
      <c r="AH154" s="1425">
        <v>44995</v>
      </c>
      <c r="AI154" s="1">
        <v>11.949199999999999</v>
      </c>
      <c r="AJ154" s="1">
        <v>2.1520999999999999</v>
      </c>
      <c r="AK154" s="1">
        <v>5.8754</v>
      </c>
      <c r="AL154" s="1">
        <v>3.628E-2</v>
      </c>
      <c r="AN154" s="1425">
        <v>45008</v>
      </c>
      <c r="AO154" s="1">
        <v>8.1325000000000003</v>
      </c>
      <c r="AP154" s="1">
        <v>1.1820999999999999</v>
      </c>
      <c r="AQ154" s="1">
        <v>5.6993</v>
      </c>
      <c r="AR154" s="1">
        <v>0.29987999999999998</v>
      </c>
      <c r="AT154" s="1425">
        <v>45008</v>
      </c>
      <c r="AU154" s="1">
        <v>10.3987</v>
      </c>
      <c r="AV154" s="1">
        <v>0.87719999999999998</v>
      </c>
      <c r="AW154" s="1">
        <v>6.8032000000000004</v>
      </c>
      <c r="AX154" s="1">
        <v>0.21646000000000001</v>
      </c>
      <c r="BA154" s="1425">
        <v>45005</v>
      </c>
      <c r="BB154" s="1">
        <v>12.3566</v>
      </c>
      <c r="BC154" s="1">
        <v>2.4091999999999998</v>
      </c>
      <c r="BD154" s="1">
        <v>11.537699999999999</v>
      </c>
      <c r="BE154" s="1">
        <v>0.69945999999999997</v>
      </c>
      <c r="BG154" s="1425">
        <v>45005</v>
      </c>
      <c r="BH154" s="1">
        <v>15.4704</v>
      </c>
      <c r="BI154" s="1">
        <v>3.06</v>
      </c>
      <c r="BJ154" s="1">
        <v>18.2166</v>
      </c>
      <c r="BT154" s="1425">
        <v>45014</v>
      </c>
      <c r="BU154" s="1">
        <v>13.665900000000001</v>
      </c>
      <c r="BV154" s="1">
        <v>2.3677999999999999</v>
      </c>
      <c r="BW154" s="1">
        <v>5.9930000000000003</v>
      </c>
      <c r="BX154" s="1">
        <v>1.62</v>
      </c>
      <c r="BZ154" s="1425">
        <v>45014</v>
      </c>
      <c r="CA154" s="1">
        <v>23.156600000000001</v>
      </c>
      <c r="CB154" s="1">
        <v>3.7343000000000002</v>
      </c>
      <c r="CC154" s="1">
        <v>14.930400000000001</v>
      </c>
      <c r="CD154" s="1">
        <v>2.40693</v>
      </c>
      <c r="CF154" s="1425">
        <v>45014</v>
      </c>
      <c r="CG154" s="1">
        <v>4.7499000000000002</v>
      </c>
      <c r="CH154" s="1">
        <v>1.0437000000000001</v>
      </c>
      <c r="CL154" s="1425">
        <v>45013</v>
      </c>
      <c r="CM154" s="1">
        <v>23.364599999999999</v>
      </c>
      <c r="CN154" s="1">
        <v>2.6741999999999999</v>
      </c>
      <c r="CO154" s="1">
        <v>11.544700000000001</v>
      </c>
    </row>
    <row r="155" spans="1:93">
      <c r="A155" s="1425">
        <v>45013</v>
      </c>
      <c r="B155" s="20">
        <f t="shared" si="22"/>
        <v>7.6830999999999996</v>
      </c>
      <c r="C155" s="20">
        <f t="shared" si="24"/>
        <v>14.9817</v>
      </c>
      <c r="D155" s="20">
        <f t="shared" si="25"/>
        <v>12.266400000000001</v>
      </c>
      <c r="E155" s="20">
        <f t="shared" si="26"/>
        <v>8.0723000000000003</v>
      </c>
      <c r="F155" s="20">
        <f t="shared" si="27"/>
        <v>15.784000000000001</v>
      </c>
      <c r="G155" s="20">
        <f t="shared" si="28"/>
        <v>12.254899999999999</v>
      </c>
      <c r="H155" s="1239">
        <f t="shared" si="29"/>
        <v>12.266400000000001</v>
      </c>
      <c r="I155" s="1243">
        <f t="shared" si="23"/>
        <v>-0.37364670971108072</v>
      </c>
      <c r="J155" s="1243">
        <f t="shared" si="30"/>
        <v>0.12093838824177333</v>
      </c>
      <c r="K155" s="1243">
        <f t="shared" si="31"/>
        <v>0.1</v>
      </c>
      <c r="L155" s="203"/>
      <c r="N155" s="1425">
        <v>45013</v>
      </c>
      <c r="O155" s="1502">
        <v>7.6830999999999996</v>
      </c>
      <c r="P155" s="1502">
        <v>2.2134999999999998</v>
      </c>
      <c r="Q155" s="1502">
        <v>8.0966000000000005</v>
      </c>
      <c r="R155" s="1233">
        <f>'B. PE'!$U$23</f>
        <v>15.978235616082999</v>
      </c>
      <c r="S155" s="1233"/>
      <c r="T155" s="1233"/>
      <c r="V155" s="1425">
        <v>45013</v>
      </c>
      <c r="W155" s="1">
        <v>14.9817</v>
      </c>
      <c r="X155" s="1">
        <v>1.0571999999999999</v>
      </c>
      <c r="Y155" s="1">
        <v>5.7862</v>
      </c>
      <c r="Z155" s="1">
        <v>0.79488999999999999</v>
      </c>
      <c r="AB155" s="1425">
        <v>44994</v>
      </c>
      <c r="AC155" s="1">
        <v>8.0838999999999999</v>
      </c>
      <c r="AD155" s="1502">
        <v>1.2173</v>
      </c>
      <c r="AE155" s="1">
        <v>5.2058</v>
      </c>
      <c r="AF155" s="1">
        <v>3.3099999999999997E-2</v>
      </c>
      <c r="AH155" s="1425">
        <v>44994</v>
      </c>
      <c r="AI155" s="1">
        <v>11.843400000000001</v>
      </c>
      <c r="AJ155" s="1">
        <v>2.1331000000000002</v>
      </c>
      <c r="AK155" s="1">
        <v>5.8220000000000001</v>
      </c>
      <c r="AL155" s="1">
        <v>3.6339999999999997E-2</v>
      </c>
      <c r="AN155" s="1425">
        <v>45007</v>
      </c>
      <c r="AO155" s="1">
        <v>8.0120000000000005</v>
      </c>
      <c r="AP155" s="1">
        <v>1.1646000000000001</v>
      </c>
      <c r="AQ155" s="1">
        <v>5.6090999999999998</v>
      </c>
      <c r="AR155" s="1">
        <v>0.29838999999999999</v>
      </c>
      <c r="AT155" s="1425">
        <v>45007</v>
      </c>
      <c r="AU155" s="1">
        <v>10.4526</v>
      </c>
      <c r="AV155" s="1">
        <v>0.88170000000000004</v>
      </c>
      <c r="AW155" s="1">
        <v>6.8362999999999996</v>
      </c>
      <c r="AX155" s="1">
        <v>0.21314</v>
      </c>
      <c r="BA155" s="1425">
        <v>45002</v>
      </c>
      <c r="BB155" s="1">
        <v>12.407400000000001</v>
      </c>
      <c r="BC155" s="1">
        <v>2.4192</v>
      </c>
      <c r="BD155" s="1">
        <v>11.5707</v>
      </c>
      <c r="BE155" s="1">
        <v>0.70223000000000002</v>
      </c>
      <c r="BG155" s="1425">
        <v>45002</v>
      </c>
      <c r="BH155" s="1">
        <v>15.679399999999999</v>
      </c>
      <c r="BI155" s="1">
        <v>3.1013999999999999</v>
      </c>
      <c r="BJ155" s="1">
        <v>18.389900000000001</v>
      </c>
      <c r="BT155" s="1425">
        <v>45013</v>
      </c>
      <c r="BU155" s="1">
        <v>13.8072</v>
      </c>
      <c r="BV155" s="1">
        <v>2.3923000000000001</v>
      </c>
      <c r="BW155" s="1">
        <v>6.0533000000000001</v>
      </c>
      <c r="BX155" s="1">
        <v>1.6128</v>
      </c>
      <c r="BZ155" s="1425">
        <v>45013</v>
      </c>
      <c r="CA155" s="1">
        <v>23.741900000000001</v>
      </c>
      <c r="CB155" s="1">
        <v>3.8287</v>
      </c>
      <c r="CC155" s="1">
        <v>15.1867</v>
      </c>
      <c r="CD155" s="1">
        <v>2.40211</v>
      </c>
      <c r="CF155" s="1425">
        <v>45013</v>
      </c>
      <c r="CG155" s="1">
        <v>4.7854000000000001</v>
      </c>
      <c r="CH155" s="1">
        <v>1.0515000000000001</v>
      </c>
      <c r="CL155" s="1425">
        <v>45012</v>
      </c>
      <c r="CM155" s="1">
        <v>23.203099999999999</v>
      </c>
      <c r="CN155" s="1">
        <v>2.6556999999999999</v>
      </c>
      <c r="CO155" s="1">
        <v>11.4717</v>
      </c>
    </row>
    <row r="156" spans="1:93">
      <c r="A156" s="1425">
        <v>45012</v>
      </c>
      <c r="B156" s="20">
        <f t="shared" si="22"/>
        <v>7.7304000000000004</v>
      </c>
      <c r="C156" s="20">
        <f t="shared" si="24"/>
        <v>14.837</v>
      </c>
      <c r="D156" s="20">
        <f t="shared" si="25"/>
        <v>12.160600000000001</v>
      </c>
      <c r="E156" s="20">
        <f t="shared" si="26"/>
        <v>8.0723000000000003</v>
      </c>
      <c r="F156" s="20">
        <f t="shared" si="27"/>
        <v>15.5749</v>
      </c>
      <c r="G156" s="20">
        <f t="shared" si="28"/>
        <v>11.9498</v>
      </c>
      <c r="H156" s="1239">
        <f t="shared" si="29"/>
        <v>12.160600000000001</v>
      </c>
      <c r="I156" s="1243">
        <f t="shared" si="23"/>
        <v>-0.36430768218673415</v>
      </c>
      <c r="J156" s="1243">
        <f t="shared" si="30"/>
        <v>0.12093838824177333</v>
      </c>
      <c r="K156" s="1243">
        <f t="shared" si="31"/>
        <v>0.1</v>
      </c>
      <c r="L156" s="203"/>
      <c r="N156" s="1425">
        <v>45012</v>
      </c>
      <c r="O156" s="1502">
        <v>7.7304000000000004</v>
      </c>
      <c r="P156" s="1502">
        <v>2.2271000000000001</v>
      </c>
      <c r="Q156" s="1502">
        <v>8.1377000000000006</v>
      </c>
      <c r="R156" s="1233">
        <f>'B. PE'!$U$23</f>
        <v>15.978235616082999</v>
      </c>
      <c r="S156" s="1233"/>
      <c r="T156" s="1233"/>
      <c r="V156" s="1425">
        <v>45012</v>
      </c>
      <c r="W156" s="1">
        <v>14.837</v>
      </c>
      <c r="X156" s="1">
        <v>1.0469999999999999</v>
      </c>
      <c r="Y156" s="1">
        <v>5.7474999999999996</v>
      </c>
      <c r="Z156" s="1">
        <v>0.79061999999999999</v>
      </c>
      <c r="AB156" s="1425">
        <v>44993</v>
      </c>
      <c r="AC156" s="1">
        <v>7.8506999999999998</v>
      </c>
      <c r="AD156" s="1502">
        <v>1.1821999999999999</v>
      </c>
      <c r="AE156" s="1">
        <v>5.1064999999999996</v>
      </c>
      <c r="AF156" s="1">
        <v>3.3869999999999997E-2</v>
      </c>
      <c r="AH156" s="1425">
        <v>44993</v>
      </c>
      <c r="AI156" s="1">
        <v>11.843400000000001</v>
      </c>
      <c r="AJ156" s="1">
        <v>2.1331000000000002</v>
      </c>
      <c r="AK156" s="1">
        <v>5.8220000000000001</v>
      </c>
      <c r="AL156" s="1">
        <v>3.6479999999999999E-2</v>
      </c>
      <c r="AN156" s="1425">
        <v>45006</v>
      </c>
      <c r="AO156" s="1">
        <v>8.0120000000000005</v>
      </c>
      <c r="AP156" s="1">
        <v>1.1646000000000001</v>
      </c>
      <c r="AQ156" s="1">
        <v>5.6090999999999998</v>
      </c>
      <c r="AR156" s="1">
        <v>0.29870999999999998</v>
      </c>
      <c r="AT156" s="1425">
        <v>45006</v>
      </c>
      <c r="AU156" s="1">
        <v>10.344799999999999</v>
      </c>
      <c r="AV156" s="1">
        <v>0.87260000000000004</v>
      </c>
      <c r="AW156" s="1">
        <v>6.77</v>
      </c>
      <c r="AX156" s="1">
        <v>0.214</v>
      </c>
      <c r="BA156" s="1425">
        <v>45001</v>
      </c>
      <c r="BB156" s="1">
        <v>12.254899999999999</v>
      </c>
      <c r="BC156" s="1">
        <v>2.3894000000000002</v>
      </c>
      <c r="BD156" s="1">
        <v>11.4716</v>
      </c>
      <c r="BE156" s="1">
        <v>0.68828</v>
      </c>
      <c r="BG156" s="1425">
        <v>45001</v>
      </c>
      <c r="BH156" s="1">
        <v>15.4704</v>
      </c>
      <c r="BI156" s="1">
        <v>3.06</v>
      </c>
      <c r="BJ156" s="1">
        <v>18.2166</v>
      </c>
      <c r="BT156" s="1425">
        <v>45012</v>
      </c>
      <c r="BU156" s="1">
        <v>13.4541</v>
      </c>
      <c r="BV156" s="1">
        <v>2.3311000000000002</v>
      </c>
      <c r="BW156" s="1">
        <v>5.9024000000000001</v>
      </c>
      <c r="BX156" s="1">
        <v>1.6057999999999999</v>
      </c>
      <c r="BZ156" s="1425">
        <v>45012</v>
      </c>
      <c r="CA156" s="1">
        <v>23.815100000000001</v>
      </c>
      <c r="CB156" s="1">
        <v>3.8405</v>
      </c>
      <c r="CC156" s="1">
        <v>15.2188</v>
      </c>
      <c r="CD156" s="1">
        <v>2.3604599999999998</v>
      </c>
      <c r="CF156" s="1425">
        <v>45012</v>
      </c>
      <c r="CG156" s="1">
        <v>4.7854000000000001</v>
      </c>
      <c r="CH156" s="1">
        <v>1.0515000000000001</v>
      </c>
      <c r="CL156" s="1425">
        <v>45009</v>
      </c>
      <c r="CM156" s="1">
        <v>22.896100000000001</v>
      </c>
      <c r="CN156" s="1">
        <v>2.6206</v>
      </c>
      <c r="CO156" s="1">
        <v>11.3331</v>
      </c>
    </row>
    <row r="157" spans="1:93">
      <c r="A157" s="1425">
        <v>45009</v>
      </c>
      <c r="B157" s="20">
        <f t="shared" si="22"/>
        <v>7.8250000000000002</v>
      </c>
      <c r="C157" s="20">
        <f t="shared" si="24"/>
        <v>14.6198</v>
      </c>
      <c r="D157" s="20">
        <f t="shared" si="25"/>
        <v>11.7377</v>
      </c>
      <c r="E157" s="20">
        <f t="shared" si="26"/>
        <v>8.0723000000000003</v>
      </c>
      <c r="F157" s="20">
        <f t="shared" si="27"/>
        <v>15.784000000000001</v>
      </c>
      <c r="G157" s="20">
        <f t="shared" si="28"/>
        <v>12.1023</v>
      </c>
      <c r="H157" s="1239">
        <f t="shared" si="29"/>
        <v>12.1023</v>
      </c>
      <c r="I157" s="1243">
        <f t="shared" si="23"/>
        <v>-0.35342868710906183</v>
      </c>
      <c r="J157" s="1243">
        <f t="shared" si="30"/>
        <v>0.12093838824177333</v>
      </c>
      <c r="K157" s="1243">
        <f t="shared" si="31"/>
        <v>0.1</v>
      </c>
      <c r="L157" s="203"/>
      <c r="N157" s="1425">
        <v>45009</v>
      </c>
      <c r="O157" s="1502">
        <v>7.8250000000000002</v>
      </c>
      <c r="P157" s="1502">
        <v>2.2544</v>
      </c>
      <c r="Q157" s="1502">
        <v>8.2197999999999993</v>
      </c>
      <c r="R157" s="1233">
        <f>'B. PE'!$U$23</f>
        <v>15.978235616082999</v>
      </c>
      <c r="S157" s="1233"/>
      <c r="T157" s="1233"/>
      <c r="V157" s="1425">
        <v>45009</v>
      </c>
      <c r="W157" s="1">
        <v>14.6198</v>
      </c>
      <c r="X157" s="1">
        <v>1.0317000000000001</v>
      </c>
      <c r="Y157" s="1">
        <v>5.6894999999999998</v>
      </c>
      <c r="Z157" s="1">
        <v>0.78602000000000005</v>
      </c>
      <c r="AB157" s="1425">
        <v>44992</v>
      </c>
      <c r="AC157" s="1">
        <v>7.9283999999999999</v>
      </c>
      <c r="AD157" s="1502">
        <v>1.1939</v>
      </c>
      <c r="AE157" s="1">
        <v>5.1395999999999997</v>
      </c>
      <c r="AF157" s="1">
        <v>3.3689999999999998E-2</v>
      </c>
      <c r="AH157" s="1425">
        <v>44992</v>
      </c>
      <c r="AI157" s="1">
        <v>11.843400000000001</v>
      </c>
      <c r="AJ157" s="1">
        <v>2.1331000000000002</v>
      </c>
      <c r="AK157" s="1">
        <v>5.8220000000000001</v>
      </c>
      <c r="AL157" s="1">
        <v>3.7289999999999997E-2</v>
      </c>
      <c r="AN157" s="1425">
        <v>45005</v>
      </c>
      <c r="AO157" s="1">
        <v>8.0120000000000005</v>
      </c>
      <c r="AP157" s="1">
        <v>1.1646000000000001</v>
      </c>
      <c r="AQ157" s="1">
        <v>5.6090999999999998</v>
      </c>
      <c r="AR157" s="1">
        <v>0.28755999999999998</v>
      </c>
      <c r="AT157" s="1425">
        <v>45005</v>
      </c>
      <c r="AU157" s="1">
        <v>10.2371</v>
      </c>
      <c r="AV157" s="1">
        <v>0.86350000000000005</v>
      </c>
      <c r="AW157" s="1">
        <v>6.7037000000000004</v>
      </c>
      <c r="AX157" s="1">
        <v>0.20954</v>
      </c>
      <c r="BA157" s="1425">
        <v>45000</v>
      </c>
      <c r="BB157" s="1">
        <v>12.3566</v>
      </c>
      <c r="BC157" s="1">
        <v>2.4091999999999998</v>
      </c>
      <c r="BD157" s="1">
        <v>11.537699999999999</v>
      </c>
      <c r="BE157" s="1">
        <v>0.71250999999999998</v>
      </c>
      <c r="BG157" s="1425">
        <v>45000</v>
      </c>
      <c r="BH157" s="1">
        <v>15.679399999999999</v>
      </c>
      <c r="BI157" s="1">
        <v>3.1013999999999999</v>
      </c>
      <c r="BJ157" s="1">
        <v>18.389900000000001</v>
      </c>
      <c r="BT157" s="1425">
        <v>45009</v>
      </c>
      <c r="BU157" s="1">
        <v>13.4011</v>
      </c>
      <c r="BV157" s="1">
        <v>2.3218999999999999</v>
      </c>
      <c r="BW157" s="1">
        <v>5.8798000000000004</v>
      </c>
      <c r="BX157" s="1">
        <v>1.6108</v>
      </c>
      <c r="BZ157" s="1425">
        <v>45009</v>
      </c>
      <c r="CA157" s="1">
        <v>23.778500000000001</v>
      </c>
      <c r="CB157" s="1">
        <v>3.8346</v>
      </c>
      <c r="CC157" s="1">
        <v>15.2028</v>
      </c>
      <c r="CD157" s="1">
        <v>2.4101300000000001</v>
      </c>
      <c r="CF157" s="1425">
        <v>45009</v>
      </c>
      <c r="CG157" s="1">
        <v>4.9271000000000003</v>
      </c>
      <c r="CH157" s="1">
        <v>1.0826</v>
      </c>
      <c r="CL157" s="1425">
        <v>45008</v>
      </c>
      <c r="CM157" s="1">
        <v>23.2515</v>
      </c>
      <c r="CN157" s="1">
        <v>2.6613000000000002</v>
      </c>
      <c r="CO157" s="1">
        <v>11.493600000000001</v>
      </c>
    </row>
    <row r="158" spans="1:93">
      <c r="A158" s="1425">
        <v>45008</v>
      </c>
      <c r="B158" s="20">
        <f t="shared" si="22"/>
        <v>7.8722000000000003</v>
      </c>
      <c r="C158" s="20">
        <f t="shared" si="24"/>
        <v>14.547499999999999</v>
      </c>
      <c r="D158" s="20">
        <f t="shared" si="25"/>
        <v>11.7377</v>
      </c>
      <c r="E158" s="20">
        <f t="shared" si="26"/>
        <v>8.1325000000000003</v>
      </c>
      <c r="F158" s="20">
        <f t="shared" si="27"/>
        <v>15.784000000000001</v>
      </c>
      <c r="G158" s="20">
        <f t="shared" si="28"/>
        <v>12.051500000000001</v>
      </c>
      <c r="H158" s="1239">
        <f t="shared" si="29"/>
        <v>12.051500000000001</v>
      </c>
      <c r="I158" s="1243">
        <f t="shared" si="23"/>
        <v>-0.34678670704891512</v>
      </c>
      <c r="J158" s="1243">
        <f t="shared" si="30"/>
        <v>0.12093838824177333</v>
      </c>
      <c r="K158" s="1243">
        <f t="shared" si="31"/>
        <v>0.1</v>
      </c>
      <c r="L158" s="203"/>
      <c r="N158" s="1425">
        <v>45008</v>
      </c>
      <c r="O158" s="1502">
        <v>7.8722000000000003</v>
      </c>
      <c r="P158" s="1502">
        <v>2.2679999999999998</v>
      </c>
      <c r="Q158" s="1502">
        <v>8.2608999999999995</v>
      </c>
      <c r="R158" s="1233">
        <f>'B. PE'!$U$23</f>
        <v>15.978235616082999</v>
      </c>
      <c r="S158" s="1233"/>
      <c r="T158" s="1233"/>
      <c r="V158" s="1425">
        <v>45008</v>
      </c>
      <c r="W158" s="1">
        <v>14.547499999999999</v>
      </c>
      <c r="X158" s="1">
        <v>1.0266</v>
      </c>
      <c r="Y158" s="1">
        <v>5.6700999999999997</v>
      </c>
      <c r="Z158" s="1">
        <v>0.78522000000000003</v>
      </c>
      <c r="AB158" s="1425">
        <v>44991</v>
      </c>
      <c r="AC158" s="1">
        <v>8.0838999999999999</v>
      </c>
      <c r="AD158" s="1502">
        <v>1.2173</v>
      </c>
      <c r="AE158" s="1">
        <v>5.2058</v>
      </c>
      <c r="AF158" s="1">
        <v>3.3259999999999998E-2</v>
      </c>
      <c r="AH158" s="1425">
        <v>44991</v>
      </c>
      <c r="AI158" s="1">
        <v>11.843400000000001</v>
      </c>
      <c r="AJ158" s="1">
        <v>2.1331000000000002</v>
      </c>
      <c r="AK158" s="1">
        <v>5.8220000000000001</v>
      </c>
      <c r="AL158" s="1">
        <v>3.8150000000000003E-2</v>
      </c>
      <c r="AN158" s="1425">
        <v>45002</v>
      </c>
      <c r="AO158" s="1">
        <v>8.0723000000000003</v>
      </c>
      <c r="AP158" s="1">
        <v>1.1734</v>
      </c>
      <c r="AQ158" s="1">
        <v>5.6542000000000003</v>
      </c>
      <c r="AR158" s="1">
        <v>0.28743000000000002</v>
      </c>
      <c r="AT158" s="1425">
        <v>45002</v>
      </c>
      <c r="AU158" s="1">
        <v>10.344799999999999</v>
      </c>
      <c r="AV158" s="1">
        <v>0.87260000000000004</v>
      </c>
      <c r="AW158" s="1">
        <v>6.77</v>
      </c>
      <c r="AX158" s="1">
        <v>0.22059000000000001</v>
      </c>
      <c r="BA158" s="1425">
        <v>44999</v>
      </c>
      <c r="BB158" s="1">
        <v>12.1023</v>
      </c>
      <c r="BC158" s="1">
        <v>2.3597000000000001</v>
      </c>
      <c r="BD158" s="1">
        <v>11.3725</v>
      </c>
      <c r="BE158" s="1">
        <v>0.72114999999999996</v>
      </c>
      <c r="BG158" s="1425">
        <v>44999</v>
      </c>
      <c r="BH158" s="1">
        <v>15.2613</v>
      </c>
      <c r="BI158" s="1">
        <v>3.0186000000000002</v>
      </c>
      <c r="BJ158" s="1">
        <v>18.043199999999999</v>
      </c>
      <c r="BT158" s="1425">
        <v>45008</v>
      </c>
      <c r="BU158" s="1">
        <v>13.348100000000001</v>
      </c>
      <c r="BV158" s="1">
        <v>2.3127</v>
      </c>
      <c r="BW158" s="1">
        <v>5.8571</v>
      </c>
      <c r="BX158" s="1">
        <v>1.6325000000000001</v>
      </c>
      <c r="BZ158" s="1425">
        <v>45008</v>
      </c>
      <c r="CA158" s="1">
        <v>23.376100000000001</v>
      </c>
      <c r="CB158" s="1">
        <v>3.7696999999999998</v>
      </c>
      <c r="CC158" s="1">
        <v>15.0265</v>
      </c>
      <c r="CD158" s="1">
        <v>2.4666700000000001</v>
      </c>
      <c r="CF158" s="1425">
        <v>45008</v>
      </c>
      <c r="CG158" s="1">
        <v>4.7854000000000001</v>
      </c>
      <c r="CH158" s="1">
        <v>1.0515000000000001</v>
      </c>
      <c r="CL158" s="1425">
        <v>45007</v>
      </c>
      <c r="CM158" s="1">
        <v>23.4131</v>
      </c>
      <c r="CN158" s="1">
        <v>2.6798000000000002</v>
      </c>
      <c r="CO158" s="1">
        <v>11.5665</v>
      </c>
    </row>
    <row r="159" spans="1:93">
      <c r="A159" s="1425">
        <v>45007</v>
      </c>
      <c r="B159" s="20">
        <f t="shared" si="22"/>
        <v>7.7304000000000004</v>
      </c>
      <c r="C159" s="20">
        <f t="shared" si="24"/>
        <v>14.475099999999999</v>
      </c>
      <c r="D159" s="20">
        <f t="shared" si="25"/>
        <v>11.7377</v>
      </c>
      <c r="E159" s="20">
        <f t="shared" si="26"/>
        <v>8.0120000000000005</v>
      </c>
      <c r="F159" s="20">
        <f t="shared" si="27"/>
        <v>15.888500000000001</v>
      </c>
      <c r="G159" s="20">
        <f t="shared" si="28"/>
        <v>12.204000000000001</v>
      </c>
      <c r="H159" s="1239">
        <f t="shared" si="29"/>
        <v>12.204000000000001</v>
      </c>
      <c r="I159" s="1243">
        <f t="shared" si="23"/>
        <v>-0.36656833824975421</v>
      </c>
      <c r="J159" s="1243">
        <f t="shared" si="30"/>
        <v>0.12093838824177333</v>
      </c>
      <c r="K159" s="1243">
        <f t="shared" si="31"/>
        <v>0.1</v>
      </c>
      <c r="L159" s="203"/>
      <c r="N159" s="1425">
        <v>45007</v>
      </c>
      <c r="O159" s="1502">
        <v>7.7304000000000004</v>
      </c>
      <c r="P159" s="1502">
        <v>2.2271000000000001</v>
      </c>
      <c r="Q159" s="1502">
        <v>8.1377000000000006</v>
      </c>
      <c r="R159" s="1233">
        <f>'B. PE'!$U$23</f>
        <v>15.978235616082999</v>
      </c>
      <c r="S159" s="1233"/>
      <c r="T159" s="1233"/>
      <c r="V159" s="1425">
        <v>45007</v>
      </c>
      <c r="W159" s="1">
        <v>14.475099999999999</v>
      </c>
      <c r="X159" s="1">
        <v>1.0215000000000001</v>
      </c>
      <c r="Y159" s="1">
        <v>5.6508000000000003</v>
      </c>
      <c r="Z159" s="1">
        <v>0.77922999999999998</v>
      </c>
      <c r="AB159" s="1425">
        <v>44988</v>
      </c>
      <c r="AC159" s="1">
        <v>8.0061</v>
      </c>
      <c r="AD159" s="1502">
        <v>1.2056</v>
      </c>
      <c r="AE159" s="1">
        <v>5.1726999999999999</v>
      </c>
      <c r="AF159" s="1">
        <v>3.4450000000000001E-2</v>
      </c>
      <c r="AH159" s="1425">
        <v>44988</v>
      </c>
      <c r="AI159" s="1">
        <v>12.0549</v>
      </c>
      <c r="AJ159" s="1">
        <v>2.1711999999999998</v>
      </c>
      <c r="AK159" s="1">
        <v>5.9288999999999996</v>
      </c>
      <c r="AL159" s="1">
        <v>3.8719999999999997E-2</v>
      </c>
      <c r="AN159" s="1425">
        <v>45001</v>
      </c>
      <c r="AO159" s="1">
        <v>7.7710999999999997</v>
      </c>
      <c r="AP159" s="1">
        <v>1.1295999999999999</v>
      </c>
      <c r="AQ159" s="1">
        <v>5.4286000000000003</v>
      </c>
      <c r="AR159" s="1">
        <v>0.28248000000000001</v>
      </c>
      <c r="AT159" s="1425">
        <v>45001</v>
      </c>
      <c r="AU159" s="1">
        <v>10.129300000000001</v>
      </c>
      <c r="AV159" s="1">
        <v>0.85440000000000005</v>
      </c>
      <c r="AW159" s="1">
        <v>6.6374000000000004</v>
      </c>
      <c r="AX159" s="1">
        <v>0.21521999999999999</v>
      </c>
      <c r="BA159" s="1425">
        <v>44998</v>
      </c>
      <c r="BB159" s="1">
        <v>12.5091</v>
      </c>
      <c r="BC159" s="1">
        <v>2.4390000000000001</v>
      </c>
      <c r="BD159" s="1">
        <v>11.636799999999999</v>
      </c>
      <c r="BE159" s="1">
        <v>0.72177999999999998</v>
      </c>
      <c r="BG159" s="1425">
        <v>44998</v>
      </c>
      <c r="BH159" s="1">
        <v>16.0976</v>
      </c>
      <c r="BI159" s="1">
        <v>3.1840999999999999</v>
      </c>
      <c r="BJ159" s="1">
        <v>18.736599999999999</v>
      </c>
      <c r="BT159" s="1425">
        <v>45007</v>
      </c>
      <c r="BU159" s="1">
        <v>13.4011</v>
      </c>
      <c r="BV159" s="1">
        <v>2.3218999999999999</v>
      </c>
      <c r="BW159" s="1">
        <v>5.8798000000000004</v>
      </c>
      <c r="BX159" s="1">
        <v>1.6153</v>
      </c>
      <c r="BZ159" s="1425">
        <v>45007</v>
      </c>
      <c r="CA159" s="1">
        <v>23.888300000000001</v>
      </c>
      <c r="CB159" s="1">
        <v>3.8523000000000001</v>
      </c>
      <c r="CC159" s="1">
        <v>15.2508</v>
      </c>
      <c r="CD159" s="1">
        <v>2.4331800000000001</v>
      </c>
      <c r="CF159" s="1425">
        <v>45007</v>
      </c>
      <c r="CG159" s="1">
        <v>4.7854000000000001</v>
      </c>
      <c r="CH159" s="1">
        <v>1.0515000000000001</v>
      </c>
      <c r="CL159" s="1425">
        <v>45006</v>
      </c>
      <c r="CM159" s="1">
        <v>23.267700000000001</v>
      </c>
      <c r="CN159" s="1">
        <v>2.6631</v>
      </c>
      <c r="CO159" s="1">
        <v>11.5009</v>
      </c>
    </row>
    <row r="160" spans="1:93">
      <c r="A160" s="1425">
        <v>45006</v>
      </c>
      <c r="B160" s="20">
        <f t="shared" si="22"/>
        <v>8.0376999999999992</v>
      </c>
      <c r="C160" s="20">
        <f t="shared" si="24"/>
        <v>14.475099999999999</v>
      </c>
      <c r="D160" s="20">
        <f t="shared" si="25"/>
        <v>11.843400000000001</v>
      </c>
      <c r="E160" s="20">
        <f t="shared" si="26"/>
        <v>8.0120000000000005</v>
      </c>
      <c r="F160" s="20">
        <f t="shared" si="27"/>
        <v>15.784000000000001</v>
      </c>
      <c r="G160" s="20">
        <f t="shared" si="28"/>
        <v>12.3566</v>
      </c>
      <c r="H160" s="1239">
        <f t="shared" si="29"/>
        <v>12.3566</v>
      </c>
      <c r="I160" s="1243">
        <f t="shared" si="23"/>
        <v>-0.34952171309259839</v>
      </c>
      <c r="J160" s="1243">
        <f t="shared" si="30"/>
        <v>0.12093838824177333</v>
      </c>
      <c r="K160" s="1243">
        <f t="shared" si="31"/>
        <v>0.1</v>
      </c>
      <c r="L160" s="203"/>
      <c r="N160" s="1425">
        <v>45006</v>
      </c>
      <c r="O160" s="1502">
        <v>8.0376999999999992</v>
      </c>
      <c r="P160" s="1502">
        <v>2.3157000000000001</v>
      </c>
      <c r="Q160" s="1502">
        <v>8.4047000000000001</v>
      </c>
      <c r="R160" s="1233">
        <f>'B. PE'!$U$23</f>
        <v>15.978235616082999</v>
      </c>
      <c r="S160" s="1233"/>
      <c r="T160" s="1233"/>
      <c r="V160" s="1425">
        <v>45006</v>
      </c>
      <c r="W160" s="1">
        <v>14.475099999999999</v>
      </c>
      <c r="X160" s="1">
        <v>1.0215000000000001</v>
      </c>
      <c r="Y160" s="1">
        <v>5.6508000000000003</v>
      </c>
      <c r="Z160" s="1">
        <v>0.81259000000000003</v>
      </c>
      <c r="AB160" s="1425">
        <v>44987</v>
      </c>
      <c r="AC160" s="1">
        <v>7.9283999999999999</v>
      </c>
      <c r="AD160" s="1502">
        <v>1.1939</v>
      </c>
      <c r="AE160" s="1">
        <v>5.1395999999999997</v>
      </c>
      <c r="AF160" s="1">
        <v>3.3750000000000002E-2</v>
      </c>
      <c r="AH160" s="1425">
        <v>44987</v>
      </c>
      <c r="AI160" s="1">
        <v>12.3721</v>
      </c>
      <c r="AJ160" s="1">
        <v>2.2282999999999999</v>
      </c>
      <c r="AK160" s="1">
        <v>6.0892999999999997</v>
      </c>
      <c r="AL160" s="1">
        <v>3.9329999999999997E-2</v>
      </c>
      <c r="AN160" s="1425">
        <v>45000</v>
      </c>
      <c r="AO160" s="1">
        <v>7.7710999999999997</v>
      </c>
      <c r="AP160" s="1">
        <v>1.1295999999999999</v>
      </c>
      <c r="AQ160" s="1">
        <v>5.4286000000000003</v>
      </c>
      <c r="AR160" s="1">
        <v>0.29437999999999998</v>
      </c>
      <c r="AT160" s="1425">
        <v>45000</v>
      </c>
      <c r="AU160" s="1">
        <v>10.668100000000001</v>
      </c>
      <c r="AV160" s="1">
        <v>0.89990000000000003</v>
      </c>
      <c r="AW160" s="1">
        <v>6.9688999999999997</v>
      </c>
      <c r="AX160" s="1">
        <v>0.22697000000000001</v>
      </c>
      <c r="BA160" s="1425">
        <v>44995</v>
      </c>
      <c r="BB160" s="1">
        <v>12.7125</v>
      </c>
      <c r="BC160" s="1">
        <v>2.4786000000000001</v>
      </c>
      <c r="BD160" s="1">
        <v>11.769</v>
      </c>
      <c r="BE160" s="1">
        <v>0.75580000000000003</v>
      </c>
      <c r="BG160" s="1425">
        <v>44995</v>
      </c>
      <c r="BH160" s="1">
        <v>16.202100000000002</v>
      </c>
      <c r="BI160" s="1">
        <v>3.2046999999999999</v>
      </c>
      <c r="BJ160" s="1">
        <v>18.8233</v>
      </c>
      <c r="BT160" s="1425">
        <v>45006</v>
      </c>
      <c r="BU160" s="1">
        <v>13.5953</v>
      </c>
      <c r="BV160" s="1">
        <v>2.3555000000000001</v>
      </c>
      <c r="BW160" s="1">
        <v>5.9627999999999997</v>
      </c>
      <c r="BX160" s="1">
        <v>1.6704000000000001</v>
      </c>
      <c r="BZ160" s="1425">
        <v>45006</v>
      </c>
      <c r="CA160" s="1">
        <v>24.473600000000001</v>
      </c>
      <c r="CB160" s="1">
        <v>3.9466999999999999</v>
      </c>
      <c r="CC160" s="1">
        <v>15.507199999999999</v>
      </c>
      <c r="CD160" s="1">
        <v>2.5400900000000002</v>
      </c>
      <c r="CF160" s="1425">
        <v>45006</v>
      </c>
      <c r="CG160" s="1">
        <v>4.8563000000000001</v>
      </c>
      <c r="CH160" s="1">
        <v>1.0669999999999999</v>
      </c>
      <c r="CL160" s="1425">
        <v>45005</v>
      </c>
      <c r="CM160" s="1">
        <v>23.073799999999999</v>
      </c>
      <c r="CN160" s="1">
        <v>2.6408999999999998</v>
      </c>
      <c r="CO160" s="1">
        <v>11.4133</v>
      </c>
    </row>
    <row r="161" spans="1:93">
      <c r="A161" s="1425">
        <v>45005</v>
      </c>
      <c r="B161" s="20">
        <f t="shared" si="22"/>
        <v>8.0376999999999992</v>
      </c>
      <c r="C161" s="20">
        <f t="shared" si="24"/>
        <v>14.3665</v>
      </c>
      <c r="D161" s="20">
        <f t="shared" si="25"/>
        <v>11.843400000000001</v>
      </c>
      <c r="E161" s="20">
        <f t="shared" si="26"/>
        <v>8.0120000000000005</v>
      </c>
      <c r="F161" s="20">
        <f t="shared" si="27"/>
        <v>15.4704</v>
      </c>
      <c r="G161" s="20">
        <f t="shared" si="28"/>
        <v>12.3566</v>
      </c>
      <c r="H161" s="1239">
        <f t="shared" si="29"/>
        <v>12.3566</v>
      </c>
      <c r="I161" s="1243">
        <f t="shared" si="23"/>
        <v>-0.34952171309259839</v>
      </c>
      <c r="J161" s="1243">
        <f t="shared" si="30"/>
        <v>0.12093838824177333</v>
      </c>
      <c r="K161" s="1243">
        <f t="shared" si="31"/>
        <v>0.1</v>
      </c>
      <c r="L161" s="203"/>
      <c r="N161" s="1425">
        <v>45005</v>
      </c>
      <c r="O161" s="1502">
        <v>8.0376999999999992</v>
      </c>
      <c r="P161" s="1502">
        <v>2.3157000000000001</v>
      </c>
      <c r="Q161" s="1502">
        <v>8.4047000000000001</v>
      </c>
      <c r="R161" s="1233">
        <f>'B. PE'!$U$23</f>
        <v>15.978235616082999</v>
      </c>
      <c r="S161" s="1233"/>
      <c r="T161" s="1233"/>
      <c r="V161" s="1425">
        <v>45005</v>
      </c>
      <c r="W161" s="1">
        <v>14.3665</v>
      </c>
      <c r="X161" s="1">
        <v>1.0138</v>
      </c>
      <c r="Y161" s="1">
        <v>5.6218000000000004</v>
      </c>
      <c r="Z161" s="1">
        <v>0.80498000000000003</v>
      </c>
      <c r="AB161" s="1425">
        <v>44986</v>
      </c>
      <c r="AC161" s="1">
        <v>8.1616</v>
      </c>
      <c r="AD161" s="1502">
        <v>1.2290000000000001</v>
      </c>
      <c r="AE161" s="1">
        <v>5.2389000000000001</v>
      </c>
      <c r="AF161" s="1">
        <v>3.4849999999999999E-2</v>
      </c>
      <c r="AH161" s="1425">
        <v>44986</v>
      </c>
      <c r="AI161" s="1">
        <v>12.4779</v>
      </c>
      <c r="AJ161" s="1">
        <v>2.2473999999999998</v>
      </c>
      <c r="AK161" s="1">
        <v>6.1426999999999996</v>
      </c>
      <c r="AL161" s="1">
        <v>3.7479999999999999E-2</v>
      </c>
      <c r="AN161" s="1425">
        <v>44999</v>
      </c>
      <c r="AO161" s="1">
        <v>7.5903999999999998</v>
      </c>
      <c r="AP161" s="1">
        <v>1.1032999999999999</v>
      </c>
      <c r="AQ161" s="1">
        <v>5.2933000000000003</v>
      </c>
      <c r="AR161" s="1">
        <v>0.29204000000000002</v>
      </c>
      <c r="AT161" s="1425">
        <v>44999</v>
      </c>
      <c r="AU161" s="1">
        <v>10.344799999999999</v>
      </c>
      <c r="AV161" s="1">
        <v>0.87260000000000004</v>
      </c>
      <c r="AW161" s="1">
        <v>6.77</v>
      </c>
      <c r="AX161" s="1">
        <v>0.23230000000000001</v>
      </c>
      <c r="BA161" s="1425">
        <v>44994</v>
      </c>
      <c r="BB161" s="1">
        <v>12.839700000000001</v>
      </c>
      <c r="BC161" s="1">
        <v>2.5034000000000001</v>
      </c>
      <c r="BD161" s="1">
        <v>11.851599999999999</v>
      </c>
      <c r="BE161" s="1">
        <v>0.74924999999999997</v>
      </c>
      <c r="BG161" s="1425">
        <v>44994</v>
      </c>
      <c r="BH161" s="1">
        <v>16.3066</v>
      </c>
      <c r="BI161" s="1">
        <v>3.2254</v>
      </c>
      <c r="BJ161" s="1">
        <v>18.91</v>
      </c>
      <c r="BT161" s="1425">
        <v>45005</v>
      </c>
      <c r="BU161" s="1">
        <v>13.4541</v>
      </c>
      <c r="BV161" s="1">
        <v>2.3311000000000002</v>
      </c>
      <c r="BW161" s="1">
        <v>5.9024000000000001</v>
      </c>
      <c r="BX161" s="1">
        <v>1.6709000000000001</v>
      </c>
      <c r="BZ161" s="1425">
        <v>45005</v>
      </c>
      <c r="CA161" s="1">
        <v>24.144400000000001</v>
      </c>
      <c r="CB161" s="1">
        <v>3.8936000000000002</v>
      </c>
      <c r="CC161" s="1">
        <v>15.363</v>
      </c>
      <c r="CD161" s="1">
        <v>2.58141</v>
      </c>
      <c r="CF161" s="1425">
        <v>45002</v>
      </c>
      <c r="CG161" s="1">
        <v>4.9271000000000003</v>
      </c>
      <c r="CH161" s="1">
        <v>1.0826</v>
      </c>
      <c r="CL161" s="1425">
        <v>45002</v>
      </c>
      <c r="CM161" s="1">
        <v>23.5747</v>
      </c>
      <c r="CN161" s="1">
        <v>2.6983000000000001</v>
      </c>
      <c r="CO161" s="1">
        <v>11.6395</v>
      </c>
    </row>
    <row r="162" spans="1:93">
      <c r="A162" s="1425">
        <v>45002</v>
      </c>
      <c r="B162" s="20">
        <f t="shared" si="22"/>
        <v>8.2622999999999998</v>
      </c>
      <c r="C162" s="20">
        <f t="shared" si="24"/>
        <v>14.9817</v>
      </c>
      <c r="D162" s="20">
        <f t="shared" si="25"/>
        <v>12.160600000000001</v>
      </c>
      <c r="E162" s="20">
        <f t="shared" si="26"/>
        <v>8.0723000000000003</v>
      </c>
      <c r="F162" s="20">
        <f t="shared" si="27"/>
        <v>15.679399999999999</v>
      </c>
      <c r="G162" s="20">
        <f t="shared" si="28"/>
        <v>12.407400000000001</v>
      </c>
      <c r="H162" s="1239">
        <f t="shared" si="29"/>
        <v>12.407400000000001</v>
      </c>
      <c r="I162" s="1243">
        <f t="shared" si="23"/>
        <v>-0.33408288601963354</v>
      </c>
      <c r="J162" s="1243">
        <f t="shared" si="30"/>
        <v>0.12093838824177333</v>
      </c>
      <c r="K162" s="1243">
        <f t="shared" si="31"/>
        <v>0.1</v>
      </c>
      <c r="L162" s="203"/>
      <c r="N162" s="1425">
        <v>45002</v>
      </c>
      <c r="O162" s="1502">
        <v>8.2622999999999998</v>
      </c>
      <c r="P162" s="1502">
        <v>2.3803999999999998</v>
      </c>
      <c r="Q162" s="1502">
        <v>8.5998000000000001</v>
      </c>
      <c r="R162" s="1233">
        <f>'B. PE'!$U$23</f>
        <v>15.978235616082999</v>
      </c>
      <c r="S162" s="1233"/>
      <c r="T162" s="1233"/>
      <c r="V162" s="1425">
        <v>45002</v>
      </c>
      <c r="W162" s="1">
        <v>14.9817</v>
      </c>
      <c r="X162" s="1">
        <v>1.0571999999999999</v>
      </c>
      <c r="Y162" s="1">
        <v>5.7862</v>
      </c>
      <c r="Z162" s="1">
        <v>0.83043999999999996</v>
      </c>
      <c r="AB162" s="1425">
        <v>44985</v>
      </c>
      <c r="AC162" s="1">
        <v>8.0061</v>
      </c>
      <c r="AD162" s="1502">
        <v>1.2056</v>
      </c>
      <c r="AE162" s="1">
        <v>5.1726999999999999</v>
      </c>
      <c r="AF162" s="1">
        <v>3.5380000000000002E-2</v>
      </c>
      <c r="AH162" s="1425">
        <v>44985</v>
      </c>
      <c r="AI162" s="1">
        <v>12.689399999999999</v>
      </c>
      <c r="AJ162" s="1">
        <v>2.2854999999999999</v>
      </c>
      <c r="AK162" s="1">
        <v>6.2496</v>
      </c>
      <c r="AL162" s="1">
        <v>3.7679999999999998E-2</v>
      </c>
      <c r="AN162" s="1425">
        <v>44998</v>
      </c>
      <c r="AO162" s="1">
        <v>7.8916000000000004</v>
      </c>
      <c r="AP162" s="1">
        <v>1.1471</v>
      </c>
      <c r="AQ162" s="1">
        <v>5.5187999999999997</v>
      </c>
      <c r="AR162" s="1">
        <v>0.29044999999999999</v>
      </c>
      <c r="AT162" s="1425">
        <v>44998</v>
      </c>
      <c r="AU162" s="1">
        <v>10.883599999999999</v>
      </c>
      <c r="AV162" s="1">
        <v>0.91810000000000003</v>
      </c>
      <c r="AW162" s="1">
        <v>7.1013999999999999</v>
      </c>
      <c r="AX162" s="1">
        <v>0.23280000000000001</v>
      </c>
      <c r="BA162" s="1425">
        <v>44993</v>
      </c>
      <c r="BB162" s="1">
        <v>13.475300000000001</v>
      </c>
      <c r="BC162" s="1">
        <v>2.6274000000000002</v>
      </c>
      <c r="BD162" s="1">
        <v>12.2645</v>
      </c>
      <c r="BE162" s="1">
        <v>0.73794999999999999</v>
      </c>
      <c r="BG162" s="1425">
        <v>44993</v>
      </c>
      <c r="BH162" s="1">
        <v>16.8293</v>
      </c>
      <c r="BI162" s="1">
        <v>3.3288000000000002</v>
      </c>
      <c r="BJ162" s="1">
        <v>19.343399999999999</v>
      </c>
      <c r="BT162" s="1425">
        <v>45002</v>
      </c>
      <c r="BU162" s="1">
        <v>13.9131</v>
      </c>
      <c r="BV162" s="1">
        <v>2.4106000000000001</v>
      </c>
      <c r="BW162" s="1">
        <v>6.0986000000000002</v>
      </c>
      <c r="BX162" s="1">
        <v>1.6961999999999999</v>
      </c>
      <c r="BZ162" s="1425">
        <v>45002</v>
      </c>
      <c r="CA162" s="1">
        <v>25.205200000000001</v>
      </c>
      <c r="CB162" s="1">
        <v>4.0647000000000002</v>
      </c>
      <c r="CC162" s="1">
        <v>15.8277</v>
      </c>
      <c r="CD162" s="1">
        <v>2.6364999999999998</v>
      </c>
      <c r="CF162" s="1425">
        <v>45001</v>
      </c>
      <c r="CG162" s="1">
        <v>4.9271000000000003</v>
      </c>
      <c r="CH162" s="1">
        <v>1.0826</v>
      </c>
      <c r="CL162" s="1425">
        <v>45001</v>
      </c>
      <c r="CM162" s="1">
        <v>24.010999999999999</v>
      </c>
      <c r="CN162" s="1">
        <v>2.7482000000000002</v>
      </c>
      <c r="CO162" s="1">
        <v>11.836499999999999</v>
      </c>
    </row>
    <row r="163" spans="1:93">
      <c r="A163" s="1425">
        <v>45001</v>
      </c>
      <c r="B163" s="20">
        <f t="shared" si="22"/>
        <v>8.2032000000000007</v>
      </c>
      <c r="C163" s="20">
        <f t="shared" si="24"/>
        <v>14.837</v>
      </c>
      <c r="D163" s="20">
        <f t="shared" si="25"/>
        <v>11.7377</v>
      </c>
      <c r="E163" s="20">
        <f t="shared" si="26"/>
        <v>7.7710999999999997</v>
      </c>
      <c r="F163" s="20">
        <f t="shared" si="27"/>
        <v>15.4704</v>
      </c>
      <c r="G163" s="20">
        <f t="shared" si="28"/>
        <v>12.254899999999999</v>
      </c>
      <c r="H163" s="1239">
        <f t="shared" si="29"/>
        <v>12.254899999999999</v>
      </c>
      <c r="I163" s="1243">
        <f t="shared" si="23"/>
        <v>-0.33061877289900354</v>
      </c>
      <c r="J163" s="1243">
        <f t="shared" si="30"/>
        <v>0.12093838824177333</v>
      </c>
      <c r="K163" s="1243">
        <f t="shared" si="31"/>
        <v>0.1</v>
      </c>
      <c r="L163" s="203"/>
      <c r="N163" s="1425">
        <v>45001</v>
      </c>
      <c r="O163" s="1502">
        <v>8.2032000000000007</v>
      </c>
      <c r="P163" s="1502">
        <v>2.3633999999999999</v>
      </c>
      <c r="Q163" s="1502">
        <v>8.5484000000000009</v>
      </c>
      <c r="R163" s="1233">
        <f>'B. PE'!$U$23</f>
        <v>15.978235616082999</v>
      </c>
      <c r="S163" s="1233"/>
      <c r="T163" s="1233"/>
      <c r="V163" s="1425">
        <v>45001</v>
      </c>
      <c r="W163" s="1">
        <v>14.837</v>
      </c>
      <c r="X163" s="1">
        <v>1.0469999999999999</v>
      </c>
      <c r="Y163" s="1">
        <v>5.7474999999999996</v>
      </c>
      <c r="Z163" s="1">
        <v>0.79681999999999997</v>
      </c>
      <c r="AB163" s="1425">
        <v>44984</v>
      </c>
      <c r="AC163" s="1">
        <v>8.2393000000000001</v>
      </c>
      <c r="AD163" s="1502">
        <v>1.2406999999999999</v>
      </c>
      <c r="AE163" s="1">
        <v>5.2720000000000002</v>
      </c>
      <c r="AF163" s="1">
        <v>3.6139999999999999E-2</v>
      </c>
      <c r="AH163" s="1425">
        <v>44984</v>
      </c>
      <c r="AI163" s="1">
        <v>12.0549</v>
      </c>
      <c r="AJ163" s="1">
        <v>2.1711999999999998</v>
      </c>
      <c r="AK163" s="1">
        <v>5.9288999999999996</v>
      </c>
      <c r="AL163" s="1">
        <v>3.7449999999999997E-2</v>
      </c>
      <c r="AN163" s="1425">
        <v>44995</v>
      </c>
      <c r="AO163" s="1">
        <v>7.9518000000000004</v>
      </c>
      <c r="AP163" s="1">
        <v>1.1558999999999999</v>
      </c>
      <c r="AQ163" s="1">
        <v>5.5639000000000003</v>
      </c>
      <c r="AR163" s="1">
        <v>0.28748000000000001</v>
      </c>
      <c r="AT163" s="1425">
        <v>44995</v>
      </c>
      <c r="AU163" s="1">
        <v>11.3147</v>
      </c>
      <c r="AV163" s="1">
        <v>0.95440000000000003</v>
      </c>
      <c r="AW163" s="1">
        <v>7.3666</v>
      </c>
      <c r="AX163" s="1">
        <v>0.22999</v>
      </c>
      <c r="BA163" s="1425">
        <v>44992</v>
      </c>
      <c r="BB163" s="1">
        <v>13.3482</v>
      </c>
      <c r="BC163" s="1">
        <v>2.6025999999999998</v>
      </c>
      <c r="BD163" s="1">
        <v>12.181900000000001</v>
      </c>
      <c r="BE163" s="1">
        <v>0.73843999999999999</v>
      </c>
      <c r="BG163" s="1425">
        <v>44992</v>
      </c>
      <c r="BH163" s="1">
        <v>16.724699999999999</v>
      </c>
      <c r="BI163" s="1">
        <v>3.3081</v>
      </c>
      <c r="BJ163" s="1">
        <v>19.256699999999999</v>
      </c>
      <c r="BT163" s="1425">
        <v>45001</v>
      </c>
      <c r="BU163" s="1">
        <v>13.9131</v>
      </c>
      <c r="BV163" s="1">
        <v>2.4106000000000001</v>
      </c>
      <c r="BW163" s="1">
        <v>6.0986000000000002</v>
      </c>
      <c r="BX163" s="1">
        <v>1.6364000000000001</v>
      </c>
      <c r="BZ163" s="1425">
        <v>45001</v>
      </c>
      <c r="CA163" s="1">
        <v>25.607600000000001</v>
      </c>
      <c r="CB163" s="1">
        <v>4.1295000000000002</v>
      </c>
      <c r="CC163" s="1">
        <v>16.003900000000002</v>
      </c>
      <c r="CD163" s="1">
        <v>2.56568</v>
      </c>
      <c r="CF163" s="1425">
        <v>45000</v>
      </c>
      <c r="CG163" s="1">
        <v>4.7854000000000001</v>
      </c>
      <c r="CH163" s="1">
        <v>1.0515000000000001</v>
      </c>
      <c r="CL163" s="1425">
        <v>45000</v>
      </c>
      <c r="CM163" s="1">
        <v>23.606999999999999</v>
      </c>
      <c r="CN163" s="1">
        <v>2.702</v>
      </c>
      <c r="CO163" s="1">
        <v>11.6541</v>
      </c>
    </row>
    <row r="164" spans="1:93">
      <c r="A164" s="1425">
        <v>45000</v>
      </c>
      <c r="B164" s="20">
        <f t="shared" si="22"/>
        <v>8.4160000000000004</v>
      </c>
      <c r="C164" s="20">
        <f t="shared" si="24"/>
        <v>15.307399999999999</v>
      </c>
      <c r="D164" s="20">
        <f t="shared" si="25"/>
        <v>11.7377</v>
      </c>
      <c r="E164" s="20">
        <f t="shared" si="26"/>
        <v>7.7710999999999997</v>
      </c>
      <c r="F164" s="20">
        <f t="shared" si="27"/>
        <v>15.679399999999999</v>
      </c>
      <c r="G164" s="20">
        <f t="shared" si="28"/>
        <v>12.3566</v>
      </c>
      <c r="H164" s="1239">
        <f t="shared" si="29"/>
        <v>12.3566</v>
      </c>
      <c r="I164" s="1243">
        <f t="shared" si="23"/>
        <v>-0.31890649531424498</v>
      </c>
      <c r="J164" s="1243">
        <f t="shared" si="30"/>
        <v>0.12093838824177333</v>
      </c>
      <c r="K164" s="1243">
        <f t="shared" si="31"/>
        <v>0.1</v>
      </c>
      <c r="L164" s="203"/>
      <c r="N164" s="1425">
        <v>45000</v>
      </c>
      <c r="O164" s="1502">
        <v>8.4160000000000004</v>
      </c>
      <c r="P164" s="1502">
        <v>2.4247000000000001</v>
      </c>
      <c r="Q164" s="1502">
        <v>8.7332000000000001</v>
      </c>
      <c r="R164" s="1233">
        <f>'B. PE'!$U$23</f>
        <v>15.978235616082999</v>
      </c>
      <c r="S164" s="1233"/>
      <c r="T164" s="1233"/>
      <c r="V164" s="1425">
        <v>45000</v>
      </c>
      <c r="W164" s="1">
        <v>15.307399999999999</v>
      </c>
      <c r="X164" s="1">
        <v>1.0802</v>
      </c>
      <c r="Y164" s="1">
        <v>5.8733000000000004</v>
      </c>
      <c r="Z164" s="1">
        <v>0.83091999999999999</v>
      </c>
      <c r="AB164" s="1425">
        <v>44981</v>
      </c>
      <c r="AC164" s="1">
        <v>8.3948</v>
      </c>
      <c r="AD164" s="1502">
        <v>1.2641</v>
      </c>
      <c r="AE164" s="1">
        <v>5.3380999999999998</v>
      </c>
      <c r="AF164" s="1">
        <v>3.6209999999999999E-2</v>
      </c>
      <c r="AH164" s="1425">
        <v>44981</v>
      </c>
      <c r="AI164" s="1">
        <v>12.160600000000001</v>
      </c>
      <c r="AJ164" s="1">
        <v>2.1901999999999999</v>
      </c>
      <c r="AK164" s="1">
        <v>5.9824000000000002</v>
      </c>
      <c r="AL164" s="1">
        <v>3.6540000000000003E-2</v>
      </c>
      <c r="AN164" s="1425">
        <v>44994</v>
      </c>
      <c r="AO164" s="1">
        <v>7.8916000000000004</v>
      </c>
      <c r="AP164" s="1">
        <v>1.1471</v>
      </c>
      <c r="AQ164" s="1">
        <v>5.5187999999999997</v>
      </c>
      <c r="AR164" s="1">
        <v>0.29353000000000001</v>
      </c>
      <c r="AT164" s="1425">
        <v>44994</v>
      </c>
      <c r="AU164" s="1">
        <v>11.3147</v>
      </c>
      <c r="AV164" s="1">
        <v>0.95440000000000003</v>
      </c>
      <c r="AW164" s="1">
        <v>7.3666</v>
      </c>
      <c r="AX164" s="1">
        <v>0.23349</v>
      </c>
      <c r="BA164" s="1425">
        <v>44988</v>
      </c>
      <c r="BB164" s="1">
        <v>12.966799999999999</v>
      </c>
      <c r="BC164" s="1">
        <v>2.5282</v>
      </c>
      <c r="BD164" s="1">
        <v>11.934100000000001</v>
      </c>
      <c r="BE164" s="1">
        <v>0.74944999999999995</v>
      </c>
      <c r="BG164" s="1425">
        <v>44988</v>
      </c>
      <c r="BH164" s="1">
        <v>16.3066</v>
      </c>
      <c r="BI164" s="1">
        <v>3.2254</v>
      </c>
      <c r="BJ164" s="1">
        <v>18.91</v>
      </c>
      <c r="BT164" s="1425">
        <v>45000</v>
      </c>
      <c r="BU164" s="1">
        <v>14.125</v>
      </c>
      <c r="BV164" s="1">
        <v>2.4472999999999998</v>
      </c>
      <c r="BW164" s="1">
        <v>6.1891999999999996</v>
      </c>
      <c r="BX164" s="1">
        <v>1.6677999999999999</v>
      </c>
      <c r="BZ164" s="1425">
        <v>45000</v>
      </c>
      <c r="CA164" s="1">
        <v>26.156400000000001</v>
      </c>
      <c r="CB164" s="1">
        <v>4.218</v>
      </c>
      <c r="CC164" s="1">
        <v>16.244299999999999</v>
      </c>
      <c r="CD164" s="1">
        <v>2.6060500000000002</v>
      </c>
      <c r="CF164" s="1425">
        <v>44999</v>
      </c>
      <c r="CG164" s="1">
        <v>4.8208000000000002</v>
      </c>
      <c r="CH164" s="1">
        <v>1.0592999999999999</v>
      </c>
      <c r="CL164" s="1425">
        <v>44999</v>
      </c>
      <c r="CM164" s="1">
        <v>23.704000000000001</v>
      </c>
      <c r="CN164" s="1">
        <v>2.7130999999999998</v>
      </c>
      <c r="CO164" s="1">
        <v>11.697800000000001</v>
      </c>
    </row>
    <row r="165" spans="1:93">
      <c r="A165" s="1425">
        <v>44999</v>
      </c>
      <c r="B165" s="20">
        <f t="shared" si="22"/>
        <v>8.1913999999999998</v>
      </c>
      <c r="C165" s="20">
        <f t="shared" si="24"/>
        <v>14.6922</v>
      </c>
      <c r="D165" s="20">
        <f t="shared" si="25"/>
        <v>11.843400000000001</v>
      </c>
      <c r="E165" s="20">
        <f t="shared" si="26"/>
        <v>7.5903999999999998</v>
      </c>
      <c r="F165" s="20">
        <f t="shared" si="27"/>
        <v>15.2613</v>
      </c>
      <c r="G165" s="20">
        <f t="shared" si="28"/>
        <v>12.1023</v>
      </c>
      <c r="H165" s="1239">
        <f t="shared" si="29"/>
        <v>12.1023</v>
      </c>
      <c r="I165" s="1243">
        <f t="shared" si="23"/>
        <v>-0.32315345017062869</v>
      </c>
      <c r="J165" s="1243">
        <f t="shared" si="30"/>
        <v>0.12093838824177333</v>
      </c>
      <c r="K165" s="1243">
        <f t="shared" si="31"/>
        <v>0.1</v>
      </c>
      <c r="L165" s="203"/>
      <c r="N165" s="1425">
        <v>44999</v>
      </c>
      <c r="O165" s="1502">
        <v>8.1913999999999998</v>
      </c>
      <c r="P165" s="1502">
        <v>2.36</v>
      </c>
      <c r="Q165" s="1502">
        <v>8.5381</v>
      </c>
      <c r="R165" s="1233">
        <f>'B. PE'!$U$23</f>
        <v>15.978235616082999</v>
      </c>
      <c r="S165" s="1233"/>
      <c r="T165" s="1233"/>
      <c r="V165" s="1425">
        <v>44999</v>
      </c>
      <c r="W165" s="1">
        <v>14.6922</v>
      </c>
      <c r="X165" s="1">
        <v>1.0367999999999999</v>
      </c>
      <c r="Y165" s="1">
        <v>5.7088000000000001</v>
      </c>
      <c r="Z165" s="1">
        <v>0.84804000000000002</v>
      </c>
      <c r="AB165" s="1425">
        <v>44980</v>
      </c>
      <c r="AC165" s="1">
        <v>8.5502000000000002</v>
      </c>
      <c r="AD165" s="1502">
        <v>1.2875000000000001</v>
      </c>
      <c r="AE165" s="1">
        <v>5.4043000000000001</v>
      </c>
      <c r="AF165" s="1">
        <v>3.6119999999999999E-2</v>
      </c>
      <c r="AH165" s="1425">
        <v>44980</v>
      </c>
      <c r="AI165" s="1">
        <v>12.0549</v>
      </c>
      <c r="AJ165" s="1">
        <v>2.1711999999999998</v>
      </c>
      <c r="AK165" s="1">
        <v>5.9288999999999996</v>
      </c>
      <c r="AL165" s="1">
        <v>3.7109999999999997E-2</v>
      </c>
      <c r="AN165" s="1425">
        <v>44993</v>
      </c>
      <c r="AO165" s="1">
        <v>7.8312999999999997</v>
      </c>
      <c r="AP165" s="1">
        <v>1.1384000000000001</v>
      </c>
      <c r="AQ165" s="1">
        <v>5.4737</v>
      </c>
      <c r="AR165" s="1">
        <v>0.29737000000000002</v>
      </c>
      <c r="AT165" s="1425">
        <v>44993</v>
      </c>
      <c r="AU165" s="1">
        <v>11.206899999999999</v>
      </c>
      <c r="AV165" s="1">
        <v>0.94530000000000003</v>
      </c>
      <c r="AW165" s="1">
        <v>7.3003</v>
      </c>
      <c r="AX165" s="1">
        <v>0.23252999999999999</v>
      </c>
      <c r="BA165" s="1425">
        <v>44987</v>
      </c>
      <c r="BB165" s="1">
        <v>13.0939</v>
      </c>
      <c r="BC165" s="1">
        <v>2.5529999999999999</v>
      </c>
      <c r="BD165" s="1">
        <v>12.0167</v>
      </c>
      <c r="BE165" s="1">
        <v>0.73890999999999996</v>
      </c>
      <c r="BG165" s="1425">
        <v>44987</v>
      </c>
      <c r="BH165" s="1">
        <v>16.724699999999999</v>
      </c>
      <c r="BI165" s="1">
        <v>3.3081</v>
      </c>
      <c r="BJ165" s="1">
        <v>19.256699999999999</v>
      </c>
      <c r="BT165" s="1425">
        <v>44999</v>
      </c>
      <c r="BU165" s="1">
        <v>13.630599999999999</v>
      </c>
      <c r="BV165" s="1">
        <v>2.3616999999999999</v>
      </c>
      <c r="BW165" s="1">
        <v>5.9779</v>
      </c>
      <c r="BX165" s="1">
        <v>1.6777</v>
      </c>
      <c r="BZ165" s="1425">
        <v>44999</v>
      </c>
      <c r="CA165" s="1">
        <v>25.461300000000001</v>
      </c>
      <c r="CB165" s="1">
        <v>4.1059000000000001</v>
      </c>
      <c r="CC165" s="1">
        <v>15.9398</v>
      </c>
      <c r="CD165" s="1">
        <v>2.6425000000000001</v>
      </c>
      <c r="CF165" s="1425">
        <v>44998</v>
      </c>
      <c r="CG165" s="1">
        <v>4.8917000000000002</v>
      </c>
      <c r="CH165" s="1">
        <v>1.0748</v>
      </c>
      <c r="CL165" s="1425">
        <v>44998</v>
      </c>
      <c r="CM165" s="1">
        <v>23.881699999999999</v>
      </c>
      <c r="CN165" s="1">
        <v>2.7334000000000001</v>
      </c>
      <c r="CO165" s="1">
        <v>11.7781</v>
      </c>
    </row>
    <row r="166" spans="1:93">
      <c r="A166" s="1425">
        <v>44998</v>
      </c>
      <c r="B166" s="20">
        <f t="shared" si="22"/>
        <v>8.5342000000000002</v>
      </c>
      <c r="C166" s="20">
        <f t="shared" si="24"/>
        <v>15.3436</v>
      </c>
      <c r="D166" s="20">
        <f t="shared" si="25"/>
        <v>11.843400000000001</v>
      </c>
      <c r="E166" s="20">
        <f t="shared" si="26"/>
        <v>7.8916000000000004</v>
      </c>
      <c r="F166" s="20">
        <f t="shared" si="27"/>
        <v>16.0976</v>
      </c>
      <c r="G166" s="20">
        <f t="shared" si="28"/>
        <v>12.5091</v>
      </c>
      <c r="H166" s="1239">
        <f t="shared" si="29"/>
        <v>12.5091</v>
      </c>
      <c r="I166" s="1243">
        <f t="shared" si="23"/>
        <v>-0.317760670232071</v>
      </c>
      <c r="J166" s="1243">
        <f t="shared" si="30"/>
        <v>0.12093838824177333</v>
      </c>
      <c r="K166" s="1243">
        <f t="shared" si="31"/>
        <v>0.1</v>
      </c>
      <c r="L166" s="203"/>
      <c r="N166" s="1425">
        <v>44998</v>
      </c>
      <c r="O166" s="1502">
        <v>8.5342000000000002</v>
      </c>
      <c r="P166" s="1502">
        <v>2.4586999999999999</v>
      </c>
      <c r="Q166" s="1502">
        <v>8.8359000000000005</v>
      </c>
      <c r="R166" s="1233">
        <f>'B. PE'!$U$23</f>
        <v>15.978235616082999</v>
      </c>
      <c r="S166" s="1233"/>
      <c r="T166" s="1233"/>
      <c r="V166" s="1425">
        <v>44998</v>
      </c>
      <c r="W166" s="1">
        <v>15.3436</v>
      </c>
      <c r="X166" s="1">
        <v>1.0827</v>
      </c>
      <c r="Y166" s="1">
        <v>5.883</v>
      </c>
      <c r="Z166" s="1">
        <v>0.86138999999999999</v>
      </c>
      <c r="AB166" s="1425">
        <v>44979</v>
      </c>
      <c r="AC166" s="1">
        <v>8.5502000000000002</v>
      </c>
      <c r="AD166" s="1502">
        <v>1.2875000000000001</v>
      </c>
      <c r="AE166" s="1">
        <v>5.4043000000000001</v>
      </c>
      <c r="AF166" s="1">
        <v>3.5619999999999999E-2</v>
      </c>
      <c r="AH166" s="1425">
        <v>44979</v>
      </c>
      <c r="AI166" s="1">
        <v>11.7377</v>
      </c>
      <c r="AJ166" s="1">
        <v>2.1141000000000001</v>
      </c>
      <c r="AK166" s="1">
        <v>5.7685000000000004</v>
      </c>
      <c r="AL166" s="1">
        <v>3.7589999999999998E-2</v>
      </c>
      <c r="AN166" s="1425">
        <v>44992</v>
      </c>
      <c r="AO166" s="1">
        <v>7.9518000000000004</v>
      </c>
      <c r="AP166" s="1">
        <v>1.1558999999999999</v>
      </c>
      <c r="AQ166" s="1">
        <v>5.5639000000000003</v>
      </c>
      <c r="AR166" s="1">
        <v>0.29559000000000002</v>
      </c>
      <c r="AT166" s="1425">
        <v>44992</v>
      </c>
      <c r="AU166" s="1">
        <v>11.3147</v>
      </c>
      <c r="AV166" s="1">
        <v>0.95440000000000003</v>
      </c>
      <c r="AW166" s="1">
        <v>7.3666</v>
      </c>
      <c r="AX166" s="1">
        <v>0.23513000000000001</v>
      </c>
      <c r="BA166" s="1425">
        <v>44986</v>
      </c>
      <c r="BB166" s="1">
        <v>13.221</v>
      </c>
      <c r="BC166" s="1">
        <v>2.5777999999999999</v>
      </c>
      <c r="BD166" s="1">
        <v>12.099299999999999</v>
      </c>
      <c r="BE166" s="1">
        <v>0.75727</v>
      </c>
      <c r="BG166" s="1425">
        <v>44986</v>
      </c>
      <c r="BH166" s="1">
        <v>16.620200000000001</v>
      </c>
      <c r="BI166" s="1">
        <v>3.2873999999999999</v>
      </c>
      <c r="BJ166" s="1">
        <v>19.170000000000002</v>
      </c>
      <c r="BT166" s="1425">
        <v>44998</v>
      </c>
      <c r="BU166" s="1">
        <v>13.9131</v>
      </c>
      <c r="BV166" s="1">
        <v>2.4106000000000001</v>
      </c>
      <c r="BW166" s="1">
        <v>6.0986000000000002</v>
      </c>
      <c r="BX166" s="1">
        <v>1.6876</v>
      </c>
      <c r="BZ166" s="1425">
        <v>44998</v>
      </c>
      <c r="CA166" s="1">
        <v>25.900300000000001</v>
      </c>
      <c r="CB166" s="1">
        <v>4.1767000000000003</v>
      </c>
      <c r="CC166" s="1">
        <v>16.132100000000001</v>
      </c>
      <c r="CD166" s="1">
        <v>2.65984</v>
      </c>
      <c r="CF166" s="1425">
        <v>44995</v>
      </c>
      <c r="CG166" s="1">
        <v>4.9271000000000003</v>
      </c>
      <c r="CH166" s="1">
        <v>1.0826</v>
      </c>
      <c r="CL166" s="1425">
        <v>44995</v>
      </c>
      <c r="CM166" s="1">
        <v>24.3826</v>
      </c>
      <c r="CN166" s="1">
        <v>2.7907000000000002</v>
      </c>
      <c r="CO166" s="1">
        <v>12.004200000000001</v>
      </c>
    </row>
    <row r="167" spans="1:93">
      <c r="A167" s="1425">
        <v>44995</v>
      </c>
      <c r="B167" s="20">
        <f t="shared" si="22"/>
        <v>8.7469000000000001</v>
      </c>
      <c r="C167" s="20">
        <f t="shared" si="24"/>
        <v>15.705500000000001</v>
      </c>
      <c r="D167" s="20">
        <f t="shared" si="25"/>
        <v>11.949199999999999</v>
      </c>
      <c r="E167" s="20">
        <f t="shared" si="26"/>
        <v>7.9518000000000004</v>
      </c>
      <c r="F167" s="20">
        <f t="shared" si="27"/>
        <v>16.202100000000002</v>
      </c>
      <c r="G167" s="20">
        <f t="shared" si="28"/>
        <v>12.7125</v>
      </c>
      <c r="H167" s="1239">
        <f t="shared" si="29"/>
        <v>12.7125</v>
      </c>
      <c r="I167" s="1243">
        <f t="shared" si="23"/>
        <v>-0.31194493608652907</v>
      </c>
      <c r="J167" s="1243">
        <f t="shared" si="30"/>
        <v>0.12093838824177333</v>
      </c>
      <c r="K167" s="1243">
        <f t="shared" si="31"/>
        <v>0.1</v>
      </c>
      <c r="L167" s="203"/>
      <c r="N167" s="1425">
        <v>44995</v>
      </c>
      <c r="O167" s="1502">
        <v>8.7469000000000001</v>
      </c>
      <c r="P167" s="1502">
        <v>2.52</v>
      </c>
      <c r="Q167" s="1502">
        <v>9.0206999999999997</v>
      </c>
      <c r="R167" s="1233">
        <f>'B. PE'!$U$23</f>
        <v>15.978235616082999</v>
      </c>
      <c r="S167" s="1233"/>
      <c r="T167" s="1233"/>
      <c r="V167" s="1425">
        <v>44995</v>
      </c>
      <c r="W167" s="1">
        <v>15.705500000000001</v>
      </c>
      <c r="X167" s="1">
        <v>1.1083000000000001</v>
      </c>
      <c r="Y167" s="1">
        <v>5.9797000000000002</v>
      </c>
      <c r="Z167" s="1">
        <v>0.83909</v>
      </c>
      <c r="AB167" s="1425">
        <v>44978</v>
      </c>
      <c r="AC167" s="1">
        <v>8.5502000000000002</v>
      </c>
      <c r="AD167" s="1502">
        <v>1.2875000000000001</v>
      </c>
      <c r="AE167" s="1">
        <v>5.4043000000000001</v>
      </c>
      <c r="AF167" s="1">
        <v>3.6229999999999998E-2</v>
      </c>
      <c r="AH167" s="1425">
        <v>44978</v>
      </c>
      <c r="AI167" s="1">
        <v>11.949199999999999</v>
      </c>
      <c r="AJ167" s="1">
        <v>2.1520999999999999</v>
      </c>
      <c r="AK167" s="1">
        <v>5.8754</v>
      </c>
      <c r="AL167" s="1">
        <v>3.7879999999999997E-2</v>
      </c>
      <c r="AN167" s="1425">
        <v>44991</v>
      </c>
      <c r="AO167" s="1">
        <v>8.0120000000000005</v>
      </c>
      <c r="AP167" s="1">
        <v>1.1646000000000001</v>
      </c>
      <c r="AQ167" s="1">
        <v>5.6090999999999998</v>
      </c>
      <c r="AR167" s="1">
        <v>0.29276999999999997</v>
      </c>
      <c r="AT167" s="1425">
        <v>44991</v>
      </c>
      <c r="AU167" s="1">
        <v>11.206899999999999</v>
      </c>
      <c r="AV167" s="1">
        <v>0.94530000000000003</v>
      </c>
      <c r="AW167" s="1">
        <v>7.3003</v>
      </c>
      <c r="AX167" s="1">
        <v>0.23019000000000001</v>
      </c>
      <c r="BA167" s="1425">
        <v>44985</v>
      </c>
      <c r="BB167" s="1">
        <v>13.221</v>
      </c>
      <c r="BC167" s="1">
        <v>2.5777999999999999</v>
      </c>
      <c r="BD167" s="1">
        <v>12.099299999999999</v>
      </c>
      <c r="BE167" s="1">
        <v>0.74321999999999999</v>
      </c>
      <c r="BG167" s="1425">
        <v>44985</v>
      </c>
      <c r="BH167" s="1">
        <v>16.8293</v>
      </c>
      <c r="BI167" s="1">
        <v>3.3288000000000002</v>
      </c>
      <c r="BJ167" s="1">
        <v>19.343399999999999</v>
      </c>
      <c r="BT167" s="1425">
        <v>44995</v>
      </c>
      <c r="BU167" s="1">
        <v>14.0367</v>
      </c>
      <c r="BV167" s="1">
        <v>2.4319999999999999</v>
      </c>
      <c r="BW167" s="1">
        <v>6.1513999999999998</v>
      </c>
      <c r="BX167" s="1">
        <v>1.6607000000000001</v>
      </c>
      <c r="BZ167" s="1425">
        <v>44995</v>
      </c>
      <c r="CA167" s="1">
        <v>26.339300000000001</v>
      </c>
      <c r="CB167" s="1">
        <v>4.2474999999999996</v>
      </c>
      <c r="CC167" s="1">
        <v>16.324400000000001</v>
      </c>
      <c r="CD167" s="1">
        <v>2.6535899999999999</v>
      </c>
      <c r="CF167" s="1425">
        <v>44994</v>
      </c>
      <c r="CG167" s="1">
        <v>4.9626000000000001</v>
      </c>
      <c r="CH167" s="1">
        <v>1.0904</v>
      </c>
      <c r="CL167" s="1425">
        <v>44994</v>
      </c>
      <c r="CM167" s="1">
        <v>24.883500000000002</v>
      </c>
      <c r="CN167" s="1">
        <v>2.8481000000000001</v>
      </c>
      <c r="CO167" s="1">
        <v>12.230399999999999</v>
      </c>
    </row>
    <row r="168" spans="1:93">
      <c r="A168" s="1425">
        <v>44994</v>
      </c>
      <c r="B168" s="20">
        <f t="shared" si="22"/>
        <v>8.8059999999999992</v>
      </c>
      <c r="C168" s="20">
        <f t="shared" si="24"/>
        <v>15.9588</v>
      </c>
      <c r="D168" s="20">
        <f t="shared" si="25"/>
        <v>11.843400000000001</v>
      </c>
      <c r="E168" s="20">
        <f t="shared" si="26"/>
        <v>7.8916000000000004</v>
      </c>
      <c r="F168" s="20">
        <f t="shared" si="27"/>
        <v>16.3066</v>
      </c>
      <c r="G168" s="20">
        <f t="shared" si="28"/>
        <v>12.839700000000001</v>
      </c>
      <c r="H168" s="1239">
        <f t="shared" si="29"/>
        <v>12.839700000000001</v>
      </c>
      <c r="I168" s="1243">
        <f t="shared" si="23"/>
        <v>-0.31415843049292436</v>
      </c>
      <c r="J168" s="1243">
        <f t="shared" si="30"/>
        <v>0.12093838824177333</v>
      </c>
      <c r="K168" s="1243">
        <f t="shared" si="31"/>
        <v>0.1</v>
      </c>
      <c r="L168" s="203"/>
      <c r="N168" s="1425">
        <v>44994</v>
      </c>
      <c r="O168" s="1502">
        <v>8.8059999999999992</v>
      </c>
      <c r="P168" s="1502">
        <v>2.5369999999999999</v>
      </c>
      <c r="Q168" s="1502">
        <v>9.0721000000000007</v>
      </c>
      <c r="R168" s="1233">
        <f>'B. PE'!$U$23</f>
        <v>15.978235616082999</v>
      </c>
      <c r="S168" s="1233"/>
      <c r="T168" s="1233"/>
      <c r="V168" s="1425">
        <v>44994</v>
      </c>
      <c r="W168" s="1">
        <v>15.9588</v>
      </c>
      <c r="X168" s="1">
        <v>1.1262000000000001</v>
      </c>
      <c r="Y168" s="1">
        <v>6.0473999999999997</v>
      </c>
      <c r="Z168" s="1">
        <v>0.81328</v>
      </c>
      <c r="AB168" s="1425">
        <v>44977</v>
      </c>
      <c r="AC168" s="1">
        <v>8.3948</v>
      </c>
      <c r="AD168" s="1502">
        <v>1.2641</v>
      </c>
      <c r="AE168" s="1">
        <v>5.3380999999999998</v>
      </c>
      <c r="AF168" s="1">
        <v>3.7019999999999997E-2</v>
      </c>
      <c r="AH168" s="1425">
        <v>44977</v>
      </c>
      <c r="AI168" s="1">
        <v>12.0549</v>
      </c>
      <c r="AJ168" s="1">
        <v>2.1711999999999998</v>
      </c>
      <c r="AK168" s="1">
        <v>5.9288999999999996</v>
      </c>
      <c r="AL168" s="1">
        <v>3.8339999999999999E-2</v>
      </c>
      <c r="AN168" s="1425">
        <v>44988</v>
      </c>
      <c r="AO168" s="1">
        <v>7.9518000000000004</v>
      </c>
      <c r="AP168" s="1">
        <v>1.1558999999999999</v>
      </c>
      <c r="AQ168" s="1">
        <v>5.5639000000000003</v>
      </c>
      <c r="AR168" s="1">
        <v>0.29185</v>
      </c>
      <c r="AT168" s="1425">
        <v>44988</v>
      </c>
      <c r="AU168" s="1">
        <v>11.3147</v>
      </c>
      <c r="AV168" s="1">
        <v>0.95440000000000003</v>
      </c>
      <c r="AW168" s="1">
        <v>7.3666</v>
      </c>
      <c r="AX168" s="1">
        <v>0.23347999999999999</v>
      </c>
      <c r="BA168" s="1425">
        <v>44984</v>
      </c>
      <c r="BB168" s="1">
        <v>13.475300000000001</v>
      </c>
      <c r="BC168" s="1">
        <v>2.6274000000000002</v>
      </c>
      <c r="BD168" s="1">
        <v>12.2645</v>
      </c>
      <c r="BE168" s="1">
        <v>0.76273999999999997</v>
      </c>
      <c r="BG168" s="1425">
        <v>44984</v>
      </c>
      <c r="BH168" s="1">
        <v>16.933800000000002</v>
      </c>
      <c r="BI168" s="1">
        <v>3.3494999999999999</v>
      </c>
      <c r="BJ168" s="1">
        <v>19.430099999999999</v>
      </c>
      <c r="BT168" s="1425">
        <v>44994</v>
      </c>
      <c r="BU168" s="1">
        <v>14.125</v>
      </c>
      <c r="BV168" s="1">
        <v>2.4472999999999998</v>
      </c>
      <c r="BW168" s="1">
        <v>6.1891999999999996</v>
      </c>
      <c r="BX168" s="1">
        <v>1.6763999999999999</v>
      </c>
      <c r="BZ168" s="1425">
        <v>44994</v>
      </c>
      <c r="CA168" s="1">
        <v>26.522200000000002</v>
      </c>
      <c r="CB168" s="1">
        <v>4.2770000000000001</v>
      </c>
      <c r="CC168" s="1">
        <v>16.404499999999999</v>
      </c>
      <c r="CD168" s="1">
        <v>2.5667200000000001</v>
      </c>
      <c r="CF168" s="1425">
        <v>44993</v>
      </c>
      <c r="CG168" s="1">
        <v>4.9626000000000001</v>
      </c>
      <c r="CH168" s="1">
        <v>1.0904</v>
      </c>
      <c r="CL168" s="1425">
        <v>44993</v>
      </c>
      <c r="CM168" s="1">
        <v>24.689599999999999</v>
      </c>
      <c r="CN168" s="1">
        <v>2.8258999999999999</v>
      </c>
      <c r="CO168" s="1">
        <v>12.142799999999999</v>
      </c>
    </row>
    <row r="169" spans="1:93">
      <c r="A169" s="1425">
        <v>44993</v>
      </c>
      <c r="B169" s="20">
        <f t="shared" si="22"/>
        <v>8.2386999999999997</v>
      </c>
      <c r="C169" s="20">
        <f t="shared" si="24"/>
        <v>15.560700000000001</v>
      </c>
      <c r="D169" s="20">
        <f t="shared" si="25"/>
        <v>11.843400000000001</v>
      </c>
      <c r="E169" s="20">
        <f t="shared" si="26"/>
        <v>7.8312999999999997</v>
      </c>
      <c r="F169" s="20">
        <f t="shared" si="27"/>
        <v>16.8293</v>
      </c>
      <c r="G169" s="20">
        <f t="shared" si="28"/>
        <v>13.475300000000001</v>
      </c>
      <c r="H169" s="1239">
        <f t="shared" si="29"/>
        <v>13.475300000000001</v>
      </c>
      <c r="I169" s="1243">
        <f t="shared" si="23"/>
        <v>-0.38860730373349761</v>
      </c>
      <c r="J169" s="1243">
        <f t="shared" si="30"/>
        <v>0.12093838824177333</v>
      </c>
      <c r="K169" s="1243">
        <f t="shared" si="31"/>
        <v>0.1</v>
      </c>
      <c r="L169" s="203"/>
      <c r="N169" s="1425">
        <v>44993</v>
      </c>
      <c r="O169" s="1502">
        <v>8.2386999999999997</v>
      </c>
      <c r="P169" s="1502">
        <v>2.3736000000000002</v>
      </c>
      <c r="Q169" s="1502">
        <v>8.5792000000000002</v>
      </c>
      <c r="R169" s="1233">
        <f>'B. PE'!$U$23</f>
        <v>15.978235616082999</v>
      </c>
      <c r="S169" s="1233"/>
      <c r="T169" s="1233"/>
      <c r="V169" s="1425">
        <v>44993</v>
      </c>
      <c r="W169" s="1">
        <v>15.560700000000001</v>
      </c>
      <c r="X169" s="1">
        <v>1.0981000000000001</v>
      </c>
      <c r="Y169" s="1">
        <v>5.9409999999999998</v>
      </c>
      <c r="Z169" s="1">
        <v>0.80091000000000001</v>
      </c>
      <c r="AB169" s="1425">
        <v>44974</v>
      </c>
      <c r="AC169" s="1">
        <v>8.5502000000000002</v>
      </c>
      <c r="AD169" s="1502">
        <v>1.2875000000000001</v>
      </c>
      <c r="AE169" s="1">
        <v>5.4043000000000001</v>
      </c>
      <c r="AF169" s="1">
        <v>3.4139999999999997E-2</v>
      </c>
      <c r="AH169" s="1425">
        <v>44974</v>
      </c>
      <c r="AI169" s="1">
        <v>12.160600000000001</v>
      </c>
      <c r="AJ169" s="1">
        <v>2.1901999999999999</v>
      </c>
      <c r="AK169" s="1">
        <v>5.9824000000000002</v>
      </c>
      <c r="AL169" s="1">
        <v>3.8080000000000003E-2</v>
      </c>
      <c r="AN169" s="1425">
        <v>44987</v>
      </c>
      <c r="AO169" s="1">
        <v>7.8916000000000004</v>
      </c>
      <c r="AP169" s="1">
        <v>1.1471</v>
      </c>
      <c r="AQ169" s="1">
        <v>5.5187999999999997</v>
      </c>
      <c r="AR169" s="1">
        <v>0.29659999999999997</v>
      </c>
      <c r="AT169" s="1425">
        <v>44987</v>
      </c>
      <c r="AU169" s="1">
        <v>11.0991</v>
      </c>
      <c r="AV169" s="1">
        <v>0.93620000000000003</v>
      </c>
      <c r="AW169" s="1">
        <v>7.234</v>
      </c>
      <c r="AX169" s="1">
        <v>0.22969999999999999</v>
      </c>
      <c r="BA169" s="1425">
        <v>44981</v>
      </c>
      <c r="BB169" s="1">
        <v>13.221</v>
      </c>
      <c r="BC169" s="1">
        <v>2.5777999999999999</v>
      </c>
      <c r="BD169" s="1">
        <v>12.099299999999999</v>
      </c>
      <c r="BE169" s="1">
        <v>0.75909000000000004</v>
      </c>
      <c r="BG169" s="1425">
        <v>44981</v>
      </c>
      <c r="BH169" s="1">
        <v>16.933800000000002</v>
      </c>
      <c r="BI169" s="1">
        <v>3.3494999999999999</v>
      </c>
      <c r="BJ169" s="1">
        <v>19.430099999999999</v>
      </c>
      <c r="BT169" s="1425">
        <v>44993</v>
      </c>
      <c r="BU169" s="1">
        <v>13.9131</v>
      </c>
      <c r="BV169" s="1">
        <v>2.4106000000000001</v>
      </c>
      <c r="BW169" s="1">
        <v>6.0986000000000002</v>
      </c>
      <c r="BX169" s="1">
        <v>1.6624000000000001</v>
      </c>
      <c r="BZ169" s="1425">
        <v>44993</v>
      </c>
      <c r="CA169" s="1">
        <v>26.485600000000002</v>
      </c>
      <c r="CB169" s="1">
        <v>4.2710999999999997</v>
      </c>
      <c r="CC169" s="1">
        <v>16.388500000000001</v>
      </c>
      <c r="CD169" s="1">
        <v>2.56467</v>
      </c>
      <c r="CF169" s="1425">
        <v>44992</v>
      </c>
      <c r="CG169" s="1">
        <v>4.9626000000000001</v>
      </c>
      <c r="CH169" s="1">
        <v>1.0904</v>
      </c>
      <c r="CL169" s="1425">
        <v>44992</v>
      </c>
      <c r="CM169" s="1">
        <v>24.738099999999999</v>
      </c>
      <c r="CN169" s="1">
        <v>2.8313999999999999</v>
      </c>
      <c r="CO169" s="1">
        <v>12.1647</v>
      </c>
    </row>
    <row r="170" spans="1:93">
      <c r="A170" s="1425">
        <v>44992</v>
      </c>
      <c r="B170" s="20">
        <f t="shared" si="22"/>
        <v>8.2978000000000005</v>
      </c>
      <c r="C170" s="20">
        <f t="shared" si="24"/>
        <v>15.0541</v>
      </c>
      <c r="D170" s="20">
        <f t="shared" si="25"/>
        <v>11.843400000000001</v>
      </c>
      <c r="E170" s="20">
        <f t="shared" si="26"/>
        <v>7.9518000000000004</v>
      </c>
      <c r="F170" s="20">
        <f t="shared" si="27"/>
        <v>16.724699999999999</v>
      </c>
      <c r="G170" s="20">
        <f t="shared" si="28"/>
        <v>13.3482</v>
      </c>
      <c r="H170" s="1239">
        <f t="shared" si="29"/>
        <v>13.3482</v>
      </c>
      <c r="I170" s="1243">
        <f t="shared" si="23"/>
        <v>-0.37835813068428703</v>
      </c>
      <c r="J170" s="1243">
        <f t="shared" si="30"/>
        <v>0.12093838824177333</v>
      </c>
      <c r="K170" s="1243">
        <f t="shared" si="31"/>
        <v>0.1</v>
      </c>
      <c r="L170" s="203"/>
      <c r="N170" s="1425">
        <v>44992</v>
      </c>
      <c r="O170" s="1502">
        <v>8.2978000000000005</v>
      </c>
      <c r="P170" s="1502">
        <v>2.3906000000000001</v>
      </c>
      <c r="Q170" s="1502">
        <v>8.6305999999999994</v>
      </c>
      <c r="R170" s="1233">
        <f>'B. PE'!$U$23</f>
        <v>15.978235616082999</v>
      </c>
      <c r="S170" s="1233"/>
      <c r="T170" s="1233"/>
      <c r="V170" s="1425">
        <v>44992</v>
      </c>
      <c r="W170" s="1">
        <v>15.0541</v>
      </c>
      <c r="X170" s="1">
        <v>1.0623</v>
      </c>
      <c r="Y170" s="1">
        <v>5.8056000000000001</v>
      </c>
      <c r="Z170" s="1">
        <v>0.80776999999999999</v>
      </c>
      <c r="AB170" s="1425">
        <v>44973</v>
      </c>
      <c r="AC170" s="1">
        <v>8.7057000000000002</v>
      </c>
      <c r="AD170" s="1502">
        <v>1.3109</v>
      </c>
      <c r="AE170" s="1">
        <v>5.4705000000000004</v>
      </c>
      <c r="AF170" s="1">
        <v>3.422E-2</v>
      </c>
      <c r="AH170" s="1425">
        <v>44973</v>
      </c>
      <c r="AI170" s="1">
        <v>12.266400000000001</v>
      </c>
      <c r="AJ170" s="1">
        <v>2.2092999999999998</v>
      </c>
      <c r="AK170" s="1">
        <v>6.0358000000000001</v>
      </c>
      <c r="AL170" s="1">
        <v>3.8490000000000003E-2</v>
      </c>
      <c r="AN170" s="1425">
        <v>44986</v>
      </c>
      <c r="AO170" s="1">
        <v>7.8312999999999997</v>
      </c>
      <c r="AP170" s="1">
        <v>1.1384000000000001</v>
      </c>
      <c r="AQ170" s="1">
        <v>5.4737</v>
      </c>
      <c r="AR170" s="1">
        <v>0.29701</v>
      </c>
      <c r="AT170" s="1425">
        <v>44986</v>
      </c>
      <c r="AU170" s="1">
        <v>11.206899999999999</v>
      </c>
      <c r="AV170" s="1">
        <v>0.94530000000000003</v>
      </c>
      <c r="AW170" s="1">
        <v>7.3003</v>
      </c>
      <c r="AX170" s="1">
        <v>0.23671</v>
      </c>
      <c r="BA170" s="1425">
        <v>44980</v>
      </c>
      <c r="BB170" s="1">
        <v>13.475300000000001</v>
      </c>
      <c r="BC170" s="1">
        <v>2.6274000000000002</v>
      </c>
      <c r="BD170" s="1">
        <v>12.2645</v>
      </c>
      <c r="BE170" s="1">
        <v>0.75853999999999999</v>
      </c>
      <c r="BG170" s="1425">
        <v>44980</v>
      </c>
      <c r="BH170" s="1">
        <v>17.142900000000001</v>
      </c>
      <c r="BI170" s="1">
        <v>3.3908</v>
      </c>
      <c r="BJ170" s="1">
        <v>19.603400000000001</v>
      </c>
      <c r="BT170" s="1425">
        <v>44992</v>
      </c>
      <c r="BU170" s="1">
        <v>14.0191</v>
      </c>
      <c r="BV170" s="1">
        <v>2.4289999999999998</v>
      </c>
      <c r="BW170" s="1">
        <v>6.1439000000000004</v>
      </c>
      <c r="BX170" s="1">
        <v>1.6605000000000001</v>
      </c>
      <c r="BZ170" s="1425">
        <v>44992</v>
      </c>
      <c r="CA170" s="1">
        <v>25.571100000000001</v>
      </c>
      <c r="CB170" s="1">
        <v>4.1235999999999997</v>
      </c>
      <c r="CC170" s="1">
        <v>15.9879</v>
      </c>
      <c r="CD170" s="1">
        <v>2.54698</v>
      </c>
      <c r="CF170" s="1425">
        <v>44991</v>
      </c>
      <c r="CG170" s="1">
        <v>5.0689000000000002</v>
      </c>
      <c r="CH170" s="1">
        <v>1.1137999999999999</v>
      </c>
      <c r="CL170" s="1425">
        <v>44991</v>
      </c>
      <c r="CM170" s="1">
        <v>24.8673</v>
      </c>
      <c r="CN170" s="1">
        <v>2.8462000000000001</v>
      </c>
      <c r="CO170" s="1">
        <v>12.223100000000001</v>
      </c>
    </row>
    <row r="171" spans="1:93">
      <c r="A171" s="1425">
        <v>44991</v>
      </c>
      <c r="B171" s="20">
        <f t="shared" si="22"/>
        <v>8.5105000000000004</v>
      </c>
      <c r="C171" s="20">
        <f t="shared" si="24"/>
        <v>14.837</v>
      </c>
      <c r="D171" s="20">
        <f t="shared" si="25"/>
        <v>11.843400000000001</v>
      </c>
      <c r="E171" s="20">
        <f t="shared" si="26"/>
        <v>8.0120000000000005</v>
      </c>
      <c r="F171" s="20">
        <f t="shared" si="27"/>
        <v>16.724699999999999</v>
      </c>
      <c r="G171" s="20">
        <f t="shared" si="28"/>
        <v>13.3482</v>
      </c>
      <c r="H171" s="1239">
        <f t="shared" si="29"/>
        <v>13.3482</v>
      </c>
      <c r="I171" s="1243">
        <f t="shared" si="23"/>
        <v>-0.36242339791132883</v>
      </c>
      <c r="J171" s="1243">
        <f t="shared" si="30"/>
        <v>0.12093838824177333</v>
      </c>
      <c r="K171" s="1243">
        <f t="shared" si="31"/>
        <v>0.1</v>
      </c>
      <c r="L171" s="203"/>
      <c r="N171" s="1425">
        <v>44991</v>
      </c>
      <c r="O171" s="1502">
        <v>8.5105000000000004</v>
      </c>
      <c r="P171" s="1502">
        <v>2.4519000000000002</v>
      </c>
      <c r="Q171" s="1502">
        <v>8.8154000000000003</v>
      </c>
      <c r="R171" s="1233">
        <f>'B. PE'!$U$23</f>
        <v>15.978235616082999</v>
      </c>
      <c r="S171" s="1233"/>
      <c r="T171" s="1233"/>
      <c r="V171" s="1425">
        <v>44991</v>
      </c>
      <c r="W171" s="1">
        <v>14.837</v>
      </c>
      <c r="X171" s="1">
        <v>1.0469999999999999</v>
      </c>
      <c r="Y171" s="1">
        <v>5.7474999999999996</v>
      </c>
      <c r="Z171" s="1">
        <v>0.83423999999999998</v>
      </c>
      <c r="AB171" s="1425">
        <v>44972</v>
      </c>
      <c r="AC171" s="1">
        <v>8.0838999999999999</v>
      </c>
      <c r="AD171" s="1502">
        <v>1.2173</v>
      </c>
      <c r="AE171" s="1">
        <v>5.2058</v>
      </c>
      <c r="AF171" s="1">
        <v>3.2870000000000003E-2</v>
      </c>
      <c r="AH171" s="1425">
        <v>44972</v>
      </c>
      <c r="AI171" s="1">
        <v>12.266400000000001</v>
      </c>
      <c r="AJ171" s="1">
        <v>2.2092999999999998</v>
      </c>
      <c r="AK171" s="1">
        <v>6.0358000000000001</v>
      </c>
      <c r="AL171" s="1">
        <v>3.8449999999999998E-2</v>
      </c>
      <c r="AN171" s="1425">
        <v>44985</v>
      </c>
      <c r="AO171" s="1">
        <v>8.0120000000000005</v>
      </c>
      <c r="AP171" s="1">
        <v>1.1646000000000001</v>
      </c>
      <c r="AQ171" s="1">
        <v>5.6090999999999998</v>
      </c>
      <c r="AR171" s="1">
        <v>0.29176000000000002</v>
      </c>
      <c r="AT171" s="1425">
        <v>44985</v>
      </c>
      <c r="AU171" s="1">
        <v>11.0991</v>
      </c>
      <c r="AV171" s="1">
        <v>0.93620000000000003</v>
      </c>
      <c r="AW171" s="1">
        <v>7.234</v>
      </c>
      <c r="AX171" s="1">
        <v>0.2379</v>
      </c>
      <c r="BA171" s="1425">
        <v>44979</v>
      </c>
      <c r="BB171" s="1">
        <v>13.3482</v>
      </c>
      <c r="BC171" s="1">
        <v>2.6025999999999998</v>
      </c>
      <c r="BD171" s="1">
        <v>12.181900000000001</v>
      </c>
      <c r="BE171" s="1">
        <v>0.7339</v>
      </c>
      <c r="BG171" s="1425">
        <v>44979</v>
      </c>
      <c r="BH171" s="1">
        <v>17.456399999999999</v>
      </c>
      <c r="BI171" s="1">
        <v>3.4527999999999999</v>
      </c>
      <c r="BJ171" s="1">
        <v>19.863399999999999</v>
      </c>
      <c r="BT171" s="1425">
        <v>44991</v>
      </c>
      <c r="BU171" s="1">
        <v>13.9131</v>
      </c>
      <c r="BV171" s="1">
        <v>2.4106000000000001</v>
      </c>
      <c r="BW171" s="1">
        <v>6.0986000000000002</v>
      </c>
      <c r="BX171" s="1">
        <v>1.6967000000000001</v>
      </c>
      <c r="BZ171" s="1425">
        <v>44991</v>
      </c>
      <c r="CA171" s="1">
        <v>25.571100000000001</v>
      </c>
      <c r="CB171" s="1">
        <v>4.1235999999999997</v>
      </c>
      <c r="CC171" s="1">
        <v>15.9879</v>
      </c>
      <c r="CD171" s="1">
        <v>2.5956600000000001</v>
      </c>
      <c r="CF171" s="1425">
        <v>44988</v>
      </c>
      <c r="CG171" s="1">
        <v>4.8917000000000002</v>
      </c>
      <c r="CH171" s="1">
        <v>1.0748</v>
      </c>
      <c r="CL171" s="1425">
        <v>44988</v>
      </c>
      <c r="CM171" s="1">
        <v>25.319800000000001</v>
      </c>
      <c r="CN171" s="1">
        <v>2.8980000000000001</v>
      </c>
      <c r="CO171" s="1">
        <v>12.4274</v>
      </c>
    </row>
    <row r="172" spans="1:93">
      <c r="A172" s="1425">
        <v>44988</v>
      </c>
      <c r="B172" s="20">
        <f t="shared" si="22"/>
        <v>8.6996000000000002</v>
      </c>
      <c r="C172" s="20">
        <f t="shared" si="24"/>
        <v>14.9817</v>
      </c>
      <c r="D172" s="20">
        <f t="shared" si="25"/>
        <v>12.0549</v>
      </c>
      <c r="E172" s="20">
        <f t="shared" si="26"/>
        <v>7.9518000000000004</v>
      </c>
      <c r="F172" s="20">
        <f t="shared" si="27"/>
        <v>16.3066</v>
      </c>
      <c r="G172" s="20">
        <f t="shared" si="28"/>
        <v>12.966799999999999</v>
      </c>
      <c r="H172" s="1239">
        <f t="shared" si="29"/>
        <v>12.966799999999999</v>
      </c>
      <c r="I172" s="1243">
        <f t="shared" si="23"/>
        <v>-0.3290865903692507</v>
      </c>
      <c r="J172" s="1243">
        <f t="shared" si="30"/>
        <v>0.12093838824177333</v>
      </c>
      <c r="K172" s="1243">
        <f t="shared" si="31"/>
        <v>0.1</v>
      </c>
      <c r="L172" s="203"/>
      <c r="N172" s="1425">
        <v>44988</v>
      </c>
      <c r="O172" s="1502">
        <v>8.6996000000000002</v>
      </c>
      <c r="P172" s="1502">
        <v>2.5064000000000002</v>
      </c>
      <c r="Q172" s="1502">
        <v>8.9796999999999993</v>
      </c>
      <c r="R172" s="1233">
        <f>'B. PE'!$U$23</f>
        <v>15.978235616082999</v>
      </c>
      <c r="S172" s="1233"/>
      <c r="T172" s="1233"/>
      <c r="V172" s="1425">
        <v>44988</v>
      </c>
      <c r="W172" s="1">
        <v>14.9817</v>
      </c>
      <c r="X172" s="1">
        <v>1.0571999999999999</v>
      </c>
      <c r="Y172" s="1">
        <v>5.7862</v>
      </c>
      <c r="Z172" s="1">
        <v>0.83796000000000004</v>
      </c>
      <c r="AB172" s="1425">
        <v>44971</v>
      </c>
      <c r="AC172" s="1">
        <v>8.0838999999999999</v>
      </c>
      <c r="AD172" s="1502">
        <v>1.2173</v>
      </c>
      <c r="AE172" s="1">
        <v>5.2058</v>
      </c>
      <c r="AF172" s="1">
        <v>3.2379999999999999E-2</v>
      </c>
      <c r="AH172" s="1425">
        <v>44971</v>
      </c>
      <c r="AI172" s="1">
        <v>12.3721</v>
      </c>
      <c r="AJ172" s="1">
        <v>2.2282999999999999</v>
      </c>
      <c r="AK172" s="1">
        <v>6.0892999999999997</v>
      </c>
      <c r="AL172" s="1">
        <v>3.7839999999999999E-2</v>
      </c>
      <c r="AN172" s="1425">
        <v>44984</v>
      </c>
      <c r="AO172" s="1">
        <v>8.0120000000000005</v>
      </c>
      <c r="AP172" s="1">
        <v>1.1646000000000001</v>
      </c>
      <c r="AQ172" s="1">
        <v>5.6090999999999998</v>
      </c>
      <c r="AR172" s="1">
        <v>0.28771000000000002</v>
      </c>
      <c r="AT172" s="1425">
        <v>44984</v>
      </c>
      <c r="AU172" s="1">
        <v>11.4224</v>
      </c>
      <c r="AV172" s="1">
        <v>0.96350000000000002</v>
      </c>
      <c r="AW172" s="1">
        <v>7.4329000000000001</v>
      </c>
      <c r="AX172" s="1">
        <v>0.23376</v>
      </c>
      <c r="BA172" s="1425">
        <v>44978</v>
      </c>
      <c r="BB172" s="1">
        <v>13.3482</v>
      </c>
      <c r="BC172" s="1">
        <v>2.6025999999999998</v>
      </c>
      <c r="BD172" s="1">
        <v>12.181900000000001</v>
      </c>
      <c r="BE172" s="1">
        <v>0.73268999999999995</v>
      </c>
      <c r="BG172" s="1425">
        <v>44978</v>
      </c>
      <c r="BH172" s="1">
        <v>17.351900000000001</v>
      </c>
      <c r="BI172" s="1">
        <v>3.4321999999999999</v>
      </c>
      <c r="BJ172" s="1">
        <v>19.776800000000001</v>
      </c>
      <c r="BT172" s="1425">
        <v>44988</v>
      </c>
      <c r="BU172" s="1">
        <v>13.9131</v>
      </c>
      <c r="BV172" s="1">
        <v>2.4106000000000001</v>
      </c>
      <c r="BW172" s="1">
        <v>6.0986000000000002</v>
      </c>
      <c r="BX172" s="1">
        <v>1.7174</v>
      </c>
      <c r="BZ172" s="1425">
        <v>44988</v>
      </c>
      <c r="CA172" s="1">
        <v>25.424700000000001</v>
      </c>
      <c r="CB172" s="1">
        <v>4.0999999999999996</v>
      </c>
      <c r="CC172" s="1">
        <v>15.9238</v>
      </c>
      <c r="CD172" s="1">
        <v>2.6244000000000001</v>
      </c>
      <c r="CF172" s="1425">
        <v>44987</v>
      </c>
      <c r="CG172" s="1">
        <v>5.4234</v>
      </c>
      <c r="CH172" s="1">
        <v>1.1917</v>
      </c>
      <c r="CL172" s="1425">
        <v>44987</v>
      </c>
      <c r="CM172" s="1">
        <v>25.335899999999999</v>
      </c>
      <c r="CN172" s="1">
        <v>2.8997999999999999</v>
      </c>
      <c r="CO172" s="1">
        <v>12.434699999999999</v>
      </c>
    </row>
    <row r="173" spans="1:93">
      <c r="A173" s="1425">
        <v>44987</v>
      </c>
      <c r="B173" s="20">
        <f t="shared" si="22"/>
        <v>8.7942</v>
      </c>
      <c r="C173" s="20">
        <f t="shared" si="24"/>
        <v>15.488300000000001</v>
      </c>
      <c r="D173" s="20">
        <f t="shared" si="25"/>
        <v>12.3721</v>
      </c>
      <c r="E173" s="20">
        <f t="shared" si="26"/>
        <v>7.8916000000000004</v>
      </c>
      <c r="F173" s="20">
        <f t="shared" si="27"/>
        <v>16.724699999999999</v>
      </c>
      <c r="G173" s="20">
        <f t="shared" si="28"/>
        <v>13.0939</v>
      </c>
      <c r="H173" s="1239">
        <f t="shared" si="29"/>
        <v>13.0939</v>
      </c>
      <c r="I173" s="1243">
        <f t="shared" si="23"/>
        <v>-0.32837428115381972</v>
      </c>
      <c r="J173" s="1243">
        <f t="shared" si="30"/>
        <v>0.12093838824177333</v>
      </c>
      <c r="K173" s="1243">
        <f t="shared" si="31"/>
        <v>0.1</v>
      </c>
      <c r="L173" s="203"/>
      <c r="N173" s="1425">
        <v>44987</v>
      </c>
      <c r="O173" s="1502">
        <v>8.7942</v>
      </c>
      <c r="P173" s="1502">
        <v>2.5335999999999999</v>
      </c>
      <c r="Q173" s="1502">
        <v>9.0617999999999999</v>
      </c>
      <c r="R173" s="1233">
        <f>'B. PE'!$U$23</f>
        <v>15.978235616082999</v>
      </c>
      <c r="S173" s="1233"/>
      <c r="T173" s="1233"/>
      <c r="V173" s="1425">
        <v>44987</v>
      </c>
      <c r="W173" s="1">
        <v>15.488300000000001</v>
      </c>
      <c r="X173" s="1">
        <v>1.093</v>
      </c>
      <c r="Y173" s="1">
        <v>5.9217000000000004</v>
      </c>
      <c r="Z173" s="1">
        <v>0.80371000000000004</v>
      </c>
      <c r="AB173" s="1425">
        <v>44970</v>
      </c>
      <c r="AC173" s="1">
        <v>7.7728999999999999</v>
      </c>
      <c r="AD173" s="1502">
        <v>1.1705000000000001</v>
      </c>
      <c r="AE173" s="1">
        <v>5.0734000000000004</v>
      </c>
      <c r="AF173" s="1">
        <v>3.3369999999999997E-2</v>
      </c>
      <c r="AH173" s="1425">
        <v>44970</v>
      </c>
      <c r="AI173" s="1">
        <v>12.3721</v>
      </c>
      <c r="AJ173" s="1">
        <v>2.2282999999999999</v>
      </c>
      <c r="AK173" s="1">
        <v>6.0892999999999997</v>
      </c>
      <c r="AL173" s="1">
        <v>3.8989999999999997E-2</v>
      </c>
      <c r="AN173" s="1425">
        <v>44981</v>
      </c>
      <c r="AO173" s="1">
        <v>7.8312999999999997</v>
      </c>
      <c r="AP173" s="1">
        <v>1.1384000000000001</v>
      </c>
      <c r="AQ173" s="1">
        <v>5.4737</v>
      </c>
      <c r="AR173" s="1">
        <v>0.28266999999999998</v>
      </c>
      <c r="AT173" s="1425">
        <v>44981</v>
      </c>
      <c r="AU173" s="1">
        <v>11.4224</v>
      </c>
      <c r="AV173" s="1">
        <v>0.96350000000000002</v>
      </c>
      <c r="AW173" s="1">
        <v>7.4329000000000001</v>
      </c>
      <c r="AX173" s="1">
        <v>0.22658</v>
      </c>
      <c r="BA173" s="1425">
        <v>44977</v>
      </c>
      <c r="BB173" s="1">
        <v>12.839700000000001</v>
      </c>
      <c r="BC173" s="1">
        <v>2.5034000000000001</v>
      </c>
      <c r="BD173" s="1">
        <v>11.851599999999999</v>
      </c>
      <c r="BE173" s="1">
        <v>0.72853999999999997</v>
      </c>
      <c r="BG173" s="1425">
        <v>44977</v>
      </c>
      <c r="BH173" s="1">
        <v>17.142900000000001</v>
      </c>
      <c r="BI173" s="1">
        <v>3.3908</v>
      </c>
      <c r="BJ173" s="1">
        <v>19.603400000000001</v>
      </c>
      <c r="BT173" s="1425">
        <v>44987</v>
      </c>
      <c r="BU173" s="1">
        <v>14.2309</v>
      </c>
      <c r="BV173" s="1">
        <v>2.4657</v>
      </c>
      <c r="BW173" s="1">
        <v>6.2343999999999999</v>
      </c>
      <c r="BX173" s="1">
        <v>1.6814</v>
      </c>
      <c r="BZ173" s="1425">
        <v>44987</v>
      </c>
      <c r="CA173" s="1">
        <v>25.936900000000001</v>
      </c>
      <c r="CB173" s="1">
        <v>4.1825999999999999</v>
      </c>
      <c r="CC173" s="1">
        <v>16.148099999999999</v>
      </c>
      <c r="CD173" s="1">
        <v>2.5220699999999998</v>
      </c>
      <c r="CF173" s="1425">
        <v>44986</v>
      </c>
      <c r="CG173" s="1">
        <v>5.5297000000000001</v>
      </c>
      <c r="CH173" s="1">
        <v>1.2150000000000001</v>
      </c>
      <c r="CL173" s="1425">
        <v>44986</v>
      </c>
      <c r="CM173" s="1">
        <v>24.851199999999999</v>
      </c>
      <c r="CN173" s="1">
        <v>2.8443999999999998</v>
      </c>
      <c r="CO173" s="1">
        <v>12.2158</v>
      </c>
    </row>
    <row r="174" spans="1:93">
      <c r="A174" s="1425">
        <v>44986</v>
      </c>
      <c r="B174" s="20">
        <f t="shared" si="22"/>
        <v>8.9242000000000008</v>
      </c>
      <c r="C174" s="20">
        <f t="shared" si="24"/>
        <v>15.560700000000001</v>
      </c>
      <c r="D174" s="20">
        <f t="shared" si="25"/>
        <v>12.4779</v>
      </c>
      <c r="E174" s="20">
        <f t="shared" si="26"/>
        <v>7.8312999999999997</v>
      </c>
      <c r="F174" s="20">
        <f t="shared" si="27"/>
        <v>16.620200000000001</v>
      </c>
      <c r="G174" s="20">
        <f t="shared" si="28"/>
        <v>13.221</v>
      </c>
      <c r="H174" s="1239">
        <f t="shared" si="29"/>
        <v>13.221</v>
      </c>
      <c r="I174" s="1243">
        <f t="shared" si="23"/>
        <v>-0.32499810906890547</v>
      </c>
      <c r="J174" s="1243">
        <f t="shared" si="30"/>
        <v>0.12093838824177333</v>
      </c>
      <c r="K174" s="1243">
        <f t="shared" si="31"/>
        <v>0.1</v>
      </c>
      <c r="L174" s="203"/>
      <c r="N174" s="1425">
        <v>44986</v>
      </c>
      <c r="O174" s="1502">
        <v>8.9242000000000008</v>
      </c>
      <c r="P174" s="1502">
        <v>2.5710999999999999</v>
      </c>
      <c r="Q174" s="1502">
        <v>9.1747999999999994</v>
      </c>
      <c r="R174" s="1233">
        <f>'B. PE'!$U$23</f>
        <v>15.978235616082999</v>
      </c>
      <c r="S174" s="1233"/>
      <c r="T174" s="1233"/>
      <c r="V174" s="1425">
        <v>44986</v>
      </c>
      <c r="W174" s="1">
        <v>15.560700000000001</v>
      </c>
      <c r="X174" s="1">
        <v>1.0981000000000001</v>
      </c>
      <c r="Y174" s="1">
        <v>5.9409999999999998</v>
      </c>
      <c r="Z174" s="1">
        <v>0.79737000000000002</v>
      </c>
      <c r="AB174" s="1425">
        <v>44967</v>
      </c>
      <c r="AC174" s="1">
        <v>7.6486000000000001</v>
      </c>
      <c r="AD174" s="1502">
        <v>1.1516999999999999</v>
      </c>
      <c r="AE174" s="1">
        <v>5.0204000000000004</v>
      </c>
      <c r="AF174" s="1">
        <v>3.338E-2</v>
      </c>
      <c r="AH174" s="1425">
        <v>44967</v>
      </c>
      <c r="AI174" s="1">
        <v>12.160600000000001</v>
      </c>
      <c r="AJ174" s="1">
        <v>2.1901999999999999</v>
      </c>
      <c r="AK174" s="1">
        <v>5.9824000000000002</v>
      </c>
      <c r="AL174" s="1">
        <v>3.8339999999999999E-2</v>
      </c>
      <c r="AN174" s="1425">
        <v>44980</v>
      </c>
      <c r="AO174" s="1">
        <v>7.7107999999999999</v>
      </c>
      <c r="AP174" s="1">
        <v>1.1209</v>
      </c>
      <c r="AQ174" s="1">
        <v>5.3834999999999997</v>
      </c>
      <c r="AR174" s="1">
        <v>0.28169</v>
      </c>
      <c r="AT174" s="1425">
        <v>44980</v>
      </c>
      <c r="AU174" s="1">
        <v>11.206899999999999</v>
      </c>
      <c r="AV174" s="1">
        <v>0.94530000000000003</v>
      </c>
      <c r="AW174" s="1">
        <v>7.3003</v>
      </c>
      <c r="AX174" s="1">
        <v>0.23211000000000001</v>
      </c>
      <c r="BA174" s="1425">
        <v>44974</v>
      </c>
      <c r="BB174" s="1">
        <v>12.839700000000001</v>
      </c>
      <c r="BC174" s="1">
        <v>2.5034000000000001</v>
      </c>
      <c r="BD174" s="1">
        <v>11.851599999999999</v>
      </c>
      <c r="BE174" s="1">
        <v>0.72335000000000005</v>
      </c>
      <c r="BG174" s="1425">
        <v>44974</v>
      </c>
      <c r="BH174" s="1">
        <v>16.8293</v>
      </c>
      <c r="BI174" s="1">
        <v>3.3288000000000002</v>
      </c>
      <c r="BJ174" s="1">
        <v>19.343399999999999</v>
      </c>
      <c r="BT174" s="1425">
        <v>44986</v>
      </c>
      <c r="BU174" s="1">
        <v>14.407500000000001</v>
      </c>
      <c r="BV174" s="1">
        <v>2.4963000000000002</v>
      </c>
      <c r="BW174" s="1">
        <v>6.3098999999999998</v>
      </c>
      <c r="BX174" s="1">
        <v>1.7013</v>
      </c>
      <c r="BZ174" s="1425">
        <v>44986</v>
      </c>
      <c r="CA174" s="1">
        <v>26.229500000000002</v>
      </c>
      <c r="CB174" s="1">
        <v>4.2298</v>
      </c>
      <c r="CC174" s="1">
        <v>16.276299999999999</v>
      </c>
      <c r="CD174" s="1">
        <v>2.5789200000000001</v>
      </c>
      <c r="CF174" s="1425">
        <v>44985</v>
      </c>
      <c r="CG174" s="1">
        <v>5.5297000000000001</v>
      </c>
      <c r="CH174" s="1">
        <v>1.2150000000000001</v>
      </c>
      <c r="CL174" s="1425">
        <v>44985</v>
      </c>
      <c r="CM174" s="1">
        <v>24.738099999999999</v>
      </c>
      <c r="CN174" s="1">
        <v>2.8313999999999999</v>
      </c>
      <c r="CO174" s="1">
        <v>12.1647</v>
      </c>
    </row>
    <row r="175" spans="1:93">
      <c r="A175" s="1425">
        <v>44985</v>
      </c>
      <c r="B175" s="20">
        <f t="shared" si="22"/>
        <v>8.6287000000000003</v>
      </c>
      <c r="C175" s="20">
        <f t="shared" si="24"/>
        <v>14.945499999999999</v>
      </c>
      <c r="D175" s="20">
        <f t="shared" si="25"/>
        <v>12.689399999999999</v>
      </c>
      <c r="E175" s="20">
        <f t="shared" si="26"/>
        <v>8.0120000000000005</v>
      </c>
      <c r="F175" s="20">
        <f t="shared" si="27"/>
        <v>16.8293</v>
      </c>
      <c r="G175" s="20">
        <f t="shared" si="28"/>
        <v>13.221</v>
      </c>
      <c r="H175" s="1239">
        <f t="shared" si="29"/>
        <v>13.221</v>
      </c>
      <c r="I175" s="1243">
        <f t="shared" si="23"/>
        <v>-0.34734891460555173</v>
      </c>
      <c r="J175" s="1243">
        <f t="shared" si="30"/>
        <v>0.12093838824177333</v>
      </c>
      <c r="K175" s="1243">
        <f t="shared" si="31"/>
        <v>0.1</v>
      </c>
      <c r="L175" s="203"/>
      <c r="N175" s="1425">
        <v>44985</v>
      </c>
      <c r="O175" s="1502">
        <v>8.6287000000000003</v>
      </c>
      <c r="P175" s="1502">
        <v>2.4860000000000002</v>
      </c>
      <c r="Q175" s="1502">
        <v>8.9181000000000008</v>
      </c>
      <c r="R175" s="1233">
        <f>'B. PE'!$U$23</f>
        <v>15.978235616082999</v>
      </c>
      <c r="S175" s="1233"/>
      <c r="T175" s="1233"/>
      <c r="V175" s="1425">
        <v>44985</v>
      </c>
      <c r="W175" s="1">
        <v>14.945499999999999</v>
      </c>
      <c r="X175" s="1">
        <v>1.0547</v>
      </c>
      <c r="Y175" s="1">
        <v>5.7766000000000002</v>
      </c>
      <c r="Z175" s="1">
        <v>0.83687</v>
      </c>
      <c r="AB175" s="1425">
        <v>44966</v>
      </c>
      <c r="AC175" s="1">
        <v>7.8506999999999998</v>
      </c>
      <c r="AD175" s="1502">
        <v>1.1821999999999999</v>
      </c>
      <c r="AE175" s="1">
        <v>5.1064999999999996</v>
      </c>
      <c r="AF175" s="1">
        <v>3.3079999999999998E-2</v>
      </c>
      <c r="AH175" s="1425">
        <v>44966</v>
      </c>
      <c r="AI175" s="1">
        <v>12.4779</v>
      </c>
      <c r="AJ175" s="1">
        <v>2.2473999999999998</v>
      </c>
      <c r="AK175" s="1">
        <v>6.1426999999999996</v>
      </c>
      <c r="AL175" s="1">
        <v>3.9690000000000003E-2</v>
      </c>
      <c r="AN175" s="1425">
        <v>44979</v>
      </c>
      <c r="AO175" s="1">
        <v>7.5903999999999998</v>
      </c>
      <c r="AP175" s="1">
        <v>1.1032999999999999</v>
      </c>
      <c r="AQ175" s="1">
        <v>5.2933000000000003</v>
      </c>
      <c r="AR175" s="1">
        <v>0.27990999999999999</v>
      </c>
      <c r="AT175" s="1425">
        <v>44979</v>
      </c>
      <c r="AU175" s="1">
        <v>10.883599999999999</v>
      </c>
      <c r="AV175" s="1">
        <v>0.91810000000000003</v>
      </c>
      <c r="AW175" s="1">
        <v>7.1013999999999999</v>
      </c>
      <c r="AX175" s="1">
        <v>0.23476</v>
      </c>
      <c r="BA175" s="1425">
        <v>44973</v>
      </c>
      <c r="BB175" s="1">
        <v>12.7125</v>
      </c>
      <c r="BC175" s="1">
        <v>2.4786000000000001</v>
      </c>
      <c r="BD175" s="1">
        <v>11.769</v>
      </c>
      <c r="BE175" s="1">
        <v>0.75929999999999997</v>
      </c>
      <c r="BG175" s="1425">
        <v>44973</v>
      </c>
      <c r="BH175" s="1">
        <v>16.933800000000002</v>
      </c>
      <c r="BI175" s="1">
        <v>3.3494999999999999</v>
      </c>
      <c r="BJ175" s="1">
        <v>19.430099999999999</v>
      </c>
      <c r="BT175" s="1425">
        <v>44985</v>
      </c>
      <c r="BU175" s="1">
        <v>14.125</v>
      </c>
      <c r="BV175" s="1">
        <v>2.4472999999999998</v>
      </c>
      <c r="BW175" s="1">
        <v>6.1891999999999996</v>
      </c>
      <c r="BX175" s="1">
        <v>1.7698</v>
      </c>
      <c r="BZ175" s="1425">
        <v>44985</v>
      </c>
      <c r="CA175" s="1">
        <v>25.241800000000001</v>
      </c>
      <c r="CB175" s="1">
        <v>4.0705</v>
      </c>
      <c r="CC175" s="1">
        <v>15.8437</v>
      </c>
      <c r="CD175" s="1">
        <v>2.6575299999999999</v>
      </c>
      <c r="CF175" s="1425">
        <v>44984</v>
      </c>
      <c r="CG175" s="1">
        <v>5.4234</v>
      </c>
      <c r="CH175" s="1">
        <v>1.1917</v>
      </c>
      <c r="CL175" s="1425">
        <v>44984</v>
      </c>
      <c r="CM175" s="1">
        <v>25.642900000000001</v>
      </c>
      <c r="CN175" s="1">
        <v>2.9350000000000001</v>
      </c>
      <c r="CO175" s="1">
        <v>12.5733</v>
      </c>
    </row>
    <row r="176" spans="1:93">
      <c r="A176" s="1425">
        <v>44984</v>
      </c>
      <c r="B176" s="20">
        <f t="shared" si="22"/>
        <v>8.8651</v>
      </c>
      <c r="C176" s="20">
        <f t="shared" si="24"/>
        <v>14.837</v>
      </c>
      <c r="D176" s="20">
        <f t="shared" si="25"/>
        <v>12.0549</v>
      </c>
      <c r="E176" s="20">
        <f t="shared" si="26"/>
        <v>8.0120000000000005</v>
      </c>
      <c r="F176" s="20">
        <f t="shared" si="27"/>
        <v>16.933800000000002</v>
      </c>
      <c r="G176" s="20">
        <f t="shared" si="28"/>
        <v>13.475300000000001</v>
      </c>
      <c r="H176" s="1239">
        <f t="shared" si="29"/>
        <v>13.475300000000001</v>
      </c>
      <c r="I176" s="1243">
        <f t="shared" si="23"/>
        <v>-0.34212225330790413</v>
      </c>
      <c r="J176" s="1243">
        <f t="shared" si="30"/>
        <v>0.12093838824177333</v>
      </c>
      <c r="K176" s="1243">
        <f t="shared" si="31"/>
        <v>0.1</v>
      </c>
      <c r="L176" s="203"/>
      <c r="N176" s="1425">
        <v>44984</v>
      </c>
      <c r="O176" s="1502">
        <v>8.8651</v>
      </c>
      <c r="P176" s="1502">
        <v>2.5541</v>
      </c>
      <c r="Q176" s="1502">
        <v>9.1234000000000002</v>
      </c>
      <c r="R176" s="1233">
        <f>'B. PE'!$U$23</f>
        <v>15.978235616082999</v>
      </c>
      <c r="S176" s="1233"/>
      <c r="T176" s="1233"/>
      <c r="V176" s="1425">
        <v>44984</v>
      </c>
      <c r="W176" s="1">
        <v>14.837</v>
      </c>
      <c r="X176" s="1">
        <v>1.0469999999999999</v>
      </c>
      <c r="Y176" s="1">
        <v>5.7474999999999996</v>
      </c>
      <c r="Z176" s="1">
        <v>0.87716000000000005</v>
      </c>
      <c r="AB176" s="1425">
        <v>44965</v>
      </c>
      <c r="AC176" s="1">
        <v>7.8506999999999998</v>
      </c>
      <c r="AD176" s="1502">
        <v>1.1821999999999999</v>
      </c>
      <c r="AE176" s="1">
        <v>5.1064999999999996</v>
      </c>
      <c r="AF176" s="1">
        <v>3.2649999999999998E-2</v>
      </c>
      <c r="AH176" s="1425">
        <v>44965</v>
      </c>
      <c r="AI176" s="1">
        <v>12.266400000000001</v>
      </c>
      <c r="AJ176" s="1">
        <v>2.2092999999999998</v>
      </c>
      <c r="AK176" s="1">
        <v>6.0358000000000001</v>
      </c>
      <c r="AL176" s="1">
        <v>3.9489999999999997E-2</v>
      </c>
      <c r="AN176" s="1425">
        <v>44978</v>
      </c>
      <c r="AO176" s="1">
        <v>7.5301</v>
      </c>
      <c r="AP176" s="1">
        <v>1.0946</v>
      </c>
      <c r="AQ176" s="1">
        <v>5.2481999999999998</v>
      </c>
      <c r="AR176" s="1">
        <v>0.28458</v>
      </c>
      <c r="AT176" s="1425">
        <v>44978</v>
      </c>
      <c r="AU176" s="1">
        <v>11.0991</v>
      </c>
      <c r="AV176" s="1">
        <v>0.93620000000000003</v>
      </c>
      <c r="AW176" s="1">
        <v>7.234</v>
      </c>
      <c r="AX176" s="1">
        <v>0.24618999999999999</v>
      </c>
      <c r="BA176" s="1425">
        <v>44972</v>
      </c>
      <c r="BB176" s="1">
        <v>12.6617</v>
      </c>
      <c r="BC176" s="1">
        <v>2.4687000000000001</v>
      </c>
      <c r="BD176" s="1">
        <v>11.735900000000001</v>
      </c>
      <c r="BE176" s="1">
        <v>0.77559</v>
      </c>
      <c r="BG176" s="1425">
        <v>44972</v>
      </c>
      <c r="BH176" s="1">
        <v>16.8293</v>
      </c>
      <c r="BI176" s="1">
        <v>3.3288000000000002</v>
      </c>
      <c r="BJ176" s="1">
        <v>19.343399999999999</v>
      </c>
      <c r="BT176" s="1425">
        <v>44984</v>
      </c>
      <c r="BU176" s="1">
        <v>14.301600000000001</v>
      </c>
      <c r="BV176" s="1">
        <v>2.4779</v>
      </c>
      <c r="BW176" s="1">
        <v>6.2645999999999997</v>
      </c>
      <c r="BX176" s="1">
        <v>1.8105</v>
      </c>
      <c r="BZ176" s="1425">
        <v>44984</v>
      </c>
      <c r="CA176" s="1">
        <v>25.827100000000002</v>
      </c>
      <c r="CB176" s="1">
        <v>4.1649000000000003</v>
      </c>
      <c r="CC176" s="1">
        <v>16.100100000000001</v>
      </c>
      <c r="CD176" s="1">
        <v>2.7605200000000001</v>
      </c>
      <c r="CF176" s="1425">
        <v>44981</v>
      </c>
      <c r="CG176" s="1">
        <v>5.8132999999999999</v>
      </c>
      <c r="CH176" s="1">
        <v>1.2773000000000001</v>
      </c>
      <c r="CL176" s="1425">
        <v>44981</v>
      </c>
      <c r="CM176" s="1">
        <v>25.3521</v>
      </c>
      <c r="CN176" s="1">
        <v>2.9016999999999999</v>
      </c>
      <c r="CO176" s="1">
        <v>12.4419</v>
      </c>
    </row>
    <row r="177" spans="1:93">
      <c r="A177" s="1425">
        <v>44981</v>
      </c>
      <c r="B177" s="20">
        <f t="shared" si="22"/>
        <v>9.4207000000000001</v>
      </c>
      <c r="C177" s="20">
        <f t="shared" si="24"/>
        <v>15.560700000000001</v>
      </c>
      <c r="D177" s="20">
        <f t="shared" si="25"/>
        <v>12.160600000000001</v>
      </c>
      <c r="E177" s="20">
        <f t="shared" si="26"/>
        <v>7.8312999999999997</v>
      </c>
      <c r="F177" s="20">
        <f t="shared" si="27"/>
        <v>16.933800000000002</v>
      </c>
      <c r="G177" s="20">
        <f t="shared" si="28"/>
        <v>13.221</v>
      </c>
      <c r="H177" s="1239">
        <f t="shared" si="29"/>
        <v>13.221</v>
      </c>
      <c r="I177" s="1243">
        <f t="shared" si="23"/>
        <v>-0.2874442175327131</v>
      </c>
      <c r="J177" s="1243">
        <f t="shared" si="30"/>
        <v>0.12093838824177333</v>
      </c>
      <c r="K177" s="1243">
        <f t="shared" si="31"/>
        <v>0.1</v>
      </c>
      <c r="L177" s="203"/>
      <c r="N177" s="1425">
        <v>44981</v>
      </c>
      <c r="O177" s="1502">
        <v>9.4207000000000001</v>
      </c>
      <c r="P177" s="1502">
        <v>2.7141000000000002</v>
      </c>
      <c r="Q177" s="1502">
        <v>9.6059999999999999</v>
      </c>
      <c r="R177" s="1233">
        <f>'B. PE'!$U$23</f>
        <v>15.978235616082999</v>
      </c>
      <c r="S177" s="1233"/>
      <c r="T177" s="1233"/>
      <c r="V177" s="1425">
        <v>44981</v>
      </c>
      <c r="W177" s="1">
        <v>15.560700000000001</v>
      </c>
      <c r="X177" s="1">
        <v>1.0981000000000001</v>
      </c>
      <c r="Y177" s="1">
        <v>5.9409999999999998</v>
      </c>
      <c r="Z177" s="1">
        <v>0.85802</v>
      </c>
      <c r="AB177" s="1425">
        <v>44964</v>
      </c>
      <c r="AC177" s="1">
        <v>7.7728999999999999</v>
      </c>
      <c r="AD177" s="1502">
        <v>1.1705000000000001</v>
      </c>
      <c r="AE177" s="1">
        <v>5.0734000000000004</v>
      </c>
      <c r="AF177" s="1">
        <v>3.3270000000000001E-2</v>
      </c>
      <c r="AH177" s="1425">
        <v>44964</v>
      </c>
      <c r="AI177" s="1">
        <v>12.689399999999999</v>
      </c>
      <c r="AJ177" s="1">
        <v>2.2854999999999999</v>
      </c>
      <c r="AK177" s="1">
        <v>6.2496</v>
      </c>
      <c r="AL177" s="1">
        <v>4.0079999999999998E-2</v>
      </c>
      <c r="AN177" s="1425">
        <v>44977</v>
      </c>
      <c r="AO177" s="1">
        <v>7.4699</v>
      </c>
      <c r="AP177" s="1">
        <v>1.0858000000000001</v>
      </c>
      <c r="AQ177" s="1">
        <v>5.2031000000000001</v>
      </c>
      <c r="AR177" s="1">
        <v>0.28420000000000001</v>
      </c>
      <c r="AT177" s="1425">
        <v>44977</v>
      </c>
      <c r="AU177" s="1">
        <v>11.206899999999999</v>
      </c>
      <c r="AV177" s="1">
        <v>0.94530000000000003</v>
      </c>
      <c r="AW177" s="1">
        <v>7.3003</v>
      </c>
      <c r="AX177" s="1">
        <v>0.25236999999999998</v>
      </c>
      <c r="BA177" s="1425">
        <v>44971</v>
      </c>
      <c r="BB177" s="1">
        <v>13.0939</v>
      </c>
      <c r="BC177" s="1">
        <v>2.5529999999999999</v>
      </c>
      <c r="BD177" s="1">
        <v>12.0167</v>
      </c>
      <c r="BE177" s="1">
        <v>0.78542000000000001</v>
      </c>
      <c r="BG177" s="1425">
        <v>44971</v>
      </c>
      <c r="BH177" s="1">
        <v>16.515699999999999</v>
      </c>
      <c r="BI177" s="1">
        <v>3.2667999999999999</v>
      </c>
      <c r="BJ177" s="1">
        <v>19.083400000000001</v>
      </c>
      <c r="BT177" s="1425">
        <v>44981</v>
      </c>
      <c r="BU177" s="1">
        <v>14.8666</v>
      </c>
      <c r="BV177" s="1">
        <v>2.5758000000000001</v>
      </c>
      <c r="BW177" s="1">
        <v>6.5061</v>
      </c>
      <c r="BX177" s="1">
        <v>1.8111999999999999</v>
      </c>
      <c r="BZ177" s="1425">
        <v>44981</v>
      </c>
      <c r="CA177" s="1">
        <v>26.595400000000001</v>
      </c>
      <c r="CB177" s="1">
        <v>4.2888000000000002</v>
      </c>
      <c r="CC177" s="1">
        <v>16.436599999999999</v>
      </c>
      <c r="CD177" s="1">
        <v>2.7543600000000001</v>
      </c>
      <c r="CF177" s="1425">
        <v>44980</v>
      </c>
      <c r="CG177" s="1">
        <v>5.8487999999999998</v>
      </c>
      <c r="CH177" s="1">
        <v>1.2850999999999999</v>
      </c>
      <c r="CL177" s="1425">
        <v>44980</v>
      </c>
      <c r="CM177" s="1">
        <v>25.6752</v>
      </c>
      <c r="CN177" s="1">
        <v>2.9386999999999999</v>
      </c>
      <c r="CO177" s="1">
        <v>12.5878</v>
      </c>
    </row>
    <row r="178" spans="1:93">
      <c r="A178" s="1425">
        <v>44980</v>
      </c>
      <c r="B178" s="20">
        <f t="shared" si="22"/>
        <v>9.6689000000000007</v>
      </c>
      <c r="C178" s="20">
        <f t="shared" si="24"/>
        <v>16.284500000000001</v>
      </c>
      <c r="D178" s="20">
        <f t="shared" si="25"/>
        <v>12.0549</v>
      </c>
      <c r="E178" s="20">
        <f t="shared" si="26"/>
        <v>7.7107999999999999</v>
      </c>
      <c r="F178" s="20">
        <f t="shared" si="27"/>
        <v>17.142900000000001</v>
      </c>
      <c r="G178" s="20">
        <f t="shared" si="28"/>
        <v>13.475300000000001</v>
      </c>
      <c r="H178" s="1239">
        <f t="shared" si="29"/>
        <v>13.475300000000001</v>
      </c>
      <c r="I178" s="1243">
        <f t="shared" si="23"/>
        <v>-0.28247237538310832</v>
      </c>
      <c r="J178" s="1243">
        <f t="shared" si="30"/>
        <v>0.12093838824177333</v>
      </c>
      <c r="K178" s="1243">
        <f t="shared" si="31"/>
        <v>0.1</v>
      </c>
      <c r="L178" s="203"/>
      <c r="N178" s="1425">
        <v>44980</v>
      </c>
      <c r="O178" s="1502">
        <v>9.6689000000000007</v>
      </c>
      <c r="P178" s="1502">
        <v>2.7856000000000001</v>
      </c>
      <c r="Q178" s="1502">
        <v>9.8216999999999999</v>
      </c>
      <c r="R178" s="1233">
        <f>'B. PE'!$U$23</f>
        <v>15.978235616082999</v>
      </c>
      <c r="S178" s="1233"/>
      <c r="T178" s="1233"/>
      <c r="V178" s="1425">
        <v>44980</v>
      </c>
      <c r="W178" s="1">
        <v>16.284500000000001</v>
      </c>
      <c r="X178" s="1">
        <v>1.1491</v>
      </c>
      <c r="Y178" s="1">
        <v>6.1345000000000001</v>
      </c>
      <c r="Z178" s="1">
        <v>0.90776999999999997</v>
      </c>
      <c r="AB178" s="1425">
        <v>44963</v>
      </c>
      <c r="AC178" s="1">
        <v>7.7107999999999999</v>
      </c>
      <c r="AD178" s="1502">
        <v>1.1611</v>
      </c>
      <c r="AE178" s="1">
        <v>5.0468999999999999</v>
      </c>
      <c r="AF178" s="1">
        <v>3.1949999999999999E-2</v>
      </c>
      <c r="AH178" s="1425">
        <v>44963</v>
      </c>
      <c r="AI178" s="1">
        <v>12.689399999999999</v>
      </c>
      <c r="AJ178" s="1">
        <v>2.2854999999999999</v>
      </c>
      <c r="AK178" s="1">
        <v>6.2496</v>
      </c>
      <c r="AL178" s="1">
        <v>3.8929999999999999E-2</v>
      </c>
      <c r="AN178" s="1425">
        <v>44974</v>
      </c>
      <c r="AO178" s="1">
        <v>7.5903999999999998</v>
      </c>
      <c r="AP178" s="1">
        <v>1.1032999999999999</v>
      </c>
      <c r="AQ178" s="1">
        <v>5.2933000000000003</v>
      </c>
      <c r="AR178" s="1">
        <v>0.28260000000000002</v>
      </c>
      <c r="AT178" s="1425">
        <v>44974</v>
      </c>
      <c r="AU178" s="1">
        <v>11.745699999999999</v>
      </c>
      <c r="AV178" s="1">
        <v>0.99080000000000001</v>
      </c>
      <c r="AW178" s="1">
        <v>7.6317000000000004</v>
      </c>
      <c r="AX178" s="1">
        <v>0.26208999999999999</v>
      </c>
      <c r="BA178" s="1425">
        <v>44970</v>
      </c>
      <c r="BB178" s="1">
        <v>13.3482</v>
      </c>
      <c r="BC178" s="1">
        <v>2.6025999999999998</v>
      </c>
      <c r="BD178" s="1">
        <v>12.181900000000001</v>
      </c>
      <c r="BE178" s="1">
        <v>0.78251000000000004</v>
      </c>
      <c r="BG178" s="1425">
        <v>44970</v>
      </c>
      <c r="BH178" s="1">
        <v>16.933800000000002</v>
      </c>
      <c r="BI178" s="1">
        <v>3.3494999999999999</v>
      </c>
      <c r="BJ178" s="1">
        <v>19.430099999999999</v>
      </c>
      <c r="BT178" s="1425">
        <v>44980</v>
      </c>
      <c r="BU178" s="1">
        <v>15.1844</v>
      </c>
      <c r="BV178" s="1">
        <v>2.6309</v>
      </c>
      <c r="BW178" s="1">
        <v>6.6420000000000003</v>
      </c>
      <c r="BX178" s="1">
        <v>1.8764000000000001</v>
      </c>
      <c r="BZ178" s="1425">
        <v>44980</v>
      </c>
      <c r="CA178" s="1">
        <v>27.583100000000002</v>
      </c>
      <c r="CB178" s="1">
        <v>4.4481000000000002</v>
      </c>
      <c r="CC178" s="1">
        <v>16.869199999999999</v>
      </c>
      <c r="CD178" s="1">
        <v>2.7793800000000002</v>
      </c>
      <c r="CF178" s="1425">
        <v>44979</v>
      </c>
      <c r="CG178" s="1">
        <v>5.8841999999999999</v>
      </c>
      <c r="CH178" s="1">
        <v>1.2928999999999999</v>
      </c>
      <c r="CL178" s="1425">
        <v>44979</v>
      </c>
      <c r="CM178" s="1">
        <v>25.739899999999999</v>
      </c>
      <c r="CN178" s="1">
        <v>2.9460999999999999</v>
      </c>
      <c r="CO178" s="1">
        <v>12.617000000000001</v>
      </c>
    </row>
    <row r="179" spans="1:93">
      <c r="A179" s="1425">
        <v>44979</v>
      </c>
      <c r="B179" s="20">
        <f t="shared" si="22"/>
        <v>9.8107000000000006</v>
      </c>
      <c r="C179" s="20">
        <f t="shared" si="24"/>
        <v>15.922599999999999</v>
      </c>
      <c r="D179" s="20">
        <f t="shared" si="25"/>
        <v>11.7377</v>
      </c>
      <c r="E179" s="20">
        <f t="shared" si="26"/>
        <v>7.5903999999999998</v>
      </c>
      <c r="F179" s="20">
        <f t="shared" si="27"/>
        <v>17.456399999999999</v>
      </c>
      <c r="G179" s="20">
        <f t="shared" si="28"/>
        <v>13.3482</v>
      </c>
      <c r="H179" s="1239">
        <f t="shared" si="29"/>
        <v>13.3482</v>
      </c>
      <c r="I179" s="1243">
        <f t="shared" si="23"/>
        <v>-0.26501700603826728</v>
      </c>
      <c r="J179" s="1243">
        <f t="shared" si="30"/>
        <v>0.12093838824177333</v>
      </c>
      <c r="K179" s="1243">
        <f t="shared" si="31"/>
        <v>0.1</v>
      </c>
      <c r="L179" s="203"/>
      <c r="N179" s="1425">
        <v>44979</v>
      </c>
      <c r="O179" s="1502">
        <v>9.8107000000000006</v>
      </c>
      <c r="P179" s="1502">
        <v>2.8264999999999998</v>
      </c>
      <c r="Q179" s="1502">
        <v>9.9449000000000005</v>
      </c>
      <c r="R179" s="1233">
        <f>'B. PE'!$U$23</f>
        <v>15.978235616082999</v>
      </c>
      <c r="S179" s="1233"/>
      <c r="T179" s="1233"/>
      <c r="V179" s="1425">
        <v>44979</v>
      </c>
      <c r="W179" s="1">
        <v>15.922599999999999</v>
      </c>
      <c r="X179" s="1">
        <v>1.1235999999999999</v>
      </c>
      <c r="Y179" s="1">
        <v>6.0377999999999998</v>
      </c>
      <c r="Z179" s="1">
        <v>0.87278</v>
      </c>
      <c r="AB179" s="1425">
        <v>44960</v>
      </c>
      <c r="AC179" s="1">
        <v>7.7417999999999996</v>
      </c>
      <c r="AD179" s="1502">
        <v>1.1657999999999999</v>
      </c>
      <c r="AE179" s="1">
        <v>5.0601000000000003</v>
      </c>
      <c r="AF179" s="1">
        <v>3.1350000000000003E-2</v>
      </c>
      <c r="AH179" s="1425">
        <v>44960</v>
      </c>
      <c r="AI179" s="1">
        <v>12.689399999999999</v>
      </c>
      <c r="AJ179" s="1">
        <v>2.2854999999999999</v>
      </c>
      <c r="AK179" s="1">
        <v>6.2496</v>
      </c>
      <c r="AL179" s="1">
        <v>3.7359999999999997E-2</v>
      </c>
      <c r="AN179" s="1425">
        <v>44973</v>
      </c>
      <c r="AO179" s="1">
        <v>7.5301</v>
      </c>
      <c r="AP179" s="1">
        <v>1.0946</v>
      </c>
      <c r="AQ179" s="1">
        <v>5.2481999999999998</v>
      </c>
      <c r="AR179" s="1">
        <v>0.28423999999999999</v>
      </c>
      <c r="AT179" s="1425">
        <v>44973</v>
      </c>
      <c r="AU179" s="1">
        <v>11.9612</v>
      </c>
      <c r="AV179" s="1">
        <v>1.0089999999999999</v>
      </c>
      <c r="AW179" s="1">
        <v>7.7643000000000004</v>
      </c>
      <c r="AX179" s="1">
        <v>0.24986</v>
      </c>
      <c r="BA179" s="1425">
        <v>44967</v>
      </c>
      <c r="BB179" s="1">
        <v>13.475300000000001</v>
      </c>
      <c r="BC179" s="1">
        <v>2.6274000000000002</v>
      </c>
      <c r="BD179" s="1">
        <v>12.2645</v>
      </c>
      <c r="BE179" s="1">
        <v>0.78325</v>
      </c>
      <c r="BG179" s="1425">
        <v>44967</v>
      </c>
      <c r="BH179" s="1">
        <v>17.247399999999999</v>
      </c>
      <c r="BI179" s="1">
        <v>3.4115000000000002</v>
      </c>
      <c r="BJ179" s="1">
        <v>19.690100000000001</v>
      </c>
      <c r="BT179" s="1425">
        <v>44979</v>
      </c>
      <c r="BU179" s="1">
        <v>15.1844</v>
      </c>
      <c r="BV179" s="1">
        <v>2.6309</v>
      </c>
      <c r="BW179" s="1">
        <v>6.6420000000000003</v>
      </c>
      <c r="BX179" s="1">
        <v>1.86</v>
      </c>
      <c r="BZ179" s="1425">
        <v>44979</v>
      </c>
      <c r="CA179" s="1">
        <v>27.509899999999998</v>
      </c>
      <c r="CB179" s="1">
        <v>4.4363000000000001</v>
      </c>
      <c r="CC179" s="1">
        <v>16.8371</v>
      </c>
      <c r="CD179" s="1">
        <v>2.7747799999999998</v>
      </c>
      <c r="CF179" s="1425">
        <v>44978</v>
      </c>
      <c r="CG179" s="1">
        <v>5.7778999999999998</v>
      </c>
      <c r="CH179" s="1">
        <v>1.2696000000000001</v>
      </c>
      <c r="CL179" s="1425">
        <v>44978</v>
      </c>
      <c r="CM179" s="1">
        <v>25.8368</v>
      </c>
      <c r="CN179" s="1">
        <v>2.9571999999999998</v>
      </c>
      <c r="CO179" s="1">
        <v>12.6608</v>
      </c>
    </row>
    <row r="180" spans="1:93">
      <c r="A180" s="1425">
        <v>44978</v>
      </c>
      <c r="B180" s="20">
        <f t="shared" si="22"/>
        <v>9.8817000000000004</v>
      </c>
      <c r="C180" s="20">
        <f t="shared" si="24"/>
        <v>16.827300000000001</v>
      </c>
      <c r="D180" s="20">
        <f t="shared" si="25"/>
        <v>11.949199999999999</v>
      </c>
      <c r="E180" s="20">
        <f t="shared" si="26"/>
        <v>7.5301</v>
      </c>
      <c r="F180" s="20">
        <f t="shared" si="27"/>
        <v>17.351900000000001</v>
      </c>
      <c r="G180" s="20">
        <f t="shared" si="28"/>
        <v>13.3482</v>
      </c>
      <c r="H180" s="1239">
        <f t="shared" si="29"/>
        <v>13.3482</v>
      </c>
      <c r="I180" s="1243">
        <f t="shared" si="23"/>
        <v>-0.25969793680046749</v>
      </c>
      <c r="J180" s="1243">
        <f t="shared" si="30"/>
        <v>0.12093838824177333</v>
      </c>
      <c r="K180" s="1243">
        <f t="shared" si="31"/>
        <v>0.1</v>
      </c>
      <c r="L180" s="203"/>
      <c r="N180" s="1425">
        <v>44978</v>
      </c>
      <c r="O180" s="1502">
        <v>9.8817000000000004</v>
      </c>
      <c r="P180" s="1502">
        <v>2.8469000000000002</v>
      </c>
      <c r="Q180" s="1502">
        <v>10.006500000000001</v>
      </c>
      <c r="R180" s="1233">
        <f>'B. PE'!$U$23</f>
        <v>15.978235616082999</v>
      </c>
      <c r="S180" s="1233"/>
      <c r="T180" s="1233"/>
      <c r="V180" s="1425">
        <v>44978</v>
      </c>
      <c r="W180" s="1">
        <v>16.827300000000001</v>
      </c>
      <c r="X180" s="1">
        <v>1.1874</v>
      </c>
      <c r="Y180" s="1">
        <v>6.2796000000000003</v>
      </c>
      <c r="Z180" s="1">
        <v>0.83909</v>
      </c>
      <c r="AB180" s="1425">
        <v>44959</v>
      </c>
      <c r="AC180" s="1">
        <v>7.3997999999999999</v>
      </c>
      <c r="AD180" s="1502">
        <v>1.1143000000000001</v>
      </c>
      <c r="AE180" s="1">
        <v>4.9145000000000003</v>
      </c>
      <c r="AF180" s="1">
        <v>2.7949999999999999E-2</v>
      </c>
      <c r="AH180" s="1425">
        <v>44959</v>
      </c>
      <c r="AI180" s="1">
        <v>12.266400000000001</v>
      </c>
      <c r="AJ180" s="1">
        <v>2.2092999999999998</v>
      </c>
      <c r="AK180" s="1">
        <v>6.0358000000000001</v>
      </c>
      <c r="AL180" s="1">
        <v>3.7260000000000001E-2</v>
      </c>
      <c r="AN180" s="1425">
        <v>44972</v>
      </c>
      <c r="AO180" s="1">
        <v>7.4699</v>
      </c>
      <c r="AP180" s="1">
        <v>1.0858000000000001</v>
      </c>
      <c r="AQ180" s="1">
        <v>5.2031000000000001</v>
      </c>
      <c r="AR180" s="1">
        <v>0.28510999999999997</v>
      </c>
      <c r="AT180" s="1425">
        <v>44972</v>
      </c>
      <c r="AU180" s="1">
        <v>12.392200000000001</v>
      </c>
      <c r="AV180" s="1">
        <v>1.0452999999999999</v>
      </c>
      <c r="AW180" s="1">
        <v>8.0294000000000008</v>
      </c>
      <c r="AX180" s="1">
        <v>0.25291999999999998</v>
      </c>
      <c r="BA180" s="1425">
        <v>44966</v>
      </c>
      <c r="BB180" s="1">
        <v>13.3482</v>
      </c>
      <c r="BC180" s="1">
        <v>2.6025999999999998</v>
      </c>
      <c r="BD180" s="1">
        <v>12.181900000000001</v>
      </c>
      <c r="BE180" s="1">
        <v>0.80693000000000004</v>
      </c>
      <c r="BG180" s="1425">
        <v>44966</v>
      </c>
      <c r="BH180" s="1">
        <v>17.351900000000001</v>
      </c>
      <c r="BI180" s="1">
        <v>3.4321999999999999</v>
      </c>
      <c r="BJ180" s="1">
        <v>19.776800000000001</v>
      </c>
      <c r="BT180" s="1425">
        <v>44978</v>
      </c>
      <c r="BU180" s="1">
        <v>15.7141</v>
      </c>
      <c r="BV180" s="1">
        <v>2.7225999999999999</v>
      </c>
      <c r="BW180" s="1">
        <v>6.8682999999999996</v>
      </c>
      <c r="BX180" s="1">
        <v>1.823</v>
      </c>
      <c r="BZ180" s="1425">
        <v>44978</v>
      </c>
      <c r="CA180" s="1">
        <v>27.729399999999998</v>
      </c>
      <c r="CB180" s="1">
        <v>4.4717000000000002</v>
      </c>
      <c r="CC180" s="1">
        <v>16.933299999999999</v>
      </c>
      <c r="CD180" s="1">
        <v>2.71224</v>
      </c>
      <c r="CF180" s="1425">
        <v>44977</v>
      </c>
      <c r="CG180" s="1">
        <v>5.7423999999999999</v>
      </c>
      <c r="CH180" s="1">
        <v>1.2618</v>
      </c>
      <c r="CL180" s="1425">
        <v>44977</v>
      </c>
      <c r="CM180" s="1">
        <v>25.659099999999999</v>
      </c>
      <c r="CN180" s="1">
        <v>2.9367999999999999</v>
      </c>
      <c r="CO180" s="1">
        <v>12.5806</v>
      </c>
    </row>
    <row r="181" spans="1:93">
      <c r="A181" s="1425">
        <v>44977</v>
      </c>
      <c r="B181" s="20">
        <f t="shared" si="22"/>
        <v>9.6453000000000007</v>
      </c>
      <c r="C181" s="20">
        <f t="shared" si="24"/>
        <v>16.2483</v>
      </c>
      <c r="D181" s="20">
        <f t="shared" si="25"/>
        <v>12.0549</v>
      </c>
      <c r="E181" s="20">
        <f t="shared" si="26"/>
        <v>7.4699</v>
      </c>
      <c r="F181" s="20">
        <f t="shared" si="27"/>
        <v>17.142900000000001</v>
      </c>
      <c r="G181" s="20">
        <f t="shared" si="28"/>
        <v>12.839700000000001</v>
      </c>
      <c r="H181" s="1239">
        <f t="shared" si="29"/>
        <v>12.839700000000001</v>
      </c>
      <c r="I181" s="1243">
        <f t="shared" si="23"/>
        <v>-0.2487908595995233</v>
      </c>
      <c r="J181" s="1243">
        <f t="shared" si="30"/>
        <v>0.12093838824177333</v>
      </c>
      <c r="K181" s="1243">
        <f t="shared" si="31"/>
        <v>0.1</v>
      </c>
      <c r="L181" s="203"/>
      <c r="N181" s="1425">
        <v>44977</v>
      </c>
      <c r="O181" s="1502">
        <v>9.6453000000000007</v>
      </c>
      <c r="P181" s="1502">
        <v>2.7787999999999999</v>
      </c>
      <c r="Q181" s="1502">
        <v>9.8010999999999999</v>
      </c>
      <c r="R181" s="1233">
        <f>'B. PE'!$U$23</f>
        <v>15.978235616082999</v>
      </c>
      <c r="S181" s="1233"/>
      <c r="T181" s="1233"/>
      <c r="V181" s="1425">
        <v>44977</v>
      </c>
      <c r="W181" s="1">
        <v>16.2483</v>
      </c>
      <c r="X181" s="1">
        <v>1.1466000000000001</v>
      </c>
      <c r="Y181" s="1">
        <v>6.1247999999999996</v>
      </c>
      <c r="Z181" s="1">
        <v>0.83050000000000002</v>
      </c>
      <c r="AB181" s="1425">
        <v>44958</v>
      </c>
      <c r="AC181" s="1">
        <v>7.3066000000000004</v>
      </c>
      <c r="AD181" s="1502">
        <v>1.1002000000000001</v>
      </c>
      <c r="AE181" s="1">
        <v>4.8747999999999996</v>
      </c>
      <c r="AF181" s="1">
        <v>2.7609999999999999E-2</v>
      </c>
      <c r="AH181" s="1425">
        <v>44958</v>
      </c>
      <c r="AI181" s="1">
        <v>11.843400000000001</v>
      </c>
      <c r="AJ181" s="1">
        <v>2.1331000000000002</v>
      </c>
      <c r="AK181" s="1">
        <v>5.8220000000000001</v>
      </c>
      <c r="AL181" s="1">
        <v>3.7679999999999998E-2</v>
      </c>
      <c r="AN181" s="1425">
        <v>44971</v>
      </c>
      <c r="AO181" s="1">
        <v>7.4699</v>
      </c>
      <c r="AP181" s="1">
        <v>1.0858000000000001</v>
      </c>
      <c r="AQ181" s="1">
        <v>5.2031000000000001</v>
      </c>
      <c r="AR181" s="1">
        <v>0.28842000000000001</v>
      </c>
      <c r="AT181" s="1425">
        <v>44971</v>
      </c>
      <c r="AU181" s="1">
        <v>11.745699999999999</v>
      </c>
      <c r="AV181" s="1">
        <v>0.99080000000000001</v>
      </c>
      <c r="AW181" s="1">
        <v>7.6317000000000004</v>
      </c>
      <c r="AX181" s="1">
        <v>0.26304</v>
      </c>
      <c r="BA181" s="1425">
        <v>44965</v>
      </c>
      <c r="BB181" s="1">
        <v>13.3482</v>
      </c>
      <c r="BC181" s="1">
        <v>2.6025999999999998</v>
      </c>
      <c r="BD181" s="1">
        <v>12.181900000000001</v>
      </c>
      <c r="BE181" s="1">
        <v>0.79247999999999996</v>
      </c>
      <c r="BG181" s="1425">
        <v>44965</v>
      </c>
      <c r="BH181" s="1">
        <v>17.0383</v>
      </c>
      <c r="BI181" s="1">
        <v>3.3700999999999999</v>
      </c>
      <c r="BJ181" s="1">
        <v>19.5167</v>
      </c>
      <c r="BT181" s="1425">
        <v>44977</v>
      </c>
      <c r="BU181" s="1">
        <v>15.6434</v>
      </c>
      <c r="BV181" s="1">
        <v>2.7103999999999999</v>
      </c>
      <c r="BW181" s="1">
        <v>6.8381999999999996</v>
      </c>
      <c r="BX181" s="1">
        <v>1.8320000000000001</v>
      </c>
      <c r="BZ181" s="1425">
        <v>44977</v>
      </c>
      <c r="CA181" s="1">
        <v>27.802600000000002</v>
      </c>
      <c r="CB181" s="1">
        <v>4.4835000000000003</v>
      </c>
      <c r="CC181" s="1">
        <v>16.965299999999999</v>
      </c>
      <c r="CD181" s="1">
        <v>2.6966999999999999</v>
      </c>
      <c r="CF181" s="1425">
        <v>44974</v>
      </c>
      <c r="CG181" s="1">
        <v>5.6715</v>
      </c>
      <c r="CH181" s="1">
        <v>1.2462</v>
      </c>
      <c r="CL181" s="1425">
        <v>44974</v>
      </c>
      <c r="CM181" s="1">
        <v>25.481300000000001</v>
      </c>
      <c r="CN181" s="1">
        <v>2.9165000000000001</v>
      </c>
      <c r="CO181" s="1">
        <v>12.500299999999999</v>
      </c>
    </row>
    <row r="182" spans="1:93">
      <c r="A182" s="1425">
        <v>44974</v>
      </c>
      <c r="B182" s="20">
        <f t="shared" si="22"/>
        <v>9.4324999999999992</v>
      </c>
      <c r="C182" s="20">
        <f t="shared" si="24"/>
        <v>15.560700000000001</v>
      </c>
      <c r="D182" s="20">
        <f t="shared" si="25"/>
        <v>12.160600000000001</v>
      </c>
      <c r="E182" s="20">
        <f t="shared" si="26"/>
        <v>7.5903999999999998</v>
      </c>
      <c r="F182" s="20">
        <f t="shared" si="27"/>
        <v>16.8293</v>
      </c>
      <c r="G182" s="20">
        <f t="shared" si="28"/>
        <v>12.839700000000001</v>
      </c>
      <c r="H182" s="1239">
        <f t="shared" si="29"/>
        <v>12.839700000000001</v>
      </c>
      <c r="I182" s="1243">
        <f t="shared" si="23"/>
        <v>-0.26536445555581523</v>
      </c>
      <c r="J182" s="1243">
        <f t="shared" si="30"/>
        <v>0.12093838824177333</v>
      </c>
      <c r="K182" s="1243">
        <f t="shared" si="31"/>
        <v>0.1</v>
      </c>
      <c r="L182" s="203"/>
      <c r="N182" s="1425">
        <v>44974</v>
      </c>
      <c r="O182" s="1502">
        <v>9.4324999999999992</v>
      </c>
      <c r="P182" s="1502">
        <v>2.7174999999999998</v>
      </c>
      <c r="Q182" s="1502">
        <v>9.6163000000000007</v>
      </c>
      <c r="R182" s="1233">
        <f>'B. PE'!$U$23</f>
        <v>15.978235616082999</v>
      </c>
      <c r="S182" s="1233"/>
      <c r="T182" s="1233"/>
      <c r="V182" s="1425">
        <v>44974</v>
      </c>
      <c r="W182" s="1">
        <v>15.560700000000001</v>
      </c>
      <c r="X182" s="1">
        <v>1.0981000000000001</v>
      </c>
      <c r="Y182" s="1">
        <v>5.9409999999999998</v>
      </c>
      <c r="Z182" s="1">
        <v>0.80381999999999998</v>
      </c>
      <c r="AB182" s="1425">
        <v>44957</v>
      </c>
      <c r="AC182" s="1">
        <v>6.5293000000000001</v>
      </c>
      <c r="AD182" s="1502">
        <v>0.98319999999999996</v>
      </c>
      <c r="AE182" s="1">
        <v>4.5438000000000001</v>
      </c>
      <c r="AF182" s="1">
        <v>2.7650000000000001E-2</v>
      </c>
      <c r="AH182" s="1425">
        <v>44957</v>
      </c>
      <c r="AI182" s="1">
        <v>11.843400000000001</v>
      </c>
      <c r="AJ182" s="1">
        <v>2.1331000000000002</v>
      </c>
      <c r="AK182" s="1">
        <v>5.8220000000000001</v>
      </c>
      <c r="AL182" s="1">
        <v>3.773E-2</v>
      </c>
      <c r="AN182" s="1425">
        <v>44970</v>
      </c>
      <c r="AO182" s="1">
        <v>7.4699</v>
      </c>
      <c r="AP182" s="1">
        <v>1.0858000000000001</v>
      </c>
      <c r="AQ182" s="1">
        <v>5.2031000000000001</v>
      </c>
      <c r="AR182" s="1">
        <v>0.29254999999999998</v>
      </c>
      <c r="AT182" s="1425">
        <v>44970</v>
      </c>
      <c r="AU182" s="1">
        <v>11.853400000000001</v>
      </c>
      <c r="AV182" s="1">
        <v>0.99990000000000001</v>
      </c>
      <c r="AW182" s="1">
        <v>7.6980000000000004</v>
      </c>
      <c r="AX182" s="1">
        <v>0.24843000000000001</v>
      </c>
      <c r="BA182" s="1425">
        <v>44964</v>
      </c>
      <c r="BB182" s="1">
        <v>13.7295</v>
      </c>
      <c r="BC182" s="1">
        <v>2.6768999999999998</v>
      </c>
      <c r="BD182" s="1">
        <v>12.4297</v>
      </c>
      <c r="BE182" s="1">
        <v>0.80759000000000003</v>
      </c>
      <c r="BG182" s="1425">
        <v>44964</v>
      </c>
      <c r="BH182" s="1">
        <v>17.874600000000001</v>
      </c>
      <c r="BI182" s="1">
        <v>3.5354999999999999</v>
      </c>
      <c r="BJ182" s="1">
        <v>20.2102</v>
      </c>
      <c r="BT182" s="1425">
        <v>44974</v>
      </c>
      <c r="BU182" s="1">
        <v>15.272600000000001</v>
      </c>
      <c r="BV182" s="1">
        <v>2.6461999999999999</v>
      </c>
      <c r="BW182" s="1">
        <v>6.6797000000000004</v>
      </c>
      <c r="BX182" s="1">
        <v>1.8104</v>
      </c>
      <c r="BZ182" s="1425">
        <v>44974</v>
      </c>
      <c r="CA182" s="1">
        <v>27.070900000000002</v>
      </c>
      <c r="CB182" s="1">
        <v>4.3654999999999999</v>
      </c>
      <c r="CC182" s="1">
        <v>16.6449</v>
      </c>
      <c r="CD182" s="1">
        <v>2.7065700000000001</v>
      </c>
      <c r="CF182" s="1425">
        <v>44973</v>
      </c>
      <c r="CG182" s="1">
        <v>5.6360999999999999</v>
      </c>
      <c r="CH182" s="1">
        <v>1.2383999999999999</v>
      </c>
      <c r="CL182" s="1425">
        <v>44973</v>
      </c>
      <c r="CM182" s="1">
        <v>25.384399999999999</v>
      </c>
      <c r="CN182" s="1">
        <v>2.9054000000000002</v>
      </c>
      <c r="CO182" s="1">
        <v>12.4565</v>
      </c>
    </row>
    <row r="183" spans="1:93">
      <c r="A183" s="1425">
        <v>44973</v>
      </c>
      <c r="B183" s="20">
        <f t="shared" si="22"/>
        <v>9.6097999999999999</v>
      </c>
      <c r="C183" s="20">
        <f t="shared" si="24"/>
        <v>15.3436</v>
      </c>
      <c r="D183" s="20">
        <f t="shared" si="25"/>
        <v>12.266400000000001</v>
      </c>
      <c r="E183" s="20">
        <f t="shared" si="26"/>
        <v>7.5301</v>
      </c>
      <c r="F183" s="20">
        <f t="shared" si="27"/>
        <v>16.933800000000002</v>
      </c>
      <c r="G183" s="20">
        <f t="shared" si="28"/>
        <v>12.7125</v>
      </c>
      <c r="H183" s="1239">
        <f t="shared" si="29"/>
        <v>12.7125</v>
      </c>
      <c r="I183" s="1243">
        <f t="shared" si="23"/>
        <v>-0.24406686332350047</v>
      </c>
      <c r="J183" s="1243">
        <f t="shared" si="30"/>
        <v>0.12093838824177333</v>
      </c>
      <c r="K183" s="1243">
        <f t="shared" si="31"/>
        <v>0.1</v>
      </c>
      <c r="L183" s="203"/>
      <c r="N183" s="1425">
        <v>44973</v>
      </c>
      <c r="O183" s="1502">
        <v>9.6097999999999999</v>
      </c>
      <c r="P183" s="1502">
        <v>2.7686000000000002</v>
      </c>
      <c r="Q183" s="1502">
        <v>9.7703000000000007</v>
      </c>
      <c r="R183" s="1233">
        <f>'B. PE'!$U$23</f>
        <v>15.978235616082999</v>
      </c>
      <c r="S183" s="1233"/>
      <c r="T183" s="1233"/>
      <c r="V183" s="1425">
        <v>44973</v>
      </c>
      <c r="W183" s="1">
        <v>15.3436</v>
      </c>
      <c r="X183" s="1">
        <v>1.0827</v>
      </c>
      <c r="Y183" s="1">
        <v>5.883</v>
      </c>
      <c r="Z183" s="1">
        <v>0.78105999999999998</v>
      </c>
      <c r="AB183" s="1425">
        <v>44956</v>
      </c>
      <c r="AC183" s="1">
        <v>6.4359999999999999</v>
      </c>
      <c r="AD183" s="1502">
        <v>0.96909999999999996</v>
      </c>
      <c r="AE183" s="1">
        <v>4.5041000000000002</v>
      </c>
      <c r="AF183" s="1">
        <v>2.8080000000000001E-2</v>
      </c>
      <c r="AH183" s="1425">
        <v>44956</v>
      </c>
      <c r="AI183" s="1">
        <v>11.949199999999999</v>
      </c>
      <c r="AJ183" s="1">
        <v>2.1520999999999999</v>
      </c>
      <c r="AK183" s="1">
        <v>5.8754</v>
      </c>
      <c r="AL183" s="1">
        <v>3.8440000000000002E-2</v>
      </c>
      <c r="AN183" s="1425">
        <v>44967</v>
      </c>
      <c r="AO183" s="1">
        <v>7.5301</v>
      </c>
      <c r="AP183" s="1">
        <v>1.0946</v>
      </c>
      <c r="AQ183" s="1">
        <v>5.2481999999999998</v>
      </c>
      <c r="AR183" s="1">
        <v>0.29747000000000001</v>
      </c>
      <c r="AT183" s="1425">
        <v>44967</v>
      </c>
      <c r="AU183" s="1">
        <v>12.2845</v>
      </c>
      <c r="AV183" s="1">
        <v>1.0362</v>
      </c>
      <c r="AW183" s="1">
        <v>7.9631999999999996</v>
      </c>
      <c r="AX183" s="1">
        <v>0.24168999999999999</v>
      </c>
      <c r="BA183" s="1425">
        <v>44963</v>
      </c>
      <c r="BB183" s="1">
        <v>13.602399999999999</v>
      </c>
      <c r="BC183" s="1">
        <v>2.6520999999999999</v>
      </c>
      <c r="BD183" s="1">
        <v>12.347099999999999</v>
      </c>
      <c r="BE183" s="1">
        <v>0.82586000000000004</v>
      </c>
      <c r="BG183" s="1425">
        <v>44963</v>
      </c>
      <c r="BH183" s="1">
        <v>17.874600000000001</v>
      </c>
      <c r="BI183" s="1">
        <v>3.5354999999999999</v>
      </c>
      <c r="BJ183" s="1">
        <v>20.2102</v>
      </c>
      <c r="BT183" s="1425">
        <v>44973</v>
      </c>
      <c r="BU183" s="1">
        <v>15.2903</v>
      </c>
      <c r="BV183" s="1">
        <v>2.6492</v>
      </c>
      <c r="BW183" s="1">
        <v>6.6871999999999998</v>
      </c>
      <c r="BX183" s="1">
        <v>1.8015000000000001</v>
      </c>
      <c r="BZ183" s="1425">
        <v>44973</v>
      </c>
      <c r="CA183" s="1">
        <v>26.814900000000002</v>
      </c>
      <c r="CB183" s="1">
        <v>4.3242000000000003</v>
      </c>
      <c r="CC183" s="1">
        <v>16.532699999999998</v>
      </c>
      <c r="CD183" s="1">
        <v>2.6907800000000002</v>
      </c>
      <c r="CF183" s="1425">
        <v>44972</v>
      </c>
      <c r="CG183" s="1">
        <v>5.4943</v>
      </c>
      <c r="CH183" s="1">
        <v>1.2072000000000001</v>
      </c>
      <c r="CL183" s="1425">
        <v>44972</v>
      </c>
      <c r="CM183" s="1">
        <v>25.416699999999999</v>
      </c>
      <c r="CN183" s="1">
        <v>2.9091</v>
      </c>
      <c r="CO183" s="1">
        <v>12.4711</v>
      </c>
    </row>
    <row r="184" spans="1:93">
      <c r="A184" s="1425">
        <v>44972</v>
      </c>
      <c r="B184" s="20">
        <f t="shared" si="22"/>
        <v>9.3970000000000002</v>
      </c>
      <c r="C184" s="20">
        <f t="shared" si="24"/>
        <v>14.837</v>
      </c>
      <c r="D184" s="20">
        <f t="shared" si="25"/>
        <v>12.266400000000001</v>
      </c>
      <c r="E184" s="20">
        <f t="shared" si="26"/>
        <v>7.4699</v>
      </c>
      <c r="F184" s="20">
        <f t="shared" si="27"/>
        <v>16.8293</v>
      </c>
      <c r="G184" s="20">
        <f t="shared" si="28"/>
        <v>12.6617</v>
      </c>
      <c r="H184" s="1239">
        <f t="shared" si="29"/>
        <v>12.6617</v>
      </c>
      <c r="I184" s="1243">
        <f t="shared" si="23"/>
        <v>-0.25784057433046115</v>
      </c>
      <c r="J184" s="1243">
        <f t="shared" si="30"/>
        <v>0.12093838824177333</v>
      </c>
      <c r="K184" s="1243">
        <f t="shared" si="31"/>
        <v>0.1</v>
      </c>
      <c r="L184" s="203"/>
      <c r="N184" s="1425">
        <v>44972</v>
      </c>
      <c r="O184" s="1502">
        <v>9.3970000000000002</v>
      </c>
      <c r="P184" s="1502">
        <v>2.7073</v>
      </c>
      <c r="Q184" s="1502">
        <v>9.5854999999999997</v>
      </c>
      <c r="R184" s="1233">
        <f>'B. PE'!$U$23</f>
        <v>15.978235616082999</v>
      </c>
      <c r="S184" s="1233"/>
      <c r="T184" s="1233"/>
      <c r="V184" s="1425">
        <v>44972</v>
      </c>
      <c r="W184" s="1">
        <v>14.837</v>
      </c>
      <c r="X184" s="1">
        <v>1.0469999999999999</v>
      </c>
      <c r="Y184" s="1">
        <v>5.7474999999999996</v>
      </c>
      <c r="Z184" s="1">
        <v>0.77763000000000004</v>
      </c>
      <c r="AB184" s="1425">
        <v>44953</v>
      </c>
      <c r="AC184" s="1">
        <v>6.4359999999999999</v>
      </c>
      <c r="AD184" s="1502">
        <v>0.96909999999999996</v>
      </c>
      <c r="AE184" s="1">
        <v>4.5041000000000002</v>
      </c>
      <c r="AF184" s="1">
        <v>2.7859999999999999E-2</v>
      </c>
      <c r="AH184" s="1425">
        <v>44953</v>
      </c>
      <c r="AI184" s="1">
        <v>11.949199999999999</v>
      </c>
      <c r="AJ184" s="1">
        <v>2.1520999999999999</v>
      </c>
      <c r="AK184" s="1">
        <v>5.8754</v>
      </c>
      <c r="AL184" s="1">
        <v>3.8179999999999999E-2</v>
      </c>
      <c r="AN184" s="1425">
        <v>44966</v>
      </c>
      <c r="AO184" s="1">
        <v>7.5903999999999998</v>
      </c>
      <c r="AP184" s="1">
        <v>1.1032999999999999</v>
      </c>
      <c r="AQ184" s="1">
        <v>5.2933000000000003</v>
      </c>
      <c r="AR184" s="1">
        <v>0.29818</v>
      </c>
      <c r="AT184" s="1425">
        <v>44966</v>
      </c>
      <c r="AU184" s="1">
        <v>11.530200000000001</v>
      </c>
      <c r="AV184" s="1">
        <v>0.97260000000000002</v>
      </c>
      <c r="AW184" s="1">
        <v>7.4992000000000001</v>
      </c>
      <c r="AX184" s="1">
        <v>0.23527999999999999</v>
      </c>
      <c r="BA184" s="1425">
        <v>44960</v>
      </c>
      <c r="BB184" s="1">
        <v>13.7295</v>
      </c>
      <c r="BC184" s="1">
        <v>2.6768999999999998</v>
      </c>
      <c r="BD184" s="1">
        <v>12.4297</v>
      </c>
      <c r="BE184" s="1">
        <v>0.81882999999999995</v>
      </c>
      <c r="BG184" s="1425">
        <v>44960</v>
      </c>
      <c r="BH184" s="1">
        <v>17.351900000000001</v>
      </c>
      <c r="BI184" s="1">
        <v>3.4321999999999999</v>
      </c>
      <c r="BJ184" s="1">
        <v>19.776800000000001</v>
      </c>
      <c r="BT184" s="1425">
        <v>44972</v>
      </c>
      <c r="BU184" s="1">
        <v>15.0961</v>
      </c>
      <c r="BV184" s="1">
        <v>2.6156000000000001</v>
      </c>
      <c r="BW184" s="1">
        <v>6.6041999999999996</v>
      </c>
      <c r="BX184" s="1">
        <v>1.8027</v>
      </c>
      <c r="BZ184" s="1425">
        <v>44972</v>
      </c>
      <c r="CA184" s="1">
        <v>26.888000000000002</v>
      </c>
      <c r="CB184" s="1">
        <v>4.3360000000000003</v>
      </c>
      <c r="CC184" s="1">
        <v>16.564699999999998</v>
      </c>
      <c r="CD184" s="1">
        <v>2.6519200000000001</v>
      </c>
      <c r="CF184" s="1425">
        <v>44971</v>
      </c>
      <c r="CG184" s="1">
        <v>5.7423999999999999</v>
      </c>
      <c r="CH184" s="1">
        <v>1.2618</v>
      </c>
      <c r="CL184" s="1425">
        <v>44971</v>
      </c>
      <c r="CM184" s="1">
        <v>25.287500000000001</v>
      </c>
      <c r="CN184" s="1">
        <v>2.8942999999999999</v>
      </c>
      <c r="CO184" s="1">
        <v>12.412800000000001</v>
      </c>
    </row>
    <row r="185" spans="1:93">
      <c r="A185" s="1425">
        <v>44971</v>
      </c>
      <c r="B185" s="20">
        <f t="shared" si="22"/>
        <v>9.2669999999999995</v>
      </c>
      <c r="C185" s="20">
        <f t="shared" si="24"/>
        <v>14.402699999999999</v>
      </c>
      <c r="D185" s="20">
        <f t="shared" si="25"/>
        <v>12.3721</v>
      </c>
      <c r="E185" s="20">
        <f t="shared" si="26"/>
        <v>7.4699</v>
      </c>
      <c r="F185" s="20">
        <f t="shared" si="27"/>
        <v>16.515699999999999</v>
      </c>
      <c r="G185" s="20">
        <f t="shared" si="28"/>
        <v>13.0939</v>
      </c>
      <c r="H185" s="1239">
        <f t="shared" si="29"/>
        <v>13.0939</v>
      </c>
      <c r="I185" s="1243">
        <f t="shared" si="23"/>
        <v>-0.29226586425740231</v>
      </c>
      <c r="J185" s="1243">
        <f t="shared" si="30"/>
        <v>0.12093838824177333</v>
      </c>
      <c r="K185" s="1243">
        <f t="shared" si="31"/>
        <v>0.1</v>
      </c>
      <c r="L185" s="203"/>
      <c r="N185" s="1425">
        <v>44971</v>
      </c>
      <c r="O185" s="1502">
        <v>9.2669999999999995</v>
      </c>
      <c r="P185" s="1502">
        <v>2.6698</v>
      </c>
      <c r="Q185" s="1502">
        <v>9.4725999999999999</v>
      </c>
      <c r="R185" s="1233">
        <f>'B. PE'!$U$23</f>
        <v>15.978235616082999</v>
      </c>
      <c r="S185" s="1233"/>
      <c r="T185" s="1233"/>
      <c r="V185" s="1425">
        <v>44971</v>
      </c>
      <c r="W185" s="1">
        <v>14.402699999999999</v>
      </c>
      <c r="X185" s="1">
        <v>1.0164</v>
      </c>
      <c r="Y185" s="1">
        <v>5.6314000000000002</v>
      </c>
      <c r="Z185" s="1">
        <v>0.83274999999999999</v>
      </c>
      <c r="AB185" s="1425">
        <v>44952</v>
      </c>
      <c r="AC185" s="1">
        <v>6.5293000000000001</v>
      </c>
      <c r="AD185" s="1502">
        <v>0.98319999999999996</v>
      </c>
      <c r="AE185" s="1">
        <v>4.5438000000000001</v>
      </c>
      <c r="AF185" s="1">
        <v>2.7949999999999999E-2</v>
      </c>
      <c r="AH185" s="1425">
        <v>44952</v>
      </c>
      <c r="AI185" s="1">
        <v>12.160600000000001</v>
      </c>
      <c r="AJ185" s="1">
        <v>2.1901999999999999</v>
      </c>
      <c r="AK185" s="1">
        <v>5.9824000000000002</v>
      </c>
      <c r="AL185" s="1">
        <v>3.8120000000000001E-2</v>
      </c>
      <c r="AN185" s="1425">
        <v>44965</v>
      </c>
      <c r="AO185" s="1">
        <v>7.7107999999999999</v>
      </c>
      <c r="AP185" s="1">
        <v>1.1209</v>
      </c>
      <c r="AQ185" s="1">
        <v>5.3834999999999997</v>
      </c>
      <c r="AR185" s="1">
        <v>0.29871999999999999</v>
      </c>
      <c r="AT185" s="1425">
        <v>44965</v>
      </c>
      <c r="AU185" s="1">
        <v>11.206899999999999</v>
      </c>
      <c r="AV185" s="1">
        <v>0.94530000000000003</v>
      </c>
      <c r="AW185" s="1">
        <v>7.3003</v>
      </c>
      <c r="AX185" s="1">
        <v>0.23571</v>
      </c>
      <c r="BA185" s="1425">
        <v>44959</v>
      </c>
      <c r="BB185" s="1">
        <v>13.8567</v>
      </c>
      <c r="BC185" s="1">
        <v>2.7017000000000002</v>
      </c>
      <c r="BD185" s="1">
        <v>12.5123</v>
      </c>
      <c r="BE185" s="1">
        <v>0.81472999999999995</v>
      </c>
      <c r="BG185" s="1425">
        <v>44959</v>
      </c>
      <c r="BH185" s="1">
        <v>17.247399999999999</v>
      </c>
      <c r="BI185" s="1">
        <v>3.4115000000000002</v>
      </c>
      <c r="BJ185" s="1">
        <v>19.690100000000001</v>
      </c>
      <c r="BT185" s="1425">
        <v>44971</v>
      </c>
      <c r="BU185" s="1">
        <v>15.0078</v>
      </c>
      <c r="BV185" s="1">
        <v>2.6002999999999998</v>
      </c>
      <c r="BW185" s="1">
        <v>6.5664999999999996</v>
      </c>
      <c r="BX185" s="1">
        <v>1.786</v>
      </c>
      <c r="BZ185" s="1425">
        <v>44971</v>
      </c>
      <c r="CA185" s="1">
        <v>26.705100000000002</v>
      </c>
      <c r="CB185" s="1">
        <v>4.3064999999999998</v>
      </c>
      <c r="CC185" s="1">
        <v>16.4846</v>
      </c>
      <c r="CD185" s="1">
        <v>2.645</v>
      </c>
      <c r="CF185" s="1425">
        <v>44970</v>
      </c>
      <c r="CG185" s="1">
        <v>5.7778999999999998</v>
      </c>
      <c r="CH185" s="1">
        <v>1.2696000000000001</v>
      </c>
      <c r="CL185" s="1425">
        <v>44970</v>
      </c>
      <c r="CM185" s="1">
        <v>25.0289</v>
      </c>
      <c r="CN185" s="1">
        <v>2.8647</v>
      </c>
      <c r="CO185" s="1">
        <v>12.295999999999999</v>
      </c>
    </row>
    <row r="186" spans="1:93">
      <c r="A186" s="1425">
        <v>44970</v>
      </c>
      <c r="B186" s="20">
        <f t="shared" si="22"/>
        <v>9.2196999999999996</v>
      </c>
      <c r="C186" s="20">
        <f t="shared" si="24"/>
        <v>14.330299999999999</v>
      </c>
      <c r="D186" s="20">
        <f t="shared" si="25"/>
        <v>12.3721</v>
      </c>
      <c r="E186" s="20">
        <f t="shared" si="26"/>
        <v>7.4699</v>
      </c>
      <c r="F186" s="20">
        <f t="shared" si="27"/>
        <v>16.933800000000002</v>
      </c>
      <c r="G186" s="20">
        <f t="shared" si="28"/>
        <v>13.3482</v>
      </c>
      <c r="H186" s="1239">
        <f t="shared" si="29"/>
        <v>13.3482</v>
      </c>
      <c r="I186" s="1243">
        <f t="shared" si="23"/>
        <v>-0.30929263870784085</v>
      </c>
      <c r="J186" s="1243">
        <f t="shared" si="30"/>
        <v>0.12093838824177333</v>
      </c>
      <c r="K186" s="1243">
        <f t="shared" si="31"/>
        <v>0.1</v>
      </c>
      <c r="L186" s="203"/>
      <c r="N186" s="1425">
        <v>44970</v>
      </c>
      <c r="O186" s="1502">
        <v>9.2196999999999996</v>
      </c>
      <c r="P186" s="1502">
        <v>2.6562000000000001</v>
      </c>
      <c r="Q186" s="1502">
        <v>9.4314999999999998</v>
      </c>
      <c r="R186" s="1233">
        <f>'B. PE'!$U$23</f>
        <v>15.978235616082999</v>
      </c>
      <c r="S186" s="1233"/>
      <c r="T186" s="1233"/>
      <c r="V186" s="1425">
        <v>44970</v>
      </c>
      <c r="W186" s="1">
        <v>14.330299999999999</v>
      </c>
      <c r="X186" s="1">
        <v>1.0112000000000001</v>
      </c>
      <c r="Y186" s="1">
        <v>5.6120999999999999</v>
      </c>
      <c r="Z186" s="1">
        <v>0.87626000000000004</v>
      </c>
      <c r="AB186" s="1425">
        <v>44951</v>
      </c>
      <c r="AC186" s="1">
        <v>6.4671000000000003</v>
      </c>
      <c r="AD186" s="1502">
        <v>0.9738</v>
      </c>
      <c r="AE186" s="1">
        <v>4.5172999999999996</v>
      </c>
      <c r="AF186" s="1">
        <v>2.7900000000000001E-2</v>
      </c>
      <c r="AH186" s="1425">
        <v>44951</v>
      </c>
      <c r="AI186" s="1">
        <v>12.0549</v>
      </c>
      <c r="AJ186" s="1">
        <v>2.1711999999999998</v>
      </c>
      <c r="AK186" s="1">
        <v>5.9288999999999996</v>
      </c>
      <c r="AL186" s="1">
        <v>3.7190000000000001E-2</v>
      </c>
      <c r="AN186" s="1425">
        <v>44964</v>
      </c>
      <c r="AO186" s="1">
        <v>7.7107999999999999</v>
      </c>
      <c r="AP186" s="1">
        <v>1.1209</v>
      </c>
      <c r="AQ186" s="1">
        <v>5.3834999999999997</v>
      </c>
      <c r="AR186" s="1">
        <v>0.29709999999999998</v>
      </c>
      <c r="AT186" s="1425">
        <v>44964</v>
      </c>
      <c r="AU186" s="1">
        <v>10.883599999999999</v>
      </c>
      <c r="AV186" s="1">
        <v>0.91810000000000003</v>
      </c>
      <c r="AW186" s="1">
        <v>7.1013999999999999</v>
      </c>
      <c r="AX186" s="1">
        <v>0.24523</v>
      </c>
      <c r="BA186" s="1425">
        <v>44958</v>
      </c>
      <c r="BB186" s="1">
        <v>13.7295</v>
      </c>
      <c r="BC186" s="1">
        <v>2.6768999999999998</v>
      </c>
      <c r="BD186" s="1">
        <v>12.4297</v>
      </c>
      <c r="BE186" s="1">
        <v>0.84694000000000003</v>
      </c>
      <c r="BG186" s="1425">
        <v>44958</v>
      </c>
      <c r="BH186" s="1">
        <v>17.247399999999999</v>
      </c>
      <c r="BI186" s="1">
        <v>3.4115000000000002</v>
      </c>
      <c r="BJ186" s="1">
        <v>19.690100000000001</v>
      </c>
      <c r="BT186" s="1425">
        <v>44970</v>
      </c>
      <c r="BU186" s="1">
        <v>15.0078</v>
      </c>
      <c r="BV186" s="1">
        <v>2.6002999999999998</v>
      </c>
      <c r="BW186" s="1">
        <v>6.5664999999999996</v>
      </c>
      <c r="BX186" s="1">
        <v>1.8673</v>
      </c>
      <c r="BZ186" s="1425">
        <v>44970</v>
      </c>
      <c r="CA186" s="1">
        <v>26.302700000000002</v>
      </c>
      <c r="CB186" s="1">
        <v>4.2416</v>
      </c>
      <c r="CC186" s="1">
        <v>16.308399999999999</v>
      </c>
      <c r="CD186" s="1">
        <v>2.7197</v>
      </c>
      <c r="CF186" s="1425">
        <v>44967</v>
      </c>
      <c r="CG186" s="1">
        <v>5.7778999999999998</v>
      </c>
      <c r="CH186" s="1">
        <v>1.2696000000000001</v>
      </c>
      <c r="CL186" s="1425">
        <v>44967</v>
      </c>
      <c r="CM186" s="1">
        <v>24.7866</v>
      </c>
      <c r="CN186" s="1">
        <v>2.8370000000000002</v>
      </c>
      <c r="CO186" s="1">
        <v>12.1866</v>
      </c>
    </row>
    <row r="187" spans="1:93">
      <c r="A187" s="1425">
        <v>44967</v>
      </c>
      <c r="B187" s="20">
        <f t="shared" si="22"/>
        <v>9.3851999999999993</v>
      </c>
      <c r="C187" s="20">
        <f t="shared" si="24"/>
        <v>15.3436</v>
      </c>
      <c r="D187" s="20">
        <f t="shared" si="25"/>
        <v>12.160600000000001</v>
      </c>
      <c r="E187" s="20">
        <f t="shared" si="26"/>
        <v>7.5301</v>
      </c>
      <c r="F187" s="20">
        <f t="shared" si="27"/>
        <v>17.247399999999999</v>
      </c>
      <c r="G187" s="20">
        <f t="shared" si="28"/>
        <v>13.475300000000001</v>
      </c>
      <c r="H187" s="1239">
        <f t="shared" si="29"/>
        <v>13.475300000000001</v>
      </c>
      <c r="I187" s="1243">
        <f t="shared" si="23"/>
        <v>-0.30352571000274586</v>
      </c>
      <c r="J187" s="1243">
        <f t="shared" si="30"/>
        <v>0.12093838824177333</v>
      </c>
      <c r="K187" s="1243">
        <f t="shared" si="31"/>
        <v>0.1</v>
      </c>
      <c r="L187" s="203"/>
      <c r="N187" s="1425">
        <v>44967</v>
      </c>
      <c r="O187" s="1502">
        <v>9.3851999999999993</v>
      </c>
      <c r="P187" s="1502">
        <v>2.7039</v>
      </c>
      <c r="Q187" s="1502">
        <v>9.5752000000000006</v>
      </c>
      <c r="R187" s="1233">
        <f>'B. PE'!$U$23</f>
        <v>15.978235616082999</v>
      </c>
      <c r="S187" s="1233"/>
      <c r="T187" s="1233"/>
      <c r="V187" s="1425">
        <v>44967</v>
      </c>
      <c r="W187" s="1">
        <v>15.3436</v>
      </c>
      <c r="X187" s="1">
        <v>1.0827</v>
      </c>
      <c r="Y187" s="1">
        <v>5.883</v>
      </c>
      <c r="Z187" s="1">
        <v>0.85882999999999998</v>
      </c>
      <c r="AB187" s="1425">
        <v>44950</v>
      </c>
      <c r="AC187" s="1">
        <v>6.4981999999999998</v>
      </c>
      <c r="AD187" s="1502">
        <v>0.97850000000000004</v>
      </c>
      <c r="AE187" s="1">
        <v>4.5305999999999997</v>
      </c>
      <c r="AF187" s="1">
        <v>2.7810000000000001E-2</v>
      </c>
      <c r="AH187" s="1425">
        <v>44950</v>
      </c>
      <c r="AI187" s="1">
        <v>12.0549</v>
      </c>
      <c r="AJ187" s="1">
        <v>2.1711999999999998</v>
      </c>
      <c r="AK187" s="1">
        <v>5.9288999999999996</v>
      </c>
      <c r="AL187" s="1">
        <v>3.7229999999999999E-2</v>
      </c>
      <c r="AN187" s="1425">
        <v>44960</v>
      </c>
      <c r="AO187" s="1">
        <v>7.7107999999999999</v>
      </c>
      <c r="AP187" s="1">
        <v>1.1209</v>
      </c>
      <c r="AQ187" s="1">
        <v>5.3834999999999997</v>
      </c>
      <c r="AR187" s="1">
        <v>0.29093999999999998</v>
      </c>
      <c r="AT187" s="1425">
        <v>44960</v>
      </c>
      <c r="AU187" s="1">
        <v>10.883599999999999</v>
      </c>
      <c r="AV187" s="1">
        <v>0.91810000000000003</v>
      </c>
      <c r="AW187" s="1">
        <v>7.1013999999999999</v>
      </c>
      <c r="AX187" s="1">
        <v>0.24401999999999999</v>
      </c>
      <c r="BA187" s="1425">
        <v>44957</v>
      </c>
      <c r="BB187" s="1">
        <v>13.602399999999999</v>
      </c>
      <c r="BC187" s="1">
        <v>2.6520999999999999</v>
      </c>
      <c r="BD187" s="1">
        <v>12.347099999999999</v>
      </c>
      <c r="BE187" s="1">
        <v>0.86806000000000005</v>
      </c>
      <c r="BG187" s="1425">
        <v>44957</v>
      </c>
      <c r="BH187" s="1">
        <v>16.8293</v>
      </c>
      <c r="BI187" s="1">
        <v>3.3288000000000002</v>
      </c>
      <c r="BJ187" s="1">
        <v>19.343399999999999</v>
      </c>
      <c r="BT187" s="1425">
        <v>44967</v>
      </c>
      <c r="BU187" s="1">
        <v>14.8666</v>
      </c>
      <c r="BV187" s="1">
        <v>2.5758000000000001</v>
      </c>
      <c r="BW187" s="1">
        <v>6.5061</v>
      </c>
      <c r="BX187" s="1">
        <v>1.8934</v>
      </c>
      <c r="BZ187" s="1425">
        <v>44967</v>
      </c>
      <c r="CA187" s="1">
        <v>26.229500000000002</v>
      </c>
      <c r="CB187" s="1">
        <v>4.2298</v>
      </c>
      <c r="CC187" s="1">
        <v>16.276299999999999</v>
      </c>
      <c r="CD187" s="1">
        <v>2.7859500000000001</v>
      </c>
      <c r="CF187" s="1425">
        <v>44966</v>
      </c>
      <c r="CG187" s="1">
        <v>5.8487999999999998</v>
      </c>
      <c r="CH187" s="1">
        <v>1.2850999999999999</v>
      </c>
      <c r="CL187" s="1425">
        <v>44966</v>
      </c>
      <c r="CM187" s="1">
        <v>25.739899999999999</v>
      </c>
      <c r="CN187" s="1">
        <v>2.9460999999999999</v>
      </c>
      <c r="CO187" s="1">
        <v>12.617000000000001</v>
      </c>
    </row>
    <row r="188" spans="1:93">
      <c r="A188" s="1425">
        <v>44966</v>
      </c>
      <c r="B188" s="20">
        <f t="shared" si="22"/>
        <v>9.6570999999999998</v>
      </c>
      <c r="C188" s="20">
        <f t="shared" si="24"/>
        <v>16.139700000000001</v>
      </c>
      <c r="D188" s="20">
        <f t="shared" si="25"/>
        <v>12.4779</v>
      </c>
      <c r="E188" s="20">
        <f t="shared" si="26"/>
        <v>7.5903999999999998</v>
      </c>
      <c r="F188" s="20">
        <f t="shared" si="27"/>
        <v>17.351900000000001</v>
      </c>
      <c r="G188" s="20">
        <f t="shared" si="28"/>
        <v>13.3482</v>
      </c>
      <c r="H188" s="1239">
        <f t="shared" si="29"/>
        <v>13.3482</v>
      </c>
      <c r="I188" s="1243">
        <f t="shared" si="23"/>
        <v>-0.27652417554426822</v>
      </c>
      <c r="J188" s="1243">
        <f t="shared" si="30"/>
        <v>0.12093838824177333</v>
      </c>
      <c r="K188" s="1243">
        <f t="shared" si="31"/>
        <v>0.1</v>
      </c>
      <c r="L188" s="203"/>
      <c r="N188" s="1425">
        <v>44966</v>
      </c>
      <c r="O188" s="1502">
        <v>9.6570999999999998</v>
      </c>
      <c r="P188" s="1502">
        <v>2.7822</v>
      </c>
      <c r="Q188" s="1502">
        <v>9.8114000000000008</v>
      </c>
      <c r="R188" s="1233">
        <f>'B. PE'!$U$23</f>
        <v>15.978235616082999</v>
      </c>
      <c r="S188" s="1233"/>
      <c r="T188" s="1233"/>
      <c r="V188" s="1425">
        <v>44966</v>
      </c>
      <c r="W188" s="1">
        <v>16.139700000000001</v>
      </c>
      <c r="X188" s="1">
        <v>1.1389</v>
      </c>
      <c r="Y188" s="1">
        <v>6.0957999999999997</v>
      </c>
      <c r="Z188" s="1">
        <v>0.84697999999999996</v>
      </c>
      <c r="AB188" s="1425">
        <v>44946</v>
      </c>
      <c r="AC188" s="1">
        <v>6.5293000000000001</v>
      </c>
      <c r="AD188" s="1502">
        <v>0.98319999999999996</v>
      </c>
      <c r="AE188" s="1">
        <v>4.5438000000000001</v>
      </c>
      <c r="AF188" s="1">
        <v>2.7560000000000001E-2</v>
      </c>
      <c r="AH188" s="1425">
        <v>44946</v>
      </c>
      <c r="AI188" s="1">
        <v>11.843400000000001</v>
      </c>
      <c r="AJ188" s="1">
        <v>2.1331000000000002</v>
      </c>
      <c r="AK188" s="1">
        <v>5.8220000000000001</v>
      </c>
      <c r="AL188" s="1">
        <v>3.5439999999999999E-2</v>
      </c>
      <c r="AN188" s="1425">
        <v>44959</v>
      </c>
      <c r="AO188" s="1">
        <v>7.5903999999999998</v>
      </c>
      <c r="AP188" s="1">
        <v>1.1032999999999999</v>
      </c>
      <c r="AQ188" s="1">
        <v>5.2933000000000003</v>
      </c>
      <c r="AR188" s="1">
        <v>0.29720000000000002</v>
      </c>
      <c r="AT188" s="1425">
        <v>44959</v>
      </c>
      <c r="AU188" s="1">
        <v>11.206899999999999</v>
      </c>
      <c r="AV188" s="1">
        <v>0.94530000000000003</v>
      </c>
      <c r="AW188" s="1">
        <v>7.3003</v>
      </c>
      <c r="AX188" s="1">
        <v>0.24765999999999999</v>
      </c>
      <c r="BA188" s="1425">
        <v>44956</v>
      </c>
      <c r="BB188" s="1">
        <v>14.110900000000001</v>
      </c>
      <c r="BC188" s="1">
        <v>2.7513000000000001</v>
      </c>
      <c r="BD188" s="1">
        <v>12.6775</v>
      </c>
      <c r="BE188" s="1">
        <v>0.86038999999999999</v>
      </c>
      <c r="BG188" s="1425">
        <v>44956</v>
      </c>
      <c r="BH188" s="1">
        <v>16.933800000000002</v>
      </c>
      <c r="BI188" s="1">
        <v>3.3494999999999999</v>
      </c>
      <c r="BJ188" s="1">
        <v>19.430099999999999</v>
      </c>
      <c r="BT188" s="1425">
        <v>44966</v>
      </c>
      <c r="BU188" s="1">
        <v>15.5375</v>
      </c>
      <c r="BV188" s="1">
        <v>2.6920000000000002</v>
      </c>
      <c r="BW188" s="1">
        <v>6.7929000000000004</v>
      </c>
      <c r="BX188" s="1">
        <v>1.9442999999999999</v>
      </c>
      <c r="BZ188" s="1425">
        <v>44966</v>
      </c>
      <c r="CA188" s="1">
        <v>26.961200000000002</v>
      </c>
      <c r="CB188" s="1">
        <v>4.3478000000000003</v>
      </c>
      <c r="CC188" s="1">
        <v>16.596800000000002</v>
      </c>
      <c r="CD188" s="1">
        <v>2.8154300000000001</v>
      </c>
      <c r="CF188" s="1425">
        <v>44965</v>
      </c>
      <c r="CG188" s="1">
        <v>5.8487999999999998</v>
      </c>
      <c r="CH188" s="1">
        <v>1.2850999999999999</v>
      </c>
      <c r="CL188" s="1425">
        <v>44965</v>
      </c>
      <c r="CM188" s="1">
        <v>25.5137</v>
      </c>
      <c r="CN188" s="1">
        <v>2.9201999999999999</v>
      </c>
      <c r="CO188" s="1">
        <v>12.514900000000001</v>
      </c>
    </row>
    <row r="189" spans="1:93">
      <c r="A189" s="1425">
        <v>44965</v>
      </c>
      <c r="B189" s="20">
        <f t="shared" si="22"/>
        <v>9.8580000000000005</v>
      </c>
      <c r="C189" s="20">
        <f t="shared" si="24"/>
        <v>15.777799999999999</v>
      </c>
      <c r="D189" s="20">
        <f t="shared" si="25"/>
        <v>12.266400000000001</v>
      </c>
      <c r="E189" s="20">
        <f t="shared" si="26"/>
        <v>7.7107999999999999</v>
      </c>
      <c r="F189" s="20">
        <f t="shared" si="27"/>
        <v>17.0383</v>
      </c>
      <c r="G189" s="20">
        <f t="shared" si="28"/>
        <v>13.3482</v>
      </c>
      <c r="H189" s="1239">
        <f t="shared" si="29"/>
        <v>13.3482</v>
      </c>
      <c r="I189" s="1243">
        <f t="shared" si="23"/>
        <v>-0.26147345709533865</v>
      </c>
      <c r="J189" s="1243">
        <f t="shared" si="30"/>
        <v>0.12093838824177333</v>
      </c>
      <c r="K189" s="1243">
        <f t="shared" si="31"/>
        <v>0.1</v>
      </c>
      <c r="L189" s="203"/>
      <c r="N189" s="1425">
        <v>44965</v>
      </c>
      <c r="O189" s="1502">
        <v>9.8580000000000005</v>
      </c>
      <c r="P189" s="1502">
        <v>2.8401000000000001</v>
      </c>
      <c r="Q189" s="1502">
        <v>9.9860000000000007</v>
      </c>
      <c r="R189" s="1233">
        <f>'B. PE'!$U$23</f>
        <v>15.978235616082999</v>
      </c>
      <c r="S189" s="1233"/>
      <c r="T189" s="1233"/>
      <c r="V189" s="1425">
        <v>44965</v>
      </c>
      <c r="W189" s="1">
        <v>15.777799999999999</v>
      </c>
      <c r="X189" s="1">
        <v>1.1133999999999999</v>
      </c>
      <c r="Y189" s="1">
        <v>5.9991000000000003</v>
      </c>
      <c r="Z189" s="1">
        <v>0.83626</v>
      </c>
      <c r="AB189" s="1425">
        <v>44945</v>
      </c>
      <c r="AC189" s="1">
        <v>6.5603999999999996</v>
      </c>
      <c r="AD189" s="1502">
        <v>0.9879</v>
      </c>
      <c r="AE189" s="1">
        <v>4.5570000000000004</v>
      </c>
      <c r="AF189" s="1">
        <v>2.7969999999999998E-2</v>
      </c>
      <c r="AH189" s="1425">
        <v>44945</v>
      </c>
      <c r="AI189" s="1">
        <v>11.949199999999999</v>
      </c>
      <c r="AJ189" s="1">
        <v>2.1520999999999999</v>
      </c>
      <c r="AK189" s="1">
        <v>5.8754</v>
      </c>
      <c r="AL189" s="1">
        <v>3.5619999999999999E-2</v>
      </c>
      <c r="AN189" s="1425">
        <v>44957</v>
      </c>
      <c r="AO189" s="1">
        <v>7.4699</v>
      </c>
      <c r="AP189" s="1">
        <v>1.0858000000000001</v>
      </c>
      <c r="AQ189" s="1">
        <v>5.2031000000000001</v>
      </c>
      <c r="AR189" s="1">
        <v>0.29709999999999998</v>
      </c>
      <c r="AT189" s="1425">
        <v>44957</v>
      </c>
      <c r="AU189" s="1">
        <v>11.206899999999999</v>
      </c>
      <c r="AV189" s="1">
        <v>0.94530000000000003</v>
      </c>
      <c r="AW189" s="1">
        <v>7.3003</v>
      </c>
      <c r="AX189" s="1">
        <v>0.25230000000000002</v>
      </c>
      <c r="BA189" s="1425">
        <v>44953</v>
      </c>
      <c r="BB189" s="1">
        <v>14.4923</v>
      </c>
      <c r="BC189" s="1">
        <v>2.8256999999999999</v>
      </c>
      <c r="BD189" s="1">
        <v>12.9253</v>
      </c>
      <c r="BE189" s="1">
        <v>0.86995999999999996</v>
      </c>
      <c r="BG189" s="1425">
        <v>44953</v>
      </c>
      <c r="BH189" s="1">
        <v>16.8293</v>
      </c>
      <c r="BI189" s="1">
        <v>3.3288000000000002</v>
      </c>
      <c r="BJ189" s="1">
        <v>19.343399999999999</v>
      </c>
      <c r="BT189" s="1425">
        <v>44965</v>
      </c>
      <c r="BU189" s="1">
        <v>15.7141</v>
      </c>
      <c r="BV189" s="1">
        <v>2.7225999999999999</v>
      </c>
      <c r="BW189" s="1">
        <v>6.8682999999999996</v>
      </c>
      <c r="BX189" s="1">
        <v>2.0087000000000002</v>
      </c>
      <c r="BZ189" s="1425">
        <v>44965</v>
      </c>
      <c r="CA189" s="1">
        <v>27.546500000000002</v>
      </c>
      <c r="CB189" s="1">
        <v>4.4421999999999997</v>
      </c>
      <c r="CC189" s="1">
        <v>16.853200000000001</v>
      </c>
      <c r="CD189" s="1">
        <v>2.70431</v>
      </c>
      <c r="CF189" s="1425">
        <v>44964</v>
      </c>
      <c r="CG189" s="1">
        <v>5.8487999999999998</v>
      </c>
      <c r="CH189" s="1">
        <v>1.2850999999999999</v>
      </c>
      <c r="CL189" s="1425">
        <v>44964</v>
      </c>
      <c r="CM189" s="1">
        <v>25.5137</v>
      </c>
      <c r="CN189" s="1">
        <v>2.9201999999999999</v>
      </c>
      <c r="CO189" s="1">
        <v>12.514900000000001</v>
      </c>
    </row>
    <row r="190" spans="1:93">
      <c r="A190" s="1425">
        <v>44964</v>
      </c>
      <c r="B190" s="20">
        <f t="shared" si="22"/>
        <v>9.6925000000000008</v>
      </c>
      <c r="C190" s="20">
        <f t="shared" si="24"/>
        <v>15.560700000000001</v>
      </c>
      <c r="D190" s="20">
        <f t="shared" si="25"/>
        <v>12.689399999999999</v>
      </c>
      <c r="E190" s="20">
        <f t="shared" si="26"/>
        <v>7.7107999999999999</v>
      </c>
      <c r="F190" s="20">
        <f t="shared" si="27"/>
        <v>17.874600000000001</v>
      </c>
      <c r="G190" s="20">
        <f t="shared" si="28"/>
        <v>13.7295</v>
      </c>
      <c r="H190" s="1239">
        <f t="shared" si="29"/>
        <v>13.7295</v>
      </c>
      <c r="I190" s="1243">
        <f t="shared" si="23"/>
        <v>-0.29403838450052799</v>
      </c>
      <c r="J190" s="1243">
        <f t="shared" si="30"/>
        <v>0.12093838824177333</v>
      </c>
      <c r="K190" s="1243">
        <f t="shared" si="31"/>
        <v>0.1</v>
      </c>
      <c r="L190" s="203"/>
      <c r="N190" s="1425">
        <v>44964</v>
      </c>
      <c r="O190" s="1502">
        <v>9.6925000000000008</v>
      </c>
      <c r="P190" s="1502">
        <v>2.7924000000000002</v>
      </c>
      <c r="Q190" s="1502">
        <v>9.8422000000000001</v>
      </c>
      <c r="R190" s="1233">
        <f>'B. PE'!$U$23</f>
        <v>15.978235616082999</v>
      </c>
      <c r="S190" s="1233"/>
      <c r="T190" s="1233"/>
      <c r="V190" s="1425">
        <v>44964</v>
      </c>
      <c r="W190" s="1">
        <v>15.560700000000001</v>
      </c>
      <c r="X190" s="1">
        <v>1.0981000000000001</v>
      </c>
      <c r="Y190" s="1">
        <v>5.9409999999999998</v>
      </c>
      <c r="Z190" s="1">
        <v>0.82128999999999996</v>
      </c>
      <c r="AB190" s="1425">
        <v>44944</v>
      </c>
      <c r="AC190" s="1">
        <v>6.4671000000000003</v>
      </c>
      <c r="AD190" s="1502">
        <v>0.9738</v>
      </c>
      <c r="AE190" s="1">
        <v>4.5172999999999996</v>
      </c>
      <c r="AF190" s="1">
        <v>2.7570000000000001E-2</v>
      </c>
      <c r="AH190" s="1425">
        <v>44944</v>
      </c>
      <c r="AI190" s="1">
        <v>11.3147</v>
      </c>
      <c r="AJ190" s="1">
        <v>2.0379</v>
      </c>
      <c r="AK190" s="1">
        <v>5.5547000000000004</v>
      </c>
      <c r="AL190" s="1">
        <v>3.6110000000000003E-2</v>
      </c>
      <c r="AN190" s="1425">
        <v>44956</v>
      </c>
      <c r="AO190" s="1">
        <v>7.5903999999999998</v>
      </c>
      <c r="AP190" s="1">
        <v>1.1032999999999999</v>
      </c>
      <c r="AQ190" s="1">
        <v>5.2933000000000003</v>
      </c>
      <c r="AR190" s="1">
        <v>0.28806999999999999</v>
      </c>
      <c r="AT190" s="1425">
        <v>44956</v>
      </c>
      <c r="AU190" s="1">
        <v>11.3147</v>
      </c>
      <c r="AV190" s="1">
        <v>0.95440000000000003</v>
      </c>
      <c r="AW190" s="1">
        <v>7.3666</v>
      </c>
      <c r="AX190" s="1">
        <v>0.25736999999999999</v>
      </c>
      <c r="BA190" s="1425">
        <v>44952</v>
      </c>
      <c r="BB190" s="1">
        <v>14.3652</v>
      </c>
      <c r="BC190" s="1">
        <v>2.8008999999999999</v>
      </c>
      <c r="BD190" s="1">
        <v>12.842700000000001</v>
      </c>
      <c r="BE190" s="1">
        <v>0.86961999999999995</v>
      </c>
      <c r="BG190" s="1425">
        <v>44952</v>
      </c>
      <c r="BH190" s="1">
        <v>16.620200000000001</v>
      </c>
      <c r="BI190" s="1">
        <v>3.2873999999999999</v>
      </c>
      <c r="BJ190" s="1">
        <v>19.170000000000002</v>
      </c>
      <c r="BT190" s="1425">
        <v>44964</v>
      </c>
      <c r="BU190" s="1">
        <v>16.137799999999999</v>
      </c>
      <c r="BV190" s="1">
        <v>2.7961</v>
      </c>
      <c r="BW190" s="1">
        <v>7.0495000000000001</v>
      </c>
      <c r="BX190" s="1">
        <v>2.0384000000000002</v>
      </c>
      <c r="BZ190" s="1425">
        <v>44964</v>
      </c>
      <c r="CA190" s="1">
        <v>27.839200000000002</v>
      </c>
      <c r="CB190" s="1">
        <v>4.4893999999999998</v>
      </c>
      <c r="CC190" s="1">
        <v>16.981300000000001</v>
      </c>
      <c r="CD190" s="1">
        <v>2.6476299999999999</v>
      </c>
      <c r="CF190" s="1425">
        <v>44963</v>
      </c>
      <c r="CG190" s="1">
        <v>5.8841999999999999</v>
      </c>
      <c r="CH190" s="1">
        <v>1.2928999999999999</v>
      </c>
      <c r="CL190" s="1425">
        <v>44963</v>
      </c>
      <c r="CM190" s="1">
        <v>25.529800000000002</v>
      </c>
      <c r="CN190" s="1">
        <v>2.9220000000000002</v>
      </c>
      <c r="CO190" s="1">
        <v>12.5222</v>
      </c>
    </row>
    <row r="191" spans="1:93">
      <c r="A191" s="1425">
        <v>44963</v>
      </c>
      <c r="B191" s="20">
        <f t="shared" si="22"/>
        <v>9.7043999999999997</v>
      </c>
      <c r="C191" s="20">
        <f t="shared" si="24"/>
        <v>15.3436</v>
      </c>
      <c r="D191" s="20">
        <f t="shared" si="25"/>
        <v>12.689399999999999</v>
      </c>
      <c r="E191" s="20">
        <f t="shared" si="26"/>
        <v>7.7107999999999999</v>
      </c>
      <c r="F191" s="20">
        <f t="shared" si="27"/>
        <v>17.874600000000001</v>
      </c>
      <c r="G191" s="20">
        <f t="shared" si="28"/>
        <v>13.602399999999999</v>
      </c>
      <c r="H191" s="1239">
        <f t="shared" si="29"/>
        <v>13.602399999999999</v>
      </c>
      <c r="I191" s="1243">
        <f t="shared" si="23"/>
        <v>-0.28656707639828261</v>
      </c>
      <c r="J191" s="1243">
        <f t="shared" si="30"/>
        <v>0.12093838824177333</v>
      </c>
      <c r="K191" s="1243">
        <f t="shared" si="31"/>
        <v>0.1</v>
      </c>
      <c r="L191" s="203"/>
      <c r="N191" s="1425">
        <v>44963</v>
      </c>
      <c r="O191" s="1502">
        <v>9.7043999999999997</v>
      </c>
      <c r="P191" s="1502">
        <v>2.7957999999999998</v>
      </c>
      <c r="Q191" s="1502">
        <v>9.8524999999999991</v>
      </c>
      <c r="R191" s="1233">
        <f>'B. PE'!$U$23</f>
        <v>15.978235616082999</v>
      </c>
      <c r="S191" s="1233"/>
      <c r="T191" s="1233"/>
      <c r="V191" s="1425">
        <v>44963</v>
      </c>
      <c r="W191" s="1">
        <v>15.3436</v>
      </c>
      <c r="X191" s="1">
        <v>1.0827</v>
      </c>
      <c r="Y191" s="1">
        <v>5.883</v>
      </c>
      <c r="Z191" s="1">
        <v>0.82523999999999997</v>
      </c>
      <c r="AB191" s="1425">
        <v>44943</v>
      </c>
      <c r="AC191" s="1">
        <v>6.5914000000000001</v>
      </c>
      <c r="AD191" s="1502">
        <v>0.99260000000000004</v>
      </c>
      <c r="AE191" s="1">
        <v>4.5702999999999996</v>
      </c>
      <c r="AF191" s="1">
        <v>2.6839999999999999E-2</v>
      </c>
      <c r="AH191" s="1425">
        <v>44943</v>
      </c>
      <c r="AI191" s="1">
        <v>11.420400000000001</v>
      </c>
      <c r="AJ191" s="1">
        <v>2.0569000000000002</v>
      </c>
      <c r="AK191" s="1">
        <v>5.6082000000000001</v>
      </c>
      <c r="AL191" s="1">
        <v>3.603E-2</v>
      </c>
      <c r="AN191" s="1425">
        <v>44953</v>
      </c>
      <c r="AO191" s="1">
        <v>7.5903999999999998</v>
      </c>
      <c r="AP191" s="1">
        <v>1.1032999999999999</v>
      </c>
      <c r="AQ191" s="1">
        <v>5.2933000000000003</v>
      </c>
      <c r="AR191" s="1">
        <v>0.28425</v>
      </c>
      <c r="AT191" s="1425">
        <v>44953</v>
      </c>
      <c r="AU191" s="1">
        <v>11.530200000000001</v>
      </c>
      <c r="AV191" s="1">
        <v>0.97260000000000002</v>
      </c>
      <c r="AW191" s="1">
        <v>7.4992000000000001</v>
      </c>
      <c r="AX191" s="1">
        <v>0.25840999999999997</v>
      </c>
      <c r="BA191" s="1425">
        <v>44951</v>
      </c>
      <c r="BB191" s="1">
        <v>14.4923</v>
      </c>
      <c r="BC191" s="1">
        <v>2.8256999999999999</v>
      </c>
      <c r="BD191" s="1">
        <v>12.9253</v>
      </c>
      <c r="BE191" s="1">
        <v>0.83794999999999997</v>
      </c>
      <c r="BG191" s="1425">
        <v>44951</v>
      </c>
      <c r="BH191" s="1">
        <v>17.0383</v>
      </c>
      <c r="BI191" s="1">
        <v>3.3700999999999999</v>
      </c>
      <c r="BJ191" s="1">
        <v>19.5167</v>
      </c>
      <c r="BT191" s="1425">
        <v>44963</v>
      </c>
      <c r="BU191" s="1">
        <v>16.649799999999999</v>
      </c>
      <c r="BV191" s="1">
        <v>2.8847999999999998</v>
      </c>
      <c r="BW191" s="1">
        <v>7.2683</v>
      </c>
      <c r="BX191" s="1">
        <v>2.1278999999999999</v>
      </c>
      <c r="BZ191" s="1425">
        <v>44963</v>
      </c>
      <c r="CA191" s="1">
        <v>26.705100000000002</v>
      </c>
      <c r="CB191" s="1">
        <v>4.3064999999999998</v>
      </c>
      <c r="CC191" s="1">
        <v>16.4846</v>
      </c>
      <c r="CD191" s="1">
        <v>2.6179700000000001</v>
      </c>
      <c r="CF191" s="1425">
        <v>44960</v>
      </c>
      <c r="CG191" s="1">
        <v>5.8487999999999998</v>
      </c>
      <c r="CH191" s="1">
        <v>1.2850999999999999</v>
      </c>
      <c r="CL191" s="1425">
        <v>44960</v>
      </c>
      <c r="CM191" s="1">
        <v>25.8691</v>
      </c>
      <c r="CN191" s="1">
        <v>2.9609000000000001</v>
      </c>
      <c r="CO191" s="1">
        <v>12.6754</v>
      </c>
    </row>
    <row r="192" spans="1:93">
      <c r="A192" s="1425">
        <v>44960</v>
      </c>
      <c r="B192" s="20">
        <f t="shared" si="22"/>
        <v>9.7635000000000005</v>
      </c>
      <c r="C192" s="20">
        <f t="shared" si="24"/>
        <v>15.0541</v>
      </c>
      <c r="D192" s="20">
        <f t="shared" si="25"/>
        <v>12.689399999999999</v>
      </c>
      <c r="E192" s="20">
        <f t="shared" si="26"/>
        <v>7.7107999999999999</v>
      </c>
      <c r="F192" s="20">
        <f t="shared" si="27"/>
        <v>17.351900000000001</v>
      </c>
      <c r="G192" s="20">
        <f t="shared" si="28"/>
        <v>13.7295</v>
      </c>
      <c r="H192" s="1239">
        <f t="shared" si="29"/>
        <v>13.7295</v>
      </c>
      <c r="I192" s="1243">
        <f t="shared" si="23"/>
        <v>-0.28886703812957493</v>
      </c>
      <c r="J192" s="1243">
        <f t="shared" si="30"/>
        <v>0.12093838824177333</v>
      </c>
      <c r="K192" s="1243">
        <f t="shared" si="31"/>
        <v>0.1</v>
      </c>
      <c r="L192" s="203"/>
      <c r="N192" s="1425">
        <v>44960</v>
      </c>
      <c r="O192" s="1502">
        <v>9.7635000000000005</v>
      </c>
      <c r="P192" s="1502">
        <v>2.8129</v>
      </c>
      <c r="Q192" s="1502">
        <v>9.9038000000000004</v>
      </c>
      <c r="R192" s="1233">
        <f>'B. PE'!$U$23</f>
        <v>15.978235616082999</v>
      </c>
      <c r="S192" s="1233"/>
      <c r="T192" s="1233"/>
      <c r="V192" s="1425">
        <v>44960</v>
      </c>
      <c r="W192" s="1">
        <v>15.0541</v>
      </c>
      <c r="X192" s="1">
        <v>1.0623</v>
      </c>
      <c r="Y192" s="1">
        <v>5.8056999999999999</v>
      </c>
      <c r="Z192" s="1">
        <v>0.82523999999999997</v>
      </c>
      <c r="AB192" s="1425">
        <v>44942</v>
      </c>
      <c r="AC192" s="1">
        <v>6.4671000000000003</v>
      </c>
      <c r="AD192" s="1502">
        <v>0.9738</v>
      </c>
      <c r="AE192" s="1">
        <v>4.5172999999999996</v>
      </c>
      <c r="AF192" s="1">
        <v>2.7400000000000001E-2</v>
      </c>
      <c r="AH192" s="1425">
        <v>44942</v>
      </c>
      <c r="AI192" s="1">
        <v>11.526199999999999</v>
      </c>
      <c r="AJ192" s="1">
        <v>2.0760000000000001</v>
      </c>
      <c r="AK192" s="1">
        <v>5.6616</v>
      </c>
      <c r="AL192" s="1">
        <v>3.5569999999999997E-2</v>
      </c>
      <c r="AN192" s="1425">
        <v>44952</v>
      </c>
      <c r="AO192" s="1">
        <v>7.3494000000000002</v>
      </c>
      <c r="AP192" s="1">
        <v>1.0683</v>
      </c>
      <c r="AQ192" s="1">
        <v>5.1128</v>
      </c>
      <c r="AR192" s="1">
        <v>0.28355000000000002</v>
      </c>
      <c r="AT192" s="1425">
        <v>44952</v>
      </c>
      <c r="AU192" s="1">
        <v>11.745699999999999</v>
      </c>
      <c r="AV192" s="1">
        <v>0.99080000000000001</v>
      </c>
      <c r="AW192" s="1">
        <v>7.6313000000000004</v>
      </c>
      <c r="AX192" s="1">
        <v>0.25777</v>
      </c>
      <c r="BA192" s="1425">
        <v>44950</v>
      </c>
      <c r="BB192" s="1">
        <v>14.4923</v>
      </c>
      <c r="BC192" s="1">
        <v>2.8256999999999999</v>
      </c>
      <c r="BD192" s="1">
        <v>12.9253</v>
      </c>
      <c r="BE192" s="1">
        <v>0.85543000000000002</v>
      </c>
      <c r="BG192" s="1425">
        <v>44950</v>
      </c>
      <c r="BH192" s="1">
        <v>17.456399999999999</v>
      </c>
      <c r="BI192" s="1">
        <v>3.4527999999999999</v>
      </c>
      <c r="BJ192" s="1">
        <v>19.863399999999999</v>
      </c>
      <c r="BT192" s="1425">
        <v>44960</v>
      </c>
      <c r="BU192" s="1">
        <v>16.8794</v>
      </c>
      <c r="BV192" s="1">
        <v>2.9245000000000001</v>
      </c>
      <c r="BW192" s="1">
        <v>7.3663999999999996</v>
      </c>
      <c r="BX192" s="1">
        <v>2.0085000000000002</v>
      </c>
      <c r="BZ192" s="1425">
        <v>44960</v>
      </c>
      <c r="CA192" s="1">
        <v>26.119800000000001</v>
      </c>
      <c r="CB192" s="1">
        <v>4.2121000000000004</v>
      </c>
      <c r="CC192" s="1">
        <v>16.228300000000001</v>
      </c>
      <c r="CD192" s="1">
        <v>2.60684</v>
      </c>
      <c r="CF192" s="1425">
        <v>44959</v>
      </c>
      <c r="CG192" s="1">
        <v>5.8487999999999998</v>
      </c>
      <c r="CH192" s="1">
        <v>1.2850999999999999</v>
      </c>
      <c r="CL192" s="1425">
        <v>44959</v>
      </c>
      <c r="CM192" s="1">
        <v>25.707599999999999</v>
      </c>
      <c r="CN192" s="1">
        <v>2.9424000000000001</v>
      </c>
      <c r="CO192" s="1">
        <v>12.602399999999999</v>
      </c>
    </row>
    <row r="193" spans="1:93">
      <c r="A193" s="1425">
        <v>44959</v>
      </c>
      <c r="B193" s="20">
        <f t="shared" si="22"/>
        <v>9.5742999999999991</v>
      </c>
      <c r="C193" s="20">
        <f t="shared" si="24"/>
        <v>15.1265</v>
      </c>
      <c r="D193" s="20">
        <f t="shared" si="25"/>
        <v>12.266400000000001</v>
      </c>
      <c r="E193" s="20">
        <f t="shared" si="26"/>
        <v>7.5903999999999998</v>
      </c>
      <c r="F193" s="20">
        <f t="shared" si="27"/>
        <v>17.247399999999999</v>
      </c>
      <c r="G193" s="20">
        <f t="shared" si="28"/>
        <v>13.8567</v>
      </c>
      <c r="H193" s="1239">
        <f t="shared" si="29"/>
        <v>13.8567</v>
      </c>
      <c r="I193" s="1243">
        <f t="shared" si="23"/>
        <v>-0.30904905208310784</v>
      </c>
      <c r="J193" s="1243">
        <f t="shared" si="30"/>
        <v>0.12093838824177333</v>
      </c>
      <c r="K193" s="1243">
        <f t="shared" si="31"/>
        <v>0.1</v>
      </c>
      <c r="L193" s="203"/>
      <c r="N193" s="1425">
        <v>44959</v>
      </c>
      <c r="O193" s="1502">
        <v>9.5742999999999991</v>
      </c>
      <c r="P193" s="1502">
        <v>2.7584</v>
      </c>
      <c r="Q193" s="1502">
        <v>9.7394999999999996</v>
      </c>
      <c r="R193" s="1233">
        <f>'B. PE'!$U$23</f>
        <v>15.978235616082999</v>
      </c>
      <c r="S193" s="1233"/>
      <c r="T193" s="1233"/>
      <c r="V193" s="1425">
        <v>44959</v>
      </c>
      <c r="W193" s="1">
        <v>15.1265</v>
      </c>
      <c r="X193" s="1">
        <v>1.0673999999999999</v>
      </c>
      <c r="Y193" s="1">
        <v>5.8250000000000002</v>
      </c>
      <c r="Z193" s="1">
        <v>0.88249</v>
      </c>
      <c r="AB193" s="1425">
        <v>44939</v>
      </c>
      <c r="AC193" s="1">
        <v>6.3116000000000003</v>
      </c>
      <c r="AD193" s="1502">
        <v>0.95040000000000002</v>
      </c>
      <c r="AE193" s="1">
        <v>4.4511000000000003</v>
      </c>
      <c r="AF193" s="1">
        <v>2.7449999999999999E-2</v>
      </c>
      <c r="AH193" s="1425">
        <v>44939</v>
      </c>
      <c r="AI193" s="1">
        <v>11.526199999999999</v>
      </c>
      <c r="AJ193" s="1">
        <v>2.0760000000000001</v>
      </c>
      <c r="AK193" s="1">
        <v>5.6616</v>
      </c>
      <c r="AL193" s="1">
        <v>3.4630000000000001E-2</v>
      </c>
      <c r="AN193" s="1425">
        <v>44951</v>
      </c>
      <c r="AO193" s="1">
        <v>7.2892000000000001</v>
      </c>
      <c r="AP193" s="1">
        <v>1.0596000000000001</v>
      </c>
      <c r="AQ193" s="1">
        <v>5.0677000000000003</v>
      </c>
      <c r="AR193" s="1">
        <v>0.28087000000000001</v>
      </c>
      <c r="AT193" s="1425">
        <v>44951</v>
      </c>
      <c r="AU193" s="1">
        <v>11.853400000000001</v>
      </c>
      <c r="AV193" s="1">
        <v>0.99990000000000001</v>
      </c>
      <c r="AW193" s="1">
        <v>7.6976000000000004</v>
      </c>
      <c r="AX193" s="1">
        <v>0.25302000000000002</v>
      </c>
      <c r="BA193" s="1425">
        <v>44949</v>
      </c>
      <c r="BB193" s="1">
        <v>13.9838</v>
      </c>
      <c r="BC193" s="1">
        <v>2.7265000000000001</v>
      </c>
      <c r="BD193" s="1">
        <v>12.594900000000001</v>
      </c>
      <c r="BE193" s="1">
        <v>0.86358000000000001</v>
      </c>
      <c r="BG193" s="1425">
        <v>44949</v>
      </c>
      <c r="BH193" s="1">
        <v>17.456399999999999</v>
      </c>
      <c r="BI193" s="1">
        <v>3.4527999999999999</v>
      </c>
      <c r="BJ193" s="1">
        <v>19.863399999999999</v>
      </c>
      <c r="BT193" s="1425">
        <v>44959</v>
      </c>
      <c r="BU193" s="1">
        <v>17.620899999999999</v>
      </c>
      <c r="BV193" s="1">
        <v>3.0529999999999999</v>
      </c>
      <c r="BW193" s="1">
        <v>7.6833999999999998</v>
      </c>
      <c r="BX193" s="1">
        <v>1.9829000000000001</v>
      </c>
      <c r="BZ193" s="1425">
        <v>44959</v>
      </c>
      <c r="CA193" s="1">
        <v>25.827100000000002</v>
      </c>
      <c r="CB193" s="1">
        <v>4.1649000000000003</v>
      </c>
      <c r="CC193" s="1">
        <v>16.100100000000001</v>
      </c>
      <c r="CD193" s="1">
        <v>2.7366299999999999</v>
      </c>
      <c r="CF193" s="1425">
        <v>44958</v>
      </c>
      <c r="CG193" s="1">
        <v>5.8487999999999998</v>
      </c>
      <c r="CH193" s="1">
        <v>1.2850999999999999</v>
      </c>
      <c r="CL193" s="1425">
        <v>44958</v>
      </c>
      <c r="CM193" s="1">
        <v>25.158200000000001</v>
      </c>
      <c r="CN193" s="1">
        <v>2.8795000000000002</v>
      </c>
      <c r="CO193" s="1">
        <v>12.3544</v>
      </c>
    </row>
    <row r="194" spans="1:93">
      <c r="A194" s="1425">
        <v>44958</v>
      </c>
      <c r="B194" s="20">
        <f t="shared" si="22"/>
        <v>9.7635000000000005</v>
      </c>
      <c r="C194" s="20">
        <f t="shared" si="24"/>
        <v>15.1265</v>
      </c>
      <c r="D194" s="20">
        <f t="shared" si="25"/>
        <v>11.843400000000001</v>
      </c>
      <c r="E194" s="20">
        <f t="shared" si="26"/>
        <v>7.5903999999999998</v>
      </c>
      <c r="F194" s="20">
        <f t="shared" si="27"/>
        <v>17.247399999999999</v>
      </c>
      <c r="G194" s="20">
        <f t="shared" si="28"/>
        <v>13.7295</v>
      </c>
      <c r="H194" s="1239">
        <f t="shared" si="29"/>
        <v>13.7295</v>
      </c>
      <c r="I194" s="1243">
        <f t="shared" si="23"/>
        <v>-0.28886703812957493</v>
      </c>
      <c r="J194" s="1243">
        <f t="shared" si="30"/>
        <v>0.12093838824177333</v>
      </c>
      <c r="K194" s="1243">
        <f t="shared" si="31"/>
        <v>0.1</v>
      </c>
      <c r="L194" s="203"/>
      <c r="N194" s="1425">
        <v>44958</v>
      </c>
      <c r="O194" s="1502">
        <v>9.7635000000000005</v>
      </c>
      <c r="P194" s="1502">
        <v>2.8129</v>
      </c>
      <c r="Q194" s="1502">
        <v>9.9038000000000004</v>
      </c>
      <c r="R194" s="1233">
        <f>'B. PE'!$U$23</f>
        <v>15.978235616082999</v>
      </c>
      <c r="S194" s="1233"/>
      <c r="T194" s="1233"/>
      <c r="V194" s="1425">
        <v>44958</v>
      </c>
      <c r="W194" s="1">
        <v>15.1265</v>
      </c>
      <c r="X194" s="1">
        <v>1.0673999999999999</v>
      </c>
      <c r="Y194" s="1">
        <v>5.8250000000000002</v>
      </c>
      <c r="Z194" s="1">
        <v>0.82509999999999994</v>
      </c>
      <c r="AB194" s="1425">
        <v>44938</v>
      </c>
      <c r="AC194" s="1">
        <v>6.4671000000000003</v>
      </c>
      <c r="AD194" s="1502">
        <v>0.9738</v>
      </c>
      <c r="AE194" s="1">
        <v>4.5172999999999996</v>
      </c>
      <c r="AF194" s="1">
        <v>2.7050000000000001E-2</v>
      </c>
      <c r="AH194" s="1425">
        <v>44938</v>
      </c>
      <c r="AI194" s="1">
        <v>11.420400000000001</v>
      </c>
      <c r="AJ194" s="1">
        <v>2.0569000000000002</v>
      </c>
      <c r="AK194" s="1">
        <v>5.6082000000000001</v>
      </c>
      <c r="AL194" s="1">
        <v>3.4130000000000001E-2</v>
      </c>
      <c r="AN194" s="1425">
        <v>44946</v>
      </c>
      <c r="AO194" s="1">
        <v>7.2892000000000001</v>
      </c>
      <c r="AP194" s="1">
        <v>1.0596000000000001</v>
      </c>
      <c r="AQ194" s="1">
        <v>5.0677000000000003</v>
      </c>
      <c r="AR194" s="1">
        <v>0.27578000000000003</v>
      </c>
      <c r="AT194" s="1425">
        <v>44946</v>
      </c>
      <c r="AU194" s="1">
        <v>11.853400000000001</v>
      </c>
      <c r="AV194" s="1">
        <v>0.99990000000000001</v>
      </c>
      <c r="AW194" s="1">
        <v>7.6976000000000004</v>
      </c>
      <c r="AX194" s="1">
        <v>0.25724000000000002</v>
      </c>
      <c r="BA194" s="1425">
        <v>44946</v>
      </c>
      <c r="BB194" s="1">
        <v>14.238</v>
      </c>
      <c r="BC194" s="1">
        <v>2.7761</v>
      </c>
      <c r="BD194" s="1">
        <v>12.7601</v>
      </c>
      <c r="BE194" s="1">
        <v>0.85602999999999996</v>
      </c>
      <c r="BG194" s="1425">
        <v>44946</v>
      </c>
      <c r="BH194" s="1">
        <v>17.351900000000001</v>
      </c>
      <c r="BI194" s="1">
        <v>3.4321999999999999</v>
      </c>
      <c r="BJ194" s="1">
        <v>19.776800000000001</v>
      </c>
      <c r="BT194" s="1425">
        <v>44958</v>
      </c>
      <c r="BU194" s="1">
        <v>16.632200000000001</v>
      </c>
      <c r="BV194" s="1">
        <v>2.8816999999999999</v>
      </c>
      <c r="BW194" s="1">
        <v>7.2607999999999997</v>
      </c>
      <c r="BX194" s="1">
        <v>1.9698</v>
      </c>
      <c r="BZ194" s="1425">
        <v>44958</v>
      </c>
      <c r="CA194" s="1">
        <v>25.717400000000001</v>
      </c>
      <c r="CB194" s="1">
        <v>4.1471999999999998</v>
      </c>
      <c r="CC194" s="1">
        <v>16.052</v>
      </c>
      <c r="CD194" s="1">
        <v>2.7472799999999999</v>
      </c>
      <c r="CF194" s="1425">
        <v>44957</v>
      </c>
      <c r="CG194" s="1">
        <v>6.0259999999999998</v>
      </c>
      <c r="CH194" s="1">
        <v>1.3241000000000001</v>
      </c>
      <c r="CL194" s="1425">
        <v>44957</v>
      </c>
      <c r="CM194" s="1">
        <v>25.158200000000001</v>
      </c>
      <c r="CN194" s="1">
        <v>2.8795000000000002</v>
      </c>
      <c r="CO194" s="1">
        <v>12.3544</v>
      </c>
    </row>
    <row r="195" spans="1:93">
      <c r="A195" s="1425">
        <v>44957</v>
      </c>
      <c r="B195" s="20">
        <f t="shared" si="22"/>
        <v>10.4018</v>
      </c>
      <c r="C195" s="20">
        <f t="shared" si="24"/>
        <v>16.175899999999999</v>
      </c>
      <c r="D195" s="20">
        <f t="shared" si="25"/>
        <v>11.843400000000001</v>
      </c>
      <c r="E195" s="20">
        <f t="shared" si="26"/>
        <v>7.4699</v>
      </c>
      <c r="F195" s="20">
        <f t="shared" si="27"/>
        <v>16.8293</v>
      </c>
      <c r="G195" s="20">
        <f t="shared" si="28"/>
        <v>13.602399999999999</v>
      </c>
      <c r="H195" s="1239">
        <f t="shared" si="29"/>
        <v>13.602399999999999</v>
      </c>
      <c r="I195" s="1243">
        <f t="shared" si="23"/>
        <v>-0.23529671234488025</v>
      </c>
      <c r="J195" s="1243">
        <f t="shared" si="30"/>
        <v>0.12093838824177333</v>
      </c>
      <c r="K195" s="1243">
        <f t="shared" si="31"/>
        <v>0.1</v>
      </c>
      <c r="L195" s="203"/>
      <c r="N195" s="1425">
        <v>44957</v>
      </c>
      <c r="O195" s="1502">
        <v>10.4018</v>
      </c>
      <c r="P195" s="1502">
        <v>2.9967999999999999</v>
      </c>
      <c r="Q195" s="1502">
        <v>10.458299999999999</v>
      </c>
      <c r="R195" s="1233">
        <f>'B. PE'!$U$23</f>
        <v>15.978235616082999</v>
      </c>
      <c r="S195" s="1233"/>
      <c r="T195" s="1233"/>
      <c r="V195" s="1425">
        <v>44957</v>
      </c>
      <c r="W195" s="1">
        <v>16.175899999999999</v>
      </c>
      <c r="X195" s="1">
        <v>1.1415</v>
      </c>
      <c r="Y195" s="1">
        <v>6.1055999999999999</v>
      </c>
      <c r="Z195" s="1">
        <v>0.82135999999999998</v>
      </c>
      <c r="AB195" s="1425">
        <v>44937</v>
      </c>
      <c r="AC195" s="1">
        <v>6.5914000000000001</v>
      </c>
      <c r="AD195" s="1502">
        <v>0.99260000000000004</v>
      </c>
      <c r="AE195" s="1">
        <v>4.5702999999999996</v>
      </c>
      <c r="AF195" s="1">
        <v>2.5309999999999999E-2</v>
      </c>
      <c r="AH195" s="1425">
        <v>44937</v>
      </c>
      <c r="AI195" s="1">
        <v>11.3147</v>
      </c>
      <c r="AJ195" s="1">
        <v>2.0379</v>
      </c>
      <c r="AK195" s="1">
        <v>5.5547000000000004</v>
      </c>
      <c r="AL195" s="1">
        <v>3.4700000000000002E-2</v>
      </c>
      <c r="AN195" s="1425">
        <v>44945</v>
      </c>
      <c r="AO195" s="1">
        <v>7.2892000000000001</v>
      </c>
      <c r="AP195" s="1">
        <v>1.0596000000000001</v>
      </c>
      <c r="AQ195" s="1">
        <v>5.0677000000000003</v>
      </c>
      <c r="AR195" s="1">
        <v>0.27733000000000002</v>
      </c>
      <c r="AT195" s="1425">
        <v>44945</v>
      </c>
      <c r="AU195" s="1">
        <v>11.745699999999999</v>
      </c>
      <c r="AV195" s="1">
        <v>0.99080000000000001</v>
      </c>
      <c r="AW195" s="1">
        <v>7.6313000000000004</v>
      </c>
      <c r="AX195" s="1">
        <v>0.25191000000000002</v>
      </c>
      <c r="BA195" s="1425">
        <v>44945</v>
      </c>
      <c r="BB195" s="1">
        <v>14.4923</v>
      </c>
      <c r="BC195" s="1">
        <v>2.8256999999999999</v>
      </c>
      <c r="BD195" s="1">
        <v>12.9253</v>
      </c>
      <c r="BE195" s="1">
        <v>0.84748000000000001</v>
      </c>
      <c r="BG195" s="1425">
        <v>44945</v>
      </c>
      <c r="BH195" s="1">
        <v>17.665500000000002</v>
      </c>
      <c r="BI195" s="1">
        <v>3.4942000000000002</v>
      </c>
      <c r="BJ195" s="1">
        <v>20.036799999999999</v>
      </c>
      <c r="BT195" s="1425">
        <v>44957</v>
      </c>
      <c r="BU195" s="1">
        <v>16.420300000000001</v>
      </c>
      <c r="BV195" s="1">
        <v>2.8450000000000002</v>
      </c>
      <c r="BW195" s="1">
        <v>7.1702000000000004</v>
      </c>
      <c r="BX195" s="1">
        <v>1.9575</v>
      </c>
      <c r="BZ195" s="1425">
        <v>44957</v>
      </c>
      <c r="CA195" s="1">
        <v>26.997800000000002</v>
      </c>
      <c r="CB195" s="1">
        <v>4.3536999999999999</v>
      </c>
      <c r="CC195" s="1">
        <v>16.6128</v>
      </c>
      <c r="CD195" s="1">
        <v>2.7071900000000002</v>
      </c>
      <c r="CF195" s="1425">
        <v>44956</v>
      </c>
      <c r="CG195" s="1">
        <v>5.9196999999999997</v>
      </c>
      <c r="CH195" s="1">
        <v>1.3007</v>
      </c>
      <c r="CL195" s="1425">
        <v>44956</v>
      </c>
      <c r="CM195" s="1">
        <v>25.093599999999999</v>
      </c>
      <c r="CN195" s="1">
        <v>2.8721000000000001</v>
      </c>
      <c r="CO195" s="1">
        <v>12.325200000000001</v>
      </c>
    </row>
    <row r="196" spans="1:93">
      <c r="A196" s="1425">
        <v>44956</v>
      </c>
      <c r="B196" s="20">
        <f t="shared" si="22"/>
        <v>10.1181</v>
      </c>
      <c r="C196" s="20">
        <f t="shared" si="24"/>
        <v>15.1265</v>
      </c>
      <c r="D196" s="20">
        <f t="shared" si="25"/>
        <v>11.949199999999999</v>
      </c>
      <c r="E196" s="20">
        <f t="shared" si="26"/>
        <v>7.5903999999999998</v>
      </c>
      <c r="F196" s="20">
        <f t="shared" si="27"/>
        <v>16.933800000000002</v>
      </c>
      <c r="G196" s="20">
        <f t="shared" si="28"/>
        <v>14.110900000000001</v>
      </c>
      <c r="H196" s="1239">
        <f t="shared" si="29"/>
        <v>14.110900000000001</v>
      </c>
      <c r="I196" s="1243">
        <f t="shared" si="23"/>
        <v>-0.28295856394701968</v>
      </c>
      <c r="J196" s="1243">
        <f t="shared" si="30"/>
        <v>0.12093838824177333</v>
      </c>
      <c r="K196" s="1243">
        <f t="shared" si="31"/>
        <v>0.1</v>
      </c>
      <c r="L196" s="203"/>
      <c r="N196" s="1425">
        <v>44956</v>
      </c>
      <c r="O196" s="1502">
        <v>10.1181</v>
      </c>
      <c r="P196" s="1502">
        <v>2.915</v>
      </c>
      <c r="Q196" s="1502">
        <v>10.2119</v>
      </c>
      <c r="R196" s="1233">
        <f>'B. PE'!$U$23</f>
        <v>15.978235616082999</v>
      </c>
      <c r="S196" s="1233"/>
      <c r="T196" s="1233"/>
      <c r="V196" s="1425">
        <v>44956</v>
      </c>
      <c r="W196" s="1">
        <v>15.1265</v>
      </c>
      <c r="X196" s="1">
        <v>1.0673999999999999</v>
      </c>
      <c r="Y196" s="1">
        <v>5.8250000000000002</v>
      </c>
      <c r="Z196" s="1">
        <v>0.82150000000000001</v>
      </c>
      <c r="AB196" s="1425">
        <v>44936</v>
      </c>
      <c r="AC196" s="1">
        <v>6.5293000000000001</v>
      </c>
      <c r="AD196" s="1502">
        <v>0.98319999999999996</v>
      </c>
      <c r="AE196" s="1">
        <v>4.5438000000000001</v>
      </c>
      <c r="AF196" s="1">
        <v>2.5049999999999999E-2</v>
      </c>
      <c r="AH196" s="1425">
        <v>44936</v>
      </c>
      <c r="AI196" s="1">
        <v>11.2089</v>
      </c>
      <c r="AJ196" s="1">
        <v>2.0188000000000001</v>
      </c>
      <c r="AK196" s="1">
        <v>5.5012999999999996</v>
      </c>
      <c r="AL196" s="1">
        <v>3.5009999999999999E-2</v>
      </c>
      <c r="AN196" s="1425">
        <v>44944</v>
      </c>
      <c r="AO196" s="1">
        <v>7.1687000000000003</v>
      </c>
      <c r="AP196" s="1">
        <v>1.042</v>
      </c>
      <c r="AQ196" s="1">
        <v>4.9775</v>
      </c>
      <c r="AR196" s="1">
        <v>0.27514</v>
      </c>
      <c r="AT196" s="1425">
        <v>44944</v>
      </c>
      <c r="AU196" s="1">
        <v>11.9612</v>
      </c>
      <c r="AV196" s="1">
        <v>1.0089999999999999</v>
      </c>
      <c r="AW196" s="1">
        <v>7.7638999999999996</v>
      </c>
      <c r="AX196" s="1">
        <v>0.24277000000000001</v>
      </c>
      <c r="BA196" s="1425">
        <v>44944</v>
      </c>
      <c r="BB196" s="1">
        <v>14.3652</v>
      </c>
      <c r="BC196" s="1">
        <v>2.8008999999999999</v>
      </c>
      <c r="BD196" s="1">
        <v>12.842700000000001</v>
      </c>
      <c r="BE196" s="1">
        <v>0.84574000000000005</v>
      </c>
      <c r="BG196" s="1425">
        <v>44944</v>
      </c>
      <c r="BH196" s="1">
        <v>17.665500000000002</v>
      </c>
      <c r="BI196" s="1">
        <v>3.4942000000000002</v>
      </c>
      <c r="BJ196" s="1">
        <v>20.036799999999999</v>
      </c>
      <c r="BT196" s="1425">
        <v>44956</v>
      </c>
      <c r="BU196" s="1">
        <v>16.314399999999999</v>
      </c>
      <c r="BV196" s="1">
        <v>2.8266</v>
      </c>
      <c r="BW196" s="1">
        <v>7.1249000000000002</v>
      </c>
      <c r="BX196" s="1">
        <v>1.9451000000000001</v>
      </c>
      <c r="BZ196" s="1425">
        <v>44956</v>
      </c>
      <c r="CA196" s="1">
        <v>27.107500000000002</v>
      </c>
      <c r="CB196" s="1">
        <v>4.3714000000000004</v>
      </c>
      <c r="CC196" s="1">
        <v>16.660900000000002</v>
      </c>
      <c r="CD196" s="1">
        <v>2.5778400000000001</v>
      </c>
      <c r="CF196" s="1425">
        <v>44953</v>
      </c>
      <c r="CG196" s="1">
        <v>6.0259999999999998</v>
      </c>
      <c r="CH196" s="1">
        <v>1.3241000000000001</v>
      </c>
      <c r="CL196" s="1425">
        <v>44953</v>
      </c>
      <c r="CM196" s="1">
        <v>24.673400000000001</v>
      </c>
      <c r="CN196" s="1">
        <v>2.8239999999999998</v>
      </c>
      <c r="CO196" s="1">
        <v>12.1356</v>
      </c>
    </row>
    <row r="197" spans="1:93">
      <c r="A197" s="1425">
        <v>44953</v>
      </c>
      <c r="B197" s="20">
        <f t="shared" ref="B197:B260" si="32">O197</f>
        <v>10.3072</v>
      </c>
      <c r="C197" s="20">
        <f t="shared" si="24"/>
        <v>15.0541</v>
      </c>
      <c r="D197" s="20">
        <f t="shared" si="25"/>
        <v>11.949199999999999</v>
      </c>
      <c r="E197" s="20">
        <f t="shared" si="26"/>
        <v>7.5903999999999998</v>
      </c>
      <c r="F197" s="20">
        <f t="shared" si="27"/>
        <v>16.8293</v>
      </c>
      <c r="G197" s="20">
        <f t="shared" si="28"/>
        <v>14.4923</v>
      </c>
      <c r="H197" s="1239">
        <f t="shared" si="29"/>
        <v>14.4923</v>
      </c>
      <c r="I197" s="1243">
        <f t="shared" ref="I197:I260" si="33">B197/H197-1</f>
        <v>-0.28878093884338585</v>
      </c>
      <c r="J197" s="1243">
        <f t="shared" si="30"/>
        <v>0.12093838824177333</v>
      </c>
      <c r="K197" s="1243">
        <f t="shared" si="31"/>
        <v>0.1</v>
      </c>
      <c r="L197" s="203"/>
      <c r="N197" s="1425">
        <v>44953</v>
      </c>
      <c r="O197" s="1502">
        <v>10.3072</v>
      </c>
      <c r="P197" s="1502">
        <v>2.9695</v>
      </c>
      <c r="Q197" s="1502">
        <v>10.161799999999999</v>
      </c>
      <c r="R197" s="1233">
        <f>'B. PE'!$U$23</f>
        <v>15.978235616082999</v>
      </c>
      <c r="S197" s="1233"/>
      <c r="T197" s="1233"/>
      <c r="V197" s="1425">
        <v>44953</v>
      </c>
      <c r="W197" s="1">
        <v>15.0541</v>
      </c>
      <c r="X197" s="1">
        <v>1.0623</v>
      </c>
      <c r="Y197" s="1">
        <v>5.8056999999999999</v>
      </c>
      <c r="Z197" s="1">
        <v>0.80188999999999999</v>
      </c>
      <c r="AB197" s="1425">
        <v>44935</v>
      </c>
      <c r="AC197" s="1">
        <v>6.1250999999999998</v>
      </c>
      <c r="AD197" s="1502">
        <v>0.92230000000000001</v>
      </c>
      <c r="AE197" s="1">
        <v>4.3716999999999997</v>
      </c>
      <c r="AF197" s="1">
        <v>2.419E-2</v>
      </c>
      <c r="AH197" s="1425">
        <v>44935</v>
      </c>
      <c r="AI197" s="1">
        <v>11.420400000000001</v>
      </c>
      <c r="AJ197" s="1">
        <v>2.0569000000000002</v>
      </c>
      <c r="AK197" s="1">
        <v>5.6082000000000001</v>
      </c>
      <c r="AL197" s="1">
        <v>3.3919999999999999E-2</v>
      </c>
      <c r="AN197" s="1425">
        <v>44943</v>
      </c>
      <c r="AO197" s="1">
        <v>7.2289000000000003</v>
      </c>
      <c r="AP197" s="1">
        <v>1.0508</v>
      </c>
      <c r="AQ197" s="1">
        <v>5.0225999999999997</v>
      </c>
      <c r="AR197" s="1">
        <v>0.27676000000000001</v>
      </c>
      <c r="AT197" s="1425">
        <v>44943</v>
      </c>
      <c r="AU197" s="1">
        <v>11.745699999999999</v>
      </c>
      <c r="AV197" s="1">
        <v>0.99080000000000001</v>
      </c>
      <c r="AW197" s="1">
        <v>7.6313000000000004</v>
      </c>
      <c r="AX197" s="1">
        <v>0.24215999999999999</v>
      </c>
      <c r="BA197" s="1425">
        <v>44943</v>
      </c>
      <c r="BB197" s="1">
        <v>14.238</v>
      </c>
      <c r="BC197" s="1">
        <v>2.7761</v>
      </c>
      <c r="BD197" s="1">
        <v>12.7601</v>
      </c>
      <c r="BE197" s="1">
        <v>0.85067999999999999</v>
      </c>
      <c r="BG197" s="1425">
        <v>44943</v>
      </c>
      <c r="BH197" s="1">
        <v>17.665500000000002</v>
      </c>
      <c r="BI197" s="1">
        <v>3.4942000000000002</v>
      </c>
      <c r="BJ197" s="1">
        <v>20.036799999999999</v>
      </c>
      <c r="BT197" s="1425">
        <v>44953</v>
      </c>
      <c r="BU197" s="1">
        <v>16.208400000000001</v>
      </c>
      <c r="BV197" s="1">
        <v>2.8083</v>
      </c>
      <c r="BW197" s="1">
        <v>7.0796000000000001</v>
      </c>
      <c r="BX197" s="1">
        <v>1.9177</v>
      </c>
      <c r="BZ197" s="1425">
        <v>44953</v>
      </c>
      <c r="CA197" s="1">
        <v>26.705100000000002</v>
      </c>
      <c r="CB197" s="1">
        <v>4.3064999999999998</v>
      </c>
      <c r="CC197" s="1">
        <v>16.4846</v>
      </c>
      <c r="CD197" s="1">
        <v>2.5448900000000001</v>
      </c>
      <c r="CF197" s="1425">
        <v>44945</v>
      </c>
      <c r="CG197" s="1">
        <v>6.0614999999999997</v>
      </c>
      <c r="CH197" s="1">
        <v>1.3319000000000001</v>
      </c>
      <c r="CL197" s="1425">
        <v>44952</v>
      </c>
      <c r="CM197" s="1">
        <v>24.5442</v>
      </c>
      <c r="CN197" s="1">
        <v>2.8092000000000001</v>
      </c>
      <c r="CO197" s="1">
        <v>12.077199999999999</v>
      </c>
    </row>
    <row r="198" spans="1:93">
      <c r="A198" s="1425">
        <v>44945</v>
      </c>
      <c r="B198" s="20">
        <f t="shared" si="32"/>
        <v>10.2126</v>
      </c>
      <c r="C198" s="20">
        <f t="shared" ref="C198:C261" si="34">IF(W198=0,W197,W198)</f>
        <v>15.0541</v>
      </c>
      <c r="D198" s="20">
        <f t="shared" ref="D198:D261" si="35">IFERROR(          IF(VLOOKUP(A198,$AH$5:$AI$1301,2,)=0,D197,VLOOKUP(A198,$AH$5:$AI$1301,2,)),D197)</f>
        <v>11.949199999999999</v>
      </c>
      <c r="E198" s="20">
        <f t="shared" ref="E198:E261" si="36">IFERROR(IF(VLOOKUP(A198,$AN$5:$AO$1301,2,)=0, E197, VLOOKUP(A198,$AN$5:$AO$1301,2,)),E197)</f>
        <v>7.2892000000000001</v>
      </c>
      <c r="F198" s="20">
        <f t="shared" ref="F198:F261" si="37">IFERROR(IF(VLOOKUP(A198,$BG$5:$BH$1301,2,)=0,F197,VLOOKUP(A198,$BG$5:$BH$1301,2,)),F197)</f>
        <v>17.665500000000002</v>
      </c>
      <c r="G198" s="20">
        <f t="shared" ref="G198:G261" si="38">IFERROR(IF(VLOOKUP(A198,$BA$5:$BB$1301,2,)=0,G197,VLOOKUP(A198,$BA$5:$BB$1301,2,)),G197)</f>
        <v>14.4923</v>
      </c>
      <c r="H198" s="1239">
        <f t="shared" ref="H198:H261" si="39">MEDIAN(C198:G198)</f>
        <v>14.4923</v>
      </c>
      <c r="I198" s="1243">
        <f t="shared" si="33"/>
        <v>-0.29530854315740085</v>
      </c>
      <c r="J198" s="1243">
        <f t="shared" ref="J198:J261" si="40">$I$3</f>
        <v>0.12093838824177333</v>
      </c>
      <c r="K198" s="1243">
        <f t="shared" si="31"/>
        <v>0.1</v>
      </c>
      <c r="L198" s="203"/>
      <c r="N198" s="1425">
        <v>44945</v>
      </c>
      <c r="O198" s="1502">
        <v>10.2126</v>
      </c>
      <c r="P198" s="1502">
        <v>2.9422999999999999</v>
      </c>
      <c r="Q198" s="1502">
        <v>10.0816</v>
      </c>
      <c r="R198" s="1233">
        <f>'B. PE'!$U$23</f>
        <v>15.978235616082999</v>
      </c>
      <c r="S198" s="1233"/>
      <c r="T198" s="1233"/>
      <c r="V198" s="1425">
        <v>44945</v>
      </c>
      <c r="W198" s="1">
        <v>15.0541</v>
      </c>
      <c r="X198" s="1">
        <v>1.0623</v>
      </c>
      <c r="Y198" s="1">
        <v>5.8056999999999999</v>
      </c>
      <c r="Z198" s="1">
        <v>0.75066999999999995</v>
      </c>
      <c r="AB198" s="1425">
        <v>44932</v>
      </c>
      <c r="AC198" s="1">
        <v>6.0629</v>
      </c>
      <c r="AD198" s="1502">
        <v>0.91300000000000003</v>
      </c>
      <c r="AE198" s="1">
        <v>4.3452000000000002</v>
      </c>
      <c r="AF198" s="1">
        <v>2.4799999999999999E-2</v>
      </c>
      <c r="AH198" s="1425">
        <v>44932</v>
      </c>
      <c r="AI198" s="1">
        <v>11.526199999999999</v>
      </c>
      <c r="AJ198" s="1">
        <v>2.0760000000000001</v>
      </c>
      <c r="AK198" s="1">
        <v>5.6616</v>
      </c>
      <c r="AL198" s="1">
        <v>3.533E-2</v>
      </c>
      <c r="AN198" s="1425">
        <v>44942</v>
      </c>
      <c r="AO198" s="1">
        <v>7.1687000000000003</v>
      </c>
      <c r="AP198" s="1">
        <v>1.042</v>
      </c>
      <c r="AQ198" s="1">
        <v>4.9775</v>
      </c>
      <c r="AR198" s="1">
        <v>0.27755000000000002</v>
      </c>
      <c r="AT198" s="1425">
        <v>44942</v>
      </c>
      <c r="AU198" s="1">
        <v>11.3147</v>
      </c>
      <c r="AV198" s="1">
        <v>0.95440000000000003</v>
      </c>
      <c r="AW198" s="1">
        <v>7.3662000000000001</v>
      </c>
      <c r="AX198" s="1">
        <v>0.24315000000000001</v>
      </c>
      <c r="BA198" s="1425">
        <v>44942</v>
      </c>
      <c r="BB198" s="1">
        <v>14.238</v>
      </c>
      <c r="BC198" s="1">
        <v>2.7761</v>
      </c>
      <c r="BD198" s="1">
        <v>12.7601</v>
      </c>
      <c r="BE198" s="1">
        <v>0.84523000000000004</v>
      </c>
      <c r="BG198" s="1425">
        <v>44942</v>
      </c>
      <c r="BH198" s="1">
        <v>17.874600000000001</v>
      </c>
      <c r="BI198" s="1">
        <v>3.5354999999999999</v>
      </c>
      <c r="BJ198" s="1">
        <v>20.2102</v>
      </c>
      <c r="BT198" s="1425">
        <v>44945</v>
      </c>
      <c r="BU198" s="1">
        <v>16.102499999999999</v>
      </c>
      <c r="BV198" s="1">
        <v>2.7898999999999998</v>
      </c>
      <c r="BW198" s="1">
        <v>7.0343999999999998</v>
      </c>
      <c r="BX198" s="1">
        <v>1.8369</v>
      </c>
      <c r="BZ198" s="1425">
        <v>44945</v>
      </c>
      <c r="CA198" s="1">
        <v>25.424700000000001</v>
      </c>
      <c r="CB198" s="1">
        <v>4.0999999999999996</v>
      </c>
      <c r="CC198" s="1">
        <v>15.9238</v>
      </c>
      <c r="CD198" s="1">
        <v>2.4488500000000002</v>
      </c>
      <c r="CF198" s="1425">
        <v>44944</v>
      </c>
      <c r="CG198" s="1">
        <v>6.0259999999999998</v>
      </c>
      <c r="CH198" s="1">
        <v>1.3241000000000001</v>
      </c>
      <c r="CL198" s="1425">
        <v>44951</v>
      </c>
      <c r="CM198" s="1">
        <v>24.091799999999999</v>
      </c>
      <c r="CN198" s="1">
        <v>2.7574000000000001</v>
      </c>
      <c r="CO198" s="1">
        <v>11.8729</v>
      </c>
    </row>
    <row r="199" spans="1:93">
      <c r="A199" s="1425">
        <v>44944</v>
      </c>
      <c r="B199" s="20">
        <f t="shared" si="32"/>
        <v>10.058999999999999</v>
      </c>
      <c r="C199" s="20">
        <f t="shared" si="34"/>
        <v>14.6922</v>
      </c>
      <c r="D199" s="20">
        <f t="shared" si="35"/>
        <v>11.3147</v>
      </c>
      <c r="E199" s="20">
        <f t="shared" si="36"/>
        <v>7.1687000000000003</v>
      </c>
      <c r="F199" s="20">
        <f t="shared" si="37"/>
        <v>17.665500000000002</v>
      </c>
      <c r="G199" s="20">
        <f t="shared" si="38"/>
        <v>14.3652</v>
      </c>
      <c r="H199" s="1239">
        <f t="shared" si="39"/>
        <v>14.3652</v>
      </c>
      <c r="I199" s="1243">
        <f t="shared" si="33"/>
        <v>-0.29976610141174509</v>
      </c>
      <c r="J199" s="1243">
        <f t="shared" si="40"/>
        <v>0.12093838824177333</v>
      </c>
      <c r="K199" s="1243">
        <f t="shared" ref="K199:K262" si="41">K198</f>
        <v>0.1</v>
      </c>
      <c r="L199" s="203"/>
      <c r="N199" s="1425">
        <v>44944</v>
      </c>
      <c r="O199" s="1502">
        <v>10.058999999999999</v>
      </c>
      <c r="P199" s="1502">
        <v>2.8980000000000001</v>
      </c>
      <c r="Q199" s="1502">
        <v>9.9512999999999998</v>
      </c>
      <c r="R199" s="1233">
        <f>'B. PE'!$U$23</f>
        <v>15.978235616082999</v>
      </c>
      <c r="S199" s="1233"/>
      <c r="T199" s="1233"/>
      <c r="V199" s="1425">
        <v>44944</v>
      </c>
      <c r="W199" s="1">
        <v>14.6922</v>
      </c>
      <c r="X199" s="1">
        <v>1.0367999999999999</v>
      </c>
      <c r="Y199" s="1">
        <v>5.7088999999999999</v>
      </c>
      <c r="Z199" s="1">
        <v>0.72709999999999997</v>
      </c>
      <c r="AB199" s="1425">
        <v>44931</v>
      </c>
      <c r="AC199" s="1">
        <v>5.8762999999999996</v>
      </c>
      <c r="AD199" s="1502">
        <v>0.88490000000000002</v>
      </c>
      <c r="AE199" s="1">
        <v>4.2657999999999996</v>
      </c>
      <c r="AF199" s="1">
        <v>2.511E-2</v>
      </c>
      <c r="AH199" s="1425">
        <v>44931</v>
      </c>
      <c r="AI199" s="1">
        <v>11.2089</v>
      </c>
      <c r="AJ199" s="1">
        <v>2.0188000000000001</v>
      </c>
      <c r="AK199" s="1">
        <v>5.5012999999999996</v>
      </c>
      <c r="AL199" s="1">
        <v>3.5220000000000001E-2</v>
      </c>
      <c r="AN199" s="1425">
        <v>44939</v>
      </c>
      <c r="AO199" s="1">
        <v>7.2289000000000003</v>
      </c>
      <c r="AP199" s="1">
        <v>1.0508</v>
      </c>
      <c r="AQ199" s="1">
        <v>5.0225999999999997</v>
      </c>
      <c r="AR199" s="1">
        <v>0.27911000000000002</v>
      </c>
      <c r="AT199" s="1425">
        <v>44939</v>
      </c>
      <c r="AU199" s="1">
        <v>11.3147</v>
      </c>
      <c r="AV199" s="1">
        <v>0.95440000000000003</v>
      </c>
      <c r="AW199" s="1">
        <v>7.3659999999999997</v>
      </c>
      <c r="AX199" s="1">
        <v>0.24707999999999999</v>
      </c>
      <c r="BA199" s="1425">
        <v>44939</v>
      </c>
      <c r="BB199" s="1">
        <v>14.238</v>
      </c>
      <c r="BC199" s="1">
        <v>2.7761</v>
      </c>
      <c r="BD199" s="1">
        <v>12.7601</v>
      </c>
      <c r="BE199" s="1">
        <v>0.82193000000000005</v>
      </c>
      <c r="BG199" s="1425">
        <v>44939</v>
      </c>
      <c r="BH199" s="1">
        <v>17.874600000000001</v>
      </c>
      <c r="BI199" s="1">
        <v>3.5354999999999999</v>
      </c>
      <c r="BJ199" s="1">
        <v>20.2102</v>
      </c>
      <c r="BT199" s="1425">
        <v>44944</v>
      </c>
      <c r="BU199" s="1">
        <v>15.872999999999999</v>
      </c>
      <c r="BV199" s="1">
        <v>2.7502</v>
      </c>
      <c r="BW199" s="1">
        <v>6.9363000000000001</v>
      </c>
      <c r="BX199" s="1">
        <v>1.7873000000000001</v>
      </c>
      <c r="BZ199" s="1425">
        <v>44944</v>
      </c>
      <c r="CA199" s="1">
        <v>25.095500000000001</v>
      </c>
      <c r="CB199" s="1">
        <v>4.0469999999999997</v>
      </c>
      <c r="CC199" s="1">
        <v>15.7796</v>
      </c>
      <c r="CD199" s="1">
        <v>2.3739400000000002</v>
      </c>
      <c r="CF199" s="1425">
        <v>44943</v>
      </c>
      <c r="CG199" s="1">
        <v>5.9905999999999997</v>
      </c>
      <c r="CH199" s="1">
        <v>1.3163</v>
      </c>
      <c r="CL199" s="1425">
        <v>44950</v>
      </c>
      <c r="CM199" s="1">
        <v>24.334099999999999</v>
      </c>
      <c r="CN199" s="1">
        <v>2.7852000000000001</v>
      </c>
      <c r="CO199" s="1">
        <v>11.9824</v>
      </c>
    </row>
    <row r="200" spans="1:93">
      <c r="A200" s="1425">
        <v>44943</v>
      </c>
      <c r="B200" s="20">
        <f t="shared" si="32"/>
        <v>9.4088999999999992</v>
      </c>
      <c r="C200" s="20">
        <f t="shared" si="34"/>
        <v>13.751300000000001</v>
      </c>
      <c r="D200" s="20">
        <f t="shared" si="35"/>
        <v>11.420400000000001</v>
      </c>
      <c r="E200" s="20">
        <f t="shared" si="36"/>
        <v>7.2289000000000003</v>
      </c>
      <c r="F200" s="20">
        <f t="shared" si="37"/>
        <v>17.665500000000002</v>
      </c>
      <c r="G200" s="20">
        <f t="shared" si="38"/>
        <v>14.238</v>
      </c>
      <c r="H200" s="1239">
        <f t="shared" si="39"/>
        <v>13.751300000000001</v>
      </c>
      <c r="I200" s="1243">
        <f t="shared" si="33"/>
        <v>-0.31578105342767604</v>
      </c>
      <c r="J200" s="1243">
        <f t="shared" si="40"/>
        <v>0.12093838824177333</v>
      </c>
      <c r="K200" s="1243">
        <f t="shared" si="41"/>
        <v>0.1</v>
      </c>
      <c r="L200" s="203"/>
      <c r="N200" s="1425">
        <v>44943</v>
      </c>
      <c r="O200" s="1502">
        <v>9.4088999999999992</v>
      </c>
      <c r="P200" s="1502">
        <v>2.7107000000000001</v>
      </c>
      <c r="Q200" s="1502">
        <v>9.4001000000000001</v>
      </c>
      <c r="R200" s="1233">
        <f>'B. PE'!$U$23</f>
        <v>15.978235616082999</v>
      </c>
      <c r="S200" s="1233"/>
      <c r="T200" s="1233"/>
      <c r="V200" s="1425">
        <v>44943</v>
      </c>
      <c r="W200" s="1">
        <v>13.751300000000001</v>
      </c>
      <c r="X200" s="1">
        <v>0.97040000000000004</v>
      </c>
      <c r="Y200" s="1">
        <v>5.4573999999999998</v>
      </c>
      <c r="Z200" s="1">
        <v>0.73255000000000003</v>
      </c>
      <c r="AB200" s="1425">
        <v>44930</v>
      </c>
      <c r="AC200" s="1">
        <v>6.0007000000000001</v>
      </c>
      <c r="AD200" s="1502">
        <v>0.90359999999999996</v>
      </c>
      <c r="AE200" s="1">
        <v>4.3186999999999998</v>
      </c>
      <c r="AF200" s="1">
        <v>2.4910000000000002E-2</v>
      </c>
      <c r="AH200" s="1425">
        <v>44930</v>
      </c>
      <c r="AI200" s="1">
        <v>11.6319</v>
      </c>
      <c r="AJ200" s="1">
        <v>2.0950000000000002</v>
      </c>
      <c r="AK200" s="1">
        <v>5.7150999999999996</v>
      </c>
      <c r="AL200" s="1">
        <v>3.5959999999999999E-2</v>
      </c>
      <c r="AN200" s="1425">
        <v>44938</v>
      </c>
      <c r="AO200" s="1">
        <v>7.2892000000000001</v>
      </c>
      <c r="AP200" s="1">
        <v>1.0596000000000001</v>
      </c>
      <c r="AQ200" s="1">
        <v>5.0677000000000003</v>
      </c>
      <c r="AR200" s="1">
        <v>0.27900000000000003</v>
      </c>
      <c r="AT200" s="1425">
        <v>44938</v>
      </c>
      <c r="AU200" s="1">
        <v>11.4224</v>
      </c>
      <c r="AV200" s="1">
        <v>0.96350000000000002</v>
      </c>
      <c r="AW200" s="1">
        <v>7.4322999999999997</v>
      </c>
      <c r="AX200" s="1">
        <v>0.24240999999999999</v>
      </c>
      <c r="BA200" s="1425">
        <v>44938</v>
      </c>
      <c r="BB200" s="1">
        <v>14.238</v>
      </c>
      <c r="BC200" s="1">
        <v>2.7761</v>
      </c>
      <c r="BD200" s="1">
        <v>12.7601</v>
      </c>
      <c r="BE200" s="1">
        <v>0.85136000000000001</v>
      </c>
      <c r="BG200" s="1425">
        <v>44938</v>
      </c>
      <c r="BH200" s="1">
        <v>17.979099999999999</v>
      </c>
      <c r="BI200" s="1">
        <v>3.5562</v>
      </c>
      <c r="BJ200" s="1">
        <v>20.296800000000001</v>
      </c>
      <c r="BT200" s="1425">
        <v>44943</v>
      </c>
      <c r="BU200" s="1">
        <v>15.202</v>
      </c>
      <c r="BV200" s="1">
        <v>2.6339000000000001</v>
      </c>
      <c r="BW200" s="1">
        <v>6.6494999999999997</v>
      </c>
      <c r="BX200" s="1">
        <v>1.7939000000000001</v>
      </c>
      <c r="BZ200" s="1425">
        <v>44943</v>
      </c>
      <c r="CA200" s="1">
        <v>24.144400000000001</v>
      </c>
      <c r="CB200" s="1">
        <v>3.8936000000000002</v>
      </c>
      <c r="CC200" s="1">
        <v>15.363</v>
      </c>
      <c r="CD200" s="1">
        <v>2.4297800000000001</v>
      </c>
      <c r="CF200" s="1425">
        <v>44942</v>
      </c>
      <c r="CG200" s="1">
        <v>5.9905999999999997</v>
      </c>
      <c r="CH200" s="1">
        <v>1.3163</v>
      </c>
      <c r="CL200" s="1425">
        <v>44949</v>
      </c>
      <c r="CM200" s="1">
        <v>24.495699999999999</v>
      </c>
      <c r="CN200" s="1">
        <v>2.8037000000000001</v>
      </c>
      <c r="CO200" s="1">
        <v>12.055300000000001</v>
      </c>
    </row>
    <row r="201" spans="1:93">
      <c r="A201" s="1425">
        <v>44942</v>
      </c>
      <c r="B201" s="20">
        <f t="shared" si="32"/>
        <v>9.1724999999999994</v>
      </c>
      <c r="C201" s="20">
        <f t="shared" si="34"/>
        <v>13.323700000000001</v>
      </c>
      <c r="D201" s="20">
        <f t="shared" si="35"/>
        <v>11.526199999999999</v>
      </c>
      <c r="E201" s="20">
        <f t="shared" si="36"/>
        <v>7.1687000000000003</v>
      </c>
      <c r="F201" s="20">
        <f t="shared" si="37"/>
        <v>17.874600000000001</v>
      </c>
      <c r="G201" s="20">
        <f t="shared" si="38"/>
        <v>14.238</v>
      </c>
      <c r="H201" s="1239">
        <f t="shared" si="39"/>
        <v>13.323700000000001</v>
      </c>
      <c r="I201" s="1243">
        <f t="shared" si="33"/>
        <v>-0.31156510578893259</v>
      </c>
      <c r="J201" s="1243">
        <f t="shared" si="40"/>
        <v>0.12093838824177333</v>
      </c>
      <c r="K201" s="1243">
        <f t="shared" si="41"/>
        <v>0.1</v>
      </c>
      <c r="L201" s="203"/>
      <c r="N201" s="1425">
        <v>44942</v>
      </c>
      <c r="O201" s="1502">
        <v>9.1724999999999994</v>
      </c>
      <c r="P201" s="1502">
        <v>2.6425999999999998</v>
      </c>
      <c r="Q201" s="1502">
        <v>9.1996000000000002</v>
      </c>
      <c r="R201" s="1233">
        <f>'B. PE'!$U$23</f>
        <v>15.978235616082999</v>
      </c>
      <c r="S201" s="1233"/>
      <c r="T201" s="1233"/>
      <c r="V201" s="1425">
        <v>44942</v>
      </c>
      <c r="W201" s="1">
        <v>13.323700000000001</v>
      </c>
      <c r="X201" s="1">
        <v>0.94020000000000004</v>
      </c>
      <c r="Y201" s="1">
        <v>5.3430999999999997</v>
      </c>
      <c r="Z201" s="1">
        <v>0.74326000000000003</v>
      </c>
      <c r="AB201" s="1425">
        <v>44929</v>
      </c>
      <c r="AC201" s="1">
        <v>6.0940000000000003</v>
      </c>
      <c r="AD201" s="1502">
        <v>0.91759999999999997</v>
      </c>
      <c r="AE201" s="1">
        <v>4.3585000000000003</v>
      </c>
      <c r="AF201" s="1">
        <v>2.528E-2</v>
      </c>
      <c r="AH201" s="1425">
        <v>44929</v>
      </c>
      <c r="AI201" s="1">
        <v>11.6319</v>
      </c>
      <c r="AJ201" s="1">
        <v>2.0950000000000002</v>
      </c>
      <c r="AK201" s="1">
        <v>5.7150999999999996</v>
      </c>
      <c r="AL201" s="1">
        <v>3.7400000000000003E-2</v>
      </c>
      <c r="AN201" s="1425">
        <v>44937</v>
      </c>
      <c r="AO201" s="1">
        <v>7.3494000000000002</v>
      </c>
      <c r="AP201" s="1">
        <v>1.0683</v>
      </c>
      <c r="AQ201" s="1">
        <v>5.1128</v>
      </c>
      <c r="AR201" s="1">
        <v>0.27890999999999999</v>
      </c>
      <c r="AT201" s="1425">
        <v>44937</v>
      </c>
      <c r="AU201" s="1">
        <v>11.6379</v>
      </c>
      <c r="AV201" s="1">
        <v>0.98170000000000002</v>
      </c>
      <c r="AW201" s="1">
        <v>7.5648999999999997</v>
      </c>
      <c r="AX201" s="1">
        <v>0.24234</v>
      </c>
      <c r="BA201" s="1425">
        <v>44937</v>
      </c>
      <c r="BB201" s="1">
        <v>13.9838</v>
      </c>
      <c r="BC201" s="1">
        <v>2.7265000000000001</v>
      </c>
      <c r="BD201" s="1">
        <v>12.594900000000001</v>
      </c>
      <c r="BE201" s="1">
        <v>0.84448999999999996</v>
      </c>
      <c r="BG201" s="1425">
        <v>44937</v>
      </c>
      <c r="BH201" s="1">
        <v>17.874600000000001</v>
      </c>
      <c r="BI201" s="1">
        <v>3.5354999999999999</v>
      </c>
      <c r="BJ201" s="1">
        <v>20.2102</v>
      </c>
      <c r="BT201" s="1425">
        <v>44942</v>
      </c>
      <c r="BU201" s="1">
        <v>14.7959</v>
      </c>
      <c r="BV201" s="1">
        <v>2.5636000000000001</v>
      </c>
      <c r="BW201" s="1">
        <v>6.4759000000000002</v>
      </c>
      <c r="BX201" s="1">
        <v>1.7958000000000001</v>
      </c>
      <c r="BZ201" s="1425">
        <v>44942</v>
      </c>
      <c r="CA201" s="1">
        <v>23.412700000000001</v>
      </c>
      <c r="CB201" s="1">
        <v>3.7755999999999998</v>
      </c>
      <c r="CC201" s="1">
        <v>15.0425</v>
      </c>
      <c r="CD201" s="1">
        <v>2.4481199999999999</v>
      </c>
      <c r="CF201" s="1425">
        <v>44939</v>
      </c>
      <c r="CG201" s="1">
        <v>6.0259999999999998</v>
      </c>
      <c r="CH201" s="1">
        <v>1.3241000000000001</v>
      </c>
      <c r="CL201" s="1425">
        <v>44946</v>
      </c>
      <c r="CM201" s="1">
        <v>24.350300000000001</v>
      </c>
      <c r="CN201" s="1">
        <v>2.7869999999999999</v>
      </c>
      <c r="CO201" s="1">
        <v>11.989699999999999</v>
      </c>
    </row>
    <row r="202" spans="1:93">
      <c r="A202" s="1425">
        <v>44939</v>
      </c>
      <c r="B202" s="20">
        <f t="shared" si="32"/>
        <v>9.3615999999999993</v>
      </c>
      <c r="C202" s="20">
        <f t="shared" si="34"/>
        <v>13.4224</v>
      </c>
      <c r="D202" s="20">
        <f t="shared" si="35"/>
        <v>11.526199999999999</v>
      </c>
      <c r="E202" s="20">
        <f t="shared" si="36"/>
        <v>7.2289000000000003</v>
      </c>
      <c r="F202" s="20">
        <f t="shared" si="37"/>
        <v>17.874600000000001</v>
      </c>
      <c r="G202" s="20">
        <f t="shared" si="38"/>
        <v>14.238</v>
      </c>
      <c r="H202" s="1239">
        <f t="shared" si="39"/>
        <v>13.4224</v>
      </c>
      <c r="I202" s="1243">
        <f t="shared" si="33"/>
        <v>-0.30253903921802361</v>
      </c>
      <c r="J202" s="1243">
        <f t="shared" si="40"/>
        <v>0.12093838824177333</v>
      </c>
      <c r="K202" s="1243">
        <f t="shared" si="41"/>
        <v>0.1</v>
      </c>
      <c r="L202" s="203"/>
      <c r="N202" s="1425">
        <v>44939</v>
      </c>
      <c r="O202" s="1502">
        <v>9.3615999999999993</v>
      </c>
      <c r="P202" s="1502">
        <v>2.6970999999999998</v>
      </c>
      <c r="Q202" s="1502">
        <v>9.36</v>
      </c>
      <c r="R202" s="1233">
        <f>'B. PE'!$U$23</f>
        <v>15.978235616082999</v>
      </c>
      <c r="S202" s="1233"/>
      <c r="T202" s="1233"/>
      <c r="V202" s="1425">
        <v>44939</v>
      </c>
      <c r="W202" s="1">
        <v>13.4224</v>
      </c>
      <c r="X202" s="1">
        <v>0.94720000000000004</v>
      </c>
      <c r="Y202" s="1">
        <v>5.3693999999999997</v>
      </c>
      <c r="Z202" s="1">
        <v>0.73233000000000004</v>
      </c>
      <c r="AB202" s="1425">
        <v>44928</v>
      </c>
      <c r="AC202" s="1">
        <v>6.0317999999999996</v>
      </c>
      <c r="AD202" s="1502">
        <v>0.9083</v>
      </c>
      <c r="AE202" s="1">
        <v>4.3319999999999999</v>
      </c>
      <c r="AF202" s="1">
        <v>2.4299999999999999E-2</v>
      </c>
      <c r="AH202" s="1425">
        <v>44928</v>
      </c>
      <c r="AI202" s="1">
        <v>11.843400000000001</v>
      </c>
      <c r="AJ202" s="1">
        <v>2.1331000000000002</v>
      </c>
      <c r="AK202" s="1">
        <v>5.8220000000000001</v>
      </c>
      <c r="AL202" s="1">
        <v>3.5499999999999997E-2</v>
      </c>
      <c r="AN202" s="1425">
        <v>44936</v>
      </c>
      <c r="AO202" s="1">
        <v>7.3494000000000002</v>
      </c>
      <c r="AP202" s="1">
        <v>1.0683</v>
      </c>
      <c r="AQ202" s="1">
        <v>5.1128</v>
      </c>
      <c r="AR202" s="1">
        <v>0.27483000000000002</v>
      </c>
      <c r="AT202" s="1425">
        <v>44936</v>
      </c>
      <c r="AU202" s="1">
        <v>11.4224</v>
      </c>
      <c r="AV202" s="1">
        <v>0.96350000000000002</v>
      </c>
      <c r="AW202" s="1">
        <v>7.4322999999999997</v>
      </c>
      <c r="AX202" s="1">
        <v>0.24303</v>
      </c>
      <c r="BA202" s="1425">
        <v>44936</v>
      </c>
      <c r="BB202" s="1">
        <v>14.4923</v>
      </c>
      <c r="BC202" s="1">
        <v>2.8256999999999999</v>
      </c>
      <c r="BD202" s="1">
        <v>12.9253</v>
      </c>
      <c r="BE202" s="1">
        <v>0.83892999999999995</v>
      </c>
      <c r="BG202" s="1425">
        <v>44936</v>
      </c>
      <c r="BH202" s="1">
        <v>17.77</v>
      </c>
      <c r="BI202" s="1">
        <v>3.5148999999999999</v>
      </c>
      <c r="BJ202" s="1">
        <v>20.1235</v>
      </c>
      <c r="BT202" s="1425">
        <v>44939</v>
      </c>
      <c r="BU202" s="1">
        <v>14.8489</v>
      </c>
      <c r="BV202" s="1">
        <v>2.5727000000000002</v>
      </c>
      <c r="BW202" s="1">
        <v>6.4985999999999997</v>
      </c>
      <c r="BX202" s="1">
        <v>1.8147</v>
      </c>
      <c r="BZ202" s="1425">
        <v>44939</v>
      </c>
      <c r="CA202" s="1">
        <v>23.961400000000001</v>
      </c>
      <c r="CB202" s="1">
        <v>3.8641000000000001</v>
      </c>
      <c r="CC202" s="1">
        <v>15.2829</v>
      </c>
      <c r="CD202" s="1">
        <v>2.4550200000000002</v>
      </c>
      <c r="CF202" s="1425">
        <v>44938</v>
      </c>
      <c r="CG202" s="1">
        <v>5.9196999999999997</v>
      </c>
      <c r="CH202" s="1">
        <v>1.3007</v>
      </c>
      <c r="CL202" s="1425">
        <v>44945</v>
      </c>
      <c r="CM202" s="1">
        <v>24.285699999999999</v>
      </c>
      <c r="CN202" s="1">
        <v>2.7795999999999998</v>
      </c>
      <c r="CO202" s="1">
        <v>11.9605</v>
      </c>
    </row>
    <row r="203" spans="1:93">
      <c r="A203" s="1425">
        <v>44938</v>
      </c>
      <c r="B203" s="20">
        <f t="shared" si="32"/>
        <v>9.3615999999999993</v>
      </c>
      <c r="C203" s="20">
        <f t="shared" si="34"/>
        <v>13.6197</v>
      </c>
      <c r="D203" s="20">
        <f t="shared" si="35"/>
        <v>11.420400000000001</v>
      </c>
      <c r="E203" s="20">
        <f t="shared" si="36"/>
        <v>7.2892000000000001</v>
      </c>
      <c r="F203" s="20">
        <f t="shared" si="37"/>
        <v>17.979099999999999</v>
      </c>
      <c r="G203" s="20">
        <f t="shared" si="38"/>
        <v>14.238</v>
      </c>
      <c r="H203" s="1239">
        <f t="shared" si="39"/>
        <v>13.6197</v>
      </c>
      <c r="I203" s="1243">
        <f t="shared" si="33"/>
        <v>-0.31264271606569904</v>
      </c>
      <c r="J203" s="1243">
        <f t="shared" si="40"/>
        <v>0.12093838824177333</v>
      </c>
      <c r="K203" s="1243">
        <f t="shared" si="41"/>
        <v>0.1</v>
      </c>
      <c r="L203" s="203"/>
      <c r="N203" s="1425">
        <v>44938</v>
      </c>
      <c r="O203" s="1502">
        <v>9.3615999999999993</v>
      </c>
      <c r="P203" s="1502">
        <v>2.6970999999999998</v>
      </c>
      <c r="Q203" s="1502">
        <v>9.36</v>
      </c>
      <c r="R203" s="1233">
        <f>'B. PE'!$U$23</f>
        <v>15.978235616082999</v>
      </c>
      <c r="S203" s="1233"/>
      <c r="T203" s="1233"/>
      <c r="V203" s="1425">
        <v>44938</v>
      </c>
      <c r="W203" s="1">
        <v>13.6197</v>
      </c>
      <c r="X203" s="1">
        <v>0.96109999999999995</v>
      </c>
      <c r="Y203" s="1">
        <v>5.4222000000000001</v>
      </c>
      <c r="Z203" s="1">
        <v>0.70352000000000003</v>
      </c>
      <c r="AB203" s="1425">
        <v>44925</v>
      </c>
      <c r="AC203" s="1">
        <v>6.0940000000000003</v>
      </c>
      <c r="AD203" s="1502">
        <v>0.91759999999999997</v>
      </c>
      <c r="AE203" s="1">
        <v>4.3585000000000003</v>
      </c>
      <c r="AF203" s="1">
        <v>2.4199999999999999E-2</v>
      </c>
      <c r="AH203" s="1425">
        <v>44925</v>
      </c>
      <c r="AI203" s="1">
        <v>12.266400000000001</v>
      </c>
      <c r="AJ203" s="1">
        <v>2.2092999999999998</v>
      </c>
      <c r="AK203" s="1">
        <v>6.0358000000000001</v>
      </c>
      <c r="AL203" s="1">
        <v>3.5159999999999997E-2</v>
      </c>
      <c r="AN203" s="1425">
        <v>44935</v>
      </c>
      <c r="AO203" s="1">
        <v>7.3494000000000002</v>
      </c>
      <c r="AP203" s="1">
        <v>1.0683</v>
      </c>
      <c r="AQ203" s="1">
        <v>5.1128</v>
      </c>
      <c r="AR203" s="1">
        <v>0.27342</v>
      </c>
      <c r="AT203" s="1425">
        <v>44935</v>
      </c>
      <c r="AU203" s="1">
        <v>11.4224</v>
      </c>
      <c r="AV203" s="1">
        <v>0.96350000000000002</v>
      </c>
      <c r="AW203" s="1">
        <v>7.4322999999999997</v>
      </c>
      <c r="AX203" s="1">
        <v>0.24834999999999999</v>
      </c>
      <c r="BA203" s="1425">
        <v>44935</v>
      </c>
      <c r="BB203" s="1">
        <v>14.3652</v>
      </c>
      <c r="BC203" s="1">
        <v>2.8008999999999999</v>
      </c>
      <c r="BD203" s="1">
        <v>12.842700000000001</v>
      </c>
      <c r="BE203" s="1">
        <v>0.80742000000000003</v>
      </c>
      <c r="BG203" s="1425">
        <v>44935</v>
      </c>
      <c r="BH203" s="1">
        <v>17.979099999999999</v>
      </c>
      <c r="BI203" s="1">
        <v>3.5562</v>
      </c>
      <c r="BJ203" s="1">
        <v>20.296800000000001</v>
      </c>
      <c r="BT203" s="1425">
        <v>44938</v>
      </c>
      <c r="BU203" s="1">
        <v>14.8666</v>
      </c>
      <c r="BV203" s="1">
        <v>2.5758000000000001</v>
      </c>
      <c r="BW203" s="1">
        <v>6.5061</v>
      </c>
      <c r="BX203" s="1">
        <v>1.7995000000000001</v>
      </c>
      <c r="BZ203" s="1425">
        <v>44938</v>
      </c>
      <c r="CA203" s="1">
        <v>24.144400000000001</v>
      </c>
      <c r="CB203" s="1">
        <v>3.8936000000000002</v>
      </c>
      <c r="CC203" s="1">
        <v>15.363</v>
      </c>
      <c r="CD203" s="1">
        <v>2.4917799999999999</v>
      </c>
      <c r="CF203" s="1425">
        <v>44937</v>
      </c>
      <c r="CG203" s="1">
        <v>6.1677999999999997</v>
      </c>
      <c r="CH203" s="1">
        <v>1.3552</v>
      </c>
      <c r="CL203" s="1425">
        <v>44944</v>
      </c>
      <c r="CM203" s="1">
        <v>24.527999999999999</v>
      </c>
      <c r="CN203" s="1">
        <v>2.8073999999999999</v>
      </c>
      <c r="CO203" s="1">
        <v>12.069900000000001</v>
      </c>
    </row>
    <row r="204" spans="1:93">
      <c r="A204" s="1425">
        <v>44937</v>
      </c>
      <c r="B204" s="20">
        <f t="shared" si="32"/>
        <v>9.3615999999999993</v>
      </c>
      <c r="C204" s="20">
        <f t="shared" si="34"/>
        <v>13.4224</v>
      </c>
      <c r="D204" s="20">
        <f t="shared" si="35"/>
        <v>11.3147</v>
      </c>
      <c r="E204" s="20">
        <f t="shared" si="36"/>
        <v>7.3494000000000002</v>
      </c>
      <c r="F204" s="20">
        <f t="shared" si="37"/>
        <v>17.874600000000001</v>
      </c>
      <c r="G204" s="20">
        <f t="shared" si="38"/>
        <v>13.9838</v>
      </c>
      <c r="H204" s="1239">
        <f t="shared" si="39"/>
        <v>13.4224</v>
      </c>
      <c r="I204" s="1243">
        <f t="shared" si="33"/>
        <v>-0.30253903921802361</v>
      </c>
      <c r="J204" s="1243">
        <f t="shared" si="40"/>
        <v>0.12093838824177333</v>
      </c>
      <c r="K204" s="1243">
        <f t="shared" si="41"/>
        <v>0.1</v>
      </c>
      <c r="L204" s="203"/>
      <c r="N204" s="1425">
        <v>44937</v>
      </c>
      <c r="O204" s="1502">
        <v>9.3615999999999993</v>
      </c>
      <c r="P204" s="1502">
        <v>2.6970999999999998</v>
      </c>
      <c r="Q204" s="1502">
        <v>9.36</v>
      </c>
      <c r="R204" s="1233">
        <f>'B. PE'!$U$23</f>
        <v>15.978235616082999</v>
      </c>
      <c r="S204" s="1233"/>
      <c r="T204" s="1233"/>
      <c r="V204" s="1425">
        <v>44937</v>
      </c>
      <c r="W204" s="1">
        <v>13.4224</v>
      </c>
      <c r="X204" s="1">
        <v>0.94720000000000004</v>
      </c>
      <c r="Y204" s="1">
        <v>5.3693999999999997</v>
      </c>
      <c r="Z204" s="1">
        <v>0.70867000000000002</v>
      </c>
      <c r="AB204" s="1425">
        <v>44924</v>
      </c>
      <c r="AC204" s="1">
        <v>6.1581000000000001</v>
      </c>
      <c r="AD204" s="1502">
        <v>0.9395</v>
      </c>
      <c r="AE204" s="1">
        <v>4.6477000000000004</v>
      </c>
      <c r="AF204" s="1">
        <v>2.4920000000000001E-2</v>
      </c>
      <c r="AH204" s="1425">
        <v>44924</v>
      </c>
      <c r="AI204" s="1">
        <v>12.883599999999999</v>
      </c>
      <c r="AJ204" s="1">
        <v>2.2669999999999999</v>
      </c>
      <c r="AK204" s="1">
        <v>6.5566000000000004</v>
      </c>
      <c r="AL204" s="1">
        <v>3.5779999999999999E-2</v>
      </c>
      <c r="AN204" s="1425">
        <v>44932</v>
      </c>
      <c r="AO204" s="1">
        <v>7.2892000000000001</v>
      </c>
      <c r="AP204" s="1">
        <v>1.0596000000000001</v>
      </c>
      <c r="AQ204" s="1">
        <v>5.0677000000000003</v>
      </c>
      <c r="AR204" s="1">
        <v>0.27051999999999998</v>
      </c>
      <c r="AT204" s="1425">
        <v>44932</v>
      </c>
      <c r="AU204" s="1">
        <v>11.530200000000001</v>
      </c>
      <c r="AV204" s="1">
        <v>0.97260000000000002</v>
      </c>
      <c r="AW204" s="1">
        <v>7.4985999999999997</v>
      </c>
      <c r="AX204" s="1">
        <v>0.23869000000000001</v>
      </c>
      <c r="BA204" s="1425">
        <v>44932</v>
      </c>
      <c r="BB204" s="1">
        <v>14.3652</v>
      </c>
      <c r="BC204" s="1">
        <v>2.8008999999999999</v>
      </c>
      <c r="BD204" s="1">
        <v>12.842700000000001</v>
      </c>
      <c r="BE204" s="1">
        <v>0.76626000000000005</v>
      </c>
      <c r="BG204" s="1425">
        <v>44932</v>
      </c>
      <c r="BH204" s="1">
        <v>17.77</v>
      </c>
      <c r="BI204" s="1">
        <v>3.5148999999999999</v>
      </c>
      <c r="BJ204" s="1">
        <v>20.1235</v>
      </c>
      <c r="BT204" s="1425">
        <v>44937</v>
      </c>
      <c r="BU204" s="1">
        <v>15.025499999999999</v>
      </c>
      <c r="BV204" s="1">
        <v>2.6032999999999999</v>
      </c>
      <c r="BW204" s="1">
        <v>6.5739999999999998</v>
      </c>
      <c r="BX204" s="1">
        <v>1.7904</v>
      </c>
      <c r="BZ204" s="1425">
        <v>44937</v>
      </c>
      <c r="CA204" s="1">
        <v>24.217500000000001</v>
      </c>
      <c r="CB204" s="1">
        <v>3.9054000000000002</v>
      </c>
      <c r="CC204" s="1">
        <v>15.395</v>
      </c>
      <c r="CD204" s="1">
        <v>2.4835199999999999</v>
      </c>
      <c r="CF204" s="1425">
        <v>44936</v>
      </c>
      <c r="CG204" s="1">
        <v>6.1677999999999997</v>
      </c>
      <c r="CH204" s="1">
        <v>1.3552</v>
      </c>
      <c r="CL204" s="1425">
        <v>44943</v>
      </c>
      <c r="CM204" s="1">
        <v>23.8171</v>
      </c>
      <c r="CN204" s="1">
        <v>2.726</v>
      </c>
      <c r="CO204" s="1">
        <v>11.748900000000001</v>
      </c>
    </row>
    <row r="205" spans="1:93">
      <c r="A205" s="1425">
        <v>44936</v>
      </c>
      <c r="B205" s="20">
        <f t="shared" si="32"/>
        <v>9.3970000000000002</v>
      </c>
      <c r="C205" s="20">
        <f t="shared" si="34"/>
        <v>12.896000000000001</v>
      </c>
      <c r="D205" s="20">
        <f t="shared" si="35"/>
        <v>11.2089</v>
      </c>
      <c r="E205" s="20">
        <f t="shared" si="36"/>
        <v>7.3494000000000002</v>
      </c>
      <c r="F205" s="20">
        <f t="shared" si="37"/>
        <v>17.77</v>
      </c>
      <c r="G205" s="20">
        <f t="shared" si="38"/>
        <v>14.4923</v>
      </c>
      <c r="H205" s="1239">
        <f t="shared" si="39"/>
        <v>12.896000000000001</v>
      </c>
      <c r="I205" s="1243">
        <f t="shared" si="33"/>
        <v>-0.27132444168734493</v>
      </c>
      <c r="J205" s="1243">
        <f t="shared" si="40"/>
        <v>0.12093838824177333</v>
      </c>
      <c r="K205" s="1243">
        <f t="shared" si="41"/>
        <v>0.1</v>
      </c>
      <c r="L205" s="203"/>
      <c r="N205" s="1425">
        <v>44936</v>
      </c>
      <c r="O205" s="1502">
        <v>9.3970000000000002</v>
      </c>
      <c r="P205" s="1502">
        <v>2.7073</v>
      </c>
      <c r="Q205" s="1502">
        <v>9.3901000000000003</v>
      </c>
      <c r="R205" s="1233">
        <f>'B. PE'!$U$23</f>
        <v>15.978235616082999</v>
      </c>
      <c r="S205" s="1233"/>
      <c r="T205" s="1233"/>
      <c r="V205" s="1425">
        <v>44936</v>
      </c>
      <c r="W205" s="1">
        <v>12.896000000000001</v>
      </c>
      <c r="X205" s="1">
        <v>0.91</v>
      </c>
      <c r="Y205" s="1">
        <v>5.2286999999999999</v>
      </c>
      <c r="Z205" s="1">
        <v>0.71365000000000001</v>
      </c>
      <c r="AB205" s="1425">
        <v>44923</v>
      </c>
      <c r="AC205" s="1">
        <v>6.1905999999999999</v>
      </c>
      <c r="AD205" s="1502">
        <v>0.94440000000000002</v>
      </c>
      <c r="AE205" s="1">
        <v>4.6619999999999999</v>
      </c>
      <c r="AF205" s="1">
        <v>2.52E-2</v>
      </c>
      <c r="AH205" s="1425">
        <v>44923</v>
      </c>
      <c r="AI205" s="1">
        <v>12.883599999999999</v>
      </c>
      <c r="AJ205" s="1">
        <v>2.2669999999999999</v>
      </c>
      <c r="AK205" s="1">
        <v>6.5566000000000004</v>
      </c>
      <c r="AL205" s="1">
        <v>3.6139999999999999E-2</v>
      </c>
      <c r="AN205" s="1425">
        <v>44931</v>
      </c>
      <c r="AO205" s="1">
        <v>7.2289000000000003</v>
      </c>
      <c r="AP205" s="1">
        <v>1.0508</v>
      </c>
      <c r="AQ205" s="1">
        <v>5.0225999999999997</v>
      </c>
      <c r="AR205" s="1">
        <v>0.26788000000000001</v>
      </c>
      <c r="AT205" s="1425">
        <v>44931</v>
      </c>
      <c r="AU205" s="1">
        <v>11.745699999999999</v>
      </c>
      <c r="AV205" s="1">
        <v>0.99080000000000001</v>
      </c>
      <c r="AW205" s="1">
        <v>7.6311999999999998</v>
      </c>
      <c r="AX205" s="1">
        <v>0.24518000000000001</v>
      </c>
      <c r="BA205" s="1425">
        <v>44931</v>
      </c>
      <c r="BB205" s="1">
        <v>13.9838</v>
      </c>
      <c r="BC205" s="1">
        <v>2.7265000000000001</v>
      </c>
      <c r="BD205" s="1">
        <v>12.594900000000001</v>
      </c>
      <c r="BE205" s="1">
        <v>0.77836000000000005</v>
      </c>
      <c r="BG205" s="1425">
        <v>44931</v>
      </c>
      <c r="BH205" s="1">
        <v>17.247399999999999</v>
      </c>
      <c r="BI205" s="1">
        <v>3.4115000000000002</v>
      </c>
      <c r="BJ205" s="1">
        <v>19.690100000000001</v>
      </c>
      <c r="BT205" s="1425">
        <v>44936</v>
      </c>
      <c r="BU205" s="1">
        <v>14.901899999999999</v>
      </c>
      <c r="BV205" s="1">
        <v>2.5819000000000001</v>
      </c>
      <c r="BW205" s="1">
        <v>6.5212000000000003</v>
      </c>
      <c r="BX205" s="1">
        <v>1.8384</v>
      </c>
      <c r="BZ205" s="1425">
        <v>44936</v>
      </c>
      <c r="CA205" s="1">
        <v>24.583300000000001</v>
      </c>
      <c r="CB205" s="1">
        <v>3.9643999999999999</v>
      </c>
      <c r="CC205" s="1">
        <v>15.555300000000001</v>
      </c>
      <c r="CD205" s="1">
        <v>2.5562399999999998</v>
      </c>
      <c r="CF205" s="1425">
        <v>44935</v>
      </c>
      <c r="CG205" s="1">
        <v>6.1677999999999997</v>
      </c>
      <c r="CH205" s="1">
        <v>1.3552</v>
      </c>
      <c r="CL205" s="1425">
        <v>44942</v>
      </c>
      <c r="CM205" s="1">
        <v>23.7363</v>
      </c>
      <c r="CN205" s="1">
        <v>2.7168000000000001</v>
      </c>
      <c r="CO205" s="1">
        <v>11.712400000000001</v>
      </c>
    </row>
    <row r="206" spans="1:93">
      <c r="A206" s="1425">
        <v>44935</v>
      </c>
      <c r="B206" s="20">
        <f t="shared" si="32"/>
        <v>9.1251999999999995</v>
      </c>
      <c r="C206" s="20">
        <f t="shared" si="34"/>
        <v>12.9947</v>
      </c>
      <c r="D206" s="20">
        <f t="shared" si="35"/>
        <v>11.420400000000001</v>
      </c>
      <c r="E206" s="20">
        <f t="shared" si="36"/>
        <v>7.3494000000000002</v>
      </c>
      <c r="F206" s="20">
        <f t="shared" si="37"/>
        <v>17.979099999999999</v>
      </c>
      <c r="G206" s="20">
        <f t="shared" si="38"/>
        <v>14.3652</v>
      </c>
      <c r="H206" s="1239">
        <f t="shared" si="39"/>
        <v>12.9947</v>
      </c>
      <c r="I206" s="1243">
        <f t="shared" si="33"/>
        <v>-0.29777524683140055</v>
      </c>
      <c r="J206" s="1243">
        <f t="shared" si="40"/>
        <v>0.12093838824177333</v>
      </c>
      <c r="K206" s="1243">
        <f t="shared" si="41"/>
        <v>0.1</v>
      </c>
      <c r="L206" s="203"/>
      <c r="N206" s="1425">
        <v>44935</v>
      </c>
      <c r="O206" s="1502">
        <v>9.1251999999999995</v>
      </c>
      <c r="P206" s="1502">
        <v>2.629</v>
      </c>
      <c r="Q206" s="1502">
        <v>9.1594999999999995</v>
      </c>
      <c r="R206" s="1233">
        <f>'B. PE'!$U$23</f>
        <v>15.978235616082999</v>
      </c>
      <c r="S206" s="1233"/>
      <c r="T206" s="1233"/>
      <c r="V206" s="1425">
        <v>44935</v>
      </c>
      <c r="W206" s="1">
        <v>12.9947</v>
      </c>
      <c r="X206" s="1">
        <v>0.91700000000000004</v>
      </c>
      <c r="Y206" s="1">
        <v>5.2550999999999997</v>
      </c>
      <c r="Z206" s="1">
        <v>0.70540000000000003</v>
      </c>
      <c r="AB206" s="1425">
        <v>44922</v>
      </c>
      <c r="AC206" s="1">
        <v>6.3201999999999998</v>
      </c>
      <c r="AD206" s="1502">
        <v>0.96419999999999995</v>
      </c>
      <c r="AE206" s="1">
        <v>4.7195</v>
      </c>
      <c r="AF206" s="1">
        <v>2.4889999999999999E-2</v>
      </c>
      <c r="AH206" s="1425">
        <v>44922</v>
      </c>
      <c r="AI206" s="1">
        <v>12.999700000000001</v>
      </c>
      <c r="AJ206" s="1">
        <v>2.2873999999999999</v>
      </c>
      <c r="AK206" s="1">
        <v>6.6157000000000004</v>
      </c>
      <c r="AL206" s="1">
        <v>3.7199999999999997E-2</v>
      </c>
      <c r="AN206" s="1425">
        <v>44930</v>
      </c>
      <c r="AO206" s="1">
        <v>7.1687000000000003</v>
      </c>
      <c r="AP206" s="1">
        <v>1.042</v>
      </c>
      <c r="AQ206" s="1">
        <v>4.9775</v>
      </c>
      <c r="AR206" s="1">
        <v>0.26562999999999998</v>
      </c>
      <c r="AT206" s="1425">
        <v>44930</v>
      </c>
      <c r="AU206" s="1">
        <v>11.3147</v>
      </c>
      <c r="AV206" s="1">
        <v>0.95440000000000003</v>
      </c>
      <c r="AW206" s="1">
        <v>7.3659999999999997</v>
      </c>
      <c r="AX206" s="1">
        <v>0.24973999999999999</v>
      </c>
      <c r="BA206" s="1425">
        <v>44930</v>
      </c>
      <c r="BB206" s="1">
        <v>13.221</v>
      </c>
      <c r="BC206" s="1">
        <v>2.5777999999999999</v>
      </c>
      <c r="BD206" s="1">
        <v>12.099299999999999</v>
      </c>
      <c r="BE206" s="1">
        <v>0.75026999999999999</v>
      </c>
      <c r="BG206" s="1425">
        <v>44930</v>
      </c>
      <c r="BH206" s="1">
        <v>17.142900000000001</v>
      </c>
      <c r="BI206" s="1">
        <v>3.3908</v>
      </c>
      <c r="BJ206" s="1">
        <v>19.603400000000001</v>
      </c>
      <c r="BT206" s="1425">
        <v>44935</v>
      </c>
      <c r="BU206" s="1">
        <v>14.831200000000001</v>
      </c>
      <c r="BV206" s="1">
        <v>2.5697000000000001</v>
      </c>
      <c r="BW206" s="1">
        <v>6.4909999999999997</v>
      </c>
      <c r="BX206" s="1">
        <v>1.8547</v>
      </c>
      <c r="BZ206" s="1425">
        <v>44935</v>
      </c>
      <c r="CA206" s="1">
        <v>24.510200000000001</v>
      </c>
      <c r="CB206" s="1">
        <v>3.9525999999999999</v>
      </c>
      <c r="CC206" s="1">
        <v>15.523199999999999</v>
      </c>
      <c r="CD206" s="1">
        <v>2.58561</v>
      </c>
      <c r="CF206" s="1425">
        <v>44932</v>
      </c>
      <c r="CG206" s="1">
        <v>6.0614999999999997</v>
      </c>
      <c r="CH206" s="1">
        <v>1.3319000000000001</v>
      </c>
      <c r="CL206" s="1425">
        <v>44939</v>
      </c>
      <c r="CM206" s="1">
        <v>23.687799999999999</v>
      </c>
      <c r="CN206" s="1">
        <v>2.7111999999999998</v>
      </c>
      <c r="CO206" s="1">
        <v>11.6906</v>
      </c>
    </row>
    <row r="207" spans="1:93">
      <c r="A207" s="1425">
        <v>44932</v>
      </c>
      <c r="B207" s="20">
        <f t="shared" si="32"/>
        <v>9.0778999999999996</v>
      </c>
      <c r="C207" s="20">
        <f t="shared" si="34"/>
        <v>13.093400000000001</v>
      </c>
      <c r="D207" s="20">
        <f t="shared" si="35"/>
        <v>11.526199999999999</v>
      </c>
      <c r="E207" s="20">
        <f t="shared" si="36"/>
        <v>7.2892000000000001</v>
      </c>
      <c r="F207" s="20">
        <f t="shared" si="37"/>
        <v>17.77</v>
      </c>
      <c r="G207" s="20">
        <f t="shared" si="38"/>
        <v>14.3652</v>
      </c>
      <c r="H207" s="1239">
        <f t="shared" si="39"/>
        <v>13.093400000000001</v>
      </c>
      <c r="I207" s="1243">
        <f t="shared" si="33"/>
        <v>-0.30668122871064818</v>
      </c>
      <c r="J207" s="1243">
        <f t="shared" si="40"/>
        <v>0.12093838824177333</v>
      </c>
      <c r="K207" s="1243">
        <f t="shared" si="41"/>
        <v>0.1</v>
      </c>
      <c r="L207" s="203"/>
      <c r="N207" s="1425">
        <v>44932</v>
      </c>
      <c r="O207" s="1502">
        <v>9.0778999999999996</v>
      </c>
      <c r="P207" s="1502">
        <v>2.6154000000000002</v>
      </c>
      <c r="Q207" s="1502">
        <v>9.1195000000000004</v>
      </c>
      <c r="R207" s="1233">
        <f>'B. PE'!$U$23</f>
        <v>15.978235616082999</v>
      </c>
      <c r="S207" s="1233"/>
      <c r="T207" s="1233"/>
      <c r="V207" s="1425">
        <v>44932</v>
      </c>
      <c r="W207" s="1">
        <v>13.093400000000001</v>
      </c>
      <c r="X207" s="1">
        <v>0.92400000000000004</v>
      </c>
      <c r="Y207" s="1">
        <v>5.2815000000000003</v>
      </c>
      <c r="Z207" s="1">
        <v>0.70479999999999998</v>
      </c>
      <c r="AB207" s="1425">
        <v>44921</v>
      </c>
      <c r="AC207" s="1">
        <v>6.3849999999999998</v>
      </c>
      <c r="AD207" s="1502">
        <v>0.97409999999999997</v>
      </c>
      <c r="AE207" s="1">
        <v>4.7483000000000004</v>
      </c>
      <c r="AF207" s="1">
        <v>2.5049999999999999E-2</v>
      </c>
      <c r="AH207" s="1425">
        <v>44921</v>
      </c>
      <c r="AI207" s="1">
        <v>13.1158</v>
      </c>
      <c r="AJ207" s="1">
        <v>2.3077999999999999</v>
      </c>
      <c r="AK207" s="1">
        <v>6.6748000000000003</v>
      </c>
      <c r="AL207" s="1">
        <v>3.6929999999999998E-2</v>
      </c>
      <c r="AN207" s="1425">
        <v>44929</v>
      </c>
      <c r="AO207" s="1">
        <v>7.1083999999999996</v>
      </c>
      <c r="AP207" s="1">
        <v>1.0333000000000001</v>
      </c>
      <c r="AQ207" s="1">
        <v>4.9324000000000003</v>
      </c>
      <c r="AR207" s="1">
        <v>0.26240999999999998</v>
      </c>
      <c r="AT207" s="1425">
        <v>44929</v>
      </c>
      <c r="AU207" s="1">
        <v>11.6379</v>
      </c>
      <c r="AV207" s="1">
        <v>0.98170000000000002</v>
      </c>
      <c r="AW207" s="1">
        <v>7.5648999999999997</v>
      </c>
      <c r="AX207" s="1">
        <v>0.25336999999999998</v>
      </c>
      <c r="BA207" s="1425">
        <v>44929</v>
      </c>
      <c r="BB207" s="1">
        <v>13.602399999999999</v>
      </c>
      <c r="BC207" s="1">
        <v>2.6520999999999999</v>
      </c>
      <c r="BD207" s="1">
        <v>12.347099999999999</v>
      </c>
      <c r="BE207" s="1">
        <v>0.73707999999999996</v>
      </c>
      <c r="BG207" s="1425">
        <v>44929</v>
      </c>
      <c r="BH207" s="1">
        <v>17.456399999999999</v>
      </c>
      <c r="BI207" s="1">
        <v>3.4527999999999999</v>
      </c>
      <c r="BJ207" s="1">
        <v>19.863399999999999</v>
      </c>
      <c r="BT207" s="1425">
        <v>44932</v>
      </c>
      <c r="BU207" s="1">
        <v>15.237299999999999</v>
      </c>
      <c r="BV207" s="1">
        <v>2.64</v>
      </c>
      <c r="BW207" s="1">
        <v>6.6646000000000001</v>
      </c>
      <c r="BX207" s="1">
        <v>1.8489</v>
      </c>
      <c r="BZ207" s="1425">
        <v>44932</v>
      </c>
      <c r="CA207" s="1">
        <v>25.241800000000001</v>
      </c>
      <c r="CB207" s="1">
        <v>4.0705</v>
      </c>
      <c r="CC207" s="1">
        <v>15.8437</v>
      </c>
      <c r="CD207" s="1">
        <v>2.56494</v>
      </c>
      <c r="CF207" s="1425">
        <v>44931</v>
      </c>
      <c r="CG207" s="1">
        <v>6.0614999999999997</v>
      </c>
      <c r="CH207" s="1">
        <v>1.3319000000000001</v>
      </c>
      <c r="CL207" s="1425">
        <v>44938</v>
      </c>
      <c r="CM207" s="1">
        <v>23.800899999999999</v>
      </c>
      <c r="CN207" s="1">
        <v>2.7241</v>
      </c>
      <c r="CO207" s="1">
        <v>11.7416</v>
      </c>
    </row>
    <row r="208" spans="1:93">
      <c r="A208" s="1425">
        <v>44931</v>
      </c>
      <c r="B208" s="20">
        <f t="shared" si="32"/>
        <v>9.3498000000000001</v>
      </c>
      <c r="C208" s="20">
        <f t="shared" si="34"/>
        <v>12.9618</v>
      </c>
      <c r="D208" s="20">
        <f t="shared" si="35"/>
        <v>11.2089</v>
      </c>
      <c r="E208" s="20">
        <f t="shared" si="36"/>
        <v>7.2289000000000003</v>
      </c>
      <c r="F208" s="20">
        <f t="shared" si="37"/>
        <v>17.247399999999999</v>
      </c>
      <c r="G208" s="20">
        <f t="shared" si="38"/>
        <v>13.9838</v>
      </c>
      <c r="H208" s="1239">
        <f t="shared" si="39"/>
        <v>12.9618</v>
      </c>
      <c r="I208" s="1243">
        <f t="shared" si="33"/>
        <v>-0.27866500023144936</v>
      </c>
      <c r="J208" s="1243">
        <f t="shared" si="40"/>
        <v>0.12093838824177333</v>
      </c>
      <c r="K208" s="1243">
        <f t="shared" si="41"/>
        <v>0.1</v>
      </c>
      <c r="L208" s="203"/>
      <c r="N208" s="1425">
        <v>44931</v>
      </c>
      <c r="O208" s="1502">
        <v>9.3498000000000001</v>
      </c>
      <c r="P208" s="1502">
        <v>2.6937000000000002</v>
      </c>
      <c r="Q208" s="1502">
        <v>9.35</v>
      </c>
      <c r="R208" s="1233">
        <f>'B. PE'!$U$23</f>
        <v>15.978235616082999</v>
      </c>
      <c r="S208" s="1233"/>
      <c r="T208" s="1233"/>
      <c r="V208" s="1425">
        <v>44931</v>
      </c>
      <c r="W208" s="1">
        <v>12.9618</v>
      </c>
      <c r="X208" s="1">
        <v>0.91469999999999996</v>
      </c>
      <c r="Y208" s="1">
        <v>5.2462999999999997</v>
      </c>
      <c r="Z208" s="1">
        <v>0.70435000000000003</v>
      </c>
      <c r="AB208" s="1425">
        <v>44918</v>
      </c>
      <c r="AC208" s="1">
        <v>6.2877999999999998</v>
      </c>
      <c r="AD208" s="1502">
        <v>0.95920000000000005</v>
      </c>
      <c r="AE208" s="1">
        <v>4.7051999999999996</v>
      </c>
      <c r="AF208" s="1">
        <v>2.4930000000000001E-2</v>
      </c>
      <c r="AH208" s="1425">
        <v>44918</v>
      </c>
      <c r="AI208" s="1">
        <v>13.464</v>
      </c>
      <c r="AJ208" s="1">
        <v>2.3691</v>
      </c>
      <c r="AK208" s="1">
        <v>6.8521999999999998</v>
      </c>
      <c r="AL208" s="1">
        <v>3.5340000000000003E-2</v>
      </c>
      <c r="AN208" s="1425">
        <v>44925</v>
      </c>
      <c r="AO208" s="1">
        <v>7.0481999999999996</v>
      </c>
      <c r="AP208" s="1">
        <v>1.0245</v>
      </c>
      <c r="AQ208" s="1">
        <v>4.8872999999999998</v>
      </c>
      <c r="AR208" s="1">
        <v>0.26683000000000001</v>
      </c>
      <c r="AT208" s="1425">
        <v>44925</v>
      </c>
      <c r="AU208" s="1">
        <v>11.853400000000001</v>
      </c>
      <c r="AV208" s="1">
        <v>0.99990000000000001</v>
      </c>
      <c r="AW208" s="1">
        <v>7.6974999999999998</v>
      </c>
      <c r="AX208" s="1">
        <v>0.24421999999999999</v>
      </c>
      <c r="BA208" s="1425">
        <v>44925</v>
      </c>
      <c r="BB208" s="1">
        <v>13.221</v>
      </c>
      <c r="BC208" s="1">
        <v>2.5777999999999999</v>
      </c>
      <c r="BD208" s="1">
        <v>12.099299999999999</v>
      </c>
      <c r="BE208" s="1">
        <v>0.72602999999999995</v>
      </c>
      <c r="BG208" s="1425">
        <v>44925</v>
      </c>
      <c r="BH208" s="1">
        <v>17.142900000000001</v>
      </c>
      <c r="BI208" s="1">
        <v>3.3908</v>
      </c>
      <c r="BJ208" s="1">
        <v>19.603400000000001</v>
      </c>
      <c r="BT208" s="1425">
        <v>44931</v>
      </c>
      <c r="BU208" s="1">
        <v>15.3962</v>
      </c>
      <c r="BV208" s="1">
        <v>2.6676000000000002</v>
      </c>
      <c r="BW208" s="1">
        <v>6.7324999999999999</v>
      </c>
      <c r="BX208" s="1">
        <v>1.8668</v>
      </c>
      <c r="BZ208" s="1425">
        <v>44931</v>
      </c>
      <c r="CA208" s="1">
        <v>25.571100000000001</v>
      </c>
      <c r="CB208" s="1">
        <v>4.1235999999999997</v>
      </c>
      <c r="CC208" s="1">
        <v>15.9879</v>
      </c>
      <c r="CD208" s="1">
        <v>2.6076199999999998</v>
      </c>
      <c r="CF208" s="1425">
        <v>44930</v>
      </c>
      <c r="CG208" s="1">
        <v>6.0259999999999998</v>
      </c>
      <c r="CH208" s="1">
        <v>1.3241000000000001</v>
      </c>
      <c r="CL208" s="1425">
        <v>44937</v>
      </c>
      <c r="CM208" s="1">
        <v>23.8171</v>
      </c>
      <c r="CN208" s="1">
        <v>2.726</v>
      </c>
      <c r="CO208" s="1">
        <v>11.748900000000001</v>
      </c>
    </row>
    <row r="209" spans="1:93">
      <c r="A209" s="1425">
        <v>44930</v>
      </c>
      <c r="B209" s="20">
        <f t="shared" si="32"/>
        <v>9.4797999999999991</v>
      </c>
      <c r="C209" s="20">
        <f t="shared" si="34"/>
        <v>12.9618</v>
      </c>
      <c r="D209" s="20">
        <f t="shared" si="35"/>
        <v>11.6319</v>
      </c>
      <c r="E209" s="20">
        <f t="shared" si="36"/>
        <v>7.1687000000000003</v>
      </c>
      <c r="F209" s="20">
        <f t="shared" si="37"/>
        <v>17.142900000000001</v>
      </c>
      <c r="G209" s="20">
        <f t="shared" si="38"/>
        <v>13.221</v>
      </c>
      <c r="H209" s="1239">
        <f t="shared" si="39"/>
        <v>12.9618</v>
      </c>
      <c r="I209" s="1243">
        <f t="shared" si="33"/>
        <v>-0.26863552901603183</v>
      </c>
      <c r="J209" s="1243">
        <f t="shared" si="40"/>
        <v>0.12093838824177333</v>
      </c>
      <c r="K209" s="1243">
        <f t="shared" si="41"/>
        <v>0.1</v>
      </c>
      <c r="L209" s="203"/>
      <c r="N209" s="1425">
        <v>44930</v>
      </c>
      <c r="O209" s="1502">
        <v>9.4797999999999991</v>
      </c>
      <c r="P209" s="1502">
        <v>2.7311000000000001</v>
      </c>
      <c r="Q209" s="1502">
        <v>9.4602000000000004</v>
      </c>
      <c r="R209" s="1233">
        <f>'B. PE'!$U$23</f>
        <v>15.978235616082999</v>
      </c>
      <c r="S209" s="1233"/>
      <c r="T209" s="1233"/>
      <c r="V209" s="1425">
        <v>44930</v>
      </c>
      <c r="W209" s="1">
        <v>12.9618</v>
      </c>
      <c r="X209" s="1">
        <v>0.91469999999999996</v>
      </c>
      <c r="Y209" s="1">
        <v>5.2462999999999997</v>
      </c>
      <c r="Z209" s="1">
        <v>0.65717000000000003</v>
      </c>
      <c r="AB209" s="1425">
        <v>44917</v>
      </c>
      <c r="AC209" s="1">
        <v>6.3201999999999998</v>
      </c>
      <c r="AD209" s="1502">
        <v>0.96419999999999995</v>
      </c>
      <c r="AE209" s="1">
        <v>4.7195</v>
      </c>
      <c r="AF209" s="1">
        <v>2.5020000000000001E-2</v>
      </c>
      <c r="AH209" s="1425">
        <v>44917</v>
      </c>
      <c r="AI209" s="1">
        <v>13.347899999999999</v>
      </c>
      <c r="AJ209" s="1">
        <v>2.3487</v>
      </c>
      <c r="AK209" s="1">
        <v>6.7930999999999999</v>
      </c>
      <c r="AL209" s="1">
        <v>3.4000000000000002E-2</v>
      </c>
      <c r="AN209" s="1425">
        <v>44924</v>
      </c>
      <c r="AO209" s="1">
        <v>6.7835999999999999</v>
      </c>
      <c r="AP209" s="1">
        <v>1.0294000000000001</v>
      </c>
      <c r="AQ209" s="1">
        <v>4.4603999999999999</v>
      </c>
      <c r="AR209" s="1">
        <v>0.26905000000000001</v>
      </c>
      <c r="AT209" s="1425">
        <v>44924</v>
      </c>
      <c r="AU209" s="1">
        <v>16.691500000000001</v>
      </c>
      <c r="AV209" s="1">
        <v>0.98399999999999999</v>
      </c>
      <c r="AW209" s="1">
        <v>9.5829000000000004</v>
      </c>
      <c r="AX209" s="1">
        <v>0.26</v>
      </c>
      <c r="BA209" s="1425">
        <v>44924</v>
      </c>
      <c r="BB209" s="1">
        <v>11.6951</v>
      </c>
      <c r="BC209" s="1">
        <v>2.6223000000000001</v>
      </c>
      <c r="BD209" s="1">
        <v>12.113899999999999</v>
      </c>
      <c r="BE209" s="1">
        <v>0.75053000000000003</v>
      </c>
      <c r="BG209" s="1425">
        <v>44924</v>
      </c>
      <c r="BH209" s="1">
        <v>17.147200000000002</v>
      </c>
      <c r="BI209" s="1">
        <v>3.4558</v>
      </c>
      <c r="BJ209" s="1">
        <v>18.749300000000002</v>
      </c>
      <c r="BT209" s="1425">
        <v>44930</v>
      </c>
      <c r="BU209" s="1">
        <v>15.360900000000001</v>
      </c>
      <c r="BV209" s="1">
        <v>2.6615000000000002</v>
      </c>
      <c r="BW209" s="1">
        <v>6.7173999999999996</v>
      </c>
      <c r="BX209" s="1">
        <v>1.8152999999999999</v>
      </c>
      <c r="BZ209" s="1425">
        <v>44930</v>
      </c>
      <c r="CA209" s="1">
        <v>25.388200000000001</v>
      </c>
      <c r="CB209" s="1">
        <v>4.0941000000000001</v>
      </c>
      <c r="CC209" s="1">
        <v>15.9078</v>
      </c>
      <c r="CD209" s="1">
        <v>2.5389300000000001</v>
      </c>
      <c r="CF209" s="1425">
        <v>44929</v>
      </c>
      <c r="CG209" s="1">
        <v>6.0614999999999997</v>
      </c>
      <c r="CH209" s="1">
        <v>1.3319000000000001</v>
      </c>
      <c r="CL209" s="1425">
        <v>44936</v>
      </c>
      <c r="CM209" s="1">
        <v>23.461600000000001</v>
      </c>
      <c r="CN209" s="1">
        <v>2.6852999999999998</v>
      </c>
      <c r="CO209" s="1">
        <v>11.5884</v>
      </c>
    </row>
    <row r="210" spans="1:93">
      <c r="A210" s="1425">
        <v>44929</v>
      </c>
      <c r="B210" s="20">
        <f t="shared" si="32"/>
        <v>9.4560999999999993</v>
      </c>
      <c r="C210" s="20">
        <f t="shared" si="34"/>
        <v>12.9618</v>
      </c>
      <c r="D210" s="20">
        <f t="shared" si="35"/>
        <v>11.6319</v>
      </c>
      <c r="E210" s="20">
        <f t="shared" si="36"/>
        <v>7.1083999999999996</v>
      </c>
      <c r="F210" s="20">
        <f t="shared" si="37"/>
        <v>17.456399999999999</v>
      </c>
      <c r="G210" s="20">
        <f t="shared" si="38"/>
        <v>13.602399999999999</v>
      </c>
      <c r="H210" s="1239">
        <f t="shared" si="39"/>
        <v>12.9618</v>
      </c>
      <c r="I210" s="1243">
        <f t="shared" si="33"/>
        <v>-0.27046397876838102</v>
      </c>
      <c r="J210" s="1243">
        <f t="shared" si="40"/>
        <v>0.12093838824177333</v>
      </c>
      <c r="K210" s="1243">
        <f t="shared" si="41"/>
        <v>0.1</v>
      </c>
      <c r="L210" s="203"/>
      <c r="N210" s="1425">
        <v>44929</v>
      </c>
      <c r="O210" s="1502">
        <v>9.4560999999999993</v>
      </c>
      <c r="P210" s="1502">
        <v>2.7242999999999999</v>
      </c>
      <c r="Q210" s="1502">
        <v>9.4402000000000008</v>
      </c>
      <c r="R210" s="1233">
        <f>'B. PE'!$U$23</f>
        <v>15.978235616082999</v>
      </c>
      <c r="S210" s="1233"/>
      <c r="T210" s="1233"/>
      <c r="V210" s="1425">
        <v>44929</v>
      </c>
      <c r="W210" s="1">
        <v>12.9618</v>
      </c>
      <c r="X210" s="1">
        <v>0.91469999999999996</v>
      </c>
      <c r="Y210" s="1">
        <v>5.2462999999999997</v>
      </c>
      <c r="Z210" s="1">
        <v>0.65908999999999995</v>
      </c>
      <c r="AB210" s="1425">
        <v>44916</v>
      </c>
      <c r="AC210" s="1">
        <v>6.2877999999999998</v>
      </c>
      <c r="AD210" s="1502">
        <v>0.95920000000000005</v>
      </c>
      <c r="AE210" s="1">
        <v>4.7051999999999996</v>
      </c>
      <c r="AF210" s="1">
        <v>2.5590000000000002E-2</v>
      </c>
      <c r="AH210" s="1425">
        <v>44916</v>
      </c>
      <c r="AI210" s="1">
        <v>12.7676</v>
      </c>
      <c r="AJ210" s="1">
        <v>2.2465999999999999</v>
      </c>
      <c r="AK210" s="1">
        <v>6.4974999999999996</v>
      </c>
      <c r="AL210" s="1">
        <v>3.3750000000000002E-2</v>
      </c>
      <c r="AN210" s="1425">
        <v>44923</v>
      </c>
      <c r="AO210" s="1">
        <v>6.9005999999999998</v>
      </c>
      <c r="AP210" s="1">
        <v>1.0471999999999999</v>
      </c>
      <c r="AQ210" s="1">
        <v>4.5469999999999997</v>
      </c>
      <c r="AR210" s="1">
        <v>0.27126</v>
      </c>
      <c r="AT210" s="1425">
        <v>44923</v>
      </c>
      <c r="AU210" s="1">
        <v>16.095400000000001</v>
      </c>
      <c r="AV210" s="1">
        <v>0.94889999999999997</v>
      </c>
      <c r="AW210" s="1">
        <v>9.2685999999999993</v>
      </c>
      <c r="AX210" s="1">
        <v>0.25769999999999998</v>
      </c>
      <c r="BA210" s="1425">
        <v>44923</v>
      </c>
      <c r="BB210" s="1">
        <v>11.580399999999999</v>
      </c>
      <c r="BC210" s="1">
        <v>2.5966</v>
      </c>
      <c r="BD210" s="1">
        <v>12.0299</v>
      </c>
      <c r="BE210" s="1">
        <v>0.7419</v>
      </c>
      <c r="BG210" s="1425">
        <v>44923</v>
      </c>
      <c r="BH210" s="1">
        <v>17.147200000000002</v>
      </c>
      <c r="BI210" s="1">
        <v>3.4558</v>
      </c>
      <c r="BJ210" s="1">
        <v>18.749300000000002</v>
      </c>
      <c r="BT210" s="1425">
        <v>44929</v>
      </c>
      <c r="BU210" s="1">
        <v>15.5198</v>
      </c>
      <c r="BV210" s="1">
        <v>2.6890000000000001</v>
      </c>
      <c r="BW210" s="1">
        <v>6.7853000000000003</v>
      </c>
      <c r="BX210" s="1">
        <v>1.8157000000000001</v>
      </c>
      <c r="BZ210" s="1425">
        <v>44929</v>
      </c>
      <c r="CA210" s="1">
        <v>25.827100000000002</v>
      </c>
      <c r="CB210" s="1">
        <v>4.1649000000000003</v>
      </c>
      <c r="CC210" s="1">
        <v>16.100100000000001</v>
      </c>
      <c r="CD210" s="1">
        <v>2.5210699999999999</v>
      </c>
      <c r="CF210" s="1425">
        <v>44925</v>
      </c>
      <c r="CG210" s="1">
        <v>6.0614999999999997</v>
      </c>
      <c r="CH210" s="1">
        <v>1.3319000000000001</v>
      </c>
      <c r="CL210" s="1425">
        <v>44935</v>
      </c>
      <c r="CM210" s="1">
        <v>23.283799999999999</v>
      </c>
      <c r="CN210" s="1">
        <v>2.665</v>
      </c>
      <c r="CO210" s="1">
        <v>11.5082</v>
      </c>
    </row>
    <row r="211" spans="1:93">
      <c r="A211" s="1425">
        <v>44925</v>
      </c>
      <c r="B211" s="20">
        <f t="shared" si="32"/>
        <v>8.9242000000000008</v>
      </c>
      <c r="C211" s="20">
        <f t="shared" si="34"/>
        <v>12.1393</v>
      </c>
      <c r="D211" s="20">
        <f t="shared" si="35"/>
        <v>12.266400000000001</v>
      </c>
      <c r="E211" s="20">
        <f t="shared" si="36"/>
        <v>7.0481999999999996</v>
      </c>
      <c r="F211" s="20">
        <f t="shared" si="37"/>
        <v>17.142900000000001</v>
      </c>
      <c r="G211" s="20">
        <f t="shared" si="38"/>
        <v>13.221</v>
      </c>
      <c r="H211" s="1239">
        <f t="shared" si="39"/>
        <v>12.266400000000001</v>
      </c>
      <c r="I211" s="1243">
        <f t="shared" si="33"/>
        <v>-0.27246787973651598</v>
      </c>
      <c r="J211" s="1243">
        <f t="shared" si="40"/>
        <v>0.12093838824177333</v>
      </c>
      <c r="K211" s="1243">
        <f t="shared" si="41"/>
        <v>0.1</v>
      </c>
      <c r="L211" s="203"/>
      <c r="N211" s="1425">
        <v>44925</v>
      </c>
      <c r="O211" s="1502">
        <v>8.9242000000000008</v>
      </c>
      <c r="P211" s="1502">
        <v>2.5710999999999999</v>
      </c>
      <c r="Q211" s="1502">
        <v>8.9892000000000003</v>
      </c>
      <c r="R211" s="1233">
        <f>'B. PE'!$U$23</f>
        <v>15.978235616082999</v>
      </c>
      <c r="S211" s="1233"/>
      <c r="T211" s="1233"/>
      <c r="V211" s="1425">
        <v>44925</v>
      </c>
      <c r="W211" s="1">
        <v>12.1393</v>
      </c>
      <c r="X211" s="1">
        <v>0.85660000000000003</v>
      </c>
      <c r="Y211" s="1">
        <v>5.0263999999999998</v>
      </c>
      <c r="Z211" s="1">
        <v>0.66098999999999997</v>
      </c>
      <c r="AB211" s="1425">
        <v>44915</v>
      </c>
      <c r="AC211" s="1">
        <v>6.3201999999999998</v>
      </c>
      <c r="AD211" s="1502">
        <v>0.96419999999999995</v>
      </c>
      <c r="AE211" s="1">
        <v>4.7195</v>
      </c>
      <c r="AF211" s="1">
        <v>2.5489999999999999E-2</v>
      </c>
      <c r="AH211" s="1425">
        <v>44915</v>
      </c>
      <c r="AI211" s="1">
        <v>12.3033</v>
      </c>
      <c r="AJ211" s="1">
        <v>2.1648999999999998</v>
      </c>
      <c r="AK211" s="1">
        <v>6.2610000000000001</v>
      </c>
      <c r="AL211" s="1">
        <v>3.458E-2</v>
      </c>
      <c r="AN211" s="1425">
        <v>44922</v>
      </c>
      <c r="AO211" s="1">
        <v>6.9591000000000003</v>
      </c>
      <c r="AP211" s="1">
        <v>1.0561</v>
      </c>
      <c r="AQ211" s="1">
        <v>4.5903</v>
      </c>
      <c r="AR211" s="1">
        <v>0.27112999999999998</v>
      </c>
      <c r="AT211" s="1425">
        <v>44922</v>
      </c>
      <c r="AU211" s="1">
        <v>17.1386</v>
      </c>
      <c r="AV211" s="1">
        <v>1.0104</v>
      </c>
      <c r="AW211" s="1">
        <v>9.8186999999999998</v>
      </c>
      <c r="AX211" s="1">
        <v>0.26434999999999997</v>
      </c>
      <c r="BA211" s="1425">
        <v>44922</v>
      </c>
      <c r="BB211" s="1">
        <v>11.9244</v>
      </c>
      <c r="BC211" s="1">
        <v>2.6738</v>
      </c>
      <c r="BD211" s="1">
        <v>12.282</v>
      </c>
      <c r="BE211" s="1">
        <v>0.74058000000000002</v>
      </c>
      <c r="BG211" s="1425">
        <v>44922</v>
      </c>
      <c r="BH211" s="1">
        <v>17.3629</v>
      </c>
      <c r="BI211" s="1">
        <v>3.4992999999999999</v>
      </c>
      <c r="BJ211" s="1">
        <v>18.925999999999998</v>
      </c>
      <c r="BT211" s="1425">
        <v>44925</v>
      </c>
      <c r="BU211" s="1">
        <v>15.149100000000001</v>
      </c>
      <c r="BV211" s="1">
        <v>2.6246999999999998</v>
      </c>
      <c r="BW211" s="1">
        <v>6.6269</v>
      </c>
      <c r="BX211" s="1">
        <v>1.8203</v>
      </c>
      <c r="BZ211" s="1425">
        <v>44925</v>
      </c>
      <c r="CA211" s="1">
        <v>25.241800000000001</v>
      </c>
      <c r="CB211" s="1">
        <v>4.0705</v>
      </c>
      <c r="CC211" s="1">
        <v>15.8437</v>
      </c>
      <c r="CD211" s="1">
        <v>2.5840700000000001</v>
      </c>
      <c r="CF211" s="1425">
        <v>44924</v>
      </c>
      <c r="CG211" s="1">
        <v>4.4657</v>
      </c>
      <c r="CH211" s="1">
        <v>1.3027</v>
      </c>
      <c r="CL211" s="1425">
        <v>44932</v>
      </c>
      <c r="CM211" s="1">
        <v>23.946300000000001</v>
      </c>
      <c r="CN211" s="1">
        <v>2.7408000000000001</v>
      </c>
      <c r="CO211" s="1">
        <v>11.8073</v>
      </c>
    </row>
    <row r="212" spans="1:93">
      <c r="A212" s="1425">
        <v>44924</v>
      </c>
      <c r="B212" s="20">
        <f t="shared" si="32"/>
        <v>7.1547999999999998</v>
      </c>
      <c r="C212" s="20">
        <f t="shared" si="34"/>
        <v>6.3</v>
      </c>
      <c r="D212" s="20">
        <f t="shared" si="35"/>
        <v>12.883599999999999</v>
      </c>
      <c r="E212" s="20">
        <f t="shared" si="36"/>
        <v>6.7835999999999999</v>
      </c>
      <c r="F212" s="20">
        <f t="shared" si="37"/>
        <v>17.147200000000002</v>
      </c>
      <c r="G212" s="20">
        <f t="shared" si="38"/>
        <v>11.6951</v>
      </c>
      <c r="H212" s="1239">
        <f t="shared" si="39"/>
        <v>11.6951</v>
      </c>
      <c r="I212" s="1243">
        <f t="shared" si="33"/>
        <v>-0.38822241793571666</v>
      </c>
      <c r="J212" s="1243">
        <f t="shared" si="40"/>
        <v>0.12093838824177333</v>
      </c>
      <c r="K212" s="1243">
        <f t="shared" si="41"/>
        <v>0.1</v>
      </c>
      <c r="L212" s="203"/>
      <c r="N212" s="1425">
        <v>44924</v>
      </c>
      <c r="O212" s="1502">
        <v>7.1547999999999998</v>
      </c>
      <c r="P212" s="1502">
        <v>2.7682000000000002</v>
      </c>
      <c r="Q212" s="1502">
        <v>7.8761000000000001</v>
      </c>
      <c r="R212" s="1233">
        <f>'B. PE'!$U$23</f>
        <v>15.978235616082999</v>
      </c>
      <c r="S212" s="1233"/>
      <c r="T212" s="1233"/>
      <c r="V212" s="1425">
        <v>44924</v>
      </c>
      <c r="W212" s="1">
        <v>6.3</v>
      </c>
      <c r="X212" s="1">
        <v>0.88129999999999997</v>
      </c>
      <c r="Y212" s="1">
        <v>5.7866</v>
      </c>
      <c r="Z212" s="1">
        <v>0.66146000000000005</v>
      </c>
      <c r="AB212" s="1425">
        <v>44914</v>
      </c>
      <c r="AC212" s="1">
        <v>6.4497999999999998</v>
      </c>
      <c r="AD212" s="1502">
        <v>0.98399999999999999</v>
      </c>
      <c r="AE212" s="1">
        <v>4.7770000000000001</v>
      </c>
      <c r="AF212" s="1">
        <v>2.53E-2</v>
      </c>
      <c r="AH212" s="1425">
        <v>44914</v>
      </c>
      <c r="AI212" s="1">
        <v>12.187200000000001</v>
      </c>
      <c r="AJ212" s="1">
        <v>2.1444000000000001</v>
      </c>
      <c r="AK212" s="1">
        <v>6.2019000000000002</v>
      </c>
      <c r="AL212" s="1">
        <v>3.5139999999999998E-2</v>
      </c>
      <c r="AN212" s="1425">
        <v>44918</v>
      </c>
      <c r="AO212" s="1">
        <v>7.0175000000000001</v>
      </c>
      <c r="AP212" s="1">
        <v>1.0649</v>
      </c>
      <c r="AQ212" s="1">
        <v>4.6336000000000004</v>
      </c>
      <c r="AR212" s="1">
        <v>0.26595000000000002</v>
      </c>
      <c r="AT212" s="1425">
        <v>44918</v>
      </c>
      <c r="AU212" s="1">
        <v>16.989599999999999</v>
      </c>
      <c r="AV212" s="1">
        <v>1.0016</v>
      </c>
      <c r="AW212" s="1">
        <v>9.7401</v>
      </c>
      <c r="AX212" s="1">
        <v>0.26368999999999998</v>
      </c>
      <c r="BA212" s="1425">
        <v>44921</v>
      </c>
      <c r="BB212" s="1">
        <v>11.809799999999999</v>
      </c>
      <c r="BC212" s="1">
        <v>2.6480999999999999</v>
      </c>
      <c r="BD212" s="1">
        <v>12.197900000000001</v>
      </c>
      <c r="BE212" s="1">
        <v>0.73894000000000004</v>
      </c>
      <c r="BG212" s="1425">
        <v>44921</v>
      </c>
      <c r="BH212" s="1">
        <v>16.9315</v>
      </c>
      <c r="BI212" s="1">
        <v>3.4123000000000001</v>
      </c>
      <c r="BJ212" s="1">
        <v>18.572500000000002</v>
      </c>
      <c r="BT212" s="1425">
        <v>44924</v>
      </c>
      <c r="BU212" s="1">
        <v>12.2415</v>
      </c>
      <c r="BV212" s="1">
        <v>2.6951000000000001</v>
      </c>
      <c r="BW212" s="1">
        <v>6.4211999999999998</v>
      </c>
      <c r="BX212" s="1">
        <v>1.8554999999999999</v>
      </c>
      <c r="BZ212" s="1425">
        <v>44924</v>
      </c>
      <c r="CA212" s="1">
        <v>14.374599999999999</v>
      </c>
      <c r="CB212" s="1">
        <v>4.2300000000000004</v>
      </c>
      <c r="CC212" s="1">
        <v>11.4359</v>
      </c>
      <c r="CD212" s="1">
        <v>2.5417299999999998</v>
      </c>
      <c r="CF212" s="1425">
        <v>44923</v>
      </c>
      <c r="CG212" s="1">
        <v>4.1063999999999998</v>
      </c>
      <c r="CH212" s="1">
        <v>1.1979</v>
      </c>
      <c r="CL212" s="1425">
        <v>44931</v>
      </c>
      <c r="CM212" s="1">
        <v>23.687799999999999</v>
      </c>
      <c r="CN212" s="1">
        <v>2.7111999999999998</v>
      </c>
      <c r="CO212" s="1">
        <v>11.6906</v>
      </c>
    </row>
    <row r="213" spans="1:93">
      <c r="A213" s="1425">
        <v>44923</v>
      </c>
      <c r="B213" s="20">
        <f t="shared" si="32"/>
        <v>7.2394999999999996</v>
      </c>
      <c r="C213" s="20">
        <f t="shared" si="34"/>
        <v>6.3170000000000002</v>
      </c>
      <c r="D213" s="20">
        <f t="shared" si="35"/>
        <v>12.883599999999999</v>
      </c>
      <c r="E213" s="20">
        <f t="shared" si="36"/>
        <v>6.9005999999999998</v>
      </c>
      <c r="F213" s="20">
        <f t="shared" si="37"/>
        <v>17.147200000000002</v>
      </c>
      <c r="G213" s="20">
        <f t="shared" si="38"/>
        <v>11.580399999999999</v>
      </c>
      <c r="H213" s="1239">
        <f t="shared" si="39"/>
        <v>11.580399999999999</v>
      </c>
      <c r="I213" s="1243">
        <f t="shared" si="33"/>
        <v>-0.37484888259472904</v>
      </c>
      <c r="J213" s="1243">
        <f t="shared" si="40"/>
        <v>0.12093838824177333</v>
      </c>
      <c r="K213" s="1243">
        <f t="shared" si="41"/>
        <v>0.1</v>
      </c>
      <c r="L213" s="203"/>
      <c r="N213" s="1425">
        <v>44923</v>
      </c>
      <c r="O213" s="1502">
        <v>7.2394999999999996</v>
      </c>
      <c r="P213" s="1502">
        <v>2.8010000000000002</v>
      </c>
      <c r="Q213" s="1502">
        <v>7.9523000000000001</v>
      </c>
      <c r="R213" s="1233">
        <f>'B. PE'!$U$23</f>
        <v>15.978235616082999</v>
      </c>
      <c r="S213" s="1233"/>
      <c r="T213" s="1233"/>
      <c r="V213" s="1425">
        <v>44923</v>
      </c>
      <c r="W213" s="1">
        <v>6.3170000000000002</v>
      </c>
      <c r="X213" s="1">
        <v>0.88360000000000005</v>
      </c>
      <c r="Y213" s="1">
        <v>5.7946</v>
      </c>
      <c r="Z213" s="1">
        <v>0.63088999999999995</v>
      </c>
      <c r="AB213" s="1425">
        <v>44911</v>
      </c>
      <c r="AC213" s="1">
        <v>6.4497999999999998</v>
      </c>
      <c r="AD213" s="1502">
        <v>0.98399999999999999</v>
      </c>
      <c r="AE213" s="1">
        <v>4.7770000000000001</v>
      </c>
      <c r="AF213" s="1">
        <v>2.597E-2</v>
      </c>
      <c r="AH213" s="1425">
        <v>44911</v>
      </c>
      <c r="AI213" s="1">
        <v>12.535399999999999</v>
      </c>
      <c r="AJ213" s="1">
        <v>2.2057000000000002</v>
      </c>
      <c r="AK213" s="1">
        <v>6.3792</v>
      </c>
      <c r="AL213" s="1">
        <v>3.567E-2</v>
      </c>
      <c r="AN213" s="1425">
        <v>44917</v>
      </c>
      <c r="AO213" s="1">
        <v>7.0175000000000001</v>
      </c>
      <c r="AP213" s="1">
        <v>1.0649</v>
      </c>
      <c r="AQ213" s="1">
        <v>4.6336000000000004</v>
      </c>
      <c r="AR213" s="1">
        <v>0.27744999999999997</v>
      </c>
      <c r="AT213" s="1425">
        <v>44917</v>
      </c>
      <c r="AU213" s="1">
        <v>17.436699999999998</v>
      </c>
      <c r="AV213" s="1">
        <v>1.028</v>
      </c>
      <c r="AW213" s="1">
        <v>9.9758999999999993</v>
      </c>
      <c r="AX213" s="1">
        <v>0.2797</v>
      </c>
      <c r="BA213" s="1425">
        <v>44918</v>
      </c>
      <c r="BB213" s="1">
        <v>11.809799999999999</v>
      </c>
      <c r="BC213" s="1">
        <v>2.6480999999999999</v>
      </c>
      <c r="BD213" s="1">
        <v>12.197900000000001</v>
      </c>
      <c r="BE213" s="1">
        <v>0.74282000000000004</v>
      </c>
      <c r="BG213" s="1425">
        <v>44918</v>
      </c>
      <c r="BH213" s="1">
        <v>16.9315</v>
      </c>
      <c r="BI213" s="1">
        <v>3.4123000000000001</v>
      </c>
      <c r="BJ213" s="1">
        <v>18.572500000000002</v>
      </c>
      <c r="BT213" s="1425">
        <v>44923</v>
      </c>
      <c r="BU213" s="1">
        <v>12.270099999999999</v>
      </c>
      <c r="BV213" s="1">
        <v>2.7014</v>
      </c>
      <c r="BW213" s="1">
        <v>6.4345999999999997</v>
      </c>
      <c r="BX213" s="1">
        <v>1.8039000000000001</v>
      </c>
      <c r="BZ213" s="1425">
        <v>44923</v>
      </c>
      <c r="CA213" s="1">
        <v>14.731299999999999</v>
      </c>
      <c r="CB213" s="1">
        <v>4.335</v>
      </c>
      <c r="CC213" s="1">
        <v>11.650700000000001</v>
      </c>
      <c r="CD213" s="1">
        <v>2.46333</v>
      </c>
      <c r="CF213" s="1425">
        <v>44922</v>
      </c>
      <c r="CG213" s="1">
        <v>4.1321000000000003</v>
      </c>
      <c r="CH213" s="1">
        <v>1.2054</v>
      </c>
      <c r="CL213" s="1425">
        <v>44930</v>
      </c>
      <c r="CM213" s="1">
        <v>23.4939</v>
      </c>
      <c r="CN213" s="1">
        <v>2.6890000000000001</v>
      </c>
      <c r="CO213" s="1">
        <v>11.603</v>
      </c>
    </row>
    <row r="214" spans="1:93">
      <c r="A214" s="1425">
        <v>44922</v>
      </c>
      <c r="B214" s="20">
        <f t="shared" si="32"/>
        <v>7.2678000000000003</v>
      </c>
      <c r="C214" s="20">
        <f t="shared" si="34"/>
        <v>6.3170000000000002</v>
      </c>
      <c r="D214" s="20">
        <f t="shared" si="35"/>
        <v>12.999700000000001</v>
      </c>
      <c r="E214" s="20">
        <f t="shared" si="36"/>
        <v>6.9591000000000003</v>
      </c>
      <c r="F214" s="20">
        <f t="shared" si="37"/>
        <v>17.3629</v>
      </c>
      <c r="G214" s="20">
        <f t="shared" si="38"/>
        <v>11.9244</v>
      </c>
      <c r="H214" s="1239">
        <f t="shared" si="39"/>
        <v>11.9244</v>
      </c>
      <c r="I214" s="1243">
        <f t="shared" si="33"/>
        <v>-0.39051021435040756</v>
      </c>
      <c r="J214" s="1243">
        <f t="shared" si="40"/>
        <v>0.12093838824177333</v>
      </c>
      <c r="K214" s="1243">
        <f t="shared" si="41"/>
        <v>0.1</v>
      </c>
      <c r="L214" s="203"/>
      <c r="N214" s="1425">
        <v>44922</v>
      </c>
      <c r="O214" s="1502">
        <v>7.2678000000000003</v>
      </c>
      <c r="P214" s="1502">
        <v>2.8119000000000001</v>
      </c>
      <c r="Q214" s="1502">
        <v>7.9776999999999996</v>
      </c>
      <c r="R214" s="1233">
        <f>'B. PE'!$U$23</f>
        <v>15.978235616082999</v>
      </c>
      <c r="S214" s="1233"/>
      <c r="T214" s="1233"/>
      <c r="V214" s="1425">
        <v>44922</v>
      </c>
      <c r="W214" s="1">
        <v>6.3170000000000002</v>
      </c>
      <c r="X214" s="1">
        <v>0.88360000000000005</v>
      </c>
      <c r="Y214" s="1">
        <v>5.7946</v>
      </c>
      <c r="Z214" s="1">
        <v>0.67784999999999995</v>
      </c>
      <c r="AB214" s="1425">
        <v>44910</v>
      </c>
      <c r="AC214" s="1">
        <v>6.4173999999999998</v>
      </c>
      <c r="AD214" s="1502">
        <v>0.97899999999999998</v>
      </c>
      <c r="AE214" s="1">
        <v>4.7625999999999999</v>
      </c>
      <c r="AF214" s="1">
        <v>2.5700000000000001E-2</v>
      </c>
      <c r="AH214" s="1425">
        <v>44910</v>
      </c>
      <c r="AI214" s="1">
        <v>12.7676</v>
      </c>
      <c r="AJ214" s="1">
        <v>2.2465999999999999</v>
      </c>
      <c r="AK214" s="1">
        <v>6.4974999999999996</v>
      </c>
      <c r="AL214" s="1">
        <v>3.6299999999999999E-2</v>
      </c>
      <c r="AN214" s="1425">
        <v>44916</v>
      </c>
      <c r="AO214" s="1">
        <v>6.9005999999999998</v>
      </c>
      <c r="AP214" s="1">
        <v>1.0471999999999999</v>
      </c>
      <c r="AQ214" s="1">
        <v>4.5469999999999997</v>
      </c>
      <c r="AR214" s="1">
        <v>0.27345000000000003</v>
      </c>
      <c r="AT214" s="1425">
        <v>44916</v>
      </c>
      <c r="AU214" s="1">
        <v>17.436699999999998</v>
      </c>
      <c r="AV214" s="1">
        <v>1.028</v>
      </c>
      <c r="AW214" s="1">
        <v>9.9758999999999993</v>
      </c>
      <c r="AX214" s="1">
        <v>0.28249000000000002</v>
      </c>
      <c r="BA214" s="1425">
        <v>44917</v>
      </c>
      <c r="BB214" s="1">
        <v>11.809799999999999</v>
      </c>
      <c r="BC214" s="1">
        <v>2.6480999999999999</v>
      </c>
      <c r="BD214" s="1">
        <v>12.197900000000001</v>
      </c>
      <c r="BE214" s="1">
        <v>0.74275999999999998</v>
      </c>
      <c r="BG214" s="1425">
        <v>44917</v>
      </c>
      <c r="BH214" s="1">
        <v>17.147200000000002</v>
      </c>
      <c r="BI214" s="1">
        <v>3.4558</v>
      </c>
      <c r="BJ214" s="1">
        <v>18.749300000000002</v>
      </c>
      <c r="BT214" s="1425">
        <v>44922</v>
      </c>
      <c r="BU214" s="1">
        <v>12.4983</v>
      </c>
      <c r="BV214" s="1">
        <v>2.7515999999999998</v>
      </c>
      <c r="BW214" s="1">
        <v>6.5425000000000004</v>
      </c>
      <c r="BX214" s="1">
        <v>1.9412</v>
      </c>
      <c r="BZ214" s="1425">
        <v>44922</v>
      </c>
      <c r="CA214" s="1">
        <v>14.4795</v>
      </c>
      <c r="CB214" s="1">
        <v>4.2609000000000004</v>
      </c>
      <c r="CC214" s="1">
        <v>11.4991</v>
      </c>
      <c r="CD214" s="1">
        <v>2.61673</v>
      </c>
      <c r="CF214" s="1425">
        <v>44921</v>
      </c>
      <c r="CG214" s="1">
        <v>4.1063999999999998</v>
      </c>
      <c r="CH214" s="1">
        <v>1.1979</v>
      </c>
      <c r="CL214" s="1425">
        <v>44929</v>
      </c>
      <c r="CM214" s="1">
        <v>23.0899</v>
      </c>
      <c r="CN214" s="1">
        <v>2.6427999999999998</v>
      </c>
      <c r="CO214" s="1">
        <v>11.4206</v>
      </c>
    </row>
    <row r="215" spans="1:93">
      <c r="A215" s="1425">
        <v>44921</v>
      </c>
      <c r="B215" s="20">
        <f t="shared" si="32"/>
        <v>6.9195000000000002</v>
      </c>
      <c r="C215" s="20">
        <f t="shared" si="34"/>
        <v>6.0275999999999996</v>
      </c>
      <c r="D215" s="20">
        <f t="shared" si="35"/>
        <v>13.1158</v>
      </c>
      <c r="E215" s="20">
        <f t="shared" si="36"/>
        <v>6.9591000000000003</v>
      </c>
      <c r="F215" s="20">
        <f t="shared" si="37"/>
        <v>16.9315</v>
      </c>
      <c r="G215" s="20">
        <f t="shared" si="38"/>
        <v>11.809799999999999</v>
      </c>
      <c r="H215" s="1239">
        <f t="shared" si="39"/>
        <v>11.809799999999999</v>
      </c>
      <c r="I215" s="1243">
        <f t="shared" si="33"/>
        <v>-0.41408829954783311</v>
      </c>
      <c r="J215" s="1243">
        <f t="shared" si="40"/>
        <v>0.12093838824177333</v>
      </c>
      <c r="K215" s="1243">
        <f t="shared" si="41"/>
        <v>0.1</v>
      </c>
      <c r="L215" s="203"/>
      <c r="N215" s="1425">
        <v>44921</v>
      </c>
      <c r="O215" s="1502">
        <v>6.9195000000000002</v>
      </c>
      <c r="P215" s="1502">
        <v>2.6770999999999998</v>
      </c>
      <c r="Q215" s="1502">
        <v>7.6643999999999997</v>
      </c>
      <c r="R215" s="1233">
        <f>'B. PE'!$U$23</f>
        <v>15.978235616082999</v>
      </c>
      <c r="S215" s="1233"/>
      <c r="T215" s="1233"/>
      <c r="V215" s="1425">
        <v>44921</v>
      </c>
      <c r="W215" s="1">
        <v>6.0275999999999996</v>
      </c>
      <c r="X215" s="1">
        <v>0.84319999999999995</v>
      </c>
      <c r="Y215" s="1">
        <v>5.6588000000000003</v>
      </c>
      <c r="Z215" s="1">
        <v>0.67925999999999997</v>
      </c>
      <c r="AB215" s="1425">
        <v>44909</v>
      </c>
      <c r="AC215" s="1">
        <v>6.5471000000000004</v>
      </c>
      <c r="AD215" s="1502">
        <v>0.99880000000000002</v>
      </c>
      <c r="AE215" s="1">
        <v>4.8201000000000001</v>
      </c>
      <c r="AF215" s="1">
        <v>2.6159999999999999E-2</v>
      </c>
      <c r="AH215" s="1425">
        <v>44909</v>
      </c>
      <c r="AI215" s="1">
        <v>12.883599999999999</v>
      </c>
      <c r="AJ215" s="1">
        <v>2.2669999999999999</v>
      </c>
      <c r="AK215" s="1">
        <v>6.5566000000000004</v>
      </c>
      <c r="AL215" s="1">
        <v>3.669E-2</v>
      </c>
      <c r="AN215" s="1425">
        <v>44915</v>
      </c>
      <c r="AO215" s="1">
        <v>7.1929999999999996</v>
      </c>
      <c r="AP215" s="1">
        <v>1.0915999999999999</v>
      </c>
      <c r="AQ215" s="1">
        <v>4.7634999999999996</v>
      </c>
      <c r="AR215" s="1">
        <v>0.27350000000000002</v>
      </c>
      <c r="AT215" s="1425">
        <v>44915</v>
      </c>
      <c r="AU215" s="1">
        <v>18.479900000000001</v>
      </c>
      <c r="AV215" s="1">
        <v>1.0894999999999999</v>
      </c>
      <c r="AW215" s="1">
        <v>10.526</v>
      </c>
      <c r="AX215" s="1">
        <v>0.27801999999999999</v>
      </c>
      <c r="BA215" s="1425">
        <v>44916</v>
      </c>
      <c r="BB215" s="1">
        <v>11.809799999999999</v>
      </c>
      <c r="BC215" s="1">
        <v>2.6480999999999999</v>
      </c>
      <c r="BD215" s="1">
        <v>12.197900000000001</v>
      </c>
      <c r="BE215" s="1">
        <v>0.74658999999999998</v>
      </c>
      <c r="BG215" s="1425">
        <v>44916</v>
      </c>
      <c r="BH215" s="1">
        <v>16.823699999999999</v>
      </c>
      <c r="BI215" s="1">
        <v>3.3906000000000001</v>
      </c>
      <c r="BJ215" s="1">
        <v>18.484200000000001</v>
      </c>
      <c r="BT215" s="1425">
        <v>44921</v>
      </c>
      <c r="BU215" s="1">
        <v>12.155900000000001</v>
      </c>
      <c r="BV215" s="1">
        <v>2.6762999999999999</v>
      </c>
      <c r="BW215" s="1">
        <v>6.3807</v>
      </c>
      <c r="BX215" s="1">
        <v>1.9645999999999999</v>
      </c>
      <c r="BZ215" s="1425">
        <v>44921</v>
      </c>
      <c r="CA215" s="1">
        <v>14.0388</v>
      </c>
      <c r="CB215" s="1">
        <v>4.1311999999999998</v>
      </c>
      <c r="CC215" s="1">
        <v>11.2338</v>
      </c>
      <c r="CD215" s="1">
        <v>2.6378300000000001</v>
      </c>
      <c r="CF215" s="1425">
        <v>44918</v>
      </c>
      <c r="CG215" s="1">
        <v>4.4401000000000002</v>
      </c>
      <c r="CH215" s="1">
        <v>1.2951999999999999</v>
      </c>
      <c r="CL215" s="1425">
        <v>44925</v>
      </c>
      <c r="CM215" s="1">
        <v>22.686</v>
      </c>
      <c r="CN215" s="1">
        <v>2.5964999999999998</v>
      </c>
      <c r="CO215" s="1">
        <v>11.238300000000001</v>
      </c>
    </row>
    <row r="216" spans="1:93">
      <c r="A216" s="1425">
        <v>44918</v>
      </c>
      <c r="B216" s="20">
        <f t="shared" si="32"/>
        <v>7.4184000000000001</v>
      </c>
      <c r="C216" s="20">
        <f t="shared" si="34"/>
        <v>6.4702999999999999</v>
      </c>
      <c r="D216" s="20">
        <f t="shared" si="35"/>
        <v>13.464</v>
      </c>
      <c r="E216" s="20">
        <f t="shared" si="36"/>
        <v>7.0175000000000001</v>
      </c>
      <c r="F216" s="20">
        <f t="shared" si="37"/>
        <v>16.9315</v>
      </c>
      <c r="G216" s="20">
        <f t="shared" si="38"/>
        <v>11.809799999999999</v>
      </c>
      <c r="H216" s="1239">
        <f t="shared" si="39"/>
        <v>11.809799999999999</v>
      </c>
      <c r="I216" s="1243">
        <f t="shared" si="33"/>
        <v>-0.37184372300970381</v>
      </c>
      <c r="J216" s="1243">
        <f t="shared" si="40"/>
        <v>0.12093838824177333</v>
      </c>
      <c r="K216" s="1243">
        <f t="shared" si="41"/>
        <v>0.1</v>
      </c>
      <c r="L216" s="203"/>
      <c r="N216" s="1425">
        <v>44918</v>
      </c>
      <c r="O216" s="1502">
        <v>7.4184000000000001</v>
      </c>
      <c r="P216" s="1502">
        <v>2.8702000000000001</v>
      </c>
      <c r="Q216" s="1502">
        <v>8.1132000000000009</v>
      </c>
      <c r="R216" s="1233">
        <f>'B. PE'!$U$23</f>
        <v>15.978235616082999</v>
      </c>
      <c r="S216" s="1233"/>
      <c r="T216" s="1233"/>
      <c r="V216" s="1425">
        <v>44918</v>
      </c>
      <c r="W216" s="1">
        <v>6.4702999999999999</v>
      </c>
      <c r="X216" s="1">
        <v>0.90510000000000002</v>
      </c>
      <c r="Y216" s="1">
        <v>5.8665000000000003</v>
      </c>
      <c r="Z216" s="1">
        <v>0.70965</v>
      </c>
      <c r="AB216" s="1425">
        <v>44908</v>
      </c>
      <c r="AC216" s="1">
        <v>6.4823000000000004</v>
      </c>
      <c r="AD216" s="1502">
        <v>0.9889</v>
      </c>
      <c r="AE216" s="1">
        <v>4.7914000000000003</v>
      </c>
      <c r="AF216" s="1">
        <v>2.5559999999999999E-2</v>
      </c>
      <c r="AH216" s="1425">
        <v>44908</v>
      </c>
      <c r="AI216" s="1">
        <v>13.1158</v>
      </c>
      <c r="AJ216" s="1">
        <v>2.3077999999999999</v>
      </c>
      <c r="AK216" s="1">
        <v>6.6748000000000003</v>
      </c>
      <c r="AL216" s="1">
        <v>3.6920000000000001E-2</v>
      </c>
      <c r="AN216" s="1425">
        <v>44914</v>
      </c>
      <c r="AO216" s="1">
        <v>7.0759999999999996</v>
      </c>
      <c r="AP216" s="1">
        <v>1.0738000000000001</v>
      </c>
      <c r="AQ216" s="1">
        <v>4.6768999999999998</v>
      </c>
      <c r="AR216" s="1">
        <v>0.27625</v>
      </c>
      <c r="AT216" s="1425">
        <v>44914</v>
      </c>
      <c r="AU216" s="1">
        <v>18.628900000000002</v>
      </c>
      <c r="AV216" s="1">
        <v>1.0982000000000001</v>
      </c>
      <c r="AW216" s="1">
        <v>10.6046</v>
      </c>
      <c r="AX216" s="1">
        <v>0.27625</v>
      </c>
      <c r="BA216" s="1425">
        <v>44915</v>
      </c>
      <c r="BB216" s="1">
        <v>11.809799999999999</v>
      </c>
      <c r="BC216" s="1">
        <v>2.6480999999999999</v>
      </c>
      <c r="BD216" s="1">
        <v>12.197900000000001</v>
      </c>
      <c r="BE216" s="1">
        <v>0.73085</v>
      </c>
      <c r="BG216" s="1425">
        <v>44915</v>
      </c>
      <c r="BH216" s="1">
        <v>16.823699999999999</v>
      </c>
      <c r="BI216" s="1">
        <v>3.3906000000000001</v>
      </c>
      <c r="BJ216" s="1">
        <v>18.484200000000001</v>
      </c>
      <c r="BT216" s="1425">
        <v>44918</v>
      </c>
      <c r="BU216" s="1">
        <v>13.069000000000001</v>
      </c>
      <c r="BV216" s="1">
        <v>2.8773</v>
      </c>
      <c r="BW216" s="1">
        <v>6.8121</v>
      </c>
      <c r="BX216" s="1">
        <v>1.9559</v>
      </c>
      <c r="BZ216" s="1425">
        <v>44918</v>
      </c>
      <c r="CA216" s="1">
        <v>14.8992</v>
      </c>
      <c r="CB216" s="1">
        <v>4.3844000000000003</v>
      </c>
      <c r="CC216" s="1">
        <v>11.7517</v>
      </c>
      <c r="CD216" s="1">
        <v>2.63916</v>
      </c>
      <c r="CF216" s="1425">
        <v>44917</v>
      </c>
      <c r="CG216" s="1">
        <v>4.3887</v>
      </c>
      <c r="CH216" s="1">
        <v>1.2802</v>
      </c>
      <c r="CL216" s="1425">
        <v>44924</v>
      </c>
      <c r="CM216" s="1">
        <v>19.0184</v>
      </c>
      <c r="CN216" s="1">
        <v>2.6162000000000001</v>
      </c>
      <c r="CO216" s="1">
        <v>10.639699999999999</v>
      </c>
    </row>
    <row r="217" spans="1:93">
      <c r="A217" s="1425">
        <v>44917</v>
      </c>
      <c r="B217" s="20">
        <f t="shared" si="32"/>
        <v>7.5125999999999999</v>
      </c>
      <c r="C217" s="20">
        <f t="shared" si="34"/>
        <v>6.5042999999999997</v>
      </c>
      <c r="D217" s="20">
        <f t="shared" si="35"/>
        <v>13.347899999999999</v>
      </c>
      <c r="E217" s="20">
        <f t="shared" si="36"/>
        <v>7.0175000000000001</v>
      </c>
      <c r="F217" s="20">
        <f t="shared" si="37"/>
        <v>17.147200000000002</v>
      </c>
      <c r="G217" s="20">
        <f t="shared" si="38"/>
        <v>11.809799999999999</v>
      </c>
      <c r="H217" s="1239">
        <f t="shared" si="39"/>
        <v>11.809799999999999</v>
      </c>
      <c r="I217" s="1243">
        <f t="shared" si="33"/>
        <v>-0.36386729665193307</v>
      </c>
      <c r="J217" s="1243">
        <f t="shared" si="40"/>
        <v>0.12093838824177333</v>
      </c>
      <c r="K217" s="1243">
        <f t="shared" si="41"/>
        <v>0.1</v>
      </c>
      <c r="L217" s="203"/>
      <c r="N217" s="1425">
        <v>44917</v>
      </c>
      <c r="O217" s="1502">
        <v>7.5125999999999999</v>
      </c>
      <c r="P217" s="1502">
        <v>2.9066000000000001</v>
      </c>
      <c r="Q217" s="1502">
        <v>8.1978000000000009</v>
      </c>
      <c r="R217" s="1233">
        <f>'B. PE'!$U$23</f>
        <v>15.978235616082999</v>
      </c>
      <c r="S217" s="1233"/>
      <c r="T217" s="1233"/>
      <c r="V217" s="1425">
        <v>44917</v>
      </c>
      <c r="W217" s="1">
        <v>6.5042999999999997</v>
      </c>
      <c r="X217" s="1">
        <v>0.90980000000000005</v>
      </c>
      <c r="Y217" s="1">
        <v>5.8825000000000003</v>
      </c>
      <c r="Z217" s="1">
        <v>0.74656</v>
      </c>
      <c r="AB217" s="1425">
        <v>44907</v>
      </c>
      <c r="AC217" s="1">
        <v>6.6443000000000003</v>
      </c>
      <c r="AD217" s="1502">
        <v>1.0136000000000001</v>
      </c>
      <c r="AE217" s="1">
        <v>4.8632999999999997</v>
      </c>
      <c r="AF217" s="1">
        <v>2.5520000000000001E-2</v>
      </c>
      <c r="AH217" s="1425">
        <v>44907</v>
      </c>
      <c r="AI217" s="1">
        <v>13.347899999999999</v>
      </c>
      <c r="AJ217" s="1">
        <v>2.3487</v>
      </c>
      <c r="AK217" s="1">
        <v>6.7930999999999999</v>
      </c>
      <c r="AL217" s="1">
        <v>3.6549999999999999E-2</v>
      </c>
      <c r="AN217" s="1425">
        <v>44911</v>
      </c>
      <c r="AO217" s="1">
        <v>7.0759999999999996</v>
      </c>
      <c r="AP217" s="1">
        <v>1.0738000000000001</v>
      </c>
      <c r="AQ217" s="1">
        <v>4.6768999999999998</v>
      </c>
      <c r="AR217" s="1">
        <v>0.27772000000000002</v>
      </c>
      <c r="AT217" s="1425">
        <v>44911</v>
      </c>
      <c r="AU217" s="1">
        <v>18.3308</v>
      </c>
      <c r="AV217" s="1">
        <v>1.0807</v>
      </c>
      <c r="AW217" s="1">
        <v>10.4474</v>
      </c>
      <c r="AX217" s="1">
        <v>0.28000000000000003</v>
      </c>
      <c r="BA217" s="1425">
        <v>44914</v>
      </c>
      <c r="BB217" s="1">
        <v>11.9244</v>
      </c>
      <c r="BC217" s="1">
        <v>2.6738</v>
      </c>
      <c r="BD217" s="1">
        <v>12.282</v>
      </c>
      <c r="BE217" s="1">
        <v>0.72648000000000001</v>
      </c>
      <c r="BG217" s="1425">
        <v>44914</v>
      </c>
      <c r="BH217" s="1">
        <v>17.147200000000002</v>
      </c>
      <c r="BI217" s="1">
        <v>3.4558</v>
      </c>
      <c r="BJ217" s="1">
        <v>18.749300000000002</v>
      </c>
      <c r="BT217" s="1425">
        <v>44917</v>
      </c>
      <c r="BU217" s="1">
        <v>13.268800000000001</v>
      </c>
      <c r="BV217" s="1">
        <v>2.9213</v>
      </c>
      <c r="BW217" s="1">
        <v>6.9065000000000003</v>
      </c>
      <c r="BX217" s="1">
        <v>1.9592000000000001</v>
      </c>
      <c r="BZ217" s="1425">
        <v>44917</v>
      </c>
      <c r="CA217" s="1">
        <v>15.0671</v>
      </c>
      <c r="CB217" s="1">
        <v>4.4337999999999997</v>
      </c>
      <c r="CC217" s="1">
        <v>11.8527</v>
      </c>
      <c r="CD217" s="1">
        <v>2.6379299999999999</v>
      </c>
      <c r="CF217" s="1425">
        <v>44916</v>
      </c>
      <c r="CG217" s="1">
        <v>4.2861000000000002</v>
      </c>
      <c r="CH217" s="1">
        <v>1.2503</v>
      </c>
      <c r="CL217" s="1425">
        <v>44923</v>
      </c>
      <c r="CM217" s="1">
        <v>18.9117</v>
      </c>
      <c r="CN217" s="1">
        <v>2.6015999999999999</v>
      </c>
      <c r="CO217" s="1">
        <v>10.5806</v>
      </c>
    </row>
    <row r="218" spans="1:93">
      <c r="A218" s="1425">
        <v>44916</v>
      </c>
      <c r="B218" s="20">
        <f t="shared" si="32"/>
        <v>7.4561000000000002</v>
      </c>
      <c r="C218" s="20">
        <f t="shared" si="34"/>
        <v>6.8108000000000004</v>
      </c>
      <c r="D218" s="20">
        <f t="shared" si="35"/>
        <v>12.7676</v>
      </c>
      <c r="E218" s="20">
        <f t="shared" si="36"/>
        <v>6.9005999999999998</v>
      </c>
      <c r="F218" s="20">
        <f t="shared" si="37"/>
        <v>16.823699999999999</v>
      </c>
      <c r="G218" s="20">
        <f t="shared" si="38"/>
        <v>11.809799999999999</v>
      </c>
      <c r="H218" s="1239">
        <f t="shared" si="39"/>
        <v>11.809799999999999</v>
      </c>
      <c r="I218" s="1243">
        <f t="shared" si="33"/>
        <v>-0.36865145895781459</v>
      </c>
      <c r="J218" s="1243">
        <f t="shared" si="40"/>
        <v>0.12093838824177333</v>
      </c>
      <c r="K218" s="1243">
        <f t="shared" si="41"/>
        <v>0.1</v>
      </c>
      <c r="L218" s="203"/>
      <c r="N218" s="1425">
        <v>44916</v>
      </c>
      <c r="O218" s="1502">
        <v>7.4561000000000002</v>
      </c>
      <c r="P218" s="1502">
        <v>2.8847</v>
      </c>
      <c r="Q218" s="1502">
        <v>8.1470000000000002</v>
      </c>
      <c r="R218" s="1233">
        <f>'B. PE'!$U$23</f>
        <v>15.978235616082999</v>
      </c>
      <c r="S218" s="1233"/>
      <c r="T218" s="1233"/>
      <c r="V218" s="1425">
        <v>44916</v>
      </c>
      <c r="W218" s="1">
        <v>6.8108000000000004</v>
      </c>
      <c r="X218" s="1">
        <v>0.95269999999999999</v>
      </c>
      <c r="Y218" s="1">
        <v>6.0263</v>
      </c>
      <c r="Z218" s="1">
        <v>0.77446000000000004</v>
      </c>
      <c r="AB218" s="1425">
        <v>44904</v>
      </c>
      <c r="AC218" s="1">
        <v>6.4497999999999998</v>
      </c>
      <c r="AD218" s="1502">
        <v>0.98399999999999999</v>
      </c>
      <c r="AE218" s="1">
        <v>4.7770000000000001</v>
      </c>
      <c r="AF218" s="1">
        <v>2.4740000000000002E-2</v>
      </c>
      <c r="AH218" s="1425">
        <v>44904</v>
      </c>
      <c r="AI218" s="1">
        <v>13.347899999999999</v>
      </c>
      <c r="AJ218" s="1">
        <v>2.3487</v>
      </c>
      <c r="AK218" s="1">
        <v>6.7930999999999999</v>
      </c>
      <c r="AL218" s="1">
        <v>3.6209999999999999E-2</v>
      </c>
      <c r="AN218" s="1425">
        <v>44910</v>
      </c>
      <c r="AO218" s="1">
        <v>7.1345000000000001</v>
      </c>
      <c r="AP218" s="1">
        <v>1.0827</v>
      </c>
      <c r="AQ218" s="1">
        <v>4.7202000000000002</v>
      </c>
      <c r="AR218" s="1">
        <v>0.27539999999999998</v>
      </c>
      <c r="AT218" s="1425">
        <v>44910</v>
      </c>
      <c r="AU218" s="1">
        <v>18.181799999999999</v>
      </c>
      <c r="AV218" s="1">
        <v>1.0719000000000001</v>
      </c>
      <c r="AW218" s="1">
        <v>10.3688</v>
      </c>
      <c r="AX218" s="1">
        <v>0.28893999999999997</v>
      </c>
      <c r="BA218" s="1425">
        <v>44911</v>
      </c>
      <c r="BB218" s="1">
        <v>11.6951</v>
      </c>
      <c r="BC218" s="1">
        <v>2.6223000000000001</v>
      </c>
      <c r="BD218" s="1">
        <v>12.113899999999999</v>
      </c>
      <c r="BE218" s="1">
        <v>0.74609999999999999</v>
      </c>
      <c r="BG218" s="1425">
        <v>44911</v>
      </c>
      <c r="BH218" s="1">
        <v>17.147200000000002</v>
      </c>
      <c r="BI218" s="1">
        <v>3.4558</v>
      </c>
      <c r="BJ218" s="1">
        <v>18.749300000000002</v>
      </c>
      <c r="BT218" s="1425">
        <v>44916</v>
      </c>
      <c r="BU218" s="1">
        <v>13.2402</v>
      </c>
      <c r="BV218" s="1">
        <v>2.915</v>
      </c>
      <c r="BW218" s="1">
        <v>6.8929999999999998</v>
      </c>
      <c r="BX218" s="1">
        <v>1.99</v>
      </c>
      <c r="BZ218" s="1425">
        <v>44916</v>
      </c>
      <c r="CA218" s="1">
        <v>15.109</v>
      </c>
      <c r="CB218" s="1">
        <v>4.4461000000000004</v>
      </c>
      <c r="CC218" s="1">
        <v>11.878</v>
      </c>
      <c r="CD218" s="1">
        <v>2.6974399999999998</v>
      </c>
      <c r="CF218" s="1425">
        <v>44915</v>
      </c>
      <c r="CG218" s="1">
        <v>4.2347999999999999</v>
      </c>
      <c r="CH218" s="1">
        <v>1.2353000000000001</v>
      </c>
      <c r="CL218" s="1425">
        <v>44922</v>
      </c>
      <c r="CM218" s="1">
        <v>18.9117</v>
      </c>
      <c r="CN218" s="1">
        <v>2.6015999999999999</v>
      </c>
      <c r="CO218" s="1">
        <v>10.5806</v>
      </c>
    </row>
    <row r="219" spans="1:93">
      <c r="A219" s="1425">
        <v>44915</v>
      </c>
      <c r="B219" s="20">
        <f t="shared" si="32"/>
        <v>7.7196999999999996</v>
      </c>
      <c r="C219" s="20">
        <f t="shared" si="34"/>
        <v>7.1684000000000001</v>
      </c>
      <c r="D219" s="20">
        <f t="shared" si="35"/>
        <v>12.3033</v>
      </c>
      <c r="E219" s="20">
        <f t="shared" si="36"/>
        <v>7.1929999999999996</v>
      </c>
      <c r="F219" s="20">
        <f t="shared" si="37"/>
        <v>16.823699999999999</v>
      </c>
      <c r="G219" s="20">
        <f t="shared" si="38"/>
        <v>11.809799999999999</v>
      </c>
      <c r="H219" s="1239">
        <f t="shared" si="39"/>
        <v>11.809799999999999</v>
      </c>
      <c r="I219" s="1243">
        <f t="shared" si="33"/>
        <v>-0.34633101322630355</v>
      </c>
      <c r="J219" s="1243">
        <f t="shared" si="40"/>
        <v>0.12093838824177333</v>
      </c>
      <c r="K219" s="1243">
        <f t="shared" si="41"/>
        <v>0.1</v>
      </c>
      <c r="L219" s="203"/>
      <c r="N219" s="1425">
        <v>44915</v>
      </c>
      <c r="O219" s="1502">
        <v>7.7196999999999996</v>
      </c>
      <c r="P219" s="1502">
        <v>2.9866999999999999</v>
      </c>
      <c r="Q219" s="1502">
        <v>8.3841000000000001</v>
      </c>
      <c r="R219" s="1233">
        <f>'B. PE'!$U$23</f>
        <v>15.978235616082999</v>
      </c>
      <c r="S219" s="1233"/>
      <c r="T219" s="1233"/>
      <c r="V219" s="1425">
        <v>44915</v>
      </c>
      <c r="W219" s="1">
        <v>7.1684000000000001</v>
      </c>
      <c r="X219" s="1">
        <v>1.0026999999999999</v>
      </c>
      <c r="Y219" s="1">
        <v>6.194</v>
      </c>
      <c r="Z219" s="1">
        <v>0.75961999999999996</v>
      </c>
      <c r="AB219" s="1425">
        <v>44903</v>
      </c>
      <c r="AC219" s="1">
        <v>6.4497999999999998</v>
      </c>
      <c r="AD219" s="1502">
        <v>0.98399999999999999</v>
      </c>
      <c r="AE219" s="1">
        <v>4.7770000000000001</v>
      </c>
      <c r="AF219" s="1">
        <v>2.4590000000000001E-2</v>
      </c>
      <c r="AH219" s="1425">
        <v>44903</v>
      </c>
      <c r="AI219" s="1">
        <v>13.2319</v>
      </c>
      <c r="AJ219" s="1">
        <v>2.3281999999999998</v>
      </c>
      <c r="AK219" s="1">
        <v>6.7339000000000002</v>
      </c>
      <c r="AL219" s="1">
        <v>3.5540000000000002E-2</v>
      </c>
      <c r="AN219" s="1425">
        <v>44909</v>
      </c>
      <c r="AO219" s="1">
        <v>7.1345000000000001</v>
      </c>
      <c r="AP219" s="1">
        <v>1.0827</v>
      </c>
      <c r="AQ219" s="1">
        <v>4.7202000000000002</v>
      </c>
      <c r="AR219" s="1">
        <v>0.27162999999999998</v>
      </c>
      <c r="AT219" s="1425">
        <v>44909</v>
      </c>
      <c r="AU219" s="1">
        <v>18.3308</v>
      </c>
      <c r="AV219" s="1">
        <v>1.0807</v>
      </c>
      <c r="AW219" s="1">
        <v>10.4474</v>
      </c>
      <c r="AX219" s="1">
        <v>0.28747</v>
      </c>
      <c r="BA219" s="1425">
        <v>44910</v>
      </c>
      <c r="BB219" s="1">
        <v>11.6951</v>
      </c>
      <c r="BC219" s="1">
        <v>2.6223000000000001</v>
      </c>
      <c r="BD219" s="1">
        <v>12.113899999999999</v>
      </c>
      <c r="BE219" s="1">
        <v>0.73694999999999999</v>
      </c>
      <c r="BG219" s="1425">
        <v>44910</v>
      </c>
      <c r="BH219" s="1">
        <v>17.039300000000001</v>
      </c>
      <c r="BI219" s="1">
        <v>3.4340999999999999</v>
      </c>
      <c r="BJ219" s="1">
        <v>18.660900000000002</v>
      </c>
      <c r="BT219" s="1425">
        <v>44915</v>
      </c>
      <c r="BU219" s="1">
        <v>13.268800000000001</v>
      </c>
      <c r="BV219" s="1">
        <v>2.9213</v>
      </c>
      <c r="BW219" s="1">
        <v>6.9065000000000003</v>
      </c>
      <c r="BX219" s="1">
        <v>2.0272999999999999</v>
      </c>
      <c r="BZ219" s="1425">
        <v>44915</v>
      </c>
      <c r="CA219" s="1">
        <v>15.109</v>
      </c>
      <c r="CB219" s="1">
        <v>4.4461000000000004</v>
      </c>
      <c r="CC219" s="1">
        <v>11.878</v>
      </c>
      <c r="CD219" s="1">
        <v>2.7520500000000001</v>
      </c>
      <c r="CF219" s="1425">
        <v>44914</v>
      </c>
      <c r="CG219" s="1">
        <v>4.0293999999999999</v>
      </c>
      <c r="CH219" s="1">
        <v>1.1754</v>
      </c>
      <c r="CL219" s="1425">
        <v>44918</v>
      </c>
      <c r="CM219" s="1">
        <v>18.7517</v>
      </c>
      <c r="CN219" s="1">
        <v>2.5796000000000001</v>
      </c>
      <c r="CO219" s="1">
        <v>10.492100000000001</v>
      </c>
    </row>
    <row r="220" spans="1:93">
      <c r="A220" s="1425">
        <v>44914</v>
      </c>
      <c r="B220" s="20">
        <f t="shared" si="32"/>
        <v>8.0774000000000008</v>
      </c>
      <c r="C220" s="20">
        <f t="shared" si="34"/>
        <v>7.4238</v>
      </c>
      <c r="D220" s="20">
        <f t="shared" si="35"/>
        <v>12.187200000000001</v>
      </c>
      <c r="E220" s="20">
        <f t="shared" si="36"/>
        <v>7.0759999999999996</v>
      </c>
      <c r="F220" s="20">
        <f t="shared" si="37"/>
        <v>17.147200000000002</v>
      </c>
      <c r="G220" s="20">
        <f t="shared" si="38"/>
        <v>11.9244</v>
      </c>
      <c r="H220" s="1239">
        <f t="shared" si="39"/>
        <v>11.9244</v>
      </c>
      <c r="I220" s="1243">
        <f t="shared" si="33"/>
        <v>-0.32261581295494945</v>
      </c>
      <c r="J220" s="1243">
        <f t="shared" si="40"/>
        <v>0.12093838824177333</v>
      </c>
      <c r="K220" s="1243">
        <f t="shared" si="41"/>
        <v>0.1</v>
      </c>
      <c r="L220" s="203"/>
      <c r="N220" s="1425">
        <v>44914</v>
      </c>
      <c r="O220" s="1502">
        <v>8.0774000000000008</v>
      </c>
      <c r="P220" s="1502">
        <v>3.1251000000000002</v>
      </c>
      <c r="Q220" s="1502">
        <v>8.7058999999999997</v>
      </c>
      <c r="R220" s="1233">
        <f>'B. PE'!$U$23</f>
        <v>15.978235616082999</v>
      </c>
      <c r="S220" s="1233"/>
      <c r="T220" s="1233"/>
      <c r="V220" s="1425">
        <v>44914</v>
      </c>
      <c r="W220" s="1">
        <v>7.4238</v>
      </c>
      <c r="X220" s="1">
        <v>1.0385</v>
      </c>
      <c r="Y220" s="1">
        <v>6.3139000000000003</v>
      </c>
      <c r="Z220" s="1">
        <v>0.75117999999999996</v>
      </c>
      <c r="AB220" s="1425">
        <v>44902</v>
      </c>
      <c r="AC220" s="1">
        <v>6.2553999999999998</v>
      </c>
      <c r="AD220" s="1502">
        <v>0.95430000000000004</v>
      </c>
      <c r="AE220" s="1">
        <v>4.6908000000000003</v>
      </c>
      <c r="AF220" s="1">
        <v>2.5190000000000001E-2</v>
      </c>
      <c r="AH220" s="1425">
        <v>44902</v>
      </c>
      <c r="AI220" s="1">
        <v>13.1158</v>
      </c>
      <c r="AJ220" s="1">
        <v>2.3077999999999999</v>
      </c>
      <c r="AK220" s="1">
        <v>6.6748000000000003</v>
      </c>
      <c r="AL220" s="1">
        <v>3.6499999999999998E-2</v>
      </c>
      <c r="AN220" s="1425">
        <v>44908</v>
      </c>
      <c r="AO220" s="1">
        <v>7.1345000000000001</v>
      </c>
      <c r="AP220" s="1">
        <v>1.0827</v>
      </c>
      <c r="AQ220" s="1">
        <v>4.7202000000000002</v>
      </c>
      <c r="AR220" s="1">
        <v>0.27474999999999999</v>
      </c>
      <c r="AT220" s="1425">
        <v>44908</v>
      </c>
      <c r="AU220" s="1">
        <v>19.076000000000001</v>
      </c>
      <c r="AV220" s="1">
        <v>1.1246</v>
      </c>
      <c r="AW220" s="1">
        <v>10.840400000000001</v>
      </c>
      <c r="AX220" s="1">
        <v>0.29519000000000001</v>
      </c>
      <c r="BA220" s="1425">
        <v>44909</v>
      </c>
      <c r="BB220" s="1">
        <v>11.809799999999999</v>
      </c>
      <c r="BC220" s="1">
        <v>2.6480999999999999</v>
      </c>
      <c r="BD220" s="1">
        <v>12.197900000000001</v>
      </c>
      <c r="BE220" s="1">
        <v>0.74239999999999995</v>
      </c>
      <c r="BG220" s="1425">
        <v>44909</v>
      </c>
      <c r="BH220" s="1">
        <v>18.117799999999999</v>
      </c>
      <c r="BI220" s="1">
        <v>3.6514000000000002</v>
      </c>
      <c r="BJ220" s="1">
        <v>19.5444</v>
      </c>
      <c r="BT220" s="1425">
        <v>44914</v>
      </c>
      <c r="BU220" s="1">
        <v>13.4543</v>
      </c>
      <c r="BV220" s="1">
        <v>2.9621</v>
      </c>
      <c r="BW220" s="1">
        <v>6.9947999999999997</v>
      </c>
      <c r="BX220" s="1">
        <v>1.9973000000000001</v>
      </c>
      <c r="BZ220" s="1425">
        <v>44914</v>
      </c>
      <c r="CA220" s="1">
        <v>15.4238</v>
      </c>
      <c r="CB220" s="1">
        <v>4.5387000000000004</v>
      </c>
      <c r="CC220" s="1">
        <v>12.067500000000001</v>
      </c>
      <c r="CD220" s="1">
        <v>2.7677399999999999</v>
      </c>
      <c r="CF220" s="1425">
        <v>44911</v>
      </c>
      <c r="CG220" s="1">
        <v>3.6701000000000001</v>
      </c>
      <c r="CH220" s="1">
        <v>1.0706</v>
      </c>
      <c r="CL220" s="1425">
        <v>44917</v>
      </c>
      <c r="CM220" s="1">
        <v>18.658300000000001</v>
      </c>
      <c r="CN220" s="1">
        <v>2.5667</v>
      </c>
      <c r="CO220" s="1">
        <v>10.4405</v>
      </c>
    </row>
    <row r="221" spans="1:93">
      <c r="A221" s="1425">
        <v>44911</v>
      </c>
      <c r="B221" s="20">
        <f t="shared" si="32"/>
        <v>8.4540000000000006</v>
      </c>
      <c r="C221" s="20">
        <f t="shared" si="34"/>
        <v>7.2534999999999998</v>
      </c>
      <c r="D221" s="20">
        <f t="shared" si="35"/>
        <v>12.535399999999999</v>
      </c>
      <c r="E221" s="20">
        <f t="shared" si="36"/>
        <v>7.0759999999999996</v>
      </c>
      <c r="F221" s="20">
        <f t="shared" si="37"/>
        <v>17.147200000000002</v>
      </c>
      <c r="G221" s="20">
        <f t="shared" si="38"/>
        <v>11.6951</v>
      </c>
      <c r="H221" s="1239">
        <f t="shared" si="39"/>
        <v>11.6951</v>
      </c>
      <c r="I221" s="1243">
        <f t="shared" si="33"/>
        <v>-0.27713315833126684</v>
      </c>
      <c r="J221" s="1243">
        <f t="shared" si="40"/>
        <v>0.12093838824177333</v>
      </c>
      <c r="K221" s="1243">
        <f t="shared" si="41"/>
        <v>0.1</v>
      </c>
      <c r="L221" s="203"/>
      <c r="N221" s="1425">
        <v>44911</v>
      </c>
      <c r="O221" s="1502">
        <v>8.4540000000000006</v>
      </c>
      <c r="P221" s="1502">
        <v>3.2707999999999999</v>
      </c>
      <c r="Q221" s="1502">
        <v>9.0446000000000009</v>
      </c>
      <c r="R221" s="1233">
        <f>'B. PE'!$U$23</f>
        <v>15.978235616082999</v>
      </c>
      <c r="S221" s="1233"/>
      <c r="T221" s="1233"/>
      <c r="V221" s="1425">
        <v>44911</v>
      </c>
      <c r="W221" s="1">
        <v>7.2534999999999998</v>
      </c>
      <c r="X221" s="1">
        <v>1.0145999999999999</v>
      </c>
      <c r="Y221" s="1">
        <v>6.234</v>
      </c>
      <c r="Z221" s="1">
        <v>0.74521000000000004</v>
      </c>
      <c r="AB221" s="1425">
        <v>44901</v>
      </c>
      <c r="AC221" s="1">
        <v>6.2229999999999999</v>
      </c>
      <c r="AD221" s="1502">
        <v>0.94930000000000003</v>
      </c>
      <c r="AE221" s="1">
        <v>4.6764000000000001</v>
      </c>
      <c r="AF221" s="1">
        <v>2.605E-2</v>
      </c>
      <c r="AH221" s="1425">
        <v>44901</v>
      </c>
      <c r="AI221" s="1">
        <v>12.883599999999999</v>
      </c>
      <c r="AJ221" s="1">
        <v>2.2669999999999999</v>
      </c>
      <c r="AK221" s="1">
        <v>6.5566000000000004</v>
      </c>
      <c r="AL221" s="1">
        <v>3.8089999999999999E-2</v>
      </c>
      <c r="AN221" s="1425">
        <v>44907</v>
      </c>
      <c r="AO221" s="1">
        <v>7.0175000000000001</v>
      </c>
      <c r="AP221" s="1">
        <v>1.0649</v>
      </c>
      <c r="AQ221" s="1">
        <v>4.6336000000000004</v>
      </c>
      <c r="AR221" s="1">
        <v>0.27056999999999998</v>
      </c>
      <c r="AT221" s="1425">
        <v>44907</v>
      </c>
      <c r="AU221" s="1">
        <v>18.927</v>
      </c>
      <c r="AV221" s="1">
        <v>1.1157999999999999</v>
      </c>
      <c r="AW221" s="1">
        <v>10.761799999999999</v>
      </c>
      <c r="AX221" s="1">
        <v>0.28648000000000001</v>
      </c>
      <c r="BA221" s="1425">
        <v>44908</v>
      </c>
      <c r="BB221" s="1">
        <v>11.6951</v>
      </c>
      <c r="BC221" s="1">
        <v>2.6223000000000001</v>
      </c>
      <c r="BD221" s="1">
        <v>12.113899999999999</v>
      </c>
      <c r="BE221" s="1">
        <v>0.73526999999999998</v>
      </c>
      <c r="BG221" s="1425">
        <v>44908</v>
      </c>
      <c r="BH221" s="1">
        <v>18.009899999999998</v>
      </c>
      <c r="BI221" s="1">
        <v>3.6297000000000001</v>
      </c>
      <c r="BJ221" s="1">
        <v>19.456099999999999</v>
      </c>
      <c r="BT221" s="1425">
        <v>44911</v>
      </c>
      <c r="BU221" s="1">
        <v>13.654</v>
      </c>
      <c r="BV221" s="1">
        <v>3.0061</v>
      </c>
      <c r="BW221" s="1">
        <v>7.0891999999999999</v>
      </c>
      <c r="BX221" s="1">
        <v>1.9722999999999999</v>
      </c>
      <c r="BZ221" s="1425">
        <v>44911</v>
      </c>
      <c r="CA221" s="1">
        <v>15.675599999999999</v>
      </c>
      <c r="CB221" s="1">
        <v>4.6128</v>
      </c>
      <c r="CC221" s="1">
        <v>12.218999999999999</v>
      </c>
      <c r="CD221" s="1">
        <v>2.75074</v>
      </c>
      <c r="CF221" s="1425">
        <v>44910</v>
      </c>
      <c r="CG221" s="1">
        <v>3.7728000000000002</v>
      </c>
      <c r="CH221" s="1">
        <v>1.1005</v>
      </c>
      <c r="CL221" s="1425">
        <v>44916</v>
      </c>
      <c r="CM221" s="1">
        <v>18.7117</v>
      </c>
      <c r="CN221" s="1">
        <v>2.5741000000000001</v>
      </c>
      <c r="CO221" s="1">
        <v>10.47</v>
      </c>
    </row>
    <row r="222" spans="1:93">
      <c r="A222" s="1425">
        <v>44910</v>
      </c>
      <c r="B222" s="20">
        <f t="shared" si="32"/>
        <v>8.3222000000000005</v>
      </c>
      <c r="C222" s="20">
        <f t="shared" si="34"/>
        <v>7.1513</v>
      </c>
      <c r="D222" s="20">
        <f t="shared" si="35"/>
        <v>12.7676</v>
      </c>
      <c r="E222" s="20">
        <f t="shared" si="36"/>
        <v>7.1345000000000001</v>
      </c>
      <c r="F222" s="20">
        <f t="shared" si="37"/>
        <v>17.039300000000001</v>
      </c>
      <c r="G222" s="20">
        <f t="shared" si="38"/>
        <v>11.6951</v>
      </c>
      <c r="H222" s="1239">
        <f t="shared" si="39"/>
        <v>11.6951</v>
      </c>
      <c r="I222" s="1243">
        <f t="shared" si="33"/>
        <v>-0.28840283537549916</v>
      </c>
      <c r="J222" s="1243">
        <f t="shared" si="40"/>
        <v>0.12093838824177333</v>
      </c>
      <c r="K222" s="1243">
        <f t="shared" si="41"/>
        <v>0.1</v>
      </c>
      <c r="L222" s="203"/>
      <c r="N222" s="1425">
        <v>44910</v>
      </c>
      <c r="O222" s="1502">
        <v>8.3222000000000005</v>
      </c>
      <c r="P222" s="1502">
        <v>3.2198000000000002</v>
      </c>
      <c r="Q222" s="1502">
        <v>8.9260000000000002</v>
      </c>
      <c r="R222" s="1233">
        <f>'B. PE'!$U$23</f>
        <v>15.978235616082999</v>
      </c>
      <c r="S222" s="1233"/>
      <c r="T222" s="1233"/>
      <c r="V222" s="1425">
        <v>44910</v>
      </c>
      <c r="W222" s="1">
        <v>7.1513</v>
      </c>
      <c r="X222" s="1">
        <v>1.0004</v>
      </c>
      <c r="Y222" s="1">
        <v>6.1860999999999997</v>
      </c>
      <c r="Z222" s="1">
        <v>0.74109999999999998</v>
      </c>
      <c r="AB222" s="1425">
        <v>44900</v>
      </c>
      <c r="AC222" s="1">
        <v>6.3201999999999998</v>
      </c>
      <c r="AD222" s="1502">
        <v>0.96419999999999995</v>
      </c>
      <c r="AE222" s="1">
        <v>4.7195</v>
      </c>
      <c r="AF222" s="1">
        <v>2.6380000000000001E-2</v>
      </c>
      <c r="AH222" s="1425">
        <v>44900</v>
      </c>
      <c r="AI222" s="1">
        <v>13.1158</v>
      </c>
      <c r="AJ222" s="1">
        <v>2.3077999999999999</v>
      </c>
      <c r="AK222" s="1">
        <v>6.6748000000000003</v>
      </c>
      <c r="AL222" s="1">
        <v>3.866E-2</v>
      </c>
      <c r="AN222" s="1425">
        <v>44904</v>
      </c>
      <c r="AO222" s="1">
        <v>7.0759999999999996</v>
      </c>
      <c r="AP222" s="1">
        <v>1.0738000000000001</v>
      </c>
      <c r="AQ222" s="1">
        <v>4.6768999999999998</v>
      </c>
      <c r="AR222" s="1">
        <v>0.27289999999999998</v>
      </c>
      <c r="AT222" s="1425">
        <v>44904</v>
      </c>
      <c r="AU222" s="1">
        <v>19.374099999999999</v>
      </c>
      <c r="AV222" s="1">
        <v>1.1422000000000001</v>
      </c>
      <c r="AW222" s="1">
        <v>10.9976</v>
      </c>
      <c r="AX222" s="1">
        <v>0.27972000000000002</v>
      </c>
      <c r="BA222" s="1425">
        <v>44904</v>
      </c>
      <c r="BB222" s="1">
        <v>11.809799999999999</v>
      </c>
      <c r="BC222" s="1">
        <v>2.6480999999999999</v>
      </c>
      <c r="BD222" s="1">
        <v>12.197900000000001</v>
      </c>
      <c r="BE222" s="1">
        <v>0.72194000000000003</v>
      </c>
      <c r="BG222" s="1425">
        <v>44904</v>
      </c>
      <c r="BH222" s="1">
        <v>19.0884</v>
      </c>
      <c r="BI222" s="1">
        <v>3.847</v>
      </c>
      <c r="BJ222" s="1">
        <v>20.339600000000001</v>
      </c>
      <c r="BT222" s="1425">
        <v>44910</v>
      </c>
      <c r="BU222" s="1">
        <v>13.4115</v>
      </c>
      <c r="BV222" s="1">
        <v>2.9527000000000001</v>
      </c>
      <c r="BW222" s="1">
        <v>6.9745999999999997</v>
      </c>
      <c r="BX222" s="1">
        <v>1.964</v>
      </c>
      <c r="BZ222" s="1425">
        <v>44910</v>
      </c>
      <c r="CA222" s="1">
        <v>15.717599999999999</v>
      </c>
      <c r="CB222" s="1">
        <v>4.6252000000000004</v>
      </c>
      <c r="CC222" s="1">
        <v>12.244300000000001</v>
      </c>
      <c r="CD222" s="1">
        <v>2.7605200000000001</v>
      </c>
      <c r="CF222" s="1425">
        <v>44909</v>
      </c>
      <c r="CG222" s="1">
        <v>3.6958000000000002</v>
      </c>
      <c r="CH222" s="1">
        <v>1.0781000000000001</v>
      </c>
      <c r="CL222" s="1425">
        <v>44915</v>
      </c>
      <c r="CM222" s="1">
        <v>18.645</v>
      </c>
      <c r="CN222" s="1">
        <v>2.5649000000000002</v>
      </c>
      <c r="CO222" s="1">
        <v>10.4331</v>
      </c>
    </row>
    <row r="223" spans="1:93">
      <c r="A223" s="1425">
        <v>44909</v>
      </c>
      <c r="B223" s="20">
        <f t="shared" si="32"/>
        <v>8.1904000000000003</v>
      </c>
      <c r="C223" s="20">
        <f t="shared" si="34"/>
        <v>7.1002999999999998</v>
      </c>
      <c r="D223" s="20">
        <f t="shared" si="35"/>
        <v>12.883599999999999</v>
      </c>
      <c r="E223" s="20">
        <f t="shared" si="36"/>
        <v>7.1345000000000001</v>
      </c>
      <c r="F223" s="20">
        <f t="shared" si="37"/>
        <v>18.117799999999999</v>
      </c>
      <c r="G223" s="20">
        <f t="shared" si="38"/>
        <v>11.809799999999999</v>
      </c>
      <c r="H223" s="1239">
        <f t="shared" si="39"/>
        <v>11.809799999999999</v>
      </c>
      <c r="I223" s="1243">
        <f t="shared" si="33"/>
        <v>-0.30647428406916277</v>
      </c>
      <c r="J223" s="1243">
        <f t="shared" si="40"/>
        <v>0.12093838824177333</v>
      </c>
      <c r="K223" s="1243">
        <f t="shared" si="41"/>
        <v>0.1</v>
      </c>
      <c r="L223" s="203"/>
      <c r="N223" s="1425">
        <v>44909</v>
      </c>
      <c r="O223" s="1502">
        <v>8.1904000000000003</v>
      </c>
      <c r="P223" s="1502">
        <v>3.1688000000000001</v>
      </c>
      <c r="Q223" s="1502">
        <v>8.8074999999999992</v>
      </c>
      <c r="R223" s="1233">
        <f>'B. PE'!$U$23</f>
        <v>15.978235616082999</v>
      </c>
      <c r="S223" s="1233"/>
      <c r="T223" s="1233"/>
      <c r="V223" s="1425">
        <v>44909</v>
      </c>
      <c r="W223" s="1">
        <v>7.1002999999999998</v>
      </c>
      <c r="X223" s="1">
        <v>0.99319999999999997</v>
      </c>
      <c r="Y223" s="1">
        <v>6.1620999999999997</v>
      </c>
      <c r="Z223" s="1">
        <v>0.69062999999999997</v>
      </c>
      <c r="AB223" s="1425">
        <v>44897</v>
      </c>
      <c r="AC223" s="1">
        <v>6.4823000000000004</v>
      </c>
      <c r="AD223" s="1502">
        <v>0.9889</v>
      </c>
      <c r="AE223" s="1">
        <v>4.7914000000000003</v>
      </c>
      <c r="AF223" s="1">
        <v>2.588E-2</v>
      </c>
      <c r="AH223" s="1425">
        <v>44897</v>
      </c>
      <c r="AI223" s="1">
        <v>13.5801</v>
      </c>
      <c r="AJ223" s="1">
        <v>2.3895</v>
      </c>
      <c r="AK223" s="1">
        <v>6.9112999999999998</v>
      </c>
      <c r="AL223" s="1">
        <v>3.8879999999999998E-2</v>
      </c>
      <c r="AN223" s="1425">
        <v>44903</v>
      </c>
      <c r="AO223" s="1">
        <v>6.9591000000000003</v>
      </c>
      <c r="AP223" s="1">
        <v>1.0561</v>
      </c>
      <c r="AQ223" s="1">
        <v>4.5903</v>
      </c>
      <c r="AR223" s="1">
        <v>0.27296999999999999</v>
      </c>
      <c r="AT223" s="1425">
        <v>44903</v>
      </c>
      <c r="AU223" s="1">
        <v>18.777899999999999</v>
      </c>
      <c r="AV223" s="1">
        <v>1.107</v>
      </c>
      <c r="AW223" s="1">
        <v>10.683199999999999</v>
      </c>
      <c r="AX223" s="1">
        <v>0.27523999999999998</v>
      </c>
      <c r="BA223" s="1425">
        <v>44903</v>
      </c>
      <c r="BB223" s="1">
        <v>11.6951</v>
      </c>
      <c r="BC223" s="1">
        <v>2.6223000000000001</v>
      </c>
      <c r="BD223" s="1">
        <v>12.113899999999999</v>
      </c>
      <c r="BE223" s="1">
        <v>0.73418000000000005</v>
      </c>
      <c r="BG223" s="1425">
        <v>44903</v>
      </c>
      <c r="BH223" s="1">
        <v>19.196200000000001</v>
      </c>
      <c r="BI223" s="1">
        <v>3.8687</v>
      </c>
      <c r="BJ223" s="1">
        <v>20.428000000000001</v>
      </c>
      <c r="BT223" s="1425">
        <v>44909</v>
      </c>
      <c r="BU223" s="1">
        <v>13.2545</v>
      </c>
      <c r="BV223" s="1">
        <v>2.9180999999999999</v>
      </c>
      <c r="BW223" s="1">
        <v>6.9005000000000001</v>
      </c>
      <c r="BX223" s="1">
        <v>1.9361999999999999</v>
      </c>
      <c r="BZ223" s="1425">
        <v>44909</v>
      </c>
      <c r="CA223" s="1">
        <v>15.633699999999999</v>
      </c>
      <c r="CB223" s="1">
        <v>4.6005000000000003</v>
      </c>
      <c r="CC223" s="1">
        <v>12.1938</v>
      </c>
      <c r="CD223" s="1">
        <v>2.71441</v>
      </c>
      <c r="CF223" s="1425">
        <v>44908</v>
      </c>
      <c r="CG223" s="1">
        <v>3.5674999999999999</v>
      </c>
      <c r="CH223" s="1">
        <v>1.0407</v>
      </c>
      <c r="CL223" s="1425">
        <v>44914</v>
      </c>
      <c r="CM223" s="1">
        <v>18.831700000000001</v>
      </c>
      <c r="CN223" s="1">
        <v>2.5905999999999998</v>
      </c>
      <c r="CO223" s="1">
        <v>10.5364</v>
      </c>
    </row>
    <row r="224" spans="1:93">
      <c r="A224" s="1425">
        <v>44908</v>
      </c>
      <c r="B224" s="20">
        <f t="shared" si="32"/>
        <v>8.2844999999999995</v>
      </c>
      <c r="C224" s="20">
        <f t="shared" si="34"/>
        <v>7.0831999999999997</v>
      </c>
      <c r="D224" s="20">
        <f t="shared" si="35"/>
        <v>13.1158</v>
      </c>
      <c r="E224" s="20">
        <f t="shared" si="36"/>
        <v>7.1345000000000001</v>
      </c>
      <c r="F224" s="20">
        <f t="shared" si="37"/>
        <v>18.009899999999998</v>
      </c>
      <c r="G224" s="20">
        <f t="shared" si="38"/>
        <v>11.6951</v>
      </c>
      <c r="H224" s="1239">
        <f t="shared" si="39"/>
        <v>11.6951</v>
      </c>
      <c r="I224" s="1243">
        <f t="shared" si="33"/>
        <v>-0.29162640764080683</v>
      </c>
      <c r="J224" s="1243">
        <f t="shared" si="40"/>
        <v>0.12093838824177333</v>
      </c>
      <c r="K224" s="1243">
        <f t="shared" si="41"/>
        <v>0.1</v>
      </c>
      <c r="L224" s="203"/>
      <c r="N224" s="1425">
        <v>44908</v>
      </c>
      <c r="O224" s="1502">
        <v>8.2844999999999995</v>
      </c>
      <c r="P224" s="1502">
        <v>3.2052999999999998</v>
      </c>
      <c r="Q224" s="1502">
        <v>8.8922000000000008</v>
      </c>
      <c r="R224" s="1233">
        <f>'B. PE'!$U$23</f>
        <v>15.978235616082999</v>
      </c>
      <c r="S224" s="1233"/>
      <c r="T224" s="1233"/>
      <c r="V224" s="1425">
        <v>44908</v>
      </c>
      <c r="W224" s="1">
        <v>7.0831999999999997</v>
      </c>
      <c r="X224" s="1">
        <v>0.99080000000000001</v>
      </c>
      <c r="Y224" s="1">
        <v>6.1540999999999997</v>
      </c>
      <c r="Z224" s="1">
        <v>0.71901999999999999</v>
      </c>
      <c r="AB224" s="1425">
        <v>44896</v>
      </c>
      <c r="AC224" s="1">
        <v>6.5795000000000003</v>
      </c>
      <c r="AD224" s="1502">
        <v>1.0037</v>
      </c>
      <c r="AE224" s="1">
        <v>4.8345000000000002</v>
      </c>
      <c r="AF224" s="1">
        <v>2.6200000000000001E-2</v>
      </c>
      <c r="AH224" s="1425">
        <v>44896</v>
      </c>
      <c r="AI224" s="1">
        <v>13.812200000000001</v>
      </c>
      <c r="AJ224" s="1">
        <v>2.4304000000000001</v>
      </c>
      <c r="AK224" s="1">
        <v>7.0294999999999996</v>
      </c>
      <c r="AL224" s="1">
        <v>3.6569999999999998E-2</v>
      </c>
      <c r="AN224" s="1425">
        <v>44902</v>
      </c>
      <c r="AO224" s="1">
        <v>7.0175000000000001</v>
      </c>
      <c r="AP224" s="1">
        <v>1.0649</v>
      </c>
      <c r="AQ224" s="1">
        <v>4.6336000000000004</v>
      </c>
      <c r="AR224" s="1">
        <v>0.27695999999999998</v>
      </c>
      <c r="AT224" s="1425">
        <v>44902</v>
      </c>
      <c r="AU224" s="1">
        <v>18.3308</v>
      </c>
      <c r="AV224" s="1">
        <v>1.0807</v>
      </c>
      <c r="AW224" s="1">
        <v>10.4474</v>
      </c>
      <c r="AX224" s="1">
        <v>0.27925</v>
      </c>
      <c r="BA224" s="1425">
        <v>44902</v>
      </c>
      <c r="BB224" s="1">
        <v>11.580399999999999</v>
      </c>
      <c r="BC224" s="1">
        <v>2.5966</v>
      </c>
      <c r="BD224" s="1">
        <v>12.0299</v>
      </c>
      <c r="BE224" s="1">
        <v>0.75616000000000005</v>
      </c>
      <c r="BG224" s="1425">
        <v>44902</v>
      </c>
      <c r="BH224" s="1">
        <v>19.196200000000001</v>
      </c>
      <c r="BI224" s="1">
        <v>3.8687</v>
      </c>
      <c r="BJ224" s="1">
        <v>20.428000000000001</v>
      </c>
      <c r="BT224" s="1425">
        <v>44908</v>
      </c>
      <c r="BU224" s="1">
        <v>13.2402</v>
      </c>
      <c r="BV224" s="1">
        <v>2.915</v>
      </c>
      <c r="BW224" s="1">
        <v>6.8936999999999999</v>
      </c>
      <c r="BX224" s="1">
        <v>1.9537</v>
      </c>
      <c r="BZ224" s="1425">
        <v>44908</v>
      </c>
      <c r="CA224" s="1">
        <v>15.7386</v>
      </c>
      <c r="CB224" s="1">
        <v>4.6314000000000002</v>
      </c>
      <c r="CC224" s="1">
        <v>12.2569</v>
      </c>
      <c r="CD224" s="1">
        <v>2.7063600000000001</v>
      </c>
      <c r="CF224" s="1425">
        <v>44907</v>
      </c>
      <c r="CG224" s="1">
        <v>3.5931000000000002</v>
      </c>
      <c r="CH224" s="1">
        <v>1.0481</v>
      </c>
      <c r="CL224" s="1425">
        <v>44911</v>
      </c>
      <c r="CM224" s="1">
        <v>18.844999999999999</v>
      </c>
      <c r="CN224" s="1">
        <v>2.5924</v>
      </c>
      <c r="CO224" s="1">
        <v>10.543799999999999</v>
      </c>
    </row>
    <row r="225" spans="1:93">
      <c r="A225" s="1425">
        <v>44907</v>
      </c>
      <c r="B225" s="20">
        <f t="shared" si="32"/>
        <v>7.8703000000000003</v>
      </c>
      <c r="C225" s="20">
        <f t="shared" si="34"/>
        <v>6.6234999999999999</v>
      </c>
      <c r="D225" s="20">
        <f t="shared" si="35"/>
        <v>13.347899999999999</v>
      </c>
      <c r="E225" s="20">
        <f t="shared" si="36"/>
        <v>7.0175000000000001</v>
      </c>
      <c r="F225" s="20">
        <f t="shared" si="37"/>
        <v>18.009899999999998</v>
      </c>
      <c r="G225" s="20">
        <f t="shared" si="38"/>
        <v>11.6951</v>
      </c>
      <c r="H225" s="1239">
        <f t="shared" si="39"/>
        <v>11.6951</v>
      </c>
      <c r="I225" s="1243">
        <f t="shared" si="33"/>
        <v>-0.3270429496113757</v>
      </c>
      <c r="J225" s="1243">
        <f t="shared" si="40"/>
        <v>0.12093838824177333</v>
      </c>
      <c r="K225" s="1243">
        <f t="shared" si="41"/>
        <v>0.1</v>
      </c>
      <c r="L225" s="203"/>
      <c r="N225" s="1425">
        <v>44907</v>
      </c>
      <c r="O225" s="1502">
        <v>7.8703000000000003</v>
      </c>
      <c r="P225" s="1502">
        <v>3.0449999999999999</v>
      </c>
      <c r="Q225" s="1502">
        <v>8.5196000000000005</v>
      </c>
      <c r="R225" s="1233">
        <f>'B. PE'!$U$23</f>
        <v>15.978235616082999</v>
      </c>
      <c r="S225" s="1233"/>
      <c r="T225" s="1233"/>
      <c r="V225" s="1425">
        <v>44907</v>
      </c>
      <c r="W225" s="1">
        <v>6.6234999999999999</v>
      </c>
      <c r="X225" s="1">
        <v>0.92649999999999999</v>
      </c>
      <c r="Y225" s="1">
        <v>5.9383999999999997</v>
      </c>
      <c r="Z225" s="1">
        <v>0.70747000000000004</v>
      </c>
      <c r="AB225" s="1425">
        <v>44895</v>
      </c>
      <c r="AC225" s="1">
        <v>6.5795000000000003</v>
      </c>
      <c r="AD225" s="1502">
        <v>1.0037</v>
      </c>
      <c r="AE225" s="1">
        <v>4.8345000000000002</v>
      </c>
      <c r="AF225" s="1">
        <v>2.5919999999999999E-2</v>
      </c>
      <c r="AH225" s="1425">
        <v>44895</v>
      </c>
      <c r="AI225" s="1">
        <v>14.160399999999999</v>
      </c>
      <c r="AJ225" s="1">
        <v>2.4916</v>
      </c>
      <c r="AK225" s="1">
        <v>7.2069000000000001</v>
      </c>
      <c r="AL225" s="1">
        <v>3.6209999999999999E-2</v>
      </c>
      <c r="AN225" s="1425">
        <v>44901</v>
      </c>
      <c r="AO225" s="1">
        <v>7.0175000000000001</v>
      </c>
      <c r="AP225" s="1">
        <v>1.0649</v>
      </c>
      <c r="AQ225" s="1">
        <v>4.6336000000000004</v>
      </c>
      <c r="AR225" s="1">
        <v>0.27346999999999999</v>
      </c>
      <c r="AT225" s="1425">
        <v>44901</v>
      </c>
      <c r="AU225" s="1">
        <v>18.032800000000002</v>
      </c>
      <c r="AV225" s="1">
        <v>1.0630999999999999</v>
      </c>
      <c r="AW225" s="1">
        <v>10.2902</v>
      </c>
      <c r="AX225" s="1">
        <v>0.28259000000000001</v>
      </c>
      <c r="BA225" s="1425">
        <v>44901</v>
      </c>
      <c r="BB225" s="1">
        <v>11.809799999999999</v>
      </c>
      <c r="BC225" s="1">
        <v>2.6480999999999999</v>
      </c>
      <c r="BD225" s="1">
        <v>12.197900000000001</v>
      </c>
      <c r="BE225" s="1">
        <v>0.77608999999999995</v>
      </c>
      <c r="BG225" s="1425">
        <v>44901</v>
      </c>
      <c r="BH225" s="1">
        <v>19.0884</v>
      </c>
      <c r="BI225" s="1">
        <v>3.847</v>
      </c>
      <c r="BJ225" s="1">
        <v>20.339600000000001</v>
      </c>
      <c r="BT225" s="1425">
        <v>44907</v>
      </c>
      <c r="BU225" s="1">
        <v>13.0976</v>
      </c>
      <c r="BV225" s="1">
        <v>2.8835999999999999</v>
      </c>
      <c r="BW225" s="1">
        <v>6.8262999999999998</v>
      </c>
      <c r="BX225" s="1">
        <v>1.9235</v>
      </c>
      <c r="BZ225" s="1425">
        <v>44907</v>
      </c>
      <c r="CA225" s="1">
        <v>15.528700000000001</v>
      </c>
      <c r="CB225" s="1">
        <v>4.5696000000000003</v>
      </c>
      <c r="CC225" s="1">
        <v>12.130599999999999</v>
      </c>
      <c r="CD225" s="1">
        <v>2.65069</v>
      </c>
      <c r="CF225" s="1425">
        <v>44904</v>
      </c>
      <c r="CG225" s="1">
        <v>3.5931000000000002</v>
      </c>
      <c r="CH225" s="1">
        <v>1.0481</v>
      </c>
      <c r="CL225" s="1425">
        <v>44910</v>
      </c>
      <c r="CM225" s="1">
        <v>18.8184</v>
      </c>
      <c r="CN225" s="1">
        <v>2.5886999999999998</v>
      </c>
      <c r="CO225" s="1">
        <v>10.529</v>
      </c>
    </row>
    <row r="226" spans="1:93">
      <c r="A226" s="1425">
        <v>44904</v>
      </c>
      <c r="B226" s="20">
        <f t="shared" si="32"/>
        <v>8.1904000000000003</v>
      </c>
      <c r="C226" s="20">
        <f t="shared" si="34"/>
        <v>6.8788999999999998</v>
      </c>
      <c r="D226" s="20">
        <f t="shared" si="35"/>
        <v>13.347899999999999</v>
      </c>
      <c r="E226" s="20">
        <f t="shared" si="36"/>
        <v>7.0759999999999996</v>
      </c>
      <c r="F226" s="20">
        <f t="shared" si="37"/>
        <v>19.0884</v>
      </c>
      <c r="G226" s="20">
        <f t="shared" si="38"/>
        <v>11.809799999999999</v>
      </c>
      <c r="H226" s="1239">
        <f t="shared" si="39"/>
        <v>11.809799999999999</v>
      </c>
      <c r="I226" s="1243">
        <f t="shared" si="33"/>
        <v>-0.30647428406916277</v>
      </c>
      <c r="J226" s="1243">
        <f t="shared" si="40"/>
        <v>0.12093838824177333</v>
      </c>
      <c r="K226" s="1243">
        <f t="shared" si="41"/>
        <v>0.1</v>
      </c>
      <c r="L226" s="203"/>
      <c r="N226" s="1425">
        <v>44904</v>
      </c>
      <c r="O226" s="1502">
        <v>8.1904000000000003</v>
      </c>
      <c r="P226" s="1502">
        <v>3.1688000000000001</v>
      </c>
      <c r="Q226" s="1502">
        <v>8.8074999999999992</v>
      </c>
      <c r="R226" s="1233">
        <f>'B. PE'!$U$23</f>
        <v>15.978235616082999</v>
      </c>
      <c r="S226" s="1233"/>
      <c r="T226" s="1233"/>
      <c r="V226" s="1425">
        <v>44904</v>
      </c>
      <c r="W226" s="1">
        <v>6.8788999999999998</v>
      </c>
      <c r="X226" s="1">
        <v>0.96220000000000006</v>
      </c>
      <c r="Y226" s="1">
        <v>6.0582000000000003</v>
      </c>
      <c r="Z226" s="1">
        <v>0.66042000000000001</v>
      </c>
      <c r="AB226" s="1425">
        <v>44894</v>
      </c>
      <c r="AC226" s="1">
        <v>6.6767000000000003</v>
      </c>
      <c r="AD226" s="1502">
        <v>1.0185999999999999</v>
      </c>
      <c r="AE226" s="1">
        <v>4.8776000000000002</v>
      </c>
      <c r="AF226" s="1">
        <v>2.5739999999999999E-2</v>
      </c>
      <c r="AH226" s="1425">
        <v>44894</v>
      </c>
      <c r="AI226" s="1">
        <v>13.347899999999999</v>
      </c>
      <c r="AJ226" s="1">
        <v>2.3487</v>
      </c>
      <c r="AK226" s="1">
        <v>6.7930999999999999</v>
      </c>
      <c r="AL226" s="1">
        <v>3.6949999999999997E-2</v>
      </c>
      <c r="AN226" s="1425">
        <v>44900</v>
      </c>
      <c r="AO226" s="1">
        <v>7.0759999999999996</v>
      </c>
      <c r="AP226" s="1">
        <v>1.0738000000000001</v>
      </c>
      <c r="AQ226" s="1">
        <v>4.6768999999999998</v>
      </c>
      <c r="AR226" s="1">
        <v>0.27232000000000001</v>
      </c>
      <c r="AT226" s="1425">
        <v>44900</v>
      </c>
      <c r="AU226" s="1">
        <v>18.181799999999999</v>
      </c>
      <c r="AV226" s="1">
        <v>1.0719000000000001</v>
      </c>
      <c r="AW226" s="1">
        <v>10.3688</v>
      </c>
      <c r="AX226" s="1">
        <v>0.28593000000000002</v>
      </c>
      <c r="BA226" s="1425">
        <v>44897</v>
      </c>
      <c r="BB226" s="1">
        <v>12.039099999999999</v>
      </c>
      <c r="BC226" s="1">
        <v>2.6995</v>
      </c>
      <c r="BD226" s="1">
        <v>12.366</v>
      </c>
      <c r="BE226" s="1">
        <v>0.75097999999999998</v>
      </c>
      <c r="BG226" s="1425">
        <v>44897</v>
      </c>
      <c r="BH226" s="1">
        <v>18.980499999999999</v>
      </c>
      <c r="BI226" s="1">
        <v>3.8252999999999999</v>
      </c>
      <c r="BJ226" s="1">
        <v>20.251300000000001</v>
      </c>
      <c r="BT226" s="1425">
        <v>44904</v>
      </c>
      <c r="BU226" s="1">
        <v>13.183199999999999</v>
      </c>
      <c r="BV226" s="1">
        <v>2.9024000000000001</v>
      </c>
      <c r="BW226" s="1">
        <v>6.8667999999999996</v>
      </c>
      <c r="BX226" s="1">
        <v>1.8716999999999999</v>
      </c>
      <c r="BZ226" s="1425">
        <v>44904</v>
      </c>
      <c r="CA226" s="1">
        <v>15.444800000000001</v>
      </c>
      <c r="CB226" s="1">
        <v>4.5449000000000002</v>
      </c>
      <c r="CC226" s="1">
        <v>12.0801</v>
      </c>
      <c r="CD226" s="1">
        <v>2.5402499999999999</v>
      </c>
      <c r="CF226" s="1425">
        <v>44903</v>
      </c>
      <c r="CG226" s="1">
        <v>3.5931000000000002</v>
      </c>
      <c r="CH226" s="1">
        <v>1.0481</v>
      </c>
      <c r="CL226" s="1425">
        <v>44909</v>
      </c>
      <c r="CM226" s="1">
        <v>19.1251</v>
      </c>
      <c r="CN226" s="1">
        <v>2.6309</v>
      </c>
      <c r="CO226" s="1">
        <v>10.698700000000001</v>
      </c>
    </row>
    <row r="227" spans="1:93">
      <c r="A227" s="1425">
        <v>44903</v>
      </c>
      <c r="B227" s="20">
        <f t="shared" si="32"/>
        <v>8.2562999999999995</v>
      </c>
      <c r="C227" s="20">
        <f t="shared" si="34"/>
        <v>6.8449</v>
      </c>
      <c r="D227" s="20">
        <f t="shared" si="35"/>
        <v>13.2319</v>
      </c>
      <c r="E227" s="20">
        <f t="shared" si="36"/>
        <v>6.9591000000000003</v>
      </c>
      <c r="F227" s="20">
        <f t="shared" si="37"/>
        <v>19.196200000000001</v>
      </c>
      <c r="G227" s="20">
        <f t="shared" si="38"/>
        <v>11.6951</v>
      </c>
      <c r="H227" s="1239">
        <f t="shared" si="39"/>
        <v>11.6951</v>
      </c>
      <c r="I227" s="1243">
        <f t="shared" si="33"/>
        <v>-0.29403767389761526</v>
      </c>
      <c r="J227" s="1243">
        <f t="shared" si="40"/>
        <v>0.12093838824177333</v>
      </c>
      <c r="K227" s="1243">
        <f t="shared" si="41"/>
        <v>0.1</v>
      </c>
      <c r="L227" s="203"/>
      <c r="N227" s="1425">
        <v>44903</v>
      </c>
      <c r="O227" s="1502">
        <v>8.2562999999999995</v>
      </c>
      <c r="P227" s="1502">
        <v>3.1943000000000001</v>
      </c>
      <c r="Q227" s="1502">
        <v>8.8667999999999996</v>
      </c>
      <c r="R227" s="1233">
        <f>'B. PE'!$U$23</f>
        <v>15.978235616082999</v>
      </c>
      <c r="S227" s="1233"/>
      <c r="T227" s="1233"/>
      <c r="V227" s="1425">
        <v>44903</v>
      </c>
      <c r="W227" s="1">
        <v>6.8449</v>
      </c>
      <c r="X227" s="1">
        <v>0.95750000000000002</v>
      </c>
      <c r="Y227" s="1">
        <v>6.0423</v>
      </c>
      <c r="Z227" s="1">
        <v>0.68123</v>
      </c>
      <c r="AB227" s="1425">
        <v>44893</v>
      </c>
      <c r="AC227" s="1">
        <v>6.6119000000000003</v>
      </c>
      <c r="AD227" s="1502">
        <v>1.0086999999999999</v>
      </c>
      <c r="AE227" s="1">
        <v>4.8489000000000004</v>
      </c>
      <c r="AF227" s="1">
        <v>2.5579999999999999E-2</v>
      </c>
      <c r="AH227" s="1425">
        <v>44893</v>
      </c>
      <c r="AI227" s="1">
        <v>13.2319</v>
      </c>
      <c r="AJ227" s="1">
        <v>2.3281999999999998</v>
      </c>
      <c r="AK227" s="1">
        <v>6.7339000000000002</v>
      </c>
      <c r="AL227" s="1">
        <v>3.7080000000000002E-2</v>
      </c>
      <c r="AN227" s="1425">
        <v>44897</v>
      </c>
      <c r="AO227" s="1">
        <v>7.0175000000000001</v>
      </c>
      <c r="AP227" s="1">
        <v>1.0649</v>
      </c>
      <c r="AQ227" s="1">
        <v>4.6336000000000004</v>
      </c>
      <c r="AR227" s="1">
        <v>0.26777000000000001</v>
      </c>
      <c r="AT227" s="1425">
        <v>44897</v>
      </c>
      <c r="AU227" s="1">
        <v>18.479900000000001</v>
      </c>
      <c r="AV227" s="1">
        <v>1.0894999999999999</v>
      </c>
      <c r="AW227" s="1">
        <v>10.526</v>
      </c>
      <c r="AX227" s="1">
        <v>0.27451999999999999</v>
      </c>
      <c r="BA227" s="1425">
        <v>44896</v>
      </c>
      <c r="BB227" s="1">
        <v>12.382999999999999</v>
      </c>
      <c r="BC227" s="1">
        <v>2.7766000000000002</v>
      </c>
      <c r="BD227" s="1">
        <v>12.6181</v>
      </c>
      <c r="BE227" s="1">
        <v>0.74738000000000004</v>
      </c>
      <c r="BG227" s="1425">
        <v>44896</v>
      </c>
      <c r="BH227" s="1">
        <v>19.411899999999999</v>
      </c>
      <c r="BI227" s="1">
        <v>3.9121999999999999</v>
      </c>
      <c r="BJ227" s="1">
        <v>20.604700000000001</v>
      </c>
      <c r="BT227" s="1425">
        <v>44903</v>
      </c>
      <c r="BU227" s="1">
        <v>13.126099999999999</v>
      </c>
      <c r="BV227" s="1">
        <v>2.8898999999999999</v>
      </c>
      <c r="BW227" s="1">
        <v>6.8398000000000003</v>
      </c>
      <c r="BX227" s="1">
        <v>1.8453999999999999</v>
      </c>
      <c r="BZ227" s="1425">
        <v>44903</v>
      </c>
      <c r="CA227" s="1">
        <v>15.2979</v>
      </c>
      <c r="CB227" s="1">
        <v>4.5016999999999996</v>
      </c>
      <c r="CC227" s="1">
        <v>11.9917</v>
      </c>
      <c r="CD227" s="1">
        <v>2.4893299999999998</v>
      </c>
      <c r="CF227" s="1425">
        <v>44902</v>
      </c>
      <c r="CG227" s="1">
        <v>3.5931000000000002</v>
      </c>
      <c r="CH227" s="1">
        <v>1.0481</v>
      </c>
      <c r="CL227" s="1425">
        <v>44908</v>
      </c>
      <c r="CM227" s="1">
        <v>18.951699999999999</v>
      </c>
      <c r="CN227" s="1">
        <v>2.6071</v>
      </c>
      <c r="CO227" s="1">
        <v>10.6028</v>
      </c>
    </row>
    <row r="228" spans="1:93">
      <c r="A228" s="1425">
        <v>44902</v>
      </c>
      <c r="B228" s="20">
        <f t="shared" si="32"/>
        <v>7.7196999999999996</v>
      </c>
      <c r="C228" s="20">
        <f t="shared" si="34"/>
        <v>6.4021999999999997</v>
      </c>
      <c r="D228" s="20">
        <f t="shared" si="35"/>
        <v>13.1158</v>
      </c>
      <c r="E228" s="20">
        <f t="shared" si="36"/>
        <v>7.0175000000000001</v>
      </c>
      <c r="F228" s="20">
        <f t="shared" si="37"/>
        <v>19.196200000000001</v>
      </c>
      <c r="G228" s="20">
        <f t="shared" si="38"/>
        <v>11.580399999999999</v>
      </c>
      <c r="H228" s="1239">
        <f t="shared" si="39"/>
        <v>11.580399999999999</v>
      </c>
      <c r="I228" s="1243">
        <f t="shared" si="33"/>
        <v>-0.33338226658837344</v>
      </c>
      <c r="J228" s="1243">
        <f t="shared" si="40"/>
        <v>0.12093838824177333</v>
      </c>
      <c r="K228" s="1243">
        <f t="shared" si="41"/>
        <v>0.1</v>
      </c>
      <c r="L228" s="203"/>
      <c r="N228" s="1425">
        <v>44902</v>
      </c>
      <c r="O228" s="1502">
        <v>7.7196999999999996</v>
      </c>
      <c r="P228" s="1502">
        <v>2.9866999999999999</v>
      </c>
      <c r="Q228" s="1502">
        <v>8.3841000000000001</v>
      </c>
      <c r="R228" s="1233">
        <f>'B. PE'!$U$23</f>
        <v>15.978235616082999</v>
      </c>
      <c r="S228" s="1233"/>
      <c r="T228" s="1233"/>
      <c r="V228" s="1425">
        <v>44902</v>
      </c>
      <c r="W228" s="1">
        <v>6.4021999999999997</v>
      </c>
      <c r="X228" s="1">
        <v>0.89559999999999995</v>
      </c>
      <c r="Y228" s="1">
        <v>5.8346</v>
      </c>
      <c r="Z228" s="1">
        <v>0.73299000000000003</v>
      </c>
      <c r="AB228" s="1425">
        <v>44890</v>
      </c>
      <c r="AC228" s="1">
        <v>6.5471000000000004</v>
      </c>
      <c r="AD228" s="1502">
        <v>0.99880000000000002</v>
      </c>
      <c r="AE228" s="1">
        <v>4.8201000000000001</v>
      </c>
      <c r="AF228" s="1">
        <v>2.547E-2</v>
      </c>
      <c r="AH228" s="1425">
        <v>44890</v>
      </c>
      <c r="AI228" s="1">
        <v>13.464</v>
      </c>
      <c r="AJ228" s="1">
        <v>2.3691</v>
      </c>
      <c r="AK228" s="1">
        <v>6.8521999999999998</v>
      </c>
      <c r="AL228" s="1">
        <v>3.712E-2</v>
      </c>
      <c r="AN228" s="1425">
        <v>44896</v>
      </c>
      <c r="AO228" s="1">
        <v>7.0175000000000001</v>
      </c>
      <c r="AP228" s="1">
        <v>1.0649</v>
      </c>
      <c r="AQ228" s="1">
        <v>4.6336000000000004</v>
      </c>
      <c r="AR228" s="1">
        <v>0.26389000000000001</v>
      </c>
      <c r="AT228" s="1425">
        <v>44896</v>
      </c>
      <c r="AU228" s="1">
        <v>18.777899999999999</v>
      </c>
      <c r="AV228" s="1">
        <v>1.107</v>
      </c>
      <c r="AW228" s="1">
        <v>10.683199999999999</v>
      </c>
      <c r="AX228" s="1">
        <v>0.27940999999999999</v>
      </c>
      <c r="BA228" s="1425">
        <v>44895</v>
      </c>
      <c r="BB228" s="1">
        <v>12.153700000000001</v>
      </c>
      <c r="BC228" s="1">
        <v>2.7252000000000001</v>
      </c>
      <c r="BD228" s="1">
        <v>12.45</v>
      </c>
      <c r="BE228" s="1">
        <v>0.71284999999999998</v>
      </c>
      <c r="BG228" s="1425">
        <v>44895</v>
      </c>
      <c r="BH228" s="1">
        <v>19.196200000000001</v>
      </c>
      <c r="BI228" s="1">
        <v>3.8687</v>
      </c>
      <c r="BJ228" s="1">
        <v>20.428000000000001</v>
      </c>
      <c r="BT228" s="1425">
        <v>44902</v>
      </c>
      <c r="BU228" s="1">
        <v>12.798</v>
      </c>
      <c r="BV228" s="1">
        <v>2.8176000000000001</v>
      </c>
      <c r="BW228" s="1">
        <v>6.6848000000000001</v>
      </c>
      <c r="BX228" s="1">
        <v>1.9833000000000001</v>
      </c>
      <c r="BZ228" s="1425">
        <v>44902</v>
      </c>
      <c r="CA228" s="1">
        <v>14.689399999999999</v>
      </c>
      <c r="CB228" s="1">
        <v>4.3226000000000004</v>
      </c>
      <c r="CC228" s="1">
        <v>11.625400000000001</v>
      </c>
      <c r="CD228" s="1">
        <v>2.5470000000000002</v>
      </c>
      <c r="CF228" s="1425">
        <v>44901</v>
      </c>
      <c r="CG228" s="1">
        <v>3.6444999999999999</v>
      </c>
      <c r="CH228" s="1">
        <v>1.0630999999999999</v>
      </c>
      <c r="CL228" s="1425">
        <v>44907</v>
      </c>
      <c r="CM228" s="1">
        <v>18.684999999999999</v>
      </c>
      <c r="CN228" s="1">
        <v>2.5703999999999998</v>
      </c>
      <c r="CO228" s="1">
        <v>10.4552</v>
      </c>
    </row>
    <row r="229" spans="1:93">
      <c r="A229" s="1425">
        <v>44901</v>
      </c>
      <c r="B229" s="20">
        <f t="shared" si="32"/>
        <v>8.2844999999999995</v>
      </c>
      <c r="C229" s="20">
        <f t="shared" si="34"/>
        <v>6.6234999999999999</v>
      </c>
      <c r="D229" s="20">
        <f t="shared" si="35"/>
        <v>12.883599999999999</v>
      </c>
      <c r="E229" s="20">
        <f t="shared" si="36"/>
        <v>7.0175000000000001</v>
      </c>
      <c r="F229" s="20">
        <f t="shared" si="37"/>
        <v>19.0884</v>
      </c>
      <c r="G229" s="20">
        <f t="shared" si="38"/>
        <v>11.809799999999999</v>
      </c>
      <c r="H229" s="1239">
        <f t="shared" si="39"/>
        <v>11.809799999999999</v>
      </c>
      <c r="I229" s="1243">
        <f t="shared" si="33"/>
        <v>-0.29850632525529641</v>
      </c>
      <c r="J229" s="1243">
        <f t="shared" si="40"/>
        <v>0.12093838824177333</v>
      </c>
      <c r="K229" s="1243">
        <f t="shared" si="41"/>
        <v>0.1</v>
      </c>
      <c r="L229" s="203"/>
      <c r="N229" s="1425">
        <v>44901</v>
      </c>
      <c r="O229" s="1502">
        <v>8.2844999999999995</v>
      </c>
      <c r="P229" s="1502">
        <v>3.2052999999999998</v>
      </c>
      <c r="Q229" s="1502">
        <v>8.8922000000000008</v>
      </c>
      <c r="R229" s="1233">
        <f>'B. PE'!$U$23</f>
        <v>15.978235616082999</v>
      </c>
      <c r="S229" s="1233"/>
      <c r="T229" s="1233"/>
      <c r="V229" s="1425">
        <v>44901</v>
      </c>
      <c r="W229" s="1">
        <v>6.6234999999999999</v>
      </c>
      <c r="X229" s="1">
        <v>0.92649999999999999</v>
      </c>
      <c r="Y229" s="1">
        <v>5.9383999999999997</v>
      </c>
      <c r="Z229" s="1">
        <v>0.73250000000000004</v>
      </c>
      <c r="AB229" s="1425">
        <v>44889</v>
      </c>
      <c r="AC229" s="1">
        <v>6.4823000000000004</v>
      </c>
      <c r="AD229" s="1502">
        <v>0.9889</v>
      </c>
      <c r="AE229" s="1">
        <v>4.7914000000000003</v>
      </c>
      <c r="AF229" s="1">
        <v>2.5530000000000001E-2</v>
      </c>
      <c r="AH229" s="1425">
        <v>44889</v>
      </c>
      <c r="AI229" s="1">
        <v>13.464</v>
      </c>
      <c r="AJ229" s="1">
        <v>2.3691</v>
      </c>
      <c r="AK229" s="1">
        <v>6.8521999999999998</v>
      </c>
      <c r="AL229" s="1">
        <v>3.7019999999999997E-2</v>
      </c>
      <c r="AN229" s="1425">
        <v>44895</v>
      </c>
      <c r="AO229" s="1">
        <v>6.9591000000000003</v>
      </c>
      <c r="AP229" s="1">
        <v>1.0561</v>
      </c>
      <c r="AQ229" s="1">
        <v>4.5903</v>
      </c>
      <c r="AR229" s="1">
        <v>0.25668999999999997</v>
      </c>
      <c r="AT229" s="1425">
        <v>44895</v>
      </c>
      <c r="AU229" s="1">
        <v>18.181799999999999</v>
      </c>
      <c r="AV229" s="1">
        <v>1.0719000000000001</v>
      </c>
      <c r="AW229" s="1">
        <v>10.3688</v>
      </c>
      <c r="AX229" s="1">
        <v>0.27232000000000001</v>
      </c>
      <c r="BA229" s="1425">
        <v>44894</v>
      </c>
      <c r="BB229" s="1">
        <v>12.153700000000001</v>
      </c>
      <c r="BC229" s="1">
        <v>2.7252000000000001</v>
      </c>
      <c r="BD229" s="1">
        <v>12.45</v>
      </c>
      <c r="BE229" s="1">
        <v>0.72682999999999998</v>
      </c>
      <c r="BG229" s="1425">
        <v>44894</v>
      </c>
      <c r="BH229" s="1">
        <v>19.196200000000001</v>
      </c>
      <c r="BI229" s="1">
        <v>3.8687</v>
      </c>
      <c r="BJ229" s="1">
        <v>20.428000000000001</v>
      </c>
      <c r="BT229" s="1425">
        <v>44901</v>
      </c>
      <c r="BU229" s="1">
        <v>12.6553</v>
      </c>
      <c r="BV229" s="1">
        <v>2.7862</v>
      </c>
      <c r="BW229" s="1">
        <v>6.6173000000000002</v>
      </c>
      <c r="BX229" s="1">
        <v>1.9201999999999999</v>
      </c>
      <c r="BZ229" s="1425">
        <v>44901</v>
      </c>
      <c r="CA229" s="1">
        <v>14.4375</v>
      </c>
      <c r="CB229" s="1">
        <v>4.2484999999999999</v>
      </c>
      <c r="CC229" s="1">
        <v>11.473800000000001</v>
      </c>
      <c r="CD229" s="1">
        <v>2.4868100000000002</v>
      </c>
      <c r="CF229" s="1425">
        <v>44900</v>
      </c>
      <c r="CG229" s="1">
        <v>3.6444999999999999</v>
      </c>
      <c r="CH229" s="1">
        <v>1.0630999999999999</v>
      </c>
      <c r="CL229" s="1425">
        <v>44904</v>
      </c>
      <c r="CM229" s="1">
        <v>18.7117</v>
      </c>
      <c r="CN229" s="1">
        <v>2.5741000000000001</v>
      </c>
      <c r="CO229" s="1">
        <v>10.47</v>
      </c>
    </row>
    <row r="230" spans="1:93">
      <c r="A230" s="1425">
        <v>44900</v>
      </c>
      <c r="B230" s="20">
        <f t="shared" si="32"/>
        <v>8.9059000000000008</v>
      </c>
      <c r="C230" s="20">
        <f t="shared" si="34"/>
        <v>7.1173000000000002</v>
      </c>
      <c r="D230" s="20">
        <f t="shared" si="35"/>
        <v>13.1158</v>
      </c>
      <c r="E230" s="20">
        <f t="shared" si="36"/>
        <v>7.0759999999999996</v>
      </c>
      <c r="F230" s="20">
        <f t="shared" si="37"/>
        <v>19.0884</v>
      </c>
      <c r="G230" s="20">
        <f t="shared" si="38"/>
        <v>11.809799999999999</v>
      </c>
      <c r="H230" s="1239">
        <f t="shared" si="39"/>
        <v>11.809799999999999</v>
      </c>
      <c r="I230" s="1243">
        <f t="shared" si="33"/>
        <v>-0.24588900743450348</v>
      </c>
      <c r="J230" s="1243">
        <f t="shared" si="40"/>
        <v>0.12093838824177333</v>
      </c>
      <c r="K230" s="1243">
        <f t="shared" si="41"/>
        <v>0.1</v>
      </c>
      <c r="L230" s="203"/>
      <c r="N230" s="1425">
        <v>44900</v>
      </c>
      <c r="O230" s="1502">
        <v>8.9059000000000008</v>
      </c>
      <c r="P230" s="1502">
        <v>3.4457</v>
      </c>
      <c r="Q230" s="1502">
        <v>9.4510000000000005</v>
      </c>
      <c r="R230" s="1233">
        <f>'B. PE'!$U$23</f>
        <v>15.978235616082999</v>
      </c>
      <c r="S230" s="1233"/>
      <c r="T230" s="1233"/>
      <c r="V230" s="1425">
        <v>44900</v>
      </c>
      <c r="W230" s="1">
        <v>7.1173000000000002</v>
      </c>
      <c r="X230" s="1">
        <v>0.99560000000000004</v>
      </c>
      <c r="Y230" s="1">
        <v>6.1700999999999997</v>
      </c>
      <c r="Z230" s="1">
        <v>0.68491999999999997</v>
      </c>
      <c r="AB230" s="1425">
        <v>44888</v>
      </c>
      <c r="AC230" s="1">
        <v>6.4497999999999998</v>
      </c>
      <c r="AD230" s="1502">
        <v>0.98399999999999999</v>
      </c>
      <c r="AE230" s="1">
        <v>4.7770000000000001</v>
      </c>
      <c r="AF230" s="1">
        <v>2.58E-2</v>
      </c>
      <c r="AH230" s="1425">
        <v>44888</v>
      </c>
      <c r="AI230" s="1">
        <v>13.464</v>
      </c>
      <c r="AJ230" s="1">
        <v>2.3691</v>
      </c>
      <c r="AK230" s="1">
        <v>6.8521999999999998</v>
      </c>
      <c r="AL230" s="1">
        <v>3.7179999999999998E-2</v>
      </c>
      <c r="AN230" s="1425">
        <v>44894</v>
      </c>
      <c r="AO230" s="1">
        <v>6.9591000000000003</v>
      </c>
      <c r="AP230" s="1">
        <v>1.0561</v>
      </c>
      <c r="AQ230" s="1">
        <v>4.5903</v>
      </c>
      <c r="AR230" s="1">
        <v>0.25600000000000001</v>
      </c>
      <c r="AT230" s="1425">
        <v>44894</v>
      </c>
      <c r="AU230" s="1">
        <v>18.777899999999999</v>
      </c>
      <c r="AV230" s="1">
        <v>1.107</v>
      </c>
      <c r="AW230" s="1">
        <v>10.683199999999999</v>
      </c>
      <c r="AX230" s="1">
        <v>0.27603</v>
      </c>
      <c r="BA230" s="1425">
        <v>44893</v>
      </c>
      <c r="BB230" s="1">
        <v>11.6951</v>
      </c>
      <c r="BC230" s="1">
        <v>2.6223000000000001</v>
      </c>
      <c r="BD230" s="1">
        <v>12.113899999999999</v>
      </c>
      <c r="BE230" s="1">
        <v>0.72048000000000001</v>
      </c>
      <c r="BG230" s="1425">
        <v>44893</v>
      </c>
      <c r="BH230" s="1">
        <v>18.441299999999998</v>
      </c>
      <c r="BI230" s="1">
        <v>3.7166000000000001</v>
      </c>
      <c r="BJ230" s="1">
        <v>19.8095</v>
      </c>
      <c r="BT230" s="1425">
        <v>44900</v>
      </c>
      <c r="BU230" s="1">
        <v>13.582700000000001</v>
      </c>
      <c r="BV230" s="1">
        <v>2.9904000000000002</v>
      </c>
      <c r="BW230" s="1">
        <v>7.0555000000000003</v>
      </c>
      <c r="BX230" s="1">
        <v>1.7966</v>
      </c>
      <c r="BZ230" s="1425">
        <v>44900</v>
      </c>
      <c r="CA230" s="1">
        <v>14.7523</v>
      </c>
      <c r="CB230" s="1">
        <v>4.3411</v>
      </c>
      <c r="CC230" s="1">
        <v>11.6633</v>
      </c>
      <c r="CD230" s="1">
        <v>2.4117199999999999</v>
      </c>
      <c r="CF230" s="1425">
        <v>44897</v>
      </c>
      <c r="CG230" s="1">
        <v>3.6187999999999998</v>
      </c>
      <c r="CH230" s="1">
        <v>1.0556000000000001</v>
      </c>
      <c r="CL230" s="1425">
        <v>44903</v>
      </c>
      <c r="CM230" s="1">
        <v>18.258199999999999</v>
      </c>
      <c r="CN230" s="1">
        <v>2.5116999999999998</v>
      </c>
      <c r="CO230" s="1">
        <v>10.219099999999999</v>
      </c>
    </row>
    <row r="231" spans="1:93">
      <c r="A231" s="1425">
        <v>44897</v>
      </c>
      <c r="B231" s="20">
        <f t="shared" si="32"/>
        <v>8.8493999999999993</v>
      </c>
      <c r="C231" s="20">
        <f t="shared" si="34"/>
        <v>7.2534999999999998</v>
      </c>
      <c r="D231" s="20">
        <f t="shared" si="35"/>
        <v>13.5801</v>
      </c>
      <c r="E231" s="20">
        <f t="shared" si="36"/>
        <v>7.0175000000000001</v>
      </c>
      <c r="F231" s="20">
        <f t="shared" si="37"/>
        <v>18.980499999999999</v>
      </c>
      <c r="G231" s="20">
        <f t="shared" si="38"/>
        <v>12.039099999999999</v>
      </c>
      <c r="H231" s="1239">
        <f t="shared" si="39"/>
        <v>12.039099999999999</v>
      </c>
      <c r="I231" s="1243">
        <f t="shared" si="33"/>
        <v>-0.26494505403227819</v>
      </c>
      <c r="J231" s="1243">
        <f t="shared" si="40"/>
        <v>0.12093838824177333</v>
      </c>
      <c r="K231" s="1243">
        <f t="shared" si="41"/>
        <v>0.1</v>
      </c>
      <c r="L231" s="203"/>
      <c r="N231" s="1425">
        <v>44897</v>
      </c>
      <c r="O231" s="1502">
        <v>8.8493999999999993</v>
      </c>
      <c r="P231" s="1502">
        <v>3.4238</v>
      </c>
      <c r="Q231" s="1502">
        <v>9.4001999999999999</v>
      </c>
      <c r="R231" s="1233">
        <f>'B. PE'!$U$23</f>
        <v>15.978235616082999</v>
      </c>
      <c r="S231" s="1233"/>
      <c r="T231" s="1233"/>
      <c r="V231" s="1425">
        <v>44897</v>
      </c>
      <c r="W231" s="1">
        <v>7.2534999999999998</v>
      </c>
      <c r="X231" s="1">
        <v>1.0145999999999999</v>
      </c>
      <c r="Y231" s="1">
        <v>6.234</v>
      </c>
      <c r="Z231" s="1">
        <v>0.63678000000000001</v>
      </c>
      <c r="AB231" s="1425">
        <v>44887</v>
      </c>
      <c r="AC231" s="1">
        <v>6.4823000000000004</v>
      </c>
      <c r="AD231" s="1502">
        <v>0.9889</v>
      </c>
      <c r="AE231" s="1">
        <v>4.7914000000000003</v>
      </c>
      <c r="AF231" s="1">
        <v>2.6030000000000001E-2</v>
      </c>
      <c r="AH231" s="1425">
        <v>44887</v>
      </c>
      <c r="AI231" s="1">
        <v>13.464</v>
      </c>
      <c r="AJ231" s="1">
        <v>2.3691</v>
      </c>
      <c r="AK231" s="1">
        <v>6.8521999999999998</v>
      </c>
      <c r="AL231" s="1">
        <v>3.6679999999999997E-2</v>
      </c>
      <c r="AN231" s="1425">
        <v>44890</v>
      </c>
      <c r="AO231" s="1">
        <v>6.7251000000000003</v>
      </c>
      <c r="AP231" s="1">
        <v>1.0206</v>
      </c>
      <c r="AQ231" s="1">
        <v>4.4172000000000002</v>
      </c>
      <c r="AR231" s="1">
        <v>0.25136999999999998</v>
      </c>
      <c r="AT231" s="1425">
        <v>44890</v>
      </c>
      <c r="AU231" s="1">
        <v>18.181799999999999</v>
      </c>
      <c r="AV231" s="1">
        <v>1.0719000000000001</v>
      </c>
      <c r="AW231" s="1">
        <v>10.368600000000001</v>
      </c>
      <c r="AX231" s="1">
        <v>0.25791999999999998</v>
      </c>
      <c r="BA231" s="1425">
        <v>44890</v>
      </c>
      <c r="BB231" s="1">
        <v>11.9244</v>
      </c>
      <c r="BC231" s="1">
        <v>2.6738</v>
      </c>
      <c r="BD231" s="1">
        <v>12.282</v>
      </c>
      <c r="BE231" s="1">
        <v>0.72133999999999998</v>
      </c>
      <c r="BG231" s="1425">
        <v>44890</v>
      </c>
      <c r="BH231" s="1">
        <v>18.549199999999999</v>
      </c>
      <c r="BI231" s="1">
        <v>3.7383000000000002</v>
      </c>
      <c r="BJ231" s="1">
        <v>19.8979</v>
      </c>
      <c r="BT231" s="1425">
        <v>44897</v>
      </c>
      <c r="BU231" s="1">
        <v>13.4115</v>
      </c>
      <c r="BV231" s="1">
        <v>2.9527000000000001</v>
      </c>
      <c r="BW231" s="1">
        <v>6.9745999999999997</v>
      </c>
      <c r="BX231" s="1">
        <v>1.7887999999999999</v>
      </c>
      <c r="BZ231" s="1425">
        <v>44897</v>
      </c>
      <c r="CA231" s="1">
        <v>14.689399999999999</v>
      </c>
      <c r="CB231" s="1">
        <v>4.3226000000000004</v>
      </c>
      <c r="CC231" s="1">
        <v>11.625400000000001</v>
      </c>
      <c r="CD231" s="1">
        <v>2.5043299999999999</v>
      </c>
      <c r="CF231" s="1425">
        <v>44896</v>
      </c>
      <c r="CG231" s="1">
        <v>3.5417999999999998</v>
      </c>
      <c r="CH231" s="1">
        <v>1.0331999999999999</v>
      </c>
      <c r="CL231" s="1425">
        <v>44902</v>
      </c>
      <c r="CM231" s="1">
        <v>18.364899999999999</v>
      </c>
      <c r="CN231" s="1">
        <v>2.5264000000000002</v>
      </c>
      <c r="CO231" s="1">
        <v>10.2781</v>
      </c>
    </row>
    <row r="232" spans="1:93">
      <c r="A232" s="1425">
        <v>44896</v>
      </c>
      <c r="B232" s="20">
        <f t="shared" si="32"/>
        <v>8.5763999999999996</v>
      </c>
      <c r="C232" s="20">
        <f t="shared" si="34"/>
        <v>6.7938000000000001</v>
      </c>
      <c r="D232" s="20">
        <f t="shared" si="35"/>
        <v>13.812200000000001</v>
      </c>
      <c r="E232" s="20">
        <f t="shared" si="36"/>
        <v>7.0175000000000001</v>
      </c>
      <c r="F232" s="20">
        <f t="shared" si="37"/>
        <v>19.411899999999999</v>
      </c>
      <c r="G232" s="20">
        <f t="shared" si="38"/>
        <v>12.382999999999999</v>
      </c>
      <c r="H232" s="1239">
        <f t="shared" si="39"/>
        <v>12.382999999999999</v>
      </c>
      <c r="I232" s="1243">
        <f t="shared" si="33"/>
        <v>-0.30740531373657431</v>
      </c>
      <c r="J232" s="1243">
        <f t="shared" si="40"/>
        <v>0.12093838824177333</v>
      </c>
      <c r="K232" s="1243">
        <f t="shared" si="41"/>
        <v>0.1</v>
      </c>
      <c r="L232" s="203"/>
      <c r="N232" s="1425">
        <v>44896</v>
      </c>
      <c r="O232" s="1502">
        <v>8.5763999999999996</v>
      </c>
      <c r="P232" s="1502">
        <v>3.3182</v>
      </c>
      <c r="Q232" s="1502">
        <v>9.1546000000000003</v>
      </c>
      <c r="R232" s="1233">
        <f>'B. PE'!$U$23</f>
        <v>15.978235616082999</v>
      </c>
      <c r="S232" s="1233"/>
      <c r="T232" s="1233"/>
      <c r="V232" s="1425">
        <v>44896</v>
      </c>
      <c r="W232" s="1">
        <v>6.7938000000000001</v>
      </c>
      <c r="X232" s="1">
        <v>0.95030000000000003</v>
      </c>
      <c r="Y232" s="1">
        <v>6.0183</v>
      </c>
      <c r="Z232" s="1">
        <v>0.59314</v>
      </c>
      <c r="AB232" s="1425">
        <v>44886</v>
      </c>
      <c r="AC232" s="1">
        <v>6.5795000000000003</v>
      </c>
      <c r="AD232" s="1502">
        <v>1.0037</v>
      </c>
      <c r="AE232" s="1">
        <v>4.8345000000000002</v>
      </c>
      <c r="AF232" s="1">
        <v>2.5579999999999999E-2</v>
      </c>
      <c r="AH232" s="1425">
        <v>44886</v>
      </c>
      <c r="AI232" s="1">
        <v>13.5801</v>
      </c>
      <c r="AJ232" s="1">
        <v>2.3895</v>
      </c>
      <c r="AK232" s="1">
        <v>6.9112999999999998</v>
      </c>
      <c r="AL232" s="1">
        <v>3.7220000000000003E-2</v>
      </c>
      <c r="AN232" s="1425">
        <v>44889</v>
      </c>
      <c r="AO232" s="1">
        <v>6.7251000000000003</v>
      </c>
      <c r="AP232" s="1">
        <v>1.0206</v>
      </c>
      <c r="AQ232" s="1">
        <v>4.4172000000000002</v>
      </c>
      <c r="AR232" s="1">
        <v>0.25130999999999998</v>
      </c>
      <c r="AT232" s="1425">
        <v>44889</v>
      </c>
      <c r="AU232" s="1">
        <v>18.479900000000001</v>
      </c>
      <c r="AV232" s="1">
        <v>1.0894999999999999</v>
      </c>
      <c r="AW232" s="1">
        <v>10.5258</v>
      </c>
      <c r="AX232" s="1">
        <v>0.25785999999999998</v>
      </c>
      <c r="BA232" s="1425">
        <v>44889</v>
      </c>
      <c r="BB232" s="1">
        <v>11.809799999999999</v>
      </c>
      <c r="BC232" s="1">
        <v>2.6480999999999999</v>
      </c>
      <c r="BD232" s="1">
        <v>12.197900000000001</v>
      </c>
      <c r="BE232" s="1">
        <v>0.71933999999999998</v>
      </c>
      <c r="BG232" s="1425">
        <v>44889</v>
      </c>
      <c r="BH232" s="1">
        <v>18.764800000000001</v>
      </c>
      <c r="BI232" s="1">
        <v>3.7818000000000001</v>
      </c>
      <c r="BJ232" s="1">
        <v>20.0746</v>
      </c>
      <c r="BT232" s="1425">
        <v>44896</v>
      </c>
      <c r="BU232" s="1">
        <v>12.569699999999999</v>
      </c>
      <c r="BV232" s="1">
        <v>2.7673999999999999</v>
      </c>
      <c r="BW232" s="1">
        <v>6.5769000000000002</v>
      </c>
      <c r="BX232" s="1">
        <v>1.7282999999999999</v>
      </c>
      <c r="BZ232" s="1425">
        <v>44896</v>
      </c>
      <c r="CA232" s="1">
        <v>14.2697</v>
      </c>
      <c r="CB232" s="1">
        <v>4.1990999999999996</v>
      </c>
      <c r="CC232" s="1">
        <v>11.3728</v>
      </c>
      <c r="CD232" s="1">
        <v>2.3315800000000002</v>
      </c>
      <c r="CF232" s="1425">
        <v>44895</v>
      </c>
      <c r="CG232" s="1">
        <v>3.3620999999999999</v>
      </c>
      <c r="CH232" s="1">
        <v>0.98080000000000001</v>
      </c>
      <c r="CL232" s="1425">
        <v>44901</v>
      </c>
      <c r="CM232" s="1">
        <v>18.658300000000001</v>
      </c>
      <c r="CN232" s="1">
        <v>2.5667</v>
      </c>
      <c r="CO232" s="1">
        <v>10.4405</v>
      </c>
    </row>
    <row r="233" spans="1:93">
      <c r="A233" s="1425">
        <v>44895</v>
      </c>
      <c r="B233" s="20">
        <f t="shared" si="32"/>
        <v>8.3315999999999999</v>
      </c>
      <c r="C233" s="20">
        <f t="shared" si="34"/>
        <v>6.3510999999999997</v>
      </c>
      <c r="D233" s="20">
        <f t="shared" si="35"/>
        <v>14.160399999999999</v>
      </c>
      <c r="E233" s="20">
        <f t="shared" si="36"/>
        <v>6.9591000000000003</v>
      </c>
      <c r="F233" s="20">
        <f t="shared" si="37"/>
        <v>19.196200000000001</v>
      </c>
      <c r="G233" s="20">
        <f t="shared" si="38"/>
        <v>12.153700000000001</v>
      </c>
      <c r="H233" s="1239">
        <f t="shared" si="39"/>
        <v>12.153700000000001</v>
      </c>
      <c r="I233" s="1243">
        <f t="shared" si="33"/>
        <v>-0.31448036400437729</v>
      </c>
      <c r="J233" s="1243">
        <f t="shared" si="40"/>
        <v>0.12093838824177333</v>
      </c>
      <c r="K233" s="1243">
        <f t="shared" si="41"/>
        <v>0.1</v>
      </c>
      <c r="L233" s="203"/>
      <c r="N233" s="1425">
        <v>44895</v>
      </c>
      <c r="O233" s="1502">
        <v>8.3315999999999999</v>
      </c>
      <c r="P233" s="1502">
        <v>3.2235</v>
      </c>
      <c r="Q233" s="1502">
        <v>8.9344999999999999</v>
      </c>
      <c r="R233" s="1233">
        <f>'B. PE'!$U$23</f>
        <v>15.978235616082999</v>
      </c>
      <c r="S233" s="1233"/>
      <c r="T233" s="1233"/>
      <c r="V233" s="1425">
        <v>44895</v>
      </c>
      <c r="W233" s="1">
        <v>6.3510999999999997</v>
      </c>
      <c r="X233" s="1">
        <v>0.88839999999999997</v>
      </c>
      <c r="Y233" s="1">
        <v>5.8106</v>
      </c>
      <c r="Z233" s="1">
        <v>0.55493999999999999</v>
      </c>
      <c r="AB233" s="1425">
        <v>44883</v>
      </c>
      <c r="AC233" s="1">
        <v>6.6119000000000003</v>
      </c>
      <c r="AD233" s="1502">
        <v>1.0086999999999999</v>
      </c>
      <c r="AE233" s="1">
        <v>4.8489000000000004</v>
      </c>
      <c r="AF233" s="1">
        <v>2.52E-2</v>
      </c>
      <c r="AH233" s="1425">
        <v>44883</v>
      </c>
      <c r="AI233" s="1">
        <v>13.347899999999999</v>
      </c>
      <c r="AJ233" s="1">
        <v>2.3487</v>
      </c>
      <c r="AK233" s="1">
        <v>6.7930999999999999</v>
      </c>
      <c r="AL233" s="1">
        <v>3.7420000000000002E-2</v>
      </c>
      <c r="AN233" s="1425">
        <v>44888</v>
      </c>
      <c r="AO233" s="1">
        <v>6.7251000000000003</v>
      </c>
      <c r="AP233" s="1">
        <v>1.0206</v>
      </c>
      <c r="AQ233" s="1">
        <v>4.4172000000000002</v>
      </c>
      <c r="AR233" s="1">
        <v>0.24673</v>
      </c>
      <c r="AT233" s="1425">
        <v>44888</v>
      </c>
      <c r="AU233" s="1">
        <v>17.585699999999999</v>
      </c>
      <c r="AV233" s="1">
        <v>1.0367</v>
      </c>
      <c r="AW233" s="1">
        <v>10.0543</v>
      </c>
      <c r="AX233" s="1">
        <v>0.27074999999999999</v>
      </c>
      <c r="BA233" s="1425">
        <v>44888</v>
      </c>
      <c r="BB233" s="1">
        <v>11.9244</v>
      </c>
      <c r="BC233" s="1">
        <v>2.6738</v>
      </c>
      <c r="BD233" s="1">
        <v>12.282</v>
      </c>
      <c r="BE233" s="1">
        <v>0.73685</v>
      </c>
      <c r="BG233" s="1425">
        <v>44888</v>
      </c>
      <c r="BH233" s="1">
        <v>18.872699999999998</v>
      </c>
      <c r="BI233" s="1">
        <v>3.8035000000000001</v>
      </c>
      <c r="BJ233" s="1">
        <v>20.1629</v>
      </c>
      <c r="BT233" s="1425">
        <v>44895</v>
      </c>
      <c r="BU233" s="1">
        <v>12.5839</v>
      </c>
      <c r="BV233" s="1">
        <v>2.7705000000000002</v>
      </c>
      <c r="BW233" s="1">
        <v>6.5835999999999997</v>
      </c>
      <c r="BX233" s="1">
        <v>1.619</v>
      </c>
      <c r="BZ233" s="1425">
        <v>44895</v>
      </c>
      <c r="CA233" s="1">
        <v>14.8992</v>
      </c>
      <c r="CB233" s="1">
        <v>4.3844000000000003</v>
      </c>
      <c r="CC233" s="1">
        <v>11.7517</v>
      </c>
      <c r="CD233" s="1">
        <v>2.2124799999999998</v>
      </c>
      <c r="CF233" s="1425">
        <v>44894</v>
      </c>
      <c r="CG233" s="1">
        <v>3.3620999999999999</v>
      </c>
      <c r="CH233" s="1">
        <v>0.98080000000000001</v>
      </c>
      <c r="CL233" s="1425">
        <v>44900</v>
      </c>
      <c r="CM233" s="1">
        <v>18.898399999999999</v>
      </c>
      <c r="CN233" s="1">
        <v>2.5996999999999999</v>
      </c>
      <c r="CO233" s="1">
        <v>10.5733</v>
      </c>
    </row>
    <row r="234" spans="1:93">
      <c r="A234" s="1425">
        <v>44894</v>
      </c>
      <c r="B234" s="20">
        <f t="shared" si="32"/>
        <v>7.7949999999999999</v>
      </c>
      <c r="C234" s="20">
        <f t="shared" si="34"/>
        <v>5.9424000000000001</v>
      </c>
      <c r="D234" s="20">
        <f t="shared" si="35"/>
        <v>13.347899999999999</v>
      </c>
      <c r="E234" s="20">
        <f t="shared" si="36"/>
        <v>6.9591000000000003</v>
      </c>
      <c r="F234" s="20">
        <f t="shared" si="37"/>
        <v>19.196200000000001</v>
      </c>
      <c r="G234" s="20">
        <f t="shared" si="38"/>
        <v>12.153700000000001</v>
      </c>
      <c r="H234" s="1239">
        <f t="shared" si="39"/>
        <v>12.153700000000001</v>
      </c>
      <c r="I234" s="1243">
        <f t="shared" si="33"/>
        <v>-0.35863152784748686</v>
      </c>
      <c r="J234" s="1243">
        <f t="shared" si="40"/>
        <v>0.12093838824177333</v>
      </c>
      <c r="K234" s="1243">
        <f t="shared" si="41"/>
        <v>0.1</v>
      </c>
      <c r="L234" s="203"/>
      <c r="N234" s="1425">
        <v>44894</v>
      </c>
      <c r="O234" s="1502">
        <v>7.7949999999999999</v>
      </c>
      <c r="P234" s="1502">
        <v>3.0158999999999998</v>
      </c>
      <c r="Q234" s="1502">
        <v>8.4519000000000002</v>
      </c>
      <c r="R234" s="1233">
        <f>'B. PE'!$U$23</f>
        <v>15.978235616082999</v>
      </c>
      <c r="S234" s="1233"/>
      <c r="T234" s="1233"/>
      <c r="V234" s="1425">
        <v>44894</v>
      </c>
      <c r="W234" s="1">
        <v>5.9424000000000001</v>
      </c>
      <c r="X234" s="1">
        <v>0.83120000000000005</v>
      </c>
      <c r="Y234" s="1">
        <v>5.6189</v>
      </c>
      <c r="Z234" s="1">
        <v>0.51926000000000005</v>
      </c>
      <c r="AB234" s="1425">
        <v>44882</v>
      </c>
      <c r="AC234" s="1">
        <v>6.5147000000000004</v>
      </c>
      <c r="AD234" s="1502">
        <v>0.99380000000000002</v>
      </c>
      <c r="AE234" s="1">
        <v>4.8057999999999996</v>
      </c>
      <c r="AF234" s="1">
        <v>2.572E-2</v>
      </c>
      <c r="AH234" s="1425">
        <v>44882</v>
      </c>
      <c r="AI234" s="1">
        <v>13.5801</v>
      </c>
      <c r="AJ234" s="1">
        <v>2.3895</v>
      </c>
      <c r="AK234" s="1">
        <v>6.9112999999999998</v>
      </c>
      <c r="AL234" s="1">
        <v>3.7609999999999998E-2</v>
      </c>
      <c r="AN234" s="1425">
        <v>44887</v>
      </c>
      <c r="AO234" s="1">
        <v>6.7251000000000003</v>
      </c>
      <c r="AP234" s="1">
        <v>1.0206</v>
      </c>
      <c r="AQ234" s="1">
        <v>4.4172000000000002</v>
      </c>
      <c r="AR234" s="1">
        <v>0.24598999999999999</v>
      </c>
      <c r="AT234" s="1425">
        <v>44887</v>
      </c>
      <c r="AU234" s="1">
        <v>17.585699999999999</v>
      </c>
      <c r="AV234" s="1">
        <v>1.0367</v>
      </c>
      <c r="AW234" s="1">
        <v>10.0543</v>
      </c>
      <c r="AX234" s="1">
        <v>0.27454000000000001</v>
      </c>
      <c r="BA234" s="1425">
        <v>44887</v>
      </c>
      <c r="BB234" s="1">
        <v>11.9244</v>
      </c>
      <c r="BC234" s="1">
        <v>2.6738</v>
      </c>
      <c r="BD234" s="1">
        <v>12.282</v>
      </c>
      <c r="BE234" s="1">
        <v>0.74663999999999997</v>
      </c>
      <c r="BG234" s="1425">
        <v>44887</v>
      </c>
      <c r="BH234" s="1">
        <v>18.549199999999999</v>
      </c>
      <c r="BI234" s="1">
        <v>3.7383000000000002</v>
      </c>
      <c r="BJ234" s="1">
        <v>19.8979</v>
      </c>
      <c r="BT234" s="1425">
        <v>44894</v>
      </c>
      <c r="BU234" s="1">
        <v>12.212999999999999</v>
      </c>
      <c r="BV234" s="1">
        <v>2.6888000000000001</v>
      </c>
      <c r="BW234" s="1">
        <v>6.4084000000000003</v>
      </c>
      <c r="BX234" s="1">
        <v>1.5241</v>
      </c>
      <c r="BZ234" s="1425">
        <v>44894</v>
      </c>
      <c r="CA234" s="1">
        <v>13.9339</v>
      </c>
      <c r="CB234" s="1">
        <v>4.1002999999999998</v>
      </c>
      <c r="CC234" s="1">
        <v>11.1707</v>
      </c>
      <c r="CD234" s="1">
        <v>2.0685600000000002</v>
      </c>
      <c r="CF234" s="1425">
        <v>44893</v>
      </c>
      <c r="CG234" s="1">
        <v>3.2595000000000001</v>
      </c>
      <c r="CH234" s="1">
        <v>0.95079999999999998</v>
      </c>
      <c r="CL234" s="1425">
        <v>44897</v>
      </c>
      <c r="CM234" s="1">
        <v>19.218499999999999</v>
      </c>
      <c r="CN234" s="1">
        <v>2.6438000000000001</v>
      </c>
      <c r="CO234" s="1">
        <v>10.750299999999999</v>
      </c>
    </row>
    <row r="235" spans="1:93">
      <c r="A235" s="1425">
        <v>44893</v>
      </c>
      <c r="B235" s="20">
        <f t="shared" si="32"/>
        <v>7.2866</v>
      </c>
      <c r="C235" s="20">
        <f t="shared" si="34"/>
        <v>5.5678000000000001</v>
      </c>
      <c r="D235" s="20">
        <f t="shared" si="35"/>
        <v>13.2319</v>
      </c>
      <c r="E235" s="20">
        <f t="shared" si="36"/>
        <v>6.9591000000000003</v>
      </c>
      <c r="F235" s="20">
        <f t="shared" si="37"/>
        <v>18.441299999999998</v>
      </c>
      <c r="G235" s="20">
        <f t="shared" si="38"/>
        <v>11.6951</v>
      </c>
      <c r="H235" s="1239">
        <f t="shared" si="39"/>
        <v>11.6951</v>
      </c>
      <c r="I235" s="1243">
        <f t="shared" si="33"/>
        <v>-0.37695274089148445</v>
      </c>
      <c r="J235" s="1243">
        <f t="shared" si="40"/>
        <v>0.12093838824177333</v>
      </c>
      <c r="K235" s="1243">
        <f t="shared" si="41"/>
        <v>0.1</v>
      </c>
      <c r="L235" s="203"/>
      <c r="N235" s="1425">
        <v>44893</v>
      </c>
      <c r="O235" s="1502">
        <v>7.2866</v>
      </c>
      <c r="P235" s="1502">
        <v>2.8191999999999999</v>
      </c>
      <c r="Q235" s="1502">
        <v>7.9946000000000002</v>
      </c>
      <c r="R235" s="1233">
        <f>'B. PE'!$U$23</f>
        <v>15.978235616082999</v>
      </c>
      <c r="S235" s="1233"/>
      <c r="T235" s="1233"/>
      <c r="V235" s="1425">
        <v>44893</v>
      </c>
      <c r="W235" s="1">
        <v>5.5678000000000001</v>
      </c>
      <c r="X235" s="1">
        <v>0.77880000000000005</v>
      </c>
      <c r="Y235" s="1">
        <v>5.4431000000000003</v>
      </c>
      <c r="Z235" s="1">
        <v>0.48464000000000002</v>
      </c>
      <c r="AB235" s="1425">
        <v>44881</v>
      </c>
      <c r="AC235" s="1">
        <v>6.3849999999999998</v>
      </c>
      <c r="AD235" s="1502">
        <v>0.97409999999999997</v>
      </c>
      <c r="AE235" s="1">
        <v>4.7483000000000004</v>
      </c>
      <c r="AF235" s="1">
        <v>2.571E-2</v>
      </c>
      <c r="AH235" s="1425">
        <v>44881</v>
      </c>
      <c r="AI235" s="1">
        <v>13.5801</v>
      </c>
      <c r="AJ235" s="1">
        <v>2.3895</v>
      </c>
      <c r="AK235" s="1">
        <v>6.9112999999999998</v>
      </c>
      <c r="AL235" s="1">
        <v>3.7600000000000001E-2</v>
      </c>
      <c r="AN235" s="1425">
        <v>44886</v>
      </c>
      <c r="AO235" s="1">
        <v>6.6082000000000001</v>
      </c>
      <c r="AP235" s="1">
        <v>1.0027999999999999</v>
      </c>
      <c r="AQ235" s="1">
        <v>4.3305999999999996</v>
      </c>
      <c r="AR235" s="1">
        <v>0.25085000000000002</v>
      </c>
      <c r="AT235" s="1425">
        <v>44886</v>
      </c>
      <c r="AU235" s="1">
        <v>18.479900000000001</v>
      </c>
      <c r="AV235" s="1">
        <v>1.0894999999999999</v>
      </c>
      <c r="AW235" s="1">
        <v>10.5258</v>
      </c>
      <c r="AX235" s="1">
        <v>0.27945999999999999</v>
      </c>
      <c r="BA235" s="1425">
        <v>44886</v>
      </c>
      <c r="BB235" s="1">
        <v>12.2684</v>
      </c>
      <c r="BC235" s="1">
        <v>2.7509000000000001</v>
      </c>
      <c r="BD235" s="1">
        <v>12.5341</v>
      </c>
      <c r="BE235" s="1">
        <v>0.73794000000000004</v>
      </c>
      <c r="BG235" s="1425">
        <v>44886</v>
      </c>
      <c r="BH235" s="1">
        <v>18.764800000000001</v>
      </c>
      <c r="BI235" s="1">
        <v>3.7818000000000001</v>
      </c>
      <c r="BJ235" s="1">
        <v>20.0746</v>
      </c>
      <c r="BT235" s="1425">
        <v>44893</v>
      </c>
      <c r="BU235" s="1">
        <v>11.456799999999999</v>
      </c>
      <c r="BV235" s="1">
        <v>2.5223</v>
      </c>
      <c r="BW235" s="1">
        <v>6.0510999999999999</v>
      </c>
      <c r="BX235" s="1">
        <v>1.5179</v>
      </c>
      <c r="BZ235" s="1425">
        <v>44893</v>
      </c>
      <c r="CA235" s="1">
        <v>13.241400000000001</v>
      </c>
      <c r="CB235" s="1">
        <v>3.8965000000000001</v>
      </c>
      <c r="CC235" s="1">
        <v>10.7539</v>
      </c>
      <c r="CD235" s="1">
        <v>2.0236299999999998</v>
      </c>
      <c r="CF235" s="1425">
        <v>44890</v>
      </c>
      <c r="CG235" s="1">
        <v>2.9811000000000001</v>
      </c>
      <c r="CH235" s="1">
        <v>0.86960000000000004</v>
      </c>
      <c r="CL235" s="1425">
        <v>44896</v>
      </c>
      <c r="CM235" s="1">
        <v>19.085100000000001</v>
      </c>
      <c r="CN235" s="1">
        <v>2.6254</v>
      </c>
      <c r="CO235" s="1">
        <v>10.676600000000001</v>
      </c>
    </row>
    <row r="236" spans="1:93">
      <c r="A236" s="1425">
        <v>44890</v>
      </c>
      <c r="B236" s="20">
        <f t="shared" si="32"/>
        <v>6.8159000000000001</v>
      </c>
      <c r="C236" s="20">
        <f t="shared" si="34"/>
        <v>5.2103000000000002</v>
      </c>
      <c r="D236" s="20">
        <f t="shared" si="35"/>
        <v>13.464</v>
      </c>
      <c r="E236" s="20">
        <f t="shared" si="36"/>
        <v>6.7251000000000003</v>
      </c>
      <c r="F236" s="20">
        <f t="shared" si="37"/>
        <v>18.549199999999999</v>
      </c>
      <c r="G236" s="20">
        <f t="shared" si="38"/>
        <v>11.9244</v>
      </c>
      <c r="H236" s="1239">
        <f t="shared" si="39"/>
        <v>11.9244</v>
      </c>
      <c r="I236" s="1243">
        <f t="shared" si="33"/>
        <v>-0.42840729931904331</v>
      </c>
      <c r="J236" s="1243">
        <f t="shared" si="40"/>
        <v>0.12093838824177333</v>
      </c>
      <c r="K236" s="1243">
        <f t="shared" si="41"/>
        <v>0.1</v>
      </c>
      <c r="L236" s="203"/>
      <c r="N236" s="1425">
        <v>44890</v>
      </c>
      <c r="O236" s="1502">
        <v>6.8159000000000001</v>
      </c>
      <c r="P236" s="1502">
        <v>2.6371000000000002</v>
      </c>
      <c r="Q236" s="1502">
        <v>7.5712999999999999</v>
      </c>
      <c r="R236" s="1233">
        <f>'B. PE'!$U$23</f>
        <v>15.978235616082999</v>
      </c>
      <c r="S236" s="1233"/>
      <c r="T236" s="1233"/>
      <c r="V236" s="1425">
        <v>44890</v>
      </c>
      <c r="W236" s="1">
        <v>5.2103000000000002</v>
      </c>
      <c r="X236" s="1">
        <v>0.7288</v>
      </c>
      <c r="Y236" s="1">
        <v>5.2754000000000003</v>
      </c>
      <c r="Z236" s="1">
        <v>0.52024999999999999</v>
      </c>
      <c r="AB236" s="1425">
        <v>44880</v>
      </c>
      <c r="AC236" s="1">
        <v>6.4823000000000004</v>
      </c>
      <c r="AD236" s="1502">
        <v>0.9889</v>
      </c>
      <c r="AE236" s="1">
        <v>4.7914000000000003</v>
      </c>
      <c r="AF236" s="1">
        <v>2.6380000000000001E-2</v>
      </c>
      <c r="AH236" s="1425">
        <v>44880</v>
      </c>
      <c r="AI236" s="1">
        <v>13.5801</v>
      </c>
      <c r="AJ236" s="1">
        <v>2.3895</v>
      </c>
      <c r="AK236" s="1">
        <v>6.9112999999999998</v>
      </c>
      <c r="AL236" s="1">
        <v>3.8460000000000001E-2</v>
      </c>
      <c r="AN236" s="1425">
        <v>44882</v>
      </c>
      <c r="AO236" s="1">
        <v>6.5496999999999996</v>
      </c>
      <c r="AP236" s="1">
        <v>0.99390000000000001</v>
      </c>
      <c r="AQ236" s="1">
        <v>4.2873000000000001</v>
      </c>
      <c r="AR236" s="1">
        <v>0.24826999999999999</v>
      </c>
      <c r="AT236" s="1425">
        <v>44882</v>
      </c>
      <c r="AU236" s="1">
        <v>18.628900000000002</v>
      </c>
      <c r="AV236" s="1">
        <v>1.0982000000000001</v>
      </c>
      <c r="AW236" s="1">
        <v>10.6044</v>
      </c>
      <c r="AX236" s="1">
        <v>0.26554</v>
      </c>
      <c r="BA236" s="1425">
        <v>44883</v>
      </c>
      <c r="BB236" s="1">
        <v>12.2684</v>
      </c>
      <c r="BC236" s="1">
        <v>2.7509000000000001</v>
      </c>
      <c r="BD236" s="1">
        <v>12.5341</v>
      </c>
      <c r="BE236" s="1">
        <v>0.76229999999999998</v>
      </c>
      <c r="BG236" s="1425">
        <v>44883</v>
      </c>
      <c r="BH236" s="1">
        <v>18.657</v>
      </c>
      <c r="BI236" s="1">
        <v>3.7601</v>
      </c>
      <c r="BJ236" s="1">
        <v>19.9862</v>
      </c>
      <c r="BT236" s="1425">
        <v>44890</v>
      </c>
      <c r="BU236" s="1">
        <v>10.786199999999999</v>
      </c>
      <c r="BV236" s="1">
        <v>2.3746999999999998</v>
      </c>
      <c r="BW236" s="1">
        <v>5.7343000000000002</v>
      </c>
      <c r="BX236" s="1">
        <v>1.6307</v>
      </c>
      <c r="BZ236" s="1425">
        <v>44890</v>
      </c>
      <c r="CA236" s="1">
        <v>12.381</v>
      </c>
      <c r="CB236" s="1">
        <v>3.6433</v>
      </c>
      <c r="CC236" s="1">
        <v>10.236000000000001</v>
      </c>
      <c r="CD236" s="1">
        <v>2.1742599999999999</v>
      </c>
      <c r="CF236" s="1425">
        <v>44889</v>
      </c>
      <c r="CG236" s="1">
        <v>2.9613999999999998</v>
      </c>
      <c r="CH236" s="1">
        <v>0.8639</v>
      </c>
      <c r="CL236" s="1425">
        <v>44895</v>
      </c>
      <c r="CM236" s="1">
        <v>18.938400000000001</v>
      </c>
      <c r="CN236" s="1">
        <v>2.6052</v>
      </c>
      <c r="CO236" s="1">
        <v>10.5954</v>
      </c>
    </row>
    <row r="237" spans="1:93">
      <c r="A237" s="1425">
        <v>44889</v>
      </c>
      <c r="B237" s="20">
        <f t="shared" si="32"/>
        <v>6.6087999999999996</v>
      </c>
      <c r="C237" s="20">
        <f t="shared" si="34"/>
        <v>4.8696999999999999</v>
      </c>
      <c r="D237" s="20">
        <f t="shared" si="35"/>
        <v>13.464</v>
      </c>
      <c r="E237" s="20">
        <f t="shared" si="36"/>
        <v>6.7251000000000003</v>
      </c>
      <c r="F237" s="20">
        <f t="shared" si="37"/>
        <v>18.764800000000001</v>
      </c>
      <c r="G237" s="20">
        <f t="shared" si="38"/>
        <v>11.809799999999999</v>
      </c>
      <c r="H237" s="1239">
        <f t="shared" si="39"/>
        <v>11.809799999999999</v>
      </c>
      <c r="I237" s="1243">
        <f t="shared" si="33"/>
        <v>-0.44039695845822957</v>
      </c>
      <c r="J237" s="1243">
        <f t="shared" si="40"/>
        <v>0.12093838824177333</v>
      </c>
      <c r="K237" s="1243">
        <f t="shared" si="41"/>
        <v>0.1</v>
      </c>
      <c r="L237" s="203"/>
      <c r="N237" s="1425">
        <v>44889</v>
      </c>
      <c r="O237" s="1502">
        <v>6.6087999999999996</v>
      </c>
      <c r="P237" s="1502">
        <v>2.5569000000000002</v>
      </c>
      <c r="Q237" s="1502">
        <v>7.3849999999999998</v>
      </c>
      <c r="R237" s="1233">
        <f>'B. PE'!$U$23</f>
        <v>15.978235616082999</v>
      </c>
      <c r="S237" s="1233"/>
      <c r="T237" s="1233"/>
      <c r="V237" s="1425">
        <v>44889</v>
      </c>
      <c r="W237" s="1">
        <v>4.8696999999999999</v>
      </c>
      <c r="X237" s="1">
        <v>0.68120000000000003</v>
      </c>
      <c r="Y237" s="1">
        <v>5.1155999999999997</v>
      </c>
      <c r="Z237" s="1">
        <v>0.52864</v>
      </c>
      <c r="AB237" s="1425">
        <v>44879</v>
      </c>
      <c r="AC237" s="1">
        <v>6.4823000000000004</v>
      </c>
      <c r="AD237" s="1502">
        <v>0.9889</v>
      </c>
      <c r="AE237" s="1">
        <v>4.7914000000000003</v>
      </c>
      <c r="AF237" s="1">
        <v>2.5850000000000001E-2</v>
      </c>
      <c r="AH237" s="1425">
        <v>44879</v>
      </c>
      <c r="AI237" s="1">
        <v>13.5801</v>
      </c>
      <c r="AJ237" s="1">
        <v>2.3895</v>
      </c>
      <c r="AK237" s="1">
        <v>6.9112999999999998</v>
      </c>
      <c r="AL237" s="1">
        <v>3.7929999999999998E-2</v>
      </c>
      <c r="AN237" s="1425">
        <v>44881</v>
      </c>
      <c r="AO237" s="1">
        <v>6.6666999999999996</v>
      </c>
      <c r="AP237" s="1">
        <v>1.0117</v>
      </c>
      <c r="AQ237" s="1">
        <v>4.3738999999999999</v>
      </c>
      <c r="AR237" s="1">
        <v>0.24797</v>
      </c>
      <c r="AT237" s="1425">
        <v>44881</v>
      </c>
      <c r="AU237" s="1">
        <v>18.927</v>
      </c>
      <c r="AV237" s="1">
        <v>1.1157999999999999</v>
      </c>
      <c r="AW237" s="1">
        <v>10.7616</v>
      </c>
      <c r="AX237" s="1">
        <v>0.27189000000000002</v>
      </c>
      <c r="BA237" s="1425">
        <v>44882</v>
      </c>
      <c r="BB237" s="1">
        <v>12.153700000000001</v>
      </c>
      <c r="BC237" s="1">
        <v>2.7252000000000001</v>
      </c>
      <c r="BD237" s="1">
        <v>12.45</v>
      </c>
      <c r="BE237" s="1">
        <v>0.75202000000000002</v>
      </c>
      <c r="BG237" s="1425">
        <v>44882</v>
      </c>
      <c r="BH237" s="1">
        <v>18.441299999999998</v>
      </c>
      <c r="BI237" s="1">
        <v>3.7166000000000001</v>
      </c>
      <c r="BJ237" s="1">
        <v>19.8095</v>
      </c>
      <c r="BT237" s="1425">
        <v>44889</v>
      </c>
      <c r="BU237" s="1">
        <v>10.7577</v>
      </c>
      <c r="BV237" s="1">
        <v>2.3683999999999998</v>
      </c>
      <c r="BW237" s="1">
        <v>5.7207999999999997</v>
      </c>
      <c r="BX237" s="1">
        <v>1.6184000000000001</v>
      </c>
      <c r="BZ237" s="1425">
        <v>44889</v>
      </c>
      <c r="CA237" s="1">
        <v>12.129200000000001</v>
      </c>
      <c r="CB237" s="1">
        <v>3.5691999999999999</v>
      </c>
      <c r="CC237" s="1">
        <v>10.0844</v>
      </c>
      <c r="CD237" s="1">
        <v>2.2194199999999999</v>
      </c>
      <c r="CF237" s="1425">
        <v>44888</v>
      </c>
      <c r="CG237" s="1">
        <v>3.0600999999999998</v>
      </c>
      <c r="CH237" s="1">
        <v>0.89259999999999995</v>
      </c>
      <c r="CL237" s="1425">
        <v>44894</v>
      </c>
      <c r="CM237" s="1">
        <v>18.844999999999999</v>
      </c>
      <c r="CN237" s="1">
        <v>2.5924</v>
      </c>
      <c r="CO237" s="1">
        <v>10.543799999999999</v>
      </c>
    </row>
    <row r="238" spans="1:93">
      <c r="A238" s="1425">
        <v>44888</v>
      </c>
      <c r="B238" s="20">
        <f t="shared" si="32"/>
        <v>7.0983000000000001</v>
      </c>
      <c r="C238" s="20">
        <f t="shared" si="34"/>
        <v>5.2272999999999996</v>
      </c>
      <c r="D238" s="20">
        <f t="shared" si="35"/>
        <v>13.464</v>
      </c>
      <c r="E238" s="20">
        <f t="shared" si="36"/>
        <v>6.7251000000000003</v>
      </c>
      <c r="F238" s="20">
        <f t="shared" si="37"/>
        <v>18.872699999999998</v>
      </c>
      <c r="G238" s="20">
        <f t="shared" si="38"/>
        <v>11.9244</v>
      </c>
      <c r="H238" s="1239">
        <f t="shared" si="39"/>
        <v>11.9244</v>
      </c>
      <c r="I238" s="1243">
        <f t="shared" si="33"/>
        <v>-0.40472476602596363</v>
      </c>
      <c r="J238" s="1243">
        <f t="shared" si="40"/>
        <v>0.12093838824177333</v>
      </c>
      <c r="K238" s="1243">
        <f t="shared" si="41"/>
        <v>0.1</v>
      </c>
      <c r="L238" s="203"/>
      <c r="N238" s="1425">
        <v>44888</v>
      </c>
      <c r="O238" s="1502">
        <v>7.0983000000000001</v>
      </c>
      <c r="P238" s="1502">
        <v>2.7463000000000002</v>
      </c>
      <c r="Q238" s="1502">
        <v>7.8253000000000004</v>
      </c>
      <c r="R238" s="1233">
        <f>'B. PE'!$U$23</f>
        <v>15.978235616082999</v>
      </c>
      <c r="S238" s="1233"/>
      <c r="T238" s="1233"/>
      <c r="V238" s="1425">
        <v>44888</v>
      </c>
      <c r="W238" s="1">
        <v>5.2272999999999996</v>
      </c>
      <c r="X238" s="1">
        <v>0.73119999999999996</v>
      </c>
      <c r="Y238" s="1">
        <v>5.2834000000000003</v>
      </c>
      <c r="Z238" s="1">
        <v>0.53220000000000001</v>
      </c>
      <c r="AB238" s="1425">
        <v>44876</v>
      </c>
      <c r="AC238" s="1">
        <v>6.6119000000000003</v>
      </c>
      <c r="AD238" s="1502">
        <v>1.0086999999999999</v>
      </c>
      <c r="AE238" s="1">
        <v>4.8489000000000004</v>
      </c>
      <c r="AF238" s="1">
        <v>2.605E-2</v>
      </c>
      <c r="AH238" s="1425">
        <v>44876</v>
      </c>
      <c r="AI238" s="1">
        <v>13.812200000000001</v>
      </c>
      <c r="AJ238" s="1">
        <v>2.4304000000000001</v>
      </c>
      <c r="AK238" s="1">
        <v>7.0294999999999996</v>
      </c>
      <c r="AL238" s="1">
        <v>3.7670000000000002E-2</v>
      </c>
      <c r="AN238" s="1425">
        <v>44880</v>
      </c>
      <c r="AO238" s="1">
        <v>6.7251000000000003</v>
      </c>
      <c r="AP238" s="1">
        <v>1.0206</v>
      </c>
      <c r="AQ238" s="1">
        <v>4.4172000000000002</v>
      </c>
      <c r="AR238" s="1">
        <v>0.24642</v>
      </c>
      <c r="AT238" s="1425">
        <v>44880</v>
      </c>
      <c r="AU238" s="1">
        <v>18.3308</v>
      </c>
      <c r="AV238" s="1">
        <v>1.0807</v>
      </c>
      <c r="AW238" s="1">
        <v>10.4472</v>
      </c>
      <c r="AX238" s="1">
        <v>0.25074000000000002</v>
      </c>
      <c r="BA238" s="1425">
        <v>44881</v>
      </c>
      <c r="BB238" s="1">
        <v>12.4977</v>
      </c>
      <c r="BC238" s="1">
        <v>2.8022999999999998</v>
      </c>
      <c r="BD238" s="1">
        <v>12.7021</v>
      </c>
      <c r="BE238" s="1">
        <v>0.75492999999999999</v>
      </c>
      <c r="BG238" s="1425">
        <v>44881</v>
      </c>
      <c r="BH238" s="1">
        <v>18.764800000000001</v>
      </c>
      <c r="BI238" s="1">
        <v>3.7818000000000001</v>
      </c>
      <c r="BJ238" s="1">
        <v>20.0746</v>
      </c>
      <c r="BT238" s="1425">
        <v>44888</v>
      </c>
      <c r="BU238" s="1">
        <v>11.556699999999999</v>
      </c>
      <c r="BV238" s="1">
        <v>2.5442999999999998</v>
      </c>
      <c r="BW238" s="1">
        <v>6.0983000000000001</v>
      </c>
      <c r="BX238" s="1">
        <v>1.637</v>
      </c>
      <c r="BZ238" s="1425">
        <v>44888</v>
      </c>
      <c r="CA238" s="1">
        <v>13.031599999999999</v>
      </c>
      <c r="CB238" s="1">
        <v>3.8348</v>
      </c>
      <c r="CC238" s="1">
        <v>10.627599999999999</v>
      </c>
      <c r="CD238" s="1">
        <v>2.1956199999999999</v>
      </c>
      <c r="CF238" s="1425">
        <v>44887</v>
      </c>
      <c r="CG238" s="1">
        <v>3.0600999999999998</v>
      </c>
      <c r="CH238" s="1">
        <v>0.89259999999999995</v>
      </c>
      <c r="CL238" s="1425">
        <v>44893</v>
      </c>
      <c r="CM238" s="1">
        <v>19.351800000000001</v>
      </c>
      <c r="CN238" s="1">
        <v>2.6621000000000001</v>
      </c>
      <c r="CO238" s="1">
        <v>10.8241</v>
      </c>
    </row>
    <row r="239" spans="1:93">
      <c r="A239" s="1425">
        <v>44887</v>
      </c>
      <c r="B239" s="20">
        <f t="shared" si="32"/>
        <v>7.0983000000000001</v>
      </c>
      <c r="C239" s="20">
        <f t="shared" si="34"/>
        <v>5.3124000000000002</v>
      </c>
      <c r="D239" s="20">
        <f t="shared" si="35"/>
        <v>13.464</v>
      </c>
      <c r="E239" s="20">
        <f t="shared" si="36"/>
        <v>6.7251000000000003</v>
      </c>
      <c r="F239" s="20">
        <f t="shared" si="37"/>
        <v>18.549199999999999</v>
      </c>
      <c r="G239" s="20">
        <f t="shared" si="38"/>
        <v>11.9244</v>
      </c>
      <c r="H239" s="1239">
        <f t="shared" si="39"/>
        <v>11.9244</v>
      </c>
      <c r="I239" s="1243">
        <f t="shared" si="33"/>
        <v>-0.40472476602596363</v>
      </c>
      <c r="J239" s="1243">
        <f t="shared" si="40"/>
        <v>0.12093838824177333</v>
      </c>
      <c r="K239" s="1243">
        <f t="shared" si="41"/>
        <v>0.1</v>
      </c>
      <c r="L239" s="203"/>
      <c r="N239" s="1425">
        <v>44887</v>
      </c>
      <c r="O239" s="1502">
        <v>7.0983000000000001</v>
      </c>
      <c r="P239" s="1502">
        <v>2.7463000000000002</v>
      </c>
      <c r="Q239" s="1502">
        <v>7.8253000000000004</v>
      </c>
      <c r="R239" s="1233">
        <f>'B. PE'!$U$23</f>
        <v>15.978235616082999</v>
      </c>
      <c r="S239" s="1233"/>
      <c r="T239" s="1233"/>
      <c r="V239" s="1425">
        <v>44887</v>
      </c>
      <c r="W239" s="1">
        <v>5.3124000000000002</v>
      </c>
      <c r="X239" s="1">
        <v>0.74309999999999998</v>
      </c>
      <c r="Y239" s="1">
        <v>5.3232999999999997</v>
      </c>
      <c r="Z239" s="1">
        <v>0.52932000000000001</v>
      </c>
      <c r="AB239" s="1425">
        <v>44875</v>
      </c>
      <c r="AC239" s="1">
        <v>6.5147000000000004</v>
      </c>
      <c r="AD239" s="1502">
        <v>0.99380000000000002</v>
      </c>
      <c r="AE239" s="1">
        <v>4.8057999999999996</v>
      </c>
      <c r="AF239" s="1">
        <v>2.6120000000000001E-2</v>
      </c>
      <c r="AH239" s="1425">
        <v>44875</v>
      </c>
      <c r="AI239" s="1">
        <v>13.696099999999999</v>
      </c>
      <c r="AJ239" s="1">
        <v>2.4098999999999999</v>
      </c>
      <c r="AK239" s="1">
        <v>6.9703999999999997</v>
      </c>
      <c r="AL239" s="1">
        <v>3.8089999999999999E-2</v>
      </c>
      <c r="AN239" s="1425">
        <v>44879</v>
      </c>
      <c r="AO239" s="1">
        <v>6.6666999999999996</v>
      </c>
      <c r="AP239" s="1">
        <v>1.0117</v>
      </c>
      <c r="AQ239" s="1">
        <v>4.3738999999999999</v>
      </c>
      <c r="AR239" s="1">
        <v>0.24041000000000001</v>
      </c>
      <c r="AT239" s="1425">
        <v>44879</v>
      </c>
      <c r="AU239" s="1">
        <v>18.628900000000002</v>
      </c>
      <c r="AV239" s="1">
        <v>1.0982000000000001</v>
      </c>
      <c r="AW239" s="1">
        <v>10.6044</v>
      </c>
      <c r="AX239" s="1">
        <v>0.24254000000000001</v>
      </c>
      <c r="BA239" s="1425">
        <v>44880</v>
      </c>
      <c r="BB239" s="1">
        <v>12.2684</v>
      </c>
      <c r="BC239" s="1">
        <v>2.7509000000000001</v>
      </c>
      <c r="BD239" s="1">
        <v>12.5341</v>
      </c>
      <c r="BE239" s="1">
        <v>0.74419000000000002</v>
      </c>
      <c r="BG239" s="1425">
        <v>44880</v>
      </c>
      <c r="BH239" s="1">
        <v>18.441299999999998</v>
      </c>
      <c r="BI239" s="1">
        <v>3.7166000000000001</v>
      </c>
      <c r="BJ239" s="1">
        <v>19.8095</v>
      </c>
      <c r="BT239" s="1425">
        <v>44887</v>
      </c>
      <c r="BU239" s="1">
        <v>11.4711</v>
      </c>
      <c r="BV239" s="1">
        <v>2.5255000000000001</v>
      </c>
      <c r="BW239" s="1">
        <v>6.0579000000000001</v>
      </c>
      <c r="BX239" s="1">
        <v>1.6990000000000001</v>
      </c>
      <c r="BZ239" s="1425">
        <v>44887</v>
      </c>
      <c r="CA239" s="1">
        <v>13.304399999999999</v>
      </c>
      <c r="CB239" s="1">
        <v>3.915</v>
      </c>
      <c r="CC239" s="1">
        <v>10.7918</v>
      </c>
      <c r="CD239" s="1">
        <v>2.28538</v>
      </c>
      <c r="CF239" s="1425">
        <v>44886</v>
      </c>
      <c r="CG239" s="1">
        <v>3.0009000000000001</v>
      </c>
      <c r="CH239" s="1">
        <v>0.87539999999999996</v>
      </c>
      <c r="CL239" s="1425">
        <v>44890</v>
      </c>
      <c r="CM239" s="1">
        <v>19.405200000000001</v>
      </c>
      <c r="CN239" s="1">
        <v>2.6695000000000002</v>
      </c>
      <c r="CO239" s="1">
        <v>10.8536</v>
      </c>
    </row>
    <row r="240" spans="1:93">
      <c r="A240" s="1425">
        <v>44886</v>
      </c>
      <c r="B240" s="20">
        <f t="shared" si="32"/>
        <v>7.5313999999999997</v>
      </c>
      <c r="C240" s="20">
        <f t="shared" si="34"/>
        <v>5.3464999999999998</v>
      </c>
      <c r="D240" s="20">
        <f t="shared" si="35"/>
        <v>13.5801</v>
      </c>
      <c r="E240" s="20">
        <f t="shared" si="36"/>
        <v>6.6082000000000001</v>
      </c>
      <c r="F240" s="20">
        <f t="shared" si="37"/>
        <v>18.764800000000001</v>
      </c>
      <c r="G240" s="20">
        <f t="shared" si="38"/>
        <v>12.2684</v>
      </c>
      <c r="H240" s="1239">
        <f t="shared" si="39"/>
        <v>12.2684</v>
      </c>
      <c r="I240" s="1243">
        <f t="shared" si="33"/>
        <v>-0.38611391868540312</v>
      </c>
      <c r="J240" s="1243">
        <f t="shared" si="40"/>
        <v>0.12093838824177333</v>
      </c>
      <c r="K240" s="1243">
        <f t="shared" si="41"/>
        <v>0.1</v>
      </c>
      <c r="L240" s="203"/>
      <c r="N240" s="1425">
        <v>44886</v>
      </c>
      <c r="O240" s="1502">
        <v>7.5313999999999997</v>
      </c>
      <c r="P240" s="1502">
        <v>2.9138999999999999</v>
      </c>
      <c r="Q240" s="1502">
        <v>8.2148000000000003</v>
      </c>
      <c r="R240" s="1233">
        <f>'B. PE'!$U$23</f>
        <v>15.978235616082999</v>
      </c>
      <c r="S240" s="1233"/>
      <c r="T240" s="1233"/>
      <c r="V240" s="1425">
        <v>44886</v>
      </c>
      <c r="W240" s="1">
        <v>5.3464999999999998</v>
      </c>
      <c r="X240" s="1">
        <v>0.74790000000000001</v>
      </c>
      <c r="Y240" s="1">
        <v>5.3392999999999997</v>
      </c>
      <c r="Z240" s="1">
        <v>0.49864000000000003</v>
      </c>
      <c r="AB240" s="1425">
        <v>44874</v>
      </c>
      <c r="AC240" s="1">
        <v>6.6119000000000003</v>
      </c>
      <c r="AD240" s="1502">
        <v>1.0086999999999999</v>
      </c>
      <c r="AE240" s="1">
        <v>4.8489000000000004</v>
      </c>
      <c r="AF240" s="1">
        <v>2.6429999999999999E-2</v>
      </c>
      <c r="AH240" s="1425">
        <v>44874</v>
      </c>
      <c r="AI240" s="1">
        <v>13.696099999999999</v>
      </c>
      <c r="AJ240" s="1">
        <v>2.4098999999999999</v>
      </c>
      <c r="AK240" s="1">
        <v>6.9703999999999997</v>
      </c>
      <c r="AL240" s="1">
        <v>3.7350000000000001E-2</v>
      </c>
      <c r="AN240" s="1425">
        <v>44876</v>
      </c>
      <c r="AO240" s="1">
        <v>6.6666999999999996</v>
      </c>
      <c r="AP240" s="1">
        <v>1.0117</v>
      </c>
      <c r="AQ240" s="1">
        <v>4.3738999999999999</v>
      </c>
      <c r="AR240" s="1">
        <v>0.23649000000000001</v>
      </c>
      <c r="AT240" s="1425">
        <v>44876</v>
      </c>
      <c r="AU240" s="1">
        <v>17.287600000000001</v>
      </c>
      <c r="AV240" s="1">
        <v>1.0192000000000001</v>
      </c>
      <c r="AW240" s="1">
        <v>9.8971</v>
      </c>
      <c r="AX240" s="1">
        <v>0.24714</v>
      </c>
      <c r="BA240" s="1425">
        <v>44879</v>
      </c>
      <c r="BB240" s="1">
        <v>12.382999999999999</v>
      </c>
      <c r="BC240" s="1">
        <v>2.7766000000000002</v>
      </c>
      <c r="BD240" s="1">
        <v>12.6181</v>
      </c>
      <c r="BE240" s="1">
        <v>0.72348000000000001</v>
      </c>
      <c r="BG240" s="1425">
        <v>44879</v>
      </c>
      <c r="BH240" s="1">
        <v>17.7942</v>
      </c>
      <c r="BI240" s="1">
        <v>3.5861999999999998</v>
      </c>
      <c r="BJ240" s="1">
        <v>19.279399999999999</v>
      </c>
      <c r="BT240" s="1425">
        <v>44886</v>
      </c>
      <c r="BU240" s="1">
        <v>11.599500000000001</v>
      </c>
      <c r="BV240" s="1">
        <v>2.5537999999999998</v>
      </c>
      <c r="BW240" s="1">
        <v>6.1185</v>
      </c>
      <c r="BX240" s="1">
        <v>1.6845000000000001</v>
      </c>
      <c r="BZ240" s="1425">
        <v>44886</v>
      </c>
      <c r="CA240" s="1">
        <v>13.157500000000001</v>
      </c>
      <c r="CB240" s="1">
        <v>3.8717999999999999</v>
      </c>
      <c r="CC240" s="1">
        <v>10.7034</v>
      </c>
      <c r="CD240" s="1">
        <v>2.2917399999999999</v>
      </c>
      <c r="CF240" s="1425">
        <v>44883</v>
      </c>
      <c r="CG240" s="1">
        <v>2.9613999999999998</v>
      </c>
      <c r="CH240" s="1">
        <v>0.8639</v>
      </c>
      <c r="CL240" s="1425">
        <v>44889</v>
      </c>
      <c r="CM240" s="1">
        <v>19.325199999999999</v>
      </c>
      <c r="CN240" s="1">
        <v>2.6583999999999999</v>
      </c>
      <c r="CO240" s="1">
        <v>10.8094</v>
      </c>
    </row>
    <row r="241" spans="1:93">
      <c r="A241" s="1425">
        <v>44883</v>
      </c>
      <c r="B241" s="20">
        <f t="shared" si="32"/>
        <v>8.0961999999999996</v>
      </c>
      <c r="C241" s="20">
        <f t="shared" si="34"/>
        <v>5.3124000000000002</v>
      </c>
      <c r="D241" s="20">
        <f t="shared" si="35"/>
        <v>13.347899999999999</v>
      </c>
      <c r="E241" s="20">
        <f t="shared" si="36"/>
        <v>6.6082000000000001</v>
      </c>
      <c r="F241" s="20">
        <f t="shared" si="37"/>
        <v>18.657</v>
      </c>
      <c r="G241" s="20">
        <f t="shared" si="38"/>
        <v>12.2684</v>
      </c>
      <c r="H241" s="1239">
        <f t="shared" si="39"/>
        <v>12.2684</v>
      </c>
      <c r="I241" s="1243">
        <f t="shared" si="33"/>
        <v>-0.34007694564898439</v>
      </c>
      <c r="J241" s="1243">
        <f t="shared" si="40"/>
        <v>0.12093838824177333</v>
      </c>
      <c r="K241" s="1243">
        <f t="shared" si="41"/>
        <v>0.1</v>
      </c>
      <c r="L241" s="203"/>
      <c r="N241" s="1425">
        <v>44883</v>
      </c>
      <c r="O241" s="1502">
        <v>8.0961999999999996</v>
      </c>
      <c r="P241" s="1502">
        <v>3.1324000000000001</v>
      </c>
      <c r="Q241" s="1502">
        <v>8.7227999999999994</v>
      </c>
      <c r="R241" s="1233">
        <f>'B. PE'!$U$23</f>
        <v>15.978235616082999</v>
      </c>
      <c r="S241" s="1233"/>
      <c r="T241" s="1233"/>
      <c r="V241" s="1425">
        <v>44883</v>
      </c>
      <c r="W241" s="1">
        <v>5.3124000000000002</v>
      </c>
      <c r="X241" s="1">
        <v>0.74309999999999998</v>
      </c>
      <c r="Y241" s="1">
        <v>5.3232999999999997</v>
      </c>
      <c r="Z241" s="1">
        <v>0.50083999999999995</v>
      </c>
      <c r="AB241" s="1425">
        <v>44873</v>
      </c>
      <c r="AC241" s="1">
        <v>6.6119000000000003</v>
      </c>
      <c r="AD241" s="1502">
        <v>1.0086999999999999</v>
      </c>
      <c r="AE241" s="1">
        <v>4.8489000000000004</v>
      </c>
      <c r="AF241" s="1">
        <v>2.6360000000000001E-2</v>
      </c>
      <c r="AH241" s="1425">
        <v>44873</v>
      </c>
      <c r="AI241" s="1">
        <v>13.812200000000001</v>
      </c>
      <c r="AJ241" s="1">
        <v>2.4304000000000001</v>
      </c>
      <c r="AK241" s="1">
        <v>7.0294999999999996</v>
      </c>
      <c r="AL241" s="1">
        <v>3.7240000000000002E-2</v>
      </c>
      <c r="AN241" s="1425">
        <v>44875</v>
      </c>
      <c r="AO241" s="1">
        <v>6.6082000000000001</v>
      </c>
      <c r="AP241" s="1">
        <v>1.0027999999999999</v>
      </c>
      <c r="AQ241" s="1">
        <v>4.3305999999999996</v>
      </c>
      <c r="AR241" s="1">
        <v>0.23652000000000001</v>
      </c>
      <c r="AT241" s="1425">
        <v>44875</v>
      </c>
      <c r="AU241" s="1">
        <v>16.989599999999999</v>
      </c>
      <c r="AV241" s="1">
        <v>1.0016</v>
      </c>
      <c r="AW241" s="1">
        <v>9.7399000000000004</v>
      </c>
      <c r="AX241" s="1">
        <v>0.23863000000000001</v>
      </c>
      <c r="BA241" s="1425">
        <v>44876</v>
      </c>
      <c r="BB241" s="1">
        <v>12.2684</v>
      </c>
      <c r="BC241" s="1">
        <v>2.7509000000000001</v>
      </c>
      <c r="BD241" s="1">
        <v>12.5341</v>
      </c>
      <c r="BE241" s="1">
        <v>0.70599999999999996</v>
      </c>
      <c r="BG241" s="1425">
        <v>44876</v>
      </c>
      <c r="BH241" s="1">
        <v>17.7942</v>
      </c>
      <c r="BI241" s="1">
        <v>3.5861999999999998</v>
      </c>
      <c r="BJ241" s="1">
        <v>19.279399999999999</v>
      </c>
      <c r="BT241" s="1425">
        <v>44883</v>
      </c>
      <c r="BU241" s="1">
        <v>12.0275</v>
      </c>
      <c r="BV241" s="1">
        <v>2.6480000000000001</v>
      </c>
      <c r="BW241" s="1">
        <v>6.3207000000000004</v>
      </c>
      <c r="BX241" s="1">
        <v>1.6316999999999999</v>
      </c>
      <c r="BZ241" s="1425">
        <v>44883</v>
      </c>
      <c r="CA241" s="1">
        <v>13.6821</v>
      </c>
      <c r="CB241" s="1">
        <v>4.0262000000000002</v>
      </c>
      <c r="CC241" s="1">
        <v>11.0191</v>
      </c>
      <c r="CD241" s="1">
        <v>2.2414399999999999</v>
      </c>
      <c r="CF241" s="1425">
        <v>44882</v>
      </c>
      <c r="CG241" s="1">
        <v>3.0009000000000001</v>
      </c>
      <c r="CH241" s="1">
        <v>0.87539999999999996</v>
      </c>
      <c r="CL241" s="1425">
        <v>44888</v>
      </c>
      <c r="CM241" s="1">
        <v>19.205100000000002</v>
      </c>
      <c r="CN241" s="1">
        <v>2.6419000000000001</v>
      </c>
      <c r="CO241" s="1">
        <v>10.743</v>
      </c>
    </row>
    <row r="242" spans="1:93">
      <c r="A242" s="1425">
        <v>44882</v>
      </c>
      <c r="B242" s="20">
        <f t="shared" si="32"/>
        <v>7.6631999999999998</v>
      </c>
      <c r="C242" s="20">
        <f t="shared" si="34"/>
        <v>5.0058999999999996</v>
      </c>
      <c r="D242" s="20">
        <f t="shared" si="35"/>
        <v>13.5801</v>
      </c>
      <c r="E242" s="20">
        <f t="shared" si="36"/>
        <v>6.5496999999999996</v>
      </c>
      <c r="F242" s="20">
        <f t="shared" si="37"/>
        <v>18.441299999999998</v>
      </c>
      <c r="G242" s="20">
        <f t="shared" si="38"/>
        <v>12.153700000000001</v>
      </c>
      <c r="H242" s="1239">
        <f t="shared" si="39"/>
        <v>12.153700000000001</v>
      </c>
      <c r="I242" s="1243">
        <f t="shared" si="33"/>
        <v>-0.36947596205270827</v>
      </c>
      <c r="J242" s="1243">
        <f t="shared" si="40"/>
        <v>0.12093838824177333</v>
      </c>
      <c r="K242" s="1243">
        <f t="shared" si="41"/>
        <v>0.1</v>
      </c>
      <c r="L242" s="203"/>
      <c r="N242" s="1425">
        <v>44882</v>
      </c>
      <c r="O242" s="1502">
        <v>7.6631999999999998</v>
      </c>
      <c r="P242" s="1502">
        <v>2.9649000000000001</v>
      </c>
      <c r="Q242" s="1502">
        <v>8.3332999999999995</v>
      </c>
      <c r="R242" s="1233">
        <f>'B. PE'!$U$23</f>
        <v>15.978235616082999</v>
      </c>
      <c r="S242" s="1233"/>
      <c r="T242" s="1233"/>
      <c r="V242" s="1425">
        <v>44882</v>
      </c>
      <c r="W242" s="1">
        <v>5.0058999999999996</v>
      </c>
      <c r="X242" s="1">
        <v>0.70020000000000004</v>
      </c>
      <c r="Y242" s="1">
        <v>5.1795</v>
      </c>
      <c r="Z242" s="1">
        <v>0.46822000000000003</v>
      </c>
      <c r="AB242" s="1425">
        <v>44872</v>
      </c>
      <c r="AC242" s="1">
        <v>6.7091000000000003</v>
      </c>
      <c r="AD242" s="1502">
        <v>1.0235000000000001</v>
      </c>
      <c r="AE242" s="1">
        <v>4.8920000000000003</v>
      </c>
      <c r="AF242" s="1">
        <v>2.6249999999999999E-2</v>
      </c>
      <c r="AH242" s="1425">
        <v>44872</v>
      </c>
      <c r="AI242" s="1">
        <v>13.5801</v>
      </c>
      <c r="AJ242" s="1">
        <v>2.3895</v>
      </c>
      <c r="AK242" s="1">
        <v>6.9112999999999998</v>
      </c>
      <c r="AL242" s="1">
        <v>3.7400000000000003E-2</v>
      </c>
      <c r="AN242" s="1425">
        <v>44874</v>
      </c>
      <c r="AO242" s="1">
        <v>6.4912000000000001</v>
      </c>
      <c r="AP242" s="1">
        <v>0.98509999999999998</v>
      </c>
      <c r="AQ242" s="1">
        <v>4.2439999999999998</v>
      </c>
      <c r="AR242" s="1">
        <v>0.23835999999999999</v>
      </c>
      <c r="AT242" s="1425">
        <v>44874</v>
      </c>
      <c r="AU242" s="1">
        <v>17.287600000000001</v>
      </c>
      <c r="AV242" s="1">
        <v>1.0192000000000001</v>
      </c>
      <c r="AW242" s="1">
        <v>9.8971</v>
      </c>
      <c r="AX242" s="1">
        <v>0.24468999999999999</v>
      </c>
      <c r="BA242" s="1425">
        <v>44875</v>
      </c>
      <c r="BB242" s="1">
        <v>12.039099999999999</v>
      </c>
      <c r="BC242" s="1">
        <v>2.6995</v>
      </c>
      <c r="BD242" s="1">
        <v>12.366</v>
      </c>
      <c r="BE242" s="1">
        <v>0.72331000000000001</v>
      </c>
      <c r="BG242" s="1425">
        <v>44875</v>
      </c>
      <c r="BH242" s="1">
        <v>17.039300000000001</v>
      </c>
      <c r="BI242" s="1">
        <v>3.4340999999999999</v>
      </c>
      <c r="BJ242" s="1">
        <v>18.660900000000002</v>
      </c>
      <c r="BT242" s="1425">
        <v>44882</v>
      </c>
      <c r="BU242" s="1">
        <v>11.9276</v>
      </c>
      <c r="BV242" s="1">
        <v>2.6259999999999999</v>
      </c>
      <c r="BW242" s="1">
        <v>6.2736000000000001</v>
      </c>
      <c r="BX242" s="1">
        <v>1.5257000000000001</v>
      </c>
      <c r="BZ242" s="1425">
        <v>44882</v>
      </c>
      <c r="CA242" s="1">
        <v>13.7241</v>
      </c>
      <c r="CB242" s="1">
        <v>4.0385999999999997</v>
      </c>
      <c r="CC242" s="1">
        <v>11.0444</v>
      </c>
      <c r="CD242" s="1">
        <v>2.0960100000000002</v>
      </c>
      <c r="CF242" s="1425">
        <v>44881</v>
      </c>
      <c r="CG242" s="1">
        <v>3.0009000000000001</v>
      </c>
      <c r="CH242" s="1">
        <v>0.87539999999999996</v>
      </c>
      <c r="CL242" s="1425">
        <v>44887</v>
      </c>
      <c r="CM242" s="1">
        <v>19.205100000000002</v>
      </c>
      <c r="CN242" s="1">
        <v>2.6419000000000001</v>
      </c>
      <c r="CO242" s="1">
        <v>10.743</v>
      </c>
    </row>
    <row r="243" spans="1:93">
      <c r="A243" s="1425">
        <v>44881</v>
      </c>
      <c r="B243" s="20">
        <f t="shared" si="32"/>
        <v>7.3996000000000004</v>
      </c>
      <c r="C243" s="20">
        <f t="shared" si="34"/>
        <v>5.0229999999999997</v>
      </c>
      <c r="D243" s="20">
        <f t="shared" si="35"/>
        <v>13.5801</v>
      </c>
      <c r="E243" s="20">
        <f t="shared" si="36"/>
        <v>6.6666999999999996</v>
      </c>
      <c r="F243" s="20">
        <f t="shared" si="37"/>
        <v>18.764800000000001</v>
      </c>
      <c r="G243" s="20">
        <f t="shared" si="38"/>
        <v>12.4977</v>
      </c>
      <c r="H243" s="1239">
        <f t="shared" si="39"/>
        <v>12.4977</v>
      </c>
      <c r="I243" s="1243">
        <f t="shared" si="33"/>
        <v>-0.40792305784264304</v>
      </c>
      <c r="J243" s="1243">
        <f t="shared" si="40"/>
        <v>0.12093838824177333</v>
      </c>
      <c r="K243" s="1243">
        <f t="shared" si="41"/>
        <v>0.1</v>
      </c>
      <c r="L243" s="203"/>
      <c r="N243" s="1425">
        <v>44881</v>
      </c>
      <c r="O243" s="1502">
        <v>7.3996000000000004</v>
      </c>
      <c r="P243" s="1502">
        <v>2.8628999999999998</v>
      </c>
      <c r="Q243" s="1502">
        <v>8.0961999999999996</v>
      </c>
      <c r="R243" s="1233">
        <f>'B. PE'!$U$23</f>
        <v>15.978235616082999</v>
      </c>
      <c r="S243" s="1233"/>
      <c r="T243" s="1233"/>
      <c r="V243" s="1425">
        <v>44881</v>
      </c>
      <c r="W243" s="1">
        <v>5.0229999999999997</v>
      </c>
      <c r="X243" s="1">
        <v>0.7026</v>
      </c>
      <c r="Y243" s="1">
        <v>5.1875</v>
      </c>
      <c r="Z243" s="1">
        <v>0.50238000000000005</v>
      </c>
      <c r="AB243" s="1425">
        <v>44869</v>
      </c>
      <c r="AC243" s="1">
        <v>6.7091000000000003</v>
      </c>
      <c r="AD243" s="1502">
        <v>1.0235000000000001</v>
      </c>
      <c r="AE243" s="1">
        <v>4.8920000000000003</v>
      </c>
      <c r="AF243" s="1">
        <v>2.6689999999999998E-2</v>
      </c>
      <c r="AH243" s="1425">
        <v>44869</v>
      </c>
      <c r="AI243" s="1">
        <v>13.5801</v>
      </c>
      <c r="AJ243" s="1">
        <v>2.3895</v>
      </c>
      <c r="AK243" s="1">
        <v>6.9112999999999998</v>
      </c>
      <c r="AL243" s="1">
        <v>3.8309999999999997E-2</v>
      </c>
      <c r="AN243" s="1425">
        <v>44873</v>
      </c>
      <c r="AO243" s="1">
        <v>6.5496999999999996</v>
      </c>
      <c r="AP243" s="1">
        <v>0.99390000000000001</v>
      </c>
      <c r="AQ243" s="1">
        <v>4.2873000000000001</v>
      </c>
      <c r="AR243" s="1">
        <v>0.24221000000000001</v>
      </c>
      <c r="AT243" s="1425">
        <v>44873</v>
      </c>
      <c r="AU243" s="1">
        <v>16.840499999999999</v>
      </c>
      <c r="AV243" s="1">
        <v>0.99280000000000002</v>
      </c>
      <c r="AW243" s="1">
        <v>9.6613000000000007</v>
      </c>
      <c r="AX243" s="1">
        <v>0.23588999999999999</v>
      </c>
      <c r="BA243" s="1425">
        <v>44874</v>
      </c>
      <c r="BB243" s="1">
        <v>11.9244</v>
      </c>
      <c r="BC243" s="1">
        <v>2.6738</v>
      </c>
      <c r="BD243" s="1">
        <v>12.282</v>
      </c>
      <c r="BE243" s="1">
        <v>0.71614</v>
      </c>
      <c r="BG243" s="1425">
        <v>44874</v>
      </c>
      <c r="BH243" s="1">
        <v>17.039300000000001</v>
      </c>
      <c r="BI243" s="1">
        <v>3.4340999999999999</v>
      </c>
      <c r="BJ243" s="1">
        <v>18.660900000000002</v>
      </c>
      <c r="BT243" s="1425">
        <v>44881</v>
      </c>
      <c r="BU243" s="1">
        <v>11.542400000000001</v>
      </c>
      <c r="BV243" s="1">
        <v>2.5411999999999999</v>
      </c>
      <c r="BW243" s="1">
        <v>6.0915999999999997</v>
      </c>
      <c r="BX243" s="1">
        <v>1.6392</v>
      </c>
      <c r="BZ243" s="1425">
        <v>44881</v>
      </c>
      <c r="CA243" s="1">
        <v>13.4093</v>
      </c>
      <c r="CB243" s="1">
        <v>3.9459</v>
      </c>
      <c r="CC243" s="1">
        <v>10.854900000000001</v>
      </c>
      <c r="CD243" s="1">
        <v>2.2512300000000001</v>
      </c>
      <c r="CF243" s="1425">
        <v>44880</v>
      </c>
      <c r="CG243" s="1">
        <v>2.7442000000000002</v>
      </c>
      <c r="CH243" s="1">
        <v>0.80049999999999999</v>
      </c>
      <c r="CL243" s="1425">
        <v>44886</v>
      </c>
      <c r="CM243" s="1">
        <v>19.365200000000002</v>
      </c>
      <c r="CN243" s="1">
        <v>2.6640000000000001</v>
      </c>
      <c r="CO243" s="1">
        <v>10.8315</v>
      </c>
    </row>
    <row r="244" spans="1:93">
      <c r="A244" s="1425">
        <v>44880</v>
      </c>
      <c r="B244" s="20">
        <f t="shared" si="32"/>
        <v>6.9195000000000002</v>
      </c>
      <c r="C244" s="20">
        <f t="shared" si="34"/>
        <v>4.6994999999999996</v>
      </c>
      <c r="D244" s="20">
        <f t="shared" si="35"/>
        <v>13.5801</v>
      </c>
      <c r="E244" s="20">
        <f t="shared" si="36"/>
        <v>6.7251000000000003</v>
      </c>
      <c r="F244" s="20">
        <f t="shared" si="37"/>
        <v>18.441299999999998</v>
      </c>
      <c r="G244" s="20">
        <f t="shared" si="38"/>
        <v>12.2684</v>
      </c>
      <c r="H244" s="1239">
        <f t="shared" si="39"/>
        <v>12.2684</v>
      </c>
      <c r="I244" s="1243">
        <f t="shared" si="33"/>
        <v>-0.43599002314890289</v>
      </c>
      <c r="J244" s="1243">
        <f t="shared" si="40"/>
        <v>0.12093838824177333</v>
      </c>
      <c r="K244" s="1243">
        <f t="shared" si="41"/>
        <v>0.1</v>
      </c>
      <c r="L244" s="203"/>
      <c r="N244" s="1425">
        <v>44880</v>
      </c>
      <c r="O244" s="1502">
        <v>6.9195000000000002</v>
      </c>
      <c r="P244" s="1502">
        <v>2.6770999999999998</v>
      </c>
      <c r="Q244" s="1502">
        <v>7.6643999999999997</v>
      </c>
      <c r="R244" s="1233">
        <f>'B. PE'!$U$23</f>
        <v>15.978235616082999</v>
      </c>
      <c r="S244" s="1233"/>
      <c r="T244" s="1233"/>
      <c r="V244" s="1425">
        <v>44880</v>
      </c>
      <c r="W244" s="1">
        <v>4.6994999999999996</v>
      </c>
      <c r="X244" s="1">
        <v>0.65739999999999998</v>
      </c>
      <c r="Y244" s="1">
        <v>5.0357000000000003</v>
      </c>
      <c r="Z244" s="1">
        <v>0.53920999999999997</v>
      </c>
      <c r="AB244" s="1425">
        <v>44868</v>
      </c>
      <c r="AC244" s="1">
        <v>6.7091000000000003</v>
      </c>
      <c r="AD244" s="1502">
        <v>1.0235000000000001</v>
      </c>
      <c r="AE244" s="1">
        <v>4.8920000000000003</v>
      </c>
      <c r="AF244" s="1">
        <v>2.6700000000000002E-2</v>
      </c>
      <c r="AH244" s="1425">
        <v>44868</v>
      </c>
      <c r="AI244" s="1">
        <v>13.696099999999999</v>
      </c>
      <c r="AJ244" s="1">
        <v>2.4098999999999999</v>
      </c>
      <c r="AK244" s="1">
        <v>6.9703999999999997</v>
      </c>
      <c r="AL244" s="1">
        <v>3.832E-2</v>
      </c>
      <c r="AN244" s="1425">
        <v>44872</v>
      </c>
      <c r="AO244" s="1">
        <v>6.6082000000000001</v>
      </c>
      <c r="AP244" s="1">
        <v>1.0027999999999999</v>
      </c>
      <c r="AQ244" s="1">
        <v>4.3305999999999996</v>
      </c>
      <c r="AR244" s="1">
        <v>0.22975000000000001</v>
      </c>
      <c r="AT244" s="1425">
        <v>44872</v>
      </c>
      <c r="AU244" s="1">
        <v>17.287600000000001</v>
      </c>
      <c r="AV244" s="1">
        <v>1.0192000000000001</v>
      </c>
      <c r="AW244" s="1">
        <v>9.8971</v>
      </c>
      <c r="AX244" s="1">
        <v>0.23607</v>
      </c>
      <c r="BA244" s="1425">
        <v>44873</v>
      </c>
      <c r="BB244" s="1">
        <v>12.2684</v>
      </c>
      <c r="BC244" s="1">
        <v>2.7509000000000001</v>
      </c>
      <c r="BD244" s="1">
        <v>12.5341</v>
      </c>
      <c r="BE244" s="1">
        <v>0.73668999999999996</v>
      </c>
      <c r="BG244" s="1425">
        <v>44873</v>
      </c>
      <c r="BH244" s="1">
        <v>17.578600000000002</v>
      </c>
      <c r="BI244" s="1">
        <v>3.5427</v>
      </c>
      <c r="BJ244" s="1">
        <v>19.102699999999999</v>
      </c>
      <c r="BT244" s="1425">
        <v>44880</v>
      </c>
      <c r="BU244" s="1">
        <v>10.8005</v>
      </c>
      <c r="BV244" s="1">
        <v>2.3778999999999999</v>
      </c>
      <c r="BW244" s="1">
        <v>5.7409999999999997</v>
      </c>
      <c r="BX244" s="1">
        <v>1.7323999999999999</v>
      </c>
      <c r="BZ244" s="1425">
        <v>44880</v>
      </c>
      <c r="CA244" s="1">
        <v>12.5489</v>
      </c>
      <c r="CB244" s="1">
        <v>3.6926999999999999</v>
      </c>
      <c r="CC244" s="1">
        <v>10.3371</v>
      </c>
      <c r="CD244" s="1">
        <v>2.4173100000000001</v>
      </c>
      <c r="CF244" s="1425">
        <v>44879</v>
      </c>
      <c r="CG244" s="1">
        <v>2.9613999999999998</v>
      </c>
      <c r="CH244" s="1">
        <v>0.8639</v>
      </c>
      <c r="CL244" s="1425">
        <v>44883</v>
      </c>
      <c r="CM244" s="1">
        <v>19.111799999999999</v>
      </c>
      <c r="CN244" s="1">
        <v>2.6291000000000002</v>
      </c>
      <c r="CO244" s="1">
        <v>10.6913</v>
      </c>
    </row>
    <row r="245" spans="1:93">
      <c r="A245" s="1425">
        <v>44879</v>
      </c>
      <c r="B245" s="20">
        <f t="shared" si="32"/>
        <v>7.4371999999999998</v>
      </c>
      <c r="C245" s="20">
        <f t="shared" si="34"/>
        <v>5.04</v>
      </c>
      <c r="D245" s="20">
        <f t="shared" si="35"/>
        <v>13.5801</v>
      </c>
      <c r="E245" s="20">
        <f t="shared" si="36"/>
        <v>6.6666999999999996</v>
      </c>
      <c r="F245" s="20">
        <f t="shared" si="37"/>
        <v>17.7942</v>
      </c>
      <c r="G245" s="20">
        <f t="shared" si="38"/>
        <v>12.382999999999999</v>
      </c>
      <c r="H245" s="1239">
        <f t="shared" si="39"/>
        <v>12.382999999999999</v>
      </c>
      <c r="I245" s="1243">
        <f t="shared" si="33"/>
        <v>-0.39940240652507464</v>
      </c>
      <c r="J245" s="1243">
        <f t="shared" si="40"/>
        <v>0.12093838824177333</v>
      </c>
      <c r="K245" s="1243">
        <f t="shared" si="41"/>
        <v>0.1</v>
      </c>
      <c r="L245" s="203"/>
      <c r="N245" s="1425">
        <v>44879</v>
      </c>
      <c r="O245" s="1502">
        <v>7.4371999999999998</v>
      </c>
      <c r="P245" s="1502">
        <v>2.8774999999999999</v>
      </c>
      <c r="Q245" s="1502">
        <v>8.1301000000000005</v>
      </c>
      <c r="R245" s="1233">
        <f>'B. PE'!$U$23</f>
        <v>15.978235616082999</v>
      </c>
      <c r="S245" s="1233"/>
      <c r="T245" s="1233"/>
      <c r="V245" s="1425">
        <v>44879</v>
      </c>
      <c r="W245" s="1">
        <v>5.04</v>
      </c>
      <c r="X245" s="1">
        <v>0.70499999999999996</v>
      </c>
      <c r="Y245" s="1">
        <v>5.1955</v>
      </c>
      <c r="Z245" s="1">
        <v>0.57713999999999999</v>
      </c>
      <c r="AB245" s="1425">
        <v>44867</v>
      </c>
      <c r="AC245" s="1">
        <v>6.774</v>
      </c>
      <c r="AD245" s="1502">
        <v>1.0334000000000001</v>
      </c>
      <c r="AE245" s="1">
        <v>4.9207999999999998</v>
      </c>
      <c r="AF245" s="1">
        <v>2.7490000000000001E-2</v>
      </c>
      <c r="AH245" s="1425">
        <v>44867</v>
      </c>
      <c r="AI245" s="1">
        <v>13.9283</v>
      </c>
      <c r="AJ245" s="1">
        <v>2.4508000000000001</v>
      </c>
      <c r="AK245" s="1">
        <v>7.0887000000000002</v>
      </c>
      <c r="AL245" s="1">
        <v>3.739E-2</v>
      </c>
      <c r="AN245" s="1425">
        <v>44869</v>
      </c>
      <c r="AO245" s="1">
        <v>6.7251000000000003</v>
      </c>
      <c r="AP245" s="1">
        <v>1.0206</v>
      </c>
      <c r="AQ245" s="1">
        <v>4.4172000000000002</v>
      </c>
      <c r="AR245" s="1">
        <v>0.23426</v>
      </c>
      <c r="AT245" s="1425">
        <v>44869</v>
      </c>
      <c r="AU245" s="1">
        <v>16.691500000000001</v>
      </c>
      <c r="AV245" s="1">
        <v>0.98399999999999999</v>
      </c>
      <c r="AW245" s="1">
        <v>9.5828000000000007</v>
      </c>
      <c r="AX245" s="1">
        <v>0.23215</v>
      </c>
      <c r="BA245" s="1425">
        <v>44872</v>
      </c>
      <c r="BB245" s="1">
        <v>12.2684</v>
      </c>
      <c r="BC245" s="1">
        <v>2.7509000000000001</v>
      </c>
      <c r="BD245" s="1">
        <v>12.5341</v>
      </c>
      <c r="BE245" s="1">
        <v>0.70355999999999996</v>
      </c>
      <c r="BG245" s="1425">
        <v>44872</v>
      </c>
      <c r="BH245" s="1">
        <v>17.578600000000002</v>
      </c>
      <c r="BI245" s="1">
        <v>3.5427</v>
      </c>
      <c r="BJ245" s="1">
        <v>19.102699999999999</v>
      </c>
      <c r="BT245" s="1425">
        <v>44879</v>
      </c>
      <c r="BU245" s="1">
        <v>11.599500000000001</v>
      </c>
      <c r="BV245" s="1">
        <v>2.5537999999999998</v>
      </c>
      <c r="BW245" s="1">
        <v>6.1185</v>
      </c>
      <c r="BX245" s="1">
        <v>1.7031000000000001</v>
      </c>
      <c r="BZ245" s="1425">
        <v>44879</v>
      </c>
      <c r="CA245" s="1">
        <v>13.472200000000001</v>
      </c>
      <c r="CB245" s="1">
        <v>3.9643999999999999</v>
      </c>
      <c r="CC245" s="1">
        <v>10.892799999999999</v>
      </c>
      <c r="CD245" s="1">
        <v>2.4338199999999999</v>
      </c>
      <c r="CF245" s="1425">
        <v>44876</v>
      </c>
      <c r="CG245" s="1">
        <v>2.9613999999999998</v>
      </c>
      <c r="CH245" s="1">
        <v>0.8639</v>
      </c>
      <c r="CL245" s="1425">
        <v>44882</v>
      </c>
      <c r="CM245" s="1">
        <v>18.671600000000002</v>
      </c>
      <c r="CN245" s="1">
        <v>2.5684999999999998</v>
      </c>
      <c r="CO245" s="1">
        <v>10.447800000000001</v>
      </c>
    </row>
    <row r="246" spans="1:93">
      <c r="A246" s="1425">
        <v>44876</v>
      </c>
      <c r="B246" s="20">
        <f t="shared" si="32"/>
        <v>7.9927000000000001</v>
      </c>
      <c r="C246" s="20">
        <f t="shared" si="34"/>
        <v>5.4146000000000001</v>
      </c>
      <c r="D246" s="20">
        <f t="shared" si="35"/>
        <v>13.812200000000001</v>
      </c>
      <c r="E246" s="20">
        <f t="shared" si="36"/>
        <v>6.6666999999999996</v>
      </c>
      <c r="F246" s="20">
        <f t="shared" si="37"/>
        <v>17.7942</v>
      </c>
      <c r="G246" s="20">
        <f t="shared" si="38"/>
        <v>12.2684</v>
      </c>
      <c r="H246" s="1239">
        <f t="shared" si="39"/>
        <v>12.2684</v>
      </c>
      <c r="I246" s="1243">
        <f t="shared" si="33"/>
        <v>-0.34851325356199669</v>
      </c>
      <c r="J246" s="1243">
        <f t="shared" si="40"/>
        <v>0.12093838824177333</v>
      </c>
      <c r="K246" s="1243">
        <f t="shared" si="41"/>
        <v>0.1</v>
      </c>
      <c r="L246" s="203"/>
      <c r="N246" s="1425">
        <v>44876</v>
      </c>
      <c r="O246" s="1502">
        <v>7.9927000000000001</v>
      </c>
      <c r="P246" s="1502">
        <v>3.0924</v>
      </c>
      <c r="Q246" s="1502">
        <v>8.6296999999999997</v>
      </c>
      <c r="R246" s="1233">
        <f>'B. PE'!$U$23</f>
        <v>15.978235616082999</v>
      </c>
      <c r="S246" s="1233"/>
      <c r="T246" s="1233"/>
      <c r="V246" s="1425">
        <v>44876</v>
      </c>
      <c r="W246" s="1">
        <v>5.4146000000000001</v>
      </c>
      <c r="X246" s="1">
        <v>0.75739999999999996</v>
      </c>
      <c r="Y246" s="1">
        <v>5.3712</v>
      </c>
      <c r="Z246" s="1">
        <v>0.61963000000000001</v>
      </c>
      <c r="AB246" s="1425">
        <v>44866</v>
      </c>
      <c r="AC246" s="1">
        <v>6.774</v>
      </c>
      <c r="AD246" s="1502">
        <v>1.0334000000000001</v>
      </c>
      <c r="AE246" s="1">
        <v>4.9207999999999998</v>
      </c>
      <c r="AF246" s="1">
        <v>2.7230000000000001E-2</v>
      </c>
      <c r="AH246" s="1425">
        <v>44866</v>
      </c>
      <c r="AI246" s="1">
        <v>13.9283</v>
      </c>
      <c r="AJ246" s="1">
        <v>2.4508000000000001</v>
      </c>
      <c r="AK246" s="1">
        <v>7.0887000000000002</v>
      </c>
      <c r="AL246" s="1">
        <v>3.6290000000000003E-2</v>
      </c>
      <c r="AN246" s="1425">
        <v>44868</v>
      </c>
      <c r="AO246" s="1">
        <v>6.3742999999999999</v>
      </c>
      <c r="AP246" s="1">
        <v>0.96730000000000005</v>
      </c>
      <c r="AQ246" s="1">
        <v>4.1574</v>
      </c>
      <c r="AR246" s="1">
        <v>0.23655000000000001</v>
      </c>
      <c r="AT246" s="1425">
        <v>44868</v>
      </c>
      <c r="AU246" s="1">
        <v>16.691500000000001</v>
      </c>
      <c r="AV246" s="1">
        <v>0.98399999999999999</v>
      </c>
      <c r="AW246" s="1">
        <v>9.5828000000000007</v>
      </c>
      <c r="AX246" s="1">
        <v>0.23022000000000001</v>
      </c>
      <c r="BA246" s="1425">
        <v>44869</v>
      </c>
      <c r="BB246" s="1">
        <v>12.612399999999999</v>
      </c>
      <c r="BC246" s="1">
        <v>2.8279999999999998</v>
      </c>
      <c r="BD246" s="1">
        <v>12.786099999999999</v>
      </c>
      <c r="BE246" s="1">
        <v>0.70433999999999997</v>
      </c>
      <c r="BG246" s="1425">
        <v>44869</v>
      </c>
      <c r="BH246" s="1">
        <v>18.009899999999998</v>
      </c>
      <c r="BI246" s="1">
        <v>3.6297000000000001</v>
      </c>
      <c r="BJ246" s="1">
        <v>19.456099999999999</v>
      </c>
      <c r="BT246" s="1425">
        <v>44876</v>
      </c>
      <c r="BU246" s="1">
        <v>12.270099999999999</v>
      </c>
      <c r="BV246" s="1">
        <v>2.7014</v>
      </c>
      <c r="BW246" s="1">
        <v>6.4352999999999998</v>
      </c>
      <c r="BX246" s="1">
        <v>1.8302</v>
      </c>
      <c r="BZ246" s="1425">
        <v>44876</v>
      </c>
      <c r="CA246" s="1">
        <v>14.4795</v>
      </c>
      <c r="CB246" s="1">
        <v>4.2609000000000004</v>
      </c>
      <c r="CC246" s="1">
        <v>11.4991</v>
      </c>
      <c r="CD246" s="1">
        <v>2.61639</v>
      </c>
      <c r="CF246" s="1425">
        <v>44875</v>
      </c>
      <c r="CG246" s="1">
        <v>3.2772000000000001</v>
      </c>
      <c r="CH246" s="1">
        <v>0.95599999999999996</v>
      </c>
      <c r="CL246" s="1425">
        <v>44881</v>
      </c>
      <c r="CM246" s="1">
        <v>18.4849</v>
      </c>
      <c r="CN246" s="1">
        <v>2.5428999999999999</v>
      </c>
      <c r="CO246" s="1">
        <v>10.3445</v>
      </c>
    </row>
    <row r="247" spans="1:93">
      <c r="A247" s="1425">
        <v>44875</v>
      </c>
      <c r="B247" s="20">
        <f t="shared" si="32"/>
        <v>8.5858000000000008</v>
      </c>
      <c r="C247" s="20">
        <f t="shared" si="34"/>
        <v>5.8061999999999996</v>
      </c>
      <c r="D247" s="20">
        <f t="shared" si="35"/>
        <v>13.696099999999999</v>
      </c>
      <c r="E247" s="20">
        <f t="shared" si="36"/>
        <v>6.6082000000000001</v>
      </c>
      <c r="F247" s="20">
        <f t="shared" si="37"/>
        <v>17.039300000000001</v>
      </c>
      <c r="G247" s="20">
        <f t="shared" si="38"/>
        <v>12.039099999999999</v>
      </c>
      <c r="H247" s="1239">
        <f t="shared" si="39"/>
        <v>12.039099999999999</v>
      </c>
      <c r="I247" s="1243">
        <f t="shared" si="33"/>
        <v>-0.28684037843360377</v>
      </c>
      <c r="J247" s="1243">
        <f t="shared" si="40"/>
        <v>0.12093838824177333</v>
      </c>
      <c r="K247" s="1243">
        <f t="shared" si="41"/>
        <v>0.1</v>
      </c>
      <c r="L247" s="203"/>
      <c r="N247" s="1425">
        <v>44875</v>
      </c>
      <c r="O247" s="1502">
        <v>8.5858000000000008</v>
      </c>
      <c r="P247" s="1502">
        <v>3.3218000000000001</v>
      </c>
      <c r="Q247" s="1502">
        <v>9.1631</v>
      </c>
      <c r="R247" s="1233">
        <f>'B. PE'!$U$23</f>
        <v>15.978235616082999</v>
      </c>
      <c r="S247" s="1233"/>
      <c r="T247" s="1233"/>
      <c r="V247" s="1425">
        <v>44875</v>
      </c>
      <c r="W247" s="1">
        <v>5.8061999999999996</v>
      </c>
      <c r="X247" s="1">
        <v>0.81220000000000003</v>
      </c>
      <c r="Y247" s="1">
        <v>5.5549999999999997</v>
      </c>
      <c r="Z247" s="1">
        <v>0.65029000000000003</v>
      </c>
      <c r="AB247" s="1425">
        <v>44865</v>
      </c>
      <c r="AC247" s="1">
        <v>6.9683999999999999</v>
      </c>
      <c r="AD247" s="1502">
        <v>1.0630999999999999</v>
      </c>
      <c r="AE247" s="1">
        <v>5.0069999999999997</v>
      </c>
      <c r="AF247" s="1">
        <v>2.7519999999999999E-2</v>
      </c>
      <c r="AH247" s="1425">
        <v>44865</v>
      </c>
      <c r="AI247" s="1">
        <v>13.5801</v>
      </c>
      <c r="AJ247" s="1">
        <v>2.3895</v>
      </c>
      <c r="AK247" s="1">
        <v>6.9112999999999998</v>
      </c>
      <c r="AL247" s="1">
        <v>3.6650000000000002E-2</v>
      </c>
      <c r="AN247" s="1425">
        <v>44867</v>
      </c>
      <c r="AO247" s="1">
        <v>6.4912000000000001</v>
      </c>
      <c r="AP247" s="1">
        <v>0.98509999999999998</v>
      </c>
      <c r="AQ247" s="1">
        <v>4.2439999999999998</v>
      </c>
      <c r="AR247" s="1">
        <v>0.23477999999999999</v>
      </c>
      <c r="AT247" s="1425">
        <v>44867</v>
      </c>
      <c r="AU247" s="1">
        <v>16.3934</v>
      </c>
      <c r="AV247" s="1">
        <v>0.96650000000000003</v>
      </c>
      <c r="AW247" s="1">
        <v>9.4496000000000002</v>
      </c>
      <c r="AX247" s="1">
        <v>0.22209000000000001</v>
      </c>
      <c r="BA247" s="1425">
        <v>44868</v>
      </c>
      <c r="BB247" s="1">
        <v>12.2684</v>
      </c>
      <c r="BC247" s="1">
        <v>2.7509000000000001</v>
      </c>
      <c r="BD247" s="1">
        <v>12.5341</v>
      </c>
      <c r="BE247" s="1">
        <v>0.69535000000000002</v>
      </c>
      <c r="BG247" s="1425">
        <v>44868</v>
      </c>
      <c r="BH247" s="1">
        <v>17.470700000000001</v>
      </c>
      <c r="BI247" s="1">
        <v>3.5209999999999999</v>
      </c>
      <c r="BJ247" s="1">
        <v>19.014299999999999</v>
      </c>
      <c r="BT247" s="1425">
        <v>44875</v>
      </c>
      <c r="BU247" s="1">
        <v>12.0846</v>
      </c>
      <c r="BV247" s="1">
        <v>2.6606000000000001</v>
      </c>
      <c r="BW247" s="1">
        <v>6.3476999999999997</v>
      </c>
      <c r="BX247" s="1">
        <v>1.7946</v>
      </c>
      <c r="BZ247" s="1425">
        <v>44875</v>
      </c>
      <c r="CA247" s="1">
        <v>14.605399999999999</v>
      </c>
      <c r="CB247" s="1">
        <v>4.2979000000000003</v>
      </c>
      <c r="CC247" s="1">
        <v>11.5749</v>
      </c>
      <c r="CD247" s="1">
        <v>2.58914</v>
      </c>
      <c r="CF247" s="1425">
        <v>44874</v>
      </c>
      <c r="CG247" s="1">
        <v>3.2378</v>
      </c>
      <c r="CH247" s="1">
        <v>0.94450000000000001</v>
      </c>
      <c r="CL247" s="1425">
        <v>44880</v>
      </c>
      <c r="CM247" s="1">
        <v>18.765000000000001</v>
      </c>
      <c r="CN247" s="1">
        <v>2.5813999999999999</v>
      </c>
      <c r="CO247" s="1">
        <v>10.499499999999999</v>
      </c>
    </row>
    <row r="248" spans="1:93">
      <c r="A248" s="1425">
        <v>44874</v>
      </c>
      <c r="B248" s="20">
        <f t="shared" si="32"/>
        <v>9.2258999999999993</v>
      </c>
      <c r="C248" s="20">
        <f t="shared" si="34"/>
        <v>6.2319000000000004</v>
      </c>
      <c r="D248" s="20">
        <f t="shared" si="35"/>
        <v>13.696099999999999</v>
      </c>
      <c r="E248" s="20">
        <f t="shared" si="36"/>
        <v>6.4912000000000001</v>
      </c>
      <c r="F248" s="20">
        <f t="shared" si="37"/>
        <v>17.039300000000001</v>
      </c>
      <c r="G248" s="20">
        <f t="shared" si="38"/>
        <v>11.9244</v>
      </c>
      <c r="H248" s="1239">
        <f t="shared" si="39"/>
        <v>11.9244</v>
      </c>
      <c r="I248" s="1243">
        <f t="shared" si="33"/>
        <v>-0.2263006943745598</v>
      </c>
      <c r="J248" s="1243">
        <f t="shared" si="40"/>
        <v>0.12093838824177333</v>
      </c>
      <c r="K248" s="1243">
        <f t="shared" si="41"/>
        <v>0.1</v>
      </c>
      <c r="L248" s="203"/>
      <c r="N248" s="1425">
        <v>44874</v>
      </c>
      <c r="O248" s="1502">
        <v>9.2258999999999993</v>
      </c>
      <c r="P248" s="1502">
        <v>3.5695000000000001</v>
      </c>
      <c r="Q248" s="1502">
        <v>9.7388999999999992</v>
      </c>
      <c r="R248" s="1233">
        <f>'B. PE'!$U$23</f>
        <v>15.978235616082999</v>
      </c>
      <c r="S248" s="1233"/>
      <c r="T248" s="1233"/>
      <c r="V248" s="1425">
        <v>44874</v>
      </c>
      <c r="W248" s="1">
        <v>6.2319000000000004</v>
      </c>
      <c r="X248" s="1">
        <v>0.87170000000000003</v>
      </c>
      <c r="Y248" s="1">
        <v>5.7546999999999997</v>
      </c>
      <c r="Z248" s="1">
        <v>0.69740000000000002</v>
      </c>
      <c r="AB248" s="1425">
        <v>44862</v>
      </c>
      <c r="AC248" s="1">
        <v>6.8712</v>
      </c>
      <c r="AD248" s="1502">
        <v>1.0482</v>
      </c>
      <c r="AE248" s="1">
        <v>4.9638999999999998</v>
      </c>
      <c r="AF248" s="1">
        <v>2.6589999999999999E-2</v>
      </c>
      <c r="AH248" s="1425">
        <v>44862</v>
      </c>
      <c r="AI248" s="1">
        <v>13.1158</v>
      </c>
      <c r="AJ248" s="1">
        <v>2.3077999999999999</v>
      </c>
      <c r="AK248" s="1">
        <v>6.6748000000000003</v>
      </c>
      <c r="AL248" s="1">
        <v>3.807E-2</v>
      </c>
      <c r="AN248" s="1425">
        <v>44866</v>
      </c>
      <c r="AO248" s="1">
        <v>6.5496999999999996</v>
      </c>
      <c r="AP248" s="1">
        <v>0.99390000000000001</v>
      </c>
      <c r="AQ248" s="1">
        <v>4.2873000000000001</v>
      </c>
      <c r="AR248" s="1">
        <v>0.23497000000000001</v>
      </c>
      <c r="AT248" s="1425">
        <v>44866</v>
      </c>
      <c r="AU248" s="1">
        <v>16.244399999999999</v>
      </c>
      <c r="AV248" s="1">
        <v>0.9577</v>
      </c>
      <c r="AW248" s="1">
        <v>9.4130000000000003</v>
      </c>
      <c r="AX248" s="1">
        <v>0.21379999999999999</v>
      </c>
      <c r="BA248" s="1425">
        <v>44867</v>
      </c>
      <c r="BB248" s="1">
        <v>12.153700000000001</v>
      </c>
      <c r="BC248" s="1">
        <v>2.7252000000000001</v>
      </c>
      <c r="BD248" s="1">
        <v>12.45</v>
      </c>
      <c r="BE248" s="1">
        <v>0.68298999999999999</v>
      </c>
      <c r="BG248" s="1425">
        <v>44867</v>
      </c>
      <c r="BH248" s="1">
        <v>17.470700000000001</v>
      </c>
      <c r="BI248" s="1">
        <v>3.5209999999999999</v>
      </c>
      <c r="BJ248" s="1">
        <v>19.014299999999999</v>
      </c>
      <c r="BT248" s="1425">
        <v>44874</v>
      </c>
      <c r="BU248" s="1">
        <v>12.9834</v>
      </c>
      <c r="BV248" s="1">
        <v>2.8584000000000001</v>
      </c>
      <c r="BW248" s="1">
        <v>6.7724000000000002</v>
      </c>
      <c r="BX248" s="1">
        <v>1.7234</v>
      </c>
      <c r="BZ248" s="1425">
        <v>44874</v>
      </c>
      <c r="CA248" s="1">
        <v>15.6966</v>
      </c>
      <c r="CB248" s="1">
        <v>4.6189999999999998</v>
      </c>
      <c r="CC248" s="1">
        <v>12.2317</v>
      </c>
      <c r="CD248" s="1">
        <v>2.4900699999999998</v>
      </c>
      <c r="CF248" s="1425">
        <v>44873</v>
      </c>
      <c r="CG248" s="1">
        <v>3.218</v>
      </c>
      <c r="CH248" s="1">
        <v>0.93869999999999998</v>
      </c>
      <c r="CL248" s="1425">
        <v>44879</v>
      </c>
      <c r="CM248" s="1">
        <v>18.605</v>
      </c>
      <c r="CN248" s="1">
        <v>2.5594000000000001</v>
      </c>
      <c r="CO248" s="1">
        <v>10.4109</v>
      </c>
    </row>
    <row r="249" spans="1:93">
      <c r="A249" s="1425">
        <v>44873</v>
      </c>
      <c r="B249" s="20">
        <f t="shared" si="32"/>
        <v>9.8660999999999994</v>
      </c>
      <c r="C249" s="20">
        <f t="shared" si="34"/>
        <v>6.5384000000000002</v>
      </c>
      <c r="D249" s="20">
        <f t="shared" si="35"/>
        <v>13.812200000000001</v>
      </c>
      <c r="E249" s="20">
        <f t="shared" si="36"/>
        <v>6.5496999999999996</v>
      </c>
      <c r="F249" s="20">
        <f t="shared" si="37"/>
        <v>17.578600000000002</v>
      </c>
      <c r="G249" s="20">
        <f t="shared" si="38"/>
        <v>12.2684</v>
      </c>
      <c r="H249" s="1239">
        <f t="shared" si="39"/>
        <v>12.2684</v>
      </c>
      <c r="I249" s="1243">
        <f t="shared" si="33"/>
        <v>-0.19581200482540517</v>
      </c>
      <c r="J249" s="1243">
        <f t="shared" si="40"/>
        <v>0.12093838824177333</v>
      </c>
      <c r="K249" s="1243">
        <f t="shared" si="41"/>
        <v>0.1</v>
      </c>
      <c r="L249" s="203"/>
      <c r="N249" s="1425">
        <v>44873</v>
      </c>
      <c r="O249" s="1502">
        <v>9.8660999999999994</v>
      </c>
      <c r="P249" s="1502">
        <v>3.8172000000000001</v>
      </c>
      <c r="Q249" s="1502">
        <v>10.3146</v>
      </c>
      <c r="R249" s="1233">
        <f>'B. PE'!$U$23</f>
        <v>15.978235616082999</v>
      </c>
      <c r="S249" s="1233"/>
      <c r="T249" s="1233"/>
      <c r="V249" s="1425">
        <v>44873</v>
      </c>
      <c r="W249" s="1">
        <v>6.5384000000000002</v>
      </c>
      <c r="X249" s="1">
        <v>0.91459999999999997</v>
      </c>
      <c r="Y249" s="1">
        <v>5.8985000000000003</v>
      </c>
      <c r="Z249" s="1">
        <v>0.74965999999999999</v>
      </c>
      <c r="AB249" s="1425">
        <v>44861</v>
      </c>
      <c r="AC249" s="1">
        <v>6.9359999999999999</v>
      </c>
      <c r="AD249" s="1502">
        <v>1.0581</v>
      </c>
      <c r="AE249" s="1">
        <v>4.9926000000000004</v>
      </c>
      <c r="AF249" s="1">
        <v>2.6419999999999999E-2</v>
      </c>
      <c r="AH249" s="1425">
        <v>44861</v>
      </c>
      <c r="AI249" s="1">
        <v>13.2319</v>
      </c>
      <c r="AJ249" s="1">
        <v>2.3281999999999998</v>
      </c>
      <c r="AK249" s="1">
        <v>6.7339000000000002</v>
      </c>
      <c r="AL249" s="1">
        <v>3.7830000000000003E-2</v>
      </c>
      <c r="AN249" s="1425">
        <v>44865</v>
      </c>
      <c r="AO249" s="1">
        <v>6.4912000000000001</v>
      </c>
      <c r="AP249" s="1">
        <v>0.98509999999999998</v>
      </c>
      <c r="AQ249" s="1">
        <v>4.2439999999999998</v>
      </c>
      <c r="AR249" s="1">
        <v>0.23543</v>
      </c>
      <c r="AT249" s="1425">
        <v>44865</v>
      </c>
      <c r="AU249" s="1">
        <v>15.648300000000001</v>
      </c>
      <c r="AV249" s="1">
        <v>0.92249999999999999</v>
      </c>
      <c r="AW249" s="1">
        <v>9.1834000000000007</v>
      </c>
      <c r="AX249" s="1">
        <v>0.21210000000000001</v>
      </c>
      <c r="BA249" s="1425">
        <v>44866</v>
      </c>
      <c r="BB249" s="1">
        <v>12.039099999999999</v>
      </c>
      <c r="BC249" s="1">
        <v>2.6995</v>
      </c>
      <c r="BD249" s="1">
        <v>12.366</v>
      </c>
      <c r="BE249" s="1">
        <v>0.67766999999999999</v>
      </c>
      <c r="BG249" s="1425">
        <v>44866</v>
      </c>
      <c r="BH249" s="1">
        <v>17.039300000000001</v>
      </c>
      <c r="BI249" s="1">
        <v>3.4340999999999999</v>
      </c>
      <c r="BJ249" s="1">
        <v>18.660900000000002</v>
      </c>
      <c r="BT249" s="1425">
        <v>44873</v>
      </c>
      <c r="BU249" s="1">
        <v>12.726599999999999</v>
      </c>
      <c r="BV249" s="1">
        <v>2.8018999999999998</v>
      </c>
      <c r="BW249" s="1">
        <v>6.6510999999999996</v>
      </c>
      <c r="BX249" s="1">
        <v>1.8515999999999999</v>
      </c>
      <c r="BZ249" s="1425">
        <v>44873</v>
      </c>
      <c r="CA249" s="1">
        <v>15.528700000000001</v>
      </c>
      <c r="CB249" s="1">
        <v>4.5696000000000003</v>
      </c>
      <c r="CC249" s="1">
        <v>12.130599999999999</v>
      </c>
      <c r="CD249" s="1">
        <v>2.5418099999999999</v>
      </c>
      <c r="CF249" s="1425">
        <v>44872</v>
      </c>
      <c r="CG249" s="1">
        <v>3.1391</v>
      </c>
      <c r="CH249" s="1">
        <v>0.91569999999999996</v>
      </c>
      <c r="CL249" s="1425">
        <v>44876</v>
      </c>
      <c r="CM249" s="1">
        <v>18.645</v>
      </c>
      <c r="CN249" s="1">
        <v>2.5649000000000002</v>
      </c>
      <c r="CO249" s="1">
        <v>10.4331</v>
      </c>
    </row>
    <row r="250" spans="1:93">
      <c r="A250" s="1425">
        <v>44872</v>
      </c>
      <c r="B250" s="20">
        <f t="shared" si="32"/>
        <v>9.6402000000000001</v>
      </c>
      <c r="C250" s="20">
        <f t="shared" si="34"/>
        <v>7.0151000000000003</v>
      </c>
      <c r="D250" s="20">
        <f t="shared" si="35"/>
        <v>13.5801</v>
      </c>
      <c r="E250" s="20">
        <f t="shared" si="36"/>
        <v>6.6082000000000001</v>
      </c>
      <c r="F250" s="20">
        <f t="shared" si="37"/>
        <v>17.578600000000002</v>
      </c>
      <c r="G250" s="20">
        <f t="shared" si="38"/>
        <v>12.2684</v>
      </c>
      <c r="H250" s="1239">
        <f t="shared" si="39"/>
        <v>12.2684</v>
      </c>
      <c r="I250" s="1243">
        <f t="shared" si="33"/>
        <v>-0.21422516383554491</v>
      </c>
      <c r="J250" s="1243">
        <f t="shared" si="40"/>
        <v>0.12093838824177333</v>
      </c>
      <c r="K250" s="1243">
        <f t="shared" si="41"/>
        <v>0.1</v>
      </c>
      <c r="L250" s="203"/>
      <c r="N250" s="1425">
        <v>44872</v>
      </c>
      <c r="O250" s="1502">
        <v>9.6402000000000001</v>
      </c>
      <c r="P250" s="1502">
        <v>3.7298</v>
      </c>
      <c r="Q250" s="1502">
        <v>10.1114</v>
      </c>
      <c r="R250" s="1233">
        <f>'B. PE'!$U$23</f>
        <v>15.978235616082999</v>
      </c>
      <c r="S250" s="1233"/>
      <c r="T250" s="1233"/>
      <c r="V250" s="1425">
        <v>44872</v>
      </c>
      <c r="W250" s="1">
        <v>7.0151000000000003</v>
      </c>
      <c r="X250" s="1">
        <v>0.98129999999999995</v>
      </c>
      <c r="Y250" s="1">
        <v>6.1220999999999997</v>
      </c>
      <c r="Z250" s="1">
        <v>0.80591999999999997</v>
      </c>
      <c r="AB250" s="1425">
        <v>44860</v>
      </c>
      <c r="AC250" s="1">
        <v>6.6767000000000003</v>
      </c>
      <c r="AD250" s="1502">
        <v>1.0185999999999999</v>
      </c>
      <c r="AE250" s="1">
        <v>4.8776000000000002</v>
      </c>
      <c r="AF250" s="1">
        <v>2.7040000000000002E-2</v>
      </c>
      <c r="AH250" s="1425">
        <v>44860</v>
      </c>
      <c r="AI250" s="1">
        <v>13.696099999999999</v>
      </c>
      <c r="AJ250" s="1">
        <v>2.4098999999999999</v>
      </c>
      <c r="AK250" s="1">
        <v>6.9703999999999997</v>
      </c>
      <c r="AL250" s="1">
        <v>3.6839999999999998E-2</v>
      </c>
      <c r="AN250" s="1425">
        <v>44862</v>
      </c>
      <c r="AO250" s="1">
        <v>6.4912000000000001</v>
      </c>
      <c r="AP250" s="1">
        <v>0.98509999999999998</v>
      </c>
      <c r="AQ250" s="1">
        <v>4.2439999999999998</v>
      </c>
      <c r="AR250" s="1">
        <v>0.2334</v>
      </c>
      <c r="AT250" s="1425">
        <v>44862</v>
      </c>
      <c r="AU250" s="1">
        <v>15.052199999999999</v>
      </c>
      <c r="AV250" s="1">
        <v>0.88739999999999997</v>
      </c>
      <c r="AW250" s="1">
        <v>8.8633000000000006</v>
      </c>
      <c r="AX250" s="1">
        <v>0.21642</v>
      </c>
      <c r="BA250" s="1425">
        <v>44865</v>
      </c>
      <c r="BB250" s="1">
        <v>11.9244</v>
      </c>
      <c r="BC250" s="1">
        <v>2.6738</v>
      </c>
      <c r="BD250" s="1">
        <v>12.282</v>
      </c>
      <c r="BE250" s="1">
        <v>0.68777999999999995</v>
      </c>
      <c r="BG250" s="1425">
        <v>44865</v>
      </c>
      <c r="BH250" s="1">
        <v>16.5001</v>
      </c>
      <c r="BI250" s="1">
        <v>3.3254000000000001</v>
      </c>
      <c r="BJ250" s="1">
        <v>18.219100000000001</v>
      </c>
      <c r="BT250" s="1425">
        <v>44872</v>
      </c>
      <c r="BU250" s="1">
        <v>12.2273</v>
      </c>
      <c r="BV250" s="1">
        <v>2.6920000000000002</v>
      </c>
      <c r="BW250" s="1">
        <v>6.4150999999999998</v>
      </c>
      <c r="BX250" s="1">
        <v>1.9913000000000001</v>
      </c>
      <c r="BZ250" s="1425">
        <v>44872</v>
      </c>
      <c r="CA250" s="1">
        <v>14.9412</v>
      </c>
      <c r="CB250" s="1">
        <v>4.3967000000000001</v>
      </c>
      <c r="CC250" s="1">
        <v>11.776999999999999</v>
      </c>
      <c r="CD250" s="1">
        <v>2.67957</v>
      </c>
      <c r="CF250" s="1425">
        <v>44869</v>
      </c>
      <c r="CG250" s="1">
        <v>3.4352</v>
      </c>
      <c r="CH250" s="1">
        <v>1.0021</v>
      </c>
      <c r="CL250" s="1425">
        <v>44875</v>
      </c>
      <c r="CM250" s="1">
        <v>20.032</v>
      </c>
      <c r="CN250" s="1">
        <v>2.7557</v>
      </c>
      <c r="CO250" s="1">
        <v>11.2004</v>
      </c>
    </row>
    <row r="251" spans="1:93">
      <c r="A251" s="1425">
        <v>44869</v>
      </c>
      <c r="B251" s="20">
        <f t="shared" si="32"/>
        <v>10.355600000000001</v>
      </c>
      <c r="C251" s="20">
        <f t="shared" si="34"/>
        <v>7.5430000000000001</v>
      </c>
      <c r="D251" s="20">
        <f t="shared" si="35"/>
        <v>13.5801</v>
      </c>
      <c r="E251" s="20">
        <f t="shared" si="36"/>
        <v>6.7251000000000003</v>
      </c>
      <c r="F251" s="20">
        <f t="shared" si="37"/>
        <v>18.009899999999998</v>
      </c>
      <c r="G251" s="20">
        <f t="shared" si="38"/>
        <v>12.612399999999999</v>
      </c>
      <c r="H251" s="1239">
        <f t="shared" si="39"/>
        <v>12.612399999999999</v>
      </c>
      <c r="I251" s="1243">
        <f t="shared" si="33"/>
        <v>-0.17893501633313236</v>
      </c>
      <c r="J251" s="1243">
        <f t="shared" si="40"/>
        <v>0.12093838824177333</v>
      </c>
      <c r="K251" s="1243">
        <f t="shared" si="41"/>
        <v>0.1</v>
      </c>
      <c r="L251" s="203"/>
      <c r="N251" s="1425">
        <v>44869</v>
      </c>
      <c r="O251" s="1502">
        <v>10.355600000000001</v>
      </c>
      <c r="P251" s="1502">
        <v>4.0065999999999997</v>
      </c>
      <c r="Q251" s="1502">
        <v>10.754899999999999</v>
      </c>
      <c r="R251" s="1233">
        <f>'B. PE'!$U$23</f>
        <v>15.978235616082999</v>
      </c>
      <c r="S251" s="1233"/>
      <c r="T251" s="1233"/>
      <c r="V251" s="1425">
        <v>44869</v>
      </c>
      <c r="W251" s="1">
        <v>7.5430000000000001</v>
      </c>
      <c r="X251" s="1">
        <v>1.0550999999999999</v>
      </c>
      <c r="Y251" s="1">
        <v>6.3697999999999997</v>
      </c>
      <c r="Z251" s="1">
        <v>0.77791999999999994</v>
      </c>
      <c r="AB251" s="1425">
        <v>44859</v>
      </c>
      <c r="AC251" s="1">
        <v>6.6767000000000003</v>
      </c>
      <c r="AD251" s="1502">
        <v>1.0185999999999999</v>
      </c>
      <c r="AE251" s="1">
        <v>4.8776000000000002</v>
      </c>
      <c r="AF251" s="1">
        <v>2.767E-2</v>
      </c>
      <c r="AH251" s="1425">
        <v>44859</v>
      </c>
      <c r="AI251" s="1">
        <v>13.696099999999999</v>
      </c>
      <c r="AJ251" s="1">
        <v>2.4098999999999999</v>
      </c>
      <c r="AK251" s="1">
        <v>6.9703999999999997</v>
      </c>
      <c r="AL251" s="1">
        <v>3.7319999999999999E-2</v>
      </c>
      <c r="AN251" s="1425">
        <v>44861</v>
      </c>
      <c r="AO251" s="1">
        <v>6.4912000000000001</v>
      </c>
      <c r="AP251" s="1">
        <v>0.98509999999999998</v>
      </c>
      <c r="AQ251" s="1">
        <v>4.2439999999999998</v>
      </c>
      <c r="AR251" s="1">
        <v>0.23229</v>
      </c>
      <c r="AT251" s="1425">
        <v>44861</v>
      </c>
      <c r="AU251" s="1">
        <v>14.9031</v>
      </c>
      <c r="AV251" s="1">
        <v>0.87860000000000005</v>
      </c>
      <c r="AW251" s="1">
        <v>8.7833000000000006</v>
      </c>
      <c r="AX251" s="1">
        <v>0.21328</v>
      </c>
      <c r="BA251" s="1425">
        <v>44862</v>
      </c>
      <c r="BB251" s="1">
        <v>11.809799999999999</v>
      </c>
      <c r="BC251" s="1">
        <v>2.6480999999999999</v>
      </c>
      <c r="BD251" s="1">
        <v>12.197900000000001</v>
      </c>
      <c r="BE251" s="1">
        <v>0.67605000000000004</v>
      </c>
      <c r="BG251" s="1425">
        <v>44862</v>
      </c>
      <c r="BH251" s="1">
        <v>16.392299999999999</v>
      </c>
      <c r="BI251" s="1">
        <v>3.3035999999999999</v>
      </c>
      <c r="BJ251" s="1">
        <v>18.130800000000001</v>
      </c>
      <c r="BT251" s="1425">
        <v>44869</v>
      </c>
      <c r="BU251" s="1">
        <v>13.1404</v>
      </c>
      <c r="BV251" s="1">
        <v>2.8929999999999998</v>
      </c>
      <c r="BW251" s="1">
        <v>6.8464999999999998</v>
      </c>
      <c r="BX251" s="1">
        <v>1.9329000000000001</v>
      </c>
      <c r="BZ251" s="1425">
        <v>44869</v>
      </c>
      <c r="CA251" s="1">
        <v>15.2559</v>
      </c>
      <c r="CB251" s="1">
        <v>4.4893000000000001</v>
      </c>
      <c r="CC251" s="1">
        <v>11.9664</v>
      </c>
      <c r="CD251" s="1">
        <v>2.7137799999999999</v>
      </c>
      <c r="CF251" s="1425">
        <v>44868</v>
      </c>
      <c r="CG251" s="1">
        <v>3.4548999999999999</v>
      </c>
      <c r="CH251" s="1">
        <v>1.0078</v>
      </c>
      <c r="CL251" s="1425">
        <v>44874</v>
      </c>
      <c r="CM251" s="1">
        <v>19.832000000000001</v>
      </c>
      <c r="CN251" s="1">
        <v>2.7282000000000002</v>
      </c>
      <c r="CO251" s="1">
        <v>11.089700000000001</v>
      </c>
    </row>
    <row r="252" spans="1:93">
      <c r="A252" s="1425">
        <v>44868</v>
      </c>
      <c r="B252" s="20">
        <f t="shared" si="32"/>
        <v>11.127599999999999</v>
      </c>
      <c r="C252" s="20">
        <f t="shared" si="34"/>
        <v>8.1049000000000007</v>
      </c>
      <c r="D252" s="20">
        <f t="shared" si="35"/>
        <v>13.696099999999999</v>
      </c>
      <c r="E252" s="20">
        <f t="shared" si="36"/>
        <v>6.3742999999999999</v>
      </c>
      <c r="F252" s="20">
        <f t="shared" si="37"/>
        <v>17.470700000000001</v>
      </c>
      <c r="G252" s="20">
        <f t="shared" si="38"/>
        <v>12.2684</v>
      </c>
      <c r="H252" s="1239">
        <f t="shared" si="39"/>
        <v>12.2684</v>
      </c>
      <c r="I252" s="1243">
        <f t="shared" si="33"/>
        <v>-9.2986860552313311E-2</v>
      </c>
      <c r="J252" s="1243">
        <f t="shared" si="40"/>
        <v>0.12093838824177333</v>
      </c>
      <c r="K252" s="1243">
        <f t="shared" si="41"/>
        <v>0.1</v>
      </c>
      <c r="L252" s="203"/>
      <c r="N252" s="1425">
        <v>44868</v>
      </c>
      <c r="O252" s="1502">
        <v>11.127599999999999</v>
      </c>
      <c r="P252" s="1502">
        <v>4.3052999999999999</v>
      </c>
      <c r="Q252" s="1502">
        <v>11.449299999999999</v>
      </c>
      <c r="R252" s="1233">
        <f>'B. PE'!$U$23</f>
        <v>15.978235616082999</v>
      </c>
      <c r="S252" s="1233"/>
      <c r="T252" s="1233"/>
      <c r="V252" s="1425">
        <v>44868</v>
      </c>
      <c r="W252" s="1">
        <v>8.1049000000000007</v>
      </c>
      <c r="X252" s="1">
        <v>1.1336999999999999</v>
      </c>
      <c r="Y252" s="1">
        <v>6.6334</v>
      </c>
      <c r="Z252" s="1">
        <v>0.76073000000000002</v>
      </c>
      <c r="AB252" s="1425">
        <v>44858</v>
      </c>
      <c r="AC252" s="1">
        <v>6.8388</v>
      </c>
      <c r="AD252" s="1502">
        <v>1.0432999999999999</v>
      </c>
      <c r="AE252" s="1">
        <v>4.9494999999999996</v>
      </c>
      <c r="AF252" s="1">
        <v>2.7879999999999999E-2</v>
      </c>
      <c r="AH252" s="1425">
        <v>44858</v>
      </c>
      <c r="AI252" s="1">
        <v>13.347899999999999</v>
      </c>
      <c r="AJ252" s="1">
        <v>2.3487</v>
      </c>
      <c r="AK252" s="1">
        <v>6.7930999999999999</v>
      </c>
      <c r="AL252" s="1">
        <v>3.7260000000000001E-2</v>
      </c>
      <c r="AN252" s="1425">
        <v>44860</v>
      </c>
      <c r="AO252" s="1">
        <v>6.4326999999999996</v>
      </c>
      <c r="AP252" s="1">
        <v>0.97619999999999996</v>
      </c>
      <c r="AQ252" s="1">
        <v>4.2007000000000003</v>
      </c>
      <c r="AR252" s="1">
        <v>0.23216999999999999</v>
      </c>
      <c r="AT252" s="1425">
        <v>44860</v>
      </c>
      <c r="AU252" s="1">
        <v>15.2012</v>
      </c>
      <c r="AV252" s="1">
        <v>0.8962</v>
      </c>
      <c r="AW252" s="1">
        <v>8.9433000000000007</v>
      </c>
      <c r="AX252" s="1">
        <v>0.20684</v>
      </c>
      <c r="BA252" s="1425">
        <v>44861</v>
      </c>
      <c r="BB252" s="1">
        <v>11.9244</v>
      </c>
      <c r="BC252" s="1">
        <v>2.6738</v>
      </c>
      <c r="BD252" s="1">
        <v>12.282</v>
      </c>
      <c r="BE252" s="1">
        <v>0.67747000000000002</v>
      </c>
      <c r="BG252" s="1425">
        <v>44861</v>
      </c>
      <c r="BH252" s="1">
        <v>16.715800000000002</v>
      </c>
      <c r="BI252" s="1">
        <v>3.3687999999999998</v>
      </c>
      <c r="BJ252" s="1">
        <v>18.395800000000001</v>
      </c>
      <c r="BT252" s="1425">
        <v>44868</v>
      </c>
      <c r="BU252" s="1">
        <v>14.1248</v>
      </c>
      <c r="BV252" s="1">
        <v>3.1097000000000001</v>
      </c>
      <c r="BW252" s="1">
        <v>7.3117000000000001</v>
      </c>
      <c r="BX252" s="1">
        <v>2.0167999999999999</v>
      </c>
      <c r="BZ252" s="1425">
        <v>44868</v>
      </c>
      <c r="CA252" s="1">
        <v>16.074400000000001</v>
      </c>
      <c r="CB252" s="1">
        <v>4.7302</v>
      </c>
      <c r="CC252" s="1">
        <v>12.459</v>
      </c>
      <c r="CD252" s="1">
        <v>2.8249200000000001</v>
      </c>
      <c r="CF252" s="1425">
        <v>44867</v>
      </c>
      <c r="CG252" s="1">
        <v>3.4352</v>
      </c>
      <c r="CH252" s="1">
        <v>1.0021</v>
      </c>
      <c r="CL252" s="1425">
        <v>44873</v>
      </c>
      <c r="CM252" s="1">
        <v>19.591899999999999</v>
      </c>
      <c r="CN252" s="1">
        <v>2.6951000000000001</v>
      </c>
      <c r="CO252" s="1">
        <v>10.956899999999999</v>
      </c>
    </row>
    <row r="253" spans="1:93">
      <c r="A253" s="1425">
        <v>44867</v>
      </c>
      <c r="B253" s="20">
        <f t="shared" si="32"/>
        <v>11.1088</v>
      </c>
      <c r="C253" s="20">
        <f t="shared" si="34"/>
        <v>7.8154000000000003</v>
      </c>
      <c r="D253" s="20">
        <f t="shared" si="35"/>
        <v>13.9283</v>
      </c>
      <c r="E253" s="20">
        <f t="shared" si="36"/>
        <v>6.4912000000000001</v>
      </c>
      <c r="F253" s="20">
        <f t="shared" si="37"/>
        <v>17.470700000000001</v>
      </c>
      <c r="G253" s="20">
        <f t="shared" si="38"/>
        <v>12.153700000000001</v>
      </c>
      <c r="H253" s="1239">
        <f t="shared" si="39"/>
        <v>12.153700000000001</v>
      </c>
      <c r="I253" s="1243">
        <f t="shared" si="33"/>
        <v>-8.5973818672502977E-2</v>
      </c>
      <c r="J253" s="1243">
        <f t="shared" si="40"/>
        <v>0.12093838824177333</v>
      </c>
      <c r="K253" s="1243">
        <f t="shared" si="41"/>
        <v>0.1</v>
      </c>
      <c r="L253" s="203"/>
      <c r="N253" s="1425">
        <v>44867</v>
      </c>
      <c r="O253" s="1502">
        <v>11.1088</v>
      </c>
      <c r="P253" s="1502">
        <v>4.298</v>
      </c>
      <c r="Q253" s="1502">
        <v>11.4323</v>
      </c>
      <c r="R253" s="1233">
        <f>'B. PE'!$U$23</f>
        <v>15.978235616082999</v>
      </c>
      <c r="S253" s="1233"/>
      <c r="T253" s="1233"/>
      <c r="V253" s="1425">
        <v>44867</v>
      </c>
      <c r="W253" s="1">
        <v>7.8154000000000003</v>
      </c>
      <c r="X253" s="1">
        <v>1.0931999999999999</v>
      </c>
      <c r="Y253" s="1">
        <v>6.4976000000000003</v>
      </c>
      <c r="Z253" s="1">
        <v>0.75743000000000005</v>
      </c>
      <c r="AB253" s="1425">
        <v>44855</v>
      </c>
      <c r="AC253" s="1">
        <v>6.9683999999999999</v>
      </c>
      <c r="AD253" s="1502">
        <v>1.0630999999999999</v>
      </c>
      <c r="AE253" s="1">
        <v>5.0069999999999997</v>
      </c>
      <c r="AF253" s="1">
        <v>2.6700000000000002E-2</v>
      </c>
      <c r="AH253" s="1425">
        <v>44855</v>
      </c>
      <c r="AI253" s="1">
        <v>13.464</v>
      </c>
      <c r="AJ253" s="1">
        <v>2.3691</v>
      </c>
      <c r="AK253" s="1">
        <v>6.8521999999999998</v>
      </c>
      <c r="AL253" s="1">
        <v>3.6260000000000001E-2</v>
      </c>
      <c r="AN253" s="1425">
        <v>44859</v>
      </c>
      <c r="AO253" s="1">
        <v>6.4326999999999996</v>
      </c>
      <c r="AP253" s="1">
        <v>0.97619999999999996</v>
      </c>
      <c r="AQ253" s="1">
        <v>4.2007000000000003</v>
      </c>
      <c r="AR253" s="1">
        <v>0.22627</v>
      </c>
      <c r="AT253" s="1425">
        <v>44859</v>
      </c>
      <c r="AU253" s="1">
        <v>15.052199999999999</v>
      </c>
      <c r="AV253" s="1">
        <v>0.88739999999999997</v>
      </c>
      <c r="AW253" s="1">
        <v>8.8633000000000006</v>
      </c>
      <c r="AX253" s="1">
        <v>0.20301</v>
      </c>
      <c r="BA253" s="1425">
        <v>44860</v>
      </c>
      <c r="BB253" s="1">
        <v>11.6951</v>
      </c>
      <c r="BC253" s="1">
        <v>2.6223000000000001</v>
      </c>
      <c r="BD253" s="1">
        <v>12.113899999999999</v>
      </c>
      <c r="BE253" s="1">
        <v>0.68208999999999997</v>
      </c>
      <c r="BG253" s="1425">
        <v>44860</v>
      </c>
      <c r="BH253" s="1">
        <v>16.392299999999999</v>
      </c>
      <c r="BI253" s="1">
        <v>3.3035999999999999</v>
      </c>
      <c r="BJ253" s="1">
        <v>18.130800000000001</v>
      </c>
      <c r="BT253" s="1425">
        <v>44867</v>
      </c>
      <c r="BU253" s="1">
        <v>13.6968</v>
      </c>
      <c r="BV253" s="1">
        <v>3.0154999999999998</v>
      </c>
      <c r="BW253" s="1">
        <v>7.1093999999999999</v>
      </c>
      <c r="BX253" s="1">
        <v>2.0775000000000001</v>
      </c>
      <c r="BZ253" s="1425">
        <v>44867</v>
      </c>
      <c r="CA253" s="1">
        <v>16.263200000000001</v>
      </c>
      <c r="CB253" s="1">
        <v>4.7857000000000003</v>
      </c>
      <c r="CC253" s="1">
        <v>12.572699999999999</v>
      </c>
      <c r="CD253" s="1">
        <v>2.8637700000000001</v>
      </c>
      <c r="CF253" s="1425">
        <v>44866</v>
      </c>
      <c r="CG253" s="1">
        <v>3.6524000000000001</v>
      </c>
      <c r="CH253" s="1">
        <v>1.0653999999999999</v>
      </c>
      <c r="CL253" s="1425">
        <v>44872</v>
      </c>
      <c r="CM253" s="1">
        <v>19.4985</v>
      </c>
      <c r="CN253" s="1">
        <v>2.6823000000000001</v>
      </c>
      <c r="CO253" s="1">
        <v>10.9053</v>
      </c>
    </row>
    <row r="254" spans="1:93">
      <c r="A254" s="1425">
        <v>44866</v>
      </c>
      <c r="B254" s="20">
        <f t="shared" si="32"/>
        <v>11.1088</v>
      </c>
      <c r="C254" s="20">
        <f t="shared" si="34"/>
        <v>7.6451000000000002</v>
      </c>
      <c r="D254" s="20">
        <f t="shared" si="35"/>
        <v>13.9283</v>
      </c>
      <c r="E254" s="20">
        <f t="shared" si="36"/>
        <v>6.5496999999999996</v>
      </c>
      <c r="F254" s="20">
        <f t="shared" si="37"/>
        <v>17.039300000000001</v>
      </c>
      <c r="G254" s="20">
        <f t="shared" si="38"/>
        <v>12.039099999999999</v>
      </c>
      <c r="H254" s="1239">
        <f t="shared" si="39"/>
        <v>12.039099999999999</v>
      </c>
      <c r="I254" s="1243">
        <f t="shared" si="33"/>
        <v>-7.7273218097698271E-2</v>
      </c>
      <c r="J254" s="1243">
        <f t="shared" si="40"/>
        <v>0.12093838824177333</v>
      </c>
      <c r="K254" s="1243">
        <f t="shared" si="41"/>
        <v>0.1</v>
      </c>
      <c r="L254" s="203"/>
      <c r="N254" s="1425">
        <v>44866</v>
      </c>
      <c r="O254" s="1502">
        <v>11.1088</v>
      </c>
      <c r="P254" s="1502">
        <v>4.298</v>
      </c>
      <c r="Q254" s="1502">
        <v>11.4323</v>
      </c>
      <c r="R254" s="1233">
        <f>'B. PE'!$U$23</f>
        <v>15.978235616082999</v>
      </c>
      <c r="S254" s="1233"/>
      <c r="T254" s="1233"/>
      <c r="V254" s="1425">
        <v>44866</v>
      </c>
      <c r="W254" s="1">
        <v>7.6451000000000002</v>
      </c>
      <c r="X254" s="1">
        <v>1.0693999999999999</v>
      </c>
      <c r="Y254" s="1">
        <v>6.4177</v>
      </c>
      <c r="Z254" s="1">
        <v>0.81367999999999996</v>
      </c>
      <c r="AB254" s="1425">
        <v>44854</v>
      </c>
      <c r="AC254" s="1">
        <v>7.0332999999999997</v>
      </c>
      <c r="AD254" s="1502">
        <v>1.073</v>
      </c>
      <c r="AE254" s="1">
        <v>5.0358000000000001</v>
      </c>
      <c r="AF254" s="1">
        <v>2.6630000000000001E-2</v>
      </c>
      <c r="AH254" s="1425">
        <v>44854</v>
      </c>
      <c r="AI254" s="1">
        <v>13.464</v>
      </c>
      <c r="AJ254" s="1">
        <v>2.3691</v>
      </c>
      <c r="AK254" s="1">
        <v>6.8521999999999998</v>
      </c>
      <c r="AL254" s="1">
        <v>3.619E-2</v>
      </c>
      <c r="AN254" s="1425">
        <v>44855</v>
      </c>
      <c r="AO254" s="1">
        <v>6.4326999999999996</v>
      </c>
      <c r="AP254" s="1">
        <v>0.97619999999999996</v>
      </c>
      <c r="AQ254" s="1">
        <v>4.2007000000000003</v>
      </c>
      <c r="AR254" s="1">
        <v>0.22667999999999999</v>
      </c>
      <c r="AT254" s="1425">
        <v>44855</v>
      </c>
      <c r="AU254" s="1">
        <v>14.6051</v>
      </c>
      <c r="AV254" s="1">
        <v>0.86099999999999999</v>
      </c>
      <c r="AW254" s="1">
        <v>8.6232000000000006</v>
      </c>
      <c r="AX254" s="1">
        <v>0.20338000000000001</v>
      </c>
      <c r="BA254" s="1425">
        <v>44859</v>
      </c>
      <c r="BB254" s="1">
        <v>11.809799999999999</v>
      </c>
      <c r="BC254" s="1">
        <v>2.6480999999999999</v>
      </c>
      <c r="BD254" s="1">
        <v>12.197900000000001</v>
      </c>
      <c r="BE254" s="1">
        <v>0.68815000000000004</v>
      </c>
      <c r="BG254" s="1425">
        <v>44859</v>
      </c>
      <c r="BH254" s="1">
        <v>16.392299999999999</v>
      </c>
      <c r="BI254" s="1">
        <v>3.3035999999999999</v>
      </c>
      <c r="BJ254" s="1">
        <v>18.130800000000001</v>
      </c>
      <c r="BT254" s="1425">
        <v>44866</v>
      </c>
      <c r="BU254" s="1">
        <v>14.295999999999999</v>
      </c>
      <c r="BV254" s="1">
        <v>3.1474000000000002</v>
      </c>
      <c r="BW254" s="1">
        <v>7.3925000000000001</v>
      </c>
      <c r="BX254" s="1">
        <v>2.1427</v>
      </c>
      <c r="BZ254" s="1425">
        <v>44866</v>
      </c>
      <c r="CA254" s="1">
        <v>16.934699999999999</v>
      </c>
      <c r="CB254" s="1">
        <v>4.9833999999999996</v>
      </c>
      <c r="CC254" s="1">
        <v>12.976900000000001</v>
      </c>
      <c r="CD254" s="1">
        <v>2.8719299999999999</v>
      </c>
      <c r="CF254" s="1425">
        <v>44865</v>
      </c>
      <c r="CG254" s="1">
        <v>3.5535999999999999</v>
      </c>
      <c r="CH254" s="1">
        <v>1.0366</v>
      </c>
      <c r="CL254" s="1425">
        <v>44869</v>
      </c>
      <c r="CM254" s="1">
        <v>19.205100000000002</v>
      </c>
      <c r="CN254" s="1">
        <v>2.6419000000000001</v>
      </c>
      <c r="CO254" s="1">
        <v>10.743</v>
      </c>
    </row>
    <row r="255" spans="1:93">
      <c r="A255" s="1425">
        <v>44865</v>
      </c>
      <c r="B255" s="20">
        <f t="shared" si="32"/>
        <v>11.4854</v>
      </c>
      <c r="C255" s="20">
        <f t="shared" si="34"/>
        <v>7.6111000000000004</v>
      </c>
      <c r="D255" s="20">
        <f t="shared" si="35"/>
        <v>13.5801</v>
      </c>
      <c r="E255" s="20">
        <f t="shared" si="36"/>
        <v>6.4912000000000001</v>
      </c>
      <c r="F255" s="20">
        <f t="shared" si="37"/>
        <v>16.5001</v>
      </c>
      <c r="G255" s="20">
        <f t="shared" si="38"/>
        <v>11.9244</v>
      </c>
      <c r="H255" s="1239">
        <f t="shared" si="39"/>
        <v>11.9244</v>
      </c>
      <c r="I255" s="1243">
        <f t="shared" si="33"/>
        <v>-3.6815269531381034E-2</v>
      </c>
      <c r="J255" s="1243">
        <f t="shared" si="40"/>
        <v>0.12093838824177333</v>
      </c>
      <c r="K255" s="1243">
        <f t="shared" si="41"/>
        <v>0.1</v>
      </c>
      <c r="L255" s="203"/>
      <c r="N255" s="1425">
        <v>44865</v>
      </c>
      <c r="O255" s="1502">
        <v>11.4854</v>
      </c>
      <c r="P255" s="1502">
        <v>4.4436999999999998</v>
      </c>
      <c r="Q255" s="1502">
        <v>11.771000000000001</v>
      </c>
      <c r="R255" s="1233">
        <f>'B. PE'!$U$23</f>
        <v>15.978235616082999</v>
      </c>
      <c r="S255" s="1233"/>
      <c r="T255" s="1233"/>
      <c r="V255" s="1425">
        <v>44865</v>
      </c>
      <c r="W255" s="1">
        <v>7.6111000000000004</v>
      </c>
      <c r="X255" s="1">
        <v>1.0647</v>
      </c>
      <c r="Y255" s="1">
        <v>6.4016999999999999</v>
      </c>
      <c r="Z255" s="1">
        <v>0.81003000000000003</v>
      </c>
      <c r="AB255" s="1425">
        <v>44853</v>
      </c>
      <c r="AC255" s="1">
        <v>6.7415000000000003</v>
      </c>
      <c r="AD255" s="1502">
        <v>1.0285</v>
      </c>
      <c r="AE255" s="1">
        <v>4.9063999999999997</v>
      </c>
      <c r="AF255" s="1">
        <v>2.632E-2</v>
      </c>
      <c r="AH255" s="1425">
        <v>44853</v>
      </c>
      <c r="AI255" s="1">
        <v>13.1158</v>
      </c>
      <c r="AJ255" s="1">
        <v>2.3077999999999999</v>
      </c>
      <c r="AK255" s="1">
        <v>6.6748000000000003</v>
      </c>
      <c r="AL255" s="1">
        <v>3.5970000000000002E-2</v>
      </c>
      <c r="AN255" s="1425">
        <v>44854</v>
      </c>
      <c r="AO255" s="1">
        <v>6.2572999999999999</v>
      </c>
      <c r="AP255" s="1">
        <v>0.9496</v>
      </c>
      <c r="AQ255" s="1">
        <v>4.0708000000000002</v>
      </c>
      <c r="AT255" s="1425">
        <v>44854</v>
      </c>
      <c r="AU255" s="1">
        <v>14.307</v>
      </c>
      <c r="AV255" s="1">
        <v>0.84350000000000003</v>
      </c>
      <c r="AW255" s="1">
        <v>8.4632000000000005</v>
      </c>
      <c r="AX255" s="1">
        <v>0.20144000000000001</v>
      </c>
      <c r="BA255" s="1425">
        <v>44855</v>
      </c>
      <c r="BB255" s="1">
        <v>11.9244</v>
      </c>
      <c r="BC255" s="1">
        <v>2.6738</v>
      </c>
      <c r="BD255" s="1">
        <v>12.282</v>
      </c>
      <c r="BE255" s="1">
        <v>0.66554999999999997</v>
      </c>
      <c r="BG255" s="1425">
        <v>44855</v>
      </c>
      <c r="BH255" s="1">
        <v>16.715800000000002</v>
      </c>
      <c r="BI255" s="1">
        <v>3.3687999999999998</v>
      </c>
      <c r="BJ255" s="1">
        <v>18.395800000000001</v>
      </c>
      <c r="BT255" s="1425">
        <v>44865</v>
      </c>
      <c r="BU255" s="1">
        <v>14.7241</v>
      </c>
      <c r="BV255" s="1">
        <v>3.2416999999999998</v>
      </c>
      <c r="BW255" s="1">
        <v>7.5948000000000002</v>
      </c>
      <c r="BX255" s="1">
        <v>2.1461000000000001</v>
      </c>
      <c r="BZ255" s="1425">
        <v>44865</v>
      </c>
      <c r="CA255" s="1">
        <v>17.165600000000001</v>
      </c>
      <c r="CB255" s="1">
        <v>5.0513000000000003</v>
      </c>
      <c r="CC255" s="1">
        <v>13.1158</v>
      </c>
      <c r="CD255" s="1">
        <v>2.8254899999999998</v>
      </c>
      <c r="CF255" s="1425">
        <v>44862</v>
      </c>
      <c r="CG255" s="1">
        <v>3.9485000000000001</v>
      </c>
      <c r="CH255" s="1">
        <v>1.1517999999999999</v>
      </c>
      <c r="CL255" s="1425">
        <v>44868</v>
      </c>
      <c r="CM255" s="1">
        <v>18.978400000000001</v>
      </c>
      <c r="CN255" s="1">
        <v>2.6107</v>
      </c>
      <c r="CO255" s="1">
        <v>10.6175</v>
      </c>
    </row>
    <row r="256" spans="1:93">
      <c r="A256" s="1425">
        <v>44862</v>
      </c>
      <c r="B256" s="20">
        <f t="shared" si="32"/>
        <v>11.6736</v>
      </c>
      <c r="C256" s="20">
        <f t="shared" si="34"/>
        <v>8.173</v>
      </c>
      <c r="D256" s="20">
        <f t="shared" si="35"/>
        <v>13.1158</v>
      </c>
      <c r="E256" s="20">
        <f t="shared" si="36"/>
        <v>6.4912000000000001</v>
      </c>
      <c r="F256" s="20">
        <f t="shared" si="37"/>
        <v>16.392299999999999</v>
      </c>
      <c r="G256" s="20">
        <f t="shared" si="38"/>
        <v>11.809799999999999</v>
      </c>
      <c r="H256" s="1239">
        <f t="shared" si="39"/>
        <v>11.809799999999999</v>
      </c>
      <c r="I256" s="1243">
        <f t="shared" si="33"/>
        <v>-1.153279479754088E-2</v>
      </c>
      <c r="J256" s="1243">
        <f t="shared" si="40"/>
        <v>0.12093838824177333</v>
      </c>
      <c r="K256" s="1243">
        <f t="shared" si="41"/>
        <v>0.1</v>
      </c>
      <c r="L256" s="203"/>
      <c r="N256" s="1425">
        <v>44862</v>
      </c>
      <c r="O256" s="1502">
        <v>11.6736</v>
      </c>
      <c r="P256" s="1502">
        <v>4.5164999999999997</v>
      </c>
      <c r="Q256" s="1502">
        <v>11.9404</v>
      </c>
      <c r="R256" s="1233">
        <f>'B. PE'!$U$23</f>
        <v>15.978235616082999</v>
      </c>
      <c r="S256" s="1233"/>
      <c r="T256" s="1233"/>
      <c r="V256" s="1425">
        <v>44862</v>
      </c>
      <c r="W256" s="1">
        <v>8.173</v>
      </c>
      <c r="X256" s="1">
        <v>1.1433</v>
      </c>
      <c r="Y256" s="1">
        <v>6.6654</v>
      </c>
      <c r="Z256" s="1">
        <v>0.75746000000000002</v>
      </c>
      <c r="AB256" s="1425">
        <v>44852</v>
      </c>
      <c r="AC256" s="1">
        <v>6.6767000000000003</v>
      </c>
      <c r="AD256" s="1502">
        <v>1.0185999999999999</v>
      </c>
      <c r="AE256" s="1">
        <v>4.8776000000000002</v>
      </c>
      <c r="AF256" s="1">
        <v>2.6030000000000001E-2</v>
      </c>
      <c r="AH256" s="1425">
        <v>44852</v>
      </c>
      <c r="AI256" s="1">
        <v>12.999700000000001</v>
      </c>
      <c r="AJ256" s="1">
        <v>2.2873999999999999</v>
      </c>
      <c r="AK256" s="1">
        <v>6.6157000000000004</v>
      </c>
      <c r="AL256" s="1">
        <v>3.6589999999999998E-2</v>
      </c>
      <c r="AN256" s="1425">
        <v>44853</v>
      </c>
      <c r="AO256" s="1">
        <v>6.2572999999999999</v>
      </c>
      <c r="AP256" s="1">
        <v>0.9496</v>
      </c>
      <c r="AQ256" s="1">
        <v>4.0708000000000002</v>
      </c>
      <c r="AR256" s="1">
        <v>0.23322000000000001</v>
      </c>
      <c r="AT256" s="1425">
        <v>44853</v>
      </c>
      <c r="AU256" s="1">
        <v>14.307</v>
      </c>
      <c r="AV256" s="1">
        <v>0.84350000000000003</v>
      </c>
      <c r="AW256" s="1">
        <v>8.4632000000000005</v>
      </c>
      <c r="AX256" s="1">
        <v>0.19506000000000001</v>
      </c>
      <c r="BA256" s="1425">
        <v>44854</v>
      </c>
      <c r="BB256" s="1">
        <v>12.039099999999999</v>
      </c>
      <c r="BC256" s="1">
        <v>2.6995</v>
      </c>
      <c r="BD256" s="1">
        <v>12.366</v>
      </c>
      <c r="BE256" s="1">
        <v>0.66290000000000004</v>
      </c>
      <c r="BG256" s="1425">
        <v>44854</v>
      </c>
      <c r="BH256" s="1">
        <v>17.147200000000002</v>
      </c>
      <c r="BI256" s="1">
        <v>3.4558</v>
      </c>
      <c r="BJ256" s="1">
        <v>18.749300000000002</v>
      </c>
      <c r="BT256" s="1425">
        <v>44862</v>
      </c>
      <c r="BU256" s="1">
        <v>15.1806</v>
      </c>
      <c r="BV256" s="1">
        <v>3.3422000000000001</v>
      </c>
      <c r="BW256" s="1">
        <v>7.8105000000000002</v>
      </c>
      <c r="BX256" s="1">
        <v>2.0895999999999999</v>
      </c>
      <c r="BZ256" s="1425">
        <v>44862</v>
      </c>
      <c r="CA256" s="1">
        <v>17.2075</v>
      </c>
      <c r="CB256" s="1">
        <v>5.0636000000000001</v>
      </c>
      <c r="CC256" s="1">
        <v>13.1411</v>
      </c>
      <c r="CD256" s="1">
        <v>2.6433200000000001</v>
      </c>
      <c r="CF256" s="1425">
        <v>44861</v>
      </c>
      <c r="CG256" s="1">
        <v>3.7115999999999998</v>
      </c>
      <c r="CH256" s="1">
        <v>1.0827</v>
      </c>
      <c r="CL256" s="1425">
        <v>44867</v>
      </c>
      <c r="CM256" s="1">
        <v>19.138400000000001</v>
      </c>
      <c r="CN256" s="1">
        <v>2.6328</v>
      </c>
      <c r="CO256" s="1">
        <v>10.706099999999999</v>
      </c>
    </row>
    <row r="257" spans="1:93">
      <c r="A257" s="1425">
        <v>44861</v>
      </c>
      <c r="B257" s="20">
        <f t="shared" si="32"/>
        <v>12.0502</v>
      </c>
      <c r="C257" s="20">
        <f t="shared" si="34"/>
        <v>8.1388999999999996</v>
      </c>
      <c r="D257" s="20">
        <f t="shared" si="35"/>
        <v>13.2319</v>
      </c>
      <c r="E257" s="20">
        <f t="shared" si="36"/>
        <v>6.4912000000000001</v>
      </c>
      <c r="F257" s="20">
        <f t="shared" si="37"/>
        <v>16.715800000000002</v>
      </c>
      <c r="G257" s="20">
        <f t="shared" si="38"/>
        <v>11.9244</v>
      </c>
      <c r="H257" s="1239">
        <f t="shared" si="39"/>
        <v>11.9244</v>
      </c>
      <c r="I257" s="1243">
        <f t="shared" si="33"/>
        <v>1.054979705477832E-2</v>
      </c>
      <c r="J257" s="1243">
        <f t="shared" si="40"/>
        <v>0.12093838824177333</v>
      </c>
      <c r="K257" s="1243">
        <f t="shared" si="41"/>
        <v>0.1</v>
      </c>
      <c r="L257" s="203"/>
      <c r="N257" s="1425">
        <v>44861</v>
      </c>
      <c r="O257" s="1502">
        <v>12.0502</v>
      </c>
      <c r="P257" s="1502">
        <v>4.6622000000000003</v>
      </c>
      <c r="Q257" s="1502">
        <v>12.279</v>
      </c>
      <c r="R257" s="1233">
        <f>'B. PE'!$U$23</f>
        <v>15.978235616082999</v>
      </c>
      <c r="S257" s="1233"/>
      <c r="T257" s="1233"/>
      <c r="V257" s="1425">
        <v>44861</v>
      </c>
      <c r="W257" s="1">
        <v>8.1388999999999996</v>
      </c>
      <c r="X257" s="1">
        <v>1.1385000000000001</v>
      </c>
      <c r="Y257" s="1">
        <v>6.6494</v>
      </c>
      <c r="Z257" s="1">
        <v>0.81298999999999999</v>
      </c>
      <c r="AB257" s="1425">
        <v>44851</v>
      </c>
      <c r="AC257" s="1">
        <v>6.5795000000000003</v>
      </c>
      <c r="AD257" s="1502">
        <v>1.0037</v>
      </c>
      <c r="AE257" s="1">
        <v>4.8345000000000002</v>
      </c>
      <c r="AF257" s="1">
        <v>2.6380000000000001E-2</v>
      </c>
      <c r="AH257" s="1425">
        <v>44851</v>
      </c>
      <c r="AI257" s="1">
        <v>12.883599999999999</v>
      </c>
      <c r="AJ257" s="1">
        <v>2.2669999999999999</v>
      </c>
      <c r="AK257" s="1">
        <v>6.5566000000000004</v>
      </c>
      <c r="AL257" s="1">
        <v>3.6060000000000002E-2</v>
      </c>
      <c r="AN257" s="1425">
        <v>44852</v>
      </c>
      <c r="AQ257" s="1">
        <v>4.2007000000000003</v>
      </c>
      <c r="AR257" s="1">
        <v>0.22968</v>
      </c>
      <c r="AT257" s="1425">
        <v>44852</v>
      </c>
      <c r="AU257" s="1">
        <v>14.157999999999999</v>
      </c>
      <c r="AV257" s="1">
        <v>0.8347</v>
      </c>
      <c r="AW257" s="1">
        <v>8.3832000000000004</v>
      </c>
      <c r="AX257" s="1">
        <v>0.19672000000000001</v>
      </c>
      <c r="BA257" s="1425">
        <v>44853</v>
      </c>
      <c r="BB257" s="1">
        <v>11.6951</v>
      </c>
      <c r="BC257" s="1">
        <v>2.6223000000000001</v>
      </c>
      <c r="BD257" s="1">
        <v>12.113899999999999</v>
      </c>
      <c r="BE257" s="1">
        <v>0.64722000000000002</v>
      </c>
      <c r="BG257" s="1425">
        <v>44853</v>
      </c>
      <c r="BH257" s="1">
        <v>16.608000000000001</v>
      </c>
      <c r="BI257" s="1">
        <v>3.3471000000000002</v>
      </c>
      <c r="BJ257" s="1">
        <v>18.307500000000001</v>
      </c>
      <c r="BT257" s="1425">
        <v>44861</v>
      </c>
      <c r="BU257" s="1">
        <v>15.209199999999999</v>
      </c>
      <c r="BV257" s="1">
        <v>3.3485</v>
      </c>
      <c r="BW257" s="1">
        <v>7.8239999999999998</v>
      </c>
      <c r="BX257" s="1">
        <v>2.0926</v>
      </c>
      <c r="BZ257" s="1425">
        <v>44861</v>
      </c>
      <c r="CA257" s="1">
        <v>16.934699999999999</v>
      </c>
      <c r="CB257" s="1">
        <v>4.9833999999999996</v>
      </c>
      <c r="CC257" s="1">
        <v>12.976900000000001</v>
      </c>
      <c r="CD257" s="1">
        <v>2.6945399999999999</v>
      </c>
      <c r="CF257" s="1425">
        <v>44860</v>
      </c>
      <c r="CG257" s="1">
        <v>3.3759999999999999</v>
      </c>
      <c r="CH257" s="1">
        <v>0.98480000000000001</v>
      </c>
      <c r="CL257" s="1425">
        <v>44866</v>
      </c>
      <c r="CM257" s="1">
        <v>18.991700000000002</v>
      </c>
      <c r="CN257" s="1">
        <v>2.6126</v>
      </c>
      <c r="CO257" s="1">
        <v>10.6249</v>
      </c>
    </row>
    <row r="258" spans="1:93">
      <c r="A258" s="1425">
        <v>44860</v>
      </c>
      <c r="B258" s="20">
        <f t="shared" si="32"/>
        <v>11.447699999999999</v>
      </c>
      <c r="C258" s="20">
        <f t="shared" si="34"/>
        <v>7.6111000000000004</v>
      </c>
      <c r="D258" s="20">
        <f t="shared" si="35"/>
        <v>13.696099999999999</v>
      </c>
      <c r="E258" s="20">
        <f t="shared" si="36"/>
        <v>6.4326999999999996</v>
      </c>
      <c r="F258" s="20">
        <f t="shared" si="37"/>
        <v>16.392299999999999</v>
      </c>
      <c r="G258" s="20">
        <f t="shared" si="38"/>
        <v>11.6951</v>
      </c>
      <c r="H258" s="1239">
        <f t="shared" si="39"/>
        <v>11.6951</v>
      </c>
      <c r="I258" s="1243">
        <f t="shared" si="33"/>
        <v>-2.1154158579234084E-2</v>
      </c>
      <c r="J258" s="1243">
        <f t="shared" si="40"/>
        <v>0.12093838824177333</v>
      </c>
      <c r="K258" s="1243">
        <f t="shared" si="41"/>
        <v>0.1</v>
      </c>
      <c r="L258" s="203"/>
      <c r="N258" s="1425">
        <v>44860</v>
      </c>
      <c r="O258" s="1502">
        <v>11.447699999999999</v>
      </c>
      <c r="P258" s="1502">
        <v>4.4291</v>
      </c>
      <c r="Q258" s="1502">
        <v>11.7371</v>
      </c>
      <c r="R258" s="1233">
        <f>'B. PE'!$U$23</f>
        <v>15.978235616082999</v>
      </c>
      <c r="S258" s="1233"/>
      <c r="T258" s="1233"/>
      <c r="V258" s="1425">
        <v>44860</v>
      </c>
      <c r="W258" s="1">
        <v>7.6111000000000004</v>
      </c>
      <c r="X258" s="1">
        <v>1.0647</v>
      </c>
      <c r="Y258" s="1">
        <v>6.4016999999999999</v>
      </c>
      <c r="Z258" s="1">
        <v>0.85380999999999996</v>
      </c>
      <c r="AB258" s="1425">
        <v>44848</v>
      </c>
      <c r="AC258" s="1">
        <v>6.5147000000000004</v>
      </c>
      <c r="AD258" s="1502">
        <v>0.99380000000000002</v>
      </c>
      <c r="AE258" s="1">
        <v>4.8057999999999996</v>
      </c>
      <c r="AF258" s="1">
        <v>2.632E-2</v>
      </c>
      <c r="AH258" s="1425">
        <v>44848</v>
      </c>
      <c r="AI258" s="1">
        <v>13.1158</v>
      </c>
      <c r="AJ258" s="1">
        <v>2.3077999999999999</v>
      </c>
      <c r="AK258" s="1">
        <v>6.6748000000000003</v>
      </c>
      <c r="AL258" s="1">
        <v>3.7139999999999999E-2</v>
      </c>
      <c r="AN258" s="1425">
        <v>44851</v>
      </c>
      <c r="AO258" s="1">
        <v>6.4326999999999996</v>
      </c>
      <c r="AP258" s="1">
        <v>0.97619999999999996</v>
      </c>
      <c r="AQ258" s="1">
        <v>4.2007000000000003</v>
      </c>
      <c r="AR258" s="1">
        <v>0.23022999999999999</v>
      </c>
      <c r="AT258" s="1425">
        <v>44851</v>
      </c>
      <c r="AU258" s="1">
        <v>13.710900000000001</v>
      </c>
      <c r="AV258" s="1">
        <v>0.80830000000000002</v>
      </c>
      <c r="AW258" s="1">
        <v>8.1431000000000004</v>
      </c>
      <c r="AX258" s="1">
        <v>0.19719</v>
      </c>
      <c r="BA258" s="1425">
        <v>44852</v>
      </c>
      <c r="BB258" s="1">
        <v>11.580399999999999</v>
      </c>
      <c r="BC258" s="1">
        <v>2.5966</v>
      </c>
      <c r="BD258" s="1">
        <v>12.0299</v>
      </c>
      <c r="BE258" s="1">
        <v>0.62943000000000005</v>
      </c>
      <c r="BG258" s="1425">
        <v>44852</v>
      </c>
      <c r="BH258" s="1">
        <v>17.147200000000002</v>
      </c>
      <c r="BI258" s="1">
        <v>3.4558</v>
      </c>
      <c r="BJ258" s="1">
        <v>18.749300000000002</v>
      </c>
      <c r="BT258" s="1425">
        <v>44860</v>
      </c>
      <c r="BU258" s="1">
        <v>14.809699999999999</v>
      </c>
      <c r="BV258" s="1">
        <v>3.2605</v>
      </c>
      <c r="BW258" s="1">
        <v>7.6352000000000002</v>
      </c>
      <c r="BX258" s="1">
        <v>2.0367000000000002</v>
      </c>
      <c r="BZ258" s="1425">
        <v>44860</v>
      </c>
      <c r="CA258" s="1">
        <v>15.843500000000001</v>
      </c>
      <c r="CB258" s="1">
        <v>4.6622000000000003</v>
      </c>
      <c r="CC258" s="1">
        <v>12.3201</v>
      </c>
      <c r="CD258" s="1">
        <v>2.60758</v>
      </c>
      <c r="CF258" s="1425">
        <v>44859</v>
      </c>
      <c r="CG258" s="1">
        <v>3.7511000000000001</v>
      </c>
      <c r="CH258" s="1">
        <v>1.0942000000000001</v>
      </c>
      <c r="CL258" s="1425">
        <v>44865</v>
      </c>
      <c r="CM258" s="1">
        <v>19.245100000000001</v>
      </c>
      <c r="CN258" s="1">
        <v>2.6474000000000002</v>
      </c>
      <c r="CO258" s="1">
        <v>10.7651</v>
      </c>
    </row>
    <row r="259" spans="1:93">
      <c r="A259" s="1425">
        <v>44859</v>
      </c>
      <c r="B259" s="20">
        <f t="shared" si="32"/>
        <v>11.3912</v>
      </c>
      <c r="C259" s="20">
        <f t="shared" si="34"/>
        <v>8.173</v>
      </c>
      <c r="D259" s="20">
        <f t="shared" si="35"/>
        <v>13.696099999999999</v>
      </c>
      <c r="E259" s="20">
        <f t="shared" si="36"/>
        <v>6.4326999999999996</v>
      </c>
      <c r="F259" s="20">
        <f t="shared" si="37"/>
        <v>16.392299999999999</v>
      </c>
      <c r="G259" s="20">
        <f t="shared" si="38"/>
        <v>11.809799999999999</v>
      </c>
      <c r="H259" s="1239">
        <f t="shared" si="39"/>
        <v>11.809799999999999</v>
      </c>
      <c r="I259" s="1243">
        <f t="shared" si="33"/>
        <v>-3.5445138783044561E-2</v>
      </c>
      <c r="J259" s="1243">
        <f t="shared" si="40"/>
        <v>0.12093838824177333</v>
      </c>
      <c r="K259" s="1243">
        <f t="shared" si="41"/>
        <v>0.1</v>
      </c>
      <c r="L259" s="203"/>
      <c r="N259" s="1425">
        <v>44859</v>
      </c>
      <c r="O259" s="1502">
        <v>11.3912</v>
      </c>
      <c r="P259" s="1502">
        <v>4.4071999999999996</v>
      </c>
      <c r="Q259" s="1502">
        <v>11.686299999999999</v>
      </c>
      <c r="R259" s="1233">
        <f>'B. PE'!$U$23</f>
        <v>15.978235616082999</v>
      </c>
      <c r="S259" s="1233"/>
      <c r="T259" s="1233"/>
      <c r="V259" s="1425">
        <v>44859</v>
      </c>
      <c r="W259" s="1">
        <v>8.173</v>
      </c>
      <c r="X259" s="1">
        <v>1.1433</v>
      </c>
      <c r="Y259" s="1">
        <v>6.6654</v>
      </c>
      <c r="Z259" s="1">
        <v>0.92298999999999998</v>
      </c>
      <c r="AB259" s="1425">
        <v>44847</v>
      </c>
      <c r="AC259" s="1">
        <v>6.5795000000000003</v>
      </c>
      <c r="AD259" s="1502">
        <v>1.0037</v>
      </c>
      <c r="AE259" s="1">
        <v>4.8345000000000002</v>
      </c>
      <c r="AF259" s="1">
        <v>2.7279999999999999E-2</v>
      </c>
      <c r="AH259" s="1425">
        <v>44847</v>
      </c>
      <c r="AI259" s="1">
        <v>12.883599999999999</v>
      </c>
      <c r="AJ259" s="1">
        <v>2.2669999999999999</v>
      </c>
      <c r="AK259" s="1">
        <v>6.5566000000000004</v>
      </c>
      <c r="AL259" s="1">
        <v>3.9489999999999997E-2</v>
      </c>
      <c r="AN259" s="1425">
        <v>44848</v>
      </c>
      <c r="AO259" s="1">
        <v>6.3158000000000003</v>
      </c>
      <c r="AP259" s="1">
        <v>0.95840000000000003</v>
      </c>
      <c r="AQ259" s="1">
        <v>4.1140999999999996</v>
      </c>
      <c r="AR259" s="1">
        <v>0.22206999999999999</v>
      </c>
      <c r="AT259" s="1425">
        <v>44848</v>
      </c>
      <c r="AU259" s="1">
        <v>13.785399999999999</v>
      </c>
      <c r="AV259" s="1">
        <v>0.81269999999999998</v>
      </c>
      <c r="AW259" s="1">
        <v>8.2159999999999993</v>
      </c>
      <c r="AX259" s="1">
        <v>0.19431000000000001</v>
      </c>
      <c r="BA259" s="1425">
        <v>44851</v>
      </c>
      <c r="BB259" s="1">
        <v>11.282299999999999</v>
      </c>
      <c r="BC259" s="1">
        <v>2.5297999999999998</v>
      </c>
      <c r="BD259" s="1">
        <v>11.811400000000001</v>
      </c>
      <c r="BE259" s="1">
        <v>0.63951999999999998</v>
      </c>
      <c r="BG259" s="1425">
        <v>44851</v>
      </c>
      <c r="BH259" s="1">
        <v>16.392299999999999</v>
      </c>
      <c r="BI259" s="1">
        <v>3.3035999999999999</v>
      </c>
      <c r="BJ259" s="1">
        <v>18.130800000000001</v>
      </c>
      <c r="BT259" s="1425">
        <v>44859</v>
      </c>
      <c r="BU259" s="1">
        <v>14.838200000000001</v>
      </c>
      <c r="BV259" s="1">
        <v>3.2667999999999999</v>
      </c>
      <c r="BW259" s="1">
        <v>7.6486999999999998</v>
      </c>
      <c r="BX259" s="1">
        <v>2.2052</v>
      </c>
      <c r="BZ259" s="1425">
        <v>44859</v>
      </c>
      <c r="CA259" s="1">
        <v>16.158300000000001</v>
      </c>
      <c r="CB259" s="1">
        <v>4.7549000000000001</v>
      </c>
      <c r="CC259" s="1">
        <v>12.509499999999999</v>
      </c>
      <c r="CD259" s="1">
        <v>2.5837699999999999</v>
      </c>
      <c r="CF259" s="1425">
        <v>44858</v>
      </c>
      <c r="CG259" s="1">
        <v>3.7313000000000001</v>
      </c>
      <c r="CH259" s="1">
        <v>1.0885</v>
      </c>
      <c r="CL259" s="1425">
        <v>44862</v>
      </c>
      <c r="CM259" s="1">
        <v>19.165099999999999</v>
      </c>
      <c r="CN259" s="1">
        <v>2.6364000000000001</v>
      </c>
      <c r="CO259" s="1">
        <v>10.720800000000001</v>
      </c>
    </row>
    <row r="260" spans="1:93">
      <c r="A260" s="1425">
        <v>44858</v>
      </c>
      <c r="B260" s="20">
        <f t="shared" si="32"/>
        <v>10.7887</v>
      </c>
      <c r="C260" s="20">
        <f t="shared" si="34"/>
        <v>8.5815999999999999</v>
      </c>
      <c r="D260" s="20">
        <f t="shared" si="35"/>
        <v>13.347899999999999</v>
      </c>
      <c r="E260" s="20">
        <f t="shared" si="36"/>
        <v>6.4326999999999996</v>
      </c>
      <c r="F260" s="20">
        <f t="shared" si="37"/>
        <v>16.392299999999999</v>
      </c>
      <c r="G260" s="20">
        <f t="shared" si="38"/>
        <v>11.809799999999999</v>
      </c>
      <c r="H260" s="1239">
        <f t="shared" si="39"/>
        <v>11.809799999999999</v>
      </c>
      <c r="I260" s="1243">
        <f t="shared" si="33"/>
        <v>-8.6462090805940695E-2</v>
      </c>
      <c r="J260" s="1243">
        <f t="shared" si="40"/>
        <v>0.12093838824177333</v>
      </c>
      <c r="K260" s="1243">
        <f t="shared" si="41"/>
        <v>0.1</v>
      </c>
      <c r="L260" s="203"/>
      <c r="N260" s="1425">
        <v>44858</v>
      </c>
      <c r="O260" s="1502">
        <v>10.7887</v>
      </c>
      <c r="P260" s="1502">
        <v>4.1741000000000001</v>
      </c>
      <c r="Q260" s="1502">
        <v>11.144399999999999</v>
      </c>
      <c r="R260" s="1233">
        <f>'B. PE'!$U$23</f>
        <v>15.978235616082999</v>
      </c>
      <c r="S260" s="1233"/>
      <c r="T260" s="1233"/>
      <c r="V260" s="1425">
        <v>44858</v>
      </c>
      <c r="W260" s="1">
        <v>8.5815999999999999</v>
      </c>
      <c r="X260" s="1">
        <v>1.2003999999999999</v>
      </c>
      <c r="Y260" s="1">
        <v>6.8571</v>
      </c>
      <c r="Z260" s="1">
        <v>0.99624999999999997</v>
      </c>
      <c r="AB260" s="1425">
        <v>44846</v>
      </c>
      <c r="AC260" s="1">
        <v>6.5471000000000004</v>
      </c>
      <c r="AD260" s="1502">
        <v>0.99880000000000002</v>
      </c>
      <c r="AE260" s="1">
        <v>4.8201000000000001</v>
      </c>
      <c r="AF260" s="1">
        <v>2.7550000000000002E-2</v>
      </c>
      <c r="AH260" s="1425">
        <v>44846</v>
      </c>
      <c r="AI260" s="1">
        <v>13.2319</v>
      </c>
      <c r="AJ260" s="1">
        <v>2.3281999999999998</v>
      </c>
      <c r="AK260" s="1">
        <v>6.7339000000000002</v>
      </c>
      <c r="AL260" s="1">
        <v>3.9829999999999997E-2</v>
      </c>
      <c r="AN260" s="1425">
        <v>44847</v>
      </c>
      <c r="AO260" s="1">
        <v>6.3158000000000003</v>
      </c>
      <c r="AP260" s="1">
        <v>0.95840000000000003</v>
      </c>
      <c r="AQ260" s="1">
        <v>4.1140999999999996</v>
      </c>
      <c r="AR260" s="1">
        <v>0.22470000000000001</v>
      </c>
      <c r="AT260" s="1425">
        <v>44847</v>
      </c>
      <c r="AU260" s="1">
        <v>13.785399999999999</v>
      </c>
      <c r="AV260" s="1">
        <v>0.81269999999999998</v>
      </c>
      <c r="AW260" s="1">
        <v>8.2416</v>
      </c>
      <c r="AX260" s="1">
        <v>0.19367000000000001</v>
      </c>
      <c r="BA260" s="1425">
        <v>44846</v>
      </c>
      <c r="BB260" s="1">
        <v>10.9613</v>
      </c>
      <c r="BC260" s="1">
        <v>2.4578000000000002</v>
      </c>
      <c r="BD260" s="1">
        <v>11.5761</v>
      </c>
      <c r="BE260" s="1">
        <v>0.64732999999999996</v>
      </c>
      <c r="BG260" s="1425">
        <v>44846</v>
      </c>
      <c r="BH260" s="1">
        <v>15.745200000000001</v>
      </c>
      <c r="BI260" s="1">
        <v>3.1732</v>
      </c>
      <c r="BJ260" s="1">
        <v>17.6007</v>
      </c>
      <c r="BT260" s="1425">
        <v>44858</v>
      </c>
      <c r="BU260" s="1">
        <v>14.438700000000001</v>
      </c>
      <c r="BV260" s="1">
        <v>3.1787999999999998</v>
      </c>
      <c r="BW260" s="1">
        <v>7.46</v>
      </c>
      <c r="BX260" s="1">
        <v>2.3793000000000002</v>
      </c>
      <c r="BZ260" s="1425">
        <v>44858</v>
      </c>
      <c r="CA260" s="1">
        <v>15.633699999999999</v>
      </c>
      <c r="CB260" s="1">
        <v>4.6005000000000003</v>
      </c>
      <c r="CC260" s="1">
        <v>12.1938</v>
      </c>
      <c r="CD260" s="1">
        <v>2.7916799999999999</v>
      </c>
      <c r="CF260" s="1425">
        <v>44855</v>
      </c>
      <c r="CG260" s="1">
        <v>3.7906</v>
      </c>
      <c r="CH260" s="1">
        <v>1.1056999999999999</v>
      </c>
      <c r="CL260" s="1425">
        <v>44861</v>
      </c>
      <c r="CM260" s="1">
        <v>19.1785</v>
      </c>
      <c r="CN260" s="1">
        <v>2.6383000000000001</v>
      </c>
      <c r="CO260" s="1">
        <v>10.728199999999999</v>
      </c>
    </row>
    <row r="261" spans="1:93">
      <c r="A261" s="1425">
        <v>44855</v>
      </c>
      <c r="B261" s="20">
        <f t="shared" ref="B261:B324" si="42">O261</f>
        <v>11.5983</v>
      </c>
      <c r="C261" s="20">
        <f t="shared" si="34"/>
        <v>9.2116000000000007</v>
      </c>
      <c r="D261" s="20">
        <f t="shared" si="35"/>
        <v>13.464</v>
      </c>
      <c r="E261" s="20">
        <f t="shared" si="36"/>
        <v>6.4326999999999996</v>
      </c>
      <c r="F261" s="20">
        <f t="shared" si="37"/>
        <v>16.715800000000002</v>
      </c>
      <c r="G261" s="20">
        <f t="shared" si="38"/>
        <v>11.9244</v>
      </c>
      <c r="H261" s="1239">
        <f t="shared" si="39"/>
        <v>11.9244</v>
      </c>
      <c r="I261" s="1243">
        <f t="shared" ref="I261:I324" si="43">B261/H261-1</f>
        <v>-2.7347287913857321E-2</v>
      </c>
      <c r="J261" s="1243">
        <f t="shared" si="40"/>
        <v>0.12093838824177333</v>
      </c>
      <c r="K261" s="1243">
        <f t="shared" si="41"/>
        <v>0.1</v>
      </c>
      <c r="L261" s="203"/>
      <c r="N261" s="1425">
        <v>44855</v>
      </c>
      <c r="O261" s="1502">
        <v>11.5983</v>
      </c>
      <c r="P261" s="1502">
        <v>4.4874000000000001</v>
      </c>
      <c r="Q261" s="1502">
        <v>11.8726</v>
      </c>
      <c r="R261" s="1233">
        <f>'B. PE'!$U$23</f>
        <v>15.978235616082999</v>
      </c>
      <c r="S261" s="1233"/>
      <c r="T261" s="1233"/>
      <c r="V261" s="1425">
        <v>44855</v>
      </c>
      <c r="W261" s="1">
        <v>9.2116000000000007</v>
      </c>
      <c r="X261" s="1">
        <v>1.2885</v>
      </c>
      <c r="Y261" s="1">
        <v>7.1527000000000003</v>
      </c>
      <c r="Z261" s="1">
        <v>1.02921</v>
      </c>
      <c r="AB261" s="1425">
        <v>44845</v>
      </c>
      <c r="AC261" s="1">
        <v>6.774</v>
      </c>
      <c r="AD261" s="1502">
        <v>1.0334000000000001</v>
      </c>
      <c r="AE261" s="1">
        <v>4.9207999999999998</v>
      </c>
      <c r="AF261" s="1">
        <v>2.8139999999999998E-2</v>
      </c>
      <c r="AH261" s="1425">
        <v>44845</v>
      </c>
      <c r="AI261" s="1">
        <v>14.0443</v>
      </c>
      <c r="AJ261" s="1">
        <v>2.4712000000000001</v>
      </c>
      <c r="AK261" s="1">
        <v>7.1478000000000002</v>
      </c>
      <c r="AL261" s="1">
        <v>4.0239999999999998E-2</v>
      </c>
      <c r="AN261" s="1425">
        <v>44846</v>
      </c>
      <c r="AO261" s="1">
        <v>6.0819000000000001</v>
      </c>
      <c r="AP261" s="1">
        <v>0.92290000000000005</v>
      </c>
      <c r="AQ261" s="1">
        <v>3.9409999999999998</v>
      </c>
      <c r="AR261" s="1">
        <v>0.23441000000000001</v>
      </c>
      <c r="AT261" s="1425">
        <v>44846</v>
      </c>
      <c r="AU261" s="1">
        <v>13.5618</v>
      </c>
      <c r="AV261" s="1">
        <v>0.79949999999999999</v>
      </c>
      <c r="AW261" s="1">
        <v>8.1628000000000007</v>
      </c>
      <c r="AX261" s="1">
        <v>0.20215</v>
      </c>
      <c r="BA261" s="1425">
        <v>44845</v>
      </c>
      <c r="BB261" s="1">
        <v>11.1447</v>
      </c>
      <c r="BC261" s="1">
        <v>2.4988999999999999</v>
      </c>
      <c r="BD261" s="1">
        <v>11.7105</v>
      </c>
      <c r="BE261" s="1">
        <v>0.66466000000000003</v>
      </c>
      <c r="BG261" s="1425">
        <v>44845</v>
      </c>
      <c r="BH261" s="1">
        <v>15.960900000000001</v>
      </c>
      <c r="BI261" s="1">
        <v>3.2166999999999999</v>
      </c>
      <c r="BJ261" s="1">
        <v>17.7774</v>
      </c>
      <c r="BT261" s="1425">
        <v>44855</v>
      </c>
      <c r="BU261" s="1">
        <v>15.523</v>
      </c>
      <c r="BV261" s="1">
        <v>3.4176000000000002</v>
      </c>
      <c r="BW261" s="1">
        <v>7.9722999999999997</v>
      </c>
      <c r="BX261" s="1">
        <v>2.4127000000000001</v>
      </c>
      <c r="BZ261" s="1425">
        <v>44855</v>
      </c>
      <c r="CA261" s="1">
        <v>15.3819</v>
      </c>
      <c r="CB261" s="1">
        <v>4.5263999999999998</v>
      </c>
      <c r="CC261" s="1">
        <v>12.042199999999999</v>
      </c>
      <c r="CD261" s="1">
        <v>2.8731900000000001</v>
      </c>
      <c r="CF261" s="1425">
        <v>44854</v>
      </c>
      <c r="CG261" s="1">
        <v>4.2050999999999998</v>
      </c>
      <c r="CH261" s="1">
        <v>1.2266999999999999</v>
      </c>
      <c r="CL261" s="1425">
        <v>44860</v>
      </c>
      <c r="CM261" s="1">
        <v>19.4985</v>
      </c>
      <c r="CN261" s="1">
        <v>2.6823000000000001</v>
      </c>
      <c r="CO261" s="1">
        <v>10.9053</v>
      </c>
    </row>
    <row r="262" spans="1:93">
      <c r="A262" s="1425">
        <v>44854</v>
      </c>
      <c r="B262" s="20">
        <f t="shared" si="42"/>
        <v>12.464399999999999</v>
      </c>
      <c r="C262" s="20">
        <f t="shared" ref="C262:C325" si="44">IF(W262=0,W261,W262)</f>
        <v>9.8926999999999996</v>
      </c>
      <c r="D262" s="20">
        <f t="shared" ref="D262:D325" si="45">IFERROR(          IF(VLOOKUP(A262,$AH$5:$AI$1301,2,)=0,D261,VLOOKUP(A262,$AH$5:$AI$1301,2,)),D261)</f>
        <v>13.464</v>
      </c>
      <c r="E262" s="20">
        <f t="shared" ref="E262:E325" si="46">IFERROR(IF(VLOOKUP(A262,$AN$5:$AO$1301,2,)=0, E261, VLOOKUP(A262,$AN$5:$AO$1301,2,)),E261)</f>
        <v>6.2572999999999999</v>
      </c>
      <c r="F262" s="20">
        <f t="shared" ref="F262:F325" si="47">IFERROR(IF(VLOOKUP(A262,$BG$5:$BH$1301,2,)=0,F261,VLOOKUP(A262,$BG$5:$BH$1301,2,)),F261)</f>
        <v>17.147200000000002</v>
      </c>
      <c r="G262" s="20">
        <f t="shared" ref="G262:G325" si="48">IFERROR(IF(VLOOKUP(A262,$BA$5:$BB$1301,2,)=0,G261,VLOOKUP(A262,$BA$5:$BB$1301,2,)),G261)</f>
        <v>12.039099999999999</v>
      </c>
      <c r="H262" s="1239">
        <f t="shared" ref="H262:H325" si="49">MEDIAN(C262:G262)</f>
        <v>12.039099999999999</v>
      </c>
      <c r="I262" s="1243">
        <f t="shared" si="43"/>
        <v>3.5326560955553088E-2</v>
      </c>
      <c r="J262" s="1243">
        <f t="shared" ref="J262:J325" si="50">$I$3</f>
        <v>0.12093838824177333</v>
      </c>
      <c r="K262" s="1243">
        <f t="shared" si="41"/>
        <v>0.1</v>
      </c>
      <c r="L262" s="203"/>
      <c r="N262" s="1425">
        <v>44854</v>
      </c>
      <c r="O262" s="1502">
        <v>12.464399999999999</v>
      </c>
      <c r="P262" s="1502">
        <v>4.8224999999999998</v>
      </c>
      <c r="Q262" s="1502">
        <v>12.6516</v>
      </c>
      <c r="R262" s="1233">
        <f>'B. PE'!$U$23</f>
        <v>15.978235616082999</v>
      </c>
      <c r="S262" s="1233"/>
      <c r="T262" s="1233"/>
      <c r="V262" s="1425">
        <v>44854</v>
      </c>
      <c r="W262" s="1">
        <v>9.8926999999999996</v>
      </c>
      <c r="X262" s="1">
        <v>1.3837999999999999</v>
      </c>
      <c r="Y262" s="1">
        <v>7.4722</v>
      </c>
      <c r="Z262" s="1">
        <v>1.01644</v>
      </c>
      <c r="AB262" s="1425">
        <v>44844</v>
      </c>
      <c r="AC262" s="1">
        <v>6.8388</v>
      </c>
      <c r="AD262" s="1502">
        <v>1.0432999999999999</v>
      </c>
      <c r="AE262" s="1">
        <v>4.9494999999999996</v>
      </c>
      <c r="AF262" s="1">
        <v>2.8539999999999999E-2</v>
      </c>
      <c r="AH262" s="1425">
        <v>44844</v>
      </c>
      <c r="AI262" s="1">
        <v>14.160399999999999</v>
      </c>
      <c r="AJ262" s="1">
        <v>2.4916</v>
      </c>
      <c r="AK262" s="1">
        <v>7.2069000000000001</v>
      </c>
      <c r="AL262" s="1">
        <v>4.0770000000000001E-2</v>
      </c>
      <c r="AN262" s="1425">
        <v>44845</v>
      </c>
      <c r="AO262" s="1">
        <v>6.1403999999999996</v>
      </c>
      <c r="AP262" s="1">
        <v>0.93179999999999996</v>
      </c>
      <c r="AQ262" s="1">
        <v>3.9842</v>
      </c>
      <c r="AR262" s="1">
        <v>0.23721</v>
      </c>
      <c r="AT262" s="1425">
        <v>44845</v>
      </c>
      <c r="AU262" s="1">
        <v>13.487299999999999</v>
      </c>
      <c r="AV262" s="1">
        <v>0.79510000000000003</v>
      </c>
      <c r="AW262" s="1">
        <v>8.1812000000000005</v>
      </c>
      <c r="AX262" s="1">
        <v>0.21132999999999999</v>
      </c>
      <c r="BA262" s="1425">
        <v>44844</v>
      </c>
      <c r="BB262" s="1">
        <v>11.282299999999999</v>
      </c>
      <c r="BC262" s="1">
        <v>2.5297999999999998</v>
      </c>
      <c r="BD262" s="1">
        <v>11.811400000000001</v>
      </c>
      <c r="BE262" s="1">
        <v>0.70138</v>
      </c>
      <c r="BG262" s="1425">
        <v>44844</v>
      </c>
      <c r="BH262" s="1">
        <v>16.176600000000001</v>
      </c>
      <c r="BI262" s="1">
        <v>3.2602000000000002</v>
      </c>
      <c r="BJ262" s="1">
        <v>17.9541</v>
      </c>
      <c r="BT262" s="1425">
        <v>44854</v>
      </c>
      <c r="BU262" s="1">
        <v>16.664400000000001</v>
      </c>
      <c r="BV262" s="1">
        <v>3.6688999999999998</v>
      </c>
      <c r="BW262" s="1">
        <v>8.5114999999999998</v>
      </c>
      <c r="BX262" s="1">
        <v>2.4150999999999998</v>
      </c>
      <c r="BZ262" s="1425">
        <v>44854</v>
      </c>
      <c r="CA262" s="1">
        <v>16.536000000000001</v>
      </c>
      <c r="CB262" s="1">
        <v>4.8659999999999997</v>
      </c>
      <c r="CC262" s="1">
        <v>12.7369</v>
      </c>
      <c r="CD262" s="1">
        <v>2.7763399999999998</v>
      </c>
      <c r="CF262" s="1425">
        <v>44853</v>
      </c>
      <c r="CG262" s="1">
        <v>4.2446000000000002</v>
      </c>
      <c r="CH262" s="1">
        <v>1.2382</v>
      </c>
      <c r="CL262" s="1425">
        <v>44859</v>
      </c>
      <c r="CM262" s="1">
        <v>19.405200000000001</v>
      </c>
      <c r="CN262" s="1">
        <v>2.6695000000000002</v>
      </c>
      <c r="CO262" s="1">
        <v>10.8536</v>
      </c>
    </row>
    <row r="263" spans="1:93">
      <c r="A263" s="1425">
        <v>44853</v>
      </c>
      <c r="B263" s="20">
        <f t="shared" si="42"/>
        <v>12.6716</v>
      </c>
      <c r="C263" s="20">
        <f t="shared" si="44"/>
        <v>10.1822</v>
      </c>
      <c r="D263" s="20">
        <f t="shared" si="45"/>
        <v>13.1158</v>
      </c>
      <c r="E263" s="20">
        <f t="shared" si="46"/>
        <v>6.2572999999999999</v>
      </c>
      <c r="F263" s="20">
        <f t="shared" si="47"/>
        <v>16.608000000000001</v>
      </c>
      <c r="G263" s="20">
        <f t="shared" si="48"/>
        <v>11.6951</v>
      </c>
      <c r="H263" s="1239">
        <f t="shared" si="49"/>
        <v>11.6951</v>
      </c>
      <c r="I263" s="1243">
        <f t="shared" si="43"/>
        <v>8.3496507084163341E-2</v>
      </c>
      <c r="J263" s="1243">
        <f t="shared" si="50"/>
        <v>0.12093838824177333</v>
      </c>
      <c r="K263" s="1243">
        <f t="shared" ref="K263:K326" si="51">K262</f>
        <v>0.1</v>
      </c>
      <c r="L263" s="203"/>
      <c r="N263" s="1425">
        <v>44853</v>
      </c>
      <c r="O263" s="1502">
        <v>12.6716</v>
      </c>
      <c r="P263" s="1502">
        <v>4.9025999999999996</v>
      </c>
      <c r="Q263" s="1502">
        <v>12.837899999999999</v>
      </c>
      <c r="R263" s="1233">
        <f>'B. PE'!$U$23</f>
        <v>15.978235616082999</v>
      </c>
      <c r="S263" s="1233"/>
      <c r="T263" s="1233"/>
      <c r="V263" s="1425">
        <v>44853</v>
      </c>
      <c r="W263" s="1">
        <v>10.1822</v>
      </c>
      <c r="X263" s="1">
        <v>1.4242999999999999</v>
      </c>
      <c r="Y263" s="1">
        <v>7.6079999999999997</v>
      </c>
      <c r="Z263" s="1">
        <v>1.03661</v>
      </c>
      <c r="AB263" s="1425">
        <v>44841</v>
      </c>
      <c r="AC263" s="1">
        <v>6.9683999999999999</v>
      </c>
      <c r="AD263" s="1502">
        <v>1.0630999999999999</v>
      </c>
      <c r="AE263" s="1">
        <v>5.0069999999999997</v>
      </c>
      <c r="AF263" s="1">
        <v>2.9080000000000002E-2</v>
      </c>
      <c r="AH263" s="1425">
        <v>44841</v>
      </c>
      <c r="AI263" s="1">
        <v>14.2765</v>
      </c>
      <c r="AJ263" s="1">
        <v>2.5121000000000002</v>
      </c>
      <c r="AK263" s="1">
        <v>7.266</v>
      </c>
      <c r="AL263" s="1">
        <v>4.079E-2</v>
      </c>
      <c r="AN263" s="1425">
        <v>44841</v>
      </c>
      <c r="AO263" s="1">
        <v>6.3742999999999999</v>
      </c>
      <c r="AP263" s="1">
        <v>0.96730000000000005</v>
      </c>
      <c r="AQ263" s="1">
        <v>4.1574</v>
      </c>
      <c r="AR263" s="1">
        <v>0.23757</v>
      </c>
      <c r="AT263" s="1425">
        <v>44841</v>
      </c>
      <c r="AU263" s="1">
        <v>14.008900000000001</v>
      </c>
      <c r="AV263" s="1">
        <v>0.82589999999999997</v>
      </c>
      <c r="AW263" s="1">
        <v>8.4673999999999996</v>
      </c>
      <c r="AX263" s="1">
        <v>0.21597</v>
      </c>
      <c r="BA263" s="1425">
        <v>44841</v>
      </c>
      <c r="BB263" s="1">
        <v>11.4658</v>
      </c>
      <c r="BC263" s="1">
        <v>2.5709</v>
      </c>
      <c r="BD263" s="1">
        <v>11.9458</v>
      </c>
      <c r="BE263" s="1">
        <v>0.69291000000000003</v>
      </c>
      <c r="BG263" s="1425">
        <v>44841</v>
      </c>
      <c r="BH263" s="1">
        <v>16.608000000000001</v>
      </c>
      <c r="BI263" s="1">
        <v>3.3471000000000002</v>
      </c>
      <c r="BJ263" s="1">
        <v>18.307500000000001</v>
      </c>
      <c r="BT263" s="1425">
        <v>44853</v>
      </c>
      <c r="BU263" s="1">
        <v>16.835699999999999</v>
      </c>
      <c r="BV263" s="1">
        <v>3.7065999999999999</v>
      </c>
      <c r="BW263" s="1">
        <v>8.5923999999999996</v>
      </c>
      <c r="BX263" s="1">
        <v>2.4218999999999999</v>
      </c>
      <c r="BZ263" s="1425">
        <v>44853</v>
      </c>
      <c r="CA263" s="1">
        <v>16.9557</v>
      </c>
      <c r="CB263" s="1">
        <v>4.9894999999999996</v>
      </c>
      <c r="CC263" s="1">
        <v>12.9895</v>
      </c>
      <c r="CD263" s="1">
        <v>2.8532600000000001</v>
      </c>
      <c r="CF263" s="1425">
        <v>44852</v>
      </c>
      <c r="CG263" s="1">
        <v>4.2446000000000002</v>
      </c>
      <c r="CH263" s="1">
        <v>1.2382</v>
      </c>
      <c r="CL263" s="1425">
        <v>44858</v>
      </c>
      <c r="CM263" s="1">
        <v>19.138400000000001</v>
      </c>
      <c r="CN263" s="1">
        <v>2.6328</v>
      </c>
      <c r="CO263" s="1">
        <v>10.706099999999999</v>
      </c>
    </row>
    <row r="264" spans="1:93">
      <c r="A264" s="1425">
        <v>44852</v>
      </c>
      <c r="B264" s="20">
        <f t="shared" si="42"/>
        <v>12.520899999999999</v>
      </c>
      <c r="C264" s="20">
        <f t="shared" si="44"/>
        <v>10.0459</v>
      </c>
      <c r="D264" s="20">
        <f t="shared" si="45"/>
        <v>12.999700000000001</v>
      </c>
      <c r="E264" s="20">
        <f t="shared" si="46"/>
        <v>6.2572999999999999</v>
      </c>
      <c r="F264" s="20">
        <f t="shared" si="47"/>
        <v>17.147200000000002</v>
      </c>
      <c r="G264" s="20">
        <f t="shared" si="48"/>
        <v>11.580399999999999</v>
      </c>
      <c r="H264" s="1239">
        <f t="shared" si="49"/>
        <v>11.580399999999999</v>
      </c>
      <c r="I264" s="1243">
        <f t="shared" si="43"/>
        <v>8.1214811232772632E-2</v>
      </c>
      <c r="J264" s="1243">
        <f t="shared" si="50"/>
        <v>0.12093838824177333</v>
      </c>
      <c r="K264" s="1243">
        <f t="shared" si="51"/>
        <v>0.1</v>
      </c>
      <c r="L264" s="203"/>
      <c r="N264" s="1425">
        <v>44852</v>
      </c>
      <c r="O264" s="1502">
        <v>12.520899999999999</v>
      </c>
      <c r="P264" s="1502">
        <v>4.8442999999999996</v>
      </c>
      <c r="Q264" s="1502">
        <v>12.702400000000001</v>
      </c>
      <c r="R264" s="1233">
        <f>'B. PE'!$U$23</f>
        <v>15.978235616082999</v>
      </c>
      <c r="S264" s="1233"/>
      <c r="T264" s="1233"/>
      <c r="V264" s="1425">
        <v>44852</v>
      </c>
      <c r="W264" s="1">
        <v>10.0459</v>
      </c>
      <c r="X264" s="1">
        <v>1.4053</v>
      </c>
      <c r="Y264" s="1">
        <v>7.5441000000000003</v>
      </c>
      <c r="Z264" s="1">
        <v>0.99975999999999998</v>
      </c>
      <c r="AB264" s="1425">
        <v>44840</v>
      </c>
      <c r="AC264" s="1">
        <v>7.0332999999999997</v>
      </c>
      <c r="AD264" s="1502">
        <v>1.073</v>
      </c>
      <c r="AE264" s="1">
        <v>5.0358000000000001</v>
      </c>
      <c r="AF264" s="1">
        <v>2.845E-2</v>
      </c>
      <c r="AH264" s="1425">
        <v>44840</v>
      </c>
      <c r="AI264" s="1">
        <v>14.3925</v>
      </c>
      <c r="AJ264" s="1">
        <v>2.5325000000000002</v>
      </c>
      <c r="AK264" s="1">
        <v>7.3250999999999999</v>
      </c>
      <c r="AL264" s="1">
        <v>4.0840000000000001E-2</v>
      </c>
      <c r="AN264" s="1425">
        <v>44840</v>
      </c>
      <c r="AO264" s="1">
        <v>6.4326999999999996</v>
      </c>
      <c r="AP264" s="1">
        <v>0.97619999999999996</v>
      </c>
      <c r="AQ264" s="1">
        <v>4.2007000000000003</v>
      </c>
      <c r="AR264" s="1">
        <v>0.23039000000000001</v>
      </c>
      <c r="AT264" s="1425">
        <v>44840</v>
      </c>
      <c r="AU264" s="1">
        <v>14.6051</v>
      </c>
      <c r="AV264" s="1">
        <v>0.86099999999999999</v>
      </c>
      <c r="AW264" s="1">
        <v>8.7944999999999993</v>
      </c>
      <c r="AX264" s="1">
        <v>0.21748000000000001</v>
      </c>
      <c r="BA264" s="1425">
        <v>44840</v>
      </c>
      <c r="BB264" s="1">
        <v>12.039099999999999</v>
      </c>
      <c r="BC264" s="1">
        <v>2.6995</v>
      </c>
      <c r="BD264" s="1">
        <v>12.366</v>
      </c>
      <c r="BE264" s="1">
        <v>0.67420999999999998</v>
      </c>
      <c r="BG264" s="1425">
        <v>44840</v>
      </c>
      <c r="BH264" s="1">
        <v>17.039300000000001</v>
      </c>
      <c r="BI264" s="1">
        <v>3.4340999999999999</v>
      </c>
      <c r="BJ264" s="1">
        <v>18.660900000000002</v>
      </c>
      <c r="BT264" s="1425">
        <v>44852</v>
      </c>
      <c r="BU264" s="1">
        <v>16.835699999999999</v>
      </c>
      <c r="BV264" s="1">
        <v>3.7065999999999999</v>
      </c>
      <c r="BW264" s="1">
        <v>8.5923999999999996</v>
      </c>
      <c r="BX264" s="1">
        <v>2.4832000000000001</v>
      </c>
      <c r="BZ264" s="1425">
        <v>44852</v>
      </c>
      <c r="CA264" s="1">
        <v>16.368099999999998</v>
      </c>
      <c r="CB264" s="1">
        <v>4.8166000000000002</v>
      </c>
      <c r="CC264" s="1">
        <v>12.6358</v>
      </c>
      <c r="CD264" s="1">
        <v>2.8117899999999998</v>
      </c>
      <c r="CF264" s="1425">
        <v>44851</v>
      </c>
      <c r="CG264" s="1">
        <v>4.2248999999999999</v>
      </c>
      <c r="CH264" s="1">
        <v>1.2323999999999999</v>
      </c>
      <c r="CL264" s="1425">
        <v>44855</v>
      </c>
      <c r="CM264" s="1">
        <v>18.7117</v>
      </c>
      <c r="CN264" s="1">
        <v>2.5741000000000001</v>
      </c>
      <c r="CO264" s="1">
        <v>10.47</v>
      </c>
    </row>
    <row r="265" spans="1:93">
      <c r="A265" s="1425">
        <v>44851</v>
      </c>
      <c r="B265" s="20">
        <f t="shared" si="42"/>
        <v>12.954000000000001</v>
      </c>
      <c r="C265" s="20">
        <f t="shared" si="44"/>
        <v>10.199199999999999</v>
      </c>
      <c r="D265" s="20">
        <f t="shared" si="45"/>
        <v>12.883599999999999</v>
      </c>
      <c r="E265" s="20">
        <f t="shared" si="46"/>
        <v>6.4326999999999996</v>
      </c>
      <c r="F265" s="20">
        <f t="shared" si="47"/>
        <v>16.392299999999999</v>
      </c>
      <c r="G265" s="20">
        <f t="shared" si="48"/>
        <v>11.282299999999999</v>
      </c>
      <c r="H265" s="1239">
        <f t="shared" si="49"/>
        <v>11.282299999999999</v>
      </c>
      <c r="I265" s="1243">
        <f t="shared" si="43"/>
        <v>0.14817014261276529</v>
      </c>
      <c r="J265" s="1243">
        <f t="shared" si="50"/>
        <v>0.12093838824177333</v>
      </c>
      <c r="K265" s="1243">
        <f t="shared" si="51"/>
        <v>0.1</v>
      </c>
      <c r="L265" s="203"/>
      <c r="N265" s="1425">
        <v>44851</v>
      </c>
      <c r="O265" s="1502">
        <v>12.954000000000001</v>
      </c>
      <c r="P265" s="1502">
        <v>5.0118999999999998</v>
      </c>
      <c r="Q265" s="1502">
        <v>13.091900000000001</v>
      </c>
      <c r="R265" s="1233">
        <f>'B. PE'!$U$23</f>
        <v>15.978235616082999</v>
      </c>
      <c r="S265" s="1233"/>
      <c r="T265" s="1233"/>
      <c r="V265" s="1425">
        <v>44851</v>
      </c>
      <c r="W265" s="1">
        <v>10.199199999999999</v>
      </c>
      <c r="X265" s="1">
        <v>1.4267000000000001</v>
      </c>
      <c r="Y265" s="1">
        <v>7.6159999999999997</v>
      </c>
      <c r="Z265" s="1">
        <v>0.93528</v>
      </c>
      <c r="AB265" s="1425">
        <v>44839</v>
      </c>
      <c r="AC265" s="1">
        <v>7.1628999999999996</v>
      </c>
      <c r="AD265" s="1502">
        <v>1.0927</v>
      </c>
      <c r="AE265" s="1">
        <v>5.0933000000000002</v>
      </c>
      <c r="AF265" s="1">
        <v>2.7480000000000001E-2</v>
      </c>
      <c r="AH265" s="1425">
        <v>44839</v>
      </c>
      <c r="AI265" s="1">
        <v>14.3925</v>
      </c>
      <c r="AJ265" s="1">
        <v>2.5325000000000002</v>
      </c>
      <c r="AK265" s="1">
        <v>7.3250999999999999</v>
      </c>
      <c r="AL265" s="1">
        <v>3.8929999999999999E-2</v>
      </c>
      <c r="AN265" s="1425">
        <v>44839</v>
      </c>
      <c r="AO265" s="1">
        <v>6.4326999999999996</v>
      </c>
      <c r="AP265" s="1">
        <v>0.97619999999999996</v>
      </c>
      <c r="AQ265" s="1">
        <v>4.2007000000000003</v>
      </c>
      <c r="AR265" s="1">
        <v>0.23025000000000001</v>
      </c>
      <c r="AT265" s="1425">
        <v>44839</v>
      </c>
      <c r="AU265" s="1">
        <v>14.9031</v>
      </c>
      <c r="AV265" s="1">
        <v>0.87860000000000005</v>
      </c>
      <c r="AW265" s="1">
        <v>8.9580000000000002</v>
      </c>
      <c r="AX265" s="1">
        <v>0.21410999999999999</v>
      </c>
      <c r="BA265" s="1425">
        <v>44839</v>
      </c>
      <c r="BB265" s="1">
        <v>11.9244</v>
      </c>
      <c r="BC265" s="1">
        <v>2.6738</v>
      </c>
      <c r="BD265" s="1">
        <v>12.282</v>
      </c>
      <c r="BE265" s="1">
        <v>0.64932000000000001</v>
      </c>
      <c r="BG265" s="1425">
        <v>44839</v>
      </c>
      <c r="BH265" s="1">
        <v>16.5001</v>
      </c>
      <c r="BI265" s="1">
        <v>3.3254000000000001</v>
      </c>
      <c r="BJ265" s="1">
        <v>18.219100000000001</v>
      </c>
      <c r="BT265" s="1425">
        <v>44851</v>
      </c>
      <c r="BU265" s="1">
        <v>16.807099999999998</v>
      </c>
      <c r="BV265" s="1">
        <v>3.7002999999999999</v>
      </c>
      <c r="BW265" s="1">
        <v>8.5789000000000009</v>
      </c>
      <c r="BX265" s="1">
        <v>2.3881000000000001</v>
      </c>
      <c r="BZ265" s="1425">
        <v>44851</v>
      </c>
      <c r="CA265" s="1">
        <v>16.745899999999999</v>
      </c>
      <c r="CB265" s="1">
        <v>4.9278000000000004</v>
      </c>
      <c r="CC265" s="1">
        <v>12.863200000000001</v>
      </c>
      <c r="CD265" s="1">
        <v>2.6281599999999998</v>
      </c>
      <c r="CF265" s="1425">
        <v>44848</v>
      </c>
      <c r="CG265" s="1">
        <v>4.2248999999999999</v>
      </c>
      <c r="CH265" s="1">
        <v>1.2323999999999999</v>
      </c>
      <c r="CL265" s="1425">
        <v>44854</v>
      </c>
      <c r="CM265" s="1">
        <v>18.951699999999999</v>
      </c>
      <c r="CN265" s="1">
        <v>2.6071</v>
      </c>
      <c r="CO265" s="1">
        <v>10.6028</v>
      </c>
    </row>
    <row r="266" spans="1:93">
      <c r="A266" s="1425">
        <v>44848</v>
      </c>
      <c r="B266" s="20">
        <f t="shared" si="42"/>
        <v>12.954000000000001</v>
      </c>
      <c r="C266" s="20">
        <f t="shared" si="44"/>
        <v>9.7565000000000008</v>
      </c>
      <c r="D266" s="20">
        <f t="shared" si="45"/>
        <v>13.1158</v>
      </c>
      <c r="E266" s="20">
        <f t="shared" si="46"/>
        <v>6.3158000000000003</v>
      </c>
      <c r="F266" s="20">
        <f t="shared" si="47"/>
        <v>16.392299999999999</v>
      </c>
      <c r="G266" s="20">
        <f t="shared" si="48"/>
        <v>11.282299999999999</v>
      </c>
      <c r="H266" s="1239">
        <f t="shared" si="49"/>
        <v>11.282299999999999</v>
      </c>
      <c r="I266" s="1243">
        <f t="shared" si="43"/>
        <v>0.14817014261276529</v>
      </c>
      <c r="J266" s="1243">
        <f t="shared" si="50"/>
        <v>0.12093838824177333</v>
      </c>
      <c r="K266" s="1243">
        <f t="shared" si="51"/>
        <v>0.1</v>
      </c>
      <c r="L266" s="203"/>
      <c r="N266" s="1425">
        <v>44848</v>
      </c>
      <c r="O266" s="1502">
        <v>12.954000000000001</v>
      </c>
      <c r="P266" s="1502">
        <v>5.0118999999999998</v>
      </c>
      <c r="Q266" s="1502">
        <v>13.091900000000001</v>
      </c>
      <c r="R266" s="1233">
        <f>'B. PE'!$U$23</f>
        <v>15.978235616082999</v>
      </c>
      <c r="S266" s="1233"/>
      <c r="T266" s="1233"/>
      <c r="V266" s="1425">
        <v>44848</v>
      </c>
      <c r="W266" s="1">
        <v>9.7565000000000008</v>
      </c>
      <c r="X266" s="1">
        <v>1.3648</v>
      </c>
      <c r="Y266" s="1">
        <v>7.4082999999999997</v>
      </c>
      <c r="Z266" s="1">
        <v>0.94921999999999995</v>
      </c>
      <c r="AB266" s="1425">
        <v>44838</v>
      </c>
      <c r="AC266" s="1">
        <v>7.0007999999999999</v>
      </c>
      <c r="AD266" s="1502">
        <v>1.0680000000000001</v>
      </c>
      <c r="AE266" s="1">
        <v>5.0213999999999999</v>
      </c>
      <c r="AF266" s="1">
        <v>2.716E-2</v>
      </c>
      <c r="AH266" s="1425">
        <v>44838</v>
      </c>
      <c r="AI266" s="1">
        <v>14.3925</v>
      </c>
      <c r="AJ266" s="1">
        <v>2.5325000000000002</v>
      </c>
      <c r="AK266" s="1">
        <v>7.3250999999999999</v>
      </c>
      <c r="AL266" s="1">
        <v>3.8379999999999997E-2</v>
      </c>
      <c r="AN266" s="1425">
        <v>44838</v>
      </c>
      <c r="AO266" s="1">
        <v>6.2572999999999999</v>
      </c>
      <c r="AP266" s="1">
        <v>0.9496</v>
      </c>
      <c r="AQ266" s="1">
        <v>4.0708000000000002</v>
      </c>
      <c r="AR266" s="1">
        <v>0.23077</v>
      </c>
      <c r="AT266" s="1425">
        <v>44838</v>
      </c>
      <c r="AU266" s="1">
        <v>15.052199999999999</v>
      </c>
      <c r="AV266" s="1">
        <v>0.88739999999999997</v>
      </c>
      <c r="AW266" s="1">
        <v>9.0397999999999996</v>
      </c>
      <c r="AX266" s="1">
        <v>0.21351999999999999</v>
      </c>
      <c r="BA266" s="1425">
        <v>44838</v>
      </c>
      <c r="BB266" s="1">
        <v>11.580399999999999</v>
      </c>
      <c r="BC266" s="1">
        <v>2.5966</v>
      </c>
      <c r="BD266" s="1">
        <v>12.0299</v>
      </c>
      <c r="BE266" s="1">
        <v>0.67398000000000002</v>
      </c>
      <c r="BG266" s="1425">
        <v>44838</v>
      </c>
      <c r="BH266" s="1">
        <v>17.147200000000002</v>
      </c>
      <c r="BI266" s="1">
        <v>3.4558</v>
      </c>
      <c r="BJ266" s="1">
        <v>18.749300000000002</v>
      </c>
      <c r="BT266" s="1425">
        <v>44848</v>
      </c>
      <c r="BU266" s="1">
        <v>17.092500000000001</v>
      </c>
      <c r="BV266" s="1">
        <v>3.7631000000000001</v>
      </c>
      <c r="BW266" s="1">
        <v>8.7138000000000009</v>
      </c>
      <c r="BX266" s="1">
        <v>2.4015</v>
      </c>
      <c r="BZ266" s="1425">
        <v>44848</v>
      </c>
      <c r="CA266" s="1">
        <v>16.368099999999998</v>
      </c>
      <c r="CB266" s="1">
        <v>4.8166000000000002</v>
      </c>
      <c r="CC266" s="1">
        <v>12.6358</v>
      </c>
      <c r="CD266" s="1">
        <v>2.5422699999999998</v>
      </c>
      <c r="CF266" s="1425">
        <v>44847</v>
      </c>
      <c r="CG266" s="1">
        <v>4.0669000000000004</v>
      </c>
      <c r="CH266" s="1">
        <v>1.1863999999999999</v>
      </c>
      <c r="CL266" s="1425">
        <v>44853</v>
      </c>
      <c r="CM266" s="1">
        <v>19.365200000000002</v>
      </c>
      <c r="CN266" s="1">
        <v>2.6640000000000001</v>
      </c>
      <c r="CO266" s="1">
        <v>10.8315</v>
      </c>
    </row>
    <row r="267" spans="1:93">
      <c r="A267" s="1425">
        <v>44847</v>
      </c>
      <c r="B267" s="20">
        <f t="shared" si="42"/>
        <v>12.1067</v>
      </c>
      <c r="C267" s="20">
        <f t="shared" si="44"/>
        <v>9.1265000000000001</v>
      </c>
      <c r="D267" s="20">
        <f t="shared" si="45"/>
        <v>12.883599999999999</v>
      </c>
      <c r="E267" s="20">
        <f t="shared" si="46"/>
        <v>6.3158000000000003</v>
      </c>
      <c r="F267" s="20">
        <f t="shared" si="47"/>
        <v>16.392299999999999</v>
      </c>
      <c r="G267" s="20">
        <f t="shared" si="48"/>
        <v>11.282299999999999</v>
      </c>
      <c r="H267" s="1239">
        <f t="shared" si="49"/>
        <v>11.282299999999999</v>
      </c>
      <c r="I267" s="1243">
        <f t="shared" si="43"/>
        <v>7.3070207315884206E-2</v>
      </c>
      <c r="J267" s="1243">
        <f t="shared" si="50"/>
        <v>0.12093838824177333</v>
      </c>
      <c r="K267" s="1243">
        <f t="shared" si="51"/>
        <v>0.1</v>
      </c>
      <c r="L267" s="203"/>
      <c r="N267" s="1425">
        <v>44847</v>
      </c>
      <c r="O267" s="1502">
        <v>12.1067</v>
      </c>
      <c r="P267" s="1502">
        <v>4.6840999999999999</v>
      </c>
      <c r="Q267" s="1502">
        <v>12.3299</v>
      </c>
      <c r="R267" s="1233">
        <f>'B. PE'!$U$23</f>
        <v>15.978235616082999</v>
      </c>
      <c r="S267" s="1233"/>
      <c r="T267" s="1233"/>
      <c r="V267" s="1425">
        <v>44847</v>
      </c>
      <c r="W267" s="1">
        <v>9.1265000000000001</v>
      </c>
      <c r="X267" s="1">
        <v>1.2766</v>
      </c>
      <c r="Y267" s="1">
        <v>7.1127000000000002</v>
      </c>
      <c r="Z267" s="1">
        <v>0.94642000000000004</v>
      </c>
      <c r="AB267" s="1425">
        <v>44837</v>
      </c>
      <c r="AC267" s="1">
        <v>6.8064</v>
      </c>
      <c r="AD267" s="1502">
        <v>1.0383</v>
      </c>
      <c r="AE267" s="1">
        <v>4.9351000000000003</v>
      </c>
      <c r="AF267" s="1">
        <v>2.8219999999999999E-2</v>
      </c>
      <c r="AH267" s="1425">
        <v>44837</v>
      </c>
      <c r="AI267" s="1">
        <v>13.812200000000001</v>
      </c>
      <c r="AJ267" s="1">
        <v>2.4304000000000001</v>
      </c>
      <c r="AK267" s="1">
        <v>7.0294999999999996</v>
      </c>
      <c r="AL267" s="1">
        <v>3.7740000000000003E-2</v>
      </c>
      <c r="AN267" s="1425">
        <v>44837</v>
      </c>
      <c r="AO267" s="1">
        <v>6.2572999999999999</v>
      </c>
      <c r="AP267" s="1">
        <v>0.9496</v>
      </c>
      <c r="AQ267" s="1">
        <v>4.0708000000000002</v>
      </c>
      <c r="AR267" s="1">
        <v>0.23294000000000001</v>
      </c>
      <c r="AT267" s="1425">
        <v>44837</v>
      </c>
      <c r="AU267" s="1">
        <v>14.8286</v>
      </c>
      <c r="AV267" s="1">
        <v>0.87419999999999998</v>
      </c>
      <c r="AW267" s="1">
        <v>8.9171999999999993</v>
      </c>
      <c r="AX267" s="1">
        <v>0.21568999999999999</v>
      </c>
      <c r="BA267" s="1425">
        <v>44837</v>
      </c>
      <c r="BB267" s="1">
        <v>11.282299999999999</v>
      </c>
      <c r="BC267" s="1">
        <v>2.5297999999999998</v>
      </c>
      <c r="BD267" s="1">
        <v>11.811400000000001</v>
      </c>
      <c r="BE267" s="1">
        <v>0.67986999999999997</v>
      </c>
      <c r="BG267" s="1425">
        <v>44837</v>
      </c>
      <c r="BH267" s="1">
        <v>17.147200000000002</v>
      </c>
      <c r="BI267" s="1">
        <v>3.4558</v>
      </c>
      <c r="BJ267" s="1">
        <v>18.749300000000002</v>
      </c>
      <c r="BT267" s="1425">
        <v>44847</v>
      </c>
      <c r="BU267" s="1">
        <v>16.436199999999999</v>
      </c>
      <c r="BV267" s="1">
        <v>3.6185999999999998</v>
      </c>
      <c r="BW267" s="1">
        <v>8.4037000000000006</v>
      </c>
      <c r="BX267" s="1">
        <v>2.3155999999999999</v>
      </c>
      <c r="BZ267" s="1425">
        <v>44847</v>
      </c>
      <c r="CA267" s="1">
        <v>15.2979</v>
      </c>
      <c r="CB267" s="1">
        <v>4.5016999999999996</v>
      </c>
      <c r="CC267" s="1">
        <v>11.9917</v>
      </c>
      <c r="CD267" s="1">
        <v>2.38063</v>
      </c>
      <c r="CF267" s="1425">
        <v>44846</v>
      </c>
      <c r="CG267" s="1">
        <v>4.1063999999999998</v>
      </c>
      <c r="CH267" s="1">
        <v>1.1979</v>
      </c>
      <c r="CL267" s="1425">
        <v>44852</v>
      </c>
      <c r="CM267" s="1">
        <v>19.485199999999999</v>
      </c>
      <c r="CN267" s="1">
        <v>2.6804999999999999</v>
      </c>
      <c r="CO267" s="1">
        <v>10.8979</v>
      </c>
    </row>
    <row r="268" spans="1:93">
      <c r="A268" s="1425">
        <v>44846</v>
      </c>
      <c r="B268" s="20">
        <f t="shared" si="42"/>
        <v>12.0502</v>
      </c>
      <c r="C268" s="20">
        <f t="shared" si="44"/>
        <v>9.1945999999999994</v>
      </c>
      <c r="D268" s="20">
        <f t="shared" si="45"/>
        <v>13.2319</v>
      </c>
      <c r="E268" s="20">
        <f t="shared" si="46"/>
        <v>6.0819000000000001</v>
      </c>
      <c r="F268" s="20">
        <f t="shared" si="47"/>
        <v>15.745200000000001</v>
      </c>
      <c r="G268" s="20">
        <f t="shared" si="48"/>
        <v>10.9613</v>
      </c>
      <c r="H268" s="1239">
        <f t="shared" si="49"/>
        <v>10.9613</v>
      </c>
      <c r="I268" s="1243">
        <f t="shared" si="43"/>
        <v>9.9340406703584572E-2</v>
      </c>
      <c r="J268" s="1243">
        <f t="shared" si="50"/>
        <v>0.12093838824177333</v>
      </c>
      <c r="K268" s="1243">
        <f t="shared" si="51"/>
        <v>0.1</v>
      </c>
      <c r="L268" s="203"/>
      <c r="N268" s="1425">
        <v>44846</v>
      </c>
      <c r="O268" s="1502">
        <v>12.0502</v>
      </c>
      <c r="P268" s="1502">
        <v>4.6622000000000003</v>
      </c>
      <c r="Q268" s="1502">
        <v>12.279</v>
      </c>
      <c r="R268" s="1233">
        <f>'B. PE'!$U$23</f>
        <v>15.978235616082999</v>
      </c>
      <c r="S268" s="1233"/>
      <c r="T268" s="1233"/>
      <c r="V268" s="1425">
        <v>44846</v>
      </c>
      <c r="W268" s="1">
        <v>9.1945999999999994</v>
      </c>
      <c r="X268" s="1">
        <v>1.2862</v>
      </c>
      <c r="Y268" s="1">
        <v>7.1447000000000003</v>
      </c>
      <c r="Z268" s="1">
        <v>1.0187900000000001</v>
      </c>
      <c r="AB268" s="1425">
        <v>44834</v>
      </c>
      <c r="AC268" s="1">
        <v>6.7091000000000003</v>
      </c>
      <c r="AD268" s="1502">
        <v>1.0235000000000001</v>
      </c>
      <c r="AE268" s="1">
        <v>4.8920000000000003</v>
      </c>
      <c r="AF268" s="1">
        <v>2.853E-2</v>
      </c>
      <c r="AH268" s="1425">
        <v>44834</v>
      </c>
      <c r="AI268" s="1">
        <v>13.5801</v>
      </c>
      <c r="AJ268" s="1">
        <v>2.3895</v>
      </c>
      <c r="AK268" s="1">
        <v>6.9112999999999998</v>
      </c>
      <c r="AL268" s="1">
        <v>3.977E-2</v>
      </c>
      <c r="AN268" s="1425">
        <v>44834</v>
      </c>
      <c r="AO268" s="1">
        <v>6.2572999999999999</v>
      </c>
      <c r="AP268" s="1">
        <v>0.9496</v>
      </c>
      <c r="AQ268" s="1">
        <v>4.0708000000000002</v>
      </c>
      <c r="AR268" s="1">
        <v>0.23329</v>
      </c>
      <c r="AT268" s="1425">
        <v>44834</v>
      </c>
      <c r="AU268" s="1">
        <v>14.754099999999999</v>
      </c>
      <c r="AV268" s="1">
        <v>0.86980000000000002</v>
      </c>
      <c r="AW268" s="1">
        <v>8.8763000000000005</v>
      </c>
      <c r="AX268" s="1">
        <v>0.21601000000000001</v>
      </c>
      <c r="BA268" s="1425">
        <v>44834</v>
      </c>
      <c r="BB268" s="1">
        <v>11.6951</v>
      </c>
      <c r="BC268" s="1">
        <v>2.6223000000000001</v>
      </c>
      <c r="BD268" s="1">
        <v>12.113899999999999</v>
      </c>
      <c r="BE268" s="1">
        <v>0.68452000000000002</v>
      </c>
      <c r="BG268" s="1425">
        <v>44834</v>
      </c>
      <c r="BH268" s="1">
        <v>18.117799999999999</v>
      </c>
      <c r="BI268" s="1">
        <v>3.6514000000000002</v>
      </c>
      <c r="BJ268" s="1">
        <v>19.5444</v>
      </c>
      <c r="BT268" s="1425">
        <v>44846</v>
      </c>
      <c r="BU268" s="1">
        <v>16.407599999999999</v>
      </c>
      <c r="BV268" s="1">
        <v>3.6122999999999998</v>
      </c>
      <c r="BW268" s="1">
        <v>8.3902000000000001</v>
      </c>
      <c r="BX268" s="1">
        <v>2.3913000000000002</v>
      </c>
      <c r="BZ268" s="1425">
        <v>44846</v>
      </c>
      <c r="CA268" s="1">
        <v>14.689399999999999</v>
      </c>
      <c r="CB268" s="1">
        <v>4.3226000000000004</v>
      </c>
      <c r="CC268" s="1">
        <v>11.625400000000001</v>
      </c>
      <c r="CD268" s="1">
        <v>2.4727100000000002</v>
      </c>
      <c r="CF268" s="1425">
        <v>44845</v>
      </c>
      <c r="CG268" s="1">
        <v>4.1261999999999999</v>
      </c>
      <c r="CH268" s="1">
        <v>1.2036</v>
      </c>
      <c r="CL268" s="1425">
        <v>44851</v>
      </c>
      <c r="CM268" s="1">
        <v>19.191800000000001</v>
      </c>
      <c r="CN268" s="1">
        <v>2.6400999999999999</v>
      </c>
      <c r="CO268" s="1">
        <v>10.7356</v>
      </c>
    </row>
    <row r="269" spans="1:93">
      <c r="A269" s="1425">
        <v>44845</v>
      </c>
      <c r="B269" s="20">
        <f t="shared" si="42"/>
        <v>11.3536</v>
      </c>
      <c r="C269" s="20">
        <f t="shared" si="44"/>
        <v>9.1605000000000008</v>
      </c>
      <c r="D269" s="20">
        <f t="shared" si="45"/>
        <v>14.0443</v>
      </c>
      <c r="E269" s="20">
        <f t="shared" si="46"/>
        <v>6.1403999999999996</v>
      </c>
      <c r="F269" s="20">
        <f t="shared" si="47"/>
        <v>15.960900000000001</v>
      </c>
      <c r="G269" s="20">
        <f t="shared" si="48"/>
        <v>11.1447</v>
      </c>
      <c r="H269" s="1239">
        <f t="shared" si="49"/>
        <v>11.1447</v>
      </c>
      <c r="I269" s="1243">
        <f t="shared" si="43"/>
        <v>1.8744335872656892E-2</v>
      </c>
      <c r="J269" s="1243">
        <f t="shared" si="50"/>
        <v>0.12093838824177333</v>
      </c>
      <c r="K269" s="1243">
        <f t="shared" si="51"/>
        <v>0.1</v>
      </c>
      <c r="L269" s="203"/>
      <c r="N269" s="1425">
        <v>44845</v>
      </c>
      <c r="O269" s="1502">
        <v>11.3536</v>
      </c>
      <c r="P269" s="1502">
        <v>4.3926999999999996</v>
      </c>
      <c r="Q269" s="1502">
        <v>11.6525</v>
      </c>
      <c r="R269" s="1233">
        <f>'B. PE'!$U$23</f>
        <v>15.978235616082999</v>
      </c>
      <c r="S269" s="1233"/>
      <c r="T269" s="1233"/>
      <c r="V269" s="1425">
        <v>44845</v>
      </c>
      <c r="W269" s="1">
        <v>9.1605000000000008</v>
      </c>
      <c r="X269" s="1">
        <v>1.2814000000000001</v>
      </c>
      <c r="Y269" s="1">
        <v>7.1287000000000003</v>
      </c>
      <c r="Z269" s="1">
        <v>0.98160999999999998</v>
      </c>
      <c r="AB269" s="1425">
        <v>44833</v>
      </c>
      <c r="AC269" s="1">
        <v>7.0598000000000001</v>
      </c>
      <c r="AD269" s="1502">
        <v>1.0883</v>
      </c>
      <c r="AE269" s="1">
        <v>4.8301999999999996</v>
      </c>
      <c r="AF269" s="1">
        <v>2.9000000000000001E-2</v>
      </c>
      <c r="AH269" s="1425">
        <v>44833</v>
      </c>
      <c r="AI269" s="1">
        <v>13.1365</v>
      </c>
      <c r="AJ269" s="1">
        <v>2.4296000000000002</v>
      </c>
      <c r="AK269" s="1">
        <v>7.1769999999999996</v>
      </c>
      <c r="AL269" s="1">
        <v>4.0529999999999997E-2</v>
      </c>
      <c r="AN269" s="1425">
        <v>44833</v>
      </c>
      <c r="AO269" s="1">
        <v>6.75</v>
      </c>
      <c r="AP269" s="1">
        <v>0.99990000000000001</v>
      </c>
      <c r="AQ269" s="1">
        <v>4.2742000000000004</v>
      </c>
      <c r="AR269" s="1">
        <v>0.2351</v>
      </c>
      <c r="AT269" s="1425">
        <v>44833</v>
      </c>
      <c r="AU269" s="1">
        <v>14.2857</v>
      </c>
      <c r="AV269" s="1">
        <v>0.90959999999999996</v>
      </c>
      <c r="AW269" s="1">
        <v>8.8435000000000006</v>
      </c>
      <c r="AX269" s="1">
        <v>0.22216</v>
      </c>
      <c r="BA269" s="1425">
        <v>44833</v>
      </c>
      <c r="BB269" s="1">
        <v>11.3918</v>
      </c>
      <c r="BC269" s="1">
        <v>2.8010000000000002</v>
      </c>
      <c r="BD269" s="1">
        <v>11.7517</v>
      </c>
      <c r="BE269" s="1">
        <v>0.71087999999999996</v>
      </c>
      <c r="BG269" s="1425">
        <v>44833</v>
      </c>
      <c r="BH269" s="1">
        <v>13.741400000000001</v>
      </c>
      <c r="BI269" s="1">
        <v>3.7523</v>
      </c>
      <c r="BJ269" s="1">
        <v>20.287700000000001</v>
      </c>
      <c r="BT269" s="1425">
        <v>44845</v>
      </c>
      <c r="BU269" s="1">
        <v>15.808400000000001</v>
      </c>
      <c r="BV269" s="1">
        <v>3.4803999999999999</v>
      </c>
      <c r="BW269" s="1">
        <v>8.1071000000000009</v>
      </c>
      <c r="BX269" s="1">
        <v>2.2610999999999999</v>
      </c>
      <c r="BZ269" s="1425">
        <v>44845</v>
      </c>
      <c r="CA269" s="1">
        <v>13.744999999999999</v>
      </c>
      <c r="CB269" s="1">
        <v>4.0446999999999997</v>
      </c>
      <c r="CC269" s="1">
        <v>11.057</v>
      </c>
      <c r="CD269" s="1">
        <v>2.31209</v>
      </c>
      <c r="CF269" s="1425">
        <v>44844</v>
      </c>
      <c r="CG269" s="1">
        <v>4.2840999999999996</v>
      </c>
      <c r="CH269" s="1">
        <v>1.2497</v>
      </c>
      <c r="CL269" s="1425">
        <v>44848</v>
      </c>
      <c r="CM269" s="1">
        <v>18.938400000000001</v>
      </c>
      <c r="CN269" s="1">
        <v>2.6052</v>
      </c>
      <c r="CO269" s="1">
        <v>10.5954</v>
      </c>
    </row>
    <row r="270" spans="1:93">
      <c r="A270" s="1425">
        <v>44844</v>
      </c>
      <c r="B270" s="20">
        <f t="shared" si="42"/>
        <v>11.3536</v>
      </c>
      <c r="C270" s="20">
        <f t="shared" si="44"/>
        <v>9.8415999999999997</v>
      </c>
      <c r="D270" s="20">
        <f t="shared" si="45"/>
        <v>14.160399999999999</v>
      </c>
      <c r="E270" s="20">
        <f t="shared" si="46"/>
        <v>6.1403999999999996</v>
      </c>
      <c r="F270" s="20">
        <f t="shared" si="47"/>
        <v>16.176600000000001</v>
      </c>
      <c r="G270" s="20">
        <f t="shared" si="48"/>
        <v>11.282299999999999</v>
      </c>
      <c r="H270" s="1239">
        <f t="shared" si="49"/>
        <v>11.282299999999999</v>
      </c>
      <c r="I270" s="1243">
        <f t="shared" si="43"/>
        <v>6.3196334080817262E-3</v>
      </c>
      <c r="J270" s="1243">
        <f t="shared" si="50"/>
        <v>0.12093838824177333</v>
      </c>
      <c r="K270" s="1243">
        <f t="shared" si="51"/>
        <v>0.1</v>
      </c>
      <c r="L270" s="203"/>
      <c r="N270" s="1425">
        <v>44844</v>
      </c>
      <c r="O270" s="1502">
        <v>11.3536</v>
      </c>
      <c r="P270" s="1502">
        <v>4.3926999999999996</v>
      </c>
      <c r="Q270" s="1502">
        <v>11.6525</v>
      </c>
      <c r="R270" s="1233">
        <f>'B. PE'!$U$23</f>
        <v>15.978235616082999</v>
      </c>
      <c r="S270" s="1233"/>
      <c r="T270" s="1233"/>
      <c r="V270" s="1425">
        <v>44844</v>
      </c>
      <c r="W270" s="1">
        <v>9.8415999999999997</v>
      </c>
      <c r="X270" s="1">
        <v>1.3767</v>
      </c>
      <c r="Y270" s="1">
        <v>7.4481999999999999</v>
      </c>
      <c r="Z270" s="1">
        <v>1.0553699999999999</v>
      </c>
      <c r="AB270" s="1425">
        <v>44832</v>
      </c>
      <c r="AC270" s="1">
        <v>7.1254999999999997</v>
      </c>
      <c r="AD270" s="1502">
        <v>1.0984</v>
      </c>
      <c r="AE270" s="1">
        <v>4.8605999999999998</v>
      </c>
      <c r="AF270" s="1">
        <v>2.9360000000000001E-2</v>
      </c>
      <c r="AH270" s="1425">
        <v>44832</v>
      </c>
      <c r="AI270" s="1">
        <v>13.821899999999999</v>
      </c>
      <c r="AJ270" s="1">
        <v>2.5564</v>
      </c>
      <c r="AK270" s="1">
        <v>7.5307000000000004</v>
      </c>
      <c r="AL270" s="1">
        <v>4.0149999999999998E-2</v>
      </c>
      <c r="AN270" s="1425">
        <v>44832</v>
      </c>
      <c r="AO270" s="1">
        <v>6.75</v>
      </c>
      <c r="AP270" s="1">
        <v>0.99990000000000001</v>
      </c>
      <c r="AQ270" s="1">
        <v>4.2742000000000004</v>
      </c>
      <c r="AR270" s="1">
        <v>0.23682</v>
      </c>
      <c r="AT270" s="1425">
        <v>44832</v>
      </c>
      <c r="AU270" s="1">
        <v>14.2857</v>
      </c>
      <c r="AV270" s="1">
        <v>0.90959999999999996</v>
      </c>
      <c r="AW270" s="1">
        <v>8.8435000000000006</v>
      </c>
      <c r="AX270" s="1">
        <v>0.21944</v>
      </c>
      <c r="BA270" s="1425">
        <v>44832</v>
      </c>
      <c r="BB270" s="1">
        <v>11.5024</v>
      </c>
      <c r="BC270" s="1">
        <v>2.8281000000000001</v>
      </c>
      <c r="BD270" s="1">
        <v>11.834199999999999</v>
      </c>
      <c r="BE270" s="1">
        <v>0.74458000000000002</v>
      </c>
      <c r="BG270" s="1425">
        <v>44832</v>
      </c>
      <c r="BH270" s="1">
        <v>14.1456</v>
      </c>
      <c r="BI270" s="1">
        <v>3.8626999999999998</v>
      </c>
      <c r="BJ270" s="1">
        <v>20.7424</v>
      </c>
      <c r="BT270" s="1425">
        <v>44844</v>
      </c>
      <c r="BU270" s="1">
        <v>16.293500000000002</v>
      </c>
      <c r="BV270" s="1">
        <v>3.5872000000000002</v>
      </c>
      <c r="BW270" s="1">
        <v>8.3362999999999996</v>
      </c>
      <c r="BX270" s="1">
        <v>2.4321000000000002</v>
      </c>
      <c r="BZ270" s="1425">
        <v>44844</v>
      </c>
      <c r="CA270" s="1">
        <v>14.248699999999999</v>
      </c>
      <c r="CB270" s="1">
        <v>4.1928999999999998</v>
      </c>
      <c r="CC270" s="1">
        <v>11.360099999999999</v>
      </c>
      <c r="CD270" s="1">
        <v>2.4430100000000001</v>
      </c>
      <c r="CF270" s="1425">
        <v>44841</v>
      </c>
      <c r="CG270" s="1">
        <v>4.1459000000000001</v>
      </c>
      <c r="CH270" s="1">
        <v>1.2094</v>
      </c>
      <c r="CL270" s="1425">
        <v>44847</v>
      </c>
      <c r="CM270" s="1">
        <v>18.805</v>
      </c>
      <c r="CN270" s="1">
        <v>2.5869</v>
      </c>
      <c r="CO270" s="1">
        <v>10.521599999999999</v>
      </c>
    </row>
    <row r="271" spans="1:93">
      <c r="A271" s="1425">
        <v>44841</v>
      </c>
      <c r="B271" s="20">
        <f t="shared" si="42"/>
        <v>10.619199999999999</v>
      </c>
      <c r="C271" s="20">
        <f t="shared" si="44"/>
        <v>9.484</v>
      </c>
      <c r="D271" s="20">
        <f t="shared" si="45"/>
        <v>14.2765</v>
      </c>
      <c r="E271" s="20">
        <f t="shared" si="46"/>
        <v>6.3742999999999999</v>
      </c>
      <c r="F271" s="20">
        <f t="shared" si="47"/>
        <v>16.608000000000001</v>
      </c>
      <c r="G271" s="20">
        <f t="shared" si="48"/>
        <v>11.4658</v>
      </c>
      <c r="H271" s="1239">
        <f t="shared" si="49"/>
        <v>11.4658</v>
      </c>
      <c r="I271" s="1243">
        <f t="shared" si="43"/>
        <v>-7.3836976050515535E-2</v>
      </c>
      <c r="J271" s="1243">
        <f t="shared" si="50"/>
        <v>0.12093838824177333</v>
      </c>
      <c r="K271" s="1243">
        <f t="shared" si="51"/>
        <v>0.1</v>
      </c>
      <c r="L271" s="203"/>
      <c r="N271" s="1425">
        <v>44841</v>
      </c>
      <c r="O271" s="1502">
        <v>10.619199999999999</v>
      </c>
      <c r="P271" s="1502">
        <v>4.1086</v>
      </c>
      <c r="Q271" s="1502">
        <v>10.992000000000001</v>
      </c>
      <c r="R271" s="1233">
        <f>'B. PE'!$U$23</f>
        <v>15.978235616082999</v>
      </c>
      <c r="S271" s="1233"/>
      <c r="T271" s="1233"/>
      <c r="V271" s="1425">
        <v>44841</v>
      </c>
      <c r="W271" s="1">
        <v>9.484</v>
      </c>
      <c r="X271" s="1">
        <v>1.3267</v>
      </c>
      <c r="Y271" s="1">
        <v>7.2805</v>
      </c>
      <c r="Z271" s="1">
        <v>1.0966199999999999</v>
      </c>
      <c r="AB271" s="1425">
        <v>44831</v>
      </c>
      <c r="AC271" s="1">
        <v>7.2240000000000002</v>
      </c>
      <c r="AD271" s="1502">
        <v>1.1135999999999999</v>
      </c>
      <c r="AE271" s="1">
        <v>4.9062999999999999</v>
      </c>
      <c r="AF271" s="1">
        <v>3.006E-2</v>
      </c>
      <c r="AH271" s="1425">
        <v>44831</v>
      </c>
      <c r="AI271" s="1">
        <v>14.0503</v>
      </c>
      <c r="AJ271" s="1">
        <v>2.5985999999999998</v>
      </c>
      <c r="AK271" s="1">
        <v>7.6486000000000001</v>
      </c>
      <c r="AL271" s="1">
        <v>4.1050000000000003E-2</v>
      </c>
      <c r="AN271" s="1425">
        <v>44831</v>
      </c>
      <c r="AO271" s="1">
        <v>6.8125</v>
      </c>
      <c r="AP271" s="1">
        <v>1.0092000000000001</v>
      </c>
      <c r="AQ271" s="1">
        <v>4.3207000000000004</v>
      </c>
      <c r="AR271" s="1">
        <v>0.23154</v>
      </c>
      <c r="AT271" s="1425">
        <v>44831</v>
      </c>
      <c r="AU271" s="1">
        <v>14.7143</v>
      </c>
      <c r="AV271" s="1">
        <v>0.93689999999999996</v>
      </c>
      <c r="AW271" s="1">
        <v>9.0854999999999997</v>
      </c>
      <c r="AX271" s="1">
        <v>0.22717000000000001</v>
      </c>
      <c r="BA271" s="1425">
        <v>44831</v>
      </c>
      <c r="BB271" s="1">
        <v>11.944800000000001</v>
      </c>
      <c r="BC271" s="1">
        <v>2.9369000000000001</v>
      </c>
      <c r="BD271" s="1">
        <v>12.1638</v>
      </c>
      <c r="BE271" s="1">
        <v>0.76502999999999999</v>
      </c>
      <c r="BG271" s="1425">
        <v>44831</v>
      </c>
      <c r="BH271" s="1">
        <v>14.3881</v>
      </c>
      <c r="BI271" s="1">
        <v>3.9289000000000001</v>
      </c>
      <c r="BJ271" s="1">
        <v>21.0152</v>
      </c>
      <c r="BT271" s="1425">
        <v>44841</v>
      </c>
      <c r="BU271" s="1">
        <v>15.408899999999999</v>
      </c>
      <c r="BV271" s="1">
        <v>3.3923999999999999</v>
      </c>
      <c r="BW271" s="1">
        <v>7.9183000000000003</v>
      </c>
      <c r="BX271" s="1">
        <v>2.6055999999999999</v>
      </c>
      <c r="BZ271" s="1425">
        <v>44841</v>
      </c>
      <c r="CA271" s="1">
        <v>13.3253</v>
      </c>
      <c r="CB271" s="1">
        <v>3.9211999999999998</v>
      </c>
      <c r="CC271" s="1">
        <v>10.804399999999999</v>
      </c>
      <c r="CD271" s="1">
        <v>2.5862599999999998</v>
      </c>
      <c r="CF271" s="1425">
        <v>44840</v>
      </c>
      <c r="CG271" s="1">
        <v>4.2446000000000002</v>
      </c>
      <c r="CH271" s="1">
        <v>1.2382</v>
      </c>
      <c r="CL271" s="1425">
        <v>44846</v>
      </c>
      <c r="CM271" s="1">
        <v>18.7517</v>
      </c>
      <c r="CN271" s="1">
        <v>2.5796000000000001</v>
      </c>
      <c r="CO271" s="1">
        <v>10.492100000000001</v>
      </c>
    </row>
    <row r="272" spans="1:93">
      <c r="A272" s="1425">
        <v>44840</v>
      </c>
      <c r="B272" s="20">
        <f t="shared" si="42"/>
        <v>11.0335</v>
      </c>
      <c r="C272" s="20">
        <f t="shared" si="44"/>
        <v>10.1822</v>
      </c>
      <c r="D272" s="20">
        <f t="shared" si="45"/>
        <v>14.3925</v>
      </c>
      <c r="E272" s="20">
        <f t="shared" si="46"/>
        <v>6.4326999999999996</v>
      </c>
      <c r="F272" s="20">
        <f t="shared" si="47"/>
        <v>17.039300000000001</v>
      </c>
      <c r="G272" s="20">
        <f t="shared" si="48"/>
        <v>12.039099999999999</v>
      </c>
      <c r="H272" s="1239">
        <f t="shared" si="49"/>
        <v>12.039099999999999</v>
      </c>
      <c r="I272" s="1243">
        <f t="shared" si="43"/>
        <v>-8.3527838459685477E-2</v>
      </c>
      <c r="J272" s="1243">
        <f t="shared" si="50"/>
        <v>0.12093838824177333</v>
      </c>
      <c r="K272" s="1243">
        <f t="shared" si="51"/>
        <v>0.1</v>
      </c>
      <c r="L272" s="203"/>
      <c r="N272" s="1425">
        <v>44840</v>
      </c>
      <c r="O272" s="1502">
        <v>11.0335</v>
      </c>
      <c r="P272" s="1502">
        <v>4.2687999999999997</v>
      </c>
      <c r="Q272" s="1502">
        <v>11.364599999999999</v>
      </c>
      <c r="R272" s="1233">
        <f>'B. PE'!$U$23</f>
        <v>15.978235616082999</v>
      </c>
      <c r="S272" s="1233"/>
      <c r="T272" s="1233"/>
      <c r="V272" s="1425">
        <v>44840</v>
      </c>
      <c r="W272" s="1">
        <v>10.1822</v>
      </c>
      <c r="X272" s="1">
        <v>1.4242999999999999</v>
      </c>
      <c r="Y272" s="1">
        <v>7.6079999999999997</v>
      </c>
      <c r="Z272" s="1">
        <v>1.03284</v>
      </c>
      <c r="AB272" s="1425">
        <v>44830</v>
      </c>
      <c r="AC272" s="1">
        <v>7.3224999999999998</v>
      </c>
      <c r="AD272" s="1502">
        <v>1.1288</v>
      </c>
      <c r="AE272" s="1">
        <v>4.9519000000000002</v>
      </c>
      <c r="AF272" s="1">
        <v>3.0360000000000002E-2</v>
      </c>
      <c r="AH272" s="1425">
        <v>44830</v>
      </c>
      <c r="AI272" s="1">
        <v>13.9361</v>
      </c>
      <c r="AJ272" s="1">
        <v>2.5775000000000001</v>
      </c>
      <c r="AK272" s="1">
        <v>7.5896999999999997</v>
      </c>
      <c r="AL272" s="1">
        <v>4.1939999999999998E-2</v>
      </c>
      <c r="AN272" s="1425">
        <v>44830</v>
      </c>
      <c r="AO272" s="1">
        <v>6.8125</v>
      </c>
      <c r="AP272" s="1">
        <v>1.0092000000000001</v>
      </c>
      <c r="AQ272" s="1">
        <v>4.3207000000000004</v>
      </c>
      <c r="AR272" s="1">
        <v>0.23648</v>
      </c>
      <c r="AT272" s="1425">
        <v>44830</v>
      </c>
      <c r="AU272" s="1">
        <v>14.428599999999999</v>
      </c>
      <c r="AV272" s="1">
        <v>0.91869999999999996</v>
      </c>
      <c r="AW272" s="1">
        <v>8.9242000000000008</v>
      </c>
      <c r="AX272" s="1">
        <v>0.22992000000000001</v>
      </c>
      <c r="BA272" s="1425">
        <v>44830</v>
      </c>
      <c r="BB272" s="1">
        <v>12.4978</v>
      </c>
      <c r="BC272" s="1">
        <v>3.0729000000000002</v>
      </c>
      <c r="BD272" s="1">
        <v>12.575900000000001</v>
      </c>
      <c r="BE272" s="1">
        <v>0.81623000000000001</v>
      </c>
      <c r="BG272" s="1425">
        <v>44830</v>
      </c>
      <c r="BH272" s="1">
        <v>14.792299999999999</v>
      </c>
      <c r="BI272" s="1">
        <v>4.0392999999999999</v>
      </c>
      <c r="BJ272" s="1">
        <v>21.469899999999999</v>
      </c>
      <c r="BT272" s="1425">
        <v>44840</v>
      </c>
      <c r="BU272" s="1">
        <v>16.5503</v>
      </c>
      <c r="BV272" s="1">
        <v>3.6436999999999999</v>
      </c>
      <c r="BW272" s="1">
        <v>8.4575999999999993</v>
      </c>
      <c r="BX272" s="1">
        <v>2.5545</v>
      </c>
      <c r="BZ272" s="1425">
        <v>44840</v>
      </c>
      <c r="CA272" s="1">
        <v>14.059799999999999</v>
      </c>
      <c r="CB272" s="1">
        <v>4.1374000000000004</v>
      </c>
      <c r="CC272" s="1">
        <v>11.246499999999999</v>
      </c>
      <c r="CD272" s="1">
        <v>2.4398399999999998</v>
      </c>
      <c r="CF272" s="1425">
        <v>44839</v>
      </c>
      <c r="CG272" s="1">
        <v>4.4618000000000002</v>
      </c>
      <c r="CH272" s="1">
        <v>1.3015000000000001</v>
      </c>
      <c r="CL272" s="1425">
        <v>44845</v>
      </c>
      <c r="CM272" s="1">
        <v>18.738299999999999</v>
      </c>
      <c r="CN272" s="1">
        <v>2.5777000000000001</v>
      </c>
      <c r="CO272" s="1">
        <v>10.4847</v>
      </c>
    </row>
    <row r="273" spans="1:93">
      <c r="A273" s="1425">
        <v>44839</v>
      </c>
      <c r="B273" s="20">
        <f t="shared" si="42"/>
        <v>11.4854</v>
      </c>
      <c r="C273" s="20">
        <f t="shared" si="44"/>
        <v>10.5908</v>
      </c>
      <c r="D273" s="20">
        <f t="shared" si="45"/>
        <v>14.3925</v>
      </c>
      <c r="E273" s="20">
        <f t="shared" si="46"/>
        <v>6.4326999999999996</v>
      </c>
      <c r="F273" s="20">
        <f t="shared" si="47"/>
        <v>16.5001</v>
      </c>
      <c r="G273" s="20">
        <f t="shared" si="48"/>
        <v>11.9244</v>
      </c>
      <c r="H273" s="1239">
        <f t="shared" si="49"/>
        <v>11.9244</v>
      </c>
      <c r="I273" s="1243">
        <f t="shared" si="43"/>
        <v>-3.6815269531381034E-2</v>
      </c>
      <c r="J273" s="1243">
        <f t="shared" si="50"/>
        <v>0.12093838824177333</v>
      </c>
      <c r="K273" s="1243">
        <f t="shared" si="51"/>
        <v>0.1</v>
      </c>
      <c r="L273" s="203"/>
      <c r="N273" s="1425">
        <v>44839</v>
      </c>
      <c r="O273" s="1502">
        <v>11.4854</v>
      </c>
      <c r="P273" s="1502">
        <v>4.4436999999999998</v>
      </c>
      <c r="Q273" s="1502">
        <v>11.771000000000001</v>
      </c>
      <c r="R273" s="1233">
        <f>'B. PE'!$U$23</f>
        <v>15.978235616082999</v>
      </c>
      <c r="S273" s="1233"/>
      <c r="T273" s="1233"/>
      <c r="V273" s="1425">
        <v>44839</v>
      </c>
      <c r="W273" s="1">
        <v>10.5908</v>
      </c>
      <c r="X273" s="1">
        <v>1.4815</v>
      </c>
      <c r="Y273" s="1">
        <v>7.7996999999999996</v>
      </c>
      <c r="Z273" s="1">
        <v>1.0627599999999999</v>
      </c>
      <c r="AB273" s="1425">
        <v>44827</v>
      </c>
      <c r="AC273" s="1">
        <v>7.4539</v>
      </c>
      <c r="AD273" s="1502">
        <v>1.149</v>
      </c>
      <c r="AE273" s="1">
        <v>5.0126999999999997</v>
      </c>
      <c r="AF273" s="1">
        <v>3.075E-2</v>
      </c>
      <c r="AH273" s="1425">
        <v>44827</v>
      </c>
      <c r="AI273" s="1">
        <v>14.1646</v>
      </c>
      <c r="AJ273" s="1">
        <v>2.6198000000000001</v>
      </c>
      <c r="AK273" s="1">
        <v>7.7076000000000002</v>
      </c>
      <c r="AL273" s="1">
        <v>4.0930000000000001E-2</v>
      </c>
      <c r="AN273" s="1425">
        <v>44827</v>
      </c>
      <c r="AO273" s="1">
        <v>6.625</v>
      </c>
      <c r="AP273" s="1">
        <v>0.98140000000000005</v>
      </c>
      <c r="AQ273" s="1">
        <v>4.1813000000000002</v>
      </c>
      <c r="AR273" s="1">
        <v>0.23721999999999999</v>
      </c>
      <c r="AT273" s="1425">
        <v>44827</v>
      </c>
      <c r="AU273" s="1">
        <v>14.857100000000001</v>
      </c>
      <c r="AV273" s="1">
        <v>0.94599999999999995</v>
      </c>
      <c r="AW273" s="1">
        <v>9.1661000000000001</v>
      </c>
      <c r="AX273" s="1">
        <v>0.22842999999999999</v>
      </c>
      <c r="BA273" s="1425">
        <v>44827</v>
      </c>
      <c r="BB273" s="1">
        <v>12.718999999999999</v>
      </c>
      <c r="BC273" s="1">
        <v>3.1273</v>
      </c>
      <c r="BD273" s="1">
        <v>12.7407</v>
      </c>
      <c r="BE273" s="1">
        <v>0.82077999999999995</v>
      </c>
      <c r="BG273" s="1425">
        <v>44827</v>
      </c>
      <c r="BH273" s="1">
        <v>15.3581</v>
      </c>
      <c r="BI273" s="1">
        <v>4.1938000000000004</v>
      </c>
      <c r="BJ273" s="1">
        <v>22.1065</v>
      </c>
      <c r="BT273" s="1425">
        <v>44839</v>
      </c>
      <c r="BU273" s="1">
        <v>17.748799999999999</v>
      </c>
      <c r="BV273" s="1">
        <v>3.9076</v>
      </c>
      <c r="BW273" s="1">
        <v>9.0237999999999996</v>
      </c>
      <c r="BX273" s="1">
        <v>2.4958</v>
      </c>
      <c r="BZ273" s="1425">
        <v>44839</v>
      </c>
      <c r="CA273" s="1">
        <v>14.8992</v>
      </c>
      <c r="CB273" s="1">
        <v>4.3844000000000003</v>
      </c>
      <c r="CC273" s="1">
        <v>11.7517</v>
      </c>
      <c r="CD273" s="1">
        <v>2.4834299999999998</v>
      </c>
      <c r="CF273" s="1425">
        <v>44838</v>
      </c>
      <c r="CG273" s="1">
        <v>4.3235999999999999</v>
      </c>
      <c r="CH273" s="1">
        <v>1.2612000000000001</v>
      </c>
      <c r="CL273" s="1425">
        <v>44844</v>
      </c>
      <c r="CM273" s="1">
        <v>18.7517</v>
      </c>
      <c r="CN273" s="1">
        <v>2.5796000000000001</v>
      </c>
      <c r="CO273" s="1">
        <v>10.492100000000001</v>
      </c>
    </row>
    <row r="274" spans="1:93">
      <c r="A274" s="1425">
        <v>44838</v>
      </c>
      <c r="B274" s="20">
        <f t="shared" si="42"/>
        <v>10.750999999999999</v>
      </c>
      <c r="C274" s="20">
        <f t="shared" si="44"/>
        <v>9.9778000000000002</v>
      </c>
      <c r="D274" s="20">
        <f t="shared" si="45"/>
        <v>14.3925</v>
      </c>
      <c r="E274" s="20">
        <f t="shared" si="46"/>
        <v>6.2572999999999999</v>
      </c>
      <c r="F274" s="20">
        <f t="shared" si="47"/>
        <v>17.147200000000002</v>
      </c>
      <c r="G274" s="20">
        <f t="shared" si="48"/>
        <v>11.580399999999999</v>
      </c>
      <c r="H274" s="1239">
        <f t="shared" si="49"/>
        <v>11.580399999999999</v>
      </c>
      <c r="I274" s="1243">
        <f t="shared" si="43"/>
        <v>-7.1621014818140982E-2</v>
      </c>
      <c r="J274" s="1243">
        <f t="shared" si="50"/>
        <v>0.12093838824177333</v>
      </c>
      <c r="K274" s="1243">
        <f t="shared" si="51"/>
        <v>0.1</v>
      </c>
      <c r="L274" s="203"/>
      <c r="N274" s="1425">
        <v>44838</v>
      </c>
      <c r="O274" s="1502">
        <v>10.750999999999999</v>
      </c>
      <c r="P274" s="1502">
        <v>4.1596000000000002</v>
      </c>
      <c r="Q274" s="1502">
        <v>11.1106</v>
      </c>
      <c r="R274" s="1233">
        <f>'B. PE'!$U$23</f>
        <v>15.978235616082999</v>
      </c>
      <c r="S274" s="1233"/>
      <c r="T274" s="1233"/>
      <c r="V274" s="1425">
        <v>44838</v>
      </c>
      <c r="W274" s="1">
        <v>9.9778000000000002</v>
      </c>
      <c r="X274" s="1">
        <v>1.3956999999999999</v>
      </c>
      <c r="Y274" s="1">
        <v>7.5121000000000002</v>
      </c>
      <c r="Z274" s="1">
        <v>1.1429800000000001</v>
      </c>
      <c r="AB274" s="1425">
        <v>44826</v>
      </c>
      <c r="AC274" s="1">
        <v>7.4866999999999999</v>
      </c>
      <c r="AD274" s="1502">
        <v>1.1540999999999999</v>
      </c>
      <c r="AE274" s="1">
        <v>5.0279999999999996</v>
      </c>
      <c r="AF274" s="1">
        <v>3.1019999999999999E-2</v>
      </c>
      <c r="AH274" s="1425">
        <v>44826</v>
      </c>
      <c r="AI274" s="1">
        <v>14.393000000000001</v>
      </c>
      <c r="AJ274" s="1">
        <v>2.6619999999999999</v>
      </c>
      <c r="AK274" s="1">
        <v>7.8254000000000001</v>
      </c>
      <c r="AL274" s="1">
        <v>4.1939999999999998E-2</v>
      </c>
      <c r="AN274" s="1425">
        <v>44826</v>
      </c>
      <c r="AO274" s="1">
        <v>6.75</v>
      </c>
      <c r="AP274" s="1">
        <v>0.99990000000000001</v>
      </c>
      <c r="AQ274" s="1">
        <v>4.2742000000000004</v>
      </c>
      <c r="AR274" s="1">
        <v>0.23476</v>
      </c>
      <c r="AT274" s="1425">
        <v>44826</v>
      </c>
      <c r="AU274" s="1">
        <v>15</v>
      </c>
      <c r="AV274" s="1">
        <v>0.95499999999999996</v>
      </c>
      <c r="AW274" s="1">
        <v>9.2468000000000004</v>
      </c>
      <c r="AX274" s="1">
        <v>0.24573</v>
      </c>
      <c r="BA274" s="1425">
        <v>44826</v>
      </c>
      <c r="BB274" s="1">
        <v>13.4932</v>
      </c>
      <c r="BC274" s="1">
        <v>3.3176000000000001</v>
      </c>
      <c r="BD274" s="1">
        <v>13.317600000000001</v>
      </c>
      <c r="BE274" s="1">
        <v>0.82979999999999998</v>
      </c>
      <c r="BG274" s="1425">
        <v>44826</v>
      </c>
      <c r="BH274" s="1">
        <v>16.0047</v>
      </c>
      <c r="BI274" s="1">
        <v>4.3703000000000003</v>
      </c>
      <c r="BJ274" s="1">
        <v>22.834099999999999</v>
      </c>
      <c r="BT274" s="1425">
        <v>44838</v>
      </c>
      <c r="BU274" s="1">
        <v>17.406400000000001</v>
      </c>
      <c r="BV274" s="1">
        <v>3.8321999999999998</v>
      </c>
      <c r="BW274" s="1">
        <v>8.8620999999999999</v>
      </c>
      <c r="BX274" s="1">
        <v>2.6821999999999999</v>
      </c>
      <c r="BZ274" s="1425">
        <v>44838</v>
      </c>
      <c r="CA274" s="1">
        <v>14.059799999999999</v>
      </c>
      <c r="CB274" s="1">
        <v>4.1374000000000004</v>
      </c>
      <c r="CC274" s="1">
        <v>11.246499999999999</v>
      </c>
      <c r="CD274" s="1">
        <v>2.6712699999999998</v>
      </c>
      <c r="CF274" s="1425">
        <v>44837</v>
      </c>
      <c r="CG274" s="1">
        <v>4.1459000000000001</v>
      </c>
      <c r="CH274" s="1">
        <v>1.2094</v>
      </c>
      <c r="CL274" s="1425">
        <v>44841</v>
      </c>
      <c r="CM274" s="1">
        <v>18.6983</v>
      </c>
      <c r="CN274" s="1">
        <v>2.5722</v>
      </c>
      <c r="CO274" s="1">
        <v>10.4626</v>
      </c>
    </row>
    <row r="275" spans="1:93">
      <c r="A275" s="1425">
        <v>44837</v>
      </c>
      <c r="B275" s="20">
        <f t="shared" si="42"/>
        <v>11.2782</v>
      </c>
      <c r="C275" s="20">
        <f t="shared" si="44"/>
        <v>10.267300000000001</v>
      </c>
      <c r="D275" s="20">
        <f t="shared" si="45"/>
        <v>13.812200000000001</v>
      </c>
      <c r="E275" s="20">
        <f t="shared" si="46"/>
        <v>6.2572999999999999</v>
      </c>
      <c r="F275" s="20">
        <f t="shared" si="47"/>
        <v>17.147200000000002</v>
      </c>
      <c r="G275" s="20">
        <f t="shared" si="48"/>
        <v>11.282299999999999</v>
      </c>
      <c r="H275" s="1239">
        <f t="shared" si="49"/>
        <v>11.282299999999999</v>
      </c>
      <c r="I275" s="1243">
        <f t="shared" si="43"/>
        <v>-3.6340107956700507E-4</v>
      </c>
      <c r="J275" s="1243">
        <f t="shared" si="50"/>
        <v>0.12093838824177333</v>
      </c>
      <c r="K275" s="1243">
        <f t="shared" si="51"/>
        <v>0.1</v>
      </c>
      <c r="L275" s="203"/>
      <c r="N275" s="1425">
        <v>44837</v>
      </c>
      <c r="O275" s="1502">
        <v>11.2782</v>
      </c>
      <c r="P275" s="1502">
        <v>4.3635000000000002</v>
      </c>
      <c r="Q275" s="1502">
        <v>11.5847</v>
      </c>
      <c r="R275" s="1233">
        <f>'B. PE'!$U$23</f>
        <v>15.978235616082999</v>
      </c>
      <c r="S275" s="1233"/>
      <c r="T275" s="1233"/>
      <c r="V275" s="1425">
        <v>44837</v>
      </c>
      <c r="W275" s="1">
        <v>10.267300000000001</v>
      </c>
      <c r="X275" s="1">
        <v>1.4361999999999999</v>
      </c>
      <c r="Y275" s="1">
        <v>7.6478999999999999</v>
      </c>
      <c r="Z275" s="1">
        <v>1.10924</v>
      </c>
      <c r="AB275" s="1425">
        <v>44825</v>
      </c>
      <c r="AC275" s="1">
        <v>7.5852000000000004</v>
      </c>
      <c r="AD275" s="1502">
        <v>1.1693</v>
      </c>
      <c r="AE275" s="1">
        <v>5.0735999999999999</v>
      </c>
      <c r="AF275" s="1">
        <v>3.0679999999999999E-2</v>
      </c>
      <c r="AH275" s="1425">
        <v>44825</v>
      </c>
      <c r="AI275" s="1">
        <v>14.0503</v>
      </c>
      <c r="AJ275" s="1">
        <v>2.5985999999999998</v>
      </c>
      <c r="AK275" s="1">
        <v>7.6486000000000001</v>
      </c>
      <c r="AL275" s="1">
        <v>4.2680000000000003E-2</v>
      </c>
      <c r="AN275" s="1425">
        <v>44825</v>
      </c>
      <c r="AO275" s="1">
        <v>6.75</v>
      </c>
      <c r="AP275" s="1">
        <v>0.99990000000000001</v>
      </c>
      <c r="AQ275" s="1">
        <v>4.2742000000000004</v>
      </c>
      <c r="AR275" s="1">
        <v>0.23078000000000001</v>
      </c>
      <c r="AT275" s="1425">
        <v>44825</v>
      </c>
      <c r="AU275" s="1">
        <v>14.857100000000001</v>
      </c>
      <c r="AV275" s="1">
        <v>0.94599999999999995</v>
      </c>
      <c r="AW275" s="1">
        <v>9.1661000000000001</v>
      </c>
      <c r="AX275" s="1">
        <v>0.24837000000000001</v>
      </c>
      <c r="BA275" s="1425">
        <v>44825</v>
      </c>
      <c r="BB275" s="1">
        <v>13.4932</v>
      </c>
      <c r="BC275" s="1">
        <v>3.3176000000000001</v>
      </c>
      <c r="BD275" s="1">
        <v>13.317600000000001</v>
      </c>
      <c r="BE275" s="1">
        <v>0.83250000000000002</v>
      </c>
      <c r="BG275" s="1425">
        <v>44825</v>
      </c>
      <c r="BH275" s="1">
        <v>16.166399999999999</v>
      </c>
      <c r="BI275" s="1">
        <v>4.4145000000000003</v>
      </c>
      <c r="BJ275" s="1">
        <v>23.015899999999998</v>
      </c>
      <c r="BT275" s="1425">
        <v>44837</v>
      </c>
      <c r="BU275" s="1">
        <v>17.006900000000002</v>
      </c>
      <c r="BV275" s="1">
        <v>3.7443</v>
      </c>
      <c r="BW275" s="1">
        <v>8.6732999999999993</v>
      </c>
      <c r="BX275" s="1">
        <v>2.6859000000000002</v>
      </c>
      <c r="BZ275" s="1425">
        <v>44837</v>
      </c>
      <c r="CA275" s="1">
        <v>14.3116</v>
      </c>
      <c r="CB275" s="1">
        <v>4.2115</v>
      </c>
      <c r="CC275" s="1">
        <v>11.398</v>
      </c>
      <c r="CD275" s="1">
        <v>2.5910299999999999</v>
      </c>
      <c r="CF275" s="1425">
        <v>44834</v>
      </c>
      <c r="CG275" s="1">
        <v>4.4420999999999999</v>
      </c>
      <c r="CH275" s="1">
        <v>1.2958000000000001</v>
      </c>
      <c r="CL275" s="1425">
        <v>44840</v>
      </c>
      <c r="CM275" s="1">
        <v>19.111799999999999</v>
      </c>
      <c r="CN275" s="1">
        <v>2.6291000000000002</v>
      </c>
      <c r="CO275" s="1">
        <v>10.6913</v>
      </c>
    </row>
    <row r="276" spans="1:93">
      <c r="A276" s="1425">
        <v>44834</v>
      </c>
      <c r="B276" s="20">
        <f t="shared" si="42"/>
        <v>12.125500000000001</v>
      </c>
      <c r="C276" s="20">
        <f t="shared" si="44"/>
        <v>11.0335</v>
      </c>
      <c r="D276" s="20">
        <f t="shared" si="45"/>
        <v>13.5801</v>
      </c>
      <c r="E276" s="20">
        <f t="shared" si="46"/>
        <v>6.2572999999999999</v>
      </c>
      <c r="F276" s="20">
        <f t="shared" si="47"/>
        <v>18.117799999999999</v>
      </c>
      <c r="G276" s="20">
        <f t="shared" si="48"/>
        <v>11.6951</v>
      </c>
      <c r="H276" s="1239">
        <f t="shared" si="49"/>
        <v>11.6951</v>
      </c>
      <c r="I276" s="1243">
        <f t="shared" si="43"/>
        <v>3.6801737479799312E-2</v>
      </c>
      <c r="J276" s="1243">
        <f t="shared" si="50"/>
        <v>0.12093838824177333</v>
      </c>
      <c r="K276" s="1243">
        <f t="shared" si="51"/>
        <v>0.1</v>
      </c>
      <c r="L276" s="203"/>
      <c r="N276" s="1425">
        <v>44834</v>
      </c>
      <c r="O276" s="1502">
        <v>12.125500000000001</v>
      </c>
      <c r="P276" s="1502">
        <v>4.6913999999999998</v>
      </c>
      <c r="Q276" s="1502">
        <v>12.3468</v>
      </c>
      <c r="R276" s="1233">
        <f>'B. PE'!$U$23</f>
        <v>15.978235616082999</v>
      </c>
      <c r="S276" s="1233"/>
      <c r="T276" s="1233"/>
      <c r="V276" s="1425">
        <v>44834</v>
      </c>
      <c r="W276" s="1">
        <v>11.0335</v>
      </c>
      <c r="X276" s="1">
        <v>1.5434000000000001</v>
      </c>
      <c r="Y276" s="1">
        <v>8.0074000000000005</v>
      </c>
      <c r="Z276" s="1">
        <v>1.1488100000000001</v>
      </c>
      <c r="AB276" s="1425">
        <v>44824</v>
      </c>
      <c r="AC276" s="1">
        <v>7.6509</v>
      </c>
      <c r="AD276" s="1502">
        <v>1.1794</v>
      </c>
      <c r="AE276" s="1">
        <v>5.1040000000000001</v>
      </c>
      <c r="AF276" s="1">
        <v>3.032E-2</v>
      </c>
      <c r="AH276" s="1425">
        <v>44824</v>
      </c>
      <c r="AI276" s="1">
        <v>14.393000000000001</v>
      </c>
      <c r="AJ276" s="1">
        <v>2.6619999999999999</v>
      </c>
      <c r="AK276" s="1">
        <v>7.8254000000000001</v>
      </c>
      <c r="AL276" s="1">
        <v>4.2410000000000003E-2</v>
      </c>
      <c r="AN276" s="1425">
        <v>44824</v>
      </c>
      <c r="AO276" s="1">
        <v>6.6875</v>
      </c>
      <c r="AP276" s="1">
        <v>0.99070000000000003</v>
      </c>
      <c r="AQ276" s="1">
        <v>4.2276999999999996</v>
      </c>
      <c r="AR276" s="1">
        <v>0.23815</v>
      </c>
      <c r="AT276" s="1425">
        <v>44824</v>
      </c>
      <c r="AU276" s="1">
        <v>16</v>
      </c>
      <c r="AV276" s="1">
        <v>1.0186999999999999</v>
      </c>
      <c r="AW276" s="1">
        <v>9.8109999999999999</v>
      </c>
      <c r="AX276" s="1">
        <v>0.24918000000000001</v>
      </c>
      <c r="BA276" s="1425">
        <v>44824</v>
      </c>
      <c r="BB276" s="1">
        <v>13.6038</v>
      </c>
      <c r="BC276" s="1">
        <v>3.3448000000000002</v>
      </c>
      <c r="BD276" s="1">
        <v>13.4001</v>
      </c>
      <c r="BE276" s="1">
        <v>0.86043000000000003</v>
      </c>
      <c r="BG276" s="1425">
        <v>44824</v>
      </c>
      <c r="BH276" s="1">
        <v>16.328099999999999</v>
      </c>
      <c r="BI276" s="1">
        <v>4.4585999999999997</v>
      </c>
      <c r="BJ276" s="1">
        <v>23.197800000000001</v>
      </c>
      <c r="BT276" s="1425">
        <v>44834</v>
      </c>
      <c r="BU276" s="1">
        <v>18.2624</v>
      </c>
      <c r="BV276" s="1">
        <v>4.0206999999999997</v>
      </c>
      <c r="BW276" s="1">
        <v>9.2665000000000006</v>
      </c>
      <c r="BX276" s="1">
        <v>2.738</v>
      </c>
      <c r="BZ276" s="1425">
        <v>44834</v>
      </c>
      <c r="CA276" s="1">
        <v>15.3819</v>
      </c>
      <c r="CB276" s="1">
        <v>4.5263999999999998</v>
      </c>
      <c r="CC276" s="1">
        <v>12.042199999999999</v>
      </c>
      <c r="CD276" s="1">
        <v>2.6812200000000002</v>
      </c>
      <c r="CF276" s="1425">
        <v>44833</v>
      </c>
      <c r="CG276" s="1">
        <v>4.327</v>
      </c>
      <c r="CH276" s="1">
        <v>1.3974</v>
      </c>
      <c r="CI276" s="1">
        <v>7.6851000000000003</v>
      </c>
      <c r="CL276" s="1425">
        <v>44839</v>
      </c>
      <c r="CM276" s="1">
        <v>19.365200000000002</v>
      </c>
      <c r="CN276" s="1">
        <v>2.6640000000000001</v>
      </c>
      <c r="CO276" s="1">
        <v>10.8315</v>
      </c>
    </row>
    <row r="277" spans="1:93">
      <c r="A277" s="1425">
        <v>44833</v>
      </c>
      <c r="B277" s="20">
        <f t="shared" si="42"/>
        <v>13.018700000000001</v>
      </c>
      <c r="C277" s="20">
        <f t="shared" si="44"/>
        <v>11.160399999999999</v>
      </c>
      <c r="D277" s="20">
        <f t="shared" si="45"/>
        <v>13.1365</v>
      </c>
      <c r="E277" s="20">
        <f t="shared" si="46"/>
        <v>6.75</v>
      </c>
      <c r="F277" s="20">
        <f t="shared" si="47"/>
        <v>13.741400000000001</v>
      </c>
      <c r="G277" s="20">
        <f t="shared" si="48"/>
        <v>11.3918</v>
      </c>
      <c r="H277" s="1239">
        <f t="shared" si="49"/>
        <v>11.3918</v>
      </c>
      <c r="I277" s="1243">
        <f t="shared" si="43"/>
        <v>0.14281325163714254</v>
      </c>
      <c r="J277" s="1243">
        <f t="shared" si="50"/>
        <v>0.12093838824177333</v>
      </c>
      <c r="K277" s="1243">
        <f t="shared" si="51"/>
        <v>0.1</v>
      </c>
      <c r="L277" s="203"/>
      <c r="N277" s="1425">
        <v>44833</v>
      </c>
      <c r="O277" s="1502">
        <v>13.018700000000001</v>
      </c>
      <c r="P277" s="1502">
        <v>5.0231000000000003</v>
      </c>
      <c r="Q277" s="1502">
        <v>13.605</v>
      </c>
      <c r="R277" s="1233">
        <f>'B. PE'!$U$23</f>
        <v>15.978235616082999</v>
      </c>
      <c r="S277" s="1233"/>
      <c r="T277" s="1233"/>
      <c r="V277" s="1425">
        <v>44833</v>
      </c>
      <c r="W277" s="1">
        <v>11.160399999999999</v>
      </c>
      <c r="X277" s="1">
        <v>1.5004</v>
      </c>
      <c r="Y277" s="1">
        <v>7.8026</v>
      </c>
      <c r="Z277" s="1">
        <v>1.2305699999999999</v>
      </c>
      <c r="AB277" s="1425">
        <v>44823</v>
      </c>
      <c r="AC277" s="1">
        <v>7.5523999999999996</v>
      </c>
      <c r="AD277" s="1502">
        <v>1.1641999999999999</v>
      </c>
      <c r="AE277" s="1">
        <v>5.0583999999999998</v>
      </c>
      <c r="AF277" s="1">
        <v>3.1519999999999999E-2</v>
      </c>
      <c r="AH277" s="1425">
        <v>44823</v>
      </c>
      <c r="AI277" s="1">
        <v>14.621499999999999</v>
      </c>
      <c r="AJ277" s="1">
        <v>2.7042999999999999</v>
      </c>
      <c r="AK277" s="1">
        <v>7.9432999999999998</v>
      </c>
      <c r="AL277" s="1">
        <v>4.3589999999999997E-2</v>
      </c>
      <c r="AN277" s="1425">
        <v>44823</v>
      </c>
      <c r="AO277" s="1">
        <v>6.5625</v>
      </c>
      <c r="AP277" s="1">
        <v>0.97219999999999995</v>
      </c>
      <c r="AQ277" s="1">
        <v>4.1348000000000003</v>
      </c>
      <c r="AR277" s="1">
        <v>0.24299999999999999</v>
      </c>
      <c r="AT277" s="1425">
        <v>44823</v>
      </c>
      <c r="AU277" s="1">
        <v>16.142900000000001</v>
      </c>
      <c r="AV277" s="1">
        <v>1.0278</v>
      </c>
      <c r="AW277" s="1">
        <v>9.8917000000000002</v>
      </c>
      <c r="AX277" s="1">
        <v>0.24521000000000001</v>
      </c>
      <c r="BA277" s="1425">
        <v>44823</v>
      </c>
      <c r="BB277" s="1">
        <v>13.6038</v>
      </c>
      <c r="BC277" s="1">
        <v>3.3448000000000002</v>
      </c>
      <c r="BD277" s="1">
        <v>13.4001</v>
      </c>
      <c r="BE277" s="1">
        <v>0.85904000000000003</v>
      </c>
      <c r="BG277" s="1425">
        <v>44823</v>
      </c>
      <c r="BH277" s="1">
        <v>16.247199999999999</v>
      </c>
      <c r="BI277" s="1">
        <v>4.4366000000000003</v>
      </c>
      <c r="BJ277" s="1">
        <v>23.1069</v>
      </c>
      <c r="BT277" s="1425">
        <v>44833</v>
      </c>
      <c r="BU277" s="1">
        <v>18.1081</v>
      </c>
      <c r="BV277" s="1">
        <v>4.1837</v>
      </c>
      <c r="BW277" s="1">
        <v>10.236599999999999</v>
      </c>
      <c r="BX277" s="1">
        <v>2.8269000000000002</v>
      </c>
      <c r="BZ277" s="1425">
        <v>44833</v>
      </c>
      <c r="CA277" s="1">
        <v>15.947800000000001</v>
      </c>
      <c r="CB277" s="1">
        <v>4.5865</v>
      </c>
      <c r="CC277" s="1">
        <v>13.481</v>
      </c>
      <c r="CD277" s="1">
        <v>2.8831600000000002</v>
      </c>
      <c r="CF277" s="1425">
        <v>44832</v>
      </c>
      <c r="CG277" s="1">
        <v>4.3460000000000001</v>
      </c>
      <c r="CH277" s="1">
        <v>1.4035</v>
      </c>
      <c r="CI277" s="1">
        <v>7.6985999999999999</v>
      </c>
      <c r="CL277" s="1425">
        <v>44838</v>
      </c>
      <c r="CM277" s="1">
        <v>19.418500000000002</v>
      </c>
      <c r="CN277" s="1">
        <v>2.6713</v>
      </c>
      <c r="CO277" s="1">
        <v>10.861000000000001</v>
      </c>
    </row>
    <row r="278" spans="1:93">
      <c r="A278" s="1425">
        <v>44832</v>
      </c>
      <c r="B278" s="20">
        <f t="shared" si="42"/>
        <v>12.792899999999999</v>
      </c>
      <c r="C278" s="20">
        <f t="shared" si="44"/>
        <v>11.5159</v>
      </c>
      <c r="D278" s="20">
        <f t="shared" si="45"/>
        <v>13.821899999999999</v>
      </c>
      <c r="E278" s="20">
        <f t="shared" si="46"/>
        <v>6.75</v>
      </c>
      <c r="F278" s="20">
        <f t="shared" si="47"/>
        <v>14.1456</v>
      </c>
      <c r="G278" s="20">
        <f t="shared" si="48"/>
        <v>11.5024</v>
      </c>
      <c r="H278" s="1239">
        <f t="shared" si="49"/>
        <v>11.5159</v>
      </c>
      <c r="I278" s="1243">
        <f t="shared" si="43"/>
        <v>0.11089016056061607</v>
      </c>
      <c r="J278" s="1243">
        <f t="shared" si="50"/>
        <v>0.12093838824177333</v>
      </c>
      <c r="K278" s="1243">
        <f t="shared" si="51"/>
        <v>0.1</v>
      </c>
      <c r="L278" s="203"/>
      <c r="N278" s="1425">
        <v>44832</v>
      </c>
      <c r="O278" s="1502">
        <v>12.792899999999999</v>
      </c>
      <c r="P278" s="1502">
        <v>4.9359000000000002</v>
      </c>
      <c r="Q278" s="1502">
        <v>13.391400000000001</v>
      </c>
      <c r="R278" s="1233">
        <f>'B. PE'!$U$23</f>
        <v>15.978235616082999</v>
      </c>
      <c r="S278" s="1233"/>
      <c r="T278" s="1233"/>
      <c r="V278" s="1425">
        <v>44832</v>
      </c>
      <c r="W278" s="1">
        <v>11.5159</v>
      </c>
      <c r="X278" s="1">
        <v>1.5482</v>
      </c>
      <c r="Y278" s="1">
        <v>7.9702999999999999</v>
      </c>
      <c r="Z278" s="1">
        <v>1.2901100000000001</v>
      </c>
      <c r="AB278" s="1425">
        <v>44820</v>
      </c>
      <c r="AC278" s="1">
        <v>7.4539</v>
      </c>
      <c r="AD278" s="1502">
        <v>1.149</v>
      </c>
      <c r="AE278" s="1">
        <v>5.0126999999999997</v>
      </c>
      <c r="AF278" s="1">
        <v>3.1260000000000003E-2</v>
      </c>
      <c r="AH278" s="1425">
        <v>44820</v>
      </c>
      <c r="AI278" s="1">
        <v>14.507300000000001</v>
      </c>
      <c r="AJ278" s="1">
        <v>2.6831</v>
      </c>
      <c r="AK278" s="1">
        <v>7.8844000000000003</v>
      </c>
      <c r="AL278" s="1">
        <v>4.4609999999999997E-2</v>
      </c>
      <c r="AN278" s="1425">
        <v>44819</v>
      </c>
      <c r="AO278" s="1">
        <v>6.75</v>
      </c>
      <c r="AP278" s="1">
        <v>0.99990000000000001</v>
      </c>
      <c r="AQ278" s="1">
        <v>4.2742000000000004</v>
      </c>
      <c r="AR278" s="1">
        <v>0.25069000000000002</v>
      </c>
      <c r="AT278" s="1425">
        <v>44819</v>
      </c>
      <c r="AU278" s="1">
        <v>16.142900000000001</v>
      </c>
      <c r="AV278" s="1">
        <v>1.0278</v>
      </c>
      <c r="AW278" s="1">
        <v>9.8899000000000008</v>
      </c>
      <c r="AX278" s="1">
        <v>0.24847</v>
      </c>
      <c r="BA278" s="1425">
        <v>44820</v>
      </c>
      <c r="BB278" s="1">
        <v>14.046200000000001</v>
      </c>
      <c r="BC278" s="1">
        <v>3.4535999999999998</v>
      </c>
      <c r="BD278" s="1">
        <v>13.729699999999999</v>
      </c>
      <c r="BE278" s="1">
        <v>0.86051</v>
      </c>
      <c r="BG278" s="1425">
        <v>44820</v>
      </c>
      <c r="BH278" s="1">
        <v>16.570599999999999</v>
      </c>
      <c r="BI278" s="1">
        <v>4.5248999999999997</v>
      </c>
      <c r="BJ278" s="1">
        <v>23.470600000000001</v>
      </c>
      <c r="BT278" s="1425">
        <v>44832</v>
      </c>
      <c r="BU278" s="1">
        <v>18.391100000000002</v>
      </c>
      <c r="BV278" s="1">
        <v>4.2491000000000003</v>
      </c>
      <c r="BW278" s="1">
        <v>10.386200000000001</v>
      </c>
      <c r="BX278" s="1">
        <v>2.8671000000000002</v>
      </c>
      <c r="BZ278" s="1425">
        <v>44832</v>
      </c>
      <c r="CA278" s="1">
        <v>16.442</v>
      </c>
      <c r="CB278" s="1">
        <v>4.7286000000000001</v>
      </c>
      <c r="CC278" s="1">
        <v>13.7913</v>
      </c>
      <c r="CD278" s="1">
        <v>2.9148100000000001</v>
      </c>
      <c r="CF278" s="1425">
        <v>44831</v>
      </c>
      <c r="CG278" s="1">
        <v>4.2130999999999998</v>
      </c>
      <c r="CH278" s="1">
        <v>1.3606</v>
      </c>
      <c r="CI278" s="1">
        <v>7.6035000000000004</v>
      </c>
      <c r="CL278" s="1425">
        <v>44837</v>
      </c>
      <c r="CM278" s="1">
        <v>19.191800000000001</v>
      </c>
      <c r="CN278" s="1">
        <v>2.6400999999999999</v>
      </c>
      <c r="CO278" s="1">
        <v>10.7356</v>
      </c>
    </row>
    <row r="279" spans="1:93">
      <c r="A279" s="1425">
        <v>44831</v>
      </c>
      <c r="B279" s="20">
        <f t="shared" si="42"/>
        <v>13.4499</v>
      </c>
      <c r="C279" s="20">
        <f t="shared" si="44"/>
        <v>12.333399999999999</v>
      </c>
      <c r="D279" s="20">
        <f t="shared" si="45"/>
        <v>14.0503</v>
      </c>
      <c r="E279" s="20">
        <f t="shared" si="46"/>
        <v>6.8125</v>
      </c>
      <c r="F279" s="20">
        <f t="shared" si="47"/>
        <v>14.3881</v>
      </c>
      <c r="G279" s="20">
        <f t="shared" si="48"/>
        <v>11.944800000000001</v>
      </c>
      <c r="H279" s="1239">
        <f t="shared" si="49"/>
        <v>12.333399999999999</v>
      </c>
      <c r="I279" s="1243">
        <f t="shared" si="43"/>
        <v>9.0526537694390896E-2</v>
      </c>
      <c r="J279" s="1243">
        <f t="shared" si="50"/>
        <v>0.12093838824177333</v>
      </c>
      <c r="K279" s="1243">
        <f t="shared" si="51"/>
        <v>0.1</v>
      </c>
      <c r="L279" s="203"/>
      <c r="N279" s="1425">
        <v>44831</v>
      </c>
      <c r="O279" s="1502">
        <v>13.4499</v>
      </c>
      <c r="P279" s="1502">
        <v>5.1894999999999998</v>
      </c>
      <c r="Q279" s="1502">
        <v>14.012600000000001</v>
      </c>
      <c r="R279" s="1233">
        <f>'B. PE'!$U$23</f>
        <v>15.978235616082999</v>
      </c>
      <c r="S279" s="1233"/>
      <c r="T279" s="1233"/>
      <c r="V279" s="1425">
        <v>44831</v>
      </c>
      <c r="W279" s="1">
        <v>12.333399999999999</v>
      </c>
      <c r="X279" s="1">
        <v>1.6580999999999999</v>
      </c>
      <c r="Y279" s="1">
        <v>8.3560999999999996</v>
      </c>
      <c r="Z279" s="1">
        <v>1.3868199999999999</v>
      </c>
      <c r="AB279" s="1425">
        <v>44819</v>
      </c>
      <c r="AC279" s="1">
        <v>7.7165999999999997</v>
      </c>
      <c r="AD279" s="1502">
        <v>1.1895</v>
      </c>
      <c r="AE279" s="1">
        <v>5.1344000000000003</v>
      </c>
      <c r="AF279" s="1">
        <v>3.1440000000000003E-2</v>
      </c>
      <c r="AH279" s="1425">
        <v>44819</v>
      </c>
      <c r="AI279" s="1">
        <v>14.8499</v>
      </c>
      <c r="AJ279" s="1">
        <v>2.7465000000000002</v>
      </c>
      <c r="AK279" s="1">
        <v>8.0611999999999995</v>
      </c>
      <c r="AL279" s="1">
        <v>4.5350000000000001E-2</v>
      </c>
      <c r="AN279" s="1425">
        <v>44818</v>
      </c>
      <c r="AO279" s="1">
        <v>6.875</v>
      </c>
      <c r="AP279" s="1">
        <v>1.0184</v>
      </c>
      <c r="AQ279" s="1">
        <v>4.3672000000000004</v>
      </c>
      <c r="AR279" s="1">
        <v>0.25092999999999999</v>
      </c>
      <c r="AT279" s="1425">
        <v>44818</v>
      </c>
      <c r="AU279" s="1">
        <v>15.857100000000001</v>
      </c>
      <c r="AV279" s="1">
        <v>1.0096000000000001</v>
      </c>
      <c r="AW279" s="1">
        <v>9.7286000000000001</v>
      </c>
      <c r="AX279" s="1">
        <v>0.23982999999999999</v>
      </c>
      <c r="BA279" s="1425">
        <v>44819</v>
      </c>
      <c r="BB279" s="1">
        <v>14.046200000000001</v>
      </c>
      <c r="BC279" s="1">
        <v>3.4535999999999998</v>
      </c>
      <c r="BD279" s="1">
        <v>13.729699999999999</v>
      </c>
      <c r="BE279" s="1">
        <v>0.86116999999999999</v>
      </c>
      <c r="BG279" s="1425">
        <v>44819</v>
      </c>
      <c r="BH279" s="1">
        <v>16.651399999999999</v>
      </c>
      <c r="BI279" s="1">
        <v>4.5468999999999999</v>
      </c>
      <c r="BJ279" s="1">
        <v>23.561599999999999</v>
      </c>
      <c r="BT279" s="1425">
        <v>44831</v>
      </c>
      <c r="BU279" s="1">
        <v>18.985199999999999</v>
      </c>
      <c r="BV279" s="1">
        <v>4.3863000000000003</v>
      </c>
      <c r="BW279" s="1">
        <v>10.698399999999999</v>
      </c>
      <c r="BX279" s="1">
        <v>2.9279999999999999</v>
      </c>
      <c r="BZ279" s="1425">
        <v>44831</v>
      </c>
      <c r="CA279" s="1">
        <v>17.677399999999999</v>
      </c>
      <c r="CB279" s="1">
        <v>5.0838999999999999</v>
      </c>
      <c r="CC279" s="1">
        <v>14.5669</v>
      </c>
      <c r="CD279" s="1">
        <v>3.1331099999999998</v>
      </c>
      <c r="CF279" s="1425">
        <v>44830</v>
      </c>
      <c r="CG279" s="1">
        <v>4.1942000000000004</v>
      </c>
      <c r="CH279" s="1">
        <v>1.3545</v>
      </c>
      <c r="CI279" s="1">
        <v>7.59</v>
      </c>
      <c r="CL279" s="1425">
        <v>44834</v>
      </c>
      <c r="CM279" s="1">
        <v>19.151800000000001</v>
      </c>
      <c r="CN279" s="1">
        <v>2.6345999999999998</v>
      </c>
      <c r="CO279" s="1">
        <v>10.7134</v>
      </c>
    </row>
    <row r="280" spans="1:93">
      <c r="A280" s="1425">
        <v>44830</v>
      </c>
      <c r="B280" s="20">
        <f t="shared" si="42"/>
        <v>13.9633</v>
      </c>
      <c r="C280" s="20">
        <f t="shared" si="44"/>
        <v>12.9198</v>
      </c>
      <c r="D280" s="20">
        <f t="shared" si="45"/>
        <v>13.9361</v>
      </c>
      <c r="E280" s="20">
        <f t="shared" si="46"/>
        <v>6.8125</v>
      </c>
      <c r="F280" s="20">
        <f t="shared" si="47"/>
        <v>14.792299999999999</v>
      </c>
      <c r="G280" s="20">
        <f t="shared" si="48"/>
        <v>12.4978</v>
      </c>
      <c r="H280" s="1239">
        <f t="shared" si="49"/>
        <v>12.9198</v>
      </c>
      <c r="I280" s="1243">
        <f t="shared" si="43"/>
        <v>8.0767504140931035E-2</v>
      </c>
      <c r="J280" s="1243">
        <f t="shared" si="50"/>
        <v>0.12093838824177333</v>
      </c>
      <c r="K280" s="1243">
        <f t="shared" si="51"/>
        <v>0.1</v>
      </c>
      <c r="L280" s="203"/>
      <c r="N280" s="1425">
        <v>44830</v>
      </c>
      <c r="O280" s="1502">
        <v>13.9633</v>
      </c>
      <c r="P280" s="1502">
        <v>5.3875000000000002</v>
      </c>
      <c r="Q280" s="1502">
        <v>14.497999999999999</v>
      </c>
      <c r="R280" s="1233">
        <f>'B. PE'!$U$23</f>
        <v>15.978235616082999</v>
      </c>
      <c r="S280" s="1233"/>
      <c r="T280" s="1233"/>
      <c r="V280" s="1425">
        <v>44830</v>
      </c>
      <c r="W280" s="1">
        <v>12.9198</v>
      </c>
      <c r="X280" s="1">
        <v>1.7369000000000001</v>
      </c>
      <c r="Y280" s="1">
        <v>8.6328999999999994</v>
      </c>
      <c r="Z280" s="1">
        <v>1.4191400000000001</v>
      </c>
      <c r="AB280" s="1425">
        <v>44818</v>
      </c>
      <c r="AC280" s="1">
        <v>7.6509</v>
      </c>
      <c r="AD280" s="1502">
        <v>1.1794</v>
      </c>
      <c r="AE280" s="1">
        <v>5.1040000000000001</v>
      </c>
      <c r="AF280" s="1">
        <v>3.2059999999999998E-2</v>
      </c>
      <c r="AH280" s="1425">
        <v>44818</v>
      </c>
      <c r="AI280" s="1">
        <v>15.192600000000001</v>
      </c>
      <c r="AJ280" s="1">
        <v>2.8098999999999998</v>
      </c>
      <c r="AK280" s="1">
        <v>8.2380999999999993</v>
      </c>
      <c r="AL280" s="1">
        <v>4.6469999999999997E-2</v>
      </c>
      <c r="AN280" s="1425">
        <v>44817</v>
      </c>
      <c r="AO280" s="1">
        <v>7.0625</v>
      </c>
      <c r="AP280" s="1">
        <v>1.0462</v>
      </c>
      <c r="AQ280" s="1">
        <v>4.5065999999999997</v>
      </c>
      <c r="AR280" s="1">
        <v>0.24457000000000001</v>
      </c>
      <c r="AT280" s="1425">
        <v>44817</v>
      </c>
      <c r="AU280" s="1">
        <v>16</v>
      </c>
      <c r="AV280" s="1">
        <v>1.0186999999999999</v>
      </c>
      <c r="AW280" s="1">
        <v>9.8092000000000006</v>
      </c>
      <c r="AX280" s="1">
        <v>0.24901999999999999</v>
      </c>
      <c r="BA280" s="1425">
        <v>44818</v>
      </c>
      <c r="BB280" s="1">
        <v>13.935600000000001</v>
      </c>
      <c r="BC280" s="1">
        <v>3.4264000000000001</v>
      </c>
      <c r="BD280" s="1">
        <v>13.6473</v>
      </c>
      <c r="BE280" s="1">
        <v>0.82035000000000002</v>
      </c>
      <c r="BG280" s="1425">
        <v>44818</v>
      </c>
      <c r="BH280" s="1">
        <v>16.328099999999999</v>
      </c>
      <c r="BI280" s="1">
        <v>4.4585999999999997</v>
      </c>
      <c r="BJ280" s="1">
        <v>23.197800000000001</v>
      </c>
      <c r="BT280" s="1425">
        <v>44830</v>
      </c>
      <c r="BU280" s="1">
        <v>19.239899999999999</v>
      </c>
      <c r="BV280" s="1">
        <v>4.4451999999999998</v>
      </c>
      <c r="BW280" s="1">
        <v>10.832100000000001</v>
      </c>
      <c r="BX280" s="1">
        <v>2.9582999999999999</v>
      </c>
      <c r="BZ280" s="1425">
        <v>44830</v>
      </c>
      <c r="CA280" s="1">
        <v>17.857099999999999</v>
      </c>
      <c r="CB280" s="1">
        <v>5.1356000000000002</v>
      </c>
      <c r="CC280" s="1">
        <v>14.6798</v>
      </c>
      <c r="CD280" s="1">
        <v>3.1816</v>
      </c>
      <c r="CF280" s="1425">
        <v>44827</v>
      </c>
      <c r="CG280" s="1">
        <v>4.3838999999999997</v>
      </c>
      <c r="CH280" s="1">
        <v>1.4157999999999999</v>
      </c>
      <c r="CI280" s="1">
        <v>7.7257999999999996</v>
      </c>
      <c r="CL280" s="1425">
        <v>44833</v>
      </c>
      <c r="CM280" s="1">
        <v>18.978400000000001</v>
      </c>
      <c r="CN280" s="1">
        <v>2.6107</v>
      </c>
      <c r="CO280" s="1">
        <v>10.6175</v>
      </c>
    </row>
    <row r="281" spans="1:93">
      <c r="A281" s="1425">
        <v>44827</v>
      </c>
      <c r="B281" s="20">
        <f t="shared" si="42"/>
        <v>14.9079</v>
      </c>
      <c r="C281" s="20">
        <f t="shared" si="44"/>
        <v>13.8795</v>
      </c>
      <c r="D281" s="20">
        <f t="shared" si="45"/>
        <v>14.1646</v>
      </c>
      <c r="E281" s="20">
        <f t="shared" si="46"/>
        <v>6.625</v>
      </c>
      <c r="F281" s="20">
        <f t="shared" si="47"/>
        <v>15.3581</v>
      </c>
      <c r="G281" s="20">
        <f t="shared" si="48"/>
        <v>12.718999999999999</v>
      </c>
      <c r="H281" s="1239">
        <f t="shared" si="49"/>
        <v>13.8795</v>
      </c>
      <c r="I281" s="1243">
        <f t="shared" si="43"/>
        <v>7.4094888144385473E-2</v>
      </c>
      <c r="J281" s="1243">
        <f t="shared" si="50"/>
        <v>0.12093838824177333</v>
      </c>
      <c r="K281" s="1243">
        <f t="shared" si="51"/>
        <v>0.1</v>
      </c>
      <c r="L281" s="203"/>
      <c r="N281" s="1425">
        <v>44827</v>
      </c>
      <c r="O281" s="1502">
        <v>14.9079</v>
      </c>
      <c r="P281" s="1502">
        <v>5.7519999999999998</v>
      </c>
      <c r="Q281" s="1502">
        <v>15.391</v>
      </c>
      <c r="R281" s="1233">
        <f>'B. PE'!$U$23</f>
        <v>15.978235616082999</v>
      </c>
      <c r="S281" s="1233"/>
      <c r="T281" s="1233"/>
      <c r="V281" s="1425">
        <v>44827</v>
      </c>
      <c r="W281" s="1">
        <v>13.8795</v>
      </c>
      <c r="X281" s="1">
        <v>1.8660000000000001</v>
      </c>
      <c r="Y281" s="1">
        <v>9.0858000000000008</v>
      </c>
      <c r="Z281" s="1">
        <v>1.35738</v>
      </c>
      <c r="AB281" s="1425">
        <v>44817</v>
      </c>
      <c r="AC281" s="1">
        <v>7.6837</v>
      </c>
      <c r="AD281" s="1502">
        <v>1.1843999999999999</v>
      </c>
      <c r="AE281" s="1">
        <v>5.1192000000000002</v>
      </c>
      <c r="AF281" s="1">
        <v>3.2099999999999997E-2</v>
      </c>
      <c r="AH281" s="1425">
        <v>44817</v>
      </c>
      <c r="AI281" s="1">
        <v>15.421099999999999</v>
      </c>
      <c r="AJ281" s="1">
        <v>2.8521999999999998</v>
      </c>
      <c r="AK281" s="1">
        <v>8.3559999999999999</v>
      </c>
      <c r="AL281" s="1">
        <v>4.5179999999999998E-2</v>
      </c>
      <c r="AN281" s="1425">
        <v>44816</v>
      </c>
      <c r="AO281" s="1">
        <v>7.0625</v>
      </c>
      <c r="AP281" s="1">
        <v>1.0462</v>
      </c>
      <c r="AQ281" s="1">
        <v>4.5065999999999997</v>
      </c>
      <c r="AR281" s="1">
        <v>0.24</v>
      </c>
      <c r="AT281" s="1425">
        <v>44816</v>
      </c>
      <c r="AU281" s="1">
        <v>15.428599999999999</v>
      </c>
      <c r="AV281" s="1">
        <v>0.98229999999999995</v>
      </c>
      <c r="AW281" s="1">
        <v>9.4849999999999994</v>
      </c>
      <c r="AX281" s="1">
        <v>0.25333</v>
      </c>
      <c r="BA281" s="1425">
        <v>44817</v>
      </c>
      <c r="BB281" s="1">
        <v>13.935600000000001</v>
      </c>
      <c r="BC281" s="1">
        <v>3.4264000000000001</v>
      </c>
      <c r="BD281" s="1">
        <v>13.6473</v>
      </c>
      <c r="BE281" s="1">
        <v>0.81781999999999999</v>
      </c>
      <c r="BG281" s="1425">
        <v>44817</v>
      </c>
      <c r="BH281" s="1">
        <v>16.085599999999999</v>
      </c>
      <c r="BI281" s="1">
        <v>4.3924000000000003</v>
      </c>
      <c r="BJ281" s="1">
        <v>22.925000000000001</v>
      </c>
      <c r="BT281" s="1425">
        <v>44827</v>
      </c>
      <c r="BU281" s="1">
        <v>19.635999999999999</v>
      </c>
      <c r="BV281" s="1">
        <v>4.5366999999999997</v>
      </c>
      <c r="BW281" s="1">
        <v>11.0402</v>
      </c>
      <c r="BX281" s="1">
        <v>2.9550000000000001</v>
      </c>
      <c r="BZ281" s="1425">
        <v>44827</v>
      </c>
      <c r="CA281" s="1">
        <v>19.182300000000001</v>
      </c>
      <c r="CB281" s="1">
        <v>5.5167000000000002</v>
      </c>
      <c r="CC281" s="1">
        <v>15.511900000000001</v>
      </c>
      <c r="CD281" s="1">
        <v>3.1128</v>
      </c>
      <c r="CF281" s="1425">
        <v>44826</v>
      </c>
      <c r="CG281" s="1">
        <v>4.5358000000000001</v>
      </c>
      <c r="CH281" s="1">
        <v>1.4648000000000001</v>
      </c>
      <c r="CI281" s="1">
        <v>7.8345000000000002</v>
      </c>
      <c r="CL281" s="1425">
        <v>44832</v>
      </c>
      <c r="CM281" s="1">
        <v>18.738299999999999</v>
      </c>
      <c r="CN281" s="1">
        <v>2.5777000000000001</v>
      </c>
      <c r="CO281" s="1">
        <v>10.4847</v>
      </c>
    </row>
    <row r="282" spans="1:93">
      <c r="A282" s="1425">
        <v>44826</v>
      </c>
      <c r="B282" s="20">
        <f t="shared" si="42"/>
        <v>15.154299999999999</v>
      </c>
      <c r="C282" s="20">
        <f t="shared" si="44"/>
        <v>14.199299999999999</v>
      </c>
      <c r="D282" s="20">
        <f t="shared" si="45"/>
        <v>14.393000000000001</v>
      </c>
      <c r="E282" s="20">
        <f t="shared" si="46"/>
        <v>6.75</v>
      </c>
      <c r="F282" s="20">
        <f t="shared" si="47"/>
        <v>16.0047</v>
      </c>
      <c r="G282" s="20">
        <f t="shared" si="48"/>
        <v>13.4932</v>
      </c>
      <c r="H282" s="1239">
        <f t="shared" si="49"/>
        <v>14.199299999999999</v>
      </c>
      <c r="I282" s="1243">
        <f t="shared" si="43"/>
        <v>6.725683660462134E-2</v>
      </c>
      <c r="J282" s="1243">
        <f t="shared" si="50"/>
        <v>0.12093838824177333</v>
      </c>
      <c r="K282" s="1243">
        <f t="shared" si="51"/>
        <v>0.1</v>
      </c>
      <c r="L282" s="203"/>
      <c r="N282" s="1425">
        <v>44826</v>
      </c>
      <c r="O282" s="1502">
        <v>15.154299999999999</v>
      </c>
      <c r="P282" s="1502">
        <v>5.8471000000000002</v>
      </c>
      <c r="Q282" s="1502">
        <v>15.623900000000001</v>
      </c>
      <c r="R282" s="1233">
        <f>'B. PE'!$U$23</f>
        <v>15.978235616082999</v>
      </c>
      <c r="S282" s="1233"/>
      <c r="T282" s="1233"/>
      <c r="V282" s="1425">
        <v>44826</v>
      </c>
      <c r="W282" s="1">
        <v>14.199299999999999</v>
      </c>
      <c r="X282" s="1">
        <v>1.909</v>
      </c>
      <c r="Y282" s="1">
        <v>9.2367000000000008</v>
      </c>
      <c r="Z282" s="1">
        <v>1.4048099999999999</v>
      </c>
      <c r="AB282" s="1425">
        <v>44816</v>
      </c>
      <c r="AC282" s="1">
        <v>7.8151000000000002</v>
      </c>
      <c r="AD282" s="1502">
        <v>1.2047000000000001</v>
      </c>
      <c r="AE282" s="1">
        <v>5.1801000000000004</v>
      </c>
      <c r="AF282" s="1">
        <v>3.1800000000000002E-2</v>
      </c>
      <c r="AH282" s="1425">
        <v>44816</v>
      </c>
      <c r="AI282" s="1">
        <v>15.7638</v>
      </c>
      <c r="AJ282" s="1">
        <v>2.9155000000000002</v>
      </c>
      <c r="AK282" s="1">
        <v>8.5327999999999999</v>
      </c>
      <c r="AL282" s="1">
        <v>4.428E-2</v>
      </c>
      <c r="AN282" s="1425">
        <v>44813</v>
      </c>
      <c r="AO282" s="1">
        <v>6.875</v>
      </c>
      <c r="AP282" s="1">
        <v>1.0184</v>
      </c>
      <c r="AQ282" s="1">
        <v>4.3672000000000004</v>
      </c>
      <c r="AR282" s="1">
        <v>0.23796</v>
      </c>
      <c r="AT282" s="1425">
        <v>44813</v>
      </c>
      <c r="AU282" s="1">
        <v>16</v>
      </c>
      <c r="AV282" s="1">
        <v>1.0186999999999999</v>
      </c>
      <c r="AW282" s="1">
        <v>9.8074999999999992</v>
      </c>
      <c r="AX282" s="1">
        <v>0.25352000000000002</v>
      </c>
      <c r="BA282" s="1425">
        <v>44816</v>
      </c>
      <c r="BB282" s="1">
        <v>13.1614</v>
      </c>
      <c r="BC282" s="1">
        <v>3.2361</v>
      </c>
      <c r="BD282" s="1">
        <v>13.070399999999999</v>
      </c>
      <c r="BE282" s="1">
        <v>0.78713</v>
      </c>
      <c r="BG282" s="1425">
        <v>44816</v>
      </c>
      <c r="BH282" s="1">
        <v>16.166399999999999</v>
      </c>
      <c r="BI282" s="1">
        <v>4.4145000000000003</v>
      </c>
      <c r="BJ282" s="1">
        <v>23.015899999999998</v>
      </c>
      <c r="BT282" s="1425">
        <v>44826</v>
      </c>
      <c r="BU282" s="1">
        <v>19.834099999999999</v>
      </c>
      <c r="BV282" s="1">
        <v>4.5823999999999998</v>
      </c>
      <c r="BW282" s="1">
        <v>11.144299999999999</v>
      </c>
      <c r="BX282" s="1">
        <v>3.0293999999999999</v>
      </c>
      <c r="BZ282" s="1425">
        <v>44826</v>
      </c>
      <c r="CA282" s="1">
        <v>19.474299999999999</v>
      </c>
      <c r="CB282" s="1">
        <v>5.6006999999999998</v>
      </c>
      <c r="CC282" s="1">
        <v>15.6952</v>
      </c>
      <c r="CD282" s="1">
        <v>3.1780200000000001</v>
      </c>
      <c r="CF282" s="1425">
        <v>44825</v>
      </c>
      <c r="CG282" s="1">
        <v>4.5358000000000001</v>
      </c>
      <c r="CH282" s="1">
        <v>1.4648000000000001</v>
      </c>
      <c r="CI282" s="1">
        <v>7.8345000000000002</v>
      </c>
      <c r="CL282" s="1425">
        <v>44831</v>
      </c>
      <c r="CM282" s="1">
        <v>18.805</v>
      </c>
      <c r="CN282" s="1">
        <v>2.5869</v>
      </c>
      <c r="CO282" s="1">
        <v>10.521599999999999</v>
      </c>
    </row>
    <row r="283" spans="1:93">
      <c r="A283" s="1425">
        <v>44825</v>
      </c>
      <c r="B283" s="20">
        <f t="shared" si="42"/>
        <v>14.846299999999999</v>
      </c>
      <c r="C283" s="20">
        <f t="shared" si="44"/>
        <v>13.577299999999999</v>
      </c>
      <c r="D283" s="20">
        <f t="shared" si="45"/>
        <v>14.0503</v>
      </c>
      <c r="E283" s="20">
        <f t="shared" si="46"/>
        <v>6.75</v>
      </c>
      <c r="F283" s="20">
        <f t="shared" si="47"/>
        <v>16.166399999999999</v>
      </c>
      <c r="G283" s="20">
        <f t="shared" si="48"/>
        <v>13.4932</v>
      </c>
      <c r="H283" s="1239">
        <f t="shared" si="49"/>
        <v>13.577299999999999</v>
      </c>
      <c r="I283" s="1243">
        <f t="shared" si="43"/>
        <v>9.3464827322074395E-2</v>
      </c>
      <c r="J283" s="1243">
        <f t="shared" si="50"/>
        <v>0.12093838824177333</v>
      </c>
      <c r="K283" s="1243">
        <f t="shared" si="51"/>
        <v>0.1</v>
      </c>
      <c r="L283" s="203"/>
      <c r="N283" s="1425">
        <v>44825</v>
      </c>
      <c r="O283" s="1502">
        <v>14.846299999999999</v>
      </c>
      <c r="P283" s="1502">
        <v>5.7282000000000002</v>
      </c>
      <c r="Q283" s="1502">
        <v>15.332700000000001</v>
      </c>
      <c r="R283" s="1233">
        <f>'B. PE'!$U$23</f>
        <v>15.978235616082999</v>
      </c>
      <c r="S283" s="1233"/>
      <c r="T283" s="1233"/>
      <c r="V283" s="1425">
        <v>44825</v>
      </c>
      <c r="W283" s="1">
        <v>13.577299999999999</v>
      </c>
      <c r="X283" s="1">
        <v>1.8252999999999999</v>
      </c>
      <c r="Y283" s="1">
        <v>8.9431999999999992</v>
      </c>
      <c r="Z283" s="1">
        <v>1.37286</v>
      </c>
      <c r="AB283" s="1425">
        <v>44813</v>
      </c>
      <c r="AC283" s="1">
        <v>7.8151000000000002</v>
      </c>
      <c r="AD283" s="1502">
        <v>1.2047000000000001</v>
      </c>
      <c r="AE283" s="1">
        <v>5.1801000000000004</v>
      </c>
      <c r="AF283" s="1">
        <v>3.0200000000000001E-2</v>
      </c>
      <c r="AH283" s="1425">
        <v>44813</v>
      </c>
      <c r="AI283" s="1">
        <v>15.306900000000001</v>
      </c>
      <c r="AJ283" s="1">
        <v>2.831</v>
      </c>
      <c r="AK283" s="1">
        <v>8.2970000000000006</v>
      </c>
      <c r="AL283" s="1">
        <v>4.4630000000000003E-2</v>
      </c>
      <c r="AN283" s="1425">
        <v>44812</v>
      </c>
      <c r="AO283" s="1">
        <v>6.75</v>
      </c>
      <c r="AP283" s="1">
        <v>0.99990000000000001</v>
      </c>
      <c r="AQ283" s="1">
        <v>4.2742000000000004</v>
      </c>
      <c r="AR283" s="1">
        <v>0.23591999999999999</v>
      </c>
      <c r="AT283" s="1425">
        <v>44812</v>
      </c>
      <c r="AU283" s="1">
        <v>16.285699999999999</v>
      </c>
      <c r="AV283" s="1">
        <v>1.0368999999999999</v>
      </c>
      <c r="AW283" s="1">
        <v>9.9687000000000001</v>
      </c>
      <c r="AX283" s="1">
        <v>0.24482000000000001</v>
      </c>
      <c r="BA283" s="1425">
        <v>44813</v>
      </c>
      <c r="BB283" s="1">
        <v>13.1614</v>
      </c>
      <c r="BC283" s="1">
        <v>3.2361</v>
      </c>
      <c r="BD283" s="1">
        <v>13.070399999999999</v>
      </c>
      <c r="BE283" s="1">
        <v>0.79352</v>
      </c>
      <c r="BG283" s="1425">
        <v>44813</v>
      </c>
      <c r="BH283" s="1">
        <v>16.085599999999999</v>
      </c>
      <c r="BI283" s="1">
        <v>4.3924000000000003</v>
      </c>
      <c r="BJ283" s="1">
        <v>22.925000000000001</v>
      </c>
      <c r="BT283" s="1425">
        <v>44825</v>
      </c>
      <c r="BU283" s="1">
        <v>19.805800000000001</v>
      </c>
      <c r="BV283" s="1">
        <v>4.5758999999999999</v>
      </c>
      <c r="BW283" s="1">
        <v>11.1294</v>
      </c>
      <c r="BX283" s="1">
        <v>2.9788000000000001</v>
      </c>
      <c r="BZ283" s="1425">
        <v>44825</v>
      </c>
      <c r="CA283" s="1">
        <v>19.047499999999999</v>
      </c>
      <c r="CB283" s="1">
        <v>5.4779</v>
      </c>
      <c r="CC283" s="1">
        <v>15.427199999999999</v>
      </c>
      <c r="CD283" s="1">
        <v>3.0863</v>
      </c>
      <c r="CF283" s="1425">
        <v>44824</v>
      </c>
      <c r="CG283" s="1">
        <v>4.5547000000000004</v>
      </c>
      <c r="CH283" s="1">
        <v>1.4709000000000001</v>
      </c>
      <c r="CI283" s="1">
        <v>7.8480999999999996</v>
      </c>
      <c r="CL283" s="1425">
        <v>44830</v>
      </c>
      <c r="CM283" s="1">
        <v>18.765000000000001</v>
      </c>
      <c r="CN283" s="1">
        <v>2.5813999999999999</v>
      </c>
      <c r="CO283" s="1">
        <v>10.499499999999999</v>
      </c>
    </row>
    <row r="284" spans="1:93">
      <c r="A284" s="1425">
        <v>44824</v>
      </c>
      <c r="B284" s="20">
        <f t="shared" si="42"/>
        <v>14.8873</v>
      </c>
      <c r="C284" s="20">
        <f t="shared" si="44"/>
        <v>14.039400000000001</v>
      </c>
      <c r="D284" s="20">
        <f t="shared" si="45"/>
        <v>14.393000000000001</v>
      </c>
      <c r="E284" s="20">
        <f t="shared" si="46"/>
        <v>6.6875</v>
      </c>
      <c r="F284" s="20">
        <f t="shared" si="47"/>
        <v>16.328099999999999</v>
      </c>
      <c r="G284" s="20">
        <f t="shared" si="48"/>
        <v>13.6038</v>
      </c>
      <c r="H284" s="1239">
        <f t="shared" si="49"/>
        <v>14.039400000000001</v>
      </c>
      <c r="I284" s="1243">
        <f t="shared" si="43"/>
        <v>6.03943188455347E-2</v>
      </c>
      <c r="J284" s="1243">
        <f t="shared" si="50"/>
        <v>0.12093838824177333</v>
      </c>
      <c r="K284" s="1243">
        <f t="shared" si="51"/>
        <v>0.1</v>
      </c>
      <c r="L284" s="203"/>
      <c r="N284" s="1425">
        <v>44824</v>
      </c>
      <c r="O284" s="1502">
        <v>14.8873</v>
      </c>
      <c r="P284" s="1502">
        <v>5.7441000000000004</v>
      </c>
      <c r="Q284" s="1502">
        <v>15.371600000000001</v>
      </c>
      <c r="R284" s="1233">
        <f>'B. PE'!$U$23</f>
        <v>15.978235616082999</v>
      </c>
      <c r="S284" s="1233"/>
      <c r="T284" s="1233"/>
      <c r="V284" s="1425">
        <v>44824</v>
      </c>
      <c r="W284" s="1">
        <v>14.039400000000001</v>
      </c>
      <c r="X284" s="1">
        <v>1.8875</v>
      </c>
      <c r="Y284" s="1">
        <v>9.1613000000000007</v>
      </c>
      <c r="Z284" s="1">
        <v>1.4769399999999999</v>
      </c>
      <c r="AB284" s="1425">
        <v>44812</v>
      </c>
      <c r="AC284" s="1">
        <v>7.7821999999999996</v>
      </c>
      <c r="AD284" s="1502">
        <v>1.1996</v>
      </c>
      <c r="AE284" s="1">
        <v>5.1649000000000003</v>
      </c>
      <c r="AF284" s="1">
        <v>3.1269999999999999E-2</v>
      </c>
      <c r="AH284" s="1425">
        <v>44812</v>
      </c>
      <c r="AI284" s="1">
        <v>15.0784</v>
      </c>
      <c r="AJ284" s="1">
        <v>2.7888000000000002</v>
      </c>
      <c r="AK284" s="1">
        <v>8.1791</v>
      </c>
      <c r="AL284" s="1">
        <v>4.53E-2</v>
      </c>
      <c r="AN284" s="1425">
        <v>44811</v>
      </c>
      <c r="AO284" s="1">
        <v>6.6875</v>
      </c>
      <c r="AP284" s="1">
        <v>0.99070000000000003</v>
      </c>
      <c r="AQ284" s="1">
        <v>4.2276999999999996</v>
      </c>
      <c r="AR284" s="1">
        <v>0.23602999999999999</v>
      </c>
      <c r="AT284" s="1425">
        <v>44811</v>
      </c>
      <c r="AU284" s="1">
        <v>16.285699999999999</v>
      </c>
      <c r="AV284" s="1">
        <v>1.0368999999999999</v>
      </c>
      <c r="AW284" s="1">
        <v>9.9687000000000001</v>
      </c>
      <c r="AX284" s="1">
        <v>0.23602999999999999</v>
      </c>
      <c r="BA284" s="1425">
        <v>44812</v>
      </c>
      <c r="BB284" s="1">
        <v>12.718999999999999</v>
      </c>
      <c r="BC284" s="1">
        <v>3.1273</v>
      </c>
      <c r="BD284" s="1">
        <v>12.7407</v>
      </c>
      <c r="BE284" s="1">
        <v>0.78386999999999996</v>
      </c>
      <c r="BG284" s="1425">
        <v>44812</v>
      </c>
      <c r="BH284" s="1">
        <v>16.085599999999999</v>
      </c>
      <c r="BI284" s="1">
        <v>4.3924000000000003</v>
      </c>
      <c r="BJ284" s="1">
        <v>22.925000000000001</v>
      </c>
      <c r="BT284" s="1425">
        <v>44824</v>
      </c>
      <c r="BU284" s="1">
        <v>20.286799999999999</v>
      </c>
      <c r="BV284" s="1">
        <v>4.6870000000000003</v>
      </c>
      <c r="BW284" s="1">
        <v>11.382099999999999</v>
      </c>
      <c r="BX284" s="1">
        <v>3.0440999999999998</v>
      </c>
      <c r="BZ284" s="1425">
        <v>44824</v>
      </c>
      <c r="CA284" s="1">
        <v>19.429400000000001</v>
      </c>
      <c r="CB284" s="1">
        <v>5.5876999999999999</v>
      </c>
      <c r="CC284" s="1">
        <v>15.667</v>
      </c>
      <c r="CD284" s="1">
        <v>3.2463500000000001</v>
      </c>
      <c r="CF284" s="1425">
        <v>44823</v>
      </c>
      <c r="CG284" s="1">
        <v>4.5167999999999999</v>
      </c>
      <c r="CH284" s="1">
        <v>1.4587000000000001</v>
      </c>
      <c r="CI284" s="1">
        <v>7.8209</v>
      </c>
      <c r="CL284" s="1425">
        <v>44827</v>
      </c>
      <c r="CM284" s="1">
        <v>18.765000000000001</v>
      </c>
      <c r="CN284" s="1">
        <v>2.5813999999999999</v>
      </c>
      <c r="CO284" s="1">
        <v>10.499499999999999</v>
      </c>
    </row>
    <row r="285" spans="1:93">
      <c r="A285" s="1425">
        <v>44823</v>
      </c>
      <c r="B285" s="20">
        <f t="shared" si="42"/>
        <v>14.415100000000001</v>
      </c>
      <c r="C285" s="20">
        <f t="shared" si="44"/>
        <v>13.7195</v>
      </c>
      <c r="D285" s="20">
        <f t="shared" si="45"/>
        <v>14.621499999999999</v>
      </c>
      <c r="E285" s="20">
        <f t="shared" si="46"/>
        <v>6.5625</v>
      </c>
      <c r="F285" s="20">
        <f t="shared" si="47"/>
        <v>16.247199999999999</v>
      </c>
      <c r="G285" s="20">
        <f t="shared" si="48"/>
        <v>13.6038</v>
      </c>
      <c r="H285" s="1239">
        <f t="shared" si="49"/>
        <v>13.7195</v>
      </c>
      <c r="I285" s="1243">
        <f t="shared" si="43"/>
        <v>5.0701556179161056E-2</v>
      </c>
      <c r="J285" s="1243">
        <f t="shared" si="50"/>
        <v>0.12093838824177333</v>
      </c>
      <c r="K285" s="1243">
        <f t="shared" si="51"/>
        <v>0.1</v>
      </c>
      <c r="L285" s="203"/>
      <c r="N285" s="1425">
        <v>44823</v>
      </c>
      <c r="O285" s="1502">
        <v>14.415100000000001</v>
      </c>
      <c r="P285" s="1502">
        <v>5.5617999999999999</v>
      </c>
      <c r="Q285" s="1502">
        <v>14.9251</v>
      </c>
      <c r="R285" s="1233">
        <f>'B. PE'!$U$23</f>
        <v>15.978235616082999</v>
      </c>
      <c r="S285" s="1233"/>
      <c r="T285" s="1233"/>
      <c r="V285" s="1425">
        <v>44823</v>
      </c>
      <c r="W285" s="1">
        <v>13.7195</v>
      </c>
      <c r="X285" s="1">
        <v>1.8445</v>
      </c>
      <c r="Y285" s="1">
        <v>9.0103000000000009</v>
      </c>
      <c r="Z285" s="1">
        <v>1.53966</v>
      </c>
      <c r="AB285" s="1425">
        <v>44811</v>
      </c>
      <c r="AC285" s="1">
        <v>7.3882000000000003</v>
      </c>
      <c r="AD285" s="1502">
        <v>1.1389</v>
      </c>
      <c r="AE285" s="1">
        <v>4.9823000000000004</v>
      </c>
      <c r="AF285" s="1">
        <v>3.1730000000000001E-2</v>
      </c>
      <c r="AH285" s="1425">
        <v>44811</v>
      </c>
      <c r="AI285" s="1">
        <v>15.192600000000001</v>
      </c>
      <c r="AJ285" s="1">
        <v>2.8098999999999998</v>
      </c>
      <c r="AK285" s="1">
        <v>8.2380999999999993</v>
      </c>
      <c r="AL285" s="1">
        <v>4.5710000000000001E-2</v>
      </c>
      <c r="AN285" s="1425">
        <v>44810</v>
      </c>
      <c r="AO285" s="1">
        <v>6.625</v>
      </c>
      <c r="AP285" s="1">
        <v>0.98140000000000005</v>
      </c>
      <c r="AQ285" s="1">
        <v>4.1813000000000002</v>
      </c>
      <c r="AR285" s="1">
        <v>0.23405999999999999</v>
      </c>
      <c r="AT285" s="1425">
        <v>44810</v>
      </c>
      <c r="AU285" s="1">
        <v>15.7143</v>
      </c>
      <c r="AV285" s="1">
        <v>1.0004999999999999</v>
      </c>
      <c r="AW285" s="1">
        <v>9.6462000000000003</v>
      </c>
      <c r="AX285" s="1">
        <v>0.24521000000000001</v>
      </c>
      <c r="BA285" s="1425">
        <v>44811</v>
      </c>
      <c r="BB285" s="1">
        <v>12.829599999999999</v>
      </c>
      <c r="BC285" s="1">
        <v>3.1545000000000001</v>
      </c>
      <c r="BD285" s="1">
        <v>12.8231</v>
      </c>
      <c r="BE285" s="1">
        <v>0.77890000000000004</v>
      </c>
      <c r="BG285" s="1425">
        <v>44811</v>
      </c>
      <c r="BH285" s="1">
        <v>16.328099999999999</v>
      </c>
      <c r="BI285" s="1">
        <v>4.4585999999999997</v>
      </c>
      <c r="BJ285" s="1">
        <v>23.197800000000001</v>
      </c>
      <c r="BT285" s="1425">
        <v>44823</v>
      </c>
      <c r="BU285" s="1">
        <v>19.947199999999999</v>
      </c>
      <c r="BV285" s="1">
        <v>4.6086</v>
      </c>
      <c r="BW285" s="1">
        <v>11.2037</v>
      </c>
      <c r="BX285" s="1">
        <v>3.129</v>
      </c>
      <c r="BZ285" s="1425">
        <v>44823</v>
      </c>
      <c r="CA285" s="1">
        <v>18.867799999999999</v>
      </c>
      <c r="CB285" s="1">
        <v>5.4261999999999997</v>
      </c>
      <c r="CC285" s="1">
        <v>15.314399999999999</v>
      </c>
      <c r="CD285" s="1">
        <v>3.3504299999999998</v>
      </c>
      <c r="CF285" s="1425">
        <v>44820</v>
      </c>
      <c r="CG285" s="1">
        <v>4.6116999999999999</v>
      </c>
      <c r="CH285" s="1">
        <v>1.4893000000000001</v>
      </c>
      <c r="CI285" s="1">
        <v>7.8888999999999996</v>
      </c>
      <c r="CL285" s="1425">
        <v>44826</v>
      </c>
      <c r="CM285" s="1">
        <v>19.058399999999999</v>
      </c>
      <c r="CN285" s="1">
        <v>2.6217999999999999</v>
      </c>
      <c r="CO285" s="1">
        <v>10.661799999999999</v>
      </c>
    </row>
    <row r="286" spans="1:93">
      <c r="A286" s="1425">
        <v>44820</v>
      </c>
      <c r="B286" s="20">
        <f t="shared" si="42"/>
        <v>15.482799999999999</v>
      </c>
      <c r="C286" s="20">
        <f t="shared" si="44"/>
        <v>14.750299999999999</v>
      </c>
      <c r="D286" s="20">
        <f t="shared" si="45"/>
        <v>14.507300000000001</v>
      </c>
      <c r="E286" s="20">
        <f t="shared" si="46"/>
        <v>6.5625</v>
      </c>
      <c r="F286" s="20">
        <f t="shared" si="47"/>
        <v>16.570599999999999</v>
      </c>
      <c r="G286" s="20">
        <f t="shared" si="48"/>
        <v>14.046200000000001</v>
      </c>
      <c r="H286" s="1239">
        <f t="shared" si="49"/>
        <v>14.507300000000001</v>
      </c>
      <c r="I286" s="1243">
        <f t="shared" si="43"/>
        <v>6.7242009195370489E-2</v>
      </c>
      <c r="J286" s="1243">
        <f t="shared" si="50"/>
        <v>0.12093838824177333</v>
      </c>
      <c r="K286" s="1243">
        <f t="shared" si="51"/>
        <v>0.1</v>
      </c>
      <c r="L286" s="203"/>
      <c r="N286" s="1425">
        <v>44820</v>
      </c>
      <c r="O286" s="1502">
        <v>15.482799999999999</v>
      </c>
      <c r="P286" s="1502">
        <v>5.9737999999999998</v>
      </c>
      <c r="Q286" s="1502">
        <v>15.9346</v>
      </c>
      <c r="R286" s="1233">
        <f>'B. PE'!$U$23</f>
        <v>15.978235616082999</v>
      </c>
      <c r="S286" s="1233"/>
      <c r="T286" s="1233"/>
      <c r="V286" s="1425">
        <v>44820</v>
      </c>
      <c r="W286" s="1">
        <v>14.750299999999999</v>
      </c>
      <c r="X286" s="1">
        <v>1.9830000000000001</v>
      </c>
      <c r="Y286" s="1">
        <v>9.4967000000000006</v>
      </c>
      <c r="Z286" s="1">
        <v>1.5396399999999999</v>
      </c>
      <c r="AB286" s="1425">
        <v>44810</v>
      </c>
      <c r="AC286" s="1">
        <v>7.6509</v>
      </c>
      <c r="AD286" s="1502">
        <v>1.1794</v>
      </c>
      <c r="AE286" s="1">
        <v>5.1040000000000001</v>
      </c>
      <c r="AF286" s="1">
        <v>3.168E-2</v>
      </c>
      <c r="AH286" s="1425">
        <v>44810</v>
      </c>
      <c r="AI286" s="1">
        <v>15.421099999999999</v>
      </c>
      <c r="AJ286" s="1">
        <v>2.8521999999999998</v>
      </c>
      <c r="AK286" s="1">
        <v>8.3559999999999999</v>
      </c>
      <c r="AL286" s="1">
        <v>4.5650000000000003E-2</v>
      </c>
      <c r="AN286" s="1425">
        <v>44809</v>
      </c>
      <c r="AO286" s="1">
        <v>6.625</v>
      </c>
      <c r="AP286" s="1">
        <v>0.98140000000000005</v>
      </c>
      <c r="AQ286" s="1">
        <v>4.1813000000000002</v>
      </c>
      <c r="AR286" s="1">
        <v>0.23432</v>
      </c>
      <c r="AT286" s="1425">
        <v>44809</v>
      </c>
      <c r="AU286" s="1">
        <v>15.142899999999999</v>
      </c>
      <c r="AV286" s="1">
        <v>0.96409999999999996</v>
      </c>
      <c r="AW286" s="1">
        <v>9.3237000000000005</v>
      </c>
      <c r="AX286" s="1">
        <v>0.22985</v>
      </c>
      <c r="BA286" s="1425">
        <v>44810</v>
      </c>
      <c r="BB286" s="1">
        <v>12.718999999999999</v>
      </c>
      <c r="BC286" s="1">
        <v>3.1273</v>
      </c>
      <c r="BD286" s="1">
        <v>12.7407</v>
      </c>
      <c r="BE286" s="1">
        <v>0.78415000000000001</v>
      </c>
      <c r="BG286" s="1425">
        <v>44810</v>
      </c>
      <c r="BH286" s="1">
        <v>16.247199999999999</v>
      </c>
      <c r="BI286" s="1">
        <v>4.4366000000000003</v>
      </c>
      <c r="BJ286" s="1">
        <v>23.1069</v>
      </c>
      <c r="BT286" s="1425">
        <v>44820</v>
      </c>
      <c r="BU286" s="1">
        <v>20.371600000000001</v>
      </c>
      <c r="BV286" s="1">
        <v>4.7065999999999999</v>
      </c>
      <c r="BW286" s="1">
        <v>11.4267</v>
      </c>
      <c r="BX286" s="1">
        <v>3.1240999999999999</v>
      </c>
      <c r="BZ286" s="1425">
        <v>44820</v>
      </c>
      <c r="CA286" s="1">
        <v>19.8337</v>
      </c>
      <c r="CB286" s="1">
        <v>5.7039999999999997</v>
      </c>
      <c r="CC286" s="1">
        <v>15.9208</v>
      </c>
      <c r="CD286" s="1">
        <v>3.3800699999999999</v>
      </c>
      <c r="CF286" s="1425">
        <v>44819</v>
      </c>
      <c r="CG286" s="1">
        <v>4.7065999999999999</v>
      </c>
      <c r="CH286" s="1">
        <v>1.52</v>
      </c>
      <c r="CI286" s="1">
        <v>7.9568000000000003</v>
      </c>
      <c r="CL286" s="1425">
        <v>44825</v>
      </c>
      <c r="CM286" s="1">
        <v>18.618300000000001</v>
      </c>
      <c r="CN286" s="1">
        <v>2.5611999999999999</v>
      </c>
      <c r="CO286" s="1">
        <v>10.4183</v>
      </c>
    </row>
    <row r="287" spans="1:93">
      <c r="A287" s="1425">
        <v>44819</v>
      </c>
      <c r="B287" s="20">
        <f t="shared" si="42"/>
        <v>15.9346</v>
      </c>
      <c r="C287" s="20">
        <f t="shared" si="44"/>
        <v>15.3545</v>
      </c>
      <c r="D287" s="20">
        <f t="shared" si="45"/>
        <v>14.8499</v>
      </c>
      <c r="E287" s="20">
        <f t="shared" si="46"/>
        <v>6.75</v>
      </c>
      <c r="F287" s="20">
        <f t="shared" si="47"/>
        <v>16.651399999999999</v>
      </c>
      <c r="G287" s="20">
        <f t="shared" si="48"/>
        <v>14.046200000000001</v>
      </c>
      <c r="H287" s="1239">
        <f t="shared" si="49"/>
        <v>14.8499</v>
      </c>
      <c r="I287" s="1243">
        <f t="shared" si="43"/>
        <v>7.3044262924329528E-2</v>
      </c>
      <c r="J287" s="1243">
        <f t="shared" si="50"/>
        <v>0.12093838824177333</v>
      </c>
      <c r="K287" s="1243">
        <f t="shared" si="51"/>
        <v>0.1</v>
      </c>
      <c r="L287" s="203"/>
      <c r="N287" s="1425">
        <v>44819</v>
      </c>
      <c r="O287" s="1502">
        <v>15.9346</v>
      </c>
      <c r="P287" s="1502">
        <v>6.1481000000000003</v>
      </c>
      <c r="Q287" s="1502">
        <v>16.361699999999999</v>
      </c>
      <c r="R287" s="1233">
        <f>'B. PE'!$U$23</f>
        <v>15.978235616082999</v>
      </c>
      <c r="S287" s="1233"/>
      <c r="T287" s="1233"/>
      <c r="V287" s="1425">
        <v>44819</v>
      </c>
      <c r="W287" s="1">
        <v>15.3545</v>
      </c>
      <c r="X287" s="1">
        <v>2.0642999999999998</v>
      </c>
      <c r="Y287" s="1">
        <v>9.7819000000000003</v>
      </c>
      <c r="Z287" s="1">
        <v>1.5454300000000001</v>
      </c>
      <c r="AB287" s="1425">
        <v>44809</v>
      </c>
      <c r="AC287" s="1">
        <v>7.7493999999999996</v>
      </c>
      <c r="AD287" s="1502">
        <v>1.1946000000000001</v>
      </c>
      <c r="AE287" s="1">
        <v>5.1496000000000004</v>
      </c>
      <c r="AF287" s="1">
        <v>3.1140000000000001E-2</v>
      </c>
      <c r="AH287" s="1425">
        <v>44809</v>
      </c>
      <c r="AI287" s="1">
        <v>15.535299999999999</v>
      </c>
      <c r="AJ287" s="1">
        <v>2.8733</v>
      </c>
      <c r="AK287" s="1">
        <v>8.4148999999999994</v>
      </c>
      <c r="AL287" s="1">
        <v>4.598E-2</v>
      </c>
      <c r="AN287" s="1425">
        <v>44806</v>
      </c>
      <c r="AO287" s="1">
        <v>6.5625</v>
      </c>
      <c r="AP287" s="1">
        <v>0.97219999999999995</v>
      </c>
      <c r="AQ287" s="1">
        <v>4.1348000000000003</v>
      </c>
      <c r="AR287" s="1">
        <v>0.23632</v>
      </c>
      <c r="AT287" s="1425">
        <v>44806</v>
      </c>
      <c r="AU287" s="1">
        <v>15.7143</v>
      </c>
      <c r="AV287" s="1">
        <v>1.0004999999999999</v>
      </c>
      <c r="AW287" s="1">
        <v>9.6462000000000003</v>
      </c>
      <c r="AX287" s="1">
        <v>0.22963</v>
      </c>
      <c r="BA287" s="1425">
        <v>44809</v>
      </c>
      <c r="BB287" s="1">
        <v>12.6084</v>
      </c>
      <c r="BC287" s="1">
        <v>3.1000999999999999</v>
      </c>
      <c r="BD287" s="1">
        <v>12.658300000000001</v>
      </c>
      <c r="BE287" s="1">
        <v>0.78129000000000004</v>
      </c>
      <c r="BG287" s="1425">
        <v>44809</v>
      </c>
      <c r="BH287" s="1">
        <v>16.085599999999999</v>
      </c>
      <c r="BI287" s="1">
        <v>4.3924000000000003</v>
      </c>
      <c r="BJ287" s="1">
        <v>22.925000000000001</v>
      </c>
      <c r="BT287" s="1425">
        <v>44819</v>
      </c>
      <c r="BU287" s="1">
        <v>20.909199999999998</v>
      </c>
      <c r="BV287" s="1">
        <v>4.8308999999999997</v>
      </c>
      <c r="BW287" s="1">
        <v>11.709099999999999</v>
      </c>
      <c r="BX287" s="1">
        <v>3.1456</v>
      </c>
      <c r="BZ287" s="1425">
        <v>44819</v>
      </c>
      <c r="CA287" s="1">
        <v>20.440100000000001</v>
      </c>
      <c r="CB287" s="1">
        <v>5.8784000000000001</v>
      </c>
      <c r="CC287" s="1">
        <v>16.301600000000001</v>
      </c>
      <c r="CD287" s="1">
        <v>3.3664900000000002</v>
      </c>
      <c r="CF287" s="1425">
        <v>44818</v>
      </c>
      <c r="CG287" s="1">
        <v>4.7065999999999999</v>
      </c>
      <c r="CH287" s="1">
        <v>1.52</v>
      </c>
      <c r="CI287" s="1">
        <v>7.9568000000000003</v>
      </c>
      <c r="CL287" s="1425">
        <v>44824</v>
      </c>
      <c r="CM287" s="1">
        <v>18.6983</v>
      </c>
      <c r="CN287" s="1">
        <v>2.5722</v>
      </c>
      <c r="CO287" s="1">
        <v>10.4626</v>
      </c>
    </row>
    <row r="288" spans="1:93">
      <c r="A288" s="1425">
        <v>44818</v>
      </c>
      <c r="B288" s="20">
        <f t="shared" si="42"/>
        <v>15.9757</v>
      </c>
      <c r="C288" s="20">
        <f t="shared" si="44"/>
        <v>15.3367</v>
      </c>
      <c r="D288" s="20">
        <f t="shared" si="45"/>
        <v>15.192600000000001</v>
      </c>
      <c r="E288" s="20">
        <f t="shared" si="46"/>
        <v>6.875</v>
      </c>
      <c r="F288" s="20">
        <f t="shared" si="47"/>
        <v>16.328099999999999</v>
      </c>
      <c r="G288" s="20">
        <f t="shared" si="48"/>
        <v>13.935600000000001</v>
      </c>
      <c r="H288" s="1239">
        <f t="shared" si="49"/>
        <v>15.192600000000001</v>
      </c>
      <c r="I288" s="1243">
        <f t="shared" si="43"/>
        <v>5.1544831036162364E-2</v>
      </c>
      <c r="J288" s="1243">
        <f t="shared" si="50"/>
        <v>0.12093838824177333</v>
      </c>
      <c r="K288" s="1243">
        <f t="shared" si="51"/>
        <v>0.1</v>
      </c>
      <c r="L288" s="203"/>
      <c r="N288" s="1425">
        <v>44818</v>
      </c>
      <c r="O288" s="1502">
        <v>15.9757</v>
      </c>
      <c r="P288" s="1502">
        <v>6.1639999999999997</v>
      </c>
      <c r="Q288" s="1502">
        <v>16.400500000000001</v>
      </c>
      <c r="R288" s="1233">
        <f>'B. PE'!$U$23</f>
        <v>15.978235616082999</v>
      </c>
      <c r="S288" s="1233"/>
      <c r="T288" s="1233"/>
      <c r="V288" s="1425">
        <v>44818</v>
      </c>
      <c r="W288" s="1">
        <v>15.3367</v>
      </c>
      <c r="X288" s="1">
        <v>2.0619000000000001</v>
      </c>
      <c r="Y288" s="1">
        <v>9.7735000000000003</v>
      </c>
      <c r="Z288" s="1">
        <v>1.5607899999999999</v>
      </c>
      <c r="AB288" s="1425">
        <v>44806</v>
      </c>
      <c r="AC288" s="1">
        <v>7.7493999999999996</v>
      </c>
      <c r="AD288" s="1502">
        <v>1.1946000000000001</v>
      </c>
      <c r="AE288" s="1">
        <v>5.1496000000000004</v>
      </c>
      <c r="AF288" s="1">
        <v>3.2870000000000003E-2</v>
      </c>
      <c r="AH288" s="1425">
        <v>44806</v>
      </c>
      <c r="AI288" s="1">
        <v>15.535299999999999</v>
      </c>
      <c r="AJ288" s="1">
        <v>2.8733</v>
      </c>
      <c r="AK288" s="1">
        <v>8.4148999999999994</v>
      </c>
      <c r="AL288" s="1">
        <v>4.7149999999999997E-2</v>
      </c>
      <c r="AN288" s="1425">
        <v>44805</v>
      </c>
      <c r="AO288" s="1">
        <v>6.5625</v>
      </c>
      <c r="AP288" s="1">
        <v>0.97219999999999995</v>
      </c>
      <c r="AQ288" s="1">
        <v>4.1348000000000003</v>
      </c>
      <c r="AR288" s="1">
        <v>0.23393</v>
      </c>
      <c r="AT288" s="1425">
        <v>44805</v>
      </c>
      <c r="AU288" s="1">
        <v>14.7143</v>
      </c>
      <c r="AV288" s="1">
        <v>0.93689999999999996</v>
      </c>
      <c r="AW288" s="1">
        <v>9.0818999999999992</v>
      </c>
      <c r="AX288" s="1">
        <v>0.22502</v>
      </c>
      <c r="BA288" s="1425">
        <v>44806</v>
      </c>
      <c r="BB288" s="1">
        <v>12.718999999999999</v>
      </c>
      <c r="BC288" s="1">
        <v>3.1273</v>
      </c>
      <c r="BD288" s="1">
        <v>12.7407</v>
      </c>
      <c r="BE288" s="1">
        <v>0.79995000000000005</v>
      </c>
      <c r="BG288" s="1425">
        <v>44806</v>
      </c>
      <c r="BH288" s="1">
        <v>16.651399999999999</v>
      </c>
      <c r="BI288" s="1">
        <v>4.5468999999999999</v>
      </c>
      <c r="BJ288" s="1">
        <v>23.561599999999999</v>
      </c>
      <c r="BT288" s="1425">
        <v>44818</v>
      </c>
      <c r="BU288" s="1">
        <v>20.852599999999999</v>
      </c>
      <c r="BV288" s="1">
        <v>4.8178000000000001</v>
      </c>
      <c r="BW288" s="1">
        <v>11.6793</v>
      </c>
      <c r="BX288" s="1">
        <v>3.1471</v>
      </c>
      <c r="BZ288" s="1425">
        <v>44818</v>
      </c>
      <c r="CA288" s="1">
        <v>20.5974</v>
      </c>
      <c r="CB288" s="1">
        <v>5.9237000000000002</v>
      </c>
      <c r="CC288" s="1">
        <v>16.400400000000001</v>
      </c>
      <c r="CD288" s="1">
        <v>3.3985300000000001</v>
      </c>
      <c r="CF288" s="1425">
        <v>44817</v>
      </c>
      <c r="CG288" s="1">
        <v>4.7256</v>
      </c>
      <c r="CH288" s="1">
        <v>1.5261</v>
      </c>
      <c r="CI288" s="1">
        <v>7.9703999999999997</v>
      </c>
      <c r="CL288" s="1425">
        <v>44823</v>
      </c>
      <c r="CM288" s="1">
        <v>18.898399999999999</v>
      </c>
      <c r="CN288" s="1">
        <v>2.5996999999999999</v>
      </c>
      <c r="CO288" s="1">
        <v>10.5733</v>
      </c>
    </row>
    <row r="289" spans="1:93">
      <c r="A289" s="1425">
        <v>44817</v>
      </c>
      <c r="B289" s="20">
        <f t="shared" si="42"/>
        <v>15.811400000000001</v>
      </c>
      <c r="C289" s="20">
        <f t="shared" si="44"/>
        <v>15.372299999999999</v>
      </c>
      <c r="D289" s="20">
        <f t="shared" si="45"/>
        <v>15.421099999999999</v>
      </c>
      <c r="E289" s="20">
        <f t="shared" si="46"/>
        <v>7.0625</v>
      </c>
      <c r="F289" s="20">
        <f t="shared" si="47"/>
        <v>16.085599999999999</v>
      </c>
      <c r="G289" s="20">
        <f t="shared" si="48"/>
        <v>13.935600000000001</v>
      </c>
      <c r="H289" s="1239">
        <f t="shared" si="49"/>
        <v>15.372299999999999</v>
      </c>
      <c r="I289" s="1243">
        <f t="shared" si="43"/>
        <v>2.8564365774802924E-2</v>
      </c>
      <c r="J289" s="1243">
        <f t="shared" si="50"/>
        <v>0.12093838824177333</v>
      </c>
      <c r="K289" s="1243">
        <f t="shared" si="51"/>
        <v>0.1</v>
      </c>
      <c r="L289" s="203"/>
      <c r="N289" s="1425">
        <v>44817</v>
      </c>
      <c r="O289" s="1502">
        <v>15.811400000000001</v>
      </c>
      <c r="P289" s="1502">
        <v>6.1006</v>
      </c>
      <c r="Q289" s="1502">
        <v>16.245200000000001</v>
      </c>
      <c r="R289" s="1233">
        <f>'B. PE'!$U$23</f>
        <v>15.978235616082999</v>
      </c>
      <c r="S289" s="1233"/>
      <c r="T289" s="1233"/>
      <c r="V289" s="1425">
        <v>44817</v>
      </c>
      <c r="W289" s="1">
        <v>15.372299999999999</v>
      </c>
      <c r="X289" s="1">
        <v>2.0667</v>
      </c>
      <c r="Y289" s="1">
        <v>9.7903000000000002</v>
      </c>
      <c r="Z289" s="1">
        <v>1.52121</v>
      </c>
      <c r="AB289" s="1425">
        <v>44805</v>
      </c>
      <c r="AC289" s="1">
        <v>7.6181000000000001</v>
      </c>
      <c r="AD289" s="1502">
        <v>1.1742999999999999</v>
      </c>
      <c r="AE289" s="1">
        <v>5.0888</v>
      </c>
      <c r="AF289" s="1">
        <v>3.4009999999999999E-2</v>
      </c>
      <c r="AH289" s="1425">
        <v>44805</v>
      </c>
      <c r="AI289" s="1">
        <v>15.6496</v>
      </c>
      <c r="AJ289" s="1">
        <v>2.8944000000000001</v>
      </c>
      <c r="AK289" s="1">
        <v>8.4739000000000004</v>
      </c>
      <c r="AL289" s="1">
        <v>4.58E-2</v>
      </c>
      <c r="AN289" s="1425">
        <v>44803</v>
      </c>
      <c r="AO289" s="1">
        <v>6.625</v>
      </c>
      <c r="AP289" s="1">
        <v>0.98140000000000005</v>
      </c>
      <c r="AQ289" s="1">
        <v>4.1813000000000002</v>
      </c>
      <c r="AR289" s="1">
        <v>0.23024</v>
      </c>
      <c r="AT289" s="1425">
        <v>44803</v>
      </c>
      <c r="AU289" s="1">
        <v>14.7143</v>
      </c>
      <c r="AV289" s="1">
        <v>0.93689999999999996</v>
      </c>
      <c r="AW289" s="1">
        <v>9.0818999999999992</v>
      </c>
      <c r="AX289" s="1">
        <v>0.21571000000000001</v>
      </c>
      <c r="BA289" s="1425">
        <v>44805</v>
      </c>
      <c r="BB289" s="1">
        <v>12.718999999999999</v>
      </c>
      <c r="BC289" s="1">
        <v>3.1273</v>
      </c>
      <c r="BD289" s="1">
        <v>12.7407</v>
      </c>
      <c r="BE289" s="1">
        <v>0.82274999999999998</v>
      </c>
      <c r="BG289" s="1425">
        <v>44805</v>
      </c>
      <c r="BH289" s="1">
        <v>16.570599999999999</v>
      </c>
      <c r="BI289" s="1">
        <v>4.5248999999999997</v>
      </c>
      <c r="BJ289" s="1">
        <v>23.470600000000001</v>
      </c>
      <c r="BT289" s="1425">
        <v>44817</v>
      </c>
      <c r="BU289" s="1">
        <v>20.965800000000002</v>
      </c>
      <c r="BV289" s="1">
        <v>4.8438999999999997</v>
      </c>
      <c r="BW289" s="1">
        <v>11.738799999999999</v>
      </c>
      <c r="BX289" s="1">
        <v>3.0615999999999999</v>
      </c>
      <c r="BZ289" s="1425">
        <v>44817</v>
      </c>
      <c r="CA289" s="1">
        <v>20.485099999999999</v>
      </c>
      <c r="CB289" s="1">
        <v>5.8914</v>
      </c>
      <c r="CC289" s="1">
        <v>16.329799999999999</v>
      </c>
      <c r="CD289" s="1">
        <v>3.2612899999999998</v>
      </c>
      <c r="CF289" s="1425">
        <v>44816</v>
      </c>
      <c r="CG289" s="1">
        <v>4.7065999999999999</v>
      </c>
      <c r="CH289" s="1">
        <v>1.52</v>
      </c>
      <c r="CI289" s="1">
        <v>7.9568000000000003</v>
      </c>
      <c r="CL289" s="1425">
        <v>44820</v>
      </c>
      <c r="CM289" s="1">
        <v>18.9117</v>
      </c>
      <c r="CN289" s="1">
        <v>2.6015999999999999</v>
      </c>
      <c r="CO289" s="1">
        <v>10.5806</v>
      </c>
    </row>
    <row r="290" spans="1:93">
      <c r="A290" s="1425">
        <v>44816</v>
      </c>
      <c r="B290" s="20">
        <f t="shared" si="42"/>
        <v>15.9551</v>
      </c>
      <c r="C290" s="20">
        <f t="shared" si="44"/>
        <v>15.496700000000001</v>
      </c>
      <c r="D290" s="20">
        <f t="shared" si="45"/>
        <v>15.7638</v>
      </c>
      <c r="E290" s="20">
        <f t="shared" si="46"/>
        <v>7.0625</v>
      </c>
      <c r="F290" s="20">
        <f t="shared" si="47"/>
        <v>16.166399999999999</v>
      </c>
      <c r="G290" s="20">
        <f t="shared" si="48"/>
        <v>13.1614</v>
      </c>
      <c r="H290" s="1239">
        <f t="shared" si="49"/>
        <v>15.496700000000001</v>
      </c>
      <c r="I290" s="1243">
        <f t="shared" si="43"/>
        <v>2.9580491330412295E-2</v>
      </c>
      <c r="J290" s="1243">
        <f t="shared" si="50"/>
        <v>0.12093838824177333</v>
      </c>
      <c r="K290" s="1243">
        <f t="shared" si="51"/>
        <v>0.1</v>
      </c>
      <c r="L290" s="203"/>
      <c r="N290" s="1425">
        <v>44816</v>
      </c>
      <c r="O290" s="1502">
        <v>15.9551</v>
      </c>
      <c r="P290" s="1502">
        <v>6.1561000000000003</v>
      </c>
      <c r="Q290" s="1502">
        <v>16.3811</v>
      </c>
      <c r="R290" s="1233">
        <f>'B. PE'!$U$23</f>
        <v>15.978235616082999</v>
      </c>
      <c r="S290" s="1233"/>
      <c r="T290" s="1233"/>
      <c r="V290" s="1425">
        <v>44816</v>
      </c>
      <c r="W290" s="1">
        <v>15.496700000000001</v>
      </c>
      <c r="X290" s="1">
        <v>2.0834000000000001</v>
      </c>
      <c r="Y290" s="1">
        <v>9.8490000000000002</v>
      </c>
      <c r="Z290" s="1">
        <v>1.48902</v>
      </c>
      <c r="AB290" s="1425">
        <v>44804</v>
      </c>
      <c r="AC290" s="1">
        <v>8.0121000000000002</v>
      </c>
      <c r="AD290" s="1502">
        <v>1.2351000000000001</v>
      </c>
      <c r="AE290" s="1">
        <v>5.2713000000000001</v>
      </c>
      <c r="AF290" s="1">
        <v>3.3599999999999998E-2</v>
      </c>
      <c r="AH290" s="1425">
        <v>44804</v>
      </c>
      <c r="AI290" s="1">
        <v>15.9922</v>
      </c>
      <c r="AJ290" s="1">
        <v>2.9578000000000002</v>
      </c>
      <c r="AK290" s="1">
        <v>8.6507000000000005</v>
      </c>
      <c r="AL290" s="1">
        <v>4.4350000000000001E-2</v>
      </c>
      <c r="AN290" s="1425">
        <v>44802</v>
      </c>
      <c r="AO290" s="1">
        <v>6.5625</v>
      </c>
      <c r="AP290" s="1">
        <v>0.97219999999999995</v>
      </c>
      <c r="AQ290" s="1">
        <v>4.1348000000000003</v>
      </c>
      <c r="AR290" s="1">
        <v>0.23485</v>
      </c>
      <c r="AT290" s="1425">
        <v>44802</v>
      </c>
      <c r="AU290" s="1">
        <v>14.428599999999999</v>
      </c>
      <c r="AV290" s="1">
        <v>0.91869999999999996</v>
      </c>
      <c r="AW290" s="1">
        <v>8.9206000000000003</v>
      </c>
      <c r="AX290" s="1">
        <v>0.21360000000000001</v>
      </c>
      <c r="BA290" s="1425">
        <v>44804</v>
      </c>
      <c r="BB290" s="1">
        <v>12.940200000000001</v>
      </c>
      <c r="BC290" s="1">
        <v>3.1817000000000002</v>
      </c>
      <c r="BD290" s="1">
        <v>12.9056</v>
      </c>
      <c r="BE290" s="1">
        <v>0.80530000000000002</v>
      </c>
      <c r="BG290" s="1425">
        <v>44804</v>
      </c>
      <c r="BH290" s="1">
        <v>16.813099999999999</v>
      </c>
      <c r="BI290" s="1">
        <v>4.5911</v>
      </c>
      <c r="BJ290" s="1">
        <v>23.743500000000001</v>
      </c>
      <c r="BT290" s="1425">
        <v>44816</v>
      </c>
      <c r="BU290" s="1">
        <v>20.9375</v>
      </c>
      <c r="BV290" s="1">
        <v>4.8373999999999997</v>
      </c>
      <c r="BW290" s="1">
        <v>11.7239</v>
      </c>
      <c r="BX290" s="1">
        <v>3.0367000000000002</v>
      </c>
      <c r="BZ290" s="1425">
        <v>44816</v>
      </c>
      <c r="CA290" s="1">
        <v>20.642299999999999</v>
      </c>
      <c r="CB290" s="1">
        <v>5.9366000000000003</v>
      </c>
      <c r="CC290" s="1">
        <v>16.428599999999999</v>
      </c>
      <c r="CD290" s="1">
        <v>3.1835399999999998</v>
      </c>
      <c r="CF290" s="1425">
        <v>44813</v>
      </c>
      <c r="CG290" s="1">
        <v>4.5926999999999998</v>
      </c>
      <c r="CH290" s="1">
        <v>1.4832000000000001</v>
      </c>
      <c r="CI290" s="1">
        <v>7.8753000000000002</v>
      </c>
      <c r="CL290" s="1425">
        <v>44819</v>
      </c>
      <c r="CM290" s="1">
        <v>18.938400000000001</v>
      </c>
      <c r="CN290" s="1">
        <v>2.6052</v>
      </c>
      <c r="CO290" s="1">
        <v>10.5954</v>
      </c>
    </row>
    <row r="291" spans="1:93">
      <c r="A291" s="1425">
        <v>44813</v>
      </c>
      <c r="B291" s="20">
        <f t="shared" si="42"/>
        <v>15.092700000000001</v>
      </c>
      <c r="C291" s="20">
        <f t="shared" si="44"/>
        <v>15.105700000000001</v>
      </c>
      <c r="D291" s="20">
        <f t="shared" si="45"/>
        <v>15.306900000000001</v>
      </c>
      <c r="E291" s="20">
        <f t="shared" si="46"/>
        <v>6.875</v>
      </c>
      <c r="F291" s="20">
        <f t="shared" si="47"/>
        <v>16.085599999999999</v>
      </c>
      <c r="G291" s="20">
        <f t="shared" si="48"/>
        <v>13.1614</v>
      </c>
      <c r="H291" s="1239">
        <f t="shared" si="49"/>
        <v>15.105700000000001</v>
      </c>
      <c r="I291" s="1243">
        <f t="shared" si="43"/>
        <v>-8.6060228920203929E-4</v>
      </c>
      <c r="J291" s="1243">
        <f t="shared" si="50"/>
        <v>0.12093838824177333</v>
      </c>
      <c r="K291" s="1243">
        <f t="shared" si="51"/>
        <v>0.1</v>
      </c>
      <c r="L291" s="203"/>
      <c r="N291" s="1425">
        <v>44813</v>
      </c>
      <c r="O291" s="1502">
        <v>15.092700000000001</v>
      </c>
      <c r="P291" s="1502">
        <v>5.8232999999999997</v>
      </c>
      <c r="Q291" s="1502">
        <v>15.5657</v>
      </c>
      <c r="R291" s="1233">
        <f>'B. PE'!$U$23</f>
        <v>15.978235616082999</v>
      </c>
      <c r="S291" s="1233"/>
      <c r="T291" s="1233"/>
      <c r="V291" s="1425">
        <v>44813</v>
      </c>
      <c r="W291" s="1">
        <v>15.105700000000001</v>
      </c>
      <c r="X291" s="1">
        <v>2.0308000000000002</v>
      </c>
      <c r="Y291" s="1">
        <v>9.6645000000000003</v>
      </c>
      <c r="Z291" s="1">
        <v>1.4436</v>
      </c>
      <c r="AB291" s="1425">
        <v>44803</v>
      </c>
      <c r="AC291" s="1">
        <v>8.2911999999999999</v>
      </c>
      <c r="AD291" s="1502">
        <v>1.2781</v>
      </c>
      <c r="AE291" s="1">
        <v>5.4005999999999998</v>
      </c>
      <c r="AF291" s="1">
        <v>3.3590000000000002E-2</v>
      </c>
      <c r="AH291" s="1425">
        <v>44803</v>
      </c>
      <c r="AI291" s="1">
        <v>15.535299999999999</v>
      </c>
      <c r="AJ291" s="1">
        <v>2.8733</v>
      </c>
      <c r="AK291" s="1">
        <v>8.4148999999999994</v>
      </c>
      <c r="AL291" s="1">
        <v>4.5190000000000001E-2</v>
      </c>
      <c r="AN291" s="1425">
        <v>44799</v>
      </c>
      <c r="AO291" s="1">
        <v>6.4375</v>
      </c>
      <c r="AP291" s="1">
        <v>0.9536</v>
      </c>
      <c r="AQ291" s="1">
        <v>4.0418000000000003</v>
      </c>
      <c r="AR291" s="1">
        <v>0.23429</v>
      </c>
      <c r="AT291" s="1425">
        <v>44799</v>
      </c>
      <c r="AU291" s="1">
        <v>13.7857</v>
      </c>
      <c r="AV291" s="1">
        <v>0.87770000000000004</v>
      </c>
      <c r="AW291" s="1">
        <v>8.5579000000000001</v>
      </c>
      <c r="AX291" s="1">
        <v>0.21309</v>
      </c>
      <c r="BA291" s="1425">
        <v>44803</v>
      </c>
      <c r="BB291" s="1">
        <v>13.272</v>
      </c>
      <c r="BC291" s="1">
        <v>3.2631999999999999</v>
      </c>
      <c r="BD291" s="1">
        <v>13.152799999999999</v>
      </c>
      <c r="BE291" s="1">
        <v>0.82889000000000002</v>
      </c>
      <c r="BG291" s="1425">
        <v>44803</v>
      </c>
      <c r="BH291" s="1">
        <v>17.136399999999998</v>
      </c>
      <c r="BI291" s="1">
        <v>4.6794000000000002</v>
      </c>
      <c r="BJ291" s="1">
        <v>24.107199999999999</v>
      </c>
      <c r="BT291" s="1425">
        <v>44813</v>
      </c>
      <c r="BU291" s="1">
        <v>20.371600000000001</v>
      </c>
      <c r="BV291" s="1">
        <v>4.7065999999999999</v>
      </c>
      <c r="BW291" s="1">
        <v>11.4267</v>
      </c>
      <c r="BX291" s="1">
        <v>2.9975000000000001</v>
      </c>
      <c r="BZ291" s="1425">
        <v>44813</v>
      </c>
      <c r="CA291" s="1">
        <v>19.811199999999999</v>
      </c>
      <c r="CB291" s="1">
        <v>5.6976000000000004</v>
      </c>
      <c r="CC291" s="1">
        <v>15.906700000000001</v>
      </c>
      <c r="CD291" s="1">
        <v>3.1337700000000002</v>
      </c>
      <c r="CF291" s="1425">
        <v>44812</v>
      </c>
      <c r="CG291" s="1">
        <v>4.6496000000000004</v>
      </c>
      <c r="CH291" s="1">
        <v>1.5016</v>
      </c>
      <c r="CI291" s="1">
        <v>7.9160000000000004</v>
      </c>
      <c r="CL291" s="1425">
        <v>44818</v>
      </c>
      <c r="CM291" s="1">
        <v>19.031700000000001</v>
      </c>
      <c r="CN291" s="1">
        <v>2.6181000000000001</v>
      </c>
      <c r="CO291" s="1">
        <v>10.647</v>
      </c>
    </row>
    <row r="292" spans="1:93">
      <c r="A292" s="1425">
        <v>44812</v>
      </c>
      <c r="B292" s="20">
        <f t="shared" si="42"/>
        <v>14.743600000000001</v>
      </c>
      <c r="C292" s="20">
        <f t="shared" si="44"/>
        <v>14.803599999999999</v>
      </c>
      <c r="D292" s="20">
        <f t="shared" si="45"/>
        <v>15.0784</v>
      </c>
      <c r="E292" s="20">
        <f t="shared" si="46"/>
        <v>6.75</v>
      </c>
      <c r="F292" s="20">
        <f t="shared" si="47"/>
        <v>16.085599999999999</v>
      </c>
      <c r="G292" s="20">
        <f t="shared" si="48"/>
        <v>12.718999999999999</v>
      </c>
      <c r="H292" s="1239">
        <f t="shared" si="49"/>
        <v>14.803599999999999</v>
      </c>
      <c r="I292" s="1243">
        <f t="shared" si="43"/>
        <v>-4.0530681726065332E-3</v>
      </c>
      <c r="J292" s="1243">
        <f t="shared" si="50"/>
        <v>0.12093838824177333</v>
      </c>
      <c r="K292" s="1243">
        <f t="shared" si="51"/>
        <v>0.1</v>
      </c>
      <c r="L292" s="203"/>
      <c r="N292" s="1425">
        <v>44812</v>
      </c>
      <c r="O292" s="1502">
        <v>14.743600000000001</v>
      </c>
      <c r="P292" s="1502">
        <v>5.6886000000000001</v>
      </c>
      <c r="Q292" s="1502">
        <v>15.2357</v>
      </c>
      <c r="R292" s="1233">
        <f>'B. PE'!$U$23</f>
        <v>15.978235616082999</v>
      </c>
      <c r="S292" s="1233"/>
      <c r="T292" s="1233"/>
      <c r="V292" s="1425">
        <v>44812</v>
      </c>
      <c r="W292" s="1">
        <v>14.803599999999999</v>
      </c>
      <c r="X292" s="1">
        <v>1.9902</v>
      </c>
      <c r="Y292" s="1">
        <v>9.5219000000000005</v>
      </c>
      <c r="Z292" s="1">
        <v>1.5546199999999999</v>
      </c>
      <c r="AB292" s="1425">
        <v>44802</v>
      </c>
      <c r="AC292" s="1">
        <v>8.2090999999999994</v>
      </c>
      <c r="AD292" s="1502">
        <v>1.2654000000000001</v>
      </c>
      <c r="AE292" s="1">
        <v>5.3625999999999996</v>
      </c>
      <c r="AF292" s="1">
        <v>3.329E-2</v>
      </c>
      <c r="AH292" s="1425">
        <v>44802</v>
      </c>
      <c r="AI292" s="1">
        <v>15.0784</v>
      </c>
      <c r="AJ292" s="1">
        <v>2.7888000000000002</v>
      </c>
      <c r="AK292" s="1">
        <v>8.1791</v>
      </c>
      <c r="AL292" s="1">
        <v>4.4659999999999998E-2</v>
      </c>
      <c r="AN292" s="1425">
        <v>44798</v>
      </c>
      <c r="AO292" s="1">
        <v>6.5625</v>
      </c>
      <c r="AP292" s="1">
        <v>0.97219999999999995</v>
      </c>
      <c r="AQ292" s="1">
        <v>4.1348000000000003</v>
      </c>
      <c r="AR292" s="1">
        <v>0.23161999999999999</v>
      </c>
      <c r="AT292" s="1425">
        <v>44798</v>
      </c>
      <c r="AU292" s="1">
        <v>13.642899999999999</v>
      </c>
      <c r="AV292" s="1">
        <v>0.86860000000000004</v>
      </c>
      <c r="AW292" s="1">
        <v>8.4771999999999998</v>
      </c>
      <c r="AX292" s="1">
        <v>0.21046000000000001</v>
      </c>
      <c r="BA292" s="1425">
        <v>44802</v>
      </c>
      <c r="BB292" s="1">
        <v>12.940200000000001</v>
      </c>
      <c r="BC292" s="1">
        <v>3.1817000000000002</v>
      </c>
      <c r="BD292" s="1">
        <v>12.9056</v>
      </c>
      <c r="BE292" s="1">
        <v>0.83604999999999996</v>
      </c>
      <c r="BG292" s="1425">
        <v>44802</v>
      </c>
      <c r="BH292" s="1">
        <v>16.489699999999999</v>
      </c>
      <c r="BI292" s="1">
        <v>4.5027999999999997</v>
      </c>
      <c r="BJ292" s="1">
        <v>23.3797</v>
      </c>
      <c r="BT292" s="1425">
        <v>44812</v>
      </c>
      <c r="BU292" s="1">
        <v>20.2302</v>
      </c>
      <c r="BV292" s="1">
        <v>4.6740000000000004</v>
      </c>
      <c r="BW292" s="1">
        <v>11.3523</v>
      </c>
      <c r="BX292" s="1">
        <v>3.0987</v>
      </c>
      <c r="BZ292" s="1425">
        <v>44812</v>
      </c>
      <c r="CA292" s="1">
        <v>19.361999999999998</v>
      </c>
      <c r="CB292" s="1">
        <v>5.5683999999999996</v>
      </c>
      <c r="CC292" s="1">
        <v>15.624700000000001</v>
      </c>
      <c r="CD292" s="1">
        <v>3.3561399999999999</v>
      </c>
      <c r="CF292" s="1425">
        <v>44811</v>
      </c>
      <c r="CG292" s="1">
        <v>4.6875999999999998</v>
      </c>
      <c r="CH292" s="1">
        <v>1.5138</v>
      </c>
      <c r="CI292" s="1">
        <v>7.9432</v>
      </c>
      <c r="CL292" s="1425">
        <v>44817</v>
      </c>
      <c r="CM292" s="1">
        <v>19.2318</v>
      </c>
      <c r="CN292" s="1">
        <v>2.6456</v>
      </c>
      <c r="CO292" s="1">
        <v>10.7577</v>
      </c>
    </row>
    <row r="293" spans="1:93">
      <c r="A293" s="1425">
        <v>44811</v>
      </c>
      <c r="B293" s="20">
        <f t="shared" si="42"/>
        <v>14.394500000000001</v>
      </c>
      <c r="C293" s="20">
        <f t="shared" si="44"/>
        <v>14.3771</v>
      </c>
      <c r="D293" s="20">
        <f t="shared" si="45"/>
        <v>15.192600000000001</v>
      </c>
      <c r="E293" s="20">
        <f t="shared" si="46"/>
        <v>6.6875</v>
      </c>
      <c r="F293" s="20">
        <f t="shared" si="47"/>
        <v>16.328099999999999</v>
      </c>
      <c r="G293" s="20">
        <f t="shared" si="48"/>
        <v>12.829599999999999</v>
      </c>
      <c r="H293" s="1239">
        <f t="shared" si="49"/>
        <v>14.3771</v>
      </c>
      <c r="I293" s="1243">
        <f t="shared" si="43"/>
        <v>1.2102579797037549E-3</v>
      </c>
      <c r="J293" s="1243">
        <f t="shared" si="50"/>
        <v>0.12093838824177333</v>
      </c>
      <c r="K293" s="1243">
        <f t="shared" si="51"/>
        <v>0.1</v>
      </c>
      <c r="L293" s="203"/>
      <c r="N293" s="1425">
        <v>44811</v>
      </c>
      <c r="O293" s="1502">
        <v>14.394500000000001</v>
      </c>
      <c r="P293" s="1502">
        <v>5.5538999999999996</v>
      </c>
      <c r="Q293" s="1502">
        <v>14.9057</v>
      </c>
      <c r="R293" s="1233">
        <f>'B. PE'!$U$23</f>
        <v>15.978235616082999</v>
      </c>
      <c r="S293" s="1233"/>
      <c r="T293" s="1233"/>
      <c r="V293" s="1425">
        <v>44811</v>
      </c>
      <c r="W293" s="1">
        <v>14.3771</v>
      </c>
      <c r="X293" s="1">
        <v>1.9329000000000001</v>
      </c>
      <c r="Y293" s="1">
        <v>9.3206000000000007</v>
      </c>
      <c r="Z293" s="1">
        <v>1.55827</v>
      </c>
      <c r="AB293" s="1425">
        <v>44799</v>
      </c>
      <c r="AC293" s="1">
        <v>8.1762999999999995</v>
      </c>
      <c r="AD293" s="1502">
        <v>1.2604</v>
      </c>
      <c r="AE293" s="1">
        <v>5.3474000000000004</v>
      </c>
      <c r="AF293" s="1">
        <v>3.3160000000000002E-2</v>
      </c>
      <c r="AH293" s="1425">
        <v>44799</v>
      </c>
      <c r="AI293" s="1">
        <v>15.306900000000001</v>
      </c>
      <c r="AJ293" s="1">
        <v>2.831</v>
      </c>
      <c r="AK293" s="1">
        <v>8.2970000000000006</v>
      </c>
      <c r="AL293" s="1">
        <v>4.4819999999999999E-2</v>
      </c>
      <c r="AN293" s="1425">
        <v>44797</v>
      </c>
      <c r="AO293" s="1">
        <v>6.5625</v>
      </c>
      <c r="AP293" s="1">
        <v>0.97219999999999995</v>
      </c>
      <c r="AQ293" s="1">
        <v>4.1348000000000003</v>
      </c>
      <c r="AR293" s="1">
        <v>0.23178000000000001</v>
      </c>
      <c r="AT293" s="1425">
        <v>44797</v>
      </c>
      <c r="AU293" s="1">
        <v>13.642899999999999</v>
      </c>
      <c r="AV293" s="1">
        <v>0.86860000000000004</v>
      </c>
      <c r="AW293" s="1">
        <v>8.4771999999999998</v>
      </c>
      <c r="AX293" s="1">
        <v>0.20615</v>
      </c>
      <c r="BA293" s="1425">
        <v>44799</v>
      </c>
      <c r="BB293" s="1">
        <v>13.272</v>
      </c>
      <c r="BC293" s="1">
        <v>3.2631999999999999</v>
      </c>
      <c r="BD293" s="1">
        <v>13.152799999999999</v>
      </c>
      <c r="BE293" s="1">
        <v>0.81720000000000004</v>
      </c>
      <c r="BG293" s="1425">
        <v>44799</v>
      </c>
      <c r="BH293" s="1">
        <v>16.893899999999999</v>
      </c>
      <c r="BI293" s="1">
        <v>4.6131000000000002</v>
      </c>
      <c r="BJ293" s="1">
        <v>23.834399999999999</v>
      </c>
      <c r="BT293" s="1425">
        <v>44811</v>
      </c>
      <c r="BU293" s="1">
        <v>20.003799999999998</v>
      </c>
      <c r="BV293" s="1">
        <v>4.6216999999999997</v>
      </c>
      <c r="BW293" s="1">
        <v>11.2334</v>
      </c>
      <c r="BX293" s="1">
        <v>3.0853999999999999</v>
      </c>
      <c r="BZ293" s="1425">
        <v>44811</v>
      </c>
      <c r="CA293" s="1">
        <v>19.092400000000001</v>
      </c>
      <c r="CB293" s="1">
        <v>5.4908000000000001</v>
      </c>
      <c r="CC293" s="1">
        <v>15.455399999999999</v>
      </c>
      <c r="CD293" s="1">
        <v>3.3971399999999998</v>
      </c>
      <c r="CF293" s="1425">
        <v>44810</v>
      </c>
      <c r="CG293" s="1">
        <v>4.7634999999999996</v>
      </c>
      <c r="CH293" s="1">
        <v>1.5384</v>
      </c>
      <c r="CI293" s="1">
        <v>7.9976000000000003</v>
      </c>
      <c r="CL293" s="1425">
        <v>44816</v>
      </c>
      <c r="CM293" s="1">
        <v>19.4985</v>
      </c>
      <c r="CN293" s="1">
        <v>2.6823000000000001</v>
      </c>
      <c r="CO293" s="1">
        <v>10.9053</v>
      </c>
    </row>
    <row r="294" spans="1:93">
      <c r="A294" s="1425">
        <v>44810</v>
      </c>
      <c r="B294" s="20">
        <f t="shared" si="42"/>
        <v>15.195399999999999</v>
      </c>
      <c r="C294" s="20">
        <f t="shared" si="44"/>
        <v>15.443300000000001</v>
      </c>
      <c r="D294" s="20">
        <f t="shared" si="45"/>
        <v>15.421099999999999</v>
      </c>
      <c r="E294" s="20">
        <f t="shared" si="46"/>
        <v>6.625</v>
      </c>
      <c r="F294" s="20">
        <f t="shared" si="47"/>
        <v>16.247199999999999</v>
      </c>
      <c r="G294" s="20">
        <f t="shared" si="48"/>
        <v>12.718999999999999</v>
      </c>
      <c r="H294" s="1239">
        <f t="shared" si="49"/>
        <v>15.421099999999999</v>
      </c>
      <c r="I294" s="1243">
        <f t="shared" si="43"/>
        <v>-1.4635791221119132E-2</v>
      </c>
      <c r="J294" s="1243">
        <f t="shared" si="50"/>
        <v>0.12093838824177333</v>
      </c>
      <c r="K294" s="1243">
        <f t="shared" si="51"/>
        <v>0.1</v>
      </c>
      <c r="L294" s="203"/>
      <c r="N294" s="1425">
        <v>44810</v>
      </c>
      <c r="O294" s="1502">
        <v>15.195399999999999</v>
      </c>
      <c r="P294" s="1502">
        <v>5.8628999999999998</v>
      </c>
      <c r="Q294" s="1502">
        <v>15.662800000000001</v>
      </c>
      <c r="R294" s="1233">
        <f>'B. PE'!$U$23</f>
        <v>15.978235616082999</v>
      </c>
      <c r="S294" s="1233"/>
      <c r="T294" s="1233"/>
      <c r="V294" s="1425">
        <v>44810</v>
      </c>
      <c r="W294" s="1">
        <v>15.443300000000001</v>
      </c>
      <c r="X294" s="1">
        <v>2.0762</v>
      </c>
      <c r="Y294" s="1">
        <v>9.8238000000000003</v>
      </c>
      <c r="Z294" s="1">
        <v>1.5613900000000001</v>
      </c>
      <c r="AB294" s="1425">
        <v>44798</v>
      </c>
      <c r="AC294" s="1">
        <v>8.0777999999999999</v>
      </c>
      <c r="AD294" s="1502">
        <v>1.2452000000000001</v>
      </c>
      <c r="AE294" s="1">
        <v>5.3018000000000001</v>
      </c>
      <c r="AF294" s="1">
        <v>3.3259999999999998E-2</v>
      </c>
      <c r="AH294" s="1425">
        <v>44798</v>
      </c>
      <c r="AI294" s="1">
        <v>15.0784</v>
      </c>
      <c r="AJ294" s="1">
        <v>2.7888000000000002</v>
      </c>
      <c r="AK294" s="1">
        <v>8.1791</v>
      </c>
      <c r="AL294" s="1">
        <v>4.376E-2</v>
      </c>
      <c r="AN294" s="1425">
        <v>44796</v>
      </c>
      <c r="AO294" s="1">
        <v>6.5</v>
      </c>
      <c r="AP294" s="1">
        <v>0.96289999999999998</v>
      </c>
      <c r="AQ294" s="1">
        <v>4.0883000000000003</v>
      </c>
      <c r="AR294" s="1">
        <v>0.23025999999999999</v>
      </c>
      <c r="AT294" s="1425">
        <v>44796</v>
      </c>
      <c r="AU294" s="1">
        <v>13.5</v>
      </c>
      <c r="AV294" s="1">
        <v>0.85950000000000004</v>
      </c>
      <c r="AW294" s="1">
        <v>8.3928999999999991</v>
      </c>
      <c r="AX294" s="1">
        <v>0.21013999999999999</v>
      </c>
      <c r="BA294" s="1425">
        <v>44798</v>
      </c>
      <c r="BB294" s="1">
        <v>13.272</v>
      </c>
      <c r="BC294" s="1">
        <v>3.2631999999999999</v>
      </c>
      <c r="BD294" s="1">
        <v>13.152799999999999</v>
      </c>
      <c r="BE294" s="1">
        <v>0.80495000000000005</v>
      </c>
      <c r="BG294" s="1425">
        <v>44798</v>
      </c>
      <c r="BH294" s="1">
        <v>17.298100000000002</v>
      </c>
      <c r="BI294" s="1">
        <v>4.7234999999999996</v>
      </c>
      <c r="BJ294" s="1">
        <v>24.289100000000001</v>
      </c>
      <c r="BT294" s="1425">
        <v>44810</v>
      </c>
      <c r="BU294" s="1">
        <v>20.626300000000001</v>
      </c>
      <c r="BV294" s="1">
        <v>4.7655000000000003</v>
      </c>
      <c r="BW294" s="1">
        <v>11.5604</v>
      </c>
      <c r="BX294" s="1">
        <v>3.1555</v>
      </c>
      <c r="BZ294" s="1425">
        <v>44810</v>
      </c>
      <c r="CA294" s="1">
        <v>20.395199999999999</v>
      </c>
      <c r="CB294" s="1">
        <v>5.8654999999999999</v>
      </c>
      <c r="CC294" s="1">
        <v>16.273399999999999</v>
      </c>
      <c r="CD294" s="1">
        <v>3.3742899999999998</v>
      </c>
      <c r="CF294" s="1425">
        <v>44809</v>
      </c>
      <c r="CG294" s="1">
        <v>4.8963999999999999</v>
      </c>
      <c r="CH294" s="1">
        <v>1.5812999999999999</v>
      </c>
      <c r="CI294" s="1">
        <v>8.0927000000000007</v>
      </c>
      <c r="CL294" s="1425">
        <v>44813</v>
      </c>
      <c r="CM294" s="1">
        <v>19.245100000000001</v>
      </c>
      <c r="CN294" s="1">
        <v>2.6474000000000002</v>
      </c>
      <c r="CO294" s="1">
        <v>10.7651</v>
      </c>
    </row>
    <row r="295" spans="1:93">
      <c r="A295" s="1425">
        <v>44809</v>
      </c>
      <c r="B295" s="20">
        <f t="shared" si="42"/>
        <v>14.846299999999999</v>
      </c>
      <c r="C295" s="20">
        <f t="shared" si="44"/>
        <v>15.4611</v>
      </c>
      <c r="D295" s="20">
        <f t="shared" si="45"/>
        <v>15.535299999999999</v>
      </c>
      <c r="E295" s="20">
        <f t="shared" si="46"/>
        <v>6.625</v>
      </c>
      <c r="F295" s="20">
        <f t="shared" si="47"/>
        <v>16.085599999999999</v>
      </c>
      <c r="G295" s="20">
        <f t="shared" si="48"/>
        <v>12.6084</v>
      </c>
      <c r="H295" s="1239">
        <f t="shared" si="49"/>
        <v>15.4611</v>
      </c>
      <c r="I295" s="1243">
        <f t="shared" si="43"/>
        <v>-3.9764311724262869E-2</v>
      </c>
      <c r="J295" s="1243">
        <f t="shared" si="50"/>
        <v>0.12093838824177333</v>
      </c>
      <c r="K295" s="1243">
        <f t="shared" si="51"/>
        <v>0.1</v>
      </c>
      <c r="L295" s="203"/>
      <c r="N295" s="1425">
        <v>44809</v>
      </c>
      <c r="O295" s="1502">
        <v>14.846299999999999</v>
      </c>
      <c r="P295" s="1502">
        <v>5.7282000000000002</v>
      </c>
      <c r="Q295" s="1502">
        <v>15.332700000000001</v>
      </c>
      <c r="R295" s="1233">
        <f>'B. PE'!$U$23</f>
        <v>15.978235616082999</v>
      </c>
      <c r="S295" s="1233"/>
      <c r="T295" s="1233"/>
      <c r="V295" s="1425">
        <v>44809</v>
      </c>
      <c r="W295" s="1">
        <v>15.4611</v>
      </c>
      <c r="X295" s="1">
        <v>2.0785999999999998</v>
      </c>
      <c r="Y295" s="1">
        <v>9.8322000000000003</v>
      </c>
      <c r="Z295" s="1">
        <v>1.53104</v>
      </c>
      <c r="AB295" s="1425">
        <v>44797</v>
      </c>
      <c r="AC295" s="1">
        <v>8.0777999999999999</v>
      </c>
      <c r="AD295" s="1502">
        <v>1.2452000000000001</v>
      </c>
      <c r="AE295" s="1">
        <v>5.3018000000000001</v>
      </c>
      <c r="AF295" s="1">
        <v>3.313E-2</v>
      </c>
      <c r="AH295" s="1425">
        <v>44797</v>
      </c>
      <c r="AI295" s="1">
        <v>15.192600000000001</v>
      </c>
      <c r="AJ295" s="1">
        <v>2.8098999999999998</v>
      </c>
      <c r="AK295" s="1">
        <v>8.2380999999999993</v>
      </c>
      <c r="AL295" s="1">
        <v>4.2590000000000003E-2</v>
      </c>
      <c r="AN295" s="1425">
        <v>44795</v>
      </c>
      <c r="AO295" s="1">
        <v>6.5</v>
      </c>
      <c r="AP295" s="1">
        <v>0.96289999999999998</v>
      </c>
      <c r="AQ295" s="1">
        <v>4.0883000000000003</v>
      </c>
      <c r="AR295" s="1">
        <v>0.23014999999999999</v>
      </c>
      <c r="AT295" s="1425">
        <v>44795</v>
      </c>
      <c r="AU295" s="1">
        <v>13.2143</v>
      </c>
      <c r="AV295" s="1">
        <v>0.84140000000000004</v>
      </c>
      <c r="AW295" s="1">
        <v>8.2317</v>
      </c>
      <c r="AX295" s="1">
        <v>0.21898000000000001</v>
      </c>
      <c r="BA295" s="1425">
        <v>44797</v>
      </c>
      <c r="BB295" s="1">
        <v>13.050800000000001</v>
      </c>
      <c r="BC295" s="1">
        <v>3.2088999999999999</v>
      </c>
      <c r="BD295" s="1">
        <v>12.988</v>
      </c>
      <c r="BE295" s="1">
        <v>0.78113999999999995</v>
      </c>
      <c r="BG295" s="1425">
        <v>44797</v>
      </c>
      <c r="BH295" s="1">
        <v>15.9239</v>
      </c>
      <c r="BI295" s="1">
        <v>4.3483000000000001</v>
      </c>
      <c r="BJ295" s="1">
        <v>22.743099999999998</v>
      </c>
      <c r="BT295" s="1425">
        <v>44809</v>
      </c>
      <c r="BU295" s="1">
        <v>20.513100000000001</v>
      </c>
      <c r="BV295" s="1">
        <v>4.7393000000000001</v>
      </c>
      <c r="BW295" s="1">
        <v>11.500999999999999</v>
      </c>
      <c r="BX295" s="1">
        <v>3.1297000000000001</v>
      </c>
      <c r="BZ295" s="1425">
        <v>44809</v>
      </c>
      <c r="CA295" s="1">
        <v>20.619800000000001</v>
      </c>
      <c r="CB295" s="1">
        <v>5.9301000000000004</v>
      </c>
      <c r="CC295" s="1">
        <v>16.4145</v>
      </c>
      <c r="CD295" s="1">
        <v>3.30436</v>
      </c>
      <c r="CF295" s="1425">
        <v>44804</v>
      </c>
      <c r="CG295" s="1">
        <v>4.7634999999999996</v>
      </c>
      <c r="CH295" s="1">
        <v>1.5384</v>
      </c>
      <c r="CI295" s="1">
        <v>7.9976000000000003</v>
      </c>
      <c r="CL295" s="1425">
        <v>44812</v>
      </c>
      <c r="CM295" s="1">
        <v>18.991700000000002</v>
      </c>
      <c r="CN295" s="1">
        <v>2.6126</v>
      </c>
      <c r="CO295" s="1">
        <v>10.6249</v>
      </c>
    </row>
    <row r="296" spans="1:93">
      <c r="A296" s="1425">
        <v>44804</v>
      </c>
      <c r="B296" s="20">
        <f t="shared" si="42"/>
        <v>14.723100000000001</v>
      </c>
      <c r="C296" s="20">
        <f t="shared" si="44"/>
        <v>15.4611</v>
      </c>
      <c r="D296" s="20">
        <f t="shared" si="45"/>
        <v>15.9922</v>
      </c>
      <c r="E296" s="20">
        <f t="shared" si="46"/>
        <v>6.625</v>
      </c>
      <c r="F296" s="20">
        <f t="shared" si="47"/>
        <v>16.813099999999999</v>
      </c>
      <c r="G296" s="20">
        <f t="shared" si="48"/>
        <v>12.940200000000001</v>
      </c>
      <c r="H296" s="1239">
        <f t="shared" si="49"/>
        <v>15.4611</v>
      </c>
      <c r="I296" s="1243">
        <f t="shared" si="43"/>
        <v>-4.7732696897374693E-2</v>
      </c>
      <c r="J296" s="1243">
        <f t="shared" si="50"/>
        <v>0.12093838824177333</v>
      </c>
      <c r="K296" s="1243">
        <f t="shared" si="51"/>
        <v>0.1</v>
      </c>
      <c r="L296" s="203"/>
      <c r="N296" s="1425">
        <v>44804</v>
      </c>
      <c r="O296" s="1502">
        <v>14.723100000000001</v>
      </c>
      <c r="P296" s="1502">
        <v>5.6806999999999999</v>
      </c>
      <c r="Q296" s="1502">
        <v>15.2163</v>
      </c>
      <c r="R296" s="1233">
        <f>'B. PE'!$U$23</f>
        <v>15.978235616082999</v>
      </c>
      <c r="S296" s="1233"/>
      <c r="T296" s="1233"/>
      <c r="V296" s="1425">
        <v>44804</v>
      </c>
      <c r="W296" s="1">
        <v>15.4611</v>
      </c>
      <c r="X296" s="1">
        <v>2.0785999999999998</v>
      </c>
      <c r="Y296" s="1">
        <v>9.8322000000000003</v>
      </c>
      <c r="Z296" s="1">
        <v>1.5629900000000001</v>
      </c>
      <c r="AB296" s="1425">
        <v>44796</v>
      </c>
      <c r="AC296" s="1">
        <v>8.1105999999999998</v>
      </c>
      <c r="AD296" s="1502">
        <v>1.2502</v>
      </c>
      <c r="AE296" s="1">
        <v>5.3170000000000002</v>
      </c>
      <c r="AF296" s="1">
        <v>3.39E-2</v>
      </c>
      <c r="AH296" s="1425">
        <v>44796</v>
      </c>
      <c r="AI296" s="1">
        <v>14.8499</v>
      </c>
      <c r="AJ296" s="1">
        <v>2.7465000000000002</v>
      </c>
      <c r="AK296" s="1">
        <v>8.0611999999999995</v>
      </c>
      <c r="AL296" s="1">
        <v>4.2299999999999997E-2</v>
      </c>
      <c r="AN296" s="1425">
        <v>44792</v>
      </c>
      <c r="AO296" s="1">
        <v>6.4375</v>
      </c>
      <c r="AP296" s="1">
        <v>0.9536</v>
      </c>
      <c r="AQ296" s="1">
        <v>4.0418000000000003</v>
      </c>
      <c r="AR296" s="1">
        <v>0.23477999999999999</v>
      </c>
      <c r="AT296" s="1425">
        <v>44792</v>
      </c>
      <c r="AU296" s="1">
        <v>13.428599999999999</v>
      </c>
      <c r="AV296" s="1">
        <v>0.85499999999999998</v>
      </c>
      <c r="AW296" s="1">
        <v>8.3526000000000007</v>
      </c>
      <c r="AX296" s="1">
        <v>0.21689</v>
      </c>
      <c r="BA296" s="1425">
        <v>44796</v>
      </c>
      <c r="BB296" s="1">
        <v>12.829599999999999</v>
      </c>
      <c r="BC296" s="1">
        <v>3.1545000000000001</v>
      </c>
      <c r="BD296" s="1">
        <v>12.8231</v>
      </c>
      <c r="BE296" s="1">
        <v>0.82508000000000004</v>
      </c>
      <c r="BG296" s="1425">
        <v>44796</v>
      </c>
      <c r="BH296" s="1">
        <v>15.6006</v>
      </c>
      <c r="BI296" s="1">
        <v>4.26</v>
      </c>
      <c r="BJ296" s="1">
        <v>22.379300000000001</v>
      </c>
      <c r="BT296" s="1425">
        <v>44804</v>
      </c>
      <c r="BU296" s="1">
        <v>20.9375</v>
      </c>
      <c r="BV296" s="1">
        <v>4.8373999999999997</v>
      </c>
      <c r="BW296" s="1">
        <v>11.7239</v>
      </c>
      <c r="BX296" s="1">
        <v>3.1587000000000001</v>
      </c>
      <c r="BZ296" s="1425">
        <v>44804</v>
      </c>
      <c r="CA296" s="1">
        <v>20.440100000000001</v>
      </c>
      <c r="CB296" s="1">
        <v>5.8784000000000001</v>
      </c>
      <c r="CC296" s="1">
        <v>16.301600000000001</v>
      </c>
      <c r="CD296" s="1">
        <v>3.2886600000000001</v>
      </c>
      <c r="CF296" s="1425">
        <v>44803</v>
      </c>
      <c r="CG296" s="1">
        <v>4.7256</v>
      </c>
      <c r="CH296" s="1">
        <v>1.5261</v>
      </c>
      <c r="CI296" s="1">
        <v>7.9703999999999997</v>
      </c>
      <c r="CL296" s="1425">
        <v>44811</v>
      </c>
      <c r="CM296" s="1">
        <v>19.151800000000001</v>
      </c>
      <c r="CN296" s="1">
        <v>2.6345999999999998</v>
      </c>
      <c r="CO296" s="1">
        <v>10.7134</v>
      </c>
    </row>
    <row r="297" spans="1:93">
      <c r="A297" s="1425">
        <v>44803</v>
      </c>
      <c r="B297" s="20">
        <f t="shared" si="42"/>
        <v>14.5793</v>
      </c>
      <c r="C297" s="20">
        <f t="shared" si="44"/>
        <v>15.1412</v>
      </c>
      <c r="D297" s="20">
        <f t="shared" si="45"/>
        <v>15.535299999999999</v>
      </c>
      <c r="E297" s="20">
        <f t="shared" si="46"/>
        <v>6.625</v>
      </c>
      <c r="F297" s="20">
        <f t="shared" si="47"/>
        <v>17.136399999999998</v>
      </c>
      <c r="G297" s="20">
        <f t="shared" si="48"/>
        <v>13.272</v>
      </c>
      <c r="H297" s="1239">
        <f t="shared" si="49"/>
        <v>15.1412</v>
      </c>
      <c r="I297" s="1243">
        <f t="shared" si="43"/>
        <v>-3.7110664940691596E-2</v>
      </c>
      <c r="J297" s="1243">
        <f t="shared" si="50"/>
        <v>0.12093838824177333</v>
      </c>
      <c r="K297" s="1243">
        <f t="shared" si="51"/>
        <v>0.1</v>
      </c>
      <c r="L297" s="203"/>
      <c r="N297" s="1425">
        <v>44803</v>
      </c>
      <c r="O297" s="1502">
        <v>14.5793</v>
      </c>
      <c r="P297" s="1502">
        <v>5.6252000000000004</v>
      </c>
      <c r="Q297" s="1502">
        <v>15.080399999999999</v>
      </c>
      <c r="R297" s="1233">
        <f>'B. PE'!$U$23</f>
        <v>15.978235616082999</v>
      </c>
      <c r="S297" s="1233"/>
      <c r="T297" s="1233"/>
      <c r="V297" s="1425">
        <v>44803</v>
      </c>
      <c r="W297" s="1">
        <v>15.1412</v>
      </c>
      <c r="X297" s="1">
        <v>2.0356000000000001</v>
      </c>
      <c r="Y297" s="1">
        <v>9.6812000000000005</v>
      </c>
      <c r="Z297" s="1">
        <v>1.4742299999999999</v>
      </c>
      <c r="AB297" s="1425">
        <v>44795</v>
      </c>
      <c r="AC297" s="1">
        <v>8.1105999999999998</v>
      </c>
      <c r="AD297" s="1502">
        <v>1.2502</v>
      </c>
      <c r="AE297" s="1">
        <v>5.3170000000000002</v>
      </c>
      <c r="AF297" s="1">
        <v>3.4040000000000001E-2</v>
      </c>
      <c r="AH297" s="1425">
        <v>44795</v>
      </c>
      <c r="AI297" s="1">
        <v>14.507300000000001</v>
      </c>
      <c r="AJ297" s="1">
        <v>2.6831</v>
      </c>
      <c r="AK297" s="1">
        <v>7.8844000000000003</v>
      </c>
      <c r="AL297" s="1">
        <v>4.1790000000000001E-2</v>
      </c>
      <c r="AN297" s="1425">
        <v>44791</v>
      </c>
      <c r="AO297" s="1">
        <v>6.4375</v>
      </c>
      <c r="AP297" s="1">
        <v>0.9536</v>
      </c>
      <c r="AQ297" s="1">
        <v>4.0418000000000003</v>
      </c>
      <c r="AR297" s="1">
        <v>0.23516000000000001</v>
      </c>
      <c r="AT297" s="1425">
        <v>44791</v>
      </c>
      <c r="AU297" s="1">
        <v>14</v>
      </c>
      <c r="AV297" s="1">
        <v>0.89139999999999997</v>
      </c>
      <c r="AW297" s="1">
        <v>8.6748999999999992</v>
      </c>
      <c r="AX297" s="1">
        <v>0.21837000000000001</v>
      </c>
      <c r="BA297" s="1425">
        <v>44795</v>
      </c>
      <c r="BB297" s="1">
        <v>12.4978</v>
      </c>
      <c r="BC297" s="1">
        <v>3.0729000000000002</v>
      </c>
      <c r="BD297" s="1">
        <v>12.575900000000001</v>
      </c>
      <c r="BE297" s="1">
        <v>0.81294</v>
      </c>
      <c r="BG297" s="1425">
        <v>44795</v>
      </c>
      <c r="BH297" s="1">
        <v>15.3581</v>
      </c>
      <c r="BI297" s="1">
        <v>4.1938000000000004</v>
      </c>
      <c r="BJ297" s="1">
        <v>22.1065</v>
      </c>
      <c r="BT297" s="1425">
        <v>44803</v>
      </c>
      <c r="BU297" s="1">
        <v>20.7395</v>
      </c>
      <c r="BV297" s="1">
        <v>4.7915999999999999</v>
      </c>
      <c r="BW297" s="1">
        <v>11.619899999999999</v>
      </c>
      <c r="BX297" s="1">
        <v>3.0842000000000001</v>
      </c>
      <c r="BZ297" s="1425">
        <v>44803</v>
      </c>
      <c r="CA297" s="1">
        <v>19.9909</v>
      </c>
      <c r="CB297" s="1">
        <v>5.7492000000000001</v>
      </c>
      <c r="CC297" s="1">
        <v>16.019600000000001</v>
      </c>
      <c r="CD297" s="1">
        <v>3.3059099999999999</v>
      </c>
      <c r="CF297" s="1425">
        <v>44802</v>
      </c>
      <c r="CG297" s="1">
        <v>4.8394000000000004</v>
      </c>
      <c r="CH297" s="1">
        <v>1.5629</v>
      </c>
      <c r="CI297" s="1">
        <v>8.0518999999999998</v>
      </c>
      <c r="CL297" s="1425">
        <v>44810</v>
      </c>
      <c r="CM297" s="1">
        <v>19.1785</v>
      </c>
      <c r="CN297" s="1">
        <v>2.6383000000000001</v>
      </c>
      <c r="CO297" s="1">
        <v>10.728199999999999</v>
      </c>
    </row>
    <row r="298" spans="1:93">
      <c r="A298" s="1425">
        <v>44802</v>
      </c>
      <c r="B298" s="20">
        <f t="shared" si="42"/>
        <v>14.5793</v>
      </c>
      <c r="C298" s="20">
        <f t="shared" si="44"/>
        <v>15.4611</v>
      </c>
      <c r="D298" s="20">
        <f t="shared" si="45"/>
        <v>15.0784</v>
      </c>
      <c r="E298" s="20">
        <f t="shared" si="46"/>
        <v>6.5625</v>
      </c>
      <c r="F298" s="20">
        <f t="shared" si="47"/>
        <v>16.489699999999999</v>
      </c>
      <c r="G298" s="20">
        <f t="shared" si="48"/>
        <v>12.940200000000001</v>
      </c>
      <c r="H298" s="1239">
        <f t="shared" si="49"/>
        <v>15.0784</v>
      </c>
      <c r="I298" s="1243">
        <f t="shared" si="43"/>
        <v>-3.3100328947368474E-2</v>
      </c>
      <c r="J298" s="1243">
        <f t="shared" si="50"/>
        <v>0.12093838824177333</v>
      </c>
      <c r="K298" s="1243">
        <f t="shared" si="51"/>
        <v>0.1</v>
      </c>
      <c r="L298" s="203"/>
      <c r="N298" s="1425">
        <v>44802</v>
      </c>
      <c r="O298" s="1502">
        <v>14.5793</v>
      </c>
      <c r="P298" s="1502">
        <v>5.6252000000000004</v>
      </c>
      <c r="Q298" s="1502">
        <v>15.080399999999999</v>
      </c>
      <c r="R298" s="1233">
        <f>'B. PE'!$U$23</f>
        <v>15.978235616082999</v>
      </c>
      <c r="S298" s="1233"/>
      <c r="T298" s="1233"/>
      <c r="V298" s="1425">
        <v>44802</v>
      </c>
      <c r="W298" s="1">
        <v>15.4611</v>
      </c>
      <c r="X298" s="1">
        <v>2.0785999999999998</v>
      </c>
      <c r="Y298" s="1">
        <v>9.8322000000000003</v>
      </c>
      <c r="Z298" s="1">
        <v>1.4856799999999999</v>
      </c>
      <c r="AB298" s="1425">
        <v>44792</v>
      </c>
      <c r="AC298" s="1">
        <v>8.2911999999999999</v>
      </c>
      <c r="AD298" s="1502">
        <v>1.2781</v>
      </c>
      <c r="AE298" s="1">
        <v>5.4005999999999998</v>
      </c>
      <c r="AF298" s="1">
        <v>3.3890000000000003E-2</v>
      </c>
      <c r="AH298" s="1425">
        <v>44792</v>
      </c>
      <c r="AI298" s="1">
        <v>14.393000000000001</v>
      </c>
      <c r="AJ298" s="1">
        <v>2.6619999999999999</v>
      </c>
      <c r="AK298" s="1">
        <v>7.8254000000000001</v>
      </c>
      <c r="AL298" s="1">
        <v>4.2029999999999998E-2</v>
      </c>
      <c r="AN298" s="1425">
        <v>44790</v>
      </c>
      <c r="AO298" s="1">
        <v>6.5625</v>
      </c>
      <c r="AP298" s="1">
        <v>0.97219999999999995</v>
      </c>
      <c r="AQ298" s="1">
        <v>4.1348000000000003</v>
      </c>
      <c r="AR298" s="1">
        <v>0.23760999999999999</v>
      </c>
      <c r="AT298" s="1425">
        <v>44790</v>
      </c>
      <c r="AU298" s="1">
        <v>13.857100000000001</v>
      </c>
      <c r="AV298" s="1">
        <v>0.88229999999999997</v>
      </c>
      <c r="AW298" s="1">
        <v>8.5943000000000005</v>
      </c>
      <c r="AX298" s="1">
        <v>0.21743999999999999</v>
      </c>
      <c r="BA298" s="1425">
        <v>44792</v>
      </c>
      <c r="BB298" s="1">
        <v>13.050800000000001</v>
      </c>
      <c r="BC298" s="1">
        <v>3.2088999999999999</v>
      </c>
      <c r="BD298" s="1">
        <v>12.988</v>
      </c>
      <c r="BE298" s="1">
        <v>0.82379999999999998</v>
      </c>
      <c r="BG298" s="1425">
        <v>44792</v>
      </c>
      <c r="BH298" s="1">
        <v>15.7622</v>
      </c>
      <c r="BI298" s="1">
        <v>4.3041</v>
      </c>
      <c r="BJ298" s="1">
        <v>22.561199999999999</v>
      </c>
      <c r="BT298" s="1425">
        <v>44802</v>
      </c>
      <c r="BU298" s="1">
        <v>20.9375</v>
      </c>
      <c r="BV298" s="1">
        <v>4.8373999999999997</v>
      </c>
      <c r="BW298" s="1">
        <v>11.7239</v>
      </c>
      <c r="BX298" s="1">
        <v>2.9196</v>
      </c>
      <c r="BZ298" s="1425">
        <v>44802</v>
      </c>
      <c r="CA298" s="1">
        <v>19.9011</v>
      </c>
      <c r="CB298" s="1">
        <v>5.7233999999999998</v>
      </c>
      <c r="CC298" s="1">
        <v>15.963200000000001</v>
      </c>
      <c r="CD298" s="1">
        <v>3.30708</v>
      </c>
      <c r="CF298" s="1425">
        <v>44799</v>
      </c>
      <c r="CG298" s="1">
        <v>4.8394000000000004</v>
      </c>
      <c r="CH298" s="1">
        <v>1.5629</v>
      </c>
      <c r="CI298" s="1">
        <v>8.0518999999999998</v>
      </c>
      <c r="CL298" s="1425">
        <v>44809</v>
      </c>
      <c r="CM298" s="1">
        <v>19.111799999999999</v>
      </c>
      <c r="CN298" s="1">
        <v>2.6291000000000002</v>
      </c>
      <c r="CO298" s="1">
        <v>10.6913</v>
      </c>
    </row>
    <row r="299" spans="1:93">
      <c r="A299" s="1425">
        <v>44799</v>
      </c>
      <c r="B299" s="20">
        <f t="shared" si="42"/>
        <v>14.8873</v>
      </c>
      <c r="C299" s="20">
        <f t="shared" si="44"/>
        <v>14.5725</v>
      </c>
      <c r="D299" s="20">
        <f t="shared" si="45"/>
        <v>15.306900000000001</v>
      </c>
      <c r="E299" s="20">
        <f t="shared" si="46"/>
        <v>6.4375</v>
      </c>
      <c r="F299" s="20">
        <f t="shared" si="47"/>
        <v>16.893899999999999</v>
      </c>
      <c r="G299" s="20">
        <f t="shared" si="48"/>
        <v>13.272</v>
      </c>
      <c r="H299" s="1239">
        <f t="shared" si="49"/>
        <v>14.5725</v>
      </c>
      <c r="I299" s="1243">
        <f t="shared" si="43"/>
        <v>2.1602333161777398E-2</v>
      </c>
      <c r="J299" s="1243">
        <f t="shared" si="50"/>
        <v>0.12093838824177333</v>
      </c>
      <c r="K299" s="1243">
        <f t="shared" si="51"/>
        <v>0.1</v>
      </c>
      <c r="L299" s="203"/>
      <c r="N299" s="1425">
        <v>44799</v>
      </c>
      <c r="O299" s="1502">
        <v>14.8873</v>
      </c>
      <c r="P299" s="1502">
        <v>5.7441000000000004</v>
      </c>
      <c r="Q299" s="1502">
        <v>15.371600000000001</v>
      </c>
      <c r="R299" s="1233">
        <f>'B. PE'!$U$23</f>
        <v>15.978235616082999</v>
      </c>
      <c r="S299" s="1233"/>
      <c r="T299" s="1233"/>
      <c r="V299" s="1425">
        <v>44799</v>
      </c>
      <c r="W299" s="1">
        <v>14.5725</v>
      </c>
      <c r="X299" s="1">
        <v>1.9591000000000001</v>
      </c>
      <c r="Y299" s="1">
        <v>9.4129000000000005</v>
      </c>
      <c r="Z299" s="1">
        <v>1.50075</v>
      </c>
      <c r="AB299" s="1425">
        <v>44791</v>
      </c>
      <c r="AC299" s="1">
        <v>8.2911999999999999</v>
      </c>
      <c r="AD299" s="1502">
        <v>1.2781</v>
      </c>
      <c r="AE299" s="1">
        <v>5.4005999999999998</v>
      </c>
      <c r="AF299" s="1">
        <v>3.4909999999999997E-2</v>
      </c>
      <c r="AH299" s="1425">
        <v>44791</v>
      </c>
      <c r="AI299" s="1">
        <v>14.1646</v>
      </c>
      <c r="AJ299" s="1">
        <v>2.6198000000000001</v>
      </c>
      <c r="AK299" s="1">
        <v>7.7076000000000002</v>
      </c>
      <c r="AL299" s="1">
        <v>4.2029999999999998E-2</v>
      </c>
      <c r="AN299" s="1425">
        <v>44789</v>
      </c>
      <c r="AO299" s="1">
        <v>6.5625</v>
      </c>
      <c r="AP299" s="1">
        <v>0.97219999999999995</v>
      </c>
      <c r="AQ299" s="1">
        <v>4.1348000000000003</v>
      </c>
      <c r="AR299" s="1">
        <v>0.23846999999999999</v>
      </c>
      <c r="AT299" s="1425">
        <v>44789</v>
      </c>
      <c r="AU299" s="1">
        <v>13.928599999999999</v>
      </c>
      <c r="AV299" s="1">
        <v>0.88680000000000003</v>
      </c>
      <c r="AW299" s="1">
        <v>8.6346000000000007</v>
      </c>
      <c r="AX299" s="1">
        <v>0.22047</v>
      </c>
      <c r="BA299" s="1425">
        <v>44791</v>
      </c>
      <c r="BB299" s="1">
        <v>12.829599999999999</v>
      </c>
      <c r="BC299" s="1">
        <v>3.1545000000000001</v>
      </c>
      <c r="BD299" s="1">
        <v>12.8231</v>
      </c>
      <c r="BE299" s="1">
        <v>0.83958999999999995</v>
      </c>
      <c r="BG299" s="1425">
        <v>44791</v>
      </c>
      <c r="BH299" s="1">
        <v>15.9239</v>
      </c>
      <c r="BI299" s="1">
        <v>4.3483000000000001</v>
      </c>
      <c r="BJ299" s="1">
        <v>22.743099999999998</v>
      </c>
      <c r="BT299" s="1425">
        <v>44799</v>
      </c>
      <c r="BU299" s="1">
        <v>20.4282</v>
      </c>
      <c r="BV299" s="1">
        <v>4.7196999999999996</v>
      </c>
      <c r="BW299" s="1">
        <v>11.4564</v>
      </c>
      <c r="BX299" s="1">
        <v>2.8492000000000002</v>
      </c>
      <c r="BZ299" s="1425">
        <v>44799</v>
      </c>
      <c r="CA299" s="1">
        <v>19.9909</v>
      </c>
      <c r="CB299" s="1">
        <v>5.7492000000000001</v>
      </c>
      <c r="CC299" s="1">
        <v>16.019600000000001</v>
      </c>
      <c r="CD299" s="1">
        <v>3.27501</v>
      </c>
      <c r="CF299" s="1425">
        <v>44798</v>
      </c>
      <c r="CG299" s="1">
        <v>4.7824999999999998</v>
      </c>
      <c r="CH299" s="1">
        <v>1.5445</v>
      </c>
      <c r="CI299" s="1">
        <v>8.0111000000000008</v>
      </c>
      <c r="CL299" s="1425">
        <v>44806</v>
      </c>
      <c r="CM299" s="1">
        <v>19.271799999999999</v>
      </c>
      <c r="CN299" s="1">
        <v>2.6511</v>
      </c>
      <c r="CO299" s="1">
        <v>10.7798</v>
      </c>
    </row>
    <row r="300" spans="1:93">
      <c r="A300" s="1425">
        <v>44798</v>
      </c>
      <c r="B300" s="20">
        <f t="shared" si="42"/>
        <v>14.9489</v>
      </c>
      <c r="C300" s="20">
        <f t="shared" si="44"/>
        <v>14.696899999999999</v>
      </c>
      <c r="D300" s="20">
        <f t="shared" si="45"/>
        <v>15.0784</v>
      </c>
      <c r="E300" s="20">
        <f t="shared" si="46"/>
        <v>6.5625</v>
      </c>
      <c r="F300" s="20">
        <f t="shared" si="47"/>
        <v>17.298100000000002</v>
      </c>
      <c r="G300" s="20">
        <f t="shared" si="48"/>
        <v>13.272</v>
      </c>
      <c r="H300" s="1239">
        <f t="shared" si="49"/>
        <v>14.696899999999999</v>
      </c>
      <c r="I300" s="1243">
        <f t="shared" si="43"/>
        <v>1.714647306574868E-2</v>
      </c>
      <c r="J300" s="1243">
        <f t="shared" si="50"/>
        <v>0.12093838824177333</v>
      </c>
      <c r="K300" s="1243">
        <f t="shared" si="51"/>
        <v>0.1</v>
      </c>
      <c r="L300" s="203"/>
      <c r="N300" s="1425">
        <v>44798</v>
      </c>
      <c r="O300" s="1502">
        <v>14.9489</v>
      </c>
      <c r="P300" s="1502">
        <v>5.7678000000000003</v>
      </c>
      <c r="Q300" s="1502">
        <v>15.4298</v>
      </c>
      <c r="R300" s="1233">
        <f>'B. PE'!$U$23</f>
        <v>15.978235616082999</v>
      </c>
      <c r="S300" s="1233"/>
      <c r="T300" s="1233"/>
      <c r="V300" s="1425">
        <v>44798</v>
      </c>
      <c r="W300" s="1">
        <v>14.696899999999999</v>
      </c>
      <c r="X300" s="1">
        <v>1.9759</v>
      </c>
      <c r="Y300" s="1">
        <v>9.4716000000000005</v>
      </c>
      <c r="Z300" s="1">
        <v>1.4515400000000001</v>
      </c>
      <c r="AB300" s="1425">
        <v>44789</v>
      </c>
      <c r="AC300" s="1">
        <v>8.2090999999999994</v>
      </c>
      <c r="AD300" s="1502">
        <v>1.2654000000000001</v>
      </c>
      <c r="AE300" s="1">
        <v>5.3625999999999996</v>
      </c>
      <c r="AF300" s="1">
        <v>3.4810000000000001E-2</v>
      </c>
      <c r="AH300" s="1425">
        <v>44789</v>
      </c>
      <c r="AI300" s="1">
        <v>14.1646</v>
      </c>
      <c r="AJ300" s="1">
        <v>2.6198000000000001</v>
      </c>
      <c r="AK300" s="1">
        <v>7.7076000000000002</v>
      </c>
      <c r="AL300" s="1">
        <v>4.3339999999999997E-2</v>
      </c>
      <c r="AN300" s="1425">
        <v>44788</v>
      </c>
      <c r="AO300" s="1">
        <v>6.625</v>
      </c>
      <c r="AP300" s="1">
        <v>0.98140000000000005</v>
      </c>
      <c r="AQ300" s="1">
        <v>4.1813000000000002</v>
      </c>
      <c r="AR300" s="1">
        <v>0.23846999999999999</v>
      </c>
      <c r="AT300" s="1425">
        <v>44788</v>
      </c>
      <c r="AU300" s="1">
        <v>13.857100000000001</v>
      </c>
      <c r="AV300" s="1">
        <v>0.88229999999999997</v>
      </c>
      <c r="AW300" s="1">
        <v>8.5935000000000006</v>
      </c>
      <c r="AX300" s="1">
        <v>0.21485000000000001</v>
      </c>
      <c r="BA300" s="1425">
        <v>44790</v>
      </c>
      <c r="BB300" s="1">
        <v>12.940200000000001</v>
      </c>
      <c r="BC300" s="1">
        <v>3.1817000000000002</v>
      </c>
      <c r="BD300" s="1">
        <v>12.9056</v>
      </c>
      <c r="BE300" s="1">
        <v>0.85235000000000005</v>
      </c>
      <c r="BG300" s="1425">
        <v>44790</v>
      </c>
      <c r="BH300" s="1">
        <v>15.7622</v>
      </c>
      <c r="BI300" s="1">
        <v>4.3041</v>
      </c>
      <c r="BJ300" s="1">
        <v>22.561199999999999</v>
      </c>
      <c r="BT300" s="1425">
        <v>44798</v>
      </c>
      <c r="BU300" s="1">
        <v>19.353100000000001</v>
      </c>
      <c r="BV300" s="1">
        <v>4.4713000000000003</v>
      </c>
      <c r="BW300" s="1">
        <v>10.8916</v>
      </c>
      <c r="BX300" s="1">
        <v>2.8555999999999999</v>
      </c>
      <c r="BZ300" s="1425">
        <v>44798</v>
      </c>
      <c r="CA300" s="1">
        <v>20.013400000000001</v>
      </c>
      <c r="CB300" s="1">
        <v>5.7557</v>
      </c>
      <c r="CC300" s="1">
        <v>16.0337</v>
      </c>
      <c r="CD300" s="1">
        <v>3.3033700000000001</v>
      </c>
      <c r="CF300" s="1425">
        <v>44797</v>
      </c>
      <c r="CG300" s="1">
        <v>4.7065999999999999</v>
      </c>
      <c r="CH300" s="1">
        <v>1.52</v>
      </c>
      <c r="CI300" s="1">
        <v>7.9568000000000003</v>
      </c>
      <c r="CL300" s="1425">
        <v>44805</v>
      </c>
      <c r="CM300" s="1">
        <v>18.938400000000001</v>
      </c>
      <c r="CN300" s="1">
        <v>2.6052</v>
      </c>
      <c r="CO300" s="1">
        <v>10.5954</v>
      </c>
    </row>
    <row r="301" spans="1:93">
      <c r="A301" s="1425">
        <v>44797</v>
      </c>
      <c r="B301" s="20">
        <f t="shared" si="42"/>
        <v>15.0311</v>
      </c>
      <c r="C301" s="20">
        <f t="shared" si="44"/>
        <v>14.8569</v>
      </c>
      <c r="D301" s="20">
        <f t="shared" si="45"/>
        <v>15.192600000000001</v>
      </c>
      <c r="E301" s="20">
        <f t="shared" si="46"/>
        <v>6.5625</v>
      </c>
      <c r="F301" s="20">
        <f t="shared" si="47"/>
        <v>15.9239</v>
      </c>
      <c r="G301" s="20">
        <f t="shared" si="48"/>
        <v>13.050800000000001</v>
      </c>
      <c r="H301" s="1239">
        <f t="shared" si="49"/>
        <v>14.8569</v>
      </c>
      <c r="I301" s="1243">
        <f t="shared" si="43"/>
        <v>1.1725191661786871E-2</v>
      </c>
      <c r="J301" s="1243">
        <f t="shared" si="50"/>
        <v>0.12093838824177333</v>
      </c>
      <c r="K301" s="1243">
        <f t="shared" si="51"/>
        <v>0.1</v>
      </c>
      <c r="L301" s="203"/>
      <c r="N301" s="1425">
        <v>44797</v>
      </c>
      <c r="O301" s="1502">
        <v>15.0311</v>
      </c>
      <c r="P301" s="1502">
        <v>5.7995000000000001</v>
      </c>
      <c r="Q301" s="1502">
        <v>15.5075</v>
      </c>
      <c r="R301" s="1233">
        <f>'B. PE'!$U$23</f>
        <v>15.978235616082999</v>
      </c>
      <c r="S301" s="1233"/>
      <c r="T301" s="1233"/>
      <c r="V301" s="1425">
        <v>44797</v>
      </c>
      <c r="W301" s="1">
        <v>14.8569</v>
      </c>
      <c r="X301" s="1">
        <v>1.9974000000000001</v>
      </c>
      <c r="Y301" s="1">
        <v>9.5470000000000006</v>
      </c>
      <c r="Z301" s="1">
        <v>1.4273100000000001</v>
      </c>
      <c r="AB301" s="1425">
        <v>44788</v>
      </c>
      <c r="AC301" s="1">
        <v>8.4553999999999991</v>
      </c>
      <c r="AD301" s="1502">
        <v>1.3033999999999999</v>
      </c>
      <c r="AE301" s="1">
        <v>5.4767000000000001</v>
      </c>
      <c r="AF301" s="1">
        <v>3.5040000000000002E-2</v>
      </c>
      <c r="AH301" s="1425">
        <v>44788</v>
      </c>
      <c r="AI301" s="1">
        <v>14.1646</v>
      </c>
      <c r="AJ301" s="1">
        <v>2.6198000000000001</v>
      </c>
      <c r="AK301" s="1">
        <v>7.7076000000000002</v>
      </c>
      <c r="AL301" s="1">
        <v>4.3200000000000002E-2</v>
      </c>
      <c r="AN301" s="1425">
        <v>44785</v>
      </c>
      <c r="AO301" s="1">
        <v>6.625</v>
      </c>
      <c r="AP301" s="1">
        <v>0.98140000000000005</v>
      </c>
      <c r="AQ301" s="1">
        <v>4.1813000000000002</v>
      </c>
      <c r="AR301" s="1">
        <v>0.23649999999999999</v>
      </c>
      <c r="AT301" s="1425">
        <v>44785</v>
      </c>
      <c r="AU301" s="1">
        <v>14</v>
      </c>
      <c r="AV301" s="1">
        <v>0.89139999999999997</v>
      </c>
      <c r="AW301" s="1">
        <v>8.6740999999999993</v>
      </c>
      <c r="AX301" s="1">
        <v>0.21398</v>
      </c>
      <c r="BA301" s="1425">
        <v>44789</v>
      </c>
      <c r="BB301" s="1">
        <v>13.1614</v>
      </c>
      <c r="BC301" s="1">
        <v>3.2361</v>
      </c>
      <c r="BD301" s="1">
        <v>13.070399999999999</v>
      </c>
      <c r="BE301" s="1">
        <v>0.81737000000000004</v>
      </c>
      <c r="BG301" s="1425">
        <v>44789</v>
      </c>
      <c r="BH301" s="1">
        <v>15.6006</v>
      </c>
      <c r="BI301" s="1">
        <v>4.26</v>
      </c>
      <c r="BJ301" s="1">
        <v>22.379300000000001</v>
      </c>
      <c r="BT301" s="1425">
        <v>44797</v>
      </c>
      <c r="BU301" s="1">
        <v>18.900400000000001</v>
      </c>
      <c r="BV301" s="1">
        <v>4.3666999999999998</v>
      </c>
      <c r="BW301" s="1">
        <v>10.6538</v>
      </c>
      <c r="BX301" s="1">
        <v>2.8403</v>
      </c>
      <c r="BZ301" s="1425">
        <v>44797</v>
      </c>
      <c r="CA301" s="1">
        <v>19.8337</v>
      </c>
      <c r="CB301" s="1">
        <v>5.7039999999999997</v>
      </c>
      <c r="CC301" s="1">
        <v>15.9208</v>
      </c>
      <c r="CD301" s="1">
        <v>3.2869100000000002</v>
      </c>
      <c r="CF301" s="1425">
        <v>44796</v>
      </c>
      <c r="CG301" s="1">
        <v>4.6116999999999999</v>
      </c>
      <c r="CH301" s="1">
        <v>1.4893000000000001</v>
      </c>
      <c r="CI301" s="1">
        <v>7.8888999999999996</v>
      </c>
      <c r="CL301" s="1425">
        <v>44804</v>
      </c>
      <c r="CM301" s="1">
        <v>19.405200000000001</v>
      </c>
      <c r="CN301" s="1">
        <v>2.6695000000000002</v>
      </c>
      <c r="CO301" s="1">
        <v>10.8536</v>
      </c>
    </row>
    <row r="302" spans="1:93">
      <c r="A302" s="1425">
        <v>44796</v>
      </c>
      <c r="B302" s="20">
        <f t="shared" si="42"/>
        <v>14.825699999999999</v>
      </c>
      <c r="C302" s="20">
        <f t="shared" si="44"/>
        <v>14.359299999999999</v>
      </c>
      <c r="D302" s="20">
        <f t="shared" si="45"/>
        <v>14.8499</v>
      </c>
      <c r="E302" s="20">
        <f t="shared" si="46"/>
        <v>6.5</v>
      </c>
      <c r="F302" s="20">
        <f t="shared" si="47"/>
        <v>15.6006</v>
      </c>
      <c r="G302" s="20">
        <f t="shared" si="48"/>
        <v>12.829599999999999</v>
      </c>
      <c r="H302" s="1239">
        <f t="shared" si="49"/>
        <v>14.359299999999999</v>
      </c>
      <c r="I302" s="1243">
        <f t="shared" si="43"/>
        <v>3.2480691955736107E-2</v>
      </c>
      <c r="J302" s="1243">
        <f t="shared" si="50"/>
        <v>0.12093838824177333</v>
      </c>
      <c r="K302" s="1243">
        <f t="shared" si="51"/>
        <v>0.1</v>
      </c>
      <c r="L302" s="203"/>
      <c r="N302" s="1425">
        <v>44796</v>
      </c>
      <c r="O302" s="1502">
        <v>14.825699999999999</v>
      </c>
      <c r="P302" s="1502">
        <v>5.7202999999999999</v>
      </c>
      <c r="Q302" s="1502">
        <v>15.3133</v>
      </c>
      <c r="R302" s="1233">
        <f>'B. PE'!$U$23</f>
        <v>15.978235616082999</v>
      </c>
      <c r="S302" s="1233"/>
      <c r="T302" s="1233"/>
      <c r="V302" s="1425">
        <v>44796</v>
      </c>
      <c r="W302" s="1">
        <v>14.359299999999999</v>
      </c>
      <c r="X302" s="1">
        <v>1.9305000000000001</v>
      </c>
      <c r="Y302" s="1">
        <v>9.3122000000000007</v>
      </c>
      <c r="Z302" s="1">
        <v>1.3673500000000001</v>
      </c>
      <c r="AB302" s="1425">
        <v>44785</v>
      </c>
      <c r="AC302" s="1">
        <v>8.3733000000000004</v>
      </c>
      <c r="AD302" s="1502">
        <v>1.2907</v>
      </c>
      <c r="AE302" s="1">
        <v>5.4386999999999999</v>
      </c>
      <c r="AF302" s="1">
        <v>3.372E-2</v>
      </c>
      <c r="AH302" s="1425">
        <v>44785</v>
      </c>
      <c r="AI302" s="1">
        <v>14.507300000000001</v>
      </c>
      <c r="AJ302" s="1">
        <v>2.6831</v>
      </c>
      <c r="AK302" s="1">
        <v>7.8844000000000003</v>
      </c>
      <c r="AL302" s="1">
        <v>4.1300000000000003E-2</v>
      </c>
      <c r="AN302" s="1425">
        <v>44784</v>
      </c>
      <c r="AO302" s="1">
        <v>6.625</v>
      </c>
      <c r="AP302" s="1">
        <v>0.98140000000000005</v>
      </c>
      <c r="AQ302" s="1">
        <v>4.1813000000000002</v>
      </c>
      <c r="AR302" s="1">
        <v>0.23810000000000001</v>
      </c>
      <c r="AT302" s="1425">
        <v>44784</v>
      </c>
      <c r="AU302" s="1">
        <v>13.642899999999999</v>
      </c>
      <c r="AV302" s="1">
        <v>0.86860000000000004</v>
      </c>
      <c r="AW302" s="1">
        <v>8.4726999999999997</v>
      </c>
      <c r="AX302" s="1">
        <v>0.21787999999999999</v>
      </c>
      <c r="BA302" s="1425">
        <v>44788</v>
      </c>
      <c r="BB302" s="1">
        <v>13.3826</v>
      </c>
      <c r="BC302" s="1">
        <v>3.2904</v>
      </c>
      <c r="BD302" s="1">
        <v>13.235200000000001</v>
      </c>
      <c r="BE302" s="1">
        <v>0.83640000000000003</v>
      </c>
      <c r="BG302" s="1425">
        <v>44788</v>
      </c>
      <c r="BH302" s="1">
        <v>15.7622</v>
      </c>
      <c r="BI302" s="1">
        <v>4.3041</v>
      </c>
      <c r="BJ302" s="1">
        <v>22.561199999999999</v>
      </c>
      <c r="BT302" s="1425">
        <v>44796</v>
      </c>
      <c r="BU302" s="1">
        <v>18.928699999999999</v>
      </c>
      <c r="BV302" s="1">
        <v>4.3733000000000004</v>
      </c>
      <c r="BW302" s="1">
        <v>10.6686</v>
      </c>
      <c r="BX302" s="1">
        <v>2.7401</v>
      </c>
      <c r="BZ302" s="1425">
        <v>44796</v>
      </c>
      <c r="CA302" s="1">
        <v>19.9909</v>
      </c>
      <c r="CB302" s="1">
        <v>5.7492000000000001</v>
      </c>
      <c r="CC302" s="1">
        <v>16.019600000000001</v>
      </c>
      <c r="CD302" s="1">
        <v>3.20051</v>
      </c>
      <c r="CF302" s="1425">
        <v>44795</v>
      </c>
      <c r="CG302" s="1">
        <v>4.6307</v>
      </c>
      <c r="CH302" s="1">
        <v>1.4955000000000001</v>
      </c>
      <c r="CI302" s="1">
        <v>7.9024000000000001</v>
      </c>
      <c r="CL302" s="1425">
        <v>44803</v>
      </c>
      <c r="CM302" s="1">
        <v>19.3918</v>
      </c>
      <c r="CN302" s="1">
        <v>2.6676000000000002</v>
      </c>
      <c r="CO302" s="1">
        <v>10.8462</v>
      </c>
    </row>
    <row r="303" spans="1:93">
      <c r="A303" s="1425">
        <v>44795</v>
      </c>
      <c r="B303" s="20">
        <f t="shared" si="42"/>
        <v>14.825699999999999</v>
      </c>
      <c r="C303" s="20">
        <f t="shared" si="44"/>
        <v>14.1105</v>
      </c>
      <c r="D303" s="20">
        <f t="shared" si="45"/>
        <v>14.507300000000001</v>
      </c>
      <c r="E303" s="20">
        <f t="shared" si="46"/>
        <v>6.5</v>
      </c>
      <c r="F303" s="20">
        <f t="shared" si="47"/>
        <v>15.3581</v>
      </c>
      <c r="G303" s="20">
        <f t="shared" si="48"/>
        <v>12.4978</v>
      </c>
      <c r="H303" s="1239">
        <f t="shared" si="49"/>
        <v>14.1105</v>
      </c>
      <c r="I303" s="1243">
        <f t="shared" si="43"/>
        <v>5.0685659615180123E-2</v>
      </c>
      <c r="J303" s="1243">
        <f t="shared" si="50"/>
        <v>0.12093838824177333</v>
      </c>
      <c r="K303" s="1243">
        <f t="shared" si="51"/>
        <v>0.1</v>
      </c>
      <c r="L303" s="203"/>
      <c r="N303" s="1425">
        <v>44795</v>
      </c>
      <c r="O303" s="1502">
        <v>14.825699999999999</v>
      </c>
      <c r="P303" s="1502">
        <v>5.7202999999999999</v>
      </c>
      <c r="Q303" s="1502">
        <v>15.3133</v>
      </c>
      <c r="R303" s="1233">
        <f>'B. PE'!$U$23</f>
        <v>15.978235616082999</v>
      </c>
      <c r="S303" s="1233"/>
      <c r="T303" s="1233"/>
      <c r="V303" s="1425">
        <v>44795</v>
      </c>
      <c r="W303" s="1">
        <v>14.1105</v>
      </c>
      <c r="X303" s="1">
        <v>1.897</v>
      </c>
      <c r="Y303" s="1">
        <v>9.1948000000000008</v>
      </c>
      <c r="Z303" s="1">
        <v>1.3540700000000001</v>
      </c>
      <c r="AB303" s="1425">
        <v>44784</v>
      </c>
      <c r="AC303" s="1">
        <v>8.4553999999999991</v>
      </c>
      <c r="AD303" s="1502">
        <v>1.3033999999999999</v>
      </c>
      <c r="AE303" s="1">
        <v>5.4767000000000001</v>
      </c>
      <c r="AF303" s="1">
        <v>3.363E-2</v>
      </c>
      <c r="AH303" s="1425">
        <v>44784</v>
      </c>
      <c r="AI303" s="1">
        <v>14.507300000000001</v>
      </c>
      <c r="AJ303" s="1">
        <v>2.6831</v>
      </c>
      <c r="AK303" s="1">
        <v>7.8844000000000003</v>
      </c>
      <c r="AL303" s="1">
        <v>4.3720000000000002E-2</v>
      </c>
      <c r="AN303" s="1425">
        <v>44783</v>
      </c>
      <c r="AO303" s="1">
        <v>6.5625</v>
      </c>
      <c r="AP303" s="1">
        <v>0.97219999999999995</v>
      </c>
      <c r="AQ303" s="1">
        <v>4.1348000000000003</v>
      </c>
      <c r="AR303" s="1">
        <v>0.24032999999999999</v>
      </c>
      <c r="AT303" s="1425">
        <v>44783</v>
      </c>
      <c r="AU303" s="1">
        <v>13.571400000000001</v>
      </c>
      <c r="AV303" s="1">
        <v>0.86409999999999998</v>
      </c>
      <c r="AW303" s="1">
        <v>8.4323999999999995</v>
      </c>
      <c r="AX303" s="1">
        <v>0.21786</v>
      </c>
      <c r="BA303" s="1425">
        <v>44784</v>
      </c>
      <c r="BB303" s="1">
        <v>12.718999999999999</v>
      </c>
      <c r="BC303" s="1">
        <v>3.1273</v>
      </c>
      <c r="BD303" s="1">
        <v>12.7407</v>
      </c>
      <c r="BE303" s="1">
        <v>0.80556000000000005</v>
      </c>
      <c r="BG303" s="1425">
        <v>44784</v>
      </c>
      <c r="BH303" s="1">
        <v>15.7622</v>
      </c>
      <c r="BI303" s="1">
        <v>4.3041</v>
      </c>
      <c r="BJ303" s="1">
        <v>22.561199999999999</v>
      </c>
      <c r="BT303" s="1425">
        <v>44795</v>
      </c>
      <c r="BU303" s="1">
        <v>18.8155</v>
      </c>
      <c r="BV303" s="1">
        <v>4.3471000000000002</v>
      </c>
      <c r="BW303" s="1">
        <v>10.6092</v>
      </c>
      <c r="BX303" s="1">
        <v>2.7557999999999998</v>
      </c>
      <c r="BZ303" s="1425">
        <v>44795</v>
      </c>
      <c r="CA303" s="1">
        <v>19.878599999999999</v>
      </c>
      <c r="CB303" s="1">
        <v>5.7168999999999999</v>
      </c>
      <c r="CC303" s="1">
        <v>15.9491</v>
      </c>
      <c r="CD303" s="1">
        <v>3.17286</v>
      </c>
      <c r="CF303" s="1425">
        <v>44792</v>
      </c>
      <c r="CG303" s="1">
        <v>4.6307</v>
      </c>
      <c r="CH303" s="1">
        <v>1.4955000000000001</v>
      </c>
      <c r="CI303" s="1">
        <v>7.9024000000000001</v>
      </c>
      <c r="CL303" s="1425">
        <v>44802</v>
      </c>
      <c r="CM303" s="1">
        <v>19.645199999999999</v>
      </c>
      <c r="CN303" s="1">
        <v>2.7025000000000001</v>
      </c>
      <c r="CO303" s="1">
        <v>10.9864</v>
      </c>
    </row>
    <row r="304" spans="1:93">
      <c r="A304" s="1425">
        <v>44792</v>
      </c>
      <c r="B304" s="20">
        <f t="shared" si="42"/>
        <v>14.456099999999999</v>
      </c>
      <c r="C304" s="20">
        <f t="shared" si="44"/>
        <v>13.5063</v>
      </c>
      <c r="D304" s="20">
        <f t="shared" si="45"/>
        <v>14.393000000000001</v>
      </c>
      <c r="E304" s="20">
        <f t="shared" si="46"/>
        <v>6.4375</v>
      </c>
      <c r="F304" s="20">
        <f t="shared" si="47"/>
        <v>15.7622</v>
      </c>
      <c r="G304" s="20">
        <f t="shared" si="48"/>
        <v>13.050800000000001</v>
      </c>
      <c r="H304" s="1239">
        <f t="shared" si="49"/>
        <v>13.5063</v>
      </c>
      <c r="I304" s="1243">
        <f t="shared" si="43"/>
        <v>7.0322738277692531E-2</v>
      </c>
      <c r="J304" s="1243">
        <f t="shared" si="50"/>
        <v>0.12093838824177333</v>
      </c>
      <c r="K304" s="1243">
        <f t="shared" si="51"/>
        <v>0.1</v>
      </c>
      <c r="L304" s="203"/>
      <c r="N304" s="1425">
        <v>44792</v>
      </c>
      <c r="O304" s="1502">
        <v>14.456099999999999</v>
      </c>
      <c r="P304" s="1502">
        <v>5.5777000000000001</v>
      </c>
      <c r="Q304" s="1502">
        <v>14.963900000000001</v>
      </c>
      <c r="R304" s="1233">
        <f>'B. PE'!$U$23</f>
        <v>15.978235616082999</v>
      </c>
      <c r="S304" s="1233"/>
      <c r="T304" s="1233"/>
      <c r="V304" s="1425">
        <v>44792</v>
      </c>
      <c r="W304" s="1">
        <v>13.5063</v>
      </c>
      <c r="X304" s="1">
        <v>1.8158000000000001</v>
      </c>
      <c r="Y304" s="1">
        <v>8.9097000000000008</v>
      </c>
      <c r="Z304" s="1">
        <v>1.35476</v>
      </c>
      <c r="AB304" s="1425">
        <v>44783</v>
      </c>
      <c r="AC304" s="1">
        <v>8.1762999999999995</v>
      </c>
      <c r="AD304" s="1502">
        <v>1.2604</v>
      </c>
      <c r="AE304" s="1">
        <v>5.3474000000000004</v>
      </c>
      <c r="AF304" s="1">
        <v>3.354E-2</v>
      </c>
      <c r="AH304" s="1425">
        <v>44783</v>
      </c>
      <c r="AI304" s="1">
        <v>13.9361</v>
      </c>
      <c r="AJ304" s="1">
        <v>2.5775000000000001</v>
      </c>
      <c r="AK304" s="1">
        <v>7.5896999999999997</v>
      </c>
      <c r="AL304" s="1">
        <v>4.4450000000000003E-2</v>
      </c>
      <c r="AN304" s="1425">
        <v>44782</v>
      </c>
      <c r="AO304" s="1">
        <v>6.625</v>
      </c>
      <c r="AP304" s="1">
        <v>0.98140000000000005</v>
      </c>
      <c r="AQ304" s="1">
        <v>4.1813000000000002</v>
      </c>
      <c r="AR304" s="1">
        <v>0.2382</v>
      </c>
      <c r="AT304" s="1425">
        <v>44782</v>
      </c>
      <c r="AU304" s="1">
        <v>13.857100000000001</v>
      </c>
      <c r="AV304" s="1">
        <v>0.88229999999999997</v>
      </c>
      <c r="AW304" s="1">
        <v>8.5935000000000006</v>
      </c>
      <c r="AX304" s="1">
        <v>0.22022</v>
      </c>
      <c r="BA304" s="1425">
        <v>44783</v>
      </c>
      <c r="BB304" s="1">
        <v>13.050800000000001</v>
      </c>
      <c r="BC304" s="1">
        <v>3.2088999999999999</v>
      </c>
      <c r="BD304" s="1">
        <v>12.988</v>
      </c>
      <c r="BE304" s="1">
        <v>0.80708999999999997</v>
      </c>
      <c r="BG304" s="1425">
        <v>44783</v>
      </c>
      <c r="BH304" s="1">
        <v>15.5198</v>
      </c>
      <c r="BI304" s="1">
        <v>4.2378999999999998</v>
      </c>
      <c r="BJ304" s="1">
        <v>22.288399999999999</v>
      </c>
      <c r="BT304" s="1425">
        <v>44792</v>
      </c>
      <c r="BU304" s="1">
        <v>18.136399999999998</v>
      </c>
      <c r="BV304" s="1">
        <v>4.1901999999999999</v>
      </c>
      <c r="BW304" s="1">
        <v>10.2525</v>
      </c>
      <c r="BX304" s="1">
        <v>2.7786</v>
      </c>
      <c r="BZ304" s="1425">
        <v>44792</v>
      </c>
      <c r="CA304" s="1">
        <v>19.339500000000001</v>
      </c>
      <c r="CB304" s="1">
        <v>5.5618999999999996</v>
      </c>
      <c r="CC304" s="1">
        <v>15.6106</v>
      </c>
      <c r="CD304" s="1">
        <v>3.17821</v>
      </c>
      <c r="CF304" s="1425">
        <v>44791</v>
      </c>
      <c r="CG304" s="1">
        <v>4.7256</v>
      </c>
      <c r="CH304" s="1">
        <v>1.5261</v>
      </c>
      <c r="CI304" s="1">
        <v>7.9703999999999997</v>
      </c>
      <c r="CL304" s="1425">
        <v>44799</v>
      </c>
      <c r="CM304" s="1">
        <v>19.4985</v>
      </c>
      <c r="CN304" s="1">
        <v>2.6823000000000001</v>
      </c>
      <c r="CO304" s="1">
        <v>10.9053</v>
      </c>
    </row>
    <row r="305" spans="1:93">
      <c r="A305" s="1425">
        <v>44791</v>
      </c>
      <c r="B305" s="20">
        <f t="shared" si="42"/>
        <v>14.3535</v>
      </c>
      <c r="C305" s="20">
        <f t="shared" si="44"/>
        <v>13.3819</v>
      </c>
      <c r="D305" s="20">
        <f t="shared" si="45"/>
        <v>14.1646</v>
      </c>
      <c r="E305" s="20">
        <f t="shared" si="46"/>
        <v>6.4375</v>
      </c>
      <c r="F305" s="20">
        <f t="shared" si="47"/>
        <v>15.9239</v>
      </c>
      <c r="G305" s="20">
        <f t="shared" si="48"/>
        <v>12.829599999999999</v>
      </c>
      <c r="H305" s="1239">
        <f t="shared" si="49"/>
        <v>13.3819</v>
      </c>
      <c r="I305" s="1243">
        <f t="shared" si="43"/>
        <v>7.2605534341162459E-2</v>
      </c>
      <c r="J305" s="1243">
        <f t="shared" si="50"/>
        <v>0.12093838824177333</v>
      </c>
      <c r="K305" s="1243">
        <f t="shared" si="51"/>
        <v>0.1</v>
      </c>
      <c r="L305" s="203"/>
      <c r="N305" s="1425">
        <v>44791</v>
      </c>
      <c r="O305" s="1502">
        <v>14.3535</v>
      </c>
      <c r="P305" s="1502">
        <v>5.5381</v>
      </c>
      <c r="Q305" s="1502">
        <v>14.8668</v>
      </c>
      <c r="R305" s="1233">
        <f>'B. PE'!$U$23</f>
        <v>15.978235616082999</v>
      </c>
      <c r="S305" s="1233"/>
      <c r="T305" s="1233"/>
      <c r="V305" s="1425">
        <v>44791</v>
      </c>
      <c r="W305" s="1">
        <v>13.3819</v>
      </c>
      <c r="X305" s="1">
        <v>1.7990999999999999</v>
      </c>
      <c r="Y305" s="1">
        <v>8.8508999999999993</v>
      </c>
      <c r="Z305" s="1">
        <v>1.38487</v>
      </c>
      <c r="AB305" s="1425">
        <v>44782</v>
      </c>
      <c r="AC305" s="1">
        <v>8.2090999999999994</v>
      </c>
      <c r="AD305" s="1502">
        <v>1.2654000000000001</v>
      </c>
      <c r="AE305" s="1">
        <v>5.3625999999999996</v>
      </c>
      <c r="AF305" s="1">
        <v>3.3459999999999997E-2</v>
      </c>
      <c r="AH305" s="1425">
        <v>44782</v>
      </c>
      <c r="AI305" s="1">
        <v>14.8499</v>
      </c>
      <c r="AJ305" s="1">
        <v>2.7465000000000002</v>
      </c>
      <c r="AK305" s="1">
        <v>8.0611999999999995</v>
      </c>
      <c r="AL305" s="1">
        <v>4.317E-2</v>
      </c>
      <c r="AN305" s="1425">
        <v>44781</v>
      </c>
      <c r="AO305" s="1">
        <v>6.6875</v>
      </c>
      <c r="AP305" s="1">
        <v>0.99070000000000003</v>
      </c>
      <c r="AQ305" s="1">
        <v>4.2276999999999996</v>
      </c>
      <c r="AR305" s="1">
        <v>0.24065</v>
      </c>
      <c r="AT305" s="1425">
        <v>44781</v>
      </c>
      <c r="AU305" s="1">
        <v>13.857100000000001</v>
      </c>
      <c r="AV305" s="1">
        <v>0.88229999999999997</v>
      </c>
      <c r="AW305" s="1">
        <v>8.5935000000000006</v>
      </c>
      <c r="AX305" s="1">
        <v>0.21029</v>
      </c>
      <c r="BA305" s="1425">
        <v>44782</v>
      </c>
      <c r="BB305" s="1">
        <v>12.6084</v>
      </c>
      <c r="BC305" s="1">
        <v>3.1000999999999999</v>
      </c>
      <c r="BD305" s="1">
        <v>12.658300000000001</v>
      </c>
      <c r="BE305" s="1">
        <v>0.81052999999999997</v>
      </c>
      <c r="BG305" s="1425">
        <v>44782</v>
      </c>
      <c r="BH305" s="1">
        <v>16.0047</v>
      </c>
      <c r="BI305" s="1">
        <v>4.3703000000000003</v>
      </c>
      <c r="BJ305" s="1">
        <v>22.834099999999999</v>
      </c>
      <c r="BT305" s="1425">
        <v>44791</v>
      </c>
      <c r="BU305" s="1">
        <v>18.249600000000001</v>
      </c>
      <c r="BV305" s="1">
        <v>4.2164000000000001</v>
      </c>
      <c r="BW305" s="1">
        <v>10.3119</v>
      </c>
      <c r="BX305" s="1">
        <v>2.8203999999999998</v>
      </c>
      <c r="BZ305" s="1425">
        <v>44791</v>
      </c>
      <c r="CA305" s="1">
        <v>19.182300000000001</v>
      </c>
      <c r="CB305" s="1">
        <v>5.5167000000000002</v>
      </c>
      <c r="CC305" s="1">
        <v>15.511900000000001</v>
      </c>
      <c r="CD305" s="1">
        <v>3.1994199999999999</v>
      </c>
      <c r="CF305" s="1425">
        <v>44790</v>
      </c>
      <c r="CG305" s="1">
        <v>4.7256</v>
      </c>
      <c r="CH305" s="1">
        <v>1.5261</v>
      </c>
      <c r="CI305" s="1">
        <v>7.9703999999999997</v>
      </c>
      <c r="CL305" s="1425">
        <v>44798</v>
      </c>
      <c r="CM305" s="1">
        <v>19.858599999999999</v>
      </c>
      <c r="CN305" s="1">
        <v>2.7317999999999998</v>
      </c>
      <c r="CO305" s="1">
        <v>11.1045</v>
      </c>
    </row>
    <row r="306" spans="1:93">
      <c r="A306" s="1425">
        <v>44790</v>
      </c>
      <c r="B306" s="20">
        <f t="shared" si="42"/>
        <v>14.682</v>
      </c>
      <c r="C306" s="20">
        <f t="shared" si="44"/>
        <v>13.3819</v>
      </c>
      <c r="D306" s="20">
        <f t="shared" si="45"/>
        <v>14.1646</v>
      </c>
      <c r="E306" s="20">
        <f t="shared" si="46"/>
        <v>6.5625</v>
      </c>
      <c r="F306" s="20">
        <f t="shared" si="47"/>
        <v>15.7622</v>
      </c>
      <c r="G306" s="20">
        <f t="shared" si="48"/>
        <v>12.940200000000001</v>
      </c>
      <c r="H306" s="1239">
        <f t="shared" si="49"/>
        <v>13.3819</v>
      </c>
      <c r="I306" s="1243">
        <f t="shared" si="43"/>
        <v>9.7153617946629467E-2</v>
      </c>
      <c r="J306" s="1243">
        <f t="shared" si="50"/>
        <v>0.12093838824177333</v>
      </c>
      <c r="K306" s="1243">
        <f t="shared" si="51"/>
        <v>0.1</v>
      </c>
      <c r="L306" s="203"/>
      <c r="N306" s="1425">
        <v>44790</v>
      </c>
      <c r="O306" s="1502">
        <v>14.682</v>
      </c>
      <c r="P306" s="1502">
        <v>5.6647999999999996</v>
      </c>
      <c r="Q306" s="1502">
        <v>15.1774</v>
      </c>
      <c r="R306" s="1233">
        <f>'B. PE'!$U$23</f>
        <v>15.978235616082999</v>
      </c>
      <c r="S306" s="1233"/>
      <c r="T306" s="1233"/>
      <c r="V306" s="1425">
        <v>44790</v>
      </c>
      <c r="W306" s="1">
        <v>13.3819</v>
      </c>
      <c r="X306" s="1">
        <v>1.7990999999999999</v>
      </c>
      <c r="Y306" s="1">
        <v>8.8508999999999993</v>
      </c>
      <c r="Z306" s="1">
        <v>1.40124</v>
      </c>
      <c r="AB306" s="1425">
        <v>44781</v>
      </c>
      <c r="AC306" s="1">
        <v>8.1762999999999995</v>
      </c>
      <c r="AD306" s="1502">
        <v>1.2604</v>
      </c>
      <c r="AE306" s="1">
        <v>5.3474000000000004</v>
      </c>
      <c r="AF306" s="1">
        <v>3.3410000000000002E-2</v>
      </c>
      <c r="AH306" s="1425">
        <v>44781</v>
      </c>
      <c r="AI306" s="1">
        <v>15.0784</v>
      </c>
      <c r="AJ306" s="1">
        <v>2.7888000000000002</v>
      </c>
      <c r="AK306" s="1">
        <v>8.1791</v>
      </c>
      <c r="AL306" s="1">
        <v>4.2610000000000002E-2</v>
      </c>
      <c r="AN306" s="1425">
        <v>44778</v>
      </c>
      <c r="AO306" s="1">
        <v>6.625</v>
      </c>
      <c r="AP306" s="1">
        <v>0.98140000000000005</v>
      </c>
      <c r="AQ306" s="1">
        <v>4.1813000000000002</v>
      </c>
      <c r="AR306" s="1">
        <v>0.23558000000000001</v>
      </c>
      <c r="AT306" s="1425">
        <v>44778</v>
      </c>
      <c r="AU306" s="1">
        <v>14</v>
      </c>
      <c r="AV306" s="1">
        <v>0.89139999999999997</v>
      </c>
      <c r="AW306" s="1">
        <v>8.6740999999999993</v>
      </c>
      <c r="AX306" s="1">
        <v>0.20416999999999999</v>
      </c>
      <c r="BA306" s="1425">
        <v>44781</v>
      </c>
      <c r="BB306" s="1">
        <v>12.718999999999999</v>
      </c>
      <c r="BC306" s="1">
        <v>3.1273</v>
      </c>
      <c r="BD306" s="1">
        <v>12.7407</v>
      </c>
      <c r="BE306" s="1">
        <v>0.76685000000000003</v>
      </c>
      <c r="BG306" s="1425">
        <v>44781</v>
      </c>
      <c r="BH306" s="1">
        <v>16.570599999999999</v>
      </c>
      <c r="BI306" s="1">
        <v>4.5248999999999997</v>
      </c>
      <c r="BJ306" s="1">
        <v>23.470600000000001</v>
      </c>
      <c r="BT306" s="1425">
        <v>44790</v>
      </c>
      <c r="BU306" s="1">
        <v>18.391100000000002</v>
      </c>
      <c r="BV306" s="1">
        <v>4.2491000000000003</v>
      </c>
      <c r="BW306" s="1">
        <v>10.386200000000001</v>
      </c>
      <c r="BX306" s="1">
        <v>2.778</v>
      </c>
      <c r="BZ306" s="1425">
        <v>44790</v>
      </c>
      <c r="CA306" s="1">
        <v>19.204799999999999</v>
      </c>
      <c r="CB306" s="1">
        <v>5.5231000000000003</v>
      </c>
      <c r="CC306" s="1">
        <v>15.526</v>
      </c>
      <c r="CD306" s="1">
        <v>3.26301</v>
      </c>
      <c r="CF306" s="1425">
        <v>44789</v>
      </c>
      <c r="CG306" s="1">
        <v>4.7445000000000004</v>
      </c>
      <c r="CH306" s="1">
        <v>1.5322</v>
      </c>
      <c r="CI306" s="1">
        <v>7.984</v>
      </c>
      <c r="CL306" s="1425">
        <v>44797</v>
      </c>
      <c r="CM306" s="1">
        <v>19.845300000000002</v>
      </c>
      <c r="CN306" s="1">
        <v>2.73</v>
      </c>
      <c r="CO306" s="1">
        <v>11.097099999999999</v>
      </c>
    </row>
    <row r="307" spans="1:93">
      <c r="A307" s="1425">
        <v>44789</v>
      </c>
      <c r="B307" s="20">
        <f t="shared" si="42"/>
        <v>14.6409</v>
      </c>
      <c r="C307" s="20">
        <f t="shared" si="44"/>
        <v>13.683999999999999</v>
      </c>
      <c r="D307" s="20">
        <f t="shared" si="45"/>
        <v>14.1646</v>
      </c>
      <c r="E307" s="20">
        <f t="shared" si="46"/>
        <v>6.5625</v>
      </c>
      <c r="F307" s="20">
        <f t="shared" si="47"/>
        <v>15.6006</v>
      </c>
      <c r="G307" s="20">
        <f t="shared" si="48"/>
        <v>13.1614</v>
      </c>
      <c r="H307" s="1239">
        <f t="shared" si="49"/>
        <v>13.683999999999999</v>
      </c>
      <c r="I307" s="1243">
        <f t="shared" si="43"/>
        <v>6.9928383513592651E-2</v>
      </c>
      <c r="J307" s="1243">
        <f t="shared" si="50"/>
        <v>0.12093838824177333</v>
      </c>
      <c r="K307" s="1243">
        <f t="shared" si="51"/>
        <v>0.1</v>
      </c>
      <c r="L307" s="203"/>
      <c r="N307" s="1425">
        <v>44789</v>
      </c>
      <c r="O307" s="1502">
        <v>14.6409</v>
      </c>
      <c r="P307" s="1502">
        <v>5.649</v>
      </c>
      <c r="Q307" s="1502">
        <v>15.1386</v>
      </c>
      <c r="R307" s="1233">
        <f>'B. PE'!$U$23</f>
        <v>15.978235616082999</v>
      </c>
      <c r="S307" s="1233"/>
      <c r="T307" s="1233"/>
      <c r="V307" s="1425">
        <v>44789</v>
      </c>
      <c r="W307" s="1">
        <v>13.683999999999999</v>
      </c>
      <c r="X307" s="1">
        <v>1.8396999999999999</v>
      </c>
      <c r="Y307" s="1">
        <v>8.9934999999999992</v>
      </c>
      <c r="Z307" s="1">
        <v>1.36724</v>
      </c>
      <c r="AB307" s="1425">
        <v>44778</v>
      </c>
      <c r="AC307" s="1">
        <v>8.2090999999999994</v>
      </c>
      <c r="AD307" s="1502">
        <v>1.2654000000000001</v>
      </c>
      <c r="AE307" s="1">
        <v>5.3625999999999996</v>
      </c>
      <c r="AF307" s="1">
        <v>3.322E-2</v>
      </c>
      <c r="AH307" s="1425">
        <v>44778</v>
      </c>
      <c r="AI307" s="1">
        <v>14.7357</v>
      </c>
      <c r="AJ307" s="1">
        <v>2.7254</v>
      </c>
      <c r="AK307" s="1">
        <v>8.0023</v>
      </c>
      <c r="AL307" s="1">
        <v>4.1360000000000001E-2</v>
      </c>
      <c r="AN307" s="1425">
        <v>44777</v>
      </c>
      <c r="AO307" s="1">
        <v>6.6875</v>
      </c>
      <c r="AP307" s="1">
        <v>0.99070000000000003</v>
      </c>
      <c r="AQ307" s="1">
        <v>4.2276999999999996</v>
      </c>
      <c r="AR307" s="1">
        <v>0.23372999999999999</v>
      </c>
      <c r="AT307" s="1425">
        <v>44777</v>
      </c>
      <c r="AU307" s="1">
        <v>13.357100000000001</v>
      </c>
      <c r="AV307" s="1">
        <v>0.85040000000000004</v>
      </c>
      <c r="AW307" s="1">
        <v>8.3115000000000006</v>
      </c>
      <c r="AX307" s="1">
        <v>0.20452000000000001</v>
      </c>
      <c r="BA307" s="1425">
        <v>44778</v>
      </c>
      <c r="BB307" s="1">
        <v>12.829599999999999</v>
      </c>
      <c r="BC307" s="1">
        <v>3.1545000000000001</v>
      </c>
      <c r="BD307" s="1">
        <v>12.8231</v>
      </c>
      <c r="BE307" s="1">
        <v>0.75876999999999994</v>
      </c>
      <c r="BG307" s="1425">
        <v>44778</v>
      </c>
      <c r="BH307" s="1">
        <v>16.328099999999999</v>
      </c>
      <c r="BI307" s="1">
        <v>4.4585999999999997</v>
      </c>
      <c r="BJ307" s="1">
        <v>23.197800000000001</v>
      </c>
      <c r="BT307" s="1425">
        <v>44789</v>
      </c>
      <c r="BU307" s="1">
        <v>18.673999999999999</v>
      </c>
      <c r="BV307" s="1">
        <v>4.3144</v>
      </c>
      <c r="BW307" s="1">
        <v>10.5349</v>
      </c>
      <c r="BX307" s="1">
        <v>2.6928999999999998</v>
      </c>
      <c r="BZ307" s="1425">
        <v>44789</v>
      </c>
      <c r="CA307" s="1">
        <v>19.339500000000001</v>
      </c>
      <c r="CB307" s="1">
        <v>5.5618999999999996</v>
      </c>
      <c r="CC307" s="1">
        <v>15.6106</v>
      </c>
      <c r="CD307" s="1">
        <v>3.1444800000000002</v>
      </c>
      <c r="CF307" s="1425">
        <v>44788</v>
      </c>
      <c r="CG307" s="1">
        <v>4.8394000000000004</v>
      </c>
      <c r="CH307" s="1">
        <v>1.5629</v>
      </c>
      <c r="CI307" s="1">
        <v>8.0518999999999998</v>
      </c>
      <c r="CL307" s="1425">
        <v>44796</v>
      </c>
      <c r="CM307" s="1">
        <v>19.9253</v>
      </c>
      <c r="CN307" s="1">
        <v>2.7410000000000001</v>
      </c>
      <c r="CO307" s="1">
        <v>11.141400000000001</v>
      </c>
    </row>
    <row r="308" spans="1:93">
      <c r="A308" s="1425">
        <v>44788</v>
      </c>
      <c r="B308" s="20">
        <f t="shared" si="42"/>
        <v>14.374000000000001</v>
      </c>
      <c r="C308" s="20">
        <f t="shared" si="44"/>
        <v>13.8439</v>
      </c>
      <c r="D308" s="20">
        <f t="shared" si="45"/>
        <v>14.1646</v>
      </c>
      <c r="E308" s="20">
        <f t="shared" si="46"/>
        <v>6.625</v>
      </c>
      <c r="F308" s="20">
        <f t="shared" si="47"/>
        <v>15.7622</v>
      </c>
      <c r="G308" s="20">
        <f t="shared" si="48"/>
        <v>13.3826</v>
      </c>
      <c r="H308" s="1239">
        <f t="shared" si="49"/>
        <v>13.8439</v>
      </c>
      <c r="I308" s="1243">
        <f t="shared" si="43"/>
        <v>3.8291232961809918E-2</v>
      </c>
      <c r="J308" s="1243">
        <f t="shared" si="50"/>
        <v>0.12093838824177333</v>
      </c>
      <c r="K308" s="1243">
        <f t="shared" si="51"/>
        <v>0.1</v>
      </c>
      <c r="L308" s="203"/>
      <c r="N308" s="1425">
        <v>44788</v>
      </c>
      <c r="O308" s="1502">
        <v>14.374000000000001</v>
      </c>
      <c r="P308" s="1502">
        <v>5.5460000000000003</v>
      </c>
      <c r="Q308" s="1502">
        <v>14.886200000000001</v>
      </c>
      <c r="R308" s="1233">
        <f>'B. PE'!$U$23</f>
        <v>15.978235616082999</v>
      </c>
      <c r="S308" s="1233"/>
      <c r="T308" s="1233"/>
      <c r="V308" s="1425">
        <v>44788</v>
      </c>
      <c r="W308" s="1">
        <v>13.8439</v>
      </c>
      <c r="X308" s="1">
        <v>1.8612</v>
      </c>
      <c r="Y308" s="1">
        <v>9.0690000000000008</v>
      </c>
      <c r="Z308" s="1">
        <v>1.2953300000000001</v>
      </c>
      <c r="AB308" s="1425">
        <v>44777</v>
      </c>
      <c r="AC308" s="1">
        <v>8.1762999999999995</v>
      </c>
      <c r="AD308" s="1502">
        <v>1.2604</v>
      </c>
      <c r="AE308" s="1">
        <v>5.3474000000000004</v>
      </c>
      <c r="AF308" s="1">
        <v>3.3119999999999997E-2</v>
      </c>
      <c r="AH308" s="1425">
        <v>44777</v>
      </c>
      <c r="AI308" s="1">
        <v>14.507300000000001</v>
      </c>
      <c r="AJ308" s="1">
        <v>2.6831</v>
      </c>
      <c r="AK308" s="1">
        <v>7.8844000000000003</v>
      </c>
      <c r="AL308" s="1">
        <v>4.1739999999999999E-2</v>
      </c>
      <c r="AN308" s="1425">
        <v>44776</v>
      </c>
      <c r="AO308" s="1">
        <v>6.5625</v>
      </c>
      <c r="AP308" s="1">
        <v>0.97219999999999995</v>
      </c>
      <c r="AQ308" s="1">
        <v>4.1348000000000003</v>
      </c>
      <c r="AR308" s="1">
        <v>0.23571</v>
      </c>
      <c r="AT308" s="1425">
        <v>44776</v>
      </c>
      <c r="AU308" s="1">
        <v>13</v>
      </c>
      <c r="AV308" s="1">
        <v>0.82769999999999999</v>
      </c>
      <c r="AW308" s="1">
        <v>8.11</v>
      </c>
      <c r="AX308" s="1">
        <v>0.20427999999999999</v>
      </c>
      <c r="BA308" s="1425">
        <v>44777</v>
      </c>
      <c r="BB308" s="1">
        <v>12.166</v>
      </c>
      <c r="BC308" s="1">
        <v>2.9912999999999998</v>
      </c>
      <c r="BD308" s="1">
        <v>12.3286</v>
      </c>
      <c r="BE308" s="1">
        <v>0.76165000000000005</v>
      </c>
      <c r="BG308" s="1425">
        <v>44777</v>
      </c>
      <c r="BH308" s="1">
        <v>15.6006</v>
      </c>
      <c r="BI308" s="1">
        <v>4.26</v>
      </c>
      <c r="BJ308" s="1">
        <v>22.379300000000001</v>
      </c>
      <c r="BT308" s="1425">
        <v>44788</v>
      </c>
      <c r="BU308" s="1">
        <v>18.391100000000002</v>
      </c>
      <c r="BV308" s="1">
        <v>4.2491000000000003</v>
      </c>
      <c r="BW308" s="1">
        <v>10.386200000000001</v>
      </c>
      <c r="BX308" s="1">
        <v>2.6930000000000001</v>
      </c>
      <c r="BZ308" s="1425">
        <v>44788</v>
      </c>
      <c r="CA308" s="1">
        <v>19.721399999999999</v>
      </c>
      <c r="CB308" s="1">
        <v>5.6717000000000004</v>
      </c>
      <c r="CC308" s="1">
        <v>15.850300000000001</v>
      </c>
      <c r="CD308" s="1">
        <v>2.9401799999999998</v>
      </c>
      <c r="CF308" s="1425">
        <v>44785</v>
      </c>
      <c r="CG308" s="1">
        <v>4.5547000000000004</v>
      </c>
      <c r="CH308" s="1">
        <v>1.4709000000000001</v>
      </c>
      <c r="CI308" s="1">
        <v>7.8480999999999996</v>
      </c>
      <c r="CL308" s="1425">
        <v>44795</v>
      </c>
      <c r="CM308" s="1">
        <v>20.098700000000001</v>
      </c>
      <c r="CN308" s="1">
        <v>2.7648999999999999</v>
      </c>
      <c r="CO308" s="1">
        <v>11.237299999999999</v>
      </c>
    </row>
    <row r="309" spans="1:93">
      <c r="A309" s="1425">
        <v>44785</v>
      </c>
      <c r="B309" s="20">
        <f t="shared" si="42"/>
        <v>13.4499</v>
      </c>
      <c r="C309" s="20">
        <f t="shared" si="44"/>
        <v>13.5063</v>
      </c>
      <c r="D309" s="20">
        <f t="shared" si="45"/>
        <v>14.507300000000001</v>
      </c>
      <c r="E309" s="20">
        <f t="shared" si="46"/>
        <v>6.625</v>
      </c>
      <c r="F309" s="20">
        <f t="shared" si="47"/>
        <v>15.7622</v>
      </c>
      <c r="G309" s="20">
        <f t="shared" si="48"/>
        <v>13.3826</v>
      </c>
      <c r="H309" s="1239">
        <f t="shared" si="49"/>
        <v>13.5063</v>
      </c>
      <c r="I309" s="1243">
        <f t="shared" si="43"/>
        <v>-4.1758290575508727E-3</v>
      </c>
      <c r="J309" s="1243">
        <f t="shared" si="50"/>
        <v>0.12093838824177333</v>
      </c>
      <c r="K309" s="1243">
        <f t="shared" si="51"/>
        <v>0.1</v>
      </c>
      <c r="L309" s="203"/>
      <c r="N309" s="1425">
        <v>44785</v>
      </c>
      <c r="O309" s="1502">
        <v>13.4499</v>
      </c>
      <c r="P309" s="1502">
        <v>5.1894999999999998</v>
      </c>
      <c r="Q309" s="1502">
        <v>14.012600000000001</v>
      </c>
      <c r="R309" s="1233">
        <f>'B. PE'!$U$23</f>
        <v>15.978235616082999</v>
      </c>
      <c r="S309" s="1233"/>
      <c r="T309" s="1233"/>
      <c r="V309" s="1425">
        <v>44785</v>
      </c>
      <c r="W309" s="1">
        <v>13.5063</v>
      </c>
      <c r="X309" s="1">
        <v>1.8158000000000001</v>
      </c>
      <c r="Y309" s="1">
        <v>8.9097000000000008</v>
      </c>
      <c r="Z309" s="1">
        <v>1.34094</v>
      </c>
      <c r="AB309" s="1425">
        <v>44776</v>
      </c>
      <c r="AC309" s="1">
        <v>8.1105999999999998</v>
      </c>
      <c r="AD309" s="1502">
        <v>1.2502</v>
      </c>
      <c r="AE309" s="1">
        <v>5.3170000000000002</v>
      </c>
      <c r="AF309" s="1">
        <v>3.3410000000000002E-2</v>
      </c>
      <c r="AH309" s="1425">
        <v>44776</v>
      </c>
      <c r="AI309" s="1">
        <v>14.0503</v>
      </c>
      <c r="AJ309" s="1">
        <v>2.5985999999999998</v>
      </c>
      <c r="AK309" s="1">
        <v>7.6486000000000001</v>
      </c>
      <c r="AL309" s="1">
        <v>4.2439999999999999E-2</v>
      </c>
      <c r="AN309" s="1425">
        <v>44775</v>
      </c>
      <c r="AO309" s="1">
        <v>6.5</v>
      </c>
      <c r="AP309" s="1">
        <v>0.96289999999999998</v>
      </c>
      <c r="AQ309" s="1">
        <v>4.0883000000000003</v>
      </c>
      <c r="AR309" s="1">
        <v>0.23594000000000001</v>
      </c>
      <c r="AT309" s="1425">
        <v>44775</v>
      </c>
      <c r="AU309" s="1">
        <v>13</v>
      </c>
      <c r="AV309" s="1">
        <v>0.82769999999999999</v>
      </c>
      <c r="AW309" s="1">
        <v>8.11</v>
      </c>
      <c r="AX309" s="1">
        <v>0.20448</v>
      </c>
      <c r="BA309" s="1425">
        <v>44776</v>
      </c>
      <c r="BB309" s="1">
        <v>12.166</v>
      </c>
      <c r="BC309" s="1">
        <v>2.9912999999999998</v>
      </c>
      <c r="BD309" s="1">
        <v>12.3286</v>
      </c>
      <c r="BE309" s="1">
        <v>0.78195999999999999</v>
      </c>
      <c r="BG309" s="1425">
        <v>44776</v>
      </c>
      <c r="BH309" s="1">
        <v>15.4389</v>
      </c>
      <c r="BI309" s="1">
        <v>4.2157999999999998</v>
      </c>
      <c r="BJ309" s="1">
        <v>22.197500000000002</v>
      </c>
      <c r="BT309" s="1425">
        <v>44785</v>
      </c>
      <c r="BU309" s="1">
        <v>17.825199999999999</v>
      </c>
      <c r="BV309" s="1">
        <v>4.1182999999999996</v>
      </c>
      <c r="BW309" s="1">
        <v>10.089</v>
      </c>
      <c r="BX309" s="1">
        <v>2.7199</v>
      </c>
      <c r="BZ309" s="1425">
        <v>44785</v>
      </c>
      <c r="CA309" s="1">
        <v>19.002600000000001</v>
      </c>
      <c r="CB309" s="1">
        <v>5.4649999999999999</v>
      </c>
      <c r="CC309" s="1">
        <v>15.398999999999999</v>
      </c>
      <c r="CD309" s="1">
        <v>2.9229699999999998</v>
      </c>
      <c r="CF309" s="1425">
        <v>44784</v>
      </c>
      <c r="CG309" s="1">
        <v>4.4218999999999999</v>
      </c>
      <c r="CH309" s="1">
        <v>1.4279999999999999</v>
      </c>
      <c r="CI309" s="1">
        <v>7.7530000000000001</v>
      </c>
      <c r="CL309" s="1425">
        <v>44792</v>
      </c>
      <c r="CM309" s="1">
        <v>20.312100000000001</v>
      </c>
      <c r="CN309" s="1">
        <v>2.7942</v>
      </c>
      <c r="CO309" s="1">
        <v>11.3553</v>
      </c>
    </row>
    <row r="310" spans="1:93">
      <c r="A310" s="1425">
        <v>44784</v>
      </c>
      <c r="B310" s="20">
        <f t="shared" si="42"/>
        <v>12.9366</v>
      </c>
      <c r="C310" s="20">
        <f t="shared" si="44"/>
        <v>12.795400000000001</v>
      </c>
      <c r="D310" s="20">
        <f t="shared" si="45"/>
        <v>14.507300000000001</v>
      </c>
      <c r="E310" s="20">
        <f t="shared" si="46"/>
        <v>6.625</v>
      </c>
      <c r="F310" s="20">
        <f t="shared" si="47"/>
        <v>15.7622</v>
      </c>
      <c r="G310" s="20">
        <f t="shared" si="48"/>
        <v>12.718999999999999</v>
      </c>
      <c r="H310" s="1239">
        <f t="shared" si="49"/>
        <v>12.795400000000001</v>
      </c>
      <c r="I310" s="1243">
        <f t="shared" si="43"/>
        <v>1.1035215780671237E-2</v>
      </c>
      <c r="J310" s="1243">
        <f t="shared" si="50"/>
        <v>0.12093838824177333</v>
      </c>
      <c r="K310" s="1243">
        <f t="shared" si="51"/>
        <v>0.1</v>
      </c>
      <c r="L310" s="203"/>
      <c r="N310" s="1425">
        <v>44784</v>
      </c>
      <c r="O310" s="1502">
        <v>12.9366</v>
      </c>
      <c r="P310" s="1502">
        <v>4.9913999999999996</v>
      </c>
      <c r="Q310" s="1502">
        <v>13.5273</v>
      </c>
      <c r="R310" s="1233">
        <f>'B. PE'!$U$23</f>
        <v>15.978235616082999</v>
      </c>
      <c r="S310" s="1233"/>
      <c r="T310" s="1233"/>
      <c r="V310" s="1425">
        <v>44784</v>
      </c>
      <c r="W310" s="1">
        <v>12.795400000000001</v>
      </c>
      <c r="X310" s="1">
        <v>1.7202</v>
      </c>
      <c r="Y310" s="1">
        <v>8.5741999999999994</v>
      </c>
      <c r="Z310" s="1">
        <v>1.33334</v>
      </c>
      <c r="AB310" s="1425">
        <v>44775</v>
      </c>
      <c r="AC310" s="1">
        <v>8.0777999999999999</v>
      </c>
      <c r="AD310" s="1502">
        <v>1.2452000000000001</v>
      </c>
      <c r="AE310" s="1">
        <v>5.3018000000000001</v>
      </c>
      <c r="AF310" s="1">
        <v>3.3509999999999998E-2</v>
      </c>
      <c r="AH310" s="1425">
        <v>44775</v>
      </c>
      <c r="AI310" s="1">
        <v>14.1646</v>
      </c>
      <c r="AJ310" s="1">
        <v>2.6198000000000001</v>
      </c>
      <c r="AK310" s="1">
        <v>7.7076000000000002</v>
      </c>
      <c r="AL310" s="1">
        <v>4.0039999999999999E-2</v>
      </c>
      <c r="AN310" s="1425">
        <v>44774</v>
      </c>
      <c r="AO310" s="1">
        <v>6.5625</v>
      </c>
      <c r="AP310" s="1">
        <v>0.97219999999999995</v>
      </c>
      <c r="AQ310" s="1">
        <v>4.1348000000000003</v>
      </c>
      <c r="AR310" s="1">
        <v>0.23582</v>
      </c>
      <c r="AT310" s="1425">
        <v>44774</v>
      </c>
      <c r="AU310" s="1">
        <v>13</v>
      </c>
      <c r="AV310" s="1">
        <v>0.82769999999999999</v>
      </c>
      <c r="AW310" s="1">
        <v>8.11</v>
      </c>
      <c r="AX310" s="1">
        <v>0.20662</v>
      </c>
      <c r="BA310" s="1425">
        <v>44775</v>
      </c>
      <c r="BB310" s="1">
        <v>12.166</v>
      </c>
      <c r="BC310" s="1">
        <v>2.9912999999999998</v>
      </c>
      <c r="BD310" s="1">
        <v>12.3286</v>
      </c>
      <c r="BE310" s="1">
        <v>0.76600000000000001</v>
      </c>
      <c r="BG310" s="1425">
        <v>44775</v>
      </c>
      <c r="BH310" s="1">
        <v>15.6006</v>
      </c>
      <c r="BI310" s="1">
        <v>4.26</v>
      </c>
      <c r="BJ310" s="1">
        <v>22.379300000000001</v>
      </c>
      <c r="BT310" s="1425">
        <v>44784</v>
      </c>
      <c r="BU310" s="1">
        <v>17.825199999999999</v>
      </c>
      <c r="BV310" s="1">
        <v>4.1182999999999996</v>
      </c>
      <c r="BW310" s="1">
        <v>10.089</v>
      </c>
      <c r="BX310" s="1">
        <v>2.7063000000000001</v>
      </c>
      <c r="BZ310" s="1425">
        <v>44784</v>
      </c>
      <c r="CA310" s="1">
        <v>17.767199999999999</v>
      </c>
      <c r="CB310" s="1">
        <v>5.1097000000000001</v>
      </c>
      <c r="CC310" s="1">
        <v>14.6234</v>
      </c>
      <c r="CD310" s="1">
        <v>2.9778600000000002</v>
      </c>
      <c r="CF310" s="1425">
        <v>44783</v>
      </c>
      <c r="CG310" s="1">
        <v>4.4787999999999997</v>
      </c>
      <c r="CH310" s="1">
        <v>1.4463999999999999</v>
      </c>
      <c r="CI310" s="1">
        <v>7.7938000000000001</v>
      </c>
      <c r="CL310" s="1425">
        <v>44791</v>
      </c>
      <c r="CM310" s="1">
        <v>20.365400000000001</v>
      </c>
      <c r="CN310" s="1">
        <v>2.8016000000000001</v>
      </c>
      <c r="CO310" s="1">
        <v>11.3848</v>
      </c>
    </row>
    <row r="311" spans="1:93">
      <c r="A311" s="1425">
        <v>44783</v>
      </c>
      <c r="B311" s="20">
        <f t="shared" si="42"/>
        <v>12.8955</v>
      </c>
      <c r="C311" s="20">
        <f t="shared" si="44"/>
        <v>13.239699999999999</v>
      </c>
      <c r="D311" s="20">
        <f t="shared" si="45"/>
        <v>13.9361</v>
      </c>
      <c r="E311" s="20">
        <f t="shared" si="46"/>
        <v>6.5625</v>
      </c>
      <c r="F311" s="20">
        <f t="shared" si="47"/>
        <v>15.5198</v>
      </c>
      <c r="G311" s="20">
        <f t="shared" si="48"/>
        <v>13.050800000000001</v>
      </c>
      <c r="H311" s="1239">
        <f t="shared" si="49"/>
        <v>13.239699999999999</v>
      </c>
      <c r="I311" s="1243">
        <f t="shared" si="43"/>
        <v>-2.5997567920723164E-2</v>
      </c>
      <c r="J311" s="1243">
        <f t="shared" si="50"/>
        <v>0.12093838824177333</v>
      </c>
      <c r="K311" s="1243">
        <f t="shared" si="51"/>
        <v>0.1</v>
      </c>
      <c r="L311" s="203"/>
      <c r="N311" s="1425">
        <v>44783</v>
      </c>
      <c r="O311" s="1502">
        <v>12.8955</v>
      </c>
      <c r="P311" s="1502">
        <v>4.9755000000000003</v>
      </c>
      <c r="Q311" s="1502">
        <v>13.4885</v>
      </c>
      <c r="R311" s="1233">
        <f>'B. PE'!$U$23</f>
        <v>15.978235616082999</v>
      </c>
      <c r="S311" s="1233"/>
      <c r="T311" s="1233"/>
      <c r="V311" s="1425">
        <v>44783</v>
      </c>
      <c r="W311" s="1">
        <v>13.239699999999999</v>
      </c>
      <c r="X311" s="1">
        <v>1.7799</v>
      </c>
      <c r="Y311" s="1">
        <v>8.7838999999999992</v>
      </c>
      <c r="Z311" s="1">
        <v>1.3693299999999999</v>
      </c>
      <c r="AB311" s="1425">
        <v>44774</v>
      </c>
      <c r="AC311" s="1">
        <v>8.1433999999999997</v>
      </c>
      <c r="AD311" s="1502">
        <v>1.2553000000000001</v>
      </c>
      <c r="AE311" s="1">
        <v>5.3322000000000003</v>
      </c>
      <c r="AF311" s="1">
        <v>3.3459999999999997E-2</v>
      </c>
      <c r="AH311" s="1425">
        <v>44774</v>
      </c>
      <c r="AI311" s="1">
        <v>14.393000000000001</v>
      </c>
      <c r="AJ311" s="1">
        <v>2.6619999999999999</v>
      </c>
      <c r="AK311" s="1">
        <v>7.8254000000000001</v>
      </c>
      <c r="AL311" s="1">
        <v>4.0649999999999999E-2</v>
      </c>
      <c r="AN311" s="1425">
        <v>44771</v>
      </c>
      <c r="AO311" s="1">
        <v>6.5625</v>
      </c>
      <c r="AP311" s="1">
        <v>0.97219999999999995</v>
      </c>
      <c r="AQ311" s="1">
        <v>4.1348000000000003</v>
      </c>
      <c r="AR311" s="1">
        <v>0.23150000000000001</v>
      </c>
      <c r="AT311" s="1425">
        <v>44771</v>
      </c>
      <c r="AU311" s="1">
        <v>13</v>
      </c>
      <c r="AV311" s="1">
        <v>0.82769999999999999</v>
      </c>
      <c r="AW311" s="1">
        <v>8.11</v>
      </c>
      <c r="AX311" s="1">
        <v>0.20902000000000001</v>
      </c>
      <c r="BA311" s="1425">
        <v>44774</v>
      </c>
      <c r="BB311" s="1">
        <v>12.4978</v>
      </c>
      <c r="BC311" s="1">
        <v>3.0729000000000002</v>
      </c>
      <c r="BD311" s="1">
        <v>12.575900000000001</v>
      </c>
      <c r="BE311" s="1">
        <v>0.76236000000000004</v>
      </c>
      <c r="BG311" s="1425">
        <v>44774</v>
      </c>
      <c r="BH311" s="1">
        <v>15.7622</v>
      </c>
      <c r="BI311" s="1">
        <v>4.3041</v>
      </c>
      <c r="BJ311" s="1">
        <v>22.561199999999999</v>
      </c>
      <c r="BT311" s="1425">
        <v>44783</v>
      </c>
      <c r="BU311" s="1">
        <v>17.995000000000001</v>
      </c>
      <c r="BV311" s="1">
        <v>4.1574999999999998</v>
      </c>
      <c r="BW311" s="1">
        <v>10.178100000000001</v>
      </c>
      <c r="BX311" s="1">
        <v>2.6892</v>
      </c>
      <c r="BZ311" s="1425">
        <v>44783</v>
      </c>
      <c r="CA311" s="1">
        <v>17.654900000000001</v>
      </c>
      <c r="CB311" s="1">
        <v>5.0773999999999999</v>
      </c>
      <c r="CC311" s="1">
        <v>14.5528</v>
      </c>
      <c r="CD311" s="1">
        <v>2.9815800000000001</v>
      </c>
      <c r="CF311" s="1425">
        <v>44782</v>
      </c>
      <c r="CG311" s="1">
        <v>4.6307</v>
      </c>
      <c r="CH311" s="1">
        <v>1.4955000000000001</v>
      </c>
      <c r="CI311" s="1">
        <v>7.9024000000000001</v>
      </c>
      <c r="CL311" s="1425">
        <v>44790</v>
      </c>
      <c r="CM311" s="1">
        <v>20.165400000000002</v>
      </c>
      <c r="CN311" s="1">
        <v>2.774</v>
      </c>
      <c r="CO311" s="1">
        <v>11.2742</v>
      </c>
    </row>
    <row r="312" spans="1:93">
      <c r="A312" s="1425">
        <v>44782</v>
      </c>
      <c r="B312" s="20">
        <f t="shared" si="42"/>
        <v>13.100899999999999</v>
      </c>
      <c r="C312" s="20">
        <f t="shared" si="44"/>
        <v>13.1686</v>
      </c>
      <c r="D312" s="20">
        <f t="shared" si="45"/>
        <v>14.8499</v>
      </c>
      <c r="E312" s="20">
        <f t="shared" si="46"/>
        <v>6.625</v>
      </c>
      <c r="F312" s="20">
        <f t="shared" si="47"/>
        <v>16.0047</v>
      </c>
      <c r="G312" s="20">
        <f t="shared" si="48"/>
        <v>12.6084</v>
      </c>
      <c r="H312" s="1239">
        <f t="shared" si="49"/>
        <v>13.1686</v>
      </c>
      <c r="I312" s="1243">
        <f t="shared" si="43"/>
        <v>-5.1410172683504785E-3</v>
      </c>
      <c r="J312" s="1243">
        <f t="shared" si="50"/>
        <v>0.12093838824177333</v>
      </c>
      <c r="K312" s="1243">
        <f t="shared" si="51"/>
        <v>0.1</v>
      </c>
      <c r="L312" s="203"/>
      <c r="N312" s="1425">
        <v>44782</v>
      </c>
      <c r="O312" s="1502">
        <v>13.100899999999999</v>
      </c>
      <c r="P312" s="1502">
        <v>5.0548000000000002</v>
      </c>
      <c r="Q312" s="1502">
        <v>13.682600000000001</v>
      </c>
      <c r="R312" s="1233">
        <f>'B. PE'!$U$23</f>
        <v>15.978235616082999</v>
      </c>
      <c r="S312" s="1233"/>
      <c r="T312" s="1233"/>
      <c r="V312" s="1425">
        <v>44782</v>
      </c>
      <c r="W312" s="1">
        <v>13.1686</v>
      </c>
      <c r="X312" s="1">
        <v>1.7704</v>
      </c>
      <c r="Y312" s="1">
        <v>8.7502999999999993</v>
      </c>
      <c r="Z312" s="1">
        <v>1.3208</v>
      </c>
      <c r="AB312" s="1425">
        <v>44771</v>
      </c>
      <c r="AC312" s="1">
        <v>8.1762999999999995</v>
      </c>
      <c r="AD312" s="1502">
        <v>1.2604</v>
      </c>
      <c r="AE312" s="1">
        <v>5.3474000000000004</v>
      </c>
      <c r="AF312" s="1">
        <v>3.3270000000000001E-2</v>
      </c>
      <c r="AH312" s="1425">
        <v>44771</v>
      </c>
      <c r="AI312" s="1">
        <v>13.593400000000001</v>
      </c>
      <c r="AJ312" s="1">
        <v>2.5141</v>
      </c>
      <c r="AK312" s="1">
        <v>7.4127999999999998</v>
      </c>
      <c r="AL312" s="1">
        <v>4.0090000000000001E-2</v>
      </c>
      <c r="AN312" s="1425">
        <v>44770</v>
      </c>
      <c r="AO312" s="1">
        <v>6.5625</v>
      </c>
      <c r="AP312" s="1">
        <v>0.97219999999999995</v>
      </c>
      <c r="AQ312" s="1">
        <v>4.1348000000000003</v>
      </c>
      <c r="AR312" s="1">
        <v>0.22878999999999999</v>
      </c>
      <c r="AT312" s="1425">
        <v>44770</v>
      </c>
      <c r="AU312" s="1">
        <v>13.142899999999999</v>
      </c>
      <c r="AV312" s="1">
        <v>0.83679999999999999</v>
      </c>
      <c r="AW312" s="1">
        <v>8.1905000000000001</v>
      </c>
      <c r="AX312" s="1">
        <v>0.21084</v>
      </c>
      <c r="BA312" s="1425">
        <v>44769</v>
      </c>
      <c r="BB312" s="1">
        <v>12.4978</v>
      </c>
      <c r="BC312" s="1">
        <v>3.0729000000000002</v>
      </c>
      <c r="BD312" s="1">
        <v>12.575900000000001</v>
      </c>
      <c r="BE312" s="1">
        <v>0.78297000000000005</v>
      </c>
      <c r="BG312" s="1425">
        <v>44769</v>
      </c>
      <c r="BH312" s="1">
        <v>15.196400000000001</v>
      </c>
      <c r="BI312" s="1">
        <v>4.1496000000000004</v>
      </c>
      <c r="BJ312" s="1">
        <v>21.924600000000002</v>
      </c>
      <c r="BT312" s="1425">
        <v>44782</v>
      </c>
      <c r="BU312" s="1">
        <v>17.9101</v>
      </c>
      <c r="BV312" s="1">
        <v>4.1379000000000001</v>
      </c>
      <c r="BW312" s="1">
        <v>10.1335</v>
      </c>
      <c r="BX312" s="1">
        <v>2.6806999999999999</v>
      </c>
      <c r="BZ312" s="1425">
        <v>44782</v>
      </c>
      <c r="CA312" s="1">
        <v>17.991800000000001</v>
      </c>
      <c r="CB312" s="1">
        <v>5.1742999999999997</v>
      </c>
      <c r="CC312" s="1">
        <v>14.7644</v>
      </c>
      <c r="CD312" s="1">
        <v>2.7883800000000001</v>
      </c>
      <c r="CF312" s="1425">
        <v>44781</v>
      </c>
      <c r="CG312" s="1">
        <v>4.3460000000000001</v>
      </c>
      <c r="CH312" s="1">
        <v>1.4035</v>
      </c>
      <c r="CI312" s="1">
        <v>7.6985999999999999</v>
      </c>
      <c r="CL312" s="1425">
        <v>44789</v>
      </c>
      <c r="CM312" s="1">
        <v>20.312100000000001</v>
      </c>
      <c r="CN312" s="1">
        <v>2.7942</v>
      </c>
      <c r="CO312" s="1">
        <v>11.3553</v>
      </c>
    </row>
    <row r="313" spans="1:93">
      <c r="A313" s="1425">
        <v>44781</v>
      </c>
      <c r="B313" s="20">
        <f t="shared" si="42"/>
        <v>13.326700000000001</v>
      </c>
      <c r="C313" s="20">
        <f t="shared" si="44"/>
        <v>13.523999999999999</v>
      </c>
      <c r="D313" s="20">
        <f t="shared" si="45"/>
        <v>15.0784</v>
      </c>
      <c r="E313" s="20">
        <f t="shared" si="46"/>
        <v>6.6875</v>
      </c>
      <c r="F313" s="20">
        <f t="shared" si="47"/>
        <v>16.570599999999999</v>
      </c>
      <c r="G313" s="20">
        <f t="shared" si="48"/>
        <v>12.718999999999999</v>
      </c>
      <c r="H313" s="1239">
        <f t="shared" si="49"/>
        <v>13.523999999999999</v>
      </c>
      <c r="I313" s="1243">
        <f t="shared" si="43"/>
        <v>-1.4588879029872714E-2</v>
      </c>
      <c r="J313" s="1243">
        <f t="shared" si="50"/>
        <v>0.12093838824177333</v>
      </c>
      <c r="K313" s="1243">
        <f t="shared" si="51"/>
        <v>0.1</v>
      </c>
      <c r="L313" s="203"/>
      <c r="N313" s="1425">
        <v>44781</v>
      </c>
      <c r="O313" s="1502">
        <v>13.326700000000001</v>
      </c>
      <c r="P313" s="1502">
        <v>5.1418999999999997</v>
      </c>
      <c r="Q313" s="1502">
        <v>13.8962</v>
      </c>
      <c r="R313" s="1233">
        <f>'B. PE'!$U$23</f>
        <v>15.978235616082999</v>
      </c>
      <c r="S313" s="1233"/>
      <c r="T313" s="1233"/>
      <c r="V313" s="1425">
        <v>44781</v>
      </c>
      <c r="W313" s="1">
        <v>13.523999999999999</v>
      </c>
      <c r="X313" s="1">
        <v>1.8182</v>
      </c>
      <c r="Y313" s="1">
        <v>8.9179999999999993</v>
      </c>
      <c r="Z313" s="1">
        <v>1.30826</v>
      </c>
      <c r="AB313" s="1425">
        <v>44770</v>
      </c>
      <c r="AC313" s="1">
        <v>8.1762999999999995</v>
      </c>
      <c r="AD313" s="1502">
        <v>1.2604</v>
      </c>
      <c r="AE313" s="1">
        <v>5.3474000000000004</v>
      </c>
      <c r="AF313" s="1">
        <v>3.3340000000000002E-2</v>
      </c>
      <c r="AH313" s="1425">
        <v>44770</v>
      </c>
      <c r="AI313" s="1">
        <v>13.821899999999999</v>
      </c>
      <c r="AJ313" s="1">
        <v>2.5564</v>
      </c>
      <c r="AK313" s="1">
        <v>7.5307000000000004</v>
      </c>
      <c r="AL313" s="1">
        <v>3.9E-2</v>
      </c>
      <c r="AN313" s="1425">
        <v>44769</v>
      </c>
      <c r="AO313" s="1">
        <v>6.4375</v>
      </c>
      <c r="AP313" s="1">
        <v>0.9536</v>
      </c>
      <c r="AQ313" s="1">
        <v>4.0418000000000003</v>
      </c>
      <c r="AR313" s="1">
        <v>0.22706999999999999</v>
      </c>
      <c r="AT313" s="1425">
        <v>44769</v>
      </c>
      <c r="AU313" s="1">
        <v>13.2857</v>
      </c>
      <c r="AV313" s="1">
        <v>0.84589999999999999</v>
      </c>
      <c r="AW313" s="1">
        <v>8.2702000000000009</v>
      </c>
      <c r="AX313" s="1">
        <v>0.20571999999999999</v>
      </c>
      <c r="BA313" s="1425">
        <v>44768</v>
      </c>
      <c r="BB313" s="1">
        <v>12.3872</v>
      </c>
      <c r="BC313" s="1">
        <v>3.0457000000000001</v>
      </c>
      <c r="BD313" s="1">
        <v>12.493499999999999</v>
      </c>
      <c r="BE313" s="1">
        <v>0.77815999999999996</v>
      </c>
      <c r="BG313" s="1425">
        <v>44768</v>
      </c>
      <c r="BH313" s="1">
        <v>15.115600000000001</v>
      </c>
      <c r="BI313" s="1">
        <v>4.1276000000000002</v>
      </c>
      <c r="BJ313" s="1">
        <v>21.8337</v>
      </c>
      <c r="BT313" s="1425">
        <v>44781</v>
      </c>
      <c r="BU313" s="1">
        <v>17.796900000000001</v>
      </c>
      <c r="BV313" s="1">
        <v>4.1117999999999997</v>
      </c>
      <c r="BW313" s="1">
        <v>10.0741</v>
      </c>
      <c r="BX313" s="1">
        <v>2.6808999999999998</v>
      </c>
      <c r="BZ313" s="1425">
        <v>44781</v>
      </c>
      <c r="CA313" s="1">
        <v>18.014299999999999</v>
      </c>
      <c r="CB313" s="1">
        <v>5.1807999999999996</v>
      </c>
      <c r="CC313" s="1">
        <v>14.778499999999999</v>
      </c>
      <c r="CD313" s="1">
        <v>2.75875</v>
      </c>
      <c r="CF313" s="1425">
        <v>44778</v>
      </c>
      <c r="CG313" s="1">
        <v>4.4028999999999998</v>
      </c>
      <c r="CH313" s="1">
        <v>1.4218999999999999</v>
      </c>
      <c r="CI313" s="1">
        <v>7.7393999999999998</v>
      </c>
      <c r="CL313" s="1425">
        <v>44788</v>
      </c>
      <c r="CM313" s="1">
        <v>20.4054</v>
      </c>
      <c r="CN313" s="1">
        <v>2.8071000000000002</v>
      </c>
      <c r="CO313" s="1">
        <v>11.407</v>
      </c>
    </row>
    <row r="314" spans="1:93">
      <c r="A314" s="1425">
        <v>44778</v>
      </c>
      <c r="B314" s="20">
        <f t="shared" si="42"/>
        <v>12.9161</v>
      </c>
      <c r="C314" s="20">
        <f t="shared" si="44"/>
        <v>13.0442</v>
      </c>
      <c r="D314" s="20">
        <f t="shared" si="45"/>
        <v>14.7357</v>
      </c>
      <c r="E314" s="20">
        <f t="shared" si="46"/>
        <v>6.625</v>
      </c>
      <c r="F314" s="20">
        <f t="shared" si="47"/>
        <v>16.328099999999999</v>
      </c>
      <c r="G314" s="20">
        <f t="shared" si="48"/>
        <v>12.829599999999999</v>
      </c>
      <c r="H314" s="1239">
        <f t="shared" si="49"/>
        <v>13.0442</v>
      </c>
      <c r="I314" s="1243">
        <f t="shared" si="43"/>
        <v>-9.8204566014014061E-3</v>
      </c>
      <c r="J314" s="1243">
        <f t="shared" si="50"/>
        <v>0.12093838824177333</v>
      </c>
      <c r="K314" s="1243">
        <f t="shared" si="51"/>
        <v>0.1</v>
      </c>
      <c r="L314" s="203"/>
      <c r="N314" s="1425">
        <v>44778</v>
      </c>
      <c r="O314" s="1502">
        <v>12.9161</v>
      </c>
      <c r="P314" s="1502">
        <v>4.9835000000000003</v>
      </c>
      <c r="Q314" s="1502">
        <v>13.507899999999999</v>
      </c>
      <c r="R314" s="1233">
        <f>'B. PE'!$U$23</f>
        <v>15.978235616082999</v>
      </c>
      <c r="S314" s="1233"/>
      <c r="T314" s="1233"/>
      <c r="V314" s="1425">
        <v>44778</v>
      </c>
      <c r="W314" s="1">
        <v>13.0442</v>
      </c>
      <c r="X314" s="1">
        <v>1.7537</v>
      </c>
      <c r="Y314" s="1">
        <v>8.6915999999999993</v>
      </c>
      <c r="Z314" s="1">
        <v>1.2847</v>
      </c>
      <c r="AB314" s="1425">
        <v>44769</v>
      </c>
      <c r="AC314" s="1">
        <v>8.1762999999999995</v>
      </c>
      <c r="AD314" s="1502">
        <v>1.2604</v>
      </c>
      <c r="AE314" s="1">
        <v>5.3474000000000004</v>
      </c>
      <c r="AF314" s="1">
        <v>3.3300000000000003E-2</v>
      </c>
      <c r="AH314" s="1425">
        <v>44769</v>
      </c>
      <c r="AI314" s="1">
        <v>13.707599999999999</v>
      </c>
      <c r="AJ314" s="1">
        <v>2.5352999999999999</v>
      </c>
      <c r="AK314" s="1">
        <v>7.4718</v>
      </c>
      <c r="AL314" s="1">
        <v>4.011E-2</v>
      </c>
      <c r="AN314" s="1425">
        <v>44768</v>
      </c>
      <c r="AO314" s="1">
        <v>6.375</v>
      </c>
      <c r="AP314" s="1">
        <v>0.94440000000000002</v>
      </c>
      <c r="AQ314" s="1">
        <v>3.9954000000000001</v>
      </c>
      <c r="AR314" s="1">
        <v>0.22697000000000001</v>
      </c>
      <c r="AT314" s="1425">
        <v>44768</v>
      </c>
      <c r="AU314" s="1">
        <v>13.428599999999999</v>
      </c>
      <c r="AV314" s="1">
        <v>0.85499999999999998</v>
      </c>
      <c r="AW314" s="1">
        <v>8.3507999999999996</v>
      </c>
      <c r="AX314" s="1">
        <v>0.21010999999999999</v>
      </c>
      <c r="BA314" s="1425">
        <v>44767</v>
      </c>
      <c r="BB314" s="1">
        <v>12.718999999999999</v>
      </c>
      <c r="BC314" s="1">
        <v>3.1273</v>
      </c>
      <c r="BD314" s="1">
        <v>12.7407</v>
      </c>
      <c r="BE314" s="1">
        <v>0.72709999999999997</v>
      </c>
      <c r="BG314" s="1425">
        <v>44767</v>
      </c>
      <c r="BH314" s="1">
        <v>15.3581</v>
      </c>
      <c r="BI314" s="1">
        <v>4.1938000000000004</v>
      </c>
      <c r="BJ314" s="1">
        <v>22.1065</v>
      </c>
      <c r="BT314" s="1425">
        <v>44778</v>
      </c>
      <c r="BU314" s="1">
        <v>17.740300000000001</v>
      </c>
      <c r="BV314" s="1">
        <v>4.0987</v>
      </c>
      <c r="BW314" s="1">
        <v>10.0444</v>
      </c>
      <c r="BX314" s="1">
        <v>2.6419999999999999</v>
      </c>
      <c r="BZ314" s="1425">
        <v>44778</v>
      </c>
      <c r="CA314" s="1">
        <v>16.846299999999999</v>
      </c>
      <c r="CB314" s="1">
        <v>4.8449</v>
      </c>
      <c r="CC314" s="1">
        <v>14.0451</v>
      </c>
      <c r="CD314" s="1">
        <v>2.6951999999999998</v>
      </c>
      <c r="CF314" s="1425">
        <v>44777</v>
      </c>
      <c r="CG314" s="1">
        <v>4.4028999999999998</v>
      </c>
      <c r="CH314" s="1">
        <v>1.4218999999999999</v>
      </c>
      <c r="CI314" s="1">
        <v>7.7393999999999998</v>
      </c>
      <c r="CL314" s="1425">
        <v>44785</v>
      </c>
      <c r="CM314" s="1">
        <v>20.4054</v>
      </c>
      <c r="CN314" s="1">
        <v>2.8071000000000002</v>
      </c>
      <c r="CO314" s="1">
        <v>11.407</v>
      </c>
    </row>
    <row r="315" spans="1:93">
      <c r="A315" s="1425">
        <v>44777</v>
      </c>
      <c r="B315" s="20">
        <f t="shared" si="42"/>
        <v>12.9161</v>
      </c>
      <c r="C315" s="20">
        <f t="shared" si="44"/>
        <v>12.9198</v>
      </c>
      <c r="D315" s="20">
        <f t="shared" si="45"/>
        <v>14.507300000000001</v>
      </c>
      <c r="E315" s="20">
        <f t="shared" si="46"/>
        <v>6.6875</v>
      </c>
      <c r="F315" s="20">
        <f t="shared" si="47"/>
        <v>15.6006</v>
      </c>
      <c r="G315" s="20">
        <f t="shared" si="48"/>
        <v>12.166</v>
      </c>
      <c r="H315" s="1239">
        <f t="shared" si="49"/>
        <v>12.9198</v>
      </c>
      <c r="I315" s="1243">
        <f t="shared" si="43"/>
        <v>-2.8638214213849711E-4</v>
      </c>
      <c r="J315" s="1243">
        <f t="shared" si="50"/>
        <v>0.12093838824177333</v>
      </c>
      <c r="K315" s="1243">
        <f t="shared" si="51"/>
        <v>0.1</v>
      </c>
      <c r="L315" s="203"/>
      <c r="N315" s="1425">
        <v>44777</v>
      </c>
      <c r="O315" s="1502">
        <v>12.9161</v>
      </c>
      <c r="P315" s="1502">
        <v>4.9835000000000003</v>
      </c>
      <c r="Q315" s="1502">
        <v>13.507899999999999</v>
      </c>
      <c r="R315" s="1233">
        <f>'B. PE'!$U$23</f>
        <v>15.978235616082999</v>
      </c>
      <c r="S315" s="1233"/>
      <c r="T315" s="1233"/>
      <c r="V315" s="1425">
        <v>44777</v>
      </c>
      <c r="W315" s="1">
        <v>12.9198</v>
      </c>
      <c r="X315" s="1">
        <v>1.7369000000000001</v>
      </c>
      <c r="Y315" s="1">
        <v>8.6328999999999994</v>
      </c>
      <c r="Z315" s="1">
        <v>1.2541899999999999</v>
      </c>
      <c r="AB315" s="1425">
        <v>44768</v>
      </c>
      <c r="AC315" s="1">
        <v>8.2090999999999994</v>
      </c>
      <c r="AD315" s="1502">
        <v>1.2654000000000001</v>
      </c>
      <c r="AE315" s="1">
        <v>5.3625999999999996</v>
      </c>
      <c r="AF315" s="1">
        <v>3.3759999999999998E-2</v>
      </c>
      <c r="AH315" s="1425">
        <v>44768</v>
      </c>
      <c r="AI315" s="1">
        <v>13.365</v>
      </c>
      <c r="AJ315" s="1">
        <v>2.4719000000000002</v>
      </c>
      <c r="AK315" s="1">
        <v>7.2949000000000002</v>
      </c>
      <c r="AL315" s="1">
        <v>4.011E-2</v>
      </c>
      <c r="AN315" s="1425">
        <v>44767</v>
      </c>
      <c r="AO315" s="1">
        <v>6.3125</v>
      </c>
      <c r="AP315" s="1">
        <v>0.93510000000000004</v>
      </c>
      <c r="AQ315" s="1">
        <v>3.9489000000000001</v>
      </c>
      <c r="AR315" s="1">
        <v>0.22403000000000001</v>
      </c>
      <c r="AT315" s="1425">
        <v>44767</v>
      </c>
      <c r="AU315" s="1">
        <v>13.071400000000001</v>
      </c>
      <c r="AV315" s="1">
        <v>0.83230000000000004</v>
      </c>
      <c r="AW315" s="1">
        <v>8.1476000000000006</v>
      </c>
      <c r="AX315" s="1">
        <v>0.21171000000000001</v>
      </c>
      <c r="BA315" s="1425">
        <v>44764</v>
      </c>
      <c r="BB315" s="1">
        <v>12.6084</v>
      </c>
      <c r="BC315" s="1">
        <v>3.1000999999999999</v>
      </c>
      <c r="BD315" s="1">
        <v>12.658300000000001</v>
      </c>
      <c r="BE315" s="1">
        <v>0.71555000000000002</v>
      </c>
      <c r="BG315" s="1425">
        <v>44764</v>
      </c>
      <c r="BH315" s="1">
        <v>15.034800000000001</v>
      </c>
      <c r="BI315" s="1">
        <v>4.1055000000000001</v>
      </c>
      <c r="BJ315" s="1">
        <v>21.742799999999999</v>
      </c>
      <c r="BT315" s="1425">
        <v>44777</v>
      </c>
      <c r="BU315" s="1">
        <v>17.740300000000001</v>
      </c>
      <c r="BV315" s="1">
        <v>4.0987</v>
      </c>
      <c r="BW315" s="1">
        <v>10.0444</v>
      </c>
      <c r="BX315" s="1">
        <v>2.6545999999999998</v>
      </c>
      <c r="BZ315" s="1425">
        <v>44777</v>
      </c>
      <c r="CA315" s="1">
        <v>16.666599999999999</v>
      </c>
      <c r="CB315" s="1">
        <v>4.7931999999999997</v>
      </c>
      <c r="CC315" s="1">
        <v>13.9323</v>
      </c>
      <c r="CD315" s="1">
        <v>2.7141299999999999</v>
      </c>
      <c r="CF315" s="1425">
        <v>44776</v>
      </c>
      <c r="CG315" s="1">
        <v>4.3460000000000001</v>
      </c>
      <c r="CH315" s="1">
        <v>1.4035</v>
      </c>
      <c r="CI315" s="1">
        <v>7.6985999999999999</v>
      </c>
      <c r="CL315" s="1425">
        <v>44784</v>
      </c>
      <c r="CM315" s="1">
        <v>20.605499999999999</v>
      </c>
      <c r="CN315" s="1">
        <v>2.8346</v>
      </c>
      <c r="CO315" s="1">
        <v>11.5176</v>
      </c>
    </row>
    <row r="316" spans="1:93">
      <c r="A316" s="1425">
        <v>44776</v>
      </c>
      <c r="B316" s="20">
        <f t="shared" si="42"/>
        <v>12.5054</v>
      </c>
      <c r="C316" s="20">
        <f t="shared" si="44"/>
        <v>12.688800000000001</v>
      </c>
      <c r="D316" s="20">
        <f t="shared" si="45"/>
        <v>14.0503</v>
      </c>
      <c r="E316" s="20">
        <f t="shared" si="46"/>
        <v>6.5625</v>
      </c>
      <c r="F316" s="20">
        <f t="shared" si="47"/>
        <v>15.4389</v>
      </c>
      <c r="G316" s="20">
        <f t="shared" si="48"/>
        <v>12.166</v>
      </c>
      <c r="H316" s="1239">
        <f t="shared" si="49"/>
        <v>12.688800000000001</v>
      </c>
      <c r="I316" s="1243">
        <f t="shared" si="43"/>
        <v>-1.4453691444423433E-2</v>
      </c>
      <c r="J316" s="1243">
        <f t="shared" si="50"/>
        <v>0.12093838824177333</v>
      </c>
      <c r="K316" s="1243">
        <f t="shared" si="51"/>
        <v>0.1</v>
      </c>
      <c r="L316" s="203"/>
      <c r="N316" s="1425">
        <v>44776</v>
      </c>
      <c r="O316" s="1502">
        <v>12.5054</v>
      </c>
      <c r="P316" s="1502">
        <v>4.8250000000000002</v>
      </c>
      <c r="Q316" s="1502">
        <v>13.1196</v>
      </c>
      <c r="R316" s="1233">
        <f>'B. PE'!$U$23</f>
        <v>15.978235616082999</v>
      </c>
      <c r="S316" s="1233"/>
      <c r="T316" s="1233"/>
      <c r="V316" s="1425">
        <v>44776</v>
      </c>
      <c r="W316" s="1">
        <v>12.688800000000001</v>
      </c>
      <c r="X316" s="1">
        <v>1.7059</v>
      </c>
      <c r="Y316" s="1">
        <v>8.5238999999999994</v>
      </c>
      <c r="Z316" s="1">
        <v>1.2522800000000001</v>
      </c>
      <c r="AB316" s="1425">
        <v>44767</v>
      </c>
      <c r="AC316" s="1">
        <v>8.1762999999999995</v>
      </c>
      <c r="AD316" s="1502">
        <v>1.2604</v>
      </c>
      <c r="AE316" s="1">
        <v>5.3474000000000004</v>
      </c>
      <c r="AF316" s="1">
        <v>3.3239999999999999E-2</v>
      </c>
      <c r="AH316" s="1425">
        <v>44767</v>
      </c>
      <c r="AI316" s="1">
        <v>13.707599999999999</v>
      </c>
      <c r="AJ316" s="1">
        <v>2.5352999999999999</v>
      </c>
      <c r="AK316" s="1">
        <v>7.4718</v>
      </c>
      <c r="AL316" s="1">
        <v>4.0219999999999999E-2</v>
      </c>
      <c r="AN316" s="1425">
        <v>44764</v>
      </c>
      <c r="AO316" s="1">
        <v>6.3125</v>
      </c>
      <c r="AP316" s="1">
        <v>0.93510000000000004</v>
      </c>
      <c r="AQ316" s="1">
        <v>3.9489000000000001</v>
      </c>
      <c r="AR316" s="1">
        <v>0.22878000000000001</v>
      </c>
      <c r="AT316" s="1425">
        <v>44764</v>
      </c>
      <c r="AU316" s="1">
        <v>13.357100000000001</v>
      </c>
      <c r="AV316" s="1">
        <v>0.85040000000000004</v>
      </c>
      <c r="AW316" s="1">
        <v>8.3087</v>
      </c>
      <c r="AX316" s="1">
        <v>0.20635000000000001</v>
      </c>
      <c r="BA316" s="1425">
        <v>44763</v>
      </c>
      <c r="BB316" s="1">
        <v>11.834199999999999</v>
      </c>
      <c r="BC316" s="1">
        <v>2.9097</v>
      </c>
      <c r="BD316" s="1">
        <v>12.0814</v>
      </c>
      <c r="BE316" s="1">
        <v>0.70989999999999998</v>
      </c>
      <c r="BG316" s="1425">
        <v>44763</v>
      </c>
      <c r="BH316" s="1">
        <v>14.4689</v>
      </c>
      <c r="BI316" s="1">
        <v>3.9510000000000001</v>
      </c>
      <c r="BJ316" s="1">
        <v>21.106200000000001</v>
      </c>
      <c r="BT316" s="1425">
        <v>44776</v>
      </c>
      <c r="BU316" s="1">
        <v>17.485700000000001</v>
      </c>
      <c r="BV316" s="1">
        <v>4.0399000000000003</v>
      </c>
      <c r="BW316" s="1">
        <v>9.9106000000000005</v>
      </c>
      <c r="BX316" s="1">
        <v>2.6244000000000001</v>
      </c>
      <c r="BZ316" s="1425">
        <v>44776</v>
      </c>
      <c r="CA316" s="1">
        <v>16.284700000000001</v>
      </c>
      <c r="CB316" s="1">
        <v>4.6833999999999998</v>
      </c>
      <c r="CC316" s="1">
        <v>13.692500000000001</v>
      </c>
      <c r="CD316" s="1">
        <v>2.7548499999999998</v>
      </c>
      <c r="CF316" s="1425">
        <v>44775</v>
      </c>
      <c r="CG316" s="1">
        <v>4.3650000000000002</v>
      </c>
      <c r="CH316" s="1">
        <v>1.4097</v>
      </c>
      <c r="CI316" s="1">
        <v>7.7122000000000002</v>
      </c>
      <c r="CL316" s="1425">
        <v>44783</v>
      </c>
      <c r="CM316" s="1">
        <v>20.485499999999998</v>
      </c>
      <c r="CN316" s="1">
        <v>2.8180999999999998</v>
      </c>
      <c r="CO316" s="1">
        <v>11.4512</v>
      </c>
    </row>
    <row r="317" spans="1:93">
      <c r="A317" s="1425">
        <v>44775</v>
      </c>
      <c r="B317" s="20">
        <f t="shared" si="42"/>
        <v>12.382199999999999</v>
      </c>
      <c r="C317" s="20">
        <f t="shared" si="44"/>
        <v>12.3689</v>
      </c>
      <c r="D317" s="20">
        <f t="shared" si="45"/>
        <v>14.1646</v>
      </c>
      <c r="E317" s="20">
        <f t="shared" si="46"/>
        <v>6.5</v>
      </c>
      <c r="F317" s="20">
        <f t="shared" si="47"/>
        <v>15.6006</v>
      </c>
      <c r="G317" s="20">
        <f t="shared" si="48"/>
        <v>12.166</v>
      </c>
      <c r="H317" s="1239">
        <f t="shared" si="49"/>
        <v>12.3689</v>
      </c>
      <c r="I317" s="1243">
        <f t="shared" si="43"/>
        <v>1.0752775105302703E-3</v>
      </c>
      <c r="J317" s="1243">
        <f t="shared" si="50"/>
        <v>0.12093838824177333</v>
      </c>
      <c r="K317" s="1243">
        <f t="shared" si="51"/>
        <v>0.1</v>
      </c>
      <c r="L317" s="203"/>
      <c r="N317" s="1425">
        <v>44775</v>
      </c>
      <c r="O317" s="1502">
        <v>12.382199999999999</v>
      </c>
      <c r="P317" s="1502">
        <v>4.7774999999999999</v>
      </c>
      <c r="Q317" s="1502">
        <v>13.0031</v>
      </c>
      <c r="R317" s="1233">
        <f>'B. PE'!$U$23</f>
        <v>15.978235616082999</v>
      </c>
      <c r="S317" s="1233"/>
      <c r="T317" s="1233"/>
      <c r="V317" s="1425">
        <v>44775</v>
      </c>
      <c r="W317" s="1">
        <v>12.3689</v>
      </c>
      <c r="X317" s="1">
        <v>1.6629</v>
      </c>
      <c r="Y317" s="1">
        <v>8.3728999999999996</v>
      </c>
      <c r="Z317" s="1">
        <v>1.2188300000000001</v>
      </c>
      <c r="AB317" s="1425">
        <v>44764</v>
      </c>
      <c r="AC317" s="1">
        <v>8.2911999999999999</v>
      </c>
      <c r="AD317" s="1502">
        <v>1.2781</v>
      </c>
      <c r="AE317" s="1">
        <v>5.4005999999999998</v>
      </c>
      <c r="AF317" s="1">
        <v>3.3369999999999997E-2</v>
      </c>
      <c r="AH317" s="1425">
        <v>44764</v>
      </c>
      <c r="AI317" s="1">
        <v>13.707599999999999</v>
      </c>
      <c r="AJ317" s="1">
        <v>2.5352999999999999</v>
      </c>
      <c r="AK317" s="1">
        <v>7.4718</v>
      </c>
      <c r="AL317" s="1">
        <v>4.0379999999999999E-2</v>
      </c>
      <c r="AN317" s="1425">
        <v>44763</v>
      </c>
      <c r="AO317" s="1">
        <v>6.25</v>
      </c>
      <c r="AP317" s="1">
        <v>0.92589999999999995</v>
      </c>
      <c r="AQ317" s="1">
        <v>3.9024000000000001</v>
      </c>
      <c r="AR317" s="1">
        <v>0.22647999999999999</v>
      </c>
      <c r="AT317" s="1425">
        <v>44763</v>
      </c>
      <c r="AU317" s="1">
        <v>13.5</v>
      </c>
      <c r="AV317" s="1">
        <v>0.85950000000000004</v>
      </c>
      <c r="AW317" s="1">
        <v>8.3893000000000004</v>
      </c>
      <c r="AX317" s="1">
        <v>0.20741999999999999</v>
      </c>
      <c r="BA317" s="1425">
        <v>44762</v>
      </c>
      <c r="BB317" s="1">
        <v>11.613</v>
      </c>
      <c r="BC317" s="1">
        <v>2.8553000000000002</v>
      </c>
      <c r="BD317" s="1">
        <v>11.916600000000001</v>
      </c>
      <c r="BE317" s="1">
        <v>0.73043999999999998</v>
      </c>
      <c r="BG317" s="1425">
        <v>44762</v>
      </c>
      <c r="BH317" s="1">
        <v>13.9839</v>
      </c>
      <c r="BI317" s="1">
        <v>3.8184999999999998</v>
      </c>
      <c r="BJ317" s="1">
        <v>20.560500000000001</v>
      </c>
      <c r="BT317" s="1425">
        <v>44775</v>
      </c>
      <c r="BU317" s="1">
        <v>17.542300000000001</v>
      </c>
      <c r="BV317" s="1">
        <v>4.0529000000000002</v>
      </c>
      <c r="BW317" s="1">
        <v>9.9403000000000006</v>
      </c>
      <c r="BX317" s="1">
        <v>2.6132</v>
      </c>
      <c r="BZ317" s="1425">
        <v>44775</v>
      </c>
      <c r="CA317" s="1">
        <v>16.374600000000001</v>
      </c>
      <c r="CB317" s="1">
        <v>4.7092000000000001</v>
      </c>
      <c r="CC317" s="1">
        <v>13.749000000000001</v>
      </c>
      <c r="CD317" s="1">
        <v>2.6821199999999998</v>
      </c>
      <c r="CF317" s="1425">
        <v>44774</v>
      </c>
      <c r="CG317" s="1">
        <v>4.3650000000000002</v>
      </c>
      <c r="CH317" s="1">
        <v>1.4097</v>
      </c>
      <c r="CI317" s="1">
        <v>7.7122000000000002</v>
      </c>
      <c r="CL317" s="1425">
        <v>44782</v>
      </c>
      <c r="CM317" s="1">
        <v>20.432099999999998</v>
      </c>
      <c r="CN317" s="1">
        <v>2.8107000000000002</v>
      </c>
      <c r="CO317" s="1">
        <v>11.4217</v>
      </c>
    </row>
    <row r="318" spans="1:93">
      <c r="A318" s="1425">
        <v>44774</v>
      </c>
      <c r="B318" s="20">
        <f t="shared" si="42"/>
        <v>12.5054</v>
      </c>
      <c r="C318" s="20">
        <f t="shared" si="44"/>
        <v>12.351100000000001</v>
      </c>
      <c r="D318" s="20">
        <f t="shared" si="45"/>
        <v>14.393000000000001</v>
      </c>
      <c r="E318" s="20">
        <f t="shared" si="46"/>
        <v>6.5625</v>
      </c>
      <c r="F318" s="20">
        <f t="shared" si="47"/>
        <v>15.7622</v>
      </c>
      <c r="G318" s="20">
        <f t="shared" si="48"/>
        <v>12.4978</v>
      </c>
      <c r="H318" s="1239">
        <f t="shared" si="49"/>
        <v>12.4978</v>
      </c>
      <c r="I318" s="1243">
        <f t="shared" si="43"/>
        <v>6.081070268366684E-4</v>
      </c>
      <c r="J318" s="1243">
        <f t="shared" si="50"/>
        <v>0.12093838824177333</v>
      </c>
      <c r="K318" s="1243">
        <f t="shared" si="51"/>
        <v>0.1</v>
      </c>
      <c r="L318" s="203"/>
      <c r="N318" s="1425">
        <v>44774</v>
      </c>
      <c r="O318" s="1502">
        <v>12.5054</v>
      </c>
      <c r="P318" s="1502">
        <v>4.8250000000000002</v>
      </c>
      <c r="Q318" s="1502">
        <v>13.1196</v>
      </c>
      <c r="R318" s="1233">
        <f>'B. PE'!$U$23</f>
        <v>15.978235616082999</v>
      </c>
      <c r="S318" s="1233"/>
      <c r="T318" s="1233"/>
      <c r="V318" s="1425">
        <v>44774</v>
      </c>
      <c r="W318" s="1">
        <v>12.351100000000001</v>
      </c>
      <c r="X318" s="1">
        <v>1.6605000000000001</v>
      </c>
      <c r="Y318" s="1">
        <v>8.3644999999999996</v>
      </c>
      <c r="Z318" s="1">
        <v>1.2359100000000001</v>
      </c>
      <c r="AB318" s="1425">
        <v>44763</v>
      </c>
      <c r="AC318" s="1">
        <v>8.2090999999999994</v>
      </c>
      <c r="AD318" s="1502">
        <v>1.2654000000000001</v>
      </c>
      <c r="AE318" s="1">
        <v>5.3625999999999996</v>
      </c>
      <c r="AF318" s="1">
        <v>3.329E-2</v>
      </c>
      <c r="AH318" s="1425">
        <v>44763</v>
      </c>
      <c r="AI318" s="1">
        <v>13.821899999999999</v>
      </c>
      <c r="AJ318" s="1">
        <v>2.5564</v>
      </c>
      <c r="AK318" s="1">
        <v>7.5307000000000004</v>
      </c>
      <c r="AL318" s="1">
        <v>3.9109999999999999E-2</v>
      </c>
      <c r="AN318" s="1425">
        <v>44762</v>
      </c>
      <c r="AO318" s="1">
        <v>6.375</v>
      </c>
      <c r="AP318" s="1">
        <v>0.94440000000000002</v>
      </c>
      <c r="AQ318" s="1">
        <v>3.9954000000000001</v>
      </c>
      <c r="AR318" s="1">
        <v>0.22897999999999999</v>
      </c>
      <c r="AT318" s="1425">
        <v>44762</v>
      </c>
      <c r="AU318" s="1">
        <v>13.142899999999999</v>
      </c>
      <c r="AV318" s="1">
        <v>0.83679999999999999</v>
      </c>
      <c r="AW318" s="1">
        <v>8.1879000000000008</v>
      </c>
      <c r="AX318" s="1">
        <v>0.19642999999999999</v>
      </c>
      <c r="BA318" s="1425">
        <v>44761</v>
      </c>
      <c r="BB318" s="1">
        <v>11.5024</v>
      </c>
      <c r="BC318" s="1">
        <v>2.8281000000000001</v>
      </c>
      <c r="BD318" s="1">
        <v>11.834199999999999</v>
      </c>
      <c r="BE318" s="1">
        <v>0.73046</v>
      </c>
      <c r="BG318" s="1425">
        <v>44761</v>
      </c>
      <c r="BH318" s="1">
        <v>13.741400000000001</v>
      </c>
      <c r="BI318" s="1">
        <v>3.7523</v>
      </c>
      <c r="BJ318" s="1">
        <v>20.287700000000001</v>
      </c>
      <c r="BT318" s="1425">
        <v>44774</v>
      </c>
      <c r="BU318" s="1">
        <v>17.344200000000001</v>
      </c>
      <c r="BV318" s="1">
        <v>4.0072000000000001</v>
      </c>
      <c r="BW318" s="1">
        <v>9.8362999999999996</v>
      </c>
      <c r="BX318" s="1">
        <v>2.6539999999999999</v>
      </c>
      <c r="BZ318" s="1425">
        <v>44774</v>
      </c>
      <c r="CA318" s="1">
        <v>16.621700000000001</v>
      </c>
      <c r="CB318" s="1">
        <v>4.7803000000000004</v>
      </c>
      <c r="CC318" s="1">
        <v>13.9041</v>
      </c>
      <c r="CD318" s="1">
        <v>2.8475600000000001</v>
      </c>
      <c r="CF318" s="1425">
        <v>44771</v>
      </c>
      <c r="CG318" s="1">
        <v>4.3650000000000002</v>
      </c>
      <c r="CH318" s="1">
        <v>1.4097</v>
      </c>
      <c r="CI318" s="1">
        <v>7.7122000000000002</v>
      </c>
      <c r="CL318" s="1425">
        <v>44781</v>
      </c>
      <c r="CM318" s="1">
        <v>20.5121</v>
      </c>
      <c r="CN318" s="1">
        <v>2.8216999999999999</v>
      </c>
      <c r="CO318" s="1">
        <v>11.465999999999999</v>
      </c>
    </row>
    <row r="319" spans="1:93">
      <c r="A319" s="1425">
        <v>44771</v>
      </c>
      <c r="B319" s="20">
        <f t="shared" si="42"/>
        <v>12.033099999999999</v>
      </c>
      <c r="C319" s="20">
        <f t="shared" si="44"/>
        <v>12.013500000000001</v>
      </c>
      <c r="D319" s="20">
        <f t="shared" si="45"/>
        <v>13.593400000000001</v>
      </c>
      <c r="E319" s="20">
        <f t="shared" si="46"/>
        <v>6.5625</v>
      </c>
      <c r="F319" s="20">
        <f t="shared" si="47"/>
        <v>15.7622</v>
      </c>
      <c r="G319" s="20">
        <f t="shared" si="48"/>
        <v>12.4978</v>
      </c>
      <c r="H319" s="1239">
        <f t="shared" si="49"/>
        <v>12.4978</v>
      </c>
      <c r="I319" s="1243">
        <f t="shared" si="43"/>
        <v>-3.7182544127766559E-2</v>
      </c>
      <c r="J319" s="1243">
        <f t="shared" si="50"/>
        <v>0.12093838824177333</v>
      </c>
      <c r="K319" s="1243">
        <f t="shared" si="51"/>
        <v>0.1</v>
      </c>
      <c r="L319" s="203"/>
      <c r="N319" s="1425">
        <v>44771</v>
      </c>
      <c r="O319" s="1502">
        <v>12.033099999999999</v>
      </c>
      <c r="P319" s="1502">
        <v>4.6428000000000003</v>
      </c>
      <c r="Q319" s="1502">
        <v>12.6731</v>
      </c>
      <c r="R319" s="1233">
        <f>'B. PE'!$U$23</f>
        <v>15.978235616082999</v>
      </c>
      <c r="S319" s="1233"/>
      <c r="T319" s="1233"/>
      <c r="V319" s="1425">
        <v>44771</v>
      </c>
      <c r="W319" s="1">
        <v>12.013500000000001</v>
      </c>
      <c r="X319" s="1">
        <v>1.6151</v>
      </c>
      <c r="Y319" s="1">
        <v>8.2051999999999996</v>
      </c>
      <c r="Z319" s="1">
        <v>1.2098100000000001</v>
      </c>
      <c r="AB319" s="1425">
        <v>44762</v>
      </c>
      <c r="AC319" s="1">
        <v>8.2090999999999994</v>
      </c>
      <c r="AD319" s="1502">
        <v>1.2654000000000001</v>
      </c>
      <c r="AE319" s="1">
        <v>5.3625999999999996</v>
      </c>
      <c r="AF319" s="1">
        <v>3.3009999999999998E-2</v>
      </c>
      <c r="AH319" s="1425">
        <v>44762</v>
      </c>
      <c r="AI319" s="1">
        <v>13.821899999999999</v>
      </c>
      <c r="AJ319" s="1">
        <v>2.5564</v>
      </c>
      <c r="AK319" s="1">
        <v>7.5307000000000004</v>
      </c>
      <c r="AL319" s="1">
        <v>3.7749999999999999E-2</v>
      </c>
      <c r="AN319" s="1425">
        <v>44761</v>
      </c>
      <c r="AO319" s="1">
        <v>6.3125</v>
      </c>
      <c r="AP319" s="1">
        <v>0.93510000000000004</v>
      </c>
      <c r="AQ319" s="1">
        <v>3.9489000000000001</v>
      </c>
      <c r="AR319" s="1">
        <v>0.22888</v>
      </c>
      <c r="AT319" s="1425">
        <v>44761</v>
      </c>
      <c r="AU319" s="1">
        <v>13.2143</v>
      </c>
      <c r="AV319" s="1">
        <v>0.84140000000000004</v>
      </c>
      <c r="AW319" s="1">
        <v>8.2281999999999993</v>
      </c>
      <c r="AX319" s="1">
        <v>0.19633999999999999</v>
      </c>
      <c r="BA319" s="1425">
        <v>44760</v>
      </c>
      <c r="BB319" s="1">
        <v>11.834199999999999</v>
      </c>
      <c r="BC319" s="1">
        <v>2.9097</v>
      </c>
      <c r="BD319" s="1">
        <v>12.0814</v>
      </c>
      <c r="BE319" s="1">
        <v>0.71725000000000005</v>
      </c>
      <c r="BG319" s="1425">
        <v>44760</v>
      </c>
      <c r="BH319" s="1">
        <v>13.9839</v>
      </c>
      <c r="BI319" s="1">
        <v>3.8184999999999998</v>
      </c>
      <c r="BJ319" s="1">
        <v>20.560500000000001</v>
      </c>
      <c r="BT319" s="1425">
        <v>44771</v>
      </c>
      <c r="BU319" s="1">
        <v>17.2593</v>
      </c>
      <c r="BV319" s="1">
        <v>3.9876</v>
      </c>
      <c r="BW319" s="1">
        <v>9.7917000000000005</v>
      </c>
      <c r="BX319" s="1">
        <v>2.6562999999999999</v>
      </c>
      <c r="BZ319" s="1425">
        <v>44771</v>
      </c>
      <c r="CA319" s="1">
        <v>16.1724</v>
      </c>
      <c r="CB319" s="1">
        <v>4.6510999999999996</v>
      </c>
      <c r="CC319" s="1">
        <v>13.622</v>
      </c>
      <c r="CD319" s="1">
        <v>2.9012799999999999</v>
      </c>
      <c r="CF319" s="1425">
        <v>44770</v>
      </c>
      <c r="CG319" s="1">
        <v>4.3650000000000002</v>
      </c>
      <c r="CH319" s="1">
        <v>1.4097</v>
      </c>
      <c r="CI319" s="1">
        <v>7.7122000000000002</v>
      </c>
      <c r="CL319" s="1425">
        <v>44778</v>
      </c>
      <c r="CM319" s="1">
        <v>20.5655</v>
      </c>
      <c r="CN319" s="1">
        <v>2.8290999999999999</v>
      </c>
      <c r="CO319" s="1">
        <v>11.4955</v>
      </c>
    </row>
    <row r="320" spans="1:93">
      <c r="A320" s="1425">
        <v>44770</v>
      </c>
      <c r="B320" s="20">
        <f t="shared" si="42"/>
        <v>12.4232</v>
      </c>
      <c r="C320" s="20">
        <f t="shared" si="44"/>
        <v>12.1912</v>
      </c>
      <c r="D320" s="20">
        <f t="shared" si="45"/>
        <v>13.821899999999999</v>
      </c>
      <c r="E320" s="20">
        <f t="shared" si="46"/>
        <v>6.5625</v>
      </c>
      <c r="F320" s="20">
        <f t="shared" si="47"/>
        <v>15.7622</v>
      </c>
      <c r="G320" s="20">
        <f t="shared" si="48"/>
        <v>12.4978</v>
      </c>
      <c r="H320" s="1239">
        <f t="shared" si="49"/>
        <v>12.4978</v>
      </c>
      <c r="I320" s="1243">
        <f t="shared" si="43"/>
        <v>-5.9690505528973148E-3</v>
      </c>
      <c r="J320" s="1243">
        <f t="shared" si="50"/>
        <v>0.12093838824177333</v>
      </c>
      <c r="K320" s="1243">
        <f t="shared" si="51"/>
        <v>0.1</v>
      </c>
      <c r="L320" s="203"/>
      <c r="N320" s="1425">
        <v>44770</v>
      </c>
      <c r="O320" s="1502">
        <v>12.4232</v>
      </c>
      <c r="P320" s="1502">
        <v>4.7933000000000003</v>
      </c>
      <c r="Q320" s="1502">
        <v>13.042</v>
      </c>
      <c r="R320" s="1233">
        <f>'B. PE'!$U$23</f>
        <v>15.978235616082999</v>
      </c>
      <c r="S320" s="1233"/>
      <c r="T320" s="1233"/>
      <c r="V320" s="1425">
        <v>44770</v>
      </c>
      <c r="W320" s="1">
        <v>12.1912</v>
      </c>
      <c r="X320" s="1">
        <v>1.639</v>
      </c>
      <c r="Y320" s="1">
        <v>8.2889999999999997</v>
      </c>
      <c r="Z320" s="1">
        <v>1.2193799999999999</v>
      </c>
      <c r="AB320" s="1425">
        <v>44761</v>
      </c>
      <c r="AC320" s="1">
        <v>8.1762999999999995</v>
      </c>
      <c r="AD320" s="1502">
        <v>1.2604</v>
      </c>
      <c r="AE320" s="1">
        <v>5.3474000000000004</v>
      </c>
      <c r="AF320" s="1">
        <v>3.2689999999999997E-2</v>
      </c>
      <c r="AH320" s="1425">
        <v>44761</v>
      </c>
      <c r="AI320" s="1">
        <v>13.365</v>
      </c>
      <c r="AJ320" s="1">
        <v>2.4719000000000002</v>
      </c>
      <c r="AK320" s="1">
        <v>7.2949000000000002</v>
      </c>
      <c r="AL320" s="1">
        <v>3.7690000000000001E-2</v>
      </c>
      <c r="AN320" s="1425">
        <v>44760</v>
      </c>
      <c r="AO320" s="1">
        <v>6.375</v>
      </c>
      <c r="AP320" s="1">
        <v>0.94440000000000002</v>
      </c>
      <c r="AQ320" s="1">
        <v>3.9954000000000001</v>
      </c>
      <c r="AR320" s="1">
        <v>0.22822000000000001</v>
      </c>
      <c r="AT320" s="1425">
        <v>44760</v>
      </c>
      <c r="AU320" s="1">
        <v>12.5</v>
      </c>
      <c r="AV320" s="1">
        <v>0.79590000000000005</v>
      </c>
      <c r="AW320" s="1">
        <v>7.8251999999999997</v>
      </c>
      <c r="AX320" s="1">
        <v>0.19466</v>
      </c>
      <c r="BA320" s="1425">
        <v>44757</v>
      </c>
      <c r="BB320" s="1">
        <v>11.834199999999999</v>
      </c>
      <c r="BC320" s="1">
        <v>2.9097</v>
      </c>
      <c r="BD320" s="1">
        <v>12.0814</v>
      </c>
      <c r="BE320" s="1">
        <v>0.74614000000000003</v>
      </c>
      <c r="BG320" s="1425">
        <v>44757</v>
      </c>
      <c r="BH320" s="1">
        <v>14.0648</v>
      </c>
      <c r="BI320" s="1">
        <v>3.8405999999999998</v>
      </c>
      <c r="BJ320" s="1">
        <v>20.651499999999999</v>
      </c>
      <c r="BT320" s="1425">
        <v>44770</v>
      </c>
      <c r="BU320" s="1">
        <v>17.542300000000001</v>
      </c>
      <c r="BV320" s="1">
        <v>4.0529000000000002</v>
      </c>
      <c r="BW320" s="1">
        <v>9.9403000000000006</v>
      </c>
      <c r="BX320" s="1">
        <v>2.6960999999999999</v>
      </c>
      <c r="BZ320" s="1425">
        <v>44770</v>
      </c>
      <c r="CA320" s="1">
        <v>17.183199999999999</v>
      </c>
      <c r="CB320" s="1">
        <v>4.9417999999999997</v>
      </c>
      <c r="CC320" s="1">
        <v>14.2567</v>
      </c>
      <c r="CD320" s="1">
        <v>2.8654299999999999</v>
      </c>
      <c r="CF320" s="1425">
        <v>44769</v>
      </c>
      <c r="CG320" s="1">
        <v>4.3650000000000002</v>
      </c>
      <c r="CH320" s="1">
        <v>1.4097</v>
      </c>
      <c r="CI320" s="1">
        <v>7.7122000000000002</v>
      </c>
      <c r="CL320" s="1425">
        <v>44777</v>
      </c>
      <c r="CM320" s="1">
        <v>20.805599999999998</v>
      </c>
      <c r="CN320" s="1">
        <v>2.8620999999999999</v>
      </c>
      <c r="CO320" s="1">
        <v>11.628299999999999</v>
      </c>
    </row>
    <row r="321" spans="1:93">
      <c r="A321" s="1425">
        <v>44769</v>
      </c>
      <c r="B321" s="20">
        <f t="shared" si="42"/>
        <v>12.402699999999999</v>
      </c>
      <c r="C321" s="20">
        <f t="shared" si="44"/>
        <v>11.942399999999999</v>
      </c>
      <c r="D321" s="20">
        <f t="shared" si="45"/>
        <v>13.707599999999999</v>
      </c>
      <c r="E321" s="20">
        <f t="shared" si="46"/>
        <v>6.4375</v>
      </c>
      <c r="F321" s="20">
        <f t="shared" si="47"/>
        <v>15.196400000000001</v>
      </c>
      <c r="G321" s="20">
        <f t="shared" si="48"/>
        <v>12.4978</v>
      </c>
      <c r="H321" s="1239">
        <f t="shared" si="49"/>
        <v>12.4978</v>
      </c>
      <c r="I321" s="1243">
        <f t="shared" si="43"/>
        <v>-7.6093392437068808E-3</v>
      </c>
      <c r="J321" s="1243">
        <f t="shared" si="50"/>
        <v>0.12093838824177333</v>
      </c>
      <c r="K321" s="1243">
        <f t="shared" si="51"/>
        <v>0.1</v>
      </c>
      <c r="L321" s="203"/>
      <c r="N321" s="1425">
        <v>44769</v>
      </c>
      <c r="O321" s="1502">
        <v>12.402699999999999</v>
      </c>
      <c r="P321" s="1502">
        <v>4.7854000000000001</v>
      </c>
      <c r="Q321" s="1502">
        <v>13.022600000000001</v>
      </c>
      <c r="R321" s="1233">
        <f>'B. PE'!$U$23</f>
        <v>15.978235616082999</v>
      </c>
      <c r="S321" s="1233"/>
      <c r="T321" s="1233"/>
      <c r="V321" s="1425">
        <v>44769</v>
      </c>
      <c r="W321" s="1">
        <v>11.942399999999999</v>
      </c>
      <c r="X321" s="1">
        <v>1.6054999999999999</v>
      </c>
      <c r="Y321" s="1">
        <v>8.1715999999999998</v>
      </c>
      <c r="Z321" s="1">
        <v>1.20183</v>
      </c>
      <c r="AB321" s="1425">
        <v>44760</v>
      </c>
      <c r="AC321" s="1">
        <v>8.1105999999999998</v>
      </c>
      <c r="AD321" s="1502">
        <v>1.2502</v>
      </c>
      <c r="AE321" s="1">
        <v>5.3170000000000002</v>
      </c>
      <c r="AF321" s="1">
        <v>3.2550000000000003E-2</v>
      </c>
      <c r="AH321" s="1425">
        <v>44760</v>
      </c>
      <c r="AI321" s="1">
        <v>12.907999999999999</v>
      </c>
      <c r="AJ321" s="1">
        <v>2.3874</v>
      </c>
      <c r="AK321" s="1">
        <v>7.0590999999999999</v>
      </c>
      <c r="AL321" s="1">
        <v>3.7859999999999998E-2</v>
      </c>
      <c r="AN321" s="1425">
        <v>44757</v>
      </c>
      <c r="AO321" s="1">
        <v>6.375</v>
      </c>
      <c r="AP321" s="1">
        <v>0.94440000000000002</v>
      </c>
      <c r="AQ321" s="1">
        <v>3.9954000000000001</v>
      </c>
      <c r="AR321" s="1">
        <v>0.22755</v>
      </c>
      <c r="AT321" s="1425">
        <v>44757</v>
      </c>
      <c r="AU321" s="1">
        <v>12.5</v>
      </c>
      <c r="AV321" s="1">
        <v>0.79590000000000005</v>
      </c>
      <c r="AW321" s="1">
        <v>7.8251999999999997</v>
      </c>
      <c r="AX321" s="1">
        <v>0.18362000000000001</v>
      </c>
      <c r="BA321" s="1425">
        <v>44756</v>
      </c>
      <c r="BB321" s="1">
        <v>11.613</v>
      </c>
      <c r="BC321" s="1">
        <v>2.8553000000000002</v>
      </c>
      <c r="BD321" s="1">
        <v>11.916600000000001</v>
      </c>
      <c r="BE321" s="1">
        <v>0.73118000000000005</v>
      </c>
      <c r="BG321" s="1425">
        <v>44756</v>
      </c>
      <c r="BH321" s="1">
        <v>13.499000000000001</v>
      </c>
      <c r="BI321" s="1">
        <v>3.6861000000000002</v>
      </c>
      <c r="BJ321" s="1">
        <v>20.014900000000001</v>
      </c>
      <c r="BT321" s="1425">
        <v>44769</v>
      </c>
      <c r="BU321" s="1">
        <v>17.570499999999999</v>
      </c>
      <c r="BV321" s="1">
        <v>4.0594999999999999</v>
      </c>
      <c r="BW321" s="1">
        <v>9.9551999999999996</v>
      </c>
      <c r="BX321" s="1">
        <v>2.7059000000000002</v>
      </c>
      <c r="BZ321" s="1425">
        <v>44769</v>
      </c>
      <c r="CA321" s="1">
        <v>17.520099999999999</v>
      </c>
      <c r="CB321" s="1">
        <v>5.0387000000000004</v>
      </c>
      <c r="CC321" s="1">
        <v>14.4682</v>
      </c>
      <c r="CD321" s="1">
        <v>2.8436599999999999</v>
      </c>
      <c r="CF321" s="1425">
        <v>44768</v>
      </c>
      <c r="CG321" s="1">
        <v>4.5167999999999999</v>
      </c>
      <c r="CH321" s="1">
        <v>1.4587000000000001</v>
      </c>
      <c r="CI321" s="1">
        <v>7.8209</v>
      </c>
      <c r="CL321" s="1425">
        <v>44776</v>
      </c>
      <c r="CM321" s="1">
        <v>20.6188</v>
      </c>
      <c r="CN321" s="1">
        <v>2.8363999999999998</v>
      </c>
      <c r="CO321" s="1">
        <v>11.525</v>
      </c>
    </row>
    <row r="322" spans="1:93">
      <c r="A322" s="1425">
        <v>44768</v>
      </c>
      <c r="B322" s="20">
        <f t="shared" si="42"/>
        <v>12.4643</v>
      </c>
      <c r="C322" s="20">
        <f t="shared" si="44"/>
        <v>12.0312</v>
      </c>
      <c r="D322" s="20">
        <f t="shared" si="45"/>
        <v>13.365</v>
      </c>
      <c r="E322" s="20">
        <f t="shared" si="46"/>
        <v>6.375</v>
      </c>
      <c r="F322" s="20">
        <f t="shared" si="47"/>
        <v>15.115600000000001</v>
      </c>
      <c r="G322" s="20">
        <f t="shared" si="48"/>
        <v>12.3872</v>
      </c>
      <c r="H322" s="1239">
        <f t="shared" si="49"/>
        <v>12.3872</v>
      </c>
      <c r="I322" s="1243">
        <f t="shared" si="43"/>
        <v>6.2241668819427165E-3</v>
      </c>
      <c r="J322" s="1243">
        <f t="shared" si="50"/>
        <v>0.12093838824177333</v>
      </c>
      <c r="K322" s="1243">
        <f t="shared" si="51"/>
        <v>0.1</v>
      </c>
      <c r="L322" s="203"/>
      <c r="N322" s="1425">
        <v>44768</v>
      </c>
      <c r="O322" s="1502">
        <v>12.4643</v>
      </c>
      <c r="P322" s="1502">
        <v>4.8091999999999997</v>
      </c>
      <c r="Q322" s="1502">
        <v>13.0808</v>
      </c>
      <c r="R322" s="1233">
        <f>'B. PE'!$U$23</f>
        <v>15.978235616082999</v>
      </c>
      <c r="S322" s="1233"/>
      <c r="T322" s="1233"/>
      <c r="V322" s="1425">
        <v>44768</v>
      </c>
      <c r="W322" s="1">
        <v>12.0312</v>
      </c>
      <c r="X322" s="1">
        <v>1.6174999999999999</v>
      </c>
      <c r="Y322" s="1">
        <v>8.2135999999999996</v>
      </c>
      <c r="Z322" s="1">
        <v>1.24786</v>
      </c>
      <c r="AB322" s="1425">
        <v>44757</v>
      </c>
      <c r="AC322" s="1">
        <v>8.0449000000000002</v>
      </c>
      <c r="AD322" s="1502">
        <v>1.2401</v>
      </c>
      <c r="AE322" s="1">
        <v>5.2866</v>
      </c>
      <c r="AF322" s="1">
        <v>3.2620000000000003E-2</v>
      </c>
      <c r="AH322" s="1425">
        <v>44757</v>
      </c>
      <c r="AI322" s="1">
        <v>12.907999999999999</v>
      </c>
      <c r="AJ322" s="1">
        <v>2.3874</v>
      </c>
      <c r="AK322" s="1">
        <v>7.0590999999999999</v>
      </c>
      <c r="AL322" s="1">
        <v>3.7609999999999998E-2</v>
      </c>
      <c r="AN322" s="1425">
        <v>44756</v>
      </c>
      <c r="AO322" s="1">
        <v>6.375</v>
      </c>
      <c r="AP322" s="1">
        <v>0.94440000000000002</v>
      </c>
      <c r="AQ322" s="1">
        <v>3.9954000000000001</v>
      </c>
      <c r="AR322" s="1">
        <v>0.23230000000000001</v>
      </c>
      <c r="AT322" s="1425">
        <v>44756</v>
      </c>
      <c r="AU322" s="1">
        <v>12.428599999999999</v>
      </c>
      <c r="AV322" s="1">
        <v>0.7913</v>
      </c>
      <c r="AW322" s="1">
        <v>7.7849000000000004</v>
      </c>
      <c r="AX322" s="1">
        <v>0.18493000000000001</v>
      </c>
      <c r="BA322" s="1425">
        <v>44754</v>
      </c>
      <c r="BB322" s="1">
        <v>11.944800000000001</v>
      </c>
      <c r="BC322" s="1">
        <v>2.9369000000000001</v>
      </c>
      <c r="BD322" s="1">
        <v>12.1638</v>
      </c>
      <c r="BE322" s="1">
        <v>0.73163</v>
      </c>
      <c r="BG322" s="1425">
        <v>44754</v>
      </c>
      <c r="BH322" s="1">
        <v>13.8223</v>
      </c>
      <c r="BI322" s="1">
        <v>3.7744</v>
      </c>
      <c r="BJ322" s="1">
        <v>20.378599999999999</v>
      </c>
      <c r="BT322" s="1425">
        <v>44768</v>
      </c>
      <c r="BU322" s="1">
        <v>17.825199999999999</v>
      </c>
      <c r="BV322" s="1">
        <v>4.1182999999999996</v>
      </c>
      <c r="BW322" s="1">
        <v>10.089</v>
      </c>
      <c r="BX322" s="1">
        <v>2.7555999999999998</v>
      </c>
      <c r="BZ322" s="1425">
        <v>44768</v>
      </c>
      <c r="CA322" s="1">
        <v>17.295500000000001</v>
      </c>
      <c r="CB322" s="1">
        <v>4.9741</v>
      </c>
      <c r="CC322" s="1">
        <v>14.327199999999999</v>
      </c>
      <c r="CD322" s="1">
        <v>2.8419599999999998</v>
      </c>
      <c r="CF322" s="1425">
        <v>44767</v>
      </c>
      <c r="CG322" s="1">
        <v>4.5167999999999999</v>
      </c>
      <c r="CH322" s="1">
        <v>1.4587000000000001</v>
      </c>
      <c r="CI322" s="1">
        <v>7.8209</v>
      </c>
      <c r="CL322" s="1425">
        <v>44775</v>
      </c>
      <c r="CM322" s="1">
        <v>20.8322</v>
      </c>
      <c r="CN322" s="1">
        <v>2.8658000000000001</v>
      </c>
      <c r="CO322" s="1">
        <v>11.643000000000001</v>
      </c>
    </row>
    <row r="323" spans="1:93">
      <c r="A323" s="1425">
        <v>44767</v>
      </c>
      <c r="B323" s="20">
        <f t="shared" si="42"/>
        <v>12.1152</v>
      </c>
      <c r="C323" s="20">
        <f t="shared" si="44"/>
        <v>11.8713</v>
      </c>
      <c r="D323" s="20">
        <f t="shared" si="45"/>
        <v>13.707599999999999</v>
      </c>
      <c r="E323" s="20">
        <f t="shared" si="46"/>
        <v>6.3125</v>
      </c>
      <c r="F323" s="20">
        <f t="shared" si="47"/>
        <v>15.3581</v>
      </c>
      <c r="G323" s="20">
        <f t="shared" si="48"/>
        <v>12.718999999999999</v>
      </c>
      <c r="H323" s="1239">
        <f t="shared" si="49"/>
        <v>12.718999999999999</v>
      </c>
      <c r="I323" s="1243">
        <f t="shared" si="43"/>
        <v>-4.7472285557040639E-2</v>
      </c>
      <c r="J323" s="1243">
        <f t="shared" si="50"/>
        <v>0.12093838824177333</v>
      </c>
      <c r="K323" s="1243">
        <f t="shared" si="51"/>
        <v>0.1</v>
      </c>
      <c r="L323" s="203"/>
      <c r="N323" s="1425">
        <v>44767</v>
      </c>
      <c r="O323" s="1502">
        <v>12.1152</v>
      </c>
      <c r="P323" s="1502">
        <v>4.6745000000000001</v>
      </c>
      <c r="Q323" s="1502">
        <v>12.7508</v>
      </c>
      <c r="R323" s="1233">
        <f>'B. PE'!$U$23</f>
        <v>15.978235616082999</v>
      </c>
      <c r="S323" s="1233"/>
      <c r="T323" s="1233"/>
      <c r="V323" s="1425">
        <v>44767</v>
      </c>
      <c r="W323" s="1">
        <v>11.8713</v>
      </c>
      <c r="X323" s="1">
        <v>1.5960000000000001</v>
      </c>
      <c r="Y323" s="1">
        <v>8.1380999999999997</v>
      </c>
      <c r="Z323" s="1">
        <v>1.26176</v>
      </c>
      <c r="AB323" s="1425">
        <v>44756</v>
      </c>
      <c r="AC323" s="1">
        <v>8.0449000000000002</v>
      </c>
      <c r="AD323" s="1502">
        <v>1.2401</v>
      </c>
      <c r="AE323" s="1">
        <v>5.2866</v>
      </c>
      <c r="AF323" s="1">
        <v>3.3259999999999998E-2</v>
      </c>
      <c r="AH323" s="1425">
        <v>44756</v>
      </c>
      <c r="AI323" s="1">
        <v>13.0223</v>
      </c>
      <c r="AJ323" s="1">
        <v>2.4085000000000001</v>
      </c>
      <c r="AK323" s="1">
        <v>7.1181000000000001</v>
      </c>
      <c r="AL323" s="1">
        <v>3.807E-2</v>
      </c>
      <c r="AN323" s="1425">
        <v>44755</v>
      </c>
      <c r="AO323" s="1">
        <v>6.3125</v>
      </c>
      <c r="AP323" s="1">
        <v>0.93510000000000004</v>
      </c>
      <c r="AQ323" s="1">
        <v>3.9489000000000001</v>
      </c>
      <c r="AR323" s="1">
        <v>0.23293</v>
      </c>
      <c r="AT323" s="1425">
        <v>44755</v>
      </c>
      <c r="AU323" s="1">
        <v>11.642899999999999</v>
      </c>
      <c r="AV323" s="1">
        <v>0.74129999999999996</v>
      </c>
      <c r="AW323" s="1">
        <v>7.3419999999999996</v>
      </c>
      <c r="AX323" s="1">
        <v>0.18770000000000001</v>
      </c>
      <c r="BA323" s="1425">
        <v>44753</v>
      </c>
      <c r="BB323" s="1">
        <v>11.723599999999999</v>
      </c>
      <c r="BC323" s="1">
        <v>2.8824999999999998</v>
      </c>
      <c r="BD323" s="1">
        <v>11.999000000000001</v>
      </c>
      <c r="BE323" s="1">
        <v>0.72794999999999999</v>
      </c>
      <c r="BG323" s="1425">
        <v>44753</v>
      </c>
      <c r="BH323" s="1">
        <v>13.579800000000001</v>
      </c>
      <c r="BI323" s="1">
        <v>3.7082000000000002</v>
      </c>
      <c r="BJ323" s="1">
        <v>20.105799999999999</v>
      </c>
      <c r="BT323" s="1425">
        <v>44767</v>
      </c>
      <c r="BU323" s="1">
        <v>17.9101</v>
      </c>
      <c r="BV323" s="1">
        <v>4.1379000000000001</v>
      </c>
      <c r="BW323" s="1">
        <v>10.1335</v>
      </c>
      <c r="BX323" s="1">
        <v>2.7374000000000001</v>
      </c>
      <c r="BZ323" s="1425">
        <v>44767</v>
      </c>
      <c r="CA323" s="1">
        <v>17.183199999999999</v>
      </c>
      <c r="CB323" s="1">
        <v>4.9417999999999997</v>
      </c>
      <c r="CC323" s="1">
        <v>14.2567</v>
      </c>
      <c r="CD323" s="1">
        <v>2.93371</v>
      </c>
      <c r="CF323" s="1425">
        <v>44764</v>
      </c>
      <c r="CG323" s="1">
        <v>4.4409000000000001</v>
      </c>
      <c r="CH323" s="1">
        <v>1.4341999999999999</v>
      </c>
      <c r="CI323" s="1">
        <v>7.7666000000000004</v>
      </c>
      <c r="CL323" s="1425">
        <v>44771</v>
      </c>
      <c r="CM323" s="1">
        <v>20.805599999999998</v>
      </c>
      <c r="CN323" s="1">
        <v>2.8620999999999999</v>
      </c>
      <c r="CO323" s="1">
        <v>11.628299999999999</v>
      </c>
    </row>
    <row r="324" spans="1:93">
      <c r="A324" s="1425">
        <v>44764</v>
      </c>
      <c r="B324" s="20">
        <f t="shared" si="42"/>
        <v>12.5259</v>
      </c>
      <c r="C324" s="20">
        <f t="shared" si="44"/>
        <v>12.333399999999999</v>
      </c>
      <c r="D324" s="20">
        <f t="shared" si="45"/>
        <v>13.707599999999999</v>
      </c>
      <c r="E324" s="20">
        <f t="shared" si="46"/>
        <v>6.3125</v>
      </c>
      <c r="F324" s="20">
        <f t="shared" si="47"/>
        <v>15.034800000000001</v>
      </c>
      <c r="G324" s="20">
        <f t="shared" si="48"/>
        <v>12.6084</v>
      </c>
      <c r="H324" s="1239">
        <f t="shared" si="49"/>
        <v>12.6084</v>
      </c>
      <c r="I324" s="1243">
        <f t="shared" si="43"/>
        <v>-6.543256876368142E-3</v>
      </c>
      <c r="J324" s="1243">
        <f t="shared" si="50"/>
        <v>0.12093838824177333</v>
      </c>
      <c r="K324" s="1243">
        <f t="shared" si="51"/>
        <v>0.1</v>
      </c>
      <c r="L324" s="203"/>
      <c r="N324" s="1425">
        <v>44764</v>
      </c>
      <c r="O324" s="1502">
        <v>12.5259</v>
      </c>
      <c r="P324" s="1502">
        <v>4.8329000000000004</v>
      </c>
      <c r="Q324" s="1502">
        <v>13.138999999999999</v>
      </c>
      <c r="R324" s="1233">
        <f>'B. PE'!$U$23</f>
        <v>15.978235616082999</v>
      </c>
      <c r="S324" s="1233"/>
      <c r="T324" s="1233"/>
      <c r="V324" s="1425">
        <v>44764</v>
      </c>
      <c r="W324" s="1">
        <v>12.333399999999999</v>
      </c>
      <c r="X324" s="1">
        <v>1.6580999999999999</v>
      </c>
      <c r="Y324" s="1">
        <v>8.3560999999999996</v>
      </c>
      <c r="Z324" s="1">
        <v>1.2849600000000001</v>
      </c>
      <c r="AB324" s="1425">
        <v>44755</v>
      </c>
      <c r="AC324" s="1">
        <v>8.0449000000000002</v>
      </c>
      <c r="AD324" s="1502">
        <v>1.2401</v>
      </c>
      <c r="AE324" s="1">
        <v>5.2866</v>
      </c>
      <c r="AF324" s="1">
        <v>3.329E-2</v>
      </c>
      <c r="AH324" s="1425">
        <v>44755</v>
      </c>
      <c r="AI324" s="1">
        <v>12.907999999999999</v>
      </c>
      <c r="AJ324" s="1">
        <v>2.3874</v>
      </c>
      <c r="AK324" s="1">
        <v>7.0590999999999999</v>
      </c>
      <c r="AL324" s="1">
        <v>3.7949999999999998E-2</v>
      </c>
      <c r="AN324" s="1425">
        <v>44754</v>
      </c>
      <c r="AO324" s="1">
        <v>6.4375</v>
      </c>
      <c r="AP324" s="1">
        <v>0.9536</v>
      </c>
      <c r="AQ324" s="1">
        <v>4.0418000000000003</v>
      </c>
      <c r="AR324" s="1">
        <v>0.23283000000000001</v>
      </c>
      <c r="AT324" s="1425">
        <v>44754</v>
      </c>
      <c r="AU324" s="1">
        <v>11.7143</v>
      </c>
      <c r="AV324" s="1">
        <v>0.74580000000000002</v>
      </c>
      <c r="AW324" s="1">
        <v>7.3822000000000001</v>
      </c>
      <c r="AX324" s="1">
        <v>0.18423</v>
      </c>
      <c r="BA324" s="1425">
        <v>44750</v>
      </c>
      <c r="BB324" s="1">
        <v>11.613</v>
      </c>
      <c r="BC324" s="1">
        <v>2.8553000000000002</v>
      </c>
      <c r="BD324" s="1">
        <v>11.916600000000001</v>
      </c>
      <c r="BE324" s="1">
        <v>0.71767999999999998</v>
      </c>
      <c r="BG324" s="1425">
        <v>44750</v>
      </c>
      <c r="BH324" s="1">
        <v>13.499000000000001</v>
      </c>
      <c r="BI324" s="1">
        <v>3.6861000000000002</v>
      </c>
      <c r="BJ324" s="1">
        <v>20.014900000000001</v>
      </c>
      <c r="BT324" s="1425">
        <v>44764</v>
      </c>
      <c r="BU324" s="1">
        <v>18.249600000000001</v>
      </c>
      <c r="BV324" s="1">
        <v>4.2164000000000001</v>
      </c>
      <c r="BW324" s="1">
        <v>10.3119</v>
      </c>
      <c r="BX324" s="1">
        <v>2.6133000000000002</v>
      </c>
      <c r="BZ324" s="1425">
        <v>44764</v>
      </c>
      <c r="CA324" s="1">
        <v>17.183199999999999</v>
      </c>
      <c r="CB324" s="1">
        <v>4.9417999999999997</v>
      </c>
      <c r="CC324" s="1">
        <v>14.2567</v>
      </c>
      <c r="CD324" s="1">
        <v>2.8033700000000001</v>
      </c>
      <c r="CF324" s="1425">
        <v>44763</v>
      </c>
      <c r="CG324" s="1">
        <v>4.4599000000000002</v>
      </c>
      <c r="CH324" s="1">
        <v>1.4402999999999999</v>
      </c>
      <c r="CI324" s="1">
        <v>7.7801999999999998</v>
      </c>
      <c r="CL324" s="1425">
        <v>44770</v>
      </c>
      <c r="CM324" s="1">
        <v>20.592199999999998</v>
      </c>
      <c r="CN324" s="1">
        <v>2.8327</v>
      </c>
      <c r="CO324" s="1">
        <v>11.510199999999999</v>
      </c>
    </row>
    <row r="325" spans="1:93">
      <c r="A325" s="1425">
        <v>44763</v>
      </c>
      <c r="B325" s="20">
        <f t="shared" ref="B325:B388" si="52">O325</f>
        <v>12.8339</v>
      </c>
      <c r="C325" s="20">
        <f t="shared" si="44"/>
        <v>12.4755</v>
      </c>
      <c r="D325" s="20">
        <f t="shared" si="45"/>
        <v>13.821899999999999</v>
      </c>
      <c r="E325" s="20">
        <f t="shared" si="46"/>
        <v>6.25</v>
      </c>
      <c r="F325" s="20">
        <f t="shared" si="47"/>
        <v>14.4689</v>
      </c>
      <c r="G325" s="20">
        <f t="shared" si="48"/>
        <v>11.834199999999999</v>
      </c>
      <c r="H325" s="1239">
        <f t="shared" si="49"/>
        <v>12.4755</v>
      </c>
      <c r="I325" s="1243">
        <f t="shared" ref="I325:I388" si="53">B325/H325-1</f>
        <v>2.8728307482666082E-2</v>
      </c>
      <c r="J325" s="1243">
        <f t="shared" si="50"/>
        <v>0.12093838824177333</v>
      </c>
      <c r="K325" s="1243">
        <f t="shared" si="51"/>
        <v>0.1</v>
      </c>
      <c r="L325" s="203"/>
      <c r="N325" s="1425">
        <v>44763</v>
      </c>
      <c r="O325" s="1502">
        <v>12.8339</v>
      </c>
      <c r="P325" s="1502">
        <v>4.9518000000000004</v>
      </c>
      <c r="Q325" s="1502">
        <v>13.430199999999999</v>
      </c>
      <c r="R325" s="1233">
        <f>'B. PE'!$U$23</f>
        <v>15.978235616082999</v>
      </c>
      <c r="S325" s="1233"/>
      <c r="T325" s="1233"/>
      <c r="V325" s="1425">
        <v>44763</v>
      </c>
      <c r="W325" s="1">
        <v>12.4755</v>
      </c>
      <c r="X325" s="1">
        <v>1.6772</v>
      </c>
      <c r="Y325" s="1">
        <v>8.4231999999999996</v>
      </c>
      <c r="Z325" s="1">
        <v>1.2209700000000001</v>
      </c>
      <c r="AB325" s="1425">
        <v>44754</v>
      </c>
      <c r="AC325" s="1">
        <v>8.1762999999999995</v>
      </c>
      <c r="AD325" s="1502">
        <v>1.2604</v>
      </c>
      <c r="AE325" s="1">
        <v>5.3474000000000004</v>
      </c>
      <c r="AF325" s="1">
        <v>3.3250000000000002E-2</v>
      </c>
      <c r="AH325" s="1425">
        <v>44754</v>
      </c>
      <c r="AI325" s="1">
        <v>13.0223</v>
      </c>
      <c r="AJ325" s="1">
        <v>2.4085000000000001</v>
      </c>
      <c r="AK325" s="1">
        <v>7.1181000000000001</v>
      </c>
      <c r="AL325" s="1">
        <v>3.9059999999999997E-2</v>
      </c>
      <c r="AN325" s="1425">
        <v>44750</v>
      </c>
      <c r="AO325" s="1">
        <v>6.4375</v>
      </c>
      <c r="AP325" s="1">
        <v>0.9536</v>
      </c>
      <c r="AQ325" s="1">
        <v>4.0418000000000003</v>
      </c>
      <c r="AR325" s="1">
        <v>0.23058999999999999</v>
      </c>
      <c r="AT325" s="1425">
        <v>44750</v>
      </c>
      <c r="AU325" s="1">
        <v>11.857100000000001</v>
      </c>
      <c r="AV325" s="1">
        <v>0.75490000000000002</v>
      </c>
      <c r="AW325" s="1">
        <v>7.4627999999999997</v>
      </c>
      <c r="AX325" s="1">
        <v>0.18537000000000001</v>
      </c>
      <c r="BA325" s="1425">
        <v>44749</v>
      </c>
      <c r="BB325" s="1">
        <v>11.613</v>
      </c>
      <c r="BC325" s="1">
        <v>2.8553000000000002</v>
      </c>
      <c r="BD325" s="1">
        <v>11.916600000000001</v>
      </c>
      <c r="BE325" s="1">
        <v>0.72984000000000004</v>
      </c>
      <c r="BG325" s="1425">
        <v>44749</v>
      </c>
      <c r="BH325" s="1">
        <v>13.741400000000001</v>
      </c>
      <c r="BI325" s="1">
        <v>3.7523</v>
      </c>
      <c r="BJ325" s="1">
        <v>20.287700000000001</v>
      </c>
      <c r="BT325" s="1425">
        <v>44763</v>
      </c>
      <c r="BU325" s="1">
        <v>18.136399999999998</v>
      </c>
      <c r="BV325" s="1">
        <v>4.1901999999999999</v>
      </c>
      <c r="BW325" s="1">
        <v>10.2525</v>
      </c>
      <c r="BX325" s="1">
        <v>2.5596999999999999</v>
      </c>
      <c r="BZ325" s="1425">
        <v>44763</v>
      </c>
      <c r="CA325" s="1">
        <v>17.744700000000002</v>
      </c>
      <c r="CB325" s="1">
        <v>5.1032999999999999</v>
      </c>
      <c r="CC325" s="1">
        <v>14.609299999999999</v>
      </c>
      <c r="CD325" s="1">
        <v>2.6190799999999999</v>
      </c>
      <c r="CF325" s="1425">
        <v>44762</v>
      </c>
      <c r="CG325" s="1">
        <v>4.5358000000000001</v>
      </c>
      <c r="CH325" s="1">
        <v>1.4648000000000001</v>
      </c>
      <c r="CI325" s="1">
        <v>7.8345000000000002</v>
      </c>
      <c r="CL325" s="1425">
        <v>44769</v>
      </c>
      <c r="CM325" s="1">
        <v>20.538799999999998</v>
      </c>
      <c r="CN325" s="1">
        <v>2.8254000000000001</v>
      </c>
      <c r="CO325" s="1">
        <v>11.480700000000001</v>
      </c>
    </row>
    <row r="326" spans="1:93">
      <c r="A326" s="1425">
        <v>44762</v>
      </c>
      <c r="B326" s="20">
        <f t="shared" si="52"/>
        <v>12.1974</v>
      </c>
      <c r="C326" s="20">
        <f t="shared" ref="C326:C389" si="54">IF(W326=0,W325,W326)</f>
        <v>12.7065</v>
      </c>
      <c r="D326" s="20">
        <f t="shared" ref="D326:D389" si="55">IFERROR(          IF(VLOOKUP(A326,$AH$5:$AI$1301,2,)=0,D325,VLOOKUP(A326,$AH$5:$AI$1301,2,)),D325)</f>
        <v>13.821899999999999</v>
      </c>
      <c r="E326" s="20">
        <f t="shared" ref="E326:E389" si="56">IFERROR(IF(VLOOKUP(A326,$AN$5:$AO$1301,2,)=0, E325, VLOOKUP(A326,$AN$5:$AO$1301,2,)),E325)</f>
        <v>6.375</v>
      </c>
      <c r="F326" s="20">
        <f t="shared" ref="F326:F389" si="57">IFERROR(IF(VLOOKUP(A326,$BG$5:$BH$1301,2,)=0,F325,VLOOKUP(A326,$BG$5:$BH$1301,2,)),F325)</f>
        <v>13.9839</v>
      </c>
      <c r="G326" s="20">
        <f t="shared" ref="G326:G389" si="58">IFERROR(IF(VLOOKUP(A326,$BA$5:$BB$1301,2,)=0,G325,VLOOKUP(A326,$BA$5:$BB$1301,2,)),G325)</f>
        <v>11.613</v>
      </c>
      <c r="H326" s="1239">
        <f t="shared" ref="H326:H389" si="59">MEDIAN(C326:G326)</f>
        <v>12.7065</v>
      </c>
      <c r="I326" s="1243">
        <f t="shared" si="53"/>
        <v>-4.0066107897532732E-2</v>
      </c>
      <c r="J326" s="1243">
        <f t="shared" ref="J326:J389" si="60">$I$3</f>
        <v>0.12093838824177333</v>
      </c>
      <c r="K326" s="1243">
        <f t="shared" si="51"/>
        <v>0.1</v>
      </c>
      <c r="L326" s="203"/>
      <c r="N326" s="1425">
        <v>44762</v>
      </c>
      <c r="O326" s="1502">
        <v>12.1974</v>
      </c>
      <c r="P326" s="1502">
        <v>4.7061999999999999</v>
      </c>
      <c r="Q326" s="1502">
        <v>12.8284</v>
      </c>
      <c r="R326" s="1233">
        <f>'B. PE'!$U$23</f>
        <v>15.978235616082999</v>
      </c>
      <c r="S326" s="1233"/>
      <c r="T326" s="1233"/>
      <c r="V326" s="1425">
        <v>44762</v>
      </c>
      <c r="W326" s="1">
        <v>12.7065</v>
      </c>
      <c r="X326" s="1">
        <v>1.7082999999999999</v>
      </c>
      <c r="Y326" s="1">
        <v>8.5322999999999993</v>
      </c>
      <c r="Z326" s="1">
        <v>1.1958800000000001</v>
      </c>
      <c r="AB326" s="1425">
        <v>44753</v>
      </c>
      <c r="AC326" s="1">
        <v>8.2090999999999994</v>
      </c>
      <c r="AD326" s="1502">
        <v>1.2654000000000001</v>
      </c>
      <c r="AE326" s="1">
        <v>5.3625999999999996</v>
      </c>
      <c r="AF326" s="1">
        <v>3.3239999999999999E-2</v>
      </c>
      <c r="AH326" s="1425">
        <v>44753</v>
      </c>
      <c r="AI326" s="1">
        <v>13.0223</v>
      </c>
      <c r="AJ326" s="1">
        <v>2.4085000000000001</v>
      </c>
      <c r="AK326" s="1">
        <v>7.1181000000000001</v>
      </c>
      <c r="AL326" s="1">
        <v>3.8719999999999997E-2</v>
      </c>
      <c r="AN326" s="1425">
        <v>44749</v>
      </c>
      <c r="AO326" s="1">
        <v>6.4375</v>
      </c>
      <c r="AP326" s="1">
        <v>0.9536</v>
      </c>
      <c r="AQ326" s="1">
        <v>4.0418000000000003</v>
      </c>
      <c r="AR326" s="1">
        <v>0.23294999999999999</v>
      </c>
      <c r="AT326" s="1425">
        <v>44749</v>
      </c>
      <c r="AU326" s="1">
        <v>11.642899999999999</v>
      </c>
      <c r="AV326" s="1">
        <v>0.74129999999999996</v>
      </c>
      <c r="AW326" s="1">
        <v>7.3419999999999996</v>
      </c>
      <c r="AX326" s="1">
        <v>0.18659000000000001</v>
      </c>
      <c r="BA326" s="1425">
        <v>44748</v>
      </c>
      <c r="BB326" s="1">
        <v>11.5024</v>
      </c>
      <c r="BC326" s="1">
        <v>2.8281000000000001</v>
      </c>
      <c r="BD326" s="1">
        <v>11.834199999999999</v>
      </c>
      <c r="BE326" s="1">
        <v>0.75597999999999999</v>
      </c>
      <c r="BG326" s="1425">
        <v>44748</v>
      </c>
      <c r="BH326" s="1">
        <v>13.499000000000001</v>
      </c>
      <c r="BI326" s="1">
        <v>3.6861000000000002</v>
      </c>
      <c r="BJ326" s="1">
        <v>20.014900000000001</v>
      </c>
      <c r="BT326" s="1425">
        <v>44762</v>
      </c>
      <c r="BU326" s="1">
        <v>17.315899999999999</v>
      </c>
      <c r="BV326" s="1">
        <v>4.0007000000000001</v>
      </c>
      <c r="BW326" s="1">
        <v>9.8214000000000006</v>
      </c>
      <c r="BX326" s="1">
        <v>2.6025</v>
      </c>
      <c r="BZ326" s="1425">
        <v>44762</v>
      </c>
      <c r="CA326" s="1">
        <v>16.958600000000001</v>
      </c>
      <c r="CB326" s="1">
        <v>4.8772000000000002</v>
      </c>
      <c r="CC326" s="1">
        <v>14.115600000000001</v>
      </c>
      <c r="CD326" s="1">
        <v>2.6896800000000001</v>
      </c>
      <c r="CF326" s="1425">
        <v>44761</v>
      </c>
      <c r="CG326" s="1">
        <v>4.3460000000000001</v>
      </c>
      <c r="CH326" s="1">
        <v>1.4035</v>
      </c>
      <c r="CI326" s="1">
        <v>7.6985999999999999</v>
      </c>
      <c r="CL326" s="1425">
        <v>44768</v>
      </c>
      <c r="CM326" s="1">
        <v>20.485499999999998</v>
      </c>
      <c r="CN326" s="1">
        <v>2.8180999999999998</v>
      </c>
      <c r="CO326" s="1">
        <v>11.4512</v>
      </c>
    </row>
    <row r="327" spans="1:93">
      <c r="A327" s="1425">
        <v>44761</v>
      </c>
      <c r="B327" s="20">
        <f t="shared" si="52"/>
        <v>11.4171</v>
      </c>
      <c r="C327" s="20">
        <f t="shared" si="54"/>
        <v>12.0846</v>
      </c>
      <c r="D327" s="20">
        <f t="shared" si="55"/>
        <v>13.365</v>
      </c>
      <c r="E327" s="20">
        <f t="shared" si="56"/>
        <v>6.3125</v>
      </c>
      <c r="F327" s="20">
        <f t="shared" si="57"/>
        <v>13.741400000000001</v>
      </c>
      <c r="G327" s="20">
        <f t="shared" si="58"/>
        <v>11.5024</v>
      </c>
      <c r="H327" s="1239">
        <f t="shared" si="59"/>
        <v>12.0846</v>
      </c>
      <c r="I327" s="1243">
        <f t="shared" si="53"/>
        <v>-5.5235589096867099E-2</v>
      </c>
      <c r="J327" s="1243">
        <f t="shared" si="60"/>
        <v>0.12093838824177333</v>
      </c>
      <c r="K327" s="1243">
        <f t="shared" ref="K327:K390" si="61">K326</f>
        <v>0.1</v>
      </c>
      <c r="L327" s="203"/>
      <c r="N327" s="1425">
        <v>44761</v>
      </c>
      <c r="O327" s="1502">
        <v>11.4171</v>
      </c>
      <c r="P327" s="1502">
        <v>4.4051</v>
      </c>
      <c r="Q327" s="1502">
        <v>12.0907</v>
      </c>
      <c r="R327" s="1233">
        <f>'B. PE'!$U$23</f>
        <v>15.978235616082999</v>
      </c>
      <c r="S327" s="1233"/>
      <c r="T327" s="1233"/>
      <c r="V327" s="1425">
        <v>44761</v>
      </c>
      <c r="W327" s="1">
        <v>12.0846</v>
      </c>
      <c r="X327" s="1">
        <v>1.6247</v>
      </c>
      <c r="Y327" s="1">
        <v>8.2386999999999997</v>
      </c>
      <c r="Z327" s="1">
        <v>1.1762900000000001</v>
      </c>
      <c r="AB327" s="1425">
        <v>44750</v>
      </c>
      <c r="AC327" s="1">
        <v>8.1762999999999995</v>
      </c>
      <c r="AD327" s="1502">
        <v>1.2604</v>
      </c>
      <c r="AE327" s="1">
        <v>5.3474000000000004</v>
      </c>
      <c r="AF327" s="1">
        <v>3.3329999999999999E-2</v>
      </c>
      <c r="AH327" s="1425">
        <v>44750</v>
      </c>
      <c r="AI327" s="1">
        <v>13.365</v>
      </c>
      <c r="AJ327" s="1">
        <v>2.4719000000000002</v>
      </c>
      <c r="AK327" s="1">
        <v>7.2949000000000002</v>
      </c>
      <c r="AL327" s="1">
        <v>3.9E-2</v>
      </c>
      <c r="AN327" s="1425">
        <v>44748</v>
      </c>
      <c r="AO327" s="1">
        <v>6.375</v>
      </c>
      <c r="AP327" s="1">
        <v>0.94440000000000002</v>
      </c>
      <c r="AQ327" s="1">
        <v>3.9954000000000001</v>
      </c>
      <c r="AR327" s="1">
        <v>0.23358000000000001</v>
      </c>
      <c r="AT327" s="1425">
        <v>44748</v>
      </c>
      <c r="AU327" s="1">
        <v>11.7143</v>
      </c>
      <c r="AV327" s="1">
        <v>0.74580000000000002</v>
      </c>
      <c r="AW327" s="1">
        <v>7.3822000000000001</v>
      </c>
      <c r="AX327" s="1">
        <v>0.18142</v>
      </c>
      <c r="BA327" s="1425">
        <v>44747</v>
      </c>
      <c r="BB327" s="1">
        <v>11.613</v>
      </c>
      <c r="BC327" s="1">
        <v>2.8553000000000002</v>
      </c>
      <c r="BD327" s="1">
        <v>11.916600000000001</v>
      </c>
      <c r="BE327" s="1">
        <v>0.77907999999999999</v>
      </c>
      <c r="BG327" s="1425">
        <v>44747</v>
      </c>
      <c r="BH327" s="1">
        <v>13.660600000000001</v>
      </c>
      <c r="BI327" s="1">
        <v>3.7302</v>
      </c>
      <c r="BJ327" s="1">
        <v>20.1968</v>
      </c>
      <c r="BT327" s="1425">
        <v>44761</v>
      </c>
      <c r="BU327" s="1">
        <v>16.976400000000002</v>
      </c>
      <c r="BV327" s="1">
        <v>3.9222000000000001</v>
      </c>
      <c r="BW327" s="1">
        <v>9.6431000000000004</v>
      </c>
      <c r="BX327" s="1">
        <v>2.6282000000000001</v>
      </c>
      <c r="BZ327" s="1425">
        <v>44761</v>
      </c>
      <c r="CA327" s="1">
        <v>15.858000000000001</v>
      </c>
      <c r="CB327" s="1">
        <v>4.5606</v>
      </c>
      <c r="CC327" s="1">
        <v>13.4246</v>
      </c>
      <c r="CD327" s="1">
        <v>2.7238899999999999</v>
      </c>
      <c r="CF327" s="1425">
        <v>44760</v>
      </c>
      <c r="CG327" s="1">
        <v>4.3650000000000002</v>
      </c>
      <c r="CH327" s="1">
        <v>1.4097</v>
      </c>
      <c r="CI327" s="1">
        <v>7.7122000000000002</v>
      </c>
      <c r="CL327" s="1425">
        <v>44767</v>
      </c>
      <c r="CM327" s="1">
        <v>20.552199999999999</v>
      </c>
      <c r="CN327" s="1">
        <v>2.8271999999999999</v>
      </c>
      <c r="CO327" s="1">
        <v>11.488099999999999</v>
      </c>
    </row>
    <row r="328" spans="1:93">
      <c r="A328" s="1425">
        <v>44760</v>
      </c>
      <c r="B328" s="20">
        <f t="shared" si="52"/>
        <v>11.293799999999999</v>
      </c>
      <c r="C328" s="20">
        <f t="shared" si="54"/>
        <v>11.835800000000001</v>
      </c>
      <c r="D328" s="20">
        <f t="shared" si="55"/>
        <v>12.907999999999999</v>
      </c>
      <c r="E328" s="20">
        <f t="shared" si="56"/>
        <v>6.375</v>
      </c>
      <c r="F328" s="20">
        <f t="shared" si="57"/>
        <v>13.9839</v>
      </c>
      <c r="G328" s="20">
        <f t="shared" si="58"/>
        <v>11.834199999999999</v>
      </c>
      <c r="H328" s="1239">
        <f t="shared" si="59"/>
        <v>11.835800000000001</v>
      </c>
      <c r="I328" s="1243">
        <f t="shared" si="53"/>
        <v>-4.5793271261765245E-2</v>
      </c>
      <c r="J328" s="1243">
        <f t="shared" si="60"/>
        <v>0.12093838824177333</v>
      </c>
      <c r="K328" s="1243">
        <f t="shared" si="61"/>
        <v>0.1</v>
      </c>
      <c r="L328" s="203"/>
      <c r="N328" s="1425">
        <v>44760</v>
      </c>
      <c r="O328" s="1502">
        <v>11.293799999999999</v>
      </c>
      <c r="P328" s="1502">
        <v>4.3575999999999997</v>
      </c>
      <c r="Q328" s="1502">
        <v>11.9742</v>
      </c>
      <c r="R328" s="1233">
        <f>'B. PE'!$U$23</f>
        <v>15.978235616082999</v>
      </c>
      <c r="S328" s="1233"/>
      <c r="T328" s="1233"/>
      <c r="V328" s="1425">
        <v>44760</v>
      </c>
      <c r="W328" s="1">
        <v>11.835800000000001</v>
      </c>
      <c r="X328" s="1">
        <v>1.5911999999999999</v>
      </c>
      <c r="Y328" s="1">
        <v>8.1212999999999997</v>
      </c>
      <c r="Z328" s="1">
        <v>1.1834899999999999</v>
      </c>
      <c r="AB328" s="1425">
        <v>44749</v>
      </c>
      <c r="AC328" s="1">
        <v>8.1762999999999995</v>
      </c>
      <c r="AD328" s="1502">
        <v>1.2604</v>
      </c>
      <c r="AE328" s="1">
        <v>5.3474000000000004</v>
      </c>
      <c r="AF328" s="1">
        <v>3.3590000000000002E-2</v>
      </c>
      <c r="AH328" s="1425">
        <v>44749</v>
      </c>
      <c r="AI328" s="1">
        <v>13.2507</v>
      </c>
      <c r="AJ328" s="1">
        <v>2.4506999999999999</v>
      </c>
      <c r="AK328" s="1">
        <v>7.2359999999999998</v>
      </c>
      <c r="AL328" s="1">
        <v>4.0239999999999998E-2</v>
      </c>
      <c r="AN328" s="1425">
        <v>44747</v>
      </c>
      <c r="AO328" s="1">
        <v>6.4375</v>
      </c>
      <c r="AP328" s="1">
        <v>0.9536</v>
      </c>
      <c r="AQ328" s="1">
        <v>4.0418000000000003</v>
      </c>
      <c r="AR328" s="1">
        <v>0.23598</v>
      </c>
      <c r="AT328" s="1425">
        <v>44747</v>
      </c>
      <c r="AU328" s="1">
        <v>11.7857</v>
      </c>
      <c r="AV328" s="1">
        <v>0.75039999999999996</v>
      </c>
      <c r="AW328" s="1">
        <v>7.4225000000000003</v>
      </c>
      <c r="AX328" s="1">
        <v>0.18492</v>
      </c>
      <c r="BA328" s="1425">
        <v>44746</v>
      </c>
      <c r="BB328" s="1">
        <v>11.944800000000001</v>
      </c>
      <c r="BC328" s="1">
        <v>2.9369000000000001</v>
      </c>
      <c r="BD328" s="1">
        <v>12.1638</v>
      </c>
      <c r="BE328" s="1">
        <v>0.75056</v>
      </c>
      <c r="BG328" s="1425">
        <v>44746</v>
      </c>
      <c r="BH328" s="1">
        <v>14.0648</v>
      </c>
      <c r="BI328" s="1">
        <v>3.8405999999999998</v>
      </c>
      <c r="BJ328" s="1">
        <v>20.651499999999999</v>
      </c>
      <c r="BT328" s="1425">
        <v>44760</v>
      </c>
      <c r="BU328" s="1">
        <v>17.2593</v>
      </c>
      <c r="BV328" s="1">
        <v>3.9876</v>
      </c>
      <c r="BW328" s="1">
        <v>9.7917000000000005</v>
      </c>
      <c r="BX328" s="1">
        <v>2.6751999999999998</v>
      </c>
      <c r="BZ328" s="1425">
        <v>44760</v>
      </c>
      <c r="CA328" s="1">
        <v>16.284700000000001</v>
      </c>
      <c r="CB328" s="1">
        <v>4.6833999999999998</v>
      </c>
      <c r="CC328" s="1">
        <v>13.692500000000001</v>
      </c>
      <c r="CD328" s="1">
        <v>2.82423</v>
      </c>
      <c r="CF328" s="1425">
        <v>44757</v>
      </c>
      <c r="CG328" s="1">
        <v>4.3650000000000002</v>
      </c>
      <c r="CH328" s="1">
        <v>1.4097</v>
      </c>
      <c r="CI328" s="1">
        <v>7.7122000000000002</v>
      </c>
      <c r="CL328" s="1425">
        <v>44764</v>
      </c>
      <c r="CM328" s="1">
        <v>20.685500000000001</v>
      </c>
      <c r="CN328" s="1">
        <v>2.8456000000000001</v>
      </c>
      <c r="CO328" s="1">
        <v>11.5619</v>
      </c>
    </row>
    <row r="329" spans="1:93">
      <c r="A329" s="1425">
        <v>44757</v>
      </c>
      <c r="B329" s="20">
        <f t="shared" si="52"/>
        <v>10.7805</v>
      </c>
      <c r="C329" s="20">
        <f t="shared" si="54"/>
        <v>11.6225</v>
      </c>
      <c r="D329" s="20">
        <f t="shared" si="55"/>
        <v>12.907999999999999</v>
      </c>
      <c r="E329" s="20">
        <f t="shared" si="56"/>
        <v>6.375</v>
      </c>
      <c r="F329" s="20">
        <f t="shared" si="57"/>
        <v>14.0648</v>
      </c>
      <c r="G329" s="20">
        <f t="shared" si="58"/>
        <v>11.834199999999999</v>
      </c>
      <c r="H329" s="1239">
        <f t="shared" si="59"/>
        <v>11.834199999999999</v>
      </c>
      <c r="I329" s="1243">
        <f t="shared" si="53"/>
        <v>-8.9038549289347735E-2</v>
      </c>
      <c r="J329" s="1243">
        <f t="shared" si="60"/>
        <v>0.12093838824177333</v>
      </c>
      <c r="K329" s="1243">
        <f t="shared" si="61"/>
        <v>0.1</v>
      </c>
      <c r="L329" s="203"/>
      <c r="N329" s="1425">
        <v>44757</v>
      </c>
      <c r="O329" s="1502">
        <v>10.7805</v>
      </c>
      <c r="P329" s="1502">
        <v>4.1595000000000004</v>
      </c>
      <c r="Q329" s="1502">
        <v>11.488899999999999</v>
      </c>
      <c r="R329" s="1233">
        <f>'B. PE'!$U$23</f>
        <v>15.978235616082999</v>
      </c>
      <c r="S329" s="1233"/>
      <c r="T329" s="1233"/>
      <c r="V329" s="1425">
        <v>44757</v>
      </c>
      <c r="W329" s="1">
        <v>11.6225</v>
      </c>
      <c r="X329" s="1">
        <v>1.5625</v>
      </c>
      <c r="Y329" s="1">
        <v>8.0206999999999997</v>
      </c>
      <c r="Z329" s="1">
        <v>1.1831</v>
      </c>
      <c r="AB329" s="1425">
        <v>44748</v>
      </c>
      <c r="AC329" s="1">
        <v>8.2090999999999994</v>
      </c>
      <c r="AD329" s="1502">
        <v>1.2654000000000001</v>
      </c>
      <c r="AE329" s="1">
        <v>5.3625999999999996</v>
      </c>
      <c r="AF329" s="1">
        <v>3.2939999999999997E-2</v>
      </c>
      <c r="AH329" s="1425">
        <v>44748</v>
      </c>
      <c r="AI329" s="1">
        <v>13.365</v>
      </c>
      <c r="AJ329" s="1">
        <v>2.4719000000000002</v>
      </c>
      <c r="AK329" s="1">
        <v>7.2949000000000002</v>
      </c>
      <c r="AL329" s="1">
        <v>3.934E-2</v>
      </c>
      <c r="AN329" s="1425">
        <v>44746</v>
      </c>
      <c r="AO329" s="1">
        <v>6.4375</v>
      </c>
      <c r="AP329" s="1">
        <v>0.9536</v>
      </c>
      <c r="AQ329" s="1">
        <v>4.0418000000000003</v>
      </c>
      <c r="AR329" s="1">
        <v>0.23610999999999999</v>
      </c>
      <c r="AT329" s="1425">
        <v>44746</v>
      </c>
      <c r="AU329" s="1">
        <v>11.428599999999999</v>
      </c>
      <c r="AV329" s="1">
        <v>0.72770000000000001</v>
      </c>
      <c r="AW329" s="1">
        <v>7.2210000000000001</v>
      </c>
      <c r="AX329" s="1">
        <v>0.18842999999999999</v>
      </c>
      <c r="BA329" s="1425">
        <v>44743</v>
      </c>
      <c r="BB329" s="1">
        <v>12.2766</v>
      </c>
      <c r="BC329" s="1">
        <v>3.0185</v>
      </c>
      <c r="BD329" s="1">
        <v>12.411099999999999</v>
      </c>
      <c r="BE329" s="1">
        <v>0.79496</v>
      </c>
      <c r="BG329" s="1425">
        <v>44743</v>
      </c>
      <c r="BH329" s="1">
        <v>14.711399999999999</v>
      </c>
      <c r="BI329" s="1">
        <v>4.0171999999999999</v>
      </c>
      <c r="BJ329" s="1">
        <v>21.379000000000001</v>
      </c>
      <c r="BT329" s="1425">
        <v>44757</v>
      </c>
      <c r="BU329" s="1">
        <v>17.4008</v>
      </c>
      <c r="BV329" s="1">
        <v>4.0202999999999998</v>
      </c>
      <c r="BW329" s="1">
        <v>9.8659999999999997</v>
      </c>
      <c r="BX329" s="1">
        <v>2.7212000000000001</v>
      </c>
      <c r="BZ329" s="1425">
        <v>44757</v>
      </c>
      <c r="CA329" s="1">
        <v>16.464400000000001</v>
      </c>
      <c r="CB329" s="1">
        <v>4.7350000000000003</v>
      </c>
      <c r="CC329" s="1">
        <v>13.805400000000001</v>
      </c>
      <c r="CD329" s="1">
        <v>2.8313299999999999</v>
      </c>
      <c r="CF329" s="1425">
        <v>44756</v>
      </c>
      <c r="CG329" s="1">
        <v>4.3838999999999997</v>
      </c>
      <c r="CH329" s="1">
        <v>1.4157999999999999</v>
      </c>
      <c r="CI329" s="1">
        <v>7.7257999999999996</v>
      </c>
      <c r="CL329" s="1425">
        <v>44763</v>
      </c>
      <c r="CM329" s="1">
        <v>20.685500000000001</v>
      </c>
      <c r="CN329" s="1">
        <v>2.8456000000000001</v>
      </c>
      <c r="CO329" s="1">
        <v>11.5619</v>
      </c>
    </row>
    <row r="330" spans="1:93">
      <c r="A330" s="1425">
        <v>44756</v>
      </c>
      <c r="B330" s="20">
        <f t="shared" si="52"/>
        <v>10.965299999999999</v>
      </c>
      <c r="C330" s="20">
        <f t="shared" si="54"/>
        <v>11.6936</v>
      </c>
      <c r="D330" s="20">
        <f t="shared" si="55"/>
        <v>13.0223</v>
      </c>
      <c r="E330" s="20">
        <f t="shared" si="56"/>
        <v>6.375</v>
      </c>
      <c r="F330" s="20">
        <f t="shared" si="57"/>
        <v>13.499000000000001</v>
      </c>
      <c r="G330" s="20">
        <f t="shared" si="58"/>
        <v>11.613</v>
      </c>
      <c r="H330" s="1239">
        <f t="shared" si="59"/>
        <v>11.6936</v>
      </c>
      <c r="I330" s="1243">
        <f t="shared" si="53"/>
        <v>-6.2281931996989837E-2</v>
      </c>
      <c r="J330" s="1243">
        <f t="shared" si="60"/>
        <v>0.12093838824177333</v>
      </c>
      <c r="K330" s="1243">
        <f t="shared" si="61"/>
        <v>0.1</v>
      </c>
      <c r="L330" s="203"/>
      <c r="N330" s="1425">
        <v>44756</v>
      </c>
      <c r="O330" s="1502">
        <v>10.965299999999999</v>
      </c>
      <c r="P330" s="1502">
        <v>4.2308000000000003</v>
      </c>
      <c r="Q330" s="1502">
        <v>11.663600000000001</v>
      </c>
      <c r="R330" s="1233">
        <f>'B. PE'!$U$23</f>
        <v>15.978235616082999</v>
      </c>
      <c r="S330" s="1233"/>
      <c r="T330" s="1233"/>
      <c r="V330" s="1425">
        <v>44756</v>
      </c>
      <c r="W330" s="1">
        <v>11.6936</v>
      </c>
      <c r="X330" s="1">
        <v>1.5721000000000001</v>
      </c>
      <c r="Y330" s="1">
        <v>8.0541999999999998</v>
      </c>
      <c r="Z330" s="1">
        <v>1.169</v>
      </c>
      <c r="AB330" s="1425">
        <v>44747</v>
      </c>
      <c r="AC330" s="1">
        <v>8.2911999999999999</v>
      </c>
      <c r="AD330" s="1502">
        <v>1.2781</v>
      </c>
      <c r="AE330" s="1">
        <v>5.4005999999999998</v>
      </c>
      <c r="AF330" s="1">
        <v>3.4049999999999997E-2</v>
      </c>
      <c r="AH330" s="1425">
        <v>44747</v>
      </c>
      <c r="AI330" s="1">
        <v>13.821899999999999</v>
      </c>
      <c r="AJ330" s="1">
        <v>2.5564</v>
      </c>
      <c r="AK330" s="1">
        <v>7.5307000000000004</v>
      </c>
      <c r="AL330" s="1">
        <v>3.9719999999999998E-2</v>
      </c>
      <c r="AN330" s="1425">
        <v>44743</v>
      </c>
      <c r="AO330" s="1">
        <v>6.5</v>
      </c>
      <c r="AP330" s="1">
        <v>0.96289999999999998</v>
      </c>
      <c r="AQ330" s="1">
        <v>4.0883000000000003</v>
      </c>
      <c r="AR330" s="1">
        <v>0.23604</v>
      </c>
      <c r="AT330" s="1425">
        <v>44743</v>
      </c>
      <c r="AU330" s="1">
        <v>11.642899999999999</v>
      </c>
      <c r="AV330" s="1">
        <v>0.74129999999999996</v>
      </c>
      <c r="AW330" s="1">
        <v>7.3418000000000001</v>
      </c>
      <c r="AX330" s="1">
        <v>0.19064999999999999</v>
      </c>
      <c r="BA330" s="1425">
        <v>44742</v>
      </c>
      <c r="BB330" s="1">
        <v>11.723599999999999</v>
      </c>
      <c r="BC330" s="1">
        <v>2.8824999999999998</v>
      </c>
      <c r="BD330" s="1">
        <v>11.999000000000001</v>
      </c>
      <c r="BE330" s="1">
        <v>0.80325999999999997</v>
      </c>
      <c r="BG330" s="1425">
        <v>44742</v>
      </c>
      <c r="BH330" s="1">
        <v>14.711399999999999</v>
      </c>
      <c r="BI330" s="1">
        <v>4.0171999999999999</v>
      </c>
      <c r="BJ330" s="1">
        <v>21.379000000000001</v>
      </c>
      <c r="BT330" s="1425">
        <v>44756</v>
      </c>
      <c r="BU330" s="1">
        <v>17.712</v>
      </c>
      <c r="BV330" s="1">
        <v>4.0922000000000001</v>
      </c>
      <c r="BW330" s="1">
        <v>10.029500000000001</v>
      </c>
      <c r="BX330" s="1">
        <v>2.7561</v>
      </c>
      <c r="BZ330" s="1425">
        <v>44756</v>
      </c>
      <c r="CA330" s="1">
        <v>17.070900000000002</v>
      </c>
      <c r="CB330" s="1">
        <v>4.9095000000000004</v>
      </c>
      <c r="CC330" s="1">
        <v>14.186199999999999</v>
      </c>
      <c r="CD330" s="1">
        <v>2.9027699999999999</v>
      </c>
      <c r="CF330" s="1425">
        <v>44755</v>
      </c>
      <c r="CG330" s="1">
        <v>4.4218999999999999</v>
      </c>
      <c r="CH330" s="1">
        <v>1.4279999999999999</v>
      </c>
      <c r="CI330" s="1">
        <v>7.7530000000000001</v>
      </c>
      <c r="CL330" s="1425">
        <v>44762</v>
      </c>
      <c r="CM330" s="1">
        <v>20.165400000000002</v>
      </c>
      <c r="CN330" s="1">
        <v>2.774</v>
      </c>
      <c r="CO330" s="1">
        <v>11.2742</v>
      </c>
    </row>
    <row r="331" spans="1:93">
      <c r="A331" s="1425">
        <v>44755</v>
      </c>
      <c r="B331" s="20">
        <f t="shared" si="52"/>
        <v>11.2117</v>
      </c>
      <c r="C331" s="20">
        <f t="shared" si="54"/>
        <v>11.675800000000001</v>
      </c>
      <c r="D331" s="20">
        <f t="shared" si="55"/>
        <v>12.907999999999999</v>
      </c>
      <c r="E331" s="20">
        <f t="shared" si="56"/>
        <v>6.3125</v>
      </c>
      <c r="F331" s="20">
        <f t="shared" si="57"/>
        <v>13.499000000000001</v>
      </c>
      <c r="G331" s="20">
        <f t="shared" si="58"/>
        <v>11.613</v>
      </c>
      <c r="H331" s="1239">
        <f t="shared" si="59"/>
        <v>11.675800000000001</v>
      </c>
      <c r="I331" s="1243">
        <f t="shared" si="53"/>
        <v>-3.97488823035681E-2</v>
      </c>
      <c r="J331" s="1243">
        <f t="shared" si="60"/>
        <v>0.12093838824177333</v>
      </c>
      <c r="K331" s="1243">
        <f t="shared" si="61"/>
        <v>0.1</v>
      </c>
      <c r="L331" s="203"/>
      <c r="N331" s="1425">
        <v>44755</v>
      </c>
      <c r="O331" s="1502">
        <v>11.2117</v>
      </c>
      <c r="P331" s="1502">
        <v>4.3258999999999999</v>
      </c>
      <c r="Q331" s="1502">
        <v>11.896599999999999</v>
      </c>
      <c r="R331" s="1233">
        <f>'B. PE'!$U$23</f>
        <v>15.978235616082999</v>
      </c>
      <c r="S331" s="1233"/>
      <c r="T331" s="1233"/>
      <c r="V331" s="1425">
        <v>44755</v>
      </c>
      <c r="W331" s="1">
        <v>11.675800000000001</v>
      </c>
      <c r="X331" s="1">
        <v>1.5697000000000001</v>
      </c>
      <c r="Y331" s="1">
        <v>8.0457999999999998</v>
      </c>
      <c r="Z331" s="1">
        <v>1.0940000000000001</v>
      </c>
      <c r="AB331" s="1425">
        <v>44746</v>
      </c>
      <c r="AC331" s="1">
        <v>8.1105999999999998</v>
      </c>
      <c r="AD331" s="1502">
        <v>1.2502</v>
      </c>
      <c r="AE331" s="1">
        <v>5.3170000000000002</v>
      </c>
      <c r="AF331" s="1">
        <v>3.5180000000000003E-2</v>
      </c>
      <c r="AH331" s="1425">
        <v>44746</v>
      </c>
      <c r="AI331" s="1">
        <v>13.479200000000001</v>
      </c>
      <c r="AJ331" s="1">
        <v>2.4929999999999999</v>
      </c>
      <c r="AK331" s="1">
        <v>7.3539000000000003</v>
      </c>
      <c r="AL331" s="1">
        <v>3.9530000000000003E-2</v>
      </c>
      <c r="AN331" s="1425">
        <v>44742</v>
      </c>
      <c r="AO331" s="1">
        <v>6.5</v>
      </c>
      <c r="AP331" s="1">
        <v>0.96289999999999998</v>
      </c>
      <c r="AQ331" s="1">
        <v>4.0883000000000003</v>
      </c>
      <c r="AR331" s="1">
        <v>0.23376</v>
      </c>
      <c r="AT331" s="1425">
        <v>44742</v>
      </c>
      <c r="AU331" s="1">
        <v>11.857100000000001</v>
      </c>
      <c r="AV331" s="1">
        <v>0.75490000000000002</v>
      </c>
      <c r="AW331" s="1">
        <v>7.4626000000000001</v>
      </c>
      <c r="AX331" s="1">
        <v>0.18382999999999999</v>
      </c>
      <c r="BA331" s="1425">
        <v>44741</v>
      </c>
      <c r="BB331" s="1">
        <v>12.3872</v>
      </c>
      <c r="BC331" s="1">
        <v>2.8460999999999999</v>
      </c>
      <c r="BD331" s="1">
        <v>13.328799999999999</v>
      </c>
      <c r="BE331" s="1">
        <v>0.78444999999999998</v>
      </c>
      <c r="BG331" s="1425">
        <v>44741</v>
      </c>
      <c r="BH331" s="1">
        <v>14.678800000000001</v>
      </c>
      <c r="BI331" s="1">
        <v>3.8132999999999999</v>
      </c>
      <c r="BJ331" s="1">
        <v>20.747499999999999</v>
      </c>
      <c r="BT331" s="1425">
        <v>44755</v>
      </c>
      <c r="BU331" s="1">
        <v>17.995000000000001</v>
      </c>
      <c r="BV331" s="1">
        <v>4.1574999999999998</v>
      </c>
      <c r="BW331" s="1">
        <v>10.178100000000001</v>
      </c>
      <c r="BX331" s="1">
        <v>2.7621000000000002</v>
      </c>
      <c r="BZ331" s="1425">
        <v>44755</v>
      </c>
      <c r="CA331" s="1">
        <v>17.093399999999999</v>
      </c>
      <c r="CB331" s="1">
        <v>4.9158999999999997</v>
      </c>
      <c r="CC331" s="1">
        <v>14.2003</v>
      </c>
      <c r="CD331" s="1">
        <v>2.7741799999999999</v>
      </c>
      <c r="CF331" s="1425">
        <v>44754</v>
      </c>
      <c r="CG331" s="1">
        <v>4.2511000000000001</v>
      </c>
      <c r="CH331" s="1">
        <v>1.3729</v>
      </c>
      <c r="CI331" s="1">
        <v>7.6307</v>
      </c>
      <c r="CL331" s="1425">
        <v>44761</v>
      </c>
      <c r="CM331" s="1">
        <v>20.178699999999999</v>
      </c>
      <c r="CN331" s="1">
        <v>2.7759</v>
      </c>
      <c r="CO331" s="1">
        <v>11.281499999999999</v>
      </c>
    </row>
    <row r="332" spans="1:93">
      <c r="A332" s="1425">
        <v>44754</v>
      </c>
      <c r="B332" s="20">
        <f t="shared" si="52"/>
        <v>11.334899999999999</v>
      </c>
      <c r="C332" s="20">
        <f t="shared" si="54"/>
        <v>11.5336</v>
      </c>
      <c r="D332" s="20">
        <f t="shared" si="55"/>
        <v>13.0223</v>
      </c>
      <c r="E332" s="20">
        <f t="shared" si="56"/>
        <v>6.4375</v>
      </c>
      <c r="F332" s="20">
        <f t="shared" si="57"/>
        <v>13.8223</v>
      </c>
      <c r="G332" s="20">
        <f t="shared" si="58"/>
        <v>11.944800000000001</v>
      </c>
      <c r="H332" s="1239">
        <f t="shared" si="59"/>
        <v>11.944800000000001</v>
      </c>
      <c r="I332" s="1243">
        <f t="shared" si="53"/>
        <v>-5.1059875426964108E-2</v>
      </c>
      <c r="J332" s="1243">
        <f t="shared" si="60"/>
        <v>0.12093838824177333</v>
      </c>
      <c r="K332" s="1243">
        <f t="shared" si="61"/>
        <v>0.1</v>
      </c>
      <c r="L332" s="203"/>
      <c r="N332" s="1425">
        <v>44754</v>
      </c>
      <c r="O332" s="1502">
        <v>11.334899999999999</v>
      </c>
      <c r="P332" s="1502">
        <v>4.3734000000000002</v>
      </c>
      <c r="Q332" s="1502">
        <v>12.0131</v>
      </c>
      <c r="R332" s="1233">
        <f>'B. PE'!$U$23</f>
        <v>15.978235616082999</v>
      </c>
      <c r="S332" s="1233"/>
      <c r="T332" s="1233"/>
      <c r="V332" s="1425">
        <v>44754</v>
      </c>
      <c r="W332" s="1">
        <v>11.5336</v>
      </c>
      <c r="X332" s="1">
        <v>1.5506</v>
      </c>
      <c r="Y332" s="1">
        <v>7.9786999999999999</v>
      </c>
      <c r="Z332" s="1">
        <v>1.14778</v>
      </c>
      <c r="AB332" s="1425">
        <v>44743</v>
      </c>
      <c r="AC332" s="1">
        <v>8.3733000000000004</v>
      </c>
      <c r="AD332" s="1502">
        <v>1.2907</v>
      </c>
      <c r="AE332" s="1">
        <v>5.4386999999999999</v>
      </c>
      <c r="AF332" s="1">
        <v>3.4970000000000001E-2</v>
      </c>
      <c r="AH332" s="1425">
        <v>44743</v>
      </c>
      <c r="AI332" s="1">
        <v>13.593400000000001</v>
      </c>
      <c r="AJ332" s="1">
        <v>2.5141</v>
      </c>
      <c r="AK332" s="1">
        <v>7.4127999999999998</v>
      </c>
      <c r="AL332" s="1">
        <v>3.968E-2</v>
      </c>
      <c r="AN332" s="1425">
        <v>44741</v>
      </c>
      <c r="AO332" s="1">
        <v>6.8647</v>
      </c>
      <c r="AP332" s="1">
        <v>0.96650000000000003</v>
      </c>
      <c r="AQ332" s="1">
        <v>4.5860000000000003</v>
      </c>
      <c r="AR332" s="1">
        <v>0.23388</v>
      </c>
      <c r="AT332" s="1425">
        <v>44741</v>
      </c>
      <c r="AU332" s="1">
        <v>11.6343</v>
      </c>
      <c r="AV332" s="1">
        <v>0.76259999999999994</v>
      </c>
      <c r="AW332" s="1">
        <v>7.7877000000000001</v>
      </c>
      <c r="AX332" s="1">
        <v>0.17710999999999999</v>
      </c>
      <c r="BA332" s="1425">
        <v>44740</v>
      </c>
      <c r="BB332" s="1">
        <v>12.4978</v>
      </c>
      <c r="BC332" s="1">
        <v>2.8715000000000002</v>
      </c>
      <c r="BD332" s="1">
        <v>13.414999999999999</v>
      </c>
      <c r="BE332" s="1">
        <v>0.75417999999999996</v>
      </c>
      <c r="BG332" s="1425">
        <v>44740</v>
      </c>
      <c r="BH332" s="1">
        <v>14.9156</v>
      </c>
      <c r="BI332" s="1">
        <v>3.8748</v>
      </c>
      <c r="BJ332" s="1">
        <v>21.021799999999999</v>
      </c>
      <c r="BT332" s="1425">
        <v>44754</v>
      </c>
      <c r="BU332" s="1">
        <v>18.221299999999999</v>
      </c>
      <c r="BV332" s="1">
        <v>4.2098000000000004</v>
      </c>
      <c r="BW332" s="1">
        <v>10.297000000000001</v>
      </c>
      <c r="BX332" s="1">
        <v>2.7827999999999999</v>
      </c>
      <c r="BZ332" s="1425">
        <v>44754</v>
      </c>
      <c r="CA332" s="1">
        <v>17.520099999999999</v>
      </c>
      <c r="CB332" s="1">
        <v>5.0387000000000004</v>
      </c>
      <c r="CC332" s="1">
        <v>14.4682</v>
      </c>
      <c r="CD332" s="1">
        <v>2.9447100000000002</v>
      </c>
      <c r="CF332" s="1425">
        <v>44753</v>
      </c>
      <c r="CG332" s="1">
        <v>4.1182999999999996</v>
      </c>
      <c r="CH332" s="1">
        <v>1.33</v>
      </c>
      <c r="CI332" s="1">
        <v>7.5355999999999996</v>
      </c>
      <c r="CL332" s="1425">
        <v>44760</v>
      </c>
      <c r="CM332" s="1">
        <v>20.445499999999999</v>
      </c>
      <c r="CN332" s="1">
        <v>2.8126000000000002</v>
      </c>
      <c r="CO332" s="1">
        <v>11.4291</v>
      </c>
    </row>
    <row r="333" spans="1:93">
      <c r="A333" s="1425">
        <v>44753</v>
      </c>
      <c r="B333" s="20">
        <f t="shared" si="52"/>
        <v>10.903700000000001</v>
      </c>
      <c r="C333" s="20">
        <f t="shared" si="54"/>
        <v>10.7872</v>
      </c>
      <c r="D333" s="20">
        <f t="shared" si="55"/>
        <v>13.0223</v>
      </c>
      <c r="E333" s="20">
        <f t="shared" si="56"/>
        <v>6.4375</v>
      </c>
      <c r="F333" s="20">
        <f t="shared" si="57"/>
        <v>13.579800000000001</v>
      </c>
      <c r="G333" s="20">
        <f t="shared" si="58"/>
        <v>11.723599999999999</v>
      </c>
      <c r="H333" s="1239">
        <f t="shared" si="59"/>
        <v>11.723599999999999</v>
      </c>
      <c r="I333" s="1243">
        <f t="shared" si="53"/>
        <v>-6.9935855880446152E-2</v>
      </c>
      <c r="J333" s="1243">
        <f t="shared" si="60"/>
        <v>0.12093838824177333</v>
      </c>
      <c r="K333" s="1243">
        <f t="shared" si="61"/>
        <v>0.1</v>
      </c>
      <c r="L333" s="203"/>
      <c r="N333" s="1425">
        <v>44753</v>
      </c>
      <c r="O333" s="1502">
        <v>10.903700000000001</v>
      </c>
      <c r="P333" s="1502">
        <v>4.2069999999999999</v>
      </c>
      <c r="Q333" s="1502">
        <v>11.605399999999999</v>
      </c>
      <c r="R333" s="1233">
        <f>'B. PE'!$U$23</f>
        <v>15.978235616082999</v>
      </c>
      <c r="S333" s="1233"/>
      <c r="T333" s="1233"/>
      <c r="V333" s="1425">
        <v>44753</v>
      </c>
      <c r="W333" s="1">
        <v>10.7872</v>
      </c>
      <c r="X333" s="1">
        <v>1.4501999999999999</v>
      </c>
      <c r="Y333" s="1">
        <v>7.6265000000000001</v>
      </c>
      <c r="Z333" s="1">
        <v>1.1232899999999999</v>
      </c>
      <c r="AB333" s="1425">
        <v>44742</v>
      </c>
      <c r="AC333" s="1">
        <v>8.6196000000000002</v>
      </c>
      <c r="AD333" s="1502">
        <v>1.3287</v>
      </c>
      <c r="AE333" s="1">
        <v>5.5528000000000004</v>
      </c>
      <c r="AF333" s="1">
        <v>3.5029999999999999E-2</v>
      </c>
      <c r="AH333" s="1425">
        <v>44742</v>
      </c>
      <c r="AI333" s="1">
        <v>13.479200000000001</v>
      </c>
      <c r="AJ333" s="1">
        <v>2.4929999999999999</v>
      </c>
      <c r="AK333" s="1">
        <v>7.3539000000000003</v>
      </c>
      <c r="AL333" s="1">
        <v>3.9739999999999998E-2</v>
      </c>
      <c r="AN333" s="1425">
        <v>44740</v>
      </c>
      <c r="AO333" s="1">
        <v>6.7987000000000002</v>
      </c>
      <c r="AP333" s="1">
        <v>0.95720000000000005</v>
      </c>
      <c r="AQ333" s="1">
        <v>4.5362999999999998</v>
      </c>
      <c r="AR333" s="1">
        <v>0.23216999999999999</v>
      </c>
      <c r="AT333" s="1425">
        <v>44740</v>
      </c>
      <c r="AU333" s="1">
        <v>11.2188</v>
      </c>
      <c r="AV333" s="1">
        <v>0.73529999999999995</v>
      </c>
      <c r="AW333" s="1">
        <v>7.5496999999999996</v>
      </c>
      <c r="AX333" s="1">
        <v>0.17299</v>
      </c>
      <c r="BA333" s="1425">
        <v>44739</v>
      </c>
      <c r="BB333" s="1">
        <v>12.2766</v>
      </c>
      <c r="BC333" s="1">
        <v>2.8207</v>
      </c>
      <c r="BD333" s="1">
        <v>13.242599999999999</v>
      </c>
      <c r="BE333" s="1">
        <v>0.74666999999999994</v>
      </c>
      <c r="BG333" s="1425">
        <v>44739</v>
      </c>
      <c r="BH333" s="1">
        <v>14.9945</v>
      </c>
      <c r="BI333" s="1">
        <v>3.8953000000000002</v>
      </c>
      <c r="BJ333" s="1">
        <v>21.113199999999999</v>
      </c>
      <c r="BT333" s="1425">
        <v>44753</v>
      </c>
      <c r="BU333" s="1">
        <v>18.249600000000001</v>
      </c>
      <c r="BV333" s="1">
        <v>4.2164000000000001</v>
      </c>
      <c r="BW333" s="1">
        <v>10.3119</v>
      </c>
      <c r="BX333" s="1">
        <v>2.7374000000000001</v>
      </c>
      <c r="BZ333" s="1425">
        <v>44753</v>
      </c>
      <c r="CA333" s="1">
        <v>16.734000000000002</v>
      </c>
      <c r="CB333" s="1">
        <v>4.8125999999999998</v>
      </c>
      <c r="CC333" s="1">
        <v>13.974600000000001</v>
      </c>
      <c r="CD333" s="1">
        <v>2.9196300000000002</v>
      </c>
      <c r="CF333" s="1425">
        <v>44750</v>
      </c>
      <c r="CG333" s="1">
        <v>4.2701000000000002</v>
      </c>
      <c r="CH333" s="1">
        <v>1.379</v>
      </c>
      <c r="CI333" s="1">
        <v>7.6443000000000003</v>
      </c>
      <c r="CL333" s="1425">
        <v>44757</v>
      </c>
      <c r="CM333" s="1">
        <v>19.898599999999998</v>
      </c>
      <c r="CN333" s="1">
        <v>2.7372999999999998</v>
      </c>
      <c r="CO333" s="1">
        <v>11.1266</v>
      </c>
    </row>
    <row r="334" spans="1:93">
      <c r="A334" s="1425">
        <v>44750</v>
      </c>
      <c r="B334" s="20">
        <f t="shared" si="52"/>
        <v>11.704499999999999</v>
      </c>
      <c r="C334" s="20">
        <f t="shared" si="54"/>
        <v>11.320399999999999</v>
      </c>
      <c r="D334" s="20">
        <f t="shared" si="55"/>
        <v>13.365</v>
      </c>
      <c r="E334" s="20">
        <f t="shared" si="56"/>
        <v>6.4375</v>
      </c>
      <c r="F334" s="20">
        <f t="shared" si="57"/>
        <v>13.499000000000001</v>
      </c>
      <c r="G334" s="20">
        <f t="shared" si="58"/>
        <v>11.613</v>
      </c>
      <c r="H334" s="1239">
        <f t="shared" si="59"/>
        <v>11.613</v>
      </c>
      <c r="I334" s="1243">
        <f t="shared" si="53"/>
        <v>7.8791010074916734E-3</v>
      </c>
      <c r="J334" s="1243">
        <f t="shared" si="60"/>
        <v>0.12093838824177333</v>
      </c>
      <c r="K334" s="1243">
        <f t="shared" si="61"/>
        <v>0.1</v>
      </c>
      <c r="L334" s="203"/>
      <c r="N334" s="1425">
        <v>44750</v>
      </c>
      <c r="O334" s="1502">
        <v>11.704499999999999</v>
      </c>
      <c r="P334" s="1502">
        <v>4.516</v>
      </c>
      <c r="Q334" s="1502">
        <v>12.362500000000001</v>
      </c>
      <c r="R334" s="1233">
        <f>'B. PE'!$U$23</f>
        <v>15.978235616082999</v>
      </c>
      <c r="S334" s="1233"/>
      <c r="T334" s="1233"/>
      <c r="V334" s="1425">
        <v>44750</v>
      </c>
      <c r="W334" s="1">
        <v>11.320399999999999</v>
      </c>
      <c r="X334" s="1">
        <v>1.5219</v>
      </c>
      <c r="Y334" s="1">
        <v>7.8780999999999999</v>
      </c>
      <c r="Z334" s="1">
        <v>1.09866</v>
      </c>
      <c r="AB334" s="1425">
        <v>44741</v>
      </c>
      <c r="AC334" s="1">
        <v>7.9779999999999998</v>
      </c>
      <c r="AD334" s="1502">
        <v>1.2839</v>
      </c>
      <c r="AE334" s="1">
        <v>5.2027000000000001</v>
      </c>
      <c r="AF334" s="1">
        <v>3.5459999999999998E-2</v>
      </c>
      <c r="AH334" s="1425">
        <v>44741</v>
      </c>
      <c r="AI334" s="1">
        <v>13.1249</v>
      </c>
      <c r="AJ334" s="1">
        <v>2.4741</v>
      </c>
      <c r="AK334" s="1">
        <v>7.1871999999999998</v>
      </c>
      <c r="AL334" s="1">
        <v>4.0189999999999997E-2</v>
      </c>
      <c r="AN334" s="1425">
        <v>44739</v>
      </c>
      <c r="AO334" s="1">
        <v>6.7987000000000002</v>
      </c>
      <c r="AP334" s="1">
        <v>0.95720000000000005</v>
      </c>
      <c r="AQ334" s="1">
        <v>4.5362999999999998</v>
      </c>
      <c r="AR334" s="1">
        <v>0.22584000000000001</v>
      </c>
      <c r="AT334" s="1425">
        <v>44739</v>
      </c>
      <c r="AU334" s="1">
        <v>10.8033</v>
      </c>
      <c r="AV334" s="1">
        <v>0.70809999999999995</v>
      </c>
      <c r="AW334" s="1">
        <v>7.3117000000000001</v>
      </c>
      <c r="AX334" s="1">
        <v>0.18043999999999999</v>
      </c>
      <c r="BA334" s="1425">
        <v>44736</v>
      </c>
      <c r="BB334" s="1">
        <v>11.834199999999999</v>
      </c>
      <c r="BC334" s="1">
        <v>2.7189999999999999</v>
      </c>
      <c r="BD334" s="1">
        <v>12.897600000000001</v>
      </c>
      <c r="BE334" s="1">
        <v>0.75004999999999999</v>
      </c>
      <c r="BG334" s="1425">
        <v>44736</v>
      </c>
      <c r="BH334" s="1">
        <v>14.5999</v>
      </c>
      <c r="BI334" s="1">
        <v>3.7928000000000002</v>
      </c>
      <c r="BJ334" s="1">
        <v>20.655999999999999</v>
      </c>
      <c r="BT334" s="1425">
        <v>44750</v>
      </c>
      <c r="BU334" s="1">
        <v>18.391100000000002</v>
      </c>
      <c r="BV334" s="1">
        <v>4.2491000000000003</v>
      </c>
      <c r="BW334" s="1">
        <v>10.386200000000001</v>
      </c>
      <c r="BX334" s="1">
        <v>2.7387999999999999</v>
      </c>
      <c r="BZ334" s="1425">
        <v>44750</v>
      </c>
      <c r="CA334" s="1">
        <v>17.767199999999999</v>
      </c>
      <c r="CB334" s="1">
        <v>5.1097000000000001</v>
      </c>
      <c r="CC334" s="1">
        <v>14.6234</v>
      </c>
      <c r="CD334" s="1">
        <v>2.7685599999999999</v>
      </c>
      <c r="CF334" s="1425">
        <v>44749</v>
      </c>
      <c r="CG334" s="1">
        <v>4.0423</v>
      </c>
      <c r="CH334" s="1">
        <v>1.3055000000000001</v>
      </c>
      <c r="CI334" s="1">
        <v>7.4813000000000001</v>
      </c>
      <c r="CL334" s="1425">
        <v>44756</v>
      </c>
      <c r="CM334" s="1">
        <v>21.7258</v>
      </c>
      <c r="CN334" s="1">
        <v>2.9887000000000001</v>
      </c>
      <c r="CO334" s="1">
        <v>12.1374</v>
      </c>
    </row>
    <row r="335" spans="1:93">
      <c r="A335" s="1425">
        <v>44749</v>
      </c>
      <c r="B335" s="20">
        <f t="shared" si="52"/>
        <v>11.4992</v>
      </c>
      <c r="C335" s="20">
        <f t="shared" si="54"/>
        <v>11.089399999999999</v>
      </c>
      <c r="D335" s="20">
        <f t="shared" si="55"/>
        <v>13.2507</v>
      </c>
      <c r="E335" s="20">
        <f t="shared" si="56"/>
        <v>6.4375</v>
      </c>
      <c r="F335" s="20">
        <f t="shared" si="57"/>
        <v>13.741400000000001</v>
      </c>
      <c r="G335" s="20">
        <f t="shared" si="58"/>
        <v>11.613</v>
      </c>
      <c r="H335" s="1239">
        <f t="shared" si="59"/>
        <v>11.613</v>
      </c>
      <c r="I335" s="1243">
        <f t="shared" si="53"/>
        <v>-9.799362783087906E-3</v>
      </c>
      <c r="J335" s="1243">
        <f t="shared" si="60"/>
        <v>0.12093838824177333</v>
      </c>
      <c r="K335" s="1243">
        <f t="shared" si="61"/>
        <v>0.1</v>
      </c>
      <c r="L335" s="203"/>
      <c r="N335" s="1425">
        <v>44749</v>
      </c>
      <c r="O335" s="1502">
        <v>11.4992</v>
      </c>
      <c r="P335" s="1502">
        <v>4.4367999999999999</v>
      </c>
      <c r="Q335" s="1502">
        <v>12.1684</v>
      </c>
      <c r="R335" s="1233">
        <f>'B. PE'!$U$23</f>
        <v>15.978235616082999</v>
      </c>
      <c r="S335" s="1233"/>
      <c r="T335" s="1233"/>
      <c r="V335" s="1425">
        <v>44749</v>
      </c>
      <c r="W335" s="1">
        <v>11.089399999999999</v>
      </c>
      <c r="X335" s="1">
        <v>1.4908999999999999</v>
      </c>
      <c r="Y335" s="1">
        <v>7.7690999999999999</v>
      </c>
      <c r="Z335" s="1">
        <v>1.1813199999999999</v>
      </c>
      <c r="AB335" s="1425">
        <v>44740</v>
      </c>
      <c r="AC335" s="1">
        <v>7.9779999999999998</v>
      </c>
      <c r="AD335" s="1502">
        <v>1.2839</v>
      </c>
      <c r="AE335" s="1">
        <v>5.2027000000000001</v>
      </c>
      <c r="AF335" s="1">
        <v>3.5729999999999998E-2</v>
      </c>
      <c r="AH335" s="1425">
        <v>44740</v>
      </c>
      <c r="AI335" s="1">
        <v>13.1249</v>
      </c>
      <c r="AJ335" s="1">
        <v>2.4741</v>
      </c>
      <c r="AK335" s="1">
        <v>7.1871999999999998</v>
      </c>
      <c r="AL335" s="1">
        <v>4.113E-2</v>
      </c>
      <c r="AN335" s="1425">
        <v>44736</v>
      </c>
      <c r="AO335" s="1">
        <v>6.7327000000000004</v>
      </c>
      <c r="AP335" s="1">
        <v>0.94789999999999996</v>
      </c>
      <c r="AQ335" s="1">
        <v>4.4874999999999998</v>
      </c>
      <c r="AR335" s="1">
        <v>0.2339</v>
      </c>
      <c r="AT335" s="1425">
        <v>44736</v>
      </c>
      <c r="AU335" s="1">
        <v>10.526300000000001</v>
      </c>
      <c r="AV335" s="1">
        <v>0.69</v>
      </c>
      <c r="AW335" s="1">
        <v>7.1529999999999996</v>
      </c>
      <c r="AX335" s="1">
        <v>0.18281</v>
      </c>
      <c r="BA335" s="1425">
        <v>44735</v>
      </c>
      <c r="BB335" s="1">
        <v>11.723599999999999</v>
      </c>
      <c r="BC335" s="1">
        <v>2.6936</v>
      </c>
      <c r="BD335" s="1">
        <v>12.811400000000001</v>
      </c>
      <c r="BE335" s="1">
        <v>0.77112000000000003</v>
      </c>
      <c r="BG335" s="1425">
        <v>44735</v>
      </c>
      <c r="BH335" s="1">
        <v>14.205299999999999</v>
      </c>
      <c r="BI335" s="1">
        <v>3.6903000000000001</v>
      </c>
      <c r="BJ335" s="1">
        <v>20.198799999999999</v>
      </c>
      <c r="BT335" s="1425">
        <v>44749</v>
      </c>
      <c r="BU335" s="1">
        <v>18.1081</v>
      </c>
      <c r="BV335" s="1">
        <v>4.1837</v>
      </c>
      <c r="BW335" s="1">
        <v>10.2376</v>
      </c>
      <c r="BX335" s="1">
        <v>2.8068</v>
      </c>
      <c r="BZ335" s="1425">
        <v>44749</v>
      </c>
      <c r="CA335" s="1">
        <v>17.632400000000001</v>
      </c>
      <c r="CB335" s="1">
        <v>5.0709999999999997</v>
      </c>
      <c r="CC335" s="1">
        <v>14.5387</v>
      </c>
      <c r="CD335" s="1">
        <v>2.9810300000000001</v>
      </c>
      <c r="CF335" s="1425">
        <v>44748</v>
      </c>
      <c r="CG335" s="1">
        <v>4.0993000000000004</v>
      </c>
      <c r="CH335" s="1">
        <v>1.3238000000000001</v>
      </c>
      <c r="CI335" s="1">
        <v>7.5220000000000002</v>
      </c>
      <c r="CL335" s="1425">
        <v>44755</v>
      </c>
      <c r="CM335" s="1">
        <v>21.8325</v>
      </c>
      <c r="CN335" s="1">
        <v>3.0034000000000001</v>
      </c>
      <c r="CO335" s="1">
        <v>12.196400000000001</v>
      </c>
    </row>
    <row r="336" spans="1:93">
      <c r="A336" s="1425">
        <v>44748</v>
      </c>
      <c r="B336" s="20">
        <f t="shared" si="52"/>
        <v>11.026899999999999</v>
      </c>
      <c r="C336" s="20">
        <f t="shared" si="54"/>
        <v>10.8406</v>
      </c>
      <c r="D336" s="20">
        <f t="shared" si="55"/>
        <v>13.365</v>
      </c>
      <c r="E336" s="20">
        <f t="shared" si="56"/>
        <v>6.375</v>
      </c>
      <c r="F336" s="20">
        <f t="shared" si="57"/>
        <v>13.499000000000001</v>
      </c>
      <c r="G336" s="20">
        <f t="shared" si="58"/>
        <v>11.5024</v>
      </c>
      <c r="H336" s="1239">
        <f t="shared" si="59"/>
        <v>11.5024</v>
      </c>
      <c r="I336" s="1243">
        <f t="shared" si="53"/>
        <v>-4.1339198775907637E-2</v>
      </c>
      <c r="J336" s="1243">
        <f t="shared" si="60"/>
        <v>0.12093838824177333</v>
      </c>
      <c r="K336" s="1243">
        <f t="shared" si="61"/>
        <v>0.1</v>
      </c>
      <c r="L336" s="203"/>
      <c r="N336" s="1425">
        <v>44748</v>
      </c>
      <c r="O336" s="1502">
        <v>11.026899999999999</v>
      </c>
      <c r="P336" s="1502">
        <v>4.2545999999999999</v>
      </c>
      <c r="Q336" s="1502">
        <v>11.7219</v>
      </c>
      <c r="R336" s="1233">
        <f>'B. PE'!$U$23</f>
        <v>15.978235616082999</v>
      </c>
      <c r="S336" s="1233"/>
      <c r="T336" s="1233"/>
      <c r="V336" s="1425">
        <v>44748</v>
      </c>
      <c r="W336" s="1">
        <v>10.8406</v>
      </c>
      <c r="X336" s="1">
        <v>1.4574</v>
      </c>
      <c r="Y336" s="1">
        <v>7.6516000000000002</v>
      </c>
      <c r="Z336" s="1">
        <v>1.26745</v>
      </c>
      <c r="AB336" s="1425">
        <v>44739</v>
      </c>
      <c r="AC336" s="1">
        <v>8.0547000000000004</v>
      </c>
      <c r="AD336" s="1502">
        <v>1.2963</v>
      </c>
      <c r="AE336" s="1">
        <v>5.2398999999999996</v>
      </c>
      <c r="AF336" s="1">
        <v>3.3649999999999999E-2</v>
      </c>
      <c r="AH336" s="1425">
        <v>44739</v>
      </c>
      <c r="AI336" s="1">
        <v>13.2361</v>
      </c>
      <c r="AJ336" s="1">
        <v>2.4950000000000001</v>
      </c>
      <c r="AK336" s="1">
        <v>7.2455999999999996</v>
      </c>
      <c r="AL336" s="1">
        <v>3.8359999999999998E-2</v>
      </c>
      <c r="AN336" s="1425">
        <v>44735</v>
      </c>
      <c r="AO336" s="1">
        <v>6.5677000000000003</v>
      </c>
      <c r="AP336" s="1">
        <v>0.92469999999999997</v>
      </c>
      <c r="AQ336" s="1">
        <v>4.3632</v>
      </c>
      <c r="AR336" s="1">
        <v>0.23483999999999999</v>
      </c>
      <c r="AT336" s="1425">
        <v>44735</v>
      </c>
      <c r="AU336" s="1">
        <v>11.011100000000001</v>
      </c>
      <c r="AV336" s="1">
        <v>0.72170000000000001</v>
      </c>
      <c r="AW336" s="1">
        <v>7.4306999999999999</v>
      </c>
      <c r="AX336" s="1">
        <v>0.18809999999999999</v>
      </c>
      <c r="BA336" s="1425">
        <v>44734</v>
      </c>
      <c r="BB336" s="1">
        <v>11.723599999999999</v>
      </c>
      <c r="BC336" s="1">
        <v>2.6936</v>
      </c>
      <c r="BD336" s="1">
        <v>12.811400000000001</v>
      </c>
      <c r="BE336" s="1">
        <v>0.76409000000000005</v>
      </c>
      <c r="BG336" s="1425">
        <v>44734</v>
      </c>
      <c r="BH336" s="1">
        <v>14.363099999999999</v>
      </c>
      <c r="BI336" s="1">
        <v>3.7313000000000001</v>
      </c>
      <c r="BJ336" s="1">
        <v>20.381699999999999</v>
      </c>
      <c r="BT336" s="1425">
        <v>44748</v>
      </c>
      <c r="BU336" s="1">
        <v>18.1081</v>
      </c>
      <c r="BV336" s="1">
        <v>4.1837</v>
      </c>
      <c r="BW336" s="1">
        <v>10.2376</v>
      </c>
      <c r="BX336" s="1">
        <v>2.9085000000000001</v>
      </c>
      <c r="BZ336" s="1425">
        <v>44748</v>
      </c>
      <c r="CA336" s="1">
        <v>16.711500000000001</v>
      </c>
      <c r="CB336" s="1">
        <v>4.8060999999999998</v>
      </c>
      <c r="CC336" s="1">
        <v>13.9605</v>
      </c>
      <c r="CD336" s="1">
        <v>3.20804</v>
      </c>
      <c r="CF336" s="1425">
        <v>44747</v>
      </c>
      <c r="CG336" s="1">
        <v>4.0613000000000001</v>
      </c>
      <c r="CH336" s="1">
        <v>1.3116000000000001</v>
      </c>
      <c r="CI336" s="1">
        <v>7.4947999999999997</v>
      </c>
      <c r="CL336" s="1425">
        <v>44754</v>
      </c>
      <c r="CM336" s="1">
        <v>21.805800000000001</v>
      </c>
      <c r="CN336" s="1">
        <v>2.9996999999999998</v>
      </c>
      <c r="CO336" s="1">
        <v>12.1816</v>
      </c>
    </row>
    <row r="337" spans="1:93">
      <c r="A337" s="1425">
        <v>44747</v>
      </c>
      <c r="B337" s="20">
        <f t="shared" si="52"/>
        <v>11.8483</v>
      </c>
      <c r="C337" s="20">
        <f t="shared" si="54"/>
        <v>11.6403</v>
      </c>
      <c r="D337" s="20">
        <f t="shared" si="55"/>
        <v>13.821899999999999</v>
      </c>
      <c r="E337" s="20">
        <f t="shared" si="56"/>
        <v>6.4375</v>
      </c>
      <c r="F337" s="20">
        <f t="shared" si="57"/>
        <v>13.660600000000001</v>
      </c>
      <c r="G337" s="20">
        <f t="shared" si="58"/>
        <v>11.613</v>
      </c>
      <c r="H337" s="1239">
        <f t="shared" si="59"/>
        <v>11.6403</v>
      </c>
      <c r="I337" s="1243">
        <f t="shared" si="53"/>
        <v>1.7868955267476005E-2</v>
      </c>
      <c r="J337" s="1243">
        <f t="shared" si="60"/>
        <v>0.12093838824177333</v>
      </c>
      <c r="K337" s="1243">
        <f t="shared" si="61"/>
        <v>0.1</v>
      </c>
      <c r="L337" s="203"/>
      <c r="N337" s="1425">
        <v>44747</v>
      </c>
      <c r="O337" s="1502">
        <v>11.8483</v>
      </c>
      <c r="P337" s="1502">
        <v>4.5715000000000003</v>
      </c>
      <c r="Q337" s="1502">
        <v>12.4984</v>
      </c>
      <c r="R337" s="1233">
        <f>'B. PE'!$U$23</f>
        <v>15.978235616082999</v>
      </c>
      <c r="S337" s="1233"/>
      <c r="T337" s="1233"/>
      <c r="V337" s="1425">
        <v>44747</v>
      </c>
      <c r="W337" s="1">
        <v>11.6403</v>
      </c>
      <c r="X337" s="1">
        <v>1.5649</v>
      </c>
      <c r="Y337" s="1">
        <v>8.0289999999999999</v>
      </c>
      <c r="Z337" s="1">
        <v>1.2945</v>
      </c>
      <c r="AB337" s="1425">
        <v>44736</v>
      </c>
      <c r="AC337" s="1">
        <v>8.1313999999999993</v>
      </c>
      <c r="AD337" s="1502">
        <v>1.3086</v>
      </c>
      <c r="AE337" s="1">
        <v>5.2771999999999997</v>
      </c>
      <c r="AF337" s="1">
        <v>3.4040000000000001E-2</v>
      </c>
      <c r="AH337" s="1425">
        <v>44736</v>
      </c>
      <c r="AI337" s="1">
        <v>13.569800000000001</v>
      </c>
      <c r="AJ337" s="1">
        <v>2.5579000000000001</v>
      </c>
      <c r="AK337" s="1">
        <v>7.4208999999999996</v>
      </c>
      <c r="AL337" s="1">
        <v>3.9440000000000003E-2</v>
      </c>
      <c r="AN337" s="1425">
        <v>44734</v>
      </c>
      <c r="AO337" s="1">
        <v>6.7987000000000002</v>
      </c>
      <c r="AP337" s="1">
        <v>0.95720000000000005</v>
      </c>
      <c r="AQ337" s="1">
        <v>4.5370999999999997</v>
      </c>
      <c r="AR337" s="1">
        <v>0.23401</v>
      </c>
      <c r="AT337" s="1425">
        <v>44734</v>
      </c>
      <c r="AU337" s="1">
        <v>11.1496</v>
      </c>
      <c r="AV337" s="1">
        <v>0.73080000000000001</v>
      </c>
      <c r="AW337" s="1">
        <v>7.51</v>
      </c>
      <c r="AX337" s="1">
        <v>0.18062</v>
      </c>
      <c r="BA337" s="1425">
        <v>44733</v>
      </c>
      <c r="BB337" s="1">
        <v>12.055400000000001</v>
      </c>
      <c r="BC337" s="1">
        <v>2.7698999999999998</v>
      </c>
      <c r="BD337" s="1">
        <v>13.0701</v>
      </c>
      <c r="BE337" s="1">
        <v>0.75100999999999996</v>
      </c>
      <c r="BG337" s="1425">
        <v>44733</v>
      </c>
      <c r="BH337" s="1">
        <v>14.521000000000001</v>
      </c>
      <c r="BI337" s="1">
        <v>3.7723</v>
      </c>
      <c r="BJ337" s="1">
        <v>20.564599999999999</v>
      </c>
      <c r="BT337" s="1425">
        <v>44747</v>
      </c>
      <c r="BU337" s="1">
        <v>18.532499999999999</v>
      </c>
      <c r="BV337" s="1">
        <v>4.2816999999999998</v>
      </c>
      <c r="BW337" s="1">
        <v>10.4605</v>
      </c>
      <c r="BX337" s="1">
        <v>3.0198999999999998</v>
      </c>
      <c r="BZ337" s="1425">
        <v>44747</v>
      </c>
      <c r="CA337" s="1">
        <v>17.9694</v>
      </c>
      <c r="CB337" s="1">
        <v>5.1679000000000004</v>
      </c>
      <c r="CC337" s="1">
        <v>14.750299999999999</v>
      </c>
      <c r="CD337" s="1">
        <v>3.31704</v>
      </c>
      <c r="CF337" s="1425">
        <v>44746</v>
      </c>
      <c r="CG337" s="1">
        <v>4.1752000000000002</v>
      </c>
      <c r="CH337" s="1">
        <v>1.3484</v>
      </c>
      <c r="CI337" s="1">
        <v>7.5763999999999996</v>
      </c>
      <c r="CL337" s="1425">
        <v>44753</v>
      </c>
      <c r="CM337" s="1">
        <v>21.712499999999999</v>
      </c>
      <c r="CN337" s="1">
        <v>2.9868999999999999</v>
      </c>
      <c r="CO337" s="1">
        <v>12.13</v>
      </c>
    </row>
    <row r="338" spans="1:93">
      <c r="A338" s="1425">
        <v>44746</v>
      </c>
      <c r="B338" s="20">
        <f t="shared" si="52"/>
        <v>12.731199999999999</v>
      </c>
      <c r="C338" s="20">
        <f t="shared" si="54"/>
        <v>12.4755</v>
      </c>
      <c r="D338" s="20">
        <f t="shared" si="55"/>
        <v>13.479200000000001</v>
      </c>
      <c r="E338" s="20">
        <f t="shared" si="56"/>
        <v>6.4375</v>
      </c>
      <c r="F338" s="20">
        <f t="shared" si="57"/>
        <v>14.0648</v>
      </c>
      <c r="G338" s="20">
        <f t="shared" si="58"/>
        <v>11.944800000000001</v>
      </c>
      <c r="H338" s="1239">
        <f t="shared" si="59"/>
        <v>12.4755</v>
      </c>
      <c r="I338" s="1243">
        <f t="shared" si="53"/>
        <v>2.0496172498096099E-2</v>
      </c>
      <c r="J338" s="1243">
        <f t="shared" si="60"/>
        <v>0.12093838824177333</v>
      </c>
      <c r="K338" s="1243">
        <f t="shared" si="61"/>
        <v>0.1</v>
      </c>
      <c r="L338" s="203"/>
      <c r="N338" s="1425">
        <v>44746</v>
      </c>
      <c r="O338" s="1502">
        <v>12.731199999999999</v>
      </c>
      <c r="P338" s="1502">
        <v>4.9122000000000003</v>
      </c>
      <c r="Q338" s="1502">
        <v>13.3332</v>
      </c>
      <c r="R338" s="1233">
        <f>'B. PE'!$U$23</f>
        <v>15.978235616082999</v>
      </c>
      <c r="S338" s="1233"/>
      <c r="T338" s="1233"/>
      <c r="V338" s="1425">
        <v>44746</v>
      </c>
      <c r="W338" s="1">
        <v>12.4755</v>
      </c>
      <c r="X338" s="1">
        <v>1.6772</v>
      </c>
      <c r="Y338" s="1">
        <v>8.4231999999999996</v>
      </c>
      <c r="Z338" s="1">
        <v>1.35941</v>
      </c>
      <c r="AB338" s="1425">
        <v>44735</v>
      </c>
      <c r="AC338" s="1">
        <v>7.6711999999999998</v>
      </c>
      <c r="AD338" s="1502">
        <v>1.2345999999999999</v>
      </c>
      <c r="AE338" s="1">
        <v>5.0536000000000003</v>
      </c>
      <c r="AF338" s="1">
        <v>3.3570000000000003E-2</v>
      </c>
      <c r="AH338" s="1425">
        <v>44735</v>
      </c>
      <c r="AI338" s="1">
        <v>12.68</v>
      </c>
      <c r="AJ338" s="1">
        <v>2.3902000000000001</v>
      </c>
      <c r="AK338" s="1">
        <v>6.9535</v>
      </c>
      <c r="AL338" s="1">
        <v>4.1119999999999997E-2</v>
      </c>
      <c r="AN338" s="1425">
        <v>44733</v>
      </c>
      <c r="AO338" s="1">
        <v>6.7987000000000002</v>
      </c>
      <c r="AP338" s="1">
        <v>0.95720000000000005</v>
      </c>
      <c r="AQ338" s="1">
        <v>4.5370999999999997</v>
      </c>
      <c r="AR338" s="1">
        <v>0.24340999999999999</v>
      </c>
      <c r="AT338" s="1425">
        <v>44733</v>
      </c>
      <c r="AU338" s="1">
        <v>11.426600000000001</v>
      </c>
      <c r="AV338" s="1">
        <v>0.749</v>
      </c>
      <c r="AW338" s="1">
        <v>7.6687000000000003</v>
      </c>
      <c r="AX338" s="1">
        <v>0.19336999999999999</v>
      </c>
      <c r="BA338" s="1425">
        <v>44732</v>
      </c>
      <c r="BB338" s="1">
        <v>11.944800000000001</v>
      </c>
      <c r="BC338" s="1">
        <v>2.7444000000000002</v>
      </c>
      <c r="BD338" s="1">
        <v>12.9839</v>
      </c>
      <c r="BE338" s="1">
        <v>0.75021000000000004</v>
      </c>
      <c r="BG338" s="1425">
        <v>44732</v>
      </c>
      <c r="BH338" s="1">
        <v>14.363099999999999</v>
      </c>
      <c r="BI338" s="1">
        <v>3.7313000000000001</v>
      </c>
      <c r="BJ338" s="1">
        <v>20.381699999999999</v>
      </c>
      <c r="BT338" s="1425">
        <v>44746</v>
      </c>
      <c r="BU338" s="1">
        <v>19.183299999999999</v>
      </c>
      <c r="BV338" s="1">
        <v>4.4321000000000002</v>
      </c>
      <c r="BW338" s="1">
        <v>10.8024</v>
      </c>
      <c r="BX338" s="1">
        <v>3.0710000000000002</v>
      </c>
      <c r="BZ338" s="1425">
        <v>44746</v>
      </c>
      <c r="CA338" s="1">
        <v>19.3171</v>
      </c>
      <c r="CB338" s="1">
        <v>5.5553999999999997</v>
      </c>
      <c r="CC338" s="1">
        <v>15.596500000000001</v>
      </c>
      <c r="CD338" s="1">
        <v>3.40625</v>
      </c>
      <c r="CF338" s="1425">
        <v>44743</v>
      </c>
      <c r="CG338" s="1">
        <v>4.1372</v>
      </c>
      <c r="CH338" s="1">
        <v>1.3361000000000001</v>
      </c>
      <c r="CI338" s="1">
        <v>7.5491999999999999</v>
      </c>
      <c r="CL338" s="1425">
        <v>44750</v>
      </c>
      <c r="CM338" s="1">
        <v>21.565799999999999</v>
      </c>
      <c r="CN338" s="1">
        <v>2.9666999999999999</v>
      </c>
      <c r="CO338" s="1">
        <v>12.0488</v>
      </c>
    </row>
    <row r="339" spans="1:93">
      <c r="A339" s="1425">
        <v>44743</v>
      </c>
      <c r="B339" s="20">
        <f t="shared" si="52"/>
        <v>13.039300000000001</v>
      </c>
      <c r="C339" s="20">
        <f t="shared" si="54"/>
        <v>12.724299999999999</v>
      </c>
      <c r="D339" s="20">
        <f t="shared" si="55"/>
        <v>13.593400000000001</v>
      </c>
      <c r="E339" s="20">
        <f t="shared" si="56"/>
        <v>6.5</v>
      </c>
      <c r="F339" s="20">
        <f t="shared" si="57"/>
        <v>14.711399999999999</v>
      </c>
      <c r="G339" s="20">
        <f t="shared" si="58"/>
        <v>12.2766</v>
      </c>
      <c r="H339" s="1239">
        <f t="shared" si="59"/>
        <v>12.724299999999999</v>
      </c>
      <c r="I339" s="1243">
        <f t="shared" si="53"/>
        <v>2.4755782243424118E-2</v>
      </c>
      <c r="J339" s="1243">
        <f t="shared" si="60"/>
        <v>0.12093838824177333</v>
      </c>
      <c r="K339" s="1243">
        <f t="shared" si="61"/>
        <v>0.1</v>
      </c>
      <c r="L339" s="203"/>
      <c r="N339" s="1425">
        <v>44743</v>
      </c>
      <c r="O339" s="1502">
        <v>13.039300000000001</v>
      </c>
      <c r="P339" s="1502">
        <v>5.0309999999999997</v>
      </c>
      <c r="Q339" s="1502">
        <v>13.6244</v>
      </c>
      <c r="R339" s="1233">
        <f>'B. PE'!$U$23</f>
        <v>15.978235616082999</v>
      </c>
      <c r="S339" s="1233"/>
      <c r="T339" s="1233"/>
      <c r="V339" s="1425">
        <v>44743</v>
      </c>
      <c r="W339" s="1">
        <v>12.724299999999999</v>
      </c>
      <c r="X339" s="1">
        <v>1.7107000000000001</v>
      </c>
      <c r="Y339" s="1">
        <v>8.5405999999999995</v>
      </c>
      <c r="Z339" s="1">
        <v>1.3574299999999999</v>
      </c>
      <c r="AB339" s="1425">
        <v>44734</v>
      </c>
      <c r="AC339" s="1">
        <v>7.7478999999999996</v>
      </c>
      <c r="AD339" s="1502">
        <v>1.2468999999999999</v>
      </c>
      <c r="AE339" s="1">
        <v>5.0909000000000004</v>
      </c>
      <c r="AF339" s="1">
        <v>3.406E-2</v>
      </c>
      <c r="AH339" s="1425">
        <v>44734</v>
      </c>
      <c r="AI339" s="1">
        <v>13.0137</v>
      </c>
      <c r="AJ339" s="1">
        <v>2.4531000000000001</v>
      </c>
      <c r="AK339" s="1">
        <v>7.1288</v>
      </c>
      <c r="AL339" s="1">
        <v>4.1480000000000003E-2</v>
      </c>
      <c r="AN339" s="1425">
        <v>44732</v>
      </c>
      <c r="AO339" s="1">
        <v>6.7987000000000002</v>
      </c>
      <c r="AP339" s="1">
        <v>0.95720000000000005</v>
      </c>
      <c r="AQ339" s="1">
        <v>4.5370999999999997</v>
      </c>
      <c r="AR339" s="1">
        <v>0.24825</v>
      </c>
      <c r="AT339" s="1425">
        <v>44732</v>
      </c>
      <c r="AU339" s="1">
        <v>11.011100000000001</v>
      </c>
      <c r="AV339" s="1">
        <v>0.72170000000000001</v>
      </c>
      <c r="AW339" s="1">
        <v>7.4306999999999999</v>
      </c>
      <c r="AX339" s="1">
        <v>0.19586999999999999</v>
      </c>
      <c r="BA339" s="1425">
        <v>44729</v>
      </c>
      <c r="BB339" s="1">
        <v>11.723599999999999</v>
      </c>
      <c r="BC339" s="1">
        <v>2.6936</v>
      </c>
      <c r="BD339" s="1">
        <v>12.811400000000001</v>
      </c>
      <c r="BE339" s="1">
        <v>0.75058000000000002</v>
      </c>
      <c r="BG339" s="1425">
        <v>44729</v>
      </c>
      <c r="BH339" s="1">
        <v>14.363099999999999</v>
      </c>
      <c r="BI339" s="1">
        <v>3.7313000000000001</v>
      </c>
      <c r="BJ339" s="1">
        <v>20.381699999999999</v>
      </c>
      <c r="BT339" s="1425">
        <v>44743</v>
      </c>
      <c r="BU339" s="1">
        <v>19.890599999999999</v>
      </c>
      <c r="BV339" s="1">
        <v>4.5955000000000004</v>
      </c>
      <c r="BW339" s="1">
        <v>11.173999999999999</v>
      </c>
      <c r="BX339" s="1">
        <v>3.1392000000000002</v>
      </c>
      <c r="BZ339" s="1425">
        <v>44743</v>
      </c>
      <c r="CA339" s="1">
        <v>19.946000000000002</v>
      </c>
      <c r="CB339" s="1">
        <v>5.7363</v>
      </c>
      <c r="CC339" s="1">
        <v>15.991400000000001</v>
      </c>
      <c r="CD339" s="1">
        <v>3.4103500000000002</v>
      </c>
      <c r="CF339" s="1425">
        <v>44742</v>
      </c>
      <c r="CG339" s="1">
        <v>4.1562000000000001</v>
      </c>
      <c r="CH339" s="1">
        <v>1.3422000000000001</v>
      </c>
      <c r="CI339" s="1">
        <v>7.5628000000000002</v>
      </c>
      <c r="CL339" s="1425">
        <v>44749</v>
      </c>
      <c r="CM339" s="1">
        <v>21.4057</v>
      </c>
      <c r="CN339" s="1">
        <v>2.9447000000000001</v>
      </c>
      <c r="CO339" s="1">
        <v>11.9603</v>
      </c>
    </row>
    <row r="340" spans="1:93">
      <c r="A340" s="1425">
        <v>44742</v>
      </c>
      <c r="B340" s="20">
        <f t="shared" si="52"/>
        <v>13.2332</v>
      </c>
      <c r="C340" s="20">
        <f t="shared" si="54"/>
        <v>13.364100000000001</v>
      </c>
      <c r="D340" s="20">
        <f t="shared" si="55"/>
        <v>13.479200000000001</v>
      </c>
      <c r="E340" s="20">
        <f t="shared" si="56"/>
        <v>6.5</v>
      </c>
      <c r="F340" s="20">
        <f t="shared" si="57"/>
        <v>14.711399999999999</v>
      </c>
      <c r="G340" s="20">
        <f t="shared" si="58"/>
        <v>11.723599999999999</v>
      </c>
      <c r="H340" s="1239">
        <f t="shared" si="59"/>
        <v>13.364100000000001</v>
      </c>
      <c r="I340" s="1243">
        <f t="shared" si="53"/>
        <v>-9.794898272236896E-3</v>
      </c>
      <c r="J340" s="1243">
        <f t="shared" si="60"/>
        <v>0.12093838824177333</v>
      </c>
      <c r="K340" s="1243">
        <f t="shared" si="61"/>
        <v>0.1</v>
      </c>
      <c r="L340" s="203"/>
      <c r="N340" s="1425">
        <v>44742</v>
      </c>
      <c r="O340" s="1502">
        <v>13.2332</v>
      </c>
      <c r="P340" s="1502">
        <v>5.1058000000000003</v>
      </c>
      <c r="Q340" s="1502">
        <v>13.807700000000001</v>
      </c>
      <c r="R340" s="1233">
        <f>'B. PE'!$U$23</f>
        <v>15.978235616082999</v>
      </c>
      <c r="S340" s="1233"/>
      <c r="T340" s="1233"/>
      <c r="V340" s="1425">
        <v>44742</v>
      </c>
      <c r="W340" s="1">
        <v>13.364100000000001</v>
      </c>
      <c r="X340" s="1">
        <v>1.7967</v>
      </c>
      <c r="Y340" s="1">
        <v>8.8425999999999991</v>
      </c>
      <c r="Z340" s="1">
        <v>1.3719699999999999</v>
      </c>
      <c r="AB340" s="1425">
        <v>44733</v>
      </c>
      <c r="AC340" s="1">
        <v>7.6405000000000003</v>
      </c>
      <c r="AD340" s="1502">
        <v>1.2296</v>
      </c>
      <c r="AE340" s="1">
        <v>5.0387000000000004</v>
      </c>
      <c r="AF340" s="1">
        <v>3.329E-2</v>
      </c>
      <c r="AH340" s="1425">
        <v>44733</v>
      </c>
      <c r="AI340" s="1">
        <v>13.569800000000001</v>
      </c>
      <c r="AJ340" s="1">
        <v>2.5579000000000001</v>
      </c>
      <c r="AK340" s="1">
        <v>7.4208999999999996</v>
      </c>
      <c r="AL340" s="1">
        <v>4.2459999999999998E-2</v>
      </c>
      <c r="AN340" s="1425">
        <v>44729</v>
      </c>
      <c r="AO340" s="1">
        <v>7.0627000000000004</v>
      </c>
      <c r="AP340" s="1">
        <v>0.99439999999999995</v>
      </c>
      <c r="AQ340" s="1">
        <v>4.7359</v>
      </c>
      <c r="AR340" s="1">
        <v>0.24731</v>
      </c>
      <c r="AT340" s="1425">
        <v>44729</v>
      </c>
      <c r="AU340" s="1">
        <v>11.7729</v>
      </c>
      <c r="AV340" s="1">
        <v>0.77170000000000005</v>
      </c>
      <c r="AW340" s="1">
        <v>7.867</v>
      </c>
      <c r="AX340" s="1">
        <v>0.19511999999999999</v>
      </c>
      <c r="BA340" s="1425">
        <v>44728</v>
      </c>
      <c r="BB340" s="1">
        <v>11.613</v>
      </c>
      <c r="BC340" s="1">
        <v>2.6682000000000001</v>
      </c>
      <c r="BD340" s="1">
        <v>12.725199999999999</v>
      </c>
      <c r="BE340" s="1">
        <v>0.75643000000000005</v>
      </c>
      <c r="BG340" s="1425">
        <v>44728</v>
      </c>
      <c r="BH340" s="1">
        <v>14.363099999999999</v>
      </c>
      <c r="BI340" s="1">
        <v>3.7313000000000001</v>
      </c>
      <c r="BJ340" s="1">
        <v>20.381699999999999</v>
      </c>
      <c r="BT340" s="1425">
        <v>44742</v>
      </c>
      <c r="BU340" s="1">
        <v>20.2302</v>
      </c>
      <c r="BV340" s="1">
        <v>4.6740000000000004</v>
      </c>
      <c r="BW340" s="1">
        <v>11.3523</v>
      </c>
      <c r="BX340" s="1">
        <v>3.1307999999999998</v>
      </c>
      <c r="BZ340" s="1425">
        <v>44742</v>
      </c>
      <c r="CA340" s="1">
        <v>20.485099999999999</v>
      </c>
      <c r="CB340" s="1">
        <v>5.8914</v>
      </c>
      <c r="CC340" s="1">
        <v>16.329799999999999</v>
      </c>
      <c r="CD340" s="1">
        <v>3.5152100000000002</v>
      </c>
      <c r="CF340" s="1425">
        <v>44741</v>
      </c>
      <c r="CG340" s="1">
        <v>4.3270999999999997</v>
      </c>
      <c r="CH340" s="1">
        <v>1.4100999999999999</v>
      </c>
      <c r="CI340" s="1">
        <v>6.3272000000000004</v>
      </c>
      <c r="CL340" s="1425">
        <v>44748</v>
      </c>
      <c r="CM340" s="1">
        <v>21.165600000000001</v>
      </c>
      <c r="CN340" s="1">
        <v>2.9116</v>
      </c>
      <c r="CO340" s="1">
        <v>11.827500000000001</v>
      </c>
    </row>
    <row r="341" spans="1:93">
      <c r="A341" s="1425">
        <v>44741</v>
      </c>
      <c r="B341" s="20">
        <f t="shared" si="52"/>
        <v>13.5068</v>
      </c>
      <c r="C341" s="20">
        <f t="shared" si="54"/>
        <v>11.7203</v>
      </c>
      <c r="D341" s="20">
        <f t="shared" si="55"/>
        <v>13.1249</v>
      </c>
      <c r="E341" s="20">
        <f t="shared" si="56"/>
        <v>6.8647</v>
      </c>
      <c r="F341" s="20">
        <f t="shared" si="57"/>
        <v>14.678800000000001</v>
      </c>
      <c r="G341" s="20">
        <f t="shared" si="58"/>
        <v>12.3872</v>
      </c>
      <c r="H341" s="1239">
        <f t="shared" si="59"/>
        <v>12.3872</v>
      </c>
      <c r="I341" s="1243">
        <f t="shared" si="53"/>
        <v>9.0383621803151737E-2</v>
      </c>
      <c r="J341" s="1243">
        <f t="shared" si="60"/>
        <v>0.12093838824177333</v>
      </c>
      <c r="K341" s="1243">
        <f t="shared" si="61"/>
        <v>0.1</v>
      </c>
      <c r="L341" s="203"/>
      <c r="N341" s="1425">
        <v>44741</v>
      </c>
      <c r="O341" s="1502">
        <v>13.5068</v>
      </c>
      <c r="P341" s="1502">
        <v>5.1666999999999996</v>
      </c>
      <c r="Q341" s="1502">
        <v>15.2264</v>
      </c>
      <c r="R341" s="1233">
        <f>'B. PE'!$U$23</f>
        <v>15.978235616082999</v>
      </c>
      <c r="S341" s="1233"/>
      <c r="T341" s="1233"/>
      <c r="V341" s="1425">
        <v>44741</v>
      </c>
      <c r="W341" s="1">
        <v>11.7203</v>
      </c>
      <c r="X341" s="1">
        <v>1.7833000000000001</v>
      </c>
      <c r="Y341" s="1">
        <v>10.8285</v>
      </c>
      <c r="Z341" s="1">
        <v>1.3903099999999999</v>
      </c>
      <c r="AB341" s="1425">
        <v>44732</v>
      </c>
      <c r="AC341" s="1">
        <v>7.7478999999999996</v>
      </c>
      <c r="AD341" s="1502">
        <v>1.2468999999999999</v>
      </c>
      <c r="AE341" s="1">
        <v>5.0909000000000004</v>
      </c>
      <c r="AF341" s="1">
        <v>3.3730000000000003E-2</v>
      </c>
      <c r="AH341" s="1425">
        <v>44732</v>
      </c>
      <c r="AI341" s="1">
        <v>13.680999999999999</v>
      </c>
      <c r="AJ341" s="1">
        <v>2.5789</v>
      </c>
      <c r="AK341" s="1">
        <v>7.4793000000000003</v>
      </c>
      <c r="AL341" s="1">
        <v>4.2500000000000003E-2</v>
      </c>
      <c r="AN341" s="1425">
        <v>44728</v>
      </c>
      <c r="AO341" s="1">
        <v>7.1947000000000001</v>
      </c>
      <c r="AP341" s="1">
        <v>1.0128999999999999</v>
      </c>
      <c r="AQ341" s="1">
        <v>4.8353000000000002</v>
      </c>
      <c r="AR341" s="1">
        <v>0.24712999999999999</v>
      </c>
      <c r="AT341" s="1425">
        <v>44728</v>
      </c>
      <c r="AU341" s="1">
        <v>11.9114</v>
      </c>
      <c r="AV341" s="1">
        <v>0.78069999999999995</v>
      </c>
      <c r="AW341" s="1">
        <v>7.9459999999999997</v>
      </c>
      <c r="AX341" s="1">
        <v>0.20065</v>
      </c>
      <c r="BA341" s="1425">
        <v>44727</v>
      </c>
      <c r="BB341" s="1">
        <v>11.613</v>
      </c>
      <c r="BC341" s="1">
        <v>2.6682000000000001</v>
      </c>
      <c r="BD341" s="1">
        <v>12.725199999999999</v>
      </c>
      <c r="BE341" s="1">
        <v>0.78739999999999999</v>
      </c>
      <c r="BG341" s="1425">
        <v>44727</v>
      </c>
      <c r="BH341" s="1">
        <v>14.5999</v>
      </c>
      <c r="BI341" s="1">
        <v>3.7928000000000002</v>
      </c>
      <c r="BJ341" s="1">
        <v>20.655999999999999</v>
      </c>
      <c r="BT341" s="1425">
        <v>44741</v>
      </c>
      <c r="BU341" s="1">
        <v>20.204599999999999</v>
      </c>
      <c r="BV341" s="1">
        <v>4.7744999999999997</v>
      </c>
      <c r="BW341" s="1">
        <v>12.689399999999999</v>
      </c>
      <c r="BX341" s="1">
        <v>3.0754000000000001</v>
      </c>
      <c r="BZ341" s="1425">
        <v>44741</v>
      </c>
      <c r="CA341" s="1">
        <v>20.678100000000001</v>
      </c>
      <c r="CB341" s="1">
        <v>5.9146000000000001</v>
      </c>
      <c r="CC341" s="1">
        <v>18.759599999999999</v>
      </c>
      <c r="CD341" s="1">
        <v>3.3288000000000002</v>
      </c>
      <c r="CF341" s="1425">
        <v>44740</v>
      </c>
      <c r="CG341" s="1">
        <v>4.4844999999999997</v>
      </c>
      <c r="CH341" s="1">
        <v>1.4614</v>
      </c>
      <c r="CI341" s="1">
        <v>6.4558999999999997</v>
      </c>
      <c r="CL341" s="1425">
        <v>44747</v>
      </c>
      <c r="CM341" s="1">
        <v>21.178999999999998</v>
      </c>
      <c r="CN341" s="1">
        <v>2.9135</v>
      </c>
      <c r="CO341" s="1">
        <v>11.834899999999999</v>
      </c>
    </row>
    <row r="342" spans="1:93">
      <c r="A342" s="1425">
        <v>44740</v>
      </c>
      <c r="B342" s="20">
        <f t="shared" si="52"/>
        <v>14.053599999999999</v>
      </c>
      <c r="C342" s="20">
        <f t="shared" si="54"/>
        <v>11.8453</v>
      </c>
      <c r="D342" s="20">
        <f t="shared" si="55"/>
        <v>13.1249</v>
      </c>
      <c r="E342" s="20">
        <f t="shared" si="56"/>
        <v>6.7987000000000002</v>
      </c>
      <c r="F342" s="20">
        <f t="shared" si="57"/>
        <v>14.9156</v>
      </c>
      <c r="G342" s="20">
        <f t="shared" si="58"/>
        <v>12.4978</v>
      </c>
      <c r="H342" s="1239">
        <f t="shared" si="59"/>
        <v>12.4978</v>
      </c>
      <c r="I342" s="1243">
        <f t="shared" si="53"/>
        <v>0.12448590952007543</v>
      </c>
      <c r="J342" s="1243">
        <f t="shared" si="60"/>
        <v>0.12093838824177333</v>
      </c>
      <c r="K342" s="1243">
        <f t="shared" si="61"/>
        <v>0.1</v>
      </c>
      <c r="L342" s="203"/>
      <c r="N342" s="1425">
        <v>44740</v>
      </c>
      <c r="O342" s="1502">
        <v>14.053599999999999</v>
      </c>
      <c r="P342" s="1502">
        <v>5.3757999999999999</v>
      </c>
      <c r="Q342" s="1502">
        <v>15.7684</v>
      </c>
      <c r="R342" s="1233">
        <f>'B. PE'!$U$23</f>
        <v>15.978235616082999</v>
      </c>
      <c r="S342" s="1233"/>
      <c r="T342" s="1233"/>
      <c r="V342" s="1425">
        <v>44740</v>
      </c>
      <c r="W342" s="1">
        <v>11.8453</v>
      </c>
      <c r="X342" s="1">
        <v>1.8023</v>
      </c>
      <c r="Y342" s="1">
        <v>10.915900000000001</v>
      </c>
      <c r="Z342" s="1">
        <v>1.33945</v>
      </c>
      <c r="AB342" s="1425">
        <v>44729</v>
      </c>
      <c r="AC342" s="1">
        <v>7.5791000000000004</v>
      </c>
      <c r="AD342" s="1502">
        <v>1.2197</v>
      </c>
      <c r="AE342" s="1">
        <v>5.0088999999999997</v>
      </c>
      <c r="AF342" s="1">
        <v>3.3579999999999999E-2</v>
      </c>
      <c r="AH342" s="1425">
        <v>44729</v>
      </c>
      <c r="AI342" s="1">
        <v>14.014699999999999</v>
      </c>
      <c r="AJ342" s="1">
        <v>2.6417999999999999</v>
      </c>
      <c r="AK342" s="1">
        <v>7.6546000000000003</v>
      </c>
      <c r="AL342" s="1">
        <v>4.197E-2</v>
      </c>
      <c r="AN342" s="1425">
        <v>44727</v>
      </c>
      <c r="AO342" s="1">
        <v>7.1947000000000001</v>
      </c>
      <c r="AP342" s="1">
        <v>1.0128999999999999</v>
      </c>
      <c r="AQ342" s="1">
        <v>4.8353000000000002</v>
      </c>
      <c r="AR342" s="1">
        <v>0.24718999999999999</v>
      </c>
      <c r="AT342" s="1425">
        <v>44727</v>
      </c>
      <c r="AU342" s="1">
        <v>11.9114</v>
      </c>
      <c r="AV342" s="1">
        <v>0.78069999999999995</v>
      </c>
      <c r="AW342" s="1">
        <v>7.9459999999999997</v>
      </c>
      <c r="AX342" s="1">
        <v>0.20183999999999999</v>
      </c>
      <c r="BA342" s="1425">
        <v>44726</v>
      </c>
      <c r="BB342" s="1">
        <v>11.723599999999999</v>
      </c>
      <c r="BC342" s="1">
        <v>2.6936</v>
      </c>
      <c r="BD342" s="1">
        <v>12.811400000000001</v>
      </c>
      <c r="BE342" s="1">
        <v>0.82062000000000002</v>
      </c>
      <c r="BG342" s="1425">
        <v>44726</v>
      </c>
      <c r="BH342" s="1">
        <v>14.9156</v>
      </c>
      <c r="BI342" s="1">
        <v>3.8748</v>
      </c>
      <c r="BJ342" s="1">
        <v>21.021799999999999</v>
      </c>
      <c r="BT342" s="1425">
        <v>44740</v>
      </c>
      <c r="BU342" s="1">
        <v>20.1493</v>
      </c>
      <c r="BV342" s="1">
        <v>4.7614999999999998</v>
      </c>
      <c r="BW342" s="1">
        <v>12.657500000000001</v>
      </c>
      <c r="BX342" s="1">
        <v>3.0922000000000001</v>
      </c>
      <c r="BZ342" s="1425">
        <v>44740</v>
      </c>
      <c r="CA342" s="1">
        <v>21.312999999999999</v>
      </c>
      <c r="CB342" s="1">
        <v>6.0961999999999996</v>
      </c>
      <c r="CC342" s="1">
        <v>19.194700000000001</v>
      </c>
      <c r="CD342" s="1">
        <v>3.39195</v>
      </c>
      <c r="CF342" s="1425">
        <v>44739</v>
      </c>
      <c r="CG342" s="1">
        <v>4.3861999999999997</v>
      </c>
      <c r="CH342" s="1">
        <v>1.4293</v>
      </c>
      <c r="CI342" s="1">
        <v>6.3754999999999997</v>
      </c>
      <c r="CL342" s="1425">
        <v>44746</v>
      </c>
      <c r="CM342" s="1">
        <v>21.232299999999999</v>
      </c>
      <c r="CN342" s="1">
        <v>2.9207999999999998</v>
      </c>
      <c r="CO342" s="1">
        <v>11.8644</v>
      </c>
    </row>
    <row r="343" spans="1:93">
      <c r="A343" s="1425">
        <v>44739</v>
      </c>
      <c r="B343" s="20">
        <f t="shared" si="52"/>
        <v>14.1699</v>
      </c>
      <c r="C343" s="20">
        <f t="shared" si="54"/>
        <v>12.0015</v>
      </c>
      <c r="D343" s="20">
        <f t="shared" si="55"/>
        <v>13.2361</v>
      </c>
      <c r="E343" s="20">
        <f t="shared" si="56"/>
        <v>6.7987000000000002</v>
      </c>
      <c r="F343" s="20">
        <f t="shared" si="57"/>
        <v>14.9945</v>
      </c>
      <c r="G343" s="20">
        <f t="shared" si="58"/>
        <v>12.2766</v>
      </c>
      <c r="H343" s="1239">
        <f t="shared" si="59"/>
        <v>12.2766</v>
      </c>
      <c r="I343" s="1243">
        <f t="shared" si="53"/>
        <v>0.15422022384047707</v>
      </c>
      <c r="J343" s="1243">
        <f t="shared" si="60"/>
        <v>0.12093838824177333</v>
      </c>
      <c r="K343" s="1243">
        <f t="shared" si="61"/>
        <v>0.1</v>
      </c>
      <c r="L343" s="203"/>
      <c r="N343" s="1425">
        <v>44739</v>
      </c>
      <c r="O343" s="1502">
        <v>14.1699</v>
      </c>
      <c r="P343" s="1502">
        <v>5.4203000000000001</v>
      </c>
      <c r="Q343" s="1502">
        <v>15.883699999999999</v>
      </c>
      <c r="R343" s="1233">
        <f>'B. PE'!$U$23</f>
        <v>15.978235616082999</v>
      </c>
      <c r="S343" s="1233"/>
      <c r="T343" s="1233"/>
      <c r="V343" s="1425">
        <v>44739</v>
      </c>
      <c r="W343" s="1">
        <v>12.0015</v>
      </c>
      <c r="X343" s="1">
        <v>1.8261000000000001</v>
      </c>
      <c r="Y343" s="1">
        <v>11.0252</v>
      </c>
      <c r="Z343" s="1">
        <v>1.33605</v>
      </c>
      <c r="AB343" s="1425">
        <v>44728</v>
      </c>
      <c r="AC343" s="1">
        <v>7.6711999999999998</v>
      </c>
      <c r="AD343" s="1502">
        <v>1.2345999999999999</v>
      </c>
      <c r="AE343" s="1">
        <v>5.0536000000000003</v>
      </c>
      <c r="AF343" s="1">
        <v>3.3919999999999999E-2</v>
      </c>
      <c r="AH343" s="1425">
        <v>44728</v>
      </c>
      <c r="AI343" s="1">
        <v>14.014699999999999</v>
      </c>
      <c r="AJ343" s="1">
        <v>2.6417999999999999</v>
      </c>
      <c r="AK343" s="1">
        <v>7.6546000000000003</v>
      </c>
      <c r="AL343" s="1">
        <v>4.3069999999999997E-2</v>
      </c>
      <c r="AN343" s="1425">
        <v>44726</v>
      </c>
      <c r="AO343" s="1">
        <v>7.1947000000000001</v>
      </c>
      <c r="AP343" s="1">
        <v>1.0128999999999999</v>
      </c>
      <c r="AQ343" s="1">
        <v>4.8353000000000002</v>
      </c>
      <c r="AR343" s="1">
        <v>0.25463999999999998</v>
      </c>
      <c r="AT343" s="1425">
        <v>44726</v>
      </c>
      <c r="AU343" s="1">
        <v>12.2576</v>
      </c>
      <c r="AV343" s="1">
        <v>0.8034</v>
      </c>
      <c r="AW343" s="1">
        <v>8.1427999999999994</v>
      </c>
      <c r="AX343" s="1">
        <v>0.20916999999999999</v>
      </c>
      <c r="BA343" s="1425">
        <v>44725</v>
      </c>
      <c r="BB343" s="1">
        <v>12.166</v>
      </c>
      <c r="BC343" s="1">
        <v>2.7953000000000001</v>
      </c>
      <c r="BD343" s="1">
        <v>13.1563</v>
      </c>
      <c r="BE343" s="1">
        <v>0.85379000000000005</v>
      </c>
      <c r="BG343" s="1425">
        <v>44725</v>
      </c>
      <c r="BH343" s="1">
        <v>14.9945</v>
      </c>
      <c r="BI343" s="1">
        <v>3.8953000000000002</v>
      </c>
      <c r="BJ343" s="1">
        <v>21.113199999999999</v>
      </c>
      <c r="BT343" s="1425">
        <v>44739</v>
      </c>
      <c r="BU343" s="1">
        <v>19.789400000000001</v>
      </c>
      <c r="BV343" s="1">
        <v>4.6764000000000001</v>
      </c>
      <c r="BW343" s="1">
        <v>12.450100000000001</v>
      </c>
      <c r="BX343" s="1">
        <v>3.1185</v>
      </c>
      <c r="BZ343" s="1425">
        <v>44739</v>
      </c>
      <c r="CA343" s="1">
        <v>20.179300000000001</v>
      </c>
      <c r="CB343" s="1">
        <v>5.7718999999999996</v>
      </c>
      <c r="CC343" s="1">
        <v>18.4178</v>
      </c>
      <c r="CD343" s="1">
        <v>3.35887</v>
      </c>
      <c r="CF343" s="1425">
        <v>44736</v>
      </c>
      <c r="CG343" s="1">
        <v>4.3665000000000003</v>
      </c>
      <c r="CH343" s="1">
        <v>1.4229000000000001</v>
      </c>
      <c r="CI343" s="1">
        <v>6.3593999999999999</v>
      </c>
      <c r="CL343" s="1425">
        <v>44743</v>
      </c>
      <c r="CM343" s="1">
        <v>20.978899999999999</v>
      </c>
      <c r="CN343" s="1">
        <v>2.8858999999999999</v>
      </c>
      <c r="CO343" s="1">
        <v>11.7242</v>
      </c>
    </row>
    <row r="344" spans="1:93">
      <c r="A344" s="1425">
        <v>44736</v>
      </c>
      <c r="B344" s="20">
        <f t="shared" si="52"/>
        <v>13.9023</v>
      </c>
      <c r="C344" s="20">
        <f t="shared" si="54"/>
        <v>11.564</v>
      </c>
      <c r="D344" s="20">
        <f t="shared" si="55"/>
        <v>13.569800000000001</v>
      </c>
      <c r="E344" s="20">
        <f t="shared" si="56"/>
        <v>6.7327000000000004</v>
      </c>
      <c r="F344" s="20">
        <f t="shared" si="57"/>
        <v>14.5999</v>
      </c>
      <c r="G344" s="20">
        <f t="shared" si="58"/>
        <v>11.834199999999999</v>
      </c>
      <c r="H344" s="1239">
        <f t="shared" si="59"/>
        <v>11.834199999999999</v>
      </c>
      <c r="I344" s="1243">
        <f t="shared" si="53"/>
        <v>0.17475621503777194</v>
      </c>
      <c r="J344" s="1243">
        <f t="shared" si="60"/>
        <v>0.12093838824177333</v>
      </c>
      <c r="K344" s="1243">
        <f t="shared" si="61"/>
        <v>0.1</v>
      </c>
      <c r="L344" s="203"/>
      <c r="N344" s="1425">
        <v>44736</v>
      </c>
      <c r="O344" s="1502">
        <v>13.9023</v>
      </c>
      <c r="P344" s="1502">
        <v>5.3179999999999996</v>
      </c>
      <c r="Q344" s="1502">
        <v>15.618499999999999</v>
      </c>
      <c r="R344" s="1233">
        <f>'B. PE'!$U$23</f>
        <v>15.978235616082999</v>
      </c>
      <c r="S344" s="1233"/>
      <c r="T344" s="1233"/>
      <c r="V344" s="1425">
        <v>44736</v>
      </c>
      <c r="W344" s="1">
        <v>11.564</v>
      </c>
      <c r="X344" s="1">
        <v>1.7595000000000001</v>
      </c>
      <c r="Y344" s="1">
        <v>10.719200000000001</v>
      </c>
      <c r="Z344" s="1">
        <v>1.24959</v>
      </c>
      <c r="AB344" s="1425">
        <v>44727</v>
      </c>
      <c r="AC344" s="1">
        <v>7.6097999999999999</v>
      </c>
      <c r="AD344" s="1502">
        <v>1.2246999999999999</v>
      </c>
      <c r="AE344" s="1">
        <v>5.0237999999999996</v>
      </c>
      <c r="AF344" s="1">
        <v>3.3599999999999998E-2</v>
      </c>
      <c r="AH344" s="1425">
        <v>44727</v>
      </c>
      <c r="AI344" s="1">
        <v>13.792299999999999</v>
      </c>
      <c r="AJ344" s="1">
        <v>2.5998999999999999</v>
      </c>
      <c r="AK344" s="1">
        <v>7.5377000000000001</v>
      </c>
      <c r="AL344" s="1">
        <v>4.2340000000000003E-2</v>
      </c>
      <c r="AN344" s="1425">
        <v>44725</v>
      </c>
      <c r="AO344" s="1">
        <v>7.1947000000000001</v>
      </c>
      <c r="AP344" s="1">
        <v>1.0128999999999999</v>
      </c>
      <c r="AQ344" s="1">
        <v>4.8368000000000002</v>
      </c>
      <c r="AR344" s="1">
        <v>0.25731999999999999</v>
      </c>
      <c r="AT344" s="1425">
        <v>44725</v>
      </c>
      <c r="AU344" s="1">
        <v>12.3269</v>
      </c>
      <c r="AV344" s="1">
        <v>0.80800000000000005</v>
      </c>
      <c r="AW344" s="1">
        <v>8.1823999999999995</v>
      </c>
      <c r="AX344" s="1">
        <v>0.21177000000000001</v>
      </c>
      <c r="BA344" s="1425">
        <v>44722</v>
      </c>
      <c r="BB344" s="1">
        <v>12.6084</v>
      </c>
      <c r="BC344" s="1">
        <v>2.8969</v>
      </c>
      <c r="BD344" s="1">
        <v>13.501200000000001</v>
      </c>
      <c r="BE344" s="1">
        <v>0.86194000000000004</v>
      </c>
      <c r="BG344" s="1425">
        <v>44722</v>
      </c>
      <c r="BH344" s="1">
        <v>15.9415</v>
      </c>
      <c r="BI344" s="1">
        <v>4.1414</v>
      </c>
      <c r="BJ344" s="1">
        <v>22.210599999999999</v>
      </c>
      <c r="BT344" s="1425">
        <v>44736</v>
      </c>
      <c r="BU344" s="1">
        <v>19.900200000000002</v>
      </c>
      <c r="BV344" s="1">
        <v>4.7026000000000003</v>
      </c>
      <c r="BW344" s="1">
        <v>12.5139</v>
      </c>
      <c r="BX344" s="1">
        <v>3.0034000000000001</v>
      </c>
      <c r="BZ344" s="1425">
        <v>44736</v>
      </c>
      <c r="CA344" s="1">
        <v>20.564699999999998</v>
      </c>
      <c r="CB344" s="1">
        <v>5.8821000000000003</v>
      </c>
      <c r="CC344" s="1">
        <v>18.681899999999999</v>
      </c>
      <c r="CD344" s="1">
        <v>3.1430099999999999</v>
      </c>
      <c r="CF344" s="1425">
        <v>44735</v>
      </c>
      <c r="CG344" s="1">
        <v>4.2877999999999998</v>
      </c>
      <c r="CH344" s="1">
        <v>1.3973</v>
      </c>
      <c r="CI344" s="1">
        <v>6.2949999999999999</v>
      </c>
      <c r="CL344" s="1425">
        <v>44742</v>
      </c>
      <c r="CM344" s="1">
        <v>21.018899999999999</v>
      </c>
      <c r="CN344" s="1">
        <v>2.8915000000000002</v>
      </c>
      <c r="CO344" s="1">
        <v>11.7463</v>
      </c>
    </row>
    <row r="345" spans="1:93">
      <c r="A345" s="1425">
        <v>44735</v>
      </c>
      <c r="B345" s="20">
        <f t="shared" si="52"/>
        <v>13.7278</v>
      </c>
      <c r="C345" s="20">
        <f t="shared" si="54"/>
        <v>11.5327</v>
      </c>
      <c r="D345" s="20">
        <f t="shared" si="55"/>
        <v>12.68</v>
      </c>
      <c r="E345" s="20">
        <f t="shared" si="56"/>
        <v>6.5677000000000003</v>
      </c>
      <c r="F345" s="20">
        <f t="shared" si="57"/>
        <v>14.205299999999999</v>
      </c>
      <c r="G345" s="20">
        <f t="shared" si="58"/>
        <v>11.723599999999999</v>
      </c>
      <c r="H345" s="1239">
        <f t="shared" si="59"/>
        <v>11.723599999999999</v>
      </c>
      <c r="I345" s="1243">
        <f t="shared" si="53"/>
        <v>0.17095431437442432</v>
      </c>
      <c r="J345" s="1243">
        <f t="shared" si="60"/>
        <v>0.12093838824177333</v>
      </c>
      <c r="K345" s="1243">
        <f t="shared" si="61"/>
        <v>0.1</v>
      </c>
      <c r="L345" s="203"/>
      <c r="N345" s="1425">
        <v>44735</v>
      </c>
      <c r="O345" s="1502">
        <v>13.7278</v>
      </c>
      <c r="P345" s="1502">
        <v>5.2511999999999999</v>
      </c>
      <c r="Q345" s="1502">
        <v>15.445499999999999</v>
      </c>
      <c r="R345" s="1233">
        <f>'B. PE'!$U$23</f>
        <v>15.978235616082999</v>
      </c>
      <c r="S345" s="1233"/>
      <c r="T345" s="1233"/>
      <c r="V345" s="1425">
        <v>44735</v>
      </c>
      <c r="W345" s="1">
        <v>11.5327</v>
      </c>
      <c r="X345" s="1">
        <v>1.7547999999999999</v>
      </c>
      <c r="Y345" s="1">
        <v>10.6973</v>
      </c>
      <c r="Z345" s="1">
        <v>1.3428100000000001</v>
      </c>
      <c r="AB345" s="1425">
        <v>44726</v>
      </c>
      <c r="AC345" s="1">
        <v>7.6711999999999998</v>
      </c>
      <c r="AD345" s="1502">
        <v>1.2345999999999999</v>
      </c>
      <c r="AE345" s="1">
        <v>5.0536000000000003</v>
      </c>
      <c r="AF345" s="1">
        <v>3.4200000000000001E-2</v>
      </c>
      <c r="AH345" s="1425">
        <v>44726</v>
      </c>
      <c r="AI345" s="1">
        <v>14.1259</v>
      </c>
      <c r="AJ345" s="1">
        <v>2.6627999999999998</v>
      </c>
      <c r="AK345" s="1">
        <v>7.7130000000000001</v>
      </c>
      <c r="AL345" s="1">
        <v>4.4450000000000003E-2</v>
      </c>
      <c r="AN345" s="1425">
        <v>44722</v>
      </c>
      <c r="AO345" s="1">
        <v>7.3926999999999996</v>
      </c>
      <c r="AP345" s="1">
        <v>1.0407999999999999</v>
      </c>
      <c r="AQ345" s="1">
        <v>4.9859999999999998</v>
      </c>
      <c r="AR345" s="1">
        <v>0.25974999999999998</v>
      </c>
      <c r="AT345" s="1425">
        <v>44722</v>
      </c>
      <c r="AU345" s="1">
        <v>12.7424</v>
      </c>
      <c r="AV345" s="1">
        <v>0.83520000000000005</v>
      </c>
      <c r="AW345" s="1">
        <v>8.4204000000000008</v>
      </c>
      <c r="AX345" s="1">
        <v>0.21646000000000001</v>
      </c>
      <c r="BA345" s="1425">
        <v>44721</v>
      </c>
      <c r="BB345" s="1">
        <v>13.050800000000001</v>
      </c>
      <c r="BC345" s="1">
        <v>2.9986000000000002</v>
      </c>
      <c r="BD345" s="1">
        <v>13.8462</v>
      </c>
      <c r="BE345" s="1">
        <v>0.82047999999999999</v>
      </c>
      <c r="BG345" s="1425">
        <v>44721</v>
      </c>
      <c r="BH345" s="1">
        <v>16.257200000000001</v>
      </c>
      <c r="BI345" s="1">
        <v>4.2233999999999998</v>
      </c>
      <c r="BJ345" s="1">
        <v>22.5763</v>
      </c>
      <c r="BT345" s="1425">
        <v>44735</v>
      </c>
      <c r="BU345" s="1">
        <v>20.066199999999998</v>
      </c>
      <c r="BV345" s="1">
        <v>4.7417999999999996</v>
      </c>
      <c r="BW345" s="1">
        <v>12.6096</v>
      </c>
      <c r="BX345" s="1">
        <v>3.1646999999999998</v>
      </c>
      <c r="BZ345" s="1425">
        <v>44735</v>
      </c>
      <c r="CA345" s="1">
        <v>20.360700000000001</v>
      </c>
      <c r="CB345" s="1">
        <v>5.8238000000000003</v>
      </c>
      <c r="CC345" s="1">
        <v>18.542100000000001</v>
      </c>
      <c r="CD345" s="1">
        <v>3.3809100000000001</v>
      </c>
      <c r="CF345" s="1425">
        <v>44734</v>
      </c>
      <c r="CG345" s="1">
        <v>4.2287999999999997</v>
      </c>
      <c r="CH345" s="1">
        <v>1.3779999999999999</v>
      </c>
      <c r="CI345" s="1">
        <v>6.2468000000000004</v>
      </c>
      <c r="CL345" s="1425">
        <v>44741</v>
      </c>
      <c r="CM345" s="1">
        <v>22.977699999999999</v>
      </c>
      <c r="CN345" s="1">
        <v>2.8498000000000001</v>
      </c>
      <c r="CO345" s="1">
        <v>12.2896</v>
      </c>
    </row>
    <row r="346" spans="1:93">
      <c r="A346" s="1425">
        <v>44734</v>
      </c>
      <c r="B346" s="20">
        <f t="shared" si="52"/>
        <v>12.9833</v>
      </c>
      <c r="C346" s="20">
        <f t="shared" si="54"/>
        <v>10.7826</v>
      </c>
      <c r="D346" s="20">
        <f t="shared" si="55"/>
        <v>13.0137</v>
      </c>
      <c r="E346" s="20">
        <f t="shared" si="56"/>
        <v>6.7987000000000002</v>
      </c>
      <c r="F346" s="20">
        <f t="shared" si="57"/>
        <v>14.363099999999999</v>
      </c>
      <c r="G346" s="20">
        <f t="shared" si="58"/>
        <v>11.723599999999999</v>
      </c>
      <c r="H346" s="1239">
        <f t="shared" si="59"/>
        <v>11.723599999999999</v>
      </c>
      <c r="I346" s="1243">
        <f t="shared" si="53"/>
        <v>0.10744993005561443</v>
      </c>
      <c r="J346" s="1243">
        <f t="shared" si="60"/>
        <v>0.12093838824177333</v>
      </c>
      <c r="K346" s="1243">
        <f t="shared" si="61"/>
        <v>0.1</v>
      </c>
      <c r="L346" s="203"/>
      <c r="N346" s="1425">
        <v>44734</v>
      </c>
      <c r="O346" s="1502">
        <v>12.9833</v>
      </c>
      <c r="P346" s="1502">
        <v>4.9664000000000001</v>
      </c>
      <c r="Q346" s="1502">
        <v>14.7075</v>
      </c>
      <c r="R346" s="1233">
        <f>'B. PE'!$U$23</f>
        <v>15.978235616082999</v>
      </c>
      <c r="S346" s="1233"/>
      <c r="T346" s="1233"/>
      <c r="V346" s="1425">
        <v>44734</v>
      </c>
      <c r="W346" s="1">
        <v>10.7826</v>
      </c>
      <c r="X346" s="1">
        <v>1.6406000000000001</v>
      </c>
      <c r="Y346" s="1">
        <v>10.172800000000001</v>
      </c>
      <c r="Z346" s="1">
        <v>1.42479</v>
      </c>
      <c r="AB346" s="1425">
        <v>44725</v>
      </c>
      <c r="AC346" s="1">
        <v>7.6097999999999999</v>
      </c>
      <c r="AD346" s="1502">
        <v>1.2246999999999999</v>
      </c>
      <c r="AE346" s="1">
        <v>5.0237999999999996</v>
      </c>
      <c r="AF346" s="1">
        <v>3.4610000000000002E-2</v>
      </c>
      <c r="AH346" s="1425">
        <v>44725</v>
      </c>
      <c r="AI346" s="1">
        <v>13.903499999999999</v>
      </c>
      <c r="AJ346" s="1">
        <v>2.6208</v>
      </c>
      <c r="AK346" s="1">
        <v>7.5960999999999999</v>
      </c>
      <c r="AL346" s="1">
        <v>4.4889999999999999E-2</v>
      </c>
      <c r="AN346" s="1425">
        <v>44721</v>
      </c>
      <c r="AO346" s="1">
        <v>7.4587000000000003</v>
      </c>
      <c r="AP346" s="1">
        <v>1.0501</v>
      </c>
      <c r="AQ346" s="1">
        <v>5.0357000000000003</v>
      </c>
      <c r="AR346" s="1">
        <v>0.25752000000000003</v>
      </c>
      <c r="AT346" s="1425">
        <v>44721</v>
      </c>
      <c r="AU346" s="1">
        <v>12.8809</v>
      </c>
      <c r="AV346" s="1">
        <v>0.84430000000000005</v>
      </c>
      <c r="AW346" s="1">
        <v>8.4991000000000003</v>
      </c>
      <c r="AX346" s="1">
        <v>0.20966000000000001</v>
      </c>
      <c r="BA346" s="1425">
        <v>44720</v>
      </c>
      <c r="BB346" s="1">
        <v>13.1614</v>
      </c>
      <c r="BC346" s="1">
        <v>3.024</v>
      </c>
      <c r="BD346" s="1">
        <v>13.932399999999999</v>
      </c>
      <c r="BE346" s="1">
        <v>0.82848999999999995</v>
      </c>
      <c r="BG346" s="1425">
        <v>44720</v>
      </c>
      <c r="BH346" s="1">
        <v>16.4939</v>
      </c>
      <c r="BI346" s="1">
        <v>4.2849000000000004</v>
      </c>
      <c r="BJ346" s="1">
        <v>22.8507</v>
      </c>
      <c r="BT346" s="1425">
        <v>44734</v>
      </c>
      <c r="BU346" s="1">
        <v>19.318899999999999</v>
      </c>
      <c r="BV346" s="1">
        <v>4.5651999999999999</v>
      </c>
      <c r="BW346" s="1">
        <v>12.178900000000001</v>
      </c>
      <c r="BX346" s="1">
        <v>3.1829000000000001</v>
      </c>
      <c r="BZ346" s="1425">
        <v>44734</v>
      </c>
      <c r="CA346" s="1">
        <v>19.0456</v>
      </c>
      <c r="CB346" s="1">
        <v>5.4476000000000004</v>
      </c>
      <c r="CC346" s="1">
        <v>17.640799999999999</v>
      </c>
      <c r="CD346" s="1">
        <v>3.63286</v>
      </c>
      <c r="CF346" s="1425">
        <v>44733</v>
      </c>
      <c r="CG346" s="1">
        <v>4.1501000000000001</v>
      </c>
      <c r="CH346" s="1">
        <v>1.3524</v>
      </c>
      <c r="CI346" s="1">
        <v>6.1824000000000003</v>
      </c>
      <c r="CL346" s="1425">
        <v>44740</v>
      </c>
      <c r="CM346" s="1">
        <v>22.818200000000001</v>
      </c>
      <c r="CN346" s="1">
        <v>2.83</v>
      </c>
      <c r="CO346" s="1">
        <v>12.2042</v>
      </c>
    </row>
    <row r="347" spans="1:93">
      <c r="A347" s="1425">
        <v>44733</v>
      </c>
      <c r="B347" s="20">
        <f t="shared" si="52"/>
        <v>13.9605</v>
      </c>
      <c r="C347" s="20">
        <f t="shared" si="54"/>
        <v>11.579599999999999</v>
      </c>
      <c r="D347" s="20">
        <f t="shared" si="55"/>
        <v>13.569800000000001</v>
      </c>
      <c r="E347" s="20">
        <f t="shared" si="56"/>
        <v>6.7987000000000002</v>
      </c>
      <c r="F347" s="20">
        <f t="shared" si="57"/>
        <v>14.521000000000001</v>
      </c>
      <c r="G347" s="20">
        <f t="shared" si="58"/>
        <v>12.055400000000001</v>
      </c>
      <c r="H347" s="1239">
        <f t="shared" si="59"/>
        <v>12.055400000000001</v>
      </c>
      <c r="I347" s="1243">
        <f t="shared" si="53"/>
        <v>0.15802876719146597</v>
      </c>
      <c r="J347" s="1243">
        <f t="shared" si="60"/>
        <v>0.12093838824177333</v>
      </c>
      <c r="K347" s="1243">
        <f t="shared" si="61"/>
        <v>0.1</v>
      </c>
      <c r="L347" s="203"/>
      <c r="N347" s="1425">
        <v>44733</v>
      </c>
      <c r="O347" s="1502">
        <v>13.9605</v>
      </c>
      <c r="P347" s="1502">
        <v>5.3402000000000003</v>
      </c>
      <c r="Q347" s="1502">
        <v>15.6762</v>
      </c>
      <c r="R347" s="1233">
        <f>'B. PE'!$U$23</f>
        <v>15.978235616082999</v>
      </c>
      <c r="S347" s="1233"/>
      <c r="T347" s="1233"/>
      <c r="V347" s="1425">
        <v>44733</v>
      </c>
      <c r="W347" s="1">
        <v>11.579599999999999</v>
      </c>
      <c r="X347" s="1">
        <v>1.7619</v>
      </c>
      <c r="Y347" s="1">
        <v>10.7301</v>
      </c>
      <c r="Z347" s="1">
        <v>1.4710399999999999</v>
      </c>
      <c r="AB347" s="1425">
        <v>44722</v>
      </c>
      <c r="AC347" s="1">
        <v>7.6711999999999998</v>
      </c>
      <c r="AD347" s="1502">
        <v>1.2345999999999999</v>
      </c>
      <c r="AE347" s="1">
        <v>5.0536000000000003</v>
      </c>
      <c r="AF347" s="1">
        <v>3.5189999999999999E-2</v>
      </c>
      <c r="AH347" s="1425">
        <v>44722</v>
      </c>
      <c r="AI347" s="1">
        <v>14.4596</v>
      </c>
      <c r="AJ347" s="1">
        <v>2.7256999999999998</v>
      </c>
      <c r="AK347" s="1">
        <v>7.8882000000000003</v>
      </c>
      <c r="AL347" s="1">
        <v>4.6920000000000003E-2</v>
      </c>
      <c r="AN347" s="1425">
        <v>44720</v>
      </c>
      <c r="AO347" s="1">
        <v>7.5247999999999999</v>
      </c>
      <c r="AP347" s="1">
        <v>1.0593999999999999</v>
      </c>
      <c r="AQ347" s="1">
        <v>5.0853999999999999</v>
      </c>
      <c r="AR347" s="1">
        <v>0.25681999999999999</v>
      </c>
      <c r="AT347" s="1425">
        <v>44720</v>
      </c>
      <c r="AU347" s="1">
        <v>13.1579</v>
      </c>
      <c r="AV347" s="1">
        <v>0.86240000000000006</v>
      </c>
      <c r="AW347" s="1">
        <v>8.6577000000000002</v>
      </c>
      <c r="AX347" s="1">
        <v>0.20795</v>
      </c>
      <c r="BA347" s="1425">
        <v>44719</v>
      </c>
      <c r="BB347" s="1">
        <v>12.4978</v>
      </c>
      <c r="BC347" s="1">
        <v>2.8715000000000002</v>
      </c>
      <c r="BD347" s="1">
        <v>13.414999999999999</v>
      </c>
      <c r="BE347" s="1">
        <v>0.84672000000000003</v>
      </c>
      <c r="BG347" s="1425">
        <v>44719</v>
      </c>
      <c r="BH347" s="1">
        <v>16.257200000000001</v>
      </c>
      <c r="BI347" s="1">
        <v>4.2233999999999998</v>
      </c>
      <c r="BJ347" s="1">
        <v>22.5763</v>
      </c>
      <c r="BT347" s="1425">
        <v>44733</v>
      </c>
      <c r="BU347" s="1">
        <v>20.343</v>
      </c>
      <c r="BV347" s="1">
        <v>4.8071999999999999</v>
      </c>
      <c r="BW347" s="1">
        <v>12.7692</v>
      </c>
      <c r="BX347" s="1">
        <v>3.3445</v>
      </c>
      <c r="BZ347" s="1425">
        <v>44733</v>
      </c>
      <c r="CA347" s="1">
        <v>20.474</v>
      </c>
      <c r="CB347" s="1">
        <v>5.8562000000000003</v>
      </c>
      <c r="CC347" s="1">
        <v>18.619800000000001</v>
      </c>
      <c r="CD347" s="1">
        <v>3.8178200000000002</v>
      </c>
      <c r="CF347" s="1425">
        <v>44732</v>
      </c>
      <c r="CG347" s="1">
        <v>4.2877999999999998</v>
      </c>
      <c r="CH347" s="1">
        <v>1.3973</v>
      </c>
      <c r="CI347" s="1">
        <v>6.2949999999999999</v>
      </c>
      <c r="CL347" s="1425">
        <v>44739</v>
      </c>
      <c r="CM347" s="1">
        <v>22.890699999999999</v>
      </c>
      <c r="CN347" s="1">
        <v>2.839</v>
      </c>
      <c r="CO347" s="1">
        <v>12.243</v>
      </c>
    </row>
    <row r="348" spans="1:93">
      <c r="A348" s="1425">
        <v>44732</v>
      </c>
      <c r="B348" s="20">
        <f t="shared" si="52"/>
        <v>14.193199999999999</v>
      </c>
      <c r="C348" s="20">
        <f t="shared" si="54"/>
        <v>12.2828</v>
      </c>
      <c r="D348" s="20">
        <f t="shared" si="55"/>
        <v>13.680999999999999</v>
      </c>
      <c r="E348" s="20">
        <f t="shared" si="56"/>
        <v>6.7987000000000002</v>
      </c>
      <c r="F348" s="20">
        <f t="shared" si="57"/>
        <v>14.363099999999999</v>
      </c>
      <c r="G348" s="20">
        <f t="shared" si="58"/>
        <v>11.944800000000001</v>
      </c>
      <c r="H348" s="1239">
        <f t="shared" si="59"/>
        <v>12.2828</v>
      </c>
      <c r="I348" s="1243">
        <f t="shared" si="53"/>
        <v>0.15553456866512505</v>
      </c>
      <c r="J348" s="1243">
        <f t="shared" si="60"/>
        <v>0.12093838824177333</v>
      </c>
      <c r="K348" s="1243">
        <f t="shared" si="61"/>
        <v>0.1</v>
      </c>
      <c r="L348" s="203"/>
      <c r="N348" s="1425">
        <v>44732</v>
      </c>
      <c r="O348" s="1502">
        <v>14.193199999999999</v>
      </c>
      <c r="P348" s="1502">
        <v>5.4291999999999998</v>
      </c>
      <c r="Q348" s="1502">
        <v>15.9068</v>
      </c>
      <c r="R348" s="1233">
        <f>'B. PE'!$U$23</f>
        <v>15.978235616082999</v>
      </c>
      <c r="S348" s="1233"/>
      <c r="T348" s="1233"/>
      <c r="V348" s="1425">
        <v>44732</v>
      </c>
      <c r="W348" s="1">
        <v>12.2828</v>
      </c>
      <c r="X348" s="1">
        <v>1.8689</v>
      </c>
      <c r="Y348" s="1">
        <v>11.2219</v>
      </c>
      <c r="Z348" s="1">
        <v>1.3769199999999999</v>
      </c>
      <c r="AB348" s="1425">
        <v>44721</v>
      </c>
      <c r="AC348" s="1">
        <v>7.7478999999999996</v>
      </c>
      <c r="AD348" s="1502">
        <v>1.2468999999999999</v>
      </c>
      <c r="AE348" s="1">
        <v>5.0909000000000004</v>
      </c>
      <c r="AF348" s="1">
        <v>3.526E-2</v>
      </c>
      <c r="AH348" s="1425">
        <v>44721</v>
      </c>
      <c r="AI348" s="1">
        <v>14.5708</v>
      </c>
      <c r="AJ348" s="1">
        <v>2.7465999999999999</v>
      </c>
      <c r="AK348" s="1">
        <v>7.9466000000000001</v>
      </c>
      <c r="AL348" s="1">
        <v>4.7370000000000002E-2</v>
      </c>
      <c r="AN348" s="1425">
        <v>44719</v>
      </c>
      <c r="AO348" s="1">
        <v>7.4587000000000003</v>
      </c>
      <c r="AP348" s="1">
        <v>1.0501</v>
      </c>
      <c r="AQ348" s="1">
        <v>5.0357000000000003</v>
      </c>
      <c r="AR348" s="1">
        <v>0.25292999999999999</v>
      </c>
      <c r="AT348" s="1425">
        <v>44719</v>
      </c>
      <c r="AU348" s="1">
        <v>12.7424</v>
      </c>
      <c r="AV348" s="1">
        <v>0.83520000000000005</v>
      </c>
      <c r="AW348" s="1">
        <v>8.4198000000000004</v>
      </c>
      <c r="AX348" s="1">
        <v>0.20735999999999999</v>
      </c>
      <c r="BA348" s="1425">
        <v>44718</v>
      </c>
      <c r="BB348" s="1">
        <v>12.6084</v>
      </c>
      <c r="BC348" s="1">
        <v>2.8969</v>
      </c>
      <c r="BD348" s="1">
        <v>13.501200000000001</v>
      </c>
      <c r="BE348" s="1">
        <v>0.85841000000000001</v>
      </c>
      <c r="BG348" s="1425">
        <v>44718</v>
      </c>
      <c r="BH348" s="1">
        <v>16.4939</v>
      </c>
      <c r="BI348" s="1">
        <v>4.2849000000000004</v>
      </c>
      <c r="BJ348" s="1">
        <v>22.8507</v>
      </c>
      <c r="BT348" s="1425">
        <v>44732</v>
      </c>
      <c r="BU348" s="1">
        <v>20.453700000000001</v>
      </c>
      <c r="BV348" s="1">
        <v>4.8334000000000001</v>
      </c>
      <c r="BW348" s="1">
        <v>12.833</v>
      </c>
      <c r="BX348" s="1">
        <v>3.4051999999999998</v>
      </c>
      <c r="BZ348" s="1425">
        <v>44732</v>
      </c>
      <c r="CA348" s="1">
        <v>21.993200000000002</v>
      </c>
      <c r="CB348" s="1">
        <v>6.2907000000000002</v>
      </c>
      <c r="CC348" s="1">
        <v>19.660900000000002</v>
      </c>
      <c r="CD348" s="1">
        <v>3.6619199999999998</v>
      </c>
      <c r="CF348" s="1425">
        <v>44729</v>
      </c>
      <c r="CG348" s="1">
        <v>4.7205000000000004</v>
      </c>
      <c r="CH348" s="1">
        <v>1.5383</v>
      </c>
      <c r="CI348" s="1">
        <v>6.6489000000000003</v>
      </c>
      <c r="CL348" s="1425">
        <v>44736</v>
      </c>
      <c r="CM348" s="1">
        <v>22.847200000000001</v>
      </c>
      <c r="CN348" s="1">
        <v>2.8336000000000001</v>
      </c>
      <c r="CO348" s="1">
        <v>12.2197</v>
      </c>
    </row>
    <row r="349" spans="1:93">
      <c r="A349" s="1425">
        <v>44729</v>
      </c>
      <c r="B349" s="20">
        <f t="shared" si="52"/>
        <v>14.6585</v>
      </c>
      <c r="C349" s="20">
        <f t="shared" si="54"/>
        <v>12.6891</v>
      </c>
      <c r="D349" s="20">
        <f t="shared" si="55"/>
        <v>14.014699999999999</v>
      </c>
      <c r="E349" s="20">
        <f t="shared" si="56"/>
        <v>7.0627000000000004</v>
      </c>
      <c r="F349" s="20">
        <f t="shared" si="57"/>
        <v>14.363099999999999</v>
      </c>
      <c r="G349" s="20">
        <f t="shared" si="58"/>
        <v>11.723599999999999</v>
      </c>
      <c r="H349" s="1239">
        <f t="shared" si="59"/>
        <v>12.6891</v>
      </c>
      <c r="I349" s="1243">
        <f t="shared" si="53"/>
        <v>0.1552040727868802</v>
      </c>
      <c r="J349" s="1243">
        <f t="shared" si="60"/>
        <v>0.12093838824177333</v>
      </c>
      <c r="K349" s="1243">
        <f t="shared" si="61"/>
        <v>0.1</v>
      </c>
      <c r="L349" s="203"/>
      <c r="N349" s="1425">
        <v>44729</v>
      </c>
      <c r="O349" s="1502">
        <v>14.6585</v>
      </c>
      <c r="P349" s="1502">
        <v>5.6071999999999997</v>
      </c>
      <c r="Q349" s="1502">
        <v>16.368099999999998</v>
      </c>
      <c r="R349" s="1233">
        <f>'B. PE'!$U$23</f>
        <v>15.978235616082999</v>
      </c>
      <c r="S349" s="1233"/>
      <c r="T349" s="1233"/>
      <c r="V349" s="1425">
        <v>44729</v>
      </c>
      <c r="W349" s="1">
        <v>12.6891</v>
      </c>
      <c r="X349" s="1">
        <v>1.9307000000000001</v>
      </c>
      <c r="Y349" s="1">
        <v>11.506</v>
      </c>
      <c r="Z349" s="1">
        <v>1.2880199999999999</v>
      </c>
      <c r="AB349" s="1425">
        <v>44720</v>
      </c>
      <c r="AC349" s="1">
        <v>7.8246000000000002</v>
      </c>
      <c r="AD349" s="1502">
        <v>1.2593000000000001</v>
      </c>
      <c r="AE349" s="1">
        <v>5.1280999999999999</v>
      </c>
      <c r="AF349" s="1">
        <v>3.5340000000000003E-2</v>
      </c>
      <c r="AH349" s="1425">
        <v>44720</v>
      </c>
      <c r="AI349" s="1">
        <v>15.127000000000001</v>
      </c>
      <c r="AJ349" s="1">
        <v>2.8515000000000001</v>
      </c>
      <c r="AK349" s="1">
        <v>8.2386999999999997</v>
      </c>
      <c r="AL349" s="1">
        <v>4.7809999999999998E-2</v>
      </c>
      <c r="AN349" s="1425">
        <v>44715</v>
      </c>
      <c r="AO349" s="1">
        <v>7.4587000000000003</v>
      </c>
      <c r="AP349" s="1">
        <v>1.0501</v>
      </c>
      <c r="AQ349" s="1">
        <v>5.0357000000000003</v>
      </c>
      <c r="AR349" s="1">
        <v>0.25546999999999997</v>
      </c>
      <c r="AT349" s="1425">
        <v>44715</v>
      </c>
      <c r="AU349" s="1">
        <v>12.6731</v>
      </c>
      <c r="AV349" s="1">
        <v>0.83069999999999999</v>
      </c>
      <c r="AW349" s="1">
        <v>8.3796999999999997</v>
      </c>
      <c r="AX349" s="1">
        <v>0.20871000000000001</v>
      </c>
      <c r="BA349" s="1425">
        <v>44714</v>
      </c>
      <c r="BB349" s="1">
        <v>12.829599999999999</v>
      </c>
      <c r="BC349" s="1">
        <v>2.9477000000000002</v>
      </c>
      <c r="BD349" s="1">
        <v>13.6737</v>
      </c>
      <c r="BE349" s="1">
        <v>0.86063999999999996</v>
      </c>
      <c r="BG349" s="1425">
        <v>44714</v>
      </c>
      <c r="BH349" s="1">
        <v>16.8096</v>
      </c>
      <c r="BI349" s="1">
        <v>4.3669000000000002</v>
      </c>
      <c r="BJ349" s="1">
        <v>23.2165</v>
      </c>
      <c r="BT349" s="1425">
        <v>44729</v>
      </c>
      <c r="BU349" s="1">
        <v>21.505400000000002</v>
      </c>
      <c r="BV349" s="1">
        <v>5.0819000000000001</v>
      </c>
      <c r="BW349" s="1">
        <v>13.4392</v>
      </c>
      <c r="BX349" s="1">
        <v>3.1831999999999998</v>
      </c>
      <c r="BZ349" s="1425">
        <v>44729</v>
      </c>
      <c r="CA349" s="1">
        <v>23.126799999999999</v>
      </c>
      <c r="CB349" s="1">
        <v>6.6150000000000002</v>
      </c>
      <c r="CC349" s="1">
        <v>20.437899999999999</v>
      </c>
      <c r="CD349" s="1">
        <v>3.4257900000000001</v>
      </c>
      <c r="CF349" s="1425">
        <v>44728</v>
      </c>
      <c r="CG349" s="1">
        <v>4.9368999999999996</v>
      </c>
      <c r="CH349" s="1">
        <v>1.6088</v>
      </c>
      <c r="CI349" s="1">
        <v>6.8258999999999999</v>
      </c>
      <c r="CL349" s="1425">
        <v>44735</v>
      </c>
      <c r="CM349" s="1">
        <v>22.252800000000001</v>
      </c>
      <c r="CN349" s="1">
        <v>2.7599</v>
      </c>
      <c r="CO349" s="1">
        <v>11.901199999999999</v>
      </c>
    </row>
    <row r="350" spans="1:93">
      <c r="A350" s="1425">
        <v>44728</v>
      </c>
      <c r="B350" s="20">
        <f t="shared" si="52"/>
        <v>14.8912</v>
      </c>
      <c r="C350" s="20">
        <f t="shared" si="54"/>
        <v>11.860900000000001</v>
      </c>
      <c r="D350" s="20">
        <f t="shared" si="55"/>
        <v>14.014699999999999</v>
      </c>
      <c r="E350" s="20">
        <f t="shared" si="56"/>
        <v>7.1947000000000001</v>
      </c>
      <c r="F350" s="20">
        <f t="shared" si="57"/>
        <v>14.363099999999999</v>
      </c>
      <c r="G350" s="20">
        <f t="shared" si="58"/>
        <v>11.613</v>
      </c>
      <c r="H350" s="1239">
        <f t="shared" si="59"/>
        <v>11.860900000000001</v>
      </c>
      <c r="I350" s="1243">
        <f t="shared" si="53"/>
        <v>0.25548651451407545</v>
      </c>
      <c r="J350" s="1243">
        <f t="shared" si="60"/>
        <v>0.12093838824177333</v>
      </c>
      <c r="K350" s="1243">
        <f t="shared" si="61"/>
        <v>0.1</v>
      </c>
      <c r="L350" s="203"/>
      <c r="N350" s="1425">
        <v>44728</v>
      </c>
      <c r="O350" s="1502">
        <v>14.8912</v>
      </c>
      <c r="P350" s="1502">
        <v>5.6962000000000002</v>
      </c>
      <c r="Q350" s="1502">
        <v>16.598700000000001</v>
      </c>
      <c r="R350" s="1233">
        <f>'B. PE'!$U$23</f>
        <v>15.978235616082999</v>
      </c>
      <c r="S350" s="1233"/>
      <c r="T350" s="1233"/>
      <c r="V350" s="1425">
        <v>44728</v>
      </c>
      <c r="W350" s="1">
        <v>11.860900000000001</v>
      </c>
      <c r="X350" s="1">
        <v>1.8047</v>
      </c>
      <c r="Y350" s="1">
        <v>10.9268</v>
      </c>
      <c r="Z350" s="1">
        <v>1.37784</v>
      </c>
      <c r="AB350" s="1425">
        <v>44719</v>
      </c>
      <c r="AC350" s="1">
        <v>7.8246000000000002</v>
      </c>
      <c r="AD350" s="1502">
        <v>1.2593000000000001</v>
      </c>
      <c r="AE350" s="1">
        <v>5.1280999999999999</v>
      </c>
      <c r="AF350" s="1">
        <v>3.5340000000000003E-2</v>
      </c>
      <c r="AH350" s="1425">
        <v>44719</v>
      </c>
      <c r="AI350" s="1">
        <v>15.238200000000001</v>
      </c>
      <c r="AJ350" s="1">
        <v>2.8723999999999998</v>
      </c>
      <c r="AK350" s="1">
        <v>8.2972000000000001</v>
      </c>
      <c r="AL350" s="1">
        <v>4.7460000000000002E-2</v>
      </c>
      <c r="AN350" s="1425">
        <v>44714</v>
      </c>
      <c r="AO350" s="1">
        <v>7.3266999999999998</v>
      </c>
      <c r="AP350" s="1">
        <v>1.0315000000000001</v>
      </c>
      <c r="AQ350" s="1">
        <v>4.9363000000000001</v>
      </c>
      <c r="AR350" s="1">
        <v>0.25580999999999998</v>
      </c>
      <c r="AT350" s="1425">
        <v>44714</v>
      </c>
      <c r="AU350" s="1">
        <v>12.603899999999999</v>
      </c>
      <c r="AV350" s="1">
        <v>0.82609999999999995</v>
      </c>
      <c r="AW350" s="1">
        <v>8.3400999999999996</v>
      </c>
      <c r="AX350" s="1">
        <v>0.20899000000000001</v>
      </c>
      <c r="BA350" s="1425">
        <v>44713</v>
      </c>
      <c r="BB350" s="1">
        <v>13.050800000000001</v>
      </c>
      <c r="BC350" s="1">
        <v>2.9986000000000002</v>
      </c>
      <c r="BD350" s="1">
        <v>13.8462</v>
      </c>
      <c r="BE350" s="1">
        <v>0.88754</v>
      </c>
      <c r="BG350" s="1425">
        <v>44713</v>
      </c>
      <c r="BH350" s="1">
        <v>17.283100000000001</v>
      </c>
      <c r="BI350" s="1">
        <v>4.4898999999999996</v>
      </c>
      <c r="BJ350" s="1">
        <v>23.7651</v>
      </c>
      <c r="BT350" s="1425">
        <v>44728</v>
      </c>
      <c r="BU350" s="1">
        <v>21.865300000000001</v>
      </c>
      <c r="BV350" s="1">
        <v>5.1669999999999998</v>
      </c>
      <c r="BW350" s="1">
        <v>13.646699999999999</v>
      </c>
      <c r="BX350" s="1">
        <v>3.0907</v>
      </c>
      <c r="BZ350" s="1425">
        <v>44728</v>
      </c>
      <c r="CA350" s="1">
        <v>22.151900000000001</v>
      </c>
      <c r="CB350" s="1">
        <v>6.3361000000000001</v>
      </c>
      <c r="CC350" s="1">
        <v>19.7697</v>
      </c>
      <c r="CD350" s="1">
        <v>3.37113</v>
      </c>
      <c r="CF350" s="1425">
        <v>44727</v>
      </c>
      <c r="CG350" s="1">
        <v>4.7205000000000004</v>
      </c>
      <c r="CH350" s="1">
        <v>1.5383</v>
      </c>
      <c r="CI350" s="1">
        <v>6.6489000000000003</v>
      </c>
      <c r="CL350" s="1425">
        <v>44734</v>
      </c>
      <c r="CM350" s="1">
        <v>22.615300000000001</v>
      </c>
      <c r="CN350" s="1">
        <v>2.8048000000000002</v>
      </c>
      <c r="CO350" s="1">
        <v>12.0954</v>
      </c>
    </row>
    <row r="351" spans="1:93">
      <c r="A351" s="1425">
        <v>44727</v>
      </c>
      <c r="B351" s="20">
        <f t="shared" si="52"/>
        <v>14.4026</v>
      </c>
      <c r="C351" s="20">
        <f t="shared" si="54"/>
        <v>11.0952</v>
      </c>
      <c r="D351" s="20">
        <f t="shared" si="55"/>
        <v>13.792299999999999</v>
      </c>
      <c r="E351" s="20">
        <f t="shared" si="56"/>
        <v>7.1947000000000001</v>
      </c>
      <c r="F351" s="20">
        <f t="shared" si="57"/>
        <v>14.5999</v>
      </c>
      <c r="G351" s="20">
        <f t="shared" si="58"/>
        <v>11.613</v>
      </c>
      <c r="H351" s="1239">
        <f t="shared" si="59"/>
        <v>11.613</v>
      </c>
      <c r="I351" s="1243">
        <f t="shared" si="53"/>
        <v>0.24021355377594067</v>
      </c>
      <c r="J351" s="1243">
        <f t="shared" si="60"/>
        <v>0.12093838824177333</v>
      </c>
      <c r="K351" s="1243">
        <f t="shared" si="61"/>
        <v>0.1</v>
      </c>
      <c r="L351" s="203"/>
      <c r="N351" s="1425">
        <v>44727</v>
      </c>
      <c r="O351" s="1502">
        <v>14.4026</v>
      </c>
      <c r="P351" s="1502">
        <v>5.5092999999999996</v>
      </c>
      <c r="Q351" s="1502">
        <v>16.1144</v>
      </c>
      <c r="R351" s="1233">
        <f>'B. PE'!$U$23</f>
        <v>15.978235616082999</v>
      </c>
      <c r="S351" s="1233"/>
      <c r="T351" s="1233"/>
      <c r="V351" s="1425">
        <v>44727</v>
      </c>
      <c r="W351" s="1">
        <v>11.0952</v>
      </c>
      <c r="X351" s="1">
        <v>1.6881999999999999</v>
      </c>
      <c r="Y351" s="1">
        <v>10.391299999999999</v>
      </c>
      <c r="Z351" s="1">
        <v>1.4130799999999999</v>
      </c>
      <c r="AB351" s="1425">
        <v>44718</v>
      </c>
      <c r="AC351" s="1">
        <v>7.8246000000000002</v>
      </c>
      <c r="AD351" s="1502">
        <v>1.2593000000000001</v>
      </c>
      <c r="AE351" s="1">
        <v>5.1280999999999999</v>
      </c>
      <c r="AF351" s="1">
        <v>3.567E-2</v>
      </c>
      <c r="AH351" s="1425">
        <v>44718</v>
      </c>
      <c r="AI351" s="1">
        <v>15.349399999999999</v>
      </c>
      <c r="AJ351" s="1">
        <v>2.8934000000000002</v>
      </c>
      <c r="AK351" s="1">
        <v>8.3556000000000008</v>
      </c>
      <c r="AL351" s="1">
        <v>4.8140000000000002E-2</v>
      </c>
      <c r="AN351" s="1425">
        <v>44713</v>
      </c>
      <c r="AO351" s="1">
        <v>7.3926999999999996</v>
      </c>
      <c r="AP351" s="1">
        <v>1.0407999999999999</v>
      </c>
      <c r="AQ351" s="1">
        <v>4.9859999999999998</v>
      </c>
      <c r="AR351" s="1">
        <v>0.25646999999999998</v>
      </c>
      <c r="AT351" s="1425">
        <v>44713</v>
      </c>
      <c r="AU351" s="1">
        <v>12.6731</v>
      </c>
      <c r="AV351" s="1">
        <v>0.83069999999999999</v>
      </c>
      <c r="AW351" s="1">
        <v>8.3796999999999997</v>
      </c>
      <c r="AX351" s="1">
        <v>0.20952999999999999</v>
      </c>
      <c r="BA351" s="1425">
        <v>44712</v>
      </c>
      <c r="BB351" s="1">
        <v>13.050800000000001</v>
      </c>
      <c r="BC351" s="1">
        <v>2.9986000000000002</v>
      </c>
      <c r="BD351" s="1">
        <v>13.8462</v>
      </c>
      <c r="BE351" s="1">
        <v>0.89410999999999996</v>
      </c>
      <c r="BG351" s="1425">
        <v>44712</v>
      </c>
      <c r="BH351" s="1">
        <v>17.440899999999999</v>
      </c>
      <c r="BI351" s="1">
        <v>4.5308999999999999</v>
      </c>
      <c r="BJ351" s="1">
        <v>23.948</v>
      </c>
      <c r="BT351" s="1425">
        <v>44727</v>
      </c>
      <c r="BU351" s="1">
        <v>20.439900000000002</v>
      </c>
      <c r="BV351" s="1">
        <v>4.8300999999999998</v>
      </c>
      <c r="BW351" s="1">
        <v>12.824999999999999</v>
      </c>
      <c r="BX351" s="1">
        <v>3.0169999999999999</v>
      </c>
      <c r="BZ351" s="1425">
        <v>44727</v>
      </c>
      <c r="CA351" s="1">
        <v>20.723400000000002</v>
      </c>
      <c r="CB351" s="1">
        <v>5.9275000000000002</v>
      </c>
      <c r="CC351" s="1">
        <v>18.790700000000001</v>
      </c>
      <c r="CD351" s="1">
        <v>3.45173</v>
      </c>
      <c r="CF351" s="1425">
        <v>44726</v>
      </c>
      <c r="CG351" s="1">
        <v>4.8384999999999998</v>
      </c>
      <c r="CH351" s="1">
        <v>1.5767</v>
      </c>
      <c r="CI351" s="1">
        <v>6.7454000000000001</v>
      </c>
      <c r="CL351" s="1425">
        <v>44733</v>
      </c>
      <c r="CM351" s="1">
        <v>22.832699999999999</v>
      </c>
      <c r="CN351" s="1">
        <v>2.8317999999999999</v>
      </c>
      <c r="CO351" s="1">
        <v>12.2119</v>
      </c>
    </row>
    <row r="352" spans="1:93">
      <c r="A352" s="1425">
        <v>44726</v>
      </c>
      <c r="B352" s="20">
        <f t="shared" si="52"/>
        <v>14.065200000000001</v>
      </c>
      <c r="C352" s="20">
        <f t="shared" si="54"/>
        <v>11.8765</v>
      </c>
      <c r="D352" s="20">
        <f t="shared" si="55"/>
        <v>14.1259</v>
      </c>
      <c r="E352" s="20">
        <f t="shared" si="56"/>
        <v>7.1947000000000001</v>
      </c>
      <c r="F352" s="20">
        <f t="shared" si="57"/>
        <v>14.9156</v>
      </c>
      <c r="G352" s="20">
        <f t="shared" si="58"/>
        <v>11.723599999999999</v>
      </c>
      <c r="H352" s="1239">
        <f t="shared" si="59"/>
        <v>11.8765</v>
      </c>
      <c r="I352" s="1243">
        <f t="shared" si="53"/>
        <v>0.18428830042520961</v>
      </c>
      <c r="J352" s="1243">
        <f t="shared" si="60"/>
        <v>0.12093838824177333</v>
      </c>
      <c r="K352" s="1243">
        <f t="shared" si="61"/>
        <v>0.1</v>
      </c>
      <c r="L352" s="203"/>
      <c r="N352" s="1425">
        <v>44726</v>
      </c>
      <c r="O352" s="1502">
        <v>14.065200000000001</v>
      </c>
      <c r="P352" s="1502">
        <v>5.3803000000000001</v>
      </c>
      <c r="Q352" s="1502">
        <v>15.7799</v>
      </c>
      <c r="R352" s="1233">
        <f>'B. PE'!$U$23</f>
        <v>15.978235616082999</v>
      </c>
      <c r="S352" s="1233"/>
      <c r="T352" s="1233"/>
      <c r="V352" s="1425">
        <v>44726</v>
      </c>
      <c r="W352" s="1">
        <v>11.8765</v>
      </c>
      <c r="X352" s="1">
        <v>1.8070999999999999</v>
      </c>
      <c r="Y352" s="1">
        <v>10.937799999999999</v>
      </c>
      <c r="Z352" s="1">
        <v>1.51986</v>
      </c>
      <c r="AB352" s="1425">
        <v>44715</v>
      </c>
      <c r="AC352" s="1">
        <v>7.8246000000000002</v>
      </c>
      <c r="AD352" s="1502">
        <v>1.2593000000000001</v>
      </c>
      <c r="AE352" s="1">
        <v>5.1280999999999999</v>
      </c>
      <c r="AF352" s="1">
        <v>3.6790000000000003E-2</v>
      </c>
      <c r="AH352" s="1425">
        <v>44715</v>
      </c>
      <c r="AI352" s="1">
        <v>15.238200000000001</v>
      </c>
      <c r="AJ352" s="1">
        <v>2.8723999999999998</v>
      </c>
      <c r="AK352" s="1">
        <v>8.2972000000000001</v>
      </c>
      <c r="AL352" s="1">
        <v>4.7449999999999999E-2</v>
      </c>
      <c r="AN352" s="1425">
        <v>44712</v>
      </c>
      <c r="AO352" s="1">
        <v>7.3926999999999996</v>
      </c>
      <c r="AP352" s="1">
        <v>1.0407999999999999</v>
      </c>
      <c r="AQ352" s="1">
        <v>4.9859999999999998</v>
      </c>
      <c r="AR352" s="1">
        <v>0.25803999999999999</v>
      </c>
      <c r="AT352" s="1425">
        <v>44712</v>
      </c>
      <c r="AU352" s="1">
        <v>12.6731</v>
      </c>
      <c r="AV352" s="1">
        <v>0.83069999999999999</v>
      </c>
      <c r="AW352" s="1">
        <v>8.3789999999999996</v>
      </c>
      <c r="AX352" s="1">
        <v>0.21007999999999999</v>
      </c>
      <c r="BA352" s="1425">
        <v>44711</v>
      </c>
      <c r="BB352" s="1">
        <v>13.3826</v>
      </c>
      <c r="BC352" s="1">
        <v>3.0748000000000002</v>
      </c>
      <c r="BD352" s="1">
        <v>14.104799999999999</v>
      </c>
      <c r="BE352" s="1">
        <v>0.89027999999999996</v>
      </c>
      <c r="BG352" s="1425">
        <v>44711</v>
      </c>
      <c r="BH352" s="1">
        <v>17.125299999999999</v>
      </c>
      <c r="BI352" s="1">
        <v>4.4489000000000001</v>
      </c>
      <c r="BJ352" s="1">
        <v>23.5822</v>
      </c>
      <c r="BT352" s="1425">
        <v>44726</v>
      </c>
      <c r="BU352" s="1">
        <v>19.858599999999999</v>
      </c>
      <c r="BV352" s="1">
        <v>4.6928000000000001</v>
      </c>
      <c r="BW352" s="1">
        <v>12.49</v>
      </c>
      <c r="BX352" s="1">
        <v>3.2357999999999998</v>
      </c>
      <c r="BZ352" s="1425">
        <v>44726</v>
      </c>
      <c r="CA352" s="1">
        <v>20.405999999999999</v>
      </c>
      <c r="CB352" s="1">
        <v>5.8367000000000004</v>
      </c>
      <c r="CC352" s="1">
        <v>18.5732</v>
      </c>
      <c r="CD352" s="1">
        <v>3.7141700000000002</v>
      </c>
      <c r="CF352" s="1425">
        <v>44725</v>
      </c>
      <c r="CG352" s="1">
        <v>5.0941999999999998</v>
      </c>
      <c r="CH352" s="1">
        <v>1.6600999999999999</v>
      </c>
      <c r="CI352" s="1">
        <v>6.9545000000000003</v>
      </c>
      <c r="CL352" s="1425">
        <v>44732</v>
      </c>
      <c r="CM352" s="1">
        <v>22.151399999999999</v>
      </c>
      <c r="CN352" s="1">
        <v>2.7473000000000001</v>
      </c>
      <c r="CO352" s="1">
        <v>11.8469</v>
      </c>
    </row>
    <row r="353" spans="1:93">
      <c r="A353" s="1425">
        <v>44725</v>
      </c>
      <c r="B353" s="20">
        <f t="shared" si="52"/>
        <v>14.507300000000001</v>
      </c>
      <c r="C353" s="20">
        <f t="shared" si="54"/>
        <v>12.173400000000001</v>
      </c>
      <c r="D353" s="20">
        <f t="shared" si="55"/>
        <v>13.903499999999999</v>
      </c>
      <c r="E353" s="20">
        <f t="shared" si="56"/>
        <v>7.1947000000000001</v>
      </c>
      <c r="F353" s="20">
        <f t="shared" si="57"/>
        <v>14.9945</v>
      </c>
      <c r="G353" s="20">
        <f t="shared" si="58"/>
        <v>12.166</v>
      </c>
      <c r="H353" s="1239">
        <f t="shared" si="59"/>
        <v>12.173400000000001</v>
      </c>
      <c r="I353" s="1243">
        <f t="shared" si="53"/>
        <v>0.19172129396881732</v>
      </c>
      <c r="J353" s="1243">
        <f t="shared" si="60"/>
        <v>0.12093838824177333</v>
      </c>
      <c r="K353" s="1243">
        <f t="shared" si="61"/>
        <v>0.1</v>
      </c>
      <c r="L353" s="203"/>
      <c r="N353" s="1425">
        <v>44725</v>
      </c>
      <c r="O353" s="1502">
        <v>14.507300000000001</v>
      </c>
      <c r="P353" s="1502">
        <v>5.5494000000000003</v>
      </c>
      <c r="Q353" s="1502">
        <v>16.2182</v>
      </c>
      <c r="R353" s="1233">
        <f>'B. PE'!$U$23</f>
        <v>15.978235616082999</v>
      </c>
      <c r="S353" s="1233"/>
      <c r="T353" s="1233"/>
      <c r="V353" s="1425">
        <v>44725</v>
      </c>
      <c r="W353" s="1">
        <v>12.173400000000001</v>
      </c>
      <c r="X353" s="1">
        <v>1.8522000000000001</v>
      </c>
      <c r="Y353" s="1">
        <v>11.1454</v>
      </c>
      <c r="Z353" s="1">
        <v>1.63348</v>
      </c>
      <c r="AB353" s="1425">
        <v>44714</v>
      </c>
      <c r="AC353" s="1">
        <v>7.9013</v>
      </c>
      <c r="AD353" s="1502">
        <v>1.2716000000000001</v>
      </c>
      <c r="AE353" s="1">
        <v>5.1654</v>
      </c>
      <c r="AF353" s="1">
        <v>3.5779999999999999E-2</v>
      </c>
      <c r="AH353" s="1425">
        <v>44714</v>
      </c>
      <c r="AI353" s="1">
        <v>15.460699999999999</v>
      </c>
      <c r="AJ353" s="1">
        <v>2.9144000000000001</v>
      </c>
      <c r="AK353" s="1">
        <v>8.4139999999999997</v>
      </c>
      <c r="AL353" s="1">
        <v>5.0229999999999997E-2</v>
      </c>
      <c r="AN353" s="1425">
        <v>44711</v>
      </c>
      <c r="AO353" s="1">
        <v>7.3926999999999996</v>
      </c>
      <c r="AP353" s="1">
        <v>1.0407999999999999</v>
      </c>
      <c r="AQ353" s="1">
        <v>4.9859999999999998</v>
      </c>
      <c r="AR353" s="1">
        <v>0.25696000000000002</v>
      </c>
      <c r="AT353" s="1425">
        <v>44711</v>
      </c>
      <c r="AU353" s="1">
        <v>12.6731</v>
      </c>
      <c r="AV353" s="1">
        <v>0.83069999999999999</v>
      </c>
      <c r="AW353" s="1">
        <v>8.3789999999999996</v>
      </c>
      <c r="AX353" s="1">
        <v>0.20807</v>
      </c>
      <c r="BA353" s="1425">
        <v>44708</v>
      </c>
      <c r="BB353" s="1">
        <v>13.4932</v>
      </c>
      <c r="BC353" s="1">
        <v>3.1002000000000001</v>
      </c>
      <c r="BD353" s="1">
        <v>14.1911</v>
      </c>
      <c r="BE353" s="1">
        <v>0.86585999999999996</v>
      </c>
      <c r="BG353" s="1425">
        <v>44708</v>
      </c>
      <c r="BH353" s="1">
        <v>16.8096</v>
      </c>
      <c r="BI353" s="1">
        <v>4.3669000000000002</v>
      </c>
      <c r="BJ353" s="1">
        <v>23.2165</v>
      </c>
      <c r="BT353" s="1425">
        <v>44725</v>
      </c>
      <c r="BU353" s="1">
        <v>19.374300000000002</v>
      </c>
      <c r="BV353" s="1">
        <v>4.5782999999999996</v>
      </c>
      <c r="BW353" s="1">
        <v>12.210800000000001</v>
      </c>
      <c r="BX353" s="1">
        <v>3.2947000000000002</v>
      </c>
      <c r="BZ353" s="1425">
        <v>44725</v>
      </c>
      <c r="CA353" s="1">
        <v>20.882200000000001</v>
      </c>
      <c r="CB353" s="1">
        <v>5.9729000000000001</v>
      </c>
      <c r="CC353" s="1">
        <v>18.8995</v>
      </c>
      <c r="CD353" s="1">
        <v>3.7648999999999999</v>
      </c>
      <c r="CF353" s="1425">
        <v>44722</v>
      </c>
      <c r="CG353" s="1">
        <v>5.5465999999999998</v>
      </c>
      <c r="CH353" s="1">
        <v>1.8075000000000001</v>
      </c>
      <c r="CI353" s="1">
        <v>7.3244999999999996</v>
      </c>
      <c r="CL353" s="1425">
        <v>44729</v>
      </c>
      <c r="CM353" s="1">
        <v>22.122399999999999</v>
      </c>
      <c r="CN353" s="1">
        <v>2.7437</v>
      </c>
      <c r="CO353" s="1">
        <v>11.831300000000001</v>
      </c>
    </row>
    <row r="354" spans="1:93">
      <c r="A354" s="1425">
        <v>44722</v>
      </c>
      <c r="B354" s="20">
        <f t="shared" si="52"/>
        <v>15.5892</v>
      </c>
      <c r="C354" s="20">
        <f t="shared" si="54"/>
        <v>13.079800000000001</v>
      </c>
      <c r="D354" s="20">
        <f t="shared" si="55"/>
        <v>14.4596</v>
      </c>
      <c r="E354" s="20">
        <f t="shared" si="56"/>
        <v>7.3926999999999996</v>
      </c>
      <c r="F354" s="20">
        <f t="shared" si="57"/>
        <v>15.9415</v>
      </c>
      <c r="G354" s="20">
        <f t="shared" si="58"/>
        <v>12.6084</v>
      </c>
      <c r="H354" s="1239">
        <f t="shared" si="59"/>
        <v>13.079800000000001</v>
      </c>
      <c r="I354" s="1243">
        <f t="shared" si="53"/>
        <v>0.19185308643863053</v>
      </c>
      <c r="J354" s="1243">
        <f t="shared" si="60"/>
        <v>0.12093838824177333</v>
      </c>
      <c r="K354" s="1243">
        <f t="shared" si="61"/>
        <v>0.1</v>
      </c>
      <c r="L354" s="203"/>
      <c r="N354" s="1425">
        <v>44722</v>
      </c>
      <c r="O354" s="1502">
        <v>15.5892</v>
      </c>
      <c r="P354" s="1502">
        <v>5.9633000000000003</v>
      </c>
      <c r="Q354" s="1502">
        <v>17.2911</v>
      </c>
      <c r="R354" s="1233">
        <f>'B. PE'!$U$23</f>
        <v>15.978235616082999</v>
      </c>
      <c r="S354" s="1233"/>
      <c r="T354" s="1233"/>
      <c r="V354" s="1425">
        <v>44722</v>
      </c>
      <c r="W354" s="1">
        <v>13.079800000000001</v>
      </c>
      <c r="X354" s="1">
        <v>1.9902</v>
      </c>
      <c r="Y354" s="1">
        <v>11.779199999999999</v>
      </c>
      <c r="Z354" s="1">
        <v>1.66601</v>
      </c>
      <c r="AB354" s="1425">
        <v>44712</v>
      </c>
      <c r="AC354" s="1">
        <v>8.2081</v>
      </c>
      <c r="AD354" s="1502">
        <v>1.321</v>
      </c>
      <c r="AE354" s="1">
        <v>5.3144999999999998</v>
      </c>
      <c r="AF354" s="1">
        <v>3.5439999999999999E-2</v>
      </c>
      <c r="AH354" s="1425">
        <v>44712</v>
      </c>
      <c r="AI354" s="1">
        <v>15.349399999999999</v>
      </c>
      <c r="AJ354" s="1">
        <v>2.8934000000000002</v>
      </c>
      <c r="AK354" s="1">
        <v>8.3556000000000008</v>
      </c>
      <c r="AL354" s="1">
        <v>5.058E-2</v>
      </c>
      <c r="AN354" s="1425">
        <v>44708</v>
      </c>
      <c r="AO354" s="1">
        <v>7.4587000000000003</v>
      </c>
      <c r="AP354" s="1">
        <v>1.0501</v>
      </c>
      <c r="AQ354" s="1">
        <v>5.0357000000000003</v>
      </c>
      <c r="AR354" s="1">
        <v>0.25696000000000002</v>
      </c>
      <c r="AT354" s="1425">
        <v>44708</v>
      </c>
      <c r="AU354" s="1">
        <v>12.7424</v>
      </c>
      <c r="AV354" s="1">
        <v>0.83520000000000005</v>
      </c>
      <c r="AW354" s="1">
        <v>8.4186999999999994</v>
      </c>
      <c r="AX354" s="1">
        <v>0.20694000000000001</v>
      </c>
      <c r="BA354" s="1425">
        <v>44707</v>
      </c>
      <c r="BB354" s="1">
        <v>13.4932</v>
      </c>
      <c r="BC354" s="1">
        <v>3.1002000000000001</v>
      </c>
      <c r="BD354" s="1">
        <v>14.1911</v>
      </c>
      <c r="BE354" s="1">
        <v>0.89417000000000002</v>
      </c>
      <c r="BG354" s="1425">
        <v>44707</v>
      </c>
      <c r="BH354" s="1">
        <v>16.888500000000001</v>
      </c>
      <c r="BI354" s="1">
        <v>4.3874000000000004</v>
      </c>
      <c r="BJ354" s="1">
        <v>23.3079</v>
      </c>
      <c r="BT354" s="1425">
        <v>44722</v>
      </c>
      <c r="BU354" s="1">
        <v>20.758199999999999</v>
      </c>
      <c r="BV354" s="1">
        <v>4.9053000000000004</v>
      </c>
      <c r="BW354" s="1">
        <v>13.0085</v>
      </c>
      <c r="BX354" s="1">
        <v>3.3073000000000001</v>
      </c>
      <c r="BZ354" s="1425">
        <v>44722</v>
      </c>
      <c r="CA354" s="1">
        <v>22.4466</v>
      </c>
      <c r="CB354" s="1">
        <v>6.4203999999999999</v>
      </c>
      <c r="CC354" s="1">
        <v>19.971699999999998</v>
      </c>
      <c r="CD354" s="1">
        <v>3.8508200000000001</v>
      </c>
      <c r="CF354" s="1425">
        <v>44721</v>
      </c>
      <c r="CG354" s="1">
        <v>5.7629999999999999</v>
      </c>
      <c r="CH354" s="1">
        <v>1.8779999999999999</v>
      </c>
      <c r="CI354" s="1">
        <v>7.5015000000000001</v>
      </c>
      <c r="CL354" s="1425">
        <v>44728</v>
      </c>
      <c r="CM354" s="1">
        <v>22.209299999999999</v>
      </c>
      <c r="CN354" s="1">
        <v>2.7545000000000002</v>
      </c>
      <c r="CO354" s="1">
        <v>11.8779</v>
      </c>
    </row>
    <row r="355" spans="1:93">
      <c r="A355" s="1425">
        <v>44721</v>
      </c>
      <c r="B355" s="20">
        <f t="shared" si="52"/>
        <v>16.194199999999999</v>
      </c>
      <c r="C355" s="20">
        <f t="shared" si="54"/>
        <v>14.064299999999999</v>
      </c>
      <c r="D355" s="20">
        <f t="shared" si="55"/>
        <v>14.5708</v>
      </c>
      <c r="E355" s="20">
        <f t="shared" si="56"/>
        <v>7.4587000000000003</v>
      </c>
      <c r="F355" s="20">
        <f t="shared" si="57"/>
        <v>16.257200000000001</v>
      </c>
      <c r="G355" s="20">
        <f t="shared" si="58"/>
        <v>13.050800000000001</v>
      </c>
      <c r="H355" s="1239">
        <f t="shared" si="59"/>
        <v>14.064299999999999</v>
      </c>
      <c r="I355" s="1243">
        <f t="shared" si="53"/>
        <v>0.15144017121364017</v>
      </c>
      <c r="J355" s="1243">
        <f t="shared" si="60"/>
        <v>0.12093838824177333</v>
      </c>
      <c r="K355" s="1243">
        <f t="shared" si="61"/>
        <v>0.1</v>
      </c>
      <c r="L355" s="203"/>
      <c r="N355" s="1425">
        <v>44721</v>
      </c>
      <c r="O355" s="1502">
        <v>16.194199999999999</v>
      </c>
      <c r="P355" s="1502">
        <v>6.1947000000000001</v>
      </c>
      <c r="Q355" s="1502">
        <v>17.890799999999999</v>
      </c>
      <c r="R355" s="1233">
        <f>'B. PE'!$U$23</f>
        <v>15.978235616082999</v>
      </c>
      <c r="S355" s="1233"/>
      <c r="T355" s="1233"/>
      <c r="V355" s="1425">
        <v>44721</v>
      </c>
      <c r="W355" s="1">
        <v>14.064299999999999</v>
      </c>
      <c r="X355" s="1">
        <v>2.14</v>
      </c>
      <c r="Y355" s="1">
        <v>12.467700000000001</v>
      </c>
      <c r="Z355" s="1">
        <v>1.6657200000000001</v>
      </c>
      <c r="AB355" s="1425">
        <v>44711</v>
      </c>
      <c r="AC355" s="1">
        <v>7.9779999999999998</v>
      </c>
      <c r="AD355" s="1502">
        <v>1.2839</v>
      </c>
      <c r="AE355" s="1">
        <v>5.2027000000000001</v>
      </c>
      <c r="AF355" s="1">
        <v>3.4529999999999998E-2</v>
      </c>
      <c r="AH355" s="1425">
        <v>44711</v>
      </c>
      <c r="AI355" s="1">
        <v>16.2393</v>
      </c>
      <c r="AJ355" s="1">
        <v>3.0611000000000002</v>
      </c>
      <c r="AK355" s="1">
        <v>8.8229000000000006</v>
      </c>
      <c r="AL355" s="1">
        <v>4.82E-2</v>
      </c>
      <c r="AN355" s="1425">
        <v>44707</v>
      </c>
      <c r="AO355" s="1">
        <v>7.4587000000000003</v>
      </c>
      <c r="AP355" s="1">
        <v>1.0501</v>
      </c>
      <c r="AQ355" s="1">
        <v>5.0357000000000003</v>
      </c>
      <c r="AR355" s="1">
        <v>0.25478000000000001</v>
      </c>
      <c r="AT355" s="1425">
        <v>44707</v>
      </c>
      <c r="AU355" s="1">
        <v>12.6731</v>
      </c>
      <c r="AV355" s="1">
        <v>0.83069999999999999</v>
      </c>
      <c r="AW355" s="1">
        <v>8.3771000000000004</v>
      </c>
      <c r="AX355" s="1">
        <v>0.20587</v>
      </c>
      <c r="BA355" s="1425">
        <v>44706</v>
      </c>
      <c r="BB355" s="1">
        <v>13.1614</v>
      </c>
      <c r="BC355" s="1">
        <v>3.024</v>
      </c>
      <c r="BD355" s="1">
        <v>13.932399999999999</v>
      </c>
      <c r="BE355" s="1">
        <v>0.90763000000000005</v>
      </c>
      <c r="BG355" s="1425">
        <v>44706</v>
      </c>
      <c r="BH355" s="1">
        <v>16.888500000000001</v>
      </c>
      <c r="BI355" s="1">
        <v>4.3874000000000004</v>
      </c>
      <c r="BJ355" s="1">
        <v>23.3079</v>
      </c>
      <c r="BT355" s="1425">
        <v>44721</v>
      </c>
      <c r="BU355" s="1">
        <v>21.145600000000002</v>
      </c>
      <c r="BV355" s="1">
        <v>4.9969000000000001</v>
      </c>
      <c r="BW355" s="1">
        <v>13.2318</v>
      </c>
      <c r="BX355" s="1">
        <v>3.2980999999999998</v>
      </c>
      <c r="BZ355" s="1425">
        <v>44721</v>
      </c>
      <c r="CA355" s="1">
        <v>22.763999999999999</v>
      </c>
      <c r="CB355" s="1">
        <v>6.5111999999999997</v>
      </c>
      <c r="CC355" s="1">
        <v>20.1892</v>
      </c>
      <c r="CD355" s="1">
        <v>3.6027300000000002</v>
      </c>
      <c r="CF355" s="1425">
        <v>44720</v>
      </c>
      <c r="CG355" s="1">
        <v>5.8022999999999998</v>
      </c>
      <c r="CH355" s="1">
        <v>1.8908</v>
      </c>
      <c r="CI355" s="1">
        <v>7.5335999999999999</v>
      </c>
      <c r="CL355" s="1425">
        <v>44727</v>
      </c>
      <c r="CM355" s="1">
        <v>22.5718</v>
      </c>
      <c r="CN355" s="1">
        <v>2.7993999999999999</v>
      </c>
      <c r="CO355" s="1">
        <v>12.072100000000001</v>
      </c>
    </row>
    <row r="356" spans="1:93">
      <c r="A356" s="1425">
        <v>44720</v>
      </c>
      <c r="B356" s="20">
        <f t="shared" si="52"/>
        <v>16.182600000000001</v>
      </c>
      <c r="C356" s="20">
        <f t="shared" si="54"/>
        <v>14.345599999999999</v>
      </c>
      <c r="D356" s="20">
        <f t="shared" si="55"/>
        <v>15.127000000000001</v>
      </c>
      <c r="E356" s="20">
        <f t="shared" si="56"/>
        <v>7.5247999999999999</v>
      </c>
      <c r="F356" s="20">
        <f t="shared" si="57"/>
        <v>16.4939</v>
      </c>
      <c r="G356" s="20">
        <f t="shared" si="58"/>
        <v>13.1614</v>
      </c>
      <c r="H356" s="1239">
        <f t="shared" si="59"/>
        <v>14.345599999999999</v>
      </c>
      <c r="I356" s="1243">
        <f t="shared" si="53"/>
        <v>0.12805320098148565</v>
      </c>
      <c r="J356" s="1243">
        <f t="shared" si="60"/>
        <v>0.12093838824177333</v>
      </c>
      <c r="K356" s="1243">
        <f t="shared" si="61"/>
        <v>0.1</v>
      </c>
      <c r="L356" s="203"/>
      <c r="N356" s="1425">
        <v>44720</v>
      </c>
      <c r="O356" s="1502">
        <v>16.182600000000001</v>
      </c>
      <c r="P356" s="1502">
        <v>6.1901999999999999</v>
      </c>
      <c r="Q356" s="1502">
        <v>17.879300000000001</v>
      </c>
      <c r="R356" s="1233">
        <f>'B. PE'!$U$23</f>
        <v>15.978235616082999</v>
      </c>
      <c r="S356" s="1233"/>
      <c r="T356" s="1233"/>
      <c r="V356" s="1425">
        <v>44720</v>
      </c>
      <c r="W356" s="1">
        <v>14.345599999999999</v>
      </c>
      <c r="X356" s="1">
        <v>2.1827999999999999</v>
      </c>
      <c r="Y356" s="1">
        <v>12.664400000000001</v>
      </c>
      <c r="Z356" s="1">
        <v>1.6365499999999999</v>
      </c>
      <c r="AB356" s="1425">
        <v>44708</v>
      </c>
      <c r="AC356" s="1">
        <v>7.9013</v>
      </c>
      <c r="AD356" s="1502">
        <v>1.2716000000000001</v>
      </c>
      <c r="AE356" s="1">
        <v>5.1654</v>
      </c>
      <c r="AF356" s="1">
        <v>3.483E-2</v>
      </c>
      <c r="AH356" s="1425">
        <v>44708</v>
      </c>
      <c r="AI356" s="1">
        <v>16.3505</v>
      </c>
      <c r="AJ356" s="1">
        <v>3.0821000000000001</v>
      </c>
      <c r="AK356" s="1">
        <v>8.8812999999999995</v>
      </c>
      <c r="AL356" s="1">
        <v>4.7800000000000002E-2</v>
      </c>
      <c r="AN356" s="1425">
        <v>44706</v>
      </c>
      <c r="AO356" s="1">
        <v>7.4587000000000003</v>
      </c>
      <c r="AP356" s="1">
        <v>1.0501</v>
      </c>
      <c r="AQ356" s="1">
        <v>5.0357000000000003</v>
      </c>
      <c r="AR356" s="1">
        <v>0.25739000000000001</v>
      </c>
      <c r="AT356" s="1425">
        <v>44706</v>
      </c>
      <c r="AU356" s="1">
        <v>12.603899999999999</v>
      </c>
      <c r="AV356" s="1">
        <v>0.82609999999999995</v>
      </c>
      <c r="AW356" s="1">
        <v>8.3369</v>
      </c>
      <c r="AX356" s="1">
        <v>0.20954999999999999</v>
      </c>
      <c r="BA356" s="1425">
        <v>44705</v>
      </c>
      <c r="BB356" s="1">
        <v>13.4932</v>
      </c>
      <c r="BC356" s="1">
        <v>3.1002000000000001</v>
      </c>
      <c r="BD356" s="1">
        <v>14.1911</v>
      </c>
      <c r="BE356" s="1">
        <v>0.90034999999999998</v>
      </c>
      <c r="BG356" s="1425">
        <v>44705</v>
      </c>
      <c r="BH356" s="1">
        <v>16.730699999999999</v>
      </c>
      <c r="BI356" s="1">
        <v>4.3464</v>
      </c>
      <c r="BJ356" s="1">
        <v>23.125</v>
      </c>
      <c r="BT356" s="1425">
        <v>44720</v>
      </c>
      <c r="BU356" s="1">
        <v>21.2287</v>
      </c>
      <c r="BV356" s="1">
        <v>5.0164999999999997</v>
      </c>
      <c r="BW356" s="1">
        <v>13.2797</v>
      </c>
      <c r="BX356" s="1">
        <v>3.3344999999999998</v>
      </c>
      <c r="BZ356" s="1425">
        <v>44720</v>
      </c>
      <c r="CA356" s="1">
        <v>23.285499999999999</v>
      </c>
      <c r="CB356" s="1">
        <v>6.6604000000000001</v>
      </c>
      <c r="CC356" s="1">
        <v>20.546600000000002</v>
      </c>
      <c r="CD356" s="1">
        <v>3.3812500000000001</v>
      </c>
      <c r="CF356" s="1425">
        <v>44719</v>
      </c>
      <c r="CG356" s="1">
        <v>5.5663</v>
      </c>
      <c r="CH356" s="1">
        <v>1.8139000000000001</v>
      </c>
      <c r="CI356" s="1">
        <v>7.3406000000000002</v>
      </c>
      <c r="CL356" s="1425">
        <v>44726</v>
      </c>
      <c r="CM356" s="1">
        <v>22.2818</v>
      </c>
      <c r="CN356" s="1">
        <v>2.7635000000000001</v>
      </c>
      <c r="CO356" s="1">
        <v>11.9168</v>
      </c>
    </row>
    <row r="357" spans="1:93">
      <c r="A357" s="1425">
        <v>44719</v>
      </c>
      <c r="B357" s="20">
        <f t="shared" si="52"/>
        <v>15.123900000000001</v>
      </c>
      <c r="C357" s="20">
        <f t="shared" si="54"/>
        <v>14.345599999999999</v>
      </c>
      <c r="D357" s="20">
        <f t="shared" si="55"/>
        <v>15.238200000000001</v>
      </c>
      <c r="E357" s="20">
        <f t="shared" si="56"/>
        <v>7.4587000000000003</v>
      </c>
      <c r="F357" s="20">
        <f t="shared" si="57"/>
        <v>16.257200000000001</v>
      </c>
      <c r="G357" s="20">
        <f t="shared" si="58"/>
        <v>12.4978</v>
      </c>
      <c r="H357" s="1239">
        <f t="shared" si="59"/>
        <v>14.345599999999999</v>
      </c>
      <c r="I357" s="1243">
        <f t="shared" si="53"/>
        <v>5.4253569038590355E-2</v>
      </c>
      <c r="J357" s="1243">
        <f t="shared" si="60"/>
        <v>0.12093838824177333</v>
      </c>
      <c r="K357" s="1243">
        <f t="shared" si="61"/>
        <v>0.1</v>
      </c>
      <c r="L357" s="203"/>
      <c r="N357" s="1425">
        <v>44719</v>
      </c>
      <c r="O357" s="1502">
        <v>15.123900000000001</v>
      </c>
      <c r="P357" s="1502">
        <v>5.7851999999999997</v>
      </c>
      <c r="Q357" s="1502">
        <v>16.829799999999999</v>
      </c>
      <c r="R357" s="1233">
        <f>'B. PE'!$U$23</f>
        <v>15.978235616082999</v>
      </c>
      <c r="S357" s="1233"/>
      <c r="T357" s="1233"/>
      <c r="V357" s="1425">
        <v>44719</v>
      </c>
      <c r="W357" s="1">
        <v>14.345599999999999</v>
      </c>
      <c r="X357" s="1">
        <v>2.1827999999999999</v>
      </c>
      <c r="Y357" s="1">
        <v>12.664400000000001</v>
      </c>
      <c r="Z357" s="1">
        <v>1.61477</v>
      </c>
      <c r="AB357" s="1425">
        <v>44706</v>
      </c>
      <c r="AC357" s="1">
        <v>7.7478999999999996</v>
      </c>
      <c r="AD357" s="1502">
        <v>1.2468999999999999</v>
      </c>
      <c r="AE357" s="1">
        <v>5.0909000000000004</v>
      </c>
      <c r="AF357" s="1">
        <v>3.4509999999999999E-2</v>
      </c>
      <c r="AH357" s="1425">
        <v>44706</v>
      </c>
      <c r="AI357" s="1">
        <v>15.6831</v>
      </c>
      <c r="AJ357" s="1">
        <v>2.9563000000000001</v>
      </c>
      <c r="AK357" s="1">
        <v>8.5307999999999993</v>
      </c>
      <c r="AL357" s="1">
        <v>4.8180000000000001E-2</v>
      </c>
      <c r="AN357" s="1425">
        <v>44705</v>
      </c>
      <c r="AO357" s="1">
        <v>7.3926999999999996</v>
      </c>
      <c r="AP357" s="1">
        <v>1.0407999999999999</v>
      </c>
      <c r="AQ357" s="1">
        <v>4.9859999999999998</v>
      </c>
      <c r="AR357" s="1">
        <v>0.25997999999999999</v>
      </c>
      <c r="AT357" s="1425">
        <v>44705</v>
      </c>
      <c r="AU357" s="1">
        <v>12.534599999999999</v>
      </c>
      <c r="AV357" s="1">
        <v>0.8216</v>
      </c>
      <c r="AW357" s="1">
        <v>8.2972999999999999</v>
      </c>
      <c r="AX357" s="1">
        <v>0.21323</v>
      </c>
      <c r="BA357" s="1425">
        <v>44704</v>
      </c>
      <c r="BB357" s="1">
        <v>13.714399999999999</v>
      </c>
      <c r="BC357" s="1">
        <v>3.1509999999999998</v>
      </c>
      <c r="BD357" s="1">
        <v>14.3635</v>
      </c>
      <c r="BE357" s="1">
        <v>0.91476999999999997</v>
      </c>
      <c r="BG357" s="1425">
        <v>44704</v>
      </c>
      <c r="BH357" s="1">
        <v>17.046399999999998</v>
      </c>
      <c r="BI357" s="1">
        <v>4.4283999999999999</v>
      </c>
      <c r="BJ357" s="1">
        <v>23.4908</v>
      </c>
      <c r="BT357" s="1425">
        <v>44719</v>
      </c>
      <c r="BU357" s="1">
        <v>21.173300000000001</v>
      </c>
      <c r="BV357" s="1">
        <v>5.0034000000000001</v>
      </c>
      <c r="BW357" s="1">
        <v>13.2478</v>
      </c>
      <c r="BX357" s="1">
        <v>3.3022</v>
      </c>
      <c r="BZ357" s="1425">
        <v>44719</v>
      </c>
      <c r="CA357" s="1">
        <v>21.789100000000001</v>
      </c>
      <c r="CB357" s="1">
        <v>6.2323000000000004</v>
      </c>
      <c r="CC357" s="1">
        <v>19.521100000000001</v>
      </c>
      <c r="CD357" s="1">
        <v>3.40374</v>
      </c>
      <c r="CF357" s="1425">
        <v>44718</v>
      </c>
      <c r="CG357" s="1">
        <v>5.9596999999999998</v>
      </c>
      <c r="CH357" s="1">
        <v>1.9420999999999999</v>
      </c>
      <c r="CI357" s="1">
        <v>7.6623000000000001</v>
      </c>
      <c r="CL357" s="1425">
        <v>44725</v>
      </c>
      <c r="CM357" s="1">
        <v>22.528300000000002</v>
      </c>
      <c r="CN357" s="1">
        <v>2.794</v>
      </c>
      <c r="CO357" s="1">
        <v>12.0488</v>
      </c>
    </row>
    <row r="358" spans="1:93">
      <c r="A358" s="1425">
        <v>44718</v>
      </c>
      <c r="B358" s="20">
        <f t="shared" si="52"/>
        <v>15.123900000000001</v>
      </c>
      <c r="C358" s="20">
        <f t="shared" si="54"/>
        <v>14.095599999999999</v>
      </c>
      <c r="D358" s="20">
        <f t="shared" si="55"/>
        <v>15.349399999999999</v>
      </c>
      <c r="E358" s="20">
        <f t="shared" si="56"/>
        <v>7.4587000000000003</v>
      </c>
      <c r="F358" s="20">
        <f t="shared" si="57"/>
        <v>16.4939</v>
      </c>
      <c r="G358" s="20">
        <f t="shared" si="58"/>
        <v>12.6084</v>
      </c>
      <c r="H358" s="1239">
        <f t="shared" si="59"/>
        <v>14.095599999999999</v>
      </c>
      <c r="I358" s="1243">
        <f t="shared" si="53"/>
        <v>7.2951843128352234E-2</v>
      </c>
      <c r="J358" s="1243">
        <f t="shared" si="60"/>
        <v>0.12093838824177333</v>
      </c>
      <c r="K358" s="1243">
        <f t="shared" si="61"/>
        <v>0.1</v>
      </c>
      <c r="L358" s="203"/>
      <c r="N358" s="1425">
        <v>44718</v>
      </c>
      <c r="O358" s="1502">
        <v>15.123900000000001</v>
      </c>
      <c r="P358" s="1502">
        <v>5.7851999999999997</v>
      </c>
      <c r="Q358" s="1502">
        <v>16.829799999999999</v>
      </c>
      <c r="R358" s="1233">
        <f>'B. PE'!$U$23</f>
        <v>15.978235616082999</v>
      </c>
      <c r="S358" s="1233"/>
      <c r="T358" s="1233"/>
      <c r="V358" s="1425">
        <v>44718</v>
      </c>
      <c r="W358" s="1">
        <v>14.095599999999999</v>
      </c>
      <c r="X358" s="1">
        <v>2.1446999999999998</v>
      </c>
      <c r="Y358" s="1">
        <v>12.489599999999999</v>
      </c>
      <c r="Z358" s="1">
        <v>1.5782099999999999</v>
      </c>
      <c r="AB358" s="1425">
        <v>44705</v>
      </c>
      <c r="AC358" s="1">
        <v>7.8246000000000002</v>
      </c>
      <c r="AD358" s="1502">
        <v>1.2593000000000001</v>
      </c>
      <c r="AE358" s="1">
        <v>5.1280999999999999</v>
      </c>
      <c r="AF358" s="1">
        <v>3.4410000000000003E-2</v>
      </c>
      <c r="AH358" s="1425">
        <v>44705</v>
      </c>
      <c r="AI358" s="1">
        <v>15.571899999999999</v>
      </c>
      <c r="AJ358" s="1">
        <v>2.9352999999999998</v>
      </c>
      <c r="AK358" s="1">
        <v>8.4724000000000004</v>
      </c>
      <c r="AL358" s="1">
        <v>4.7690000000000003E-2</v>
      </c>
      <c r="AN358" s="1425">
        <v>44704</v>
      </c>
      <c r="AO358" s="1">
        <v>7.4587000000000003</v>
      </c>
      <c r="AP358" s="1">
        <v>1.0501</v>
      </c>
      <c r="AQ358" s="1">
        <v>5.0357000000000003</v>
      </c>
      <c r="AR358" s="1">
        <v>0.25652999999999998</v>
      </c>
      <c r="AT358" s="1425">
        <v>44704</v>
      </c>
      <c r="AU358" s="1">
        <v>12.7424</v>
      </c>
      <c r="AV358" s="1">
        <v>0.83520000000000005</v>
      </c>
      <c r="AW358" s="1">
        <v>8.4147999999999996</v>
      </c>
      <c r="AX358" s="1">
        <v>0.21339</v>
      </c>
      <c r="BA358" s="1425">
        <v>44701</v>
      </c>
      <c r="BB358" s="1">
        <v>13.714399999999999</v>
      </c>
      <c r="BC358" s="1">
        <v>3.1509999999999998</v>
      </c>
      <c r="BD358" s="1">
        <v>14.3635</v>
      </c>
      <c r="BE358" s="1">
        <v>0.93881999999999999</v>
      </c>
      <c r="BG358" s="1425">
        <v>44701</v>
      </c>
      <c r="BH358" s="1">
        <v>17.125299999999999</v>
      </c>
      <c r="BI358" s="1">
        <v>4.4489000000000001</v>
      </c>
      <c r="BJ358" s="1">
        <v>23.5822</v>
      </c>
      <c r="BT358" s="1425">
        <v>44718</v>
      </c>
      <c r="BU358" s="1">
        <v>21.4086</v>
      </c>
      <c r="BV358" s="1">
        <v>5.0590000000000002</v>
      </c>
      <c r="BW358" s="1">
        <v>13.3834</v>
      </c>
      <c r="BX358" s="1">
        <v>3.1831</v>
      </c>
      <c r="BZ358" s="1425">
        <v>44718</v>
      </c>
      <c r="CA358" s="1">
        <v>20.4514</v>
      </c>
      <c r="CB358" s="1">
        <v>5.8497000000000003</v>
      </c>
      <c r="CC358" s="1">
        <v>18.604299999999999</v>
      </c>
      <c r="CD358" s="1">
        <v>3.3981499999999998</v>
      </c>
      <c r="CF358" s="1425">
        <v>44715</v>
      </c>
      <c r="CG358" s="1">
        <v>6.0777000000000001</v>
      </c>
      <c r="CH358" s="1">
        <v>1.9804999999999999</v>
      </c>
      <c r="CI358" s="1">
        <v>7.7587999999999999</v>
      </c>
      <c r="CL358" s="1425">
        <v>44722</v>
      </c>
      <c r="CM358" s="1">
        <v>22.789200000000001</v>
      </c>
      <c r="CN358" s="1">
        <v>2.8264</v>
      </c>
      <c r="CO358" s="1">
        <v>12.188599999999999</v>
      </c>
    </row>
    <row r="359" spans="1:93">
      <c r="A359" s="1425">
        <v>44715</v>
      </c>
      <c r="B359" s="20">
        <f t="shared" si="52"/>
        <v>14.984299999999999</v>
      </c>
      <c r="C359" s="20">
        <f t="shared" si="54"/>
        <v>13.907999999999999</v>
      </c>
      <c r="D359" s="20">
        <f t="shared" si="55"/>
        <v>15.238200000000001</v>
      </c>
      <c r="E359" s="20">
        <f t="shared" si="56"/>
        <v>7.4587000000000003</v>
      </c>
      <c r="F359" s="20">
        <f t="shared" si="57"/>
        <v>16.4939</v>
      </c>
      <c r="G359" s="20">
        <f t="shared" si="58"/>
        <v>12.6084</v>
      </c>
      <c r="H359" s="1239">
        <f t="shared" si="59"/>
        <v>13.907999999999999</v>
      </c>
      <c r="I359" s="1243">
        <f t="shared" si="53"/>
        <v>7.7387115329306866E-2</v>
      </c>
      <c r="J359" s="1243">
        <f t="shared" si="60"/>
        <v>0.12093838824177333</v>
      </c>
      <c r="K359" s="1243">
        <f t="shared" si="61"/>
        <v>0.1</v>
      </c>
      <c r="L359" s="203"/>
      <c r="N359" s="1425">
        <v>44715</v>
      </c>
      <c r="O359" s="1502">
        <v>14.984299999999999</v>
      </c>
      <c r="P359" s="1502">
        <v>5.7317999999999998</v>
      </c>
      <c r="Q359" s="1502">
        <v>16.691400000000002</v>
      </c>
      <c r="R359" s="1233">
        <f>'B. PE'!$U$23</f>
        <v>15.978235616082999</v>
      </c>
      <c r="S359" s="1233"/>
      <c r="T359" s="1233"/>
      <c r="V359" s="1425">
        <v>44715</v>
      </c>
      <c r="W359" s="1">
        <v>13.907999999999999</v>
      </c>
      <c r="X359" s="1">
        <v>2.1162000000000001</v>
      </c>
      <c r="Y359" s="1">
        <v>12.3584</v>
      </c>
      <c r="Z359" s="1">
        <v>1.47644</v>
      </c>
      <c r="AB359" s="1425">
        <v>44704</v>
      </c>
      <c r="AC359" s="1">
        <v>7.7478999999999996</v>
      </c>
      <c r="AD359" s="1502">
        <v>1.2468999999999999</v>
      </c>
      <c r="AE359" s="1">
        <v>5.0909000000000004</v>
      </c>
      <c r="AF359" s="1">
        <v>3.3770000000000001E-2</v>
      </c>
      <c r="AH359" s="1425">
        <v>44704</v>
      </c>
      <c r="AI359" s="1">
        <v>15.6831</v>
      </c>
      <c r="AJ359" s="1">
        <v>2.9563000000000001</v>
      </c>
      <c r="AK359" s="1">
        <v>8.5307999999999993</v>
      </c>
      <c r="AL359" s="1">
        <v>4.7509999999999997E-2</v>
      </c>
      <c r="AN359" s="1425">
        <v>44701</v>
      </c>
      <c r="AO359" s="1">
        <v>7.5247999999999999</v>
      </c>
      <c r="AP359" s="1">
        <v>1.0593999999999999</v>
      </c>
      <c r="AQ359" s="1">
        <v>5.0853999999999999</v>
      </c>
      <c r="AR359" s="1">
        <v>0.26479999999999998</v>
      </c>
      <c r="AT359" s="1425">
        <v>44701</v>
      </c>
      <c r="AU359" s="1">
        <v>12.950100000000001</v>
      </c>
      <c r="AV359" s="1">
        <v>0.8488</v>
      </c>
      <c r="AW359" s="1">
        <v>8.5336999999999996</v>
      </c>
      <c r="AX359" s="1">
        <v>0.21687000000000001</v>
      </c>
      <c r="BA359" s="1425">
        <v>44700</v>
      </c>
      <c r="BB359" s="1">
        <v>13.935600000000001</v>
      </c>
      <c r="BC359" s="1">
        <v>3.2019000000000002</v>
      </c>
      <c r="BD359" s="1">
        <v>14.536</v>
      </c>
      <c r="BE359" s="1">
        <v>0.93354000000000004</v>
      </c>
      <c r="BG359" s="1425">
        <v>44700</v>
      </c>
      <c r="BH359" s="1">
        <v>16.967400000000001</v>
      </c>
      <c r="BI359" s="1">
        <v>4.4078999999999997</v>
      </c>
      <c r="BJ359" s="1">
        <v>23.3993</v>
      </c>
      <c r="BT359" s="1425">
        <v>44715</v>
      </c>
      <c r="BU359" s="1">
        <v>21.201000000000001</v>
      </c>
      <c r="BV359" s="1">
        <v>5.01</v>
      </c>
      <c r="BW359" s="1">
        <v>13.2638</v>
      </c>
      <c r="BX359" s="1">
        <v>3.1352000000000002</v>
      </c>
      <c r="BZ359" s="1425">
        <v>44715</v>
      </c>
      <c r="CA359" s="1">
        <v>20.587399999999999</v>
      </c>
      <c r="CB359" s="1">
        <v>5.8886000000000003</v>
      </c>
      <c r="CC359" s="1">
        <v>18.697500000000002</v>
      </c>
      <c r="CD359" s="1">
        <v>3.2852899999999998</v>
      </c>
      <c r="CF359" s="1425">
        <v>44714</v>
      </c>
      <c r="CG359" s="1">
        <v>6.117</v>
      </c>
      <c r="CH359" s="1">
        <v>1.9934000000000001</v>
      </c>
      <c r="CI359" s="1">
        <v>7.7910000000000004</v>
      </c>
      <c r="CL359" s="1425">
        <v>44721</v>
      </c>
      <c r="CM359" s="1">
        <v>23.1082</v>
      </c>
      <c r="CN359" s="1">
        <v>2.8658999999999999</v>
      </c>
      <c r="CO359" s="1">
        <v>12.359500000000001</v>
      </c>
    </row>
    <row r="360" spans="1:93">
      <c r="A360" s="1425">
        <v>44714</v>
      </c>
      <c r="B360" s="20">
        <f t="shared" si="52"/>
        <v>15.2286</v>
      </c>
      <c r="C360" s="20">
        <f t="shared" si="54"/>
        <v>13.595499999999999</v>
      </c>
      <c r="D360" s="20">
        <f t="shared" si="55"/>
        <v>15.460699999999999</v>
      </c>
      <c r="E360" s="20">
        <f t="shared" si="56"/>
        <v>7.3266999999999998</v>
      </c>
      <c r="F360" s="20">
        <f t="shared" si="57"/>
        <v>16.8096</v>
      </c>
      <c r="G360" s="20">
        <f t="shared" si="58"/>
        <v>12.829599999999999</v>
      </c>
      <c r="H360" s="1239">
        <f t="shared" si="59"/>
        <v>13.595499999999999</v>
      </c>
      <c r="I360" s="1243">
        <f t="shared" si="53"/>
        <v>0.12012062814901991</v>
      </c>
      <c r="J360" s="1243">
        <f t="shared" si="60"/>
        <v>0.12093838824177333</v>
      </c>
      <c r="K360" s="1243">
        <f t="shared" si="61"/>
        <v>0.1</v>
      </c>
      <c r="L360" s="203"/>
      <c r="N360" s="1425">
        <v>44714</v>
      </c>
      <c r="O360" s="1502">
        <v>15.2286</v>
      </c>
      <c r="P360" s="1502">
        <v>5.8253000000000004</v>
      </c>
      <c r="Q360" s="1502">
        <v>16.933599999999998</v>
      </c>
      <c r="R360" s="1233">
        <f>'B. PE'!$U$23</f>
        <v>15.978235616082999</v>
      </c>
      <c r="S360" s="1233"/>
      <c r="T360" s="1233"/>
      <c r="V360" s="1425">
        <v>44714</v>
      </c>
      <c r="W360" s="1">
        <v>13.595499999999999</v>
      </c>
      <c r="X360" s="1">
        <v>2.0686</v>
      </c>
      <c r="Y360" s="1">
        <v>12.139900000000001</v>
      </c>
      <c r="Z360" s="1">
        <v>1.48828</v>
      </c>
      <c r="AB360" s="1425">
        <v>44701</v>
      </c>
      <c r="AC360" s="1">
        <v>7.7478999999999996</v>
      </c>
      <c r="AD360" s="1502">
        <v>1.2468999999999999</v>
      </c>
      <c r="AE360" s="1">
        <v>5.0909000000000004</v>
      </c>
      <c r="AF360" s="1">
        <v>3.3950000000000001E-2</v>
      </c>
      <c r="AH360" s="1425">
        <v>44701</v>
      </c>
      <c r="AI360" s="1">
        <v>15.571899999999999</v>
      </c>
      <c r="AJ360" s="1">
        <v>2.9352999999999998</v>
      </c>
      <c r="AK360" s="1">
        <v>8.4724000000000004</v>
      </c>
      <c r="AL360" s="1">
        <v>4.888E-2</v>
      </c>
      <c r="AN360" s="1425">
        <v>44700</v>
      </c>
      <c r="AO360" s="1">
        <v>7.4587000000000003</v>
      </c>
      <c r="AP360" s="1">
        <v>1.0501</v>
      </c>
      <c r="AQ360" s="1">
        <v>5.0357000000000003</v>
      </c>
      <c r="AR360" s="1">
        <v>0.26245000000000002</v>
      </c>
      <c r="AT360" s="1425">
        <v>44700</v>
      </c>
      <c r="AU360" s="1">
        <v>13.019399999999999</v>
      </c>
      <c r="AV360" s="1">
        <v>0.85340000000000005</v>
      </c>
      <c r="AW360" s="1">
        <v>8.5711999999999993</v>
      </c>
      <c r="AX360" s="1">
        <v>0.22023000000000001</v>
      </c>
      <c r="BA360" s="1425">
        <v>44699</v>
      </c>
      <c r="BB360" s="1">
        <v>14.378</v>
      </c>
      <c r="BC360" s="1">
        <v>3.3035000000000001</v>
      </c>
      <c r="BD360" s="1">
        <v>14.8809</v>
      </c>
      <c r="BE360" s="1">
        <v>0.878</v>
      </c>
      <c r="BG360" s="1425">
        <v>44699</v>
      </c>
      <c r="BH360" s="1">
        <v>17.2042</v>
      </c>
      <c r="BI360" s="1">
        <v>4.4694000000000003</v>
      </c>
      <c r="BJ360" s="1">
        <v>23.6737</v>
      </c>
      <c r="BT360" s="1425">
        <v>44714</v>
      </c>
      <c r="BU360" s="1">
        <v>20.439900000000002</v>
      </c>
      <c r="BV360" s="1">
        <v>4.8300999999999998</v>
      </c>
      <c r="BW360" s="1">
        <v>12.824999999999999</v>
      </c>
      <c r="BX360" s="1">
        <v>3.1242999999999999</v>
      </c>
      <c r="BZ360" s="1425">
        <v>44714</v>
      </c>
      <c r="CA360" s="1">
        <v>20.557200000000002</v>
      </c>
      <c r="CB360" s="1">
        <v>5.88</v>
      </c>
      <c r="CC360" s="1">
        <v>18.6768</v>
      </c>
      <c r="CD360" s="1">
        <v>3.0974200000000001</v>
      </c>
      <c r="CF360" s="1425">
        <v>44713</v>
      </c>
      <c r="CG360" s="1">
        <v>5.7432999999999996</v>
      </c>
      <c r="CH360" s="1">
        <v>1.8715999999999999</v>
      </c>
      <c r="CI360" s="1">
        <v>7.4854000000000003</v>
      </c>
      <c r="CL360" s="1425">
        <v>44720</v>
      </c>
      <c r="CM360" s="1">
        <v>23.093699999999998</v>
      </c>
      <c r="CN360" s="1">
        <v>2.8641000000000001</v>
      </c>
      <c r="CO360" s="1">
        <v>12.351699999999999</v>
      </c>
    </row>
    <row r="361" spans="1:93">
      <c r="A361" s="1425">
        <v>44713</v>
      </c>
      <c r="B361" s="20">
        <f t="shared" si="52"/>
        <v>14.9377</v>
      </c>
      <c r="C361" s="20">
        <f t="shared" si="54"/>
        <v>12.7204</v>
      </c>
      <c r="D361" s="20">
        <f t="shared" si="55"/>
        <v>15.460699999999999</v>
      </c>
      <c r="E361" s="20">
        <f t="shared" si="56"/>
        <v>7.3926999999999996</v>
      </c>
      <c r="F361" s="20">
        <f t="shared" si="57"/>
        <v>17.283100000000001</v>
      </c>
      <c r="G361" s="20">
        <f t="shared" si="58"/>
        <v>13.050800000000001</v>
      </c>
      <c r="H361" s="1239">
        <f t="shared" si="59"/>
        <v>13.050800000000001</v>
      </c>
      <c r="I361" s="1243">
        <f t="shared" si="53"/>
        <v>0.14458117510037694</v>
      </c>
      <c r="J361" s="1243">
        <f t="shared" si="60"/>
        <v>0.12093838824177333</v>
      </c>
      <c r="K361" s="1243">
        <f t="shared" si="61"/>
        <v>0.1</v>
      </c>
      <c r="L361" s="203"/>
      <c r="N361" s="1425">
        <v>44713</v>
      </c>
      <c r="O361" s="1502">
        <v>14.9377</v>
      </c>
      <c r="P361" s="1502">
        <v>5.7140000000000004</v>
      </c>
      <c r="Q361" s="1502">
        <v>16.645299999999999</v>
      </c>
      <c r="R361" s="1233">
        <f>'B. PE'!$U$23</f>
        <v>15.978235616082999</v>
      </c>
      <c r="S361" s="1233"/>
      <c r="T361" s="1233"/>
      <c r="V361" s="1425">
        <v>44713</v>
      </c>
      <c r="W361" s="1">
        <v>12.7204</v>
      </c>
      <c r="X361" s="1">
        <v>1.9355</v>
      </c>
      <c r="Y361" s="1">
        <v>11.527900000000001</v>
      </c>
      <c r="Z361" s="1">
        <v>1.49593</v>
      </c>
      <c r="AB361" s="1425">
        <v>44700</v>
      </c>
      <c r="AC361" s="1">
        <v>7.5791000000000004</v>
      </c>
      <c r="AD361" s="1502">
        <v>1.2197</v>
      </c>
      <c r="AE361" s="1">
        <v>5.0088999999999997</v>
      </c>
      <c r="AF361" s="1">
        <v>3.4500000000000003E-2</v>
      </c>
      <c r="AH361" s="1425">
        <v>44700</v>
      </c>
      <c r="AI361" s="1">
        <v>15.460699999999999</v>
      </c>
      <c r="AJ361" s="1">
        <v>2.9144000000000001</v>
      </c>
      <c r="AK361" s="1">
        <v>8.4139999999999997</v>
      </c>
      <c r="AL361" s="1">
        <v>4.8840000000000001E-2</v>
      </c>
      <c r="AN361" s="1425">
        <v>44699</v>
      </c>
      <c r="AO361" s="1">
        <v>7.6567999999999996</v>
      </c>
      <c r="AP361" s="1">
        <v>1.0780000000000001</v>
      </c>
      <c r="AQ361" s="1">
        <v>5.1848000000000001</v>
      </c>
      <c r="AR361" s="1">
        <v>0.26001999999999997</v>
      </c>
      <c r="AT361" s="1425">
        <v>44699</v>
      </c>
      <c r="AU361" s="1">
        <v>13.1579</v>
      </c>
      <c r="AV361" s="1">
        <v>0.86240000000000006</v>
      </c>
      <c r="AW361" s="1">
        <v>8.6504999999999992</v>
      </c>
      <c r="AX361" s="1">
        <v>0.21895999999999999</v>
      </c>
      <c r="BA361" s="1425">
        <v>44698</v>
      </c>
      <c r="BB361" s="1">
        <v>14.2674</v>
      </c>
      <c r="BC361" s="1">
        <v>3.2780999999999998</v>
      </c>
      <c r="BD361" s="1">
        <v>14.794700000000001</v>
      </c>
      <c r="BE361" s="1">
        <v>0.97860999999999998</v>
      </c>
      <c r="BG361" s="1425">
        <v>44698</v>
      </c>
      <c r="BH361" s="1">
        <v>17.598800000000001</v>
      </c>
      <c r="BI361" s="1">
        <v>4.5719000000000003</v>
      </c>
      <c r="BJ361" s="1">
        <v>24.1309</v>
      </c>
      <c r="BT361" s="1425">
        <v>44713</v>
      </c>
      <c r="BU361" s="1">
        <v>20.135400000000001</v>
      </c>
      <c r="BV361" s="1">
        <v>4.7582000000000004</v>
      </c>
      <c r="BW361" s="1">
        <v>12.6495</v>
      </c>
      <c r="BX361" s="1">
        <v>3.1316000000000002</v>
      </c>
      <c r="BZ361" s="1425">
        <v>44713</v>
      </c>
      <c r="CA361" s="1">
        <v>19.876999999999999</v>
      </c>
      <c r="CB361" s="1">
        <v>5.6853999999999996</v>
      </c>
      <c r="CC361" s="1">
        <v>18.210599999999999</v>
      </c>
      <c r="CD361" s="1">
        <v>3.2707600000000001</v>
      </c>
      <c r="CF361" s="1425">
        <v>44712</v>
      </c>
      <c r="CG361" s="1">
        <v>5.7432999999999996</v>
      </c>
      <c r="CH361" s="1">
        <v>1.8715999999999999</v>
      </c>
      <c r="CI361" s="1">
        <v>7.4854000000000003</v>
      </c>
      <c r="CL361" s="1425">
        <v>44719</v>
      </c>
      <c r="CM361" s="1">
        <v>23.2241</v>
      </c>
      <c r="CN361" s="1">
        <v>2.8803000000000001</v>
      </c>
      <c r="CO361" s="1">
        <v>12.4216</v>
      </c>
    </row>
    <row r="362" spans="1:93">
      <c r="A362" s="1425">
        <v>44712</v>
      </c>
      <c r="B362" s="20">
        <f t="shared" si="52"/>
        <v>14.8912</v>
      </c>
      <c r="C362" s="20">
        <f t="shared" si="54"/>
        <v>12.8142</v>
      </c>
      <c r="D362" s="20">
        <f t="shared" si="55"/>
        <v>15.349399999999999</v>
      </c>
      <c r="E362" s="20">
        <f t="shared" si="56"/>
        <v>7.3926999999999996</v>
      </c>
      <c r="F362" s="20">
        <f t="shared" si="57"/>
        <v>17.440899999999999</v>
      </c>
      <c r="G362" s="20">
        <f t="shared" si="58"/>
        <v>13.050800000000001</v>
      </c>
      <c r="H362" s="1239">
        <f t="shared" si="59"/>
        <v>13.050800000000001</v>
      </c>
      <c r="I362" s="1243">
        <f t="shared" si="53"/>
        <v>0.14101817513102644</v>
      </c>
      <c r="J362" s="1243">
        <f t="shared" si="60"/>
        <v>0.12093838824177333</v>
      </c>
      <c r="K362" s="1243">
        <f t="shared" si="61"/>
        <v>0.1</v>
      </c>
      <c r="L362" s="203"/>
      <c r="N362" s="1425">
        <v>44712</v>
      </c>
      <c r="O362" s="1502">
        <v>14.8912</v>
      </c>
      <c r="P362" s="1502">
        <v>5.6962000000000002</v>
      </c>
      <c r="Q362" s="1502">
        <v>16.5992</v>
      </c>
      <c r="R362" s="1233">
        <f>'B. PE'!$U$23</f>
        <v>15.978235616082999</v>
      </c>
      <c r="S362" s="1233"/>
      <c r="T362" s="1233"/>
      <c r="V362" s="1425">
        <v>44712</v>
      </c>
      <c r="W362" s="1">
        <v>12.8142</v>
      </c>
      <c r="X362" s="1">
        <v>1.9497</v>
      </c>
      <c r="Y362" s="1">
        <v>11.593500000000001</v>
      </c>
      <c r="Z362" s="1">
        <v>1.4948300000000001</v>
      </c>
      <c r="AB362" s="1425">
        <v>44699</v>
      </c>
      <c r="AC362" s="1">
        <v>7.6711999999999998</v>
      </c>
      <c r="AD362" s="1502">
        <v>1.2345999999999999</v>
      </c>
      <c r="AE362" s="1">
        <v>5.0536000000000003</v>
      </c>
      <c r="AF362" s="1">
        <v>3.3989999999999999E-2</v>
      </c>
      <c r="AH362" s="1425">
        <v>44699</v>
      </c>
      <c r="AI362" s="1">
        <v>16.0168</v>
      </c>
      <c r="AJ362" s="1">
        <v>3.0192000000000001</v>
      </c>
      <c r="AK362" s="1">
        <v>8.7060999999999993</v>
      </c>
      <c r="AL362" s="1">
        <v>4.9140000000000003E-2</v>
      </c>
      <c r="AN362" s="1425">
        <v>44698</v>
      </c>
      <c r="AO362" s="1">
        <v>7.5907999999999998</v>
      </c>
      <c r="AP362" s="1">
        <v>1.0687</v>
      </c>
      <c r="AQ362" s="1">
        <v>5.1351000000000004</v>
      </c>
      <c r="AR362" s="1">
        <v>0.25767000000000001</v>
      </c>
      <c r="AT362" s="1425">
        <v>44698</v>
      </c>
      <c r="AU362" s="1">
        <v>13.3657</v>
      </c>
      <c r="AV362" s="1">
        <v>0.87609999999999999</v>
      </c>
      <c r="AW362" s="1">
        <v>8.7692999999999994</v>
      </c>
      <c r="AX362" s="1">
        <v>0.2132</v>
      </c>
      <c r="BA362" s="1425">
        <v>44694</v>
      </c>
      <c r="BB362" s="1">
        <v>13.4932</v>
      </c>
      <c r="BC362" s="1">
        <v>3.1002000000000001</v>
      </c>
      <c r="BD362" s="1">
        <v>14.1911</v>
      </c>
      <c r="BE362" s="1">
        <v>1.03288</v>
      </c>
      <c r="BG362" s="1425">
        <v>44694</v>
      </c>
      <c r="BH362" s="1">
        <v>16.257200000000001</v>
      </c>
      <c r="BI362" s="1">
        <v>4.2233999999999998</v>
      </c>
      <c r="BJ362" s="1">
        <v>22.5763</v>
      </c>
      <c r="BT362" s="1425">
        <v>44712</v>
      </c>
      <c r="BU362" s="1">
        <v>20.052399999999999</v>
      </c>
      <c r="BV362" s="1">
        <v>4.7385999999999999</v>
      </c>
      <c r="BW362" s="1">
        <v>12.601699999999999</v>
      </c>
      <c r="BX362" s="1">
        <v>3.1616</v>
      </c>
      <c r="BZ362" s="1425">
        <v>44712</v>
      </c>
      <c r="CA362" s="1">
        <v>18.728200000000001</v>
      </c>
      <c r="CB362" s="1">
        <v>5.3567999999999998</v>
      </c>
      <c r="CC362" s="1">
        <v>17.423300000000001</v>
      </c>
      <c r="CD362" s="1">
        <v>3.3183400000000001</v>
      </c>
      <c r="CF362" s="1425">
        <v>44711</v>
      </c>
      <c r="CG362" s="1">
        <v>5.8415999999999997</v>
      </c>
      <c r="CH362" s="1">
        <v>1.9036</v>
      </c>
      <c r="CI362" s="1">
        <v>7.5658000000000003</v>
      </c>
      <c r="CL362" s="1425">
        <v>44715</v>
      </c>
      <c r="CM362" s="1">
        <v>23.2531</v>
      </c>
      <c r="CN362" s="1">
        <v>2.8839000000000001</v>
      </c>
      <c r="CO362" s="1">
        <v>12.437200000000001</v>
      </c>
    </row>
    <row r="363" spans="1:93">
      <c r="A363" s="1425">
        <v>44711</v>
      </c>
      <c r="B363" s="20">
        <f t="shared" si="52"/>
        <v>14.774900000000001</v>
      </c>
      <c r="C363" s="20">
        <f t="shared" si="54"/>
        <v>12.8767</v>
      </c>
      <c r="D363" s="20">
        <f t="shared" si="55"/>
        <v>16.2393</v>
      </c>
      <c r="E363" s="20">
        <f t="shared" si="56"/>
        <v>7.3926999999999996</v>
      </c>
      <c r="F363" s="20">
        <f t="shared" si="57"/>
        <v>17.125299999999999</v>
      </c>
      <c r="G363" s="20">
        <f t="shared" si="58"/>
        <v>13.3826</v>
      </c>
      <c r="H363" s="1239">
        <f t="shared" si="59"/>
        <v>13.3826</v>
      </c>
      <c r="I363" s="1243">
        <f t="shared" si="53"/>
        <v>0.10403807929699771</v>
      </c>
      <c r="J363" s="1243">
        <f t="shared" si="60"/>
        <v>0.12093838824177333</v>
      </c>
      <c r="K363" s="1243">
        <f t="shared" si="61"/>
        <v>0.1</v>
      </c>
      <c r="L363" s="203"/>
      <c r="N363" s="1425">
        <v>44711</v>
      </c>
      <c r="O363" s="1502">
        <v>14.774900000000001</v>
      </c>
      <c r="P363" s="1502">
        <v>5.6516999999999999</v>
      </c>
      <c r="Q363" s="1502">
        <v>16.483899999999998</v>
      </c>
      <c r="R363" s="1233">
        <f>'B. PE'!$U$23</f>
        <v>15.978235616082999</v>
      </c>
      <c r="S363" s="1233"/>
      <c r="T363" s="1233"/>
      <c r="V363" s="1425">
        <v>44711</v>
      </c>
      <c r="W363" s="1">
        <v>12.8767</v>
      </c>
      <c r="X363" s="1">
        <v>1.9592000000000001</v>
      </c>
      <c r="Y363" s="1">
        <v>11.6372</v>
      </c>
      <c r="Z363" s="1">
        <v>1.43466</v>
      </c>
      <c r="AB363" s="1425">
        <v>44698</v>
      </c>
      <c r="AC363" s="1">
        <v>7.7478999999999996</v>
      </c>
      <c r="AD363" s="1502">
        <v>1.2468999999999999</v>
      </c>
      <c r="AE363" s="1">
        <v>5.0909000000000004</v>
      </c>
      <c r="AF363" s="1">
        <v>3.4029999999999998E-2</v>
      </c>
      <c r="AH363" s="1425">
        <v>44698</v>
      </c>
      <c r="AI363" s="1">
        <v>15.9056</v>
      </c>
      <c r="AJ363" s="1">
        <v>2.9982000000000002</v>
      </c>
      <c r="AK363" s="1">
        <v>8.6477000000000004</v>
      </c>
      <c r="AL363" s="1">
        <v>4.6809999999999997E-2</v>
      </c>
      <c r="AN363" s="1425">
        <v>44694</v>
      </c>
      <c r="AO363" s="1">
        <v>7.5247999999999999</v>
      </c>
      <c r="AP363" s="1">
        <v>1.0593999999999999</v>
      </c>
      <c r="AQ363" s="1">
        <v>5.0853999999999999</v>
      </c>
      <c r="AR363" s="1">
        <v>0.26277</v>
      </c>
      <c r="AT363" s="1425">
        <v>44694</v>
      </c>
      <c r="AU363" s="1">
        <v>13.2964</v>
      </c>
      <c r="AV363" s="1">
        <v>0.87150000000000005</v>
      </c>
      <c r="AW363" s="1">
        <v>8.7286000000000001</v>
      </c>
      <c r="AX363" s="1">
        <v>0.21934999999999999</v>
      </c>
      <c r="BA363" s="1425">
        <v>44693</v>
      </c>
      <c r="BB363" s="1">
        <v>15.041600000000001</v>
      </c>
      <c r="BC363" s="1">
        <v>3.456</v>
      </c>
      <c r="BD363" s="1">
        <v>15.398199999999999</v>
      </c>
      <c r="BE363" s="1">
        <v>1.0689299999999999</v>
      </c>
      <c r="BG363" s="1425">
        <v>44693</v>
      </c>
      <c r="BH363" s="1">
        <v>17.125299999999999</v>
      </c>
      <c r="BI363" s="1">
        <v>4.4489000000000001</v>
      </c>
      <c r="BJ363" s="1">
        <v>23.5822</v>
      </c>
      <c r="BT363" s="1425">
        <v>44711</v>
      </c>
      <c r="BU363" s="1">
        <v>20.093900000000001</v>
      </c>
      <c r="BV363" s="1">
        <v>4.7484000000000002</v>
      </c>
      <c r="BW363" s="1">
        <v>12.6256</v>
      </c>
      <c r="BX363" s="1">
        <v>2.9950000000000001</v>
      </c>
      <c r="BZ363" s="1425">
        <v>44711</v>
      </c>
      <c r="CA363" s="1">
        <v>19.7712</v>
      </c>
      <c r="CB363" s="1">
        <v>5.6551999999999998</v>
      </c>
      <c r="CC363" s="1">
        <v>18.138100000000001</v>
      </c>
      <c r="CD363" s="1">
        <v>3.1102699999999999</v>
      </c>
      <c r="CF363" s="1425">
        <v>44708</v>
      </c>
      <c r="CG363" s="1">
        <v>5.8415999999999997</v>
      </c>
      <c r="CH363" s="1">
        <v>1.9036</v>
      </c>
      <c r="CI363" s="1">
        <v>7.5658000000000003</v>
      </c>
      <c r="CL363" s="1425">
        <v>44714</v>
      </c>
      <c r="CM363" s="1">
        <v>23.180599999999998</v>
      </c>
      <c r="CN363" s="1">
        <v>2.8748999999999998</v>
      </c>
      <c r="CO363" s="1">
        <v>12.398300000000001</v>
      </c>
    </row>
    <row r="364" spans="1:93">
      <c r="A364" s="1425">
        <v>44708</v>
      </c>
      <c r="B364" s="20">
        <f t="shared" si="52"/>
        <v>14.774900000000001</v>
      </c>
      <c r="C364" s="20">
        <f t="shared" si="54"/>
        <v>12.8767</v>
      </c>
      <c r="D364" s="20">
        <f t="shared" si="55"/>
        <v>16.3505</v>
      </c>
      <c r="E364" s="20">
        <f t="shared" si="56"/>
        <v>7.4587000000000003</v>
      </c>
      <c r="F364" s="20">
        <f t="shared" si="57"/>
        <v>16.8096</v>
      </c>
      <c r="G364" s="20">
        <f t="shared" si="58"/>
        <v>13.4932</v>
      </c>
      <c r="H364" s="1239">
        <f t="shared" si="59"/>
        <v>13.4932</v>
      </c>
      <c r="I364" s="1243">
        <f t="shared" si="53"/>
        <v>9.4988586843743672E-2</v>
      </c>
      <c r="J364" s="1243">
        <f t="shared" si="60"/>
        <v>0.12093838824177333</v>
      </c>
      <c r="K364" s="1243">
        <f t="shared" si="61"/>
        <v>0.1</v>
      </c>
      <c r="L364" s="203"/>
      <c r="N364" s="1425">
        <v>44708</v>
      </c>
      <c r="O364" s="1502">
        <v>14.774900000000001</v>
      </c>
      <c r="P364" s="1502">
        <v>5.6516999999999999</v>
      </c>
      <c r="Q364" s="1502">
        <v>16.483899999999998</v>
      </c>
      <c r="R364" s="1233">
        <f>'B. PE'!$U$23</f>
        <v>15.978235616082999</v>
      </c>
      <c r="S364" s="1233"/>
      <c r="T364" s="1233"/>
      <c r="V364" s="1425">
        <v>44708</v>
      </c>
      <c r="W364" s="1">
        <v>12.8767</v>
      </c>
      <c r="X364" s="1">
        <v>1.9592000000000001</v>
      </c>
      <c r="Y364" s="1">
        <v>11.6372</v>
      </c>
      <c r="Z364" s="1">
        <v>1.43503</v>
      </c>
      <c r="AB364" s="1425">
        <v>44694</v>
      </c>
      <c r="AC364" s="1">
        <v>7.6405000000000003</v>
      </c>
      <c r="AD364" s="1502">
        <v>1.2296</v>
      </c>
      <c r="AE364" s="1">
        <v>5.0387000000000004</v>
      </c>
      <c r="AF364" s="1">
        <v>3.5110000000000002E-2</v>
      </c>
      <c r="AH364" s="1425">
        <v>44694</v>
      </c>
      <c r="AI364" s="1">
        <v>16.0168</v>
      </c>
      <c r="AJ364" s="1">
        <v>3.0192000000000001</v>
      </c>
      <c r="AK364" s="1">
        <v>8.7060999999999993</v>
      </c>
      <c r="AL364" s="1">
        <v>4.7509999999999997E-2</v>
      </c>
      <c r="AN364" s="1425">
        <v>44693</v>
      </c>
      <c r="AO364" s="1">
        <v>7.4587000000000003</v>
      </c>
      <c r="AP364" s="1">
        <v>1.0501</v>
      </c>
      <c r="AQ364" s="1">
        <v>5.0357000000000003</v>
      </c>
      <c r="AR364" s="1">
        <v>0.26291999999999999</v>
      </c>
      <c r="AT364" s="1425">
        <v>44693</v>
      </c>
      <c r="AU364" s="1">
        <v>12.950100000000001</v>
      </c>
      <c r="AV364" s="1">
        <v>0.8488</v>
      </c>
      <c r="AW364" s="1">
        <v>8.5305999999999997</v>
      </c>
      <c r="AX364" s="1">
        <v>0.21490999999999999</v>
      </c>
      <c r="BA364" s="1425">
        <v>44692</v>
      </c>
      <c r="BB364" s="1">
        <v>15.815799999999999</v>
      </c>
      <c r="BC364" s="1">
        <v>3.6337999999999999</v>
      </c>
      <c r="BD364" s="1">
        <v>16.001799999999999</v>
      </c>
      <c r="BE364" s="1">
        <v>1.0349999999999999</v>
      </c>
      <c r="BG364" s="1425">
        <v>44692</v>
      </c>
      <c r="BH364" s="1">
        <v>17.677700000000002</v>
      </c>
      <c r="BI364" s="1">
        <v>4.5923999999999996</v>
      </c>
      <c r="BJ364" s="1">
        <v>24.222300000000001</v>
      </c>
      <c r="BT364" s="1425">
        <v>44708</v>
      </c>
      <c r="BU364" s="1">
        <v>20.301500000000001</v>
      </c>
      <c r="BV364" s="1">
        <v>4.7973999999999997</v>
      </c>
      <c r="BW364" s="1">
        <v>12.745200000000001</v>
      </c>
      <c r="BX364" s="1">
        <v>2.9958</v>
      </c>
      <c r="BZ364" s="1425">
        <v>44708</v>
      </c>
      <c r="CA364" s="1">
        <v>20.073499999999999</v>
      </c>
      <c r="CB364" s="1">
        <v>5.7416</v>
      </c>
      <c r="CC364" s="1">
        <v>18.345300000000002</v>
      </c>
      <c r="CD364" s="1">
        <v>3.0436100000000001</v>
      </c>
      <c r="CF364" s="1425">
        <v>44707</v>
      </c>
      <c r="CG364" s="1">
        <v>5.7629999999999999</v>
      </c>
      <c r="CH364" s="1">
        <v>1.8779999999999999</v>
      </c>
      <c r="CI364" s="1">
        <v>7.5015000000000001</v>
      </c>
      <c r="CL364" s="1425">
        <v>44713</v>
      </c>
      <c r="CM364" s="1">
        <v>23.035699999999999</v>
      </c>
      <c r="CN364" s="1">
        <v>2.8570000000000002</v>
      </c>
      <c r="CO364" s="1">
        <v>12.3207</v>
      </c>
    </row>
    <row r="365" spans="1:93">
      <c r="A365" s="1425">
        <v>44707</v>
      </c>
      <c r="B365" s="20">
        <f t="shared" si="52"/>
        <v>14.1816</v>
      </c>
      <c r="C365" s="20">
        <f t="shared" si="54"/>
        <v>12.361000000000001</v>
      </c>
      <c r="D365" s="20">
        <f t="shared" si="55"/>
        <v>16.3505</v>
      </c>
      <c r="E365" s="20">
        <f t="shared" si="56"/>
        <v>7.4587000000000003</v>
      </c>
      <c r="F365" s="20">
        <f t="shared" si="57"/>
        <v>16.888500000000001</v>
      </c>
      <c r="G365" s="20">
        <f t="shared" si="58"/>
        <v>13.4932</v>
      </c>
      <c r="H365" s="1239">
        <f t="shared" si="59"/>
        <v>13.4932</v>
      </c>
      <c r="I365" s="1243">
        <f t="shared" si="53"/>
        <v>5.1018290694571977E-2</v>
      </c>
      <c r="J365" s="1243">
        <f t="shared" si="60"/>
        <v>0.12093838824177333</v>
      </c>
      <c r="K365" s="1243">
        <f t="shared" si="61"/>
        <v>0.1</v>
      </c>
      <c r="L365" s="203"/>
      <c r="N365" s="1425">
        <v>44707</v>
      </c>
      <c r="O365" s="1502">
        <v>14.1816</v>
      </c>
      <c r="P365" s="1502">
        <v>5.4248000000000003</v>
      </c>
      <c r="Q365" s="1502">
        <v>15.8957</v>
      </c>
      <c r="R365" s="1233">
        <f>'B. PE'!$U$23</f>
        <v>15.978235616082999</v>
      </c>
      <c r="S365" s="1233"/>
      <c r="T365" s="1233"/>
      <c r="V365" s="1425">
        <v>44707</v>
      </c>
      <c r="W365" s="1">
        <v>12.361000000000001</v>
      </c>
      <c r="X365" s="1">
        <v>1.8808</v>
      </c>
      <c r="Y365" s="1">
        <v>11.2765</v>
      </c>
      <c r="Z365" s="1">
        <v>1.3430299999999999</v>
      </c>
      <c r="AB365" s="1425">
        <v>44693</v>
      </c>
      <c r="AC365" s="1">
        <v>7.6405000000000003</v>
      </c>
      <c r="AD365" s="1502">
        <v>1.2296</v>
      </c>
      <c r="AE365" s="1">
        <v>5.0387000000000004</v>
      </c>
      <c r="AF365" s="1">
        <v>3.4759999999999999E-2</v>
      </c>
      <c r="AH365" s="1425">
        <v>44693</v>
      </c>
      <c r="AI365" s="1">
        <v>15.238200000000001</v>
      </c>
      <c r="AJ365" s="1">
        <v>2.8723999999999998</v>
      </c>
      <c r="AK365" s="1">
        <v>8.2972000000000001</v>
      </c>
      <c r="AL365" s="1">
        <v>4.7149999999999997E-2</v>
      </c>
      <c r="AN365" s="1425">
        <v>44692</v>
      </c>
      <c r="AO365" s="1">
        <v>7.5907999999999998</v>
      </c>
      <c r="AP365" s="1">
        <v>1.0687</v>
      </c>
      <c r="AQ365" s="1">
        <v>5.1351000000000004</v>
      </c>
      <c r="AR365" s="1">
        <v>0.26304</v>
      </c>
      <c r="AT365" s="1425">
        <v>44692</v>
      </c>
      <c r="AU365" s="1">
        <v>13.2964</v>
      </c>
      <c r="AV365" s="1">
        <v>0.87150000000000005</v>
      </c>
      <c r="AW365" s="1">
        <v>8.7277000000000005</v>
      </c>
      <c r="AX365" s="1">
        <v>0.21844</v>
      </c>
      <c r="BA365" s="1425">
        <v>44691</v>
      </c>
      <c r="BB365" s="1">
        <v>16.3688</v>
      </c>
      <c r="BC365" s="1">
        <v>3.7608999999999999</v>
      </c>
      <c r="BD365" s="1">
        <v>16.433</v>
      </c>
      <c r="BE365" s="1">
        <v>1.09243</v>
      </c>
      <c r="BG365" s="1425">
        <v>44691</v>
      </c>
      <c r="BH365" s="1">
        <v>18.2301</v>
      </c>
      <c r="BI365" s="1">
        <v>4.7359</v>
      </c>
      <c r="BJ365" s="1">
        <v>24.862500000000001</v>
      </c>
      <c r="BT365" s="1425">
        <v>44707</v>
      </c>
      <c r="BU365" s="1">
        <v>19.235900000000001</v>
      </c>
      <c r="BV365" s="1">
        <v>4.5456000000000003</v>
      </c>
      <c r="BW365" s="1">
        <v>12.131</v>
      </c>
      <c r="BX365" s="1">
        <v>2.8675999999999999</v>
      </c>
      <c r="BZ365" s="1425">
        <v>44707</v>
      </c>
      <c r="CA365" s="1">
        <v>18.818899999999999</v>
      </c>
      <c r="CB365" s="1">
        <v>5.3827999999999996</v>
      </c>
      <c r="CC365" s="1">
        <v>17.485499999999998</v>
      </c>
      <c r="CD365" s="1">
        <v>2.8473000000000002</v>
      </c>
      <c r="CF365" s="1425">
        <v>44706</v>
      </c>
      <c r="CG365" s="1">
        <v>5.7629999999999999</v>
      </c>
      <c r="CH365" s="1">
        <v>1.8779999999999999</v>
      </c>
      <c r="CI365" s="1">
        <v>7.5015000000000001</v>
      </c>
      <c r="CL365" s="1425">
        <v>44712</v>
      </c>
      <c r="CM365" s="1">
        <v>23.1951</v>
      </c>
      <c r="CN365" s="1">
        <v>2.8767</v>
      </c>
      <c r="CO365" s="1">
        <v>12.4061</v>
      </c>
    </row>
    <row r="366" spans="1:93">
      <c r="A366" s="1425">
        <v>44706</v>
      </c>
      <c r="B366" s="20">
        <f t="shared" si="52"/>
        <v>13.937200000000001</v>
      </c>
      <c r="C366" s="20">
        <f t="shared" si="54"/>
        <v>12.361000000000001</v>
      </c>
      <c r="D366" s="20">
        <f t="shared" si="55"/>
        <v>15.6831</v>
      </c>
      <c r="E366" s="20">
        <f t="shared" si="56"/>
        <v>7.4587000000000003</v>
      </c>
      <c r="F366" s="20">
        <f t="shared" si="57"/>
        <v>16.888500000000001</v>
      </c>
      <c r="G366" s="20">
        <f t="shared" si="58"/>
        <v>13.1614</v>
      </c>
      <c r="H366" s="1239">
        <f t="shared" si="59"/>
        <v>13.1614</v>
      </c>
      <c r="I366" s="1243">
        <f t="shared" si="53"/>
        <v>5.8945097026152249E-2</v>
      </c>
      <c r="J366" s="1243">
        <f t="shared" si="60"/>
        <v>0.12093838824177333</v>
      </c>
      <c r="K366" s="1243">
        <f t="shared" si="61"/>
        <v>0.1</v>
      </c>
      <c r="L366" s="203"/>
      <c r="N366" s="1425">
        <v>44706</v>
      </c>
      <c r="O366" s="1502">
        <v>13.937200000000001</v>
      </c>
      <c r="P366" s="1502">
        <v>5.3312999999999997</v>
      </c>
      <c r="Q366" s="1502">
        <v>15.653600000000001</v>
      </c>
      <c r="R366" s="1233">
        <f>'B. PE'!$U$23</f>
        <v>15.978235616082999</v>
      </c>
      <c r="S366" s="1233"/>
      <c r="T366" s="1233"/>
      <c r="V366" s="1425">
        <v>44706</v>
      </c>
      <c r="W366" s="1">
        <v>12.361000000000001</v>
      </c>
      <c r="X366" s="1">
        <v>1.8808</v>
      </c>
      <c r="Y366" s="1">
        <v>11.2765</v>
      </c>
      <c r="Z366" s="1">
        <v>1.2862800000000001</v>
      </c>
      <c r="AB366" s="1425">
        <v>44692</v>
      </c>
      <c r="AC366" s="1">
        <v>7.8246000000000002</v>
      </c>
      <c r="AD366" s="1502">
        <v>1.2593000000000001</v>
      </c>
      <c r="AE366" s="1">
        <v>5.1280999999999999</v>
      </c>
      <c r="AF366" s="1">
        <v>3.508E-2</v>
      </c>
      <c r="AH366" s="1425">
        <v>44692</v>
      </c>
      <c r="AI366" s="1">
        <v>15.349399999999999</v>
      </c>
      <c r="AJ366" s="1">
        <v>2.8934000000000002</v>
      </c>
      <c r="AK366" s="1">
        <v>8.3556000000000008</v>
      </c>
      <c r="AL366" s="1">
        <v>4.7800000000000002E-2</v>
      </c>
      <c r="AN366" s="1425">
        <v>44691</v>
      </c>
      <c r="AO366" s="1">
        <v>7.5907999999999998</v>
      </c>
      <c r="AP366" s="1">
        <v>1.0687</v>
      </c>
      <c r="AQ366" s="1">
        <v>5.1351000000000004</v>
      </c>
      <c r="AR366" s="1">
        <v>0.26640999999999998</v>
      </c>
      <c r="AT366" s="1425">
        <v>44691</v>
      </c>
      <c r="AU366" s="1">
        <v>13.019399999999999</v>
      </c>
      <c r="AV366" s="1">
        <v>0.85340000000000005</v>
      </c>
      <c r="AW366" s="1">
        <v>8.5693000000000001</v>
      </c>
      <c r="AX366" s="1">
        <v>0.22506999999999999</v>
      </c>
      <c r="BA366" s="1425">
        <v>44690</v>
      </c>
      <c r="BB366" s="1">
        <v>15.815799999999999</v>
      </c>
      <c r="BC366" s="1">
        <v>3.6337999999999999</v>
      </c>
      <c r="BD366" s="1">
        <v>16.001799999999999</v>
      </c>
      <c r="BE366" s="1">
        <v>1.10507</v>
      </c>
      <c r="BG366" s="1425">
        <v>44690</v>
      </c>
      <c r="BH366" s="1">
        <v>17.756599999999999</v>
      </c>
      <c r="BI366" s="1">
        <v>4.6128999999999998</v>
      </c>
      <c r="BJ366" s="1">
        <v>24.313800000000001</v>
      </c>
      <c r="BT366" s="1425">
        <v>44706</v>
      </c>
      <c r="BU366" s="1">
        <v>19.235900000000001</v>
      </c>
      <c r="BV366" s="1">
        <v>4.5456000000000003</v>
      </c>
      <c r="BW366" s="1">
        <v>12.131</v>
      </c>
      <c r="BX366" s="1">
        <v>2.8231000000000002</v>
      </c>
      <c r="BZ366" s="1425">
        <v>44706</v>
      </c>
      <c r="CA366" s="1">
        <v>18.410799999999998</v>
      </c>
      <c r="CB366" s="1">
        <v>5.266</v>
      </c>
      <c r="CC366" s="1">
        <v>17.2057</v>
      </c>
      <c r="CD366" s="1">
        <v>2.7902</v>
      </c>
      <c r="CF366" s="1425">
        <v>44705</v>
      </c>
      <c r="CG366" s="1">
        <v>5.5269000000000004</v>
      </c>
      <c r="CH366" s="1">
        <v>1.8010999999999999</v>
      </c>
      <c r="CI366" s="1">
        <v>7.3083999999999998</v>
      </c>
      <c r="CL366" s="1425">
        <v>44711</v>
      </c>
      <c r="CM366" s="1">
        <v>23.3401</v>
      </c>
      <c r="CN366" s="1">
        <v>2.8946999999999998</v>
      </c>
      <c r="CO366" s="1">
        <v>12.4838</v>
      </c>
    </row>
    <row r="367" spans="1:93">
      <c r="A367" s="1425">
        <v>44705</v>
      </c>
      <c r="B367" s="20">
        <f t="shared" si="52"/>
        <v>13.0298</v>
      </c>
      <c r="C367" s="20">
        <f t="shared" si="54"/>
        <v>11.564</v>
      </c>
      <c r="D367" s="20">
        <f t="shared" si="55"/>
        <v>15.571899999999999</v>
      </c>
      <c r="E367" s="20">
        <f t="shared" si="56"/>
        <v>7.3926999999999996</v>
      </c>
      <c r="F367" s="20">
        <f t="shared" si="57"/>
        <v>16.730699999999999</v>
      </c>
      <c r="G367" s="20">
        <f t="shared" si="58"/>
        <v>13.4932</v>
      </c>
      <c r="H367" s="1239">
        <f t="shared" si="59"/>
        <v>13.4932</v>
      </c>
      <c r="I367" s="1243">
        <f t="shared" si="53"/>
        <v>-3.4343224735422284E-2</v>
      </c>
      <c r="J367" s="1243">
        <f t="shared" si="60"/>
        <v>0.12093838824177333</v>
      </c>
      <c r="K367" s="1243">
        <f t="shared" si="61"/>
        <v>0.1</v>
      </c>
      <c r="L367" s="203"/>
      <c r="N367" s="1425">
        <v>44705</v>
      </c>
      <c r="O367" s="1502">
        <v>13.0298</v>
      </c>
      <c r="P367" s="1502">
        <v>4.9842000000000004</v>
      </c>
      <c r="Q367" s="1502">
        <v>14.754</v>
      </c>
      <c r="R367" s="1233">
        <f>'B. PE'!$U$23</f>
        <v>15.978235616082999</v>
      </c>
      <c r="S367" s="1233"/>
      <c r="T367" s="1233"/>
      <c r="V367" s="1425">
        <v>44705</v>
      </c>
      <c r="W367" s="1">
        <v>11.564</v>
      </c>
      <c r="X367" s="1">
        <v>1.7595000000000001</v>
      </c>
      <c r="Y367" s="1">
        <v>10.719200000000001</v>
      </c>
      <c r="Z367" s="1">
        <v>1.28606</v>
      </c>
      <c r="AB367" s="1425">
        <v>44691</v>
      </c>
      <c r="AC367" s="1">
        <v>7.7478999999999996</v>
      </c>
      <c r="AD367" s="1502">
        <v>1.2468999999999999</v>
      </c>
      <c r="AE367" s="1">
        <v>5.0909000000000004</v>
      </c>
      <c r="AF367" s="1">
        <v>3.6170000000000001E-2</v>
      </c>
      <c r="AH367" s="1425">
        <v>44691</v>
      </c>
      <c r="AI367" s="1">
        <v>15.238200000000001</v>
      </c>
      <c r="AJ367" s="1">
        <v>2.8723999999999998</v>
      </c>
      <c r="AK367" s="1">
        <v>8.2972000000000001</v>
      </c>
      <c r="AL367" s="1">
        <v>4.9259999999999998E-2</v>
      </c>
      <c r="AN367" s="1425">
        <v>44690</v>
      </c>
      <c r="AO367" s="1">
        <v>7.5907999999999998</v>
      </c>
      <c r="AP367" s="1">
        <v>1.0687</v>
      </c>
      <c r="AQ367" s="1">
        <v>5.1351000000000004</v>
      </c>
      <c r="AR367" s="1">
        <v>0.27072000000000002</v>
      </c>
      <c r="AT367" s="1425">
        <v>44690</v>
      </c>
      <c r="AU367" s="1">
        <v>13.2271</v>
      </c>
      <c r="AV367" s="1">
        <v>0.86699999999999999</v>
      </c>
      <c r="AW367" s="1">
        <v>8.6843000000000004</v>
      </c>
      <c r="AX367" s="1">
        <v>0.21909999999999999</v>
      </c>
      <c r="BA367" s="1425">
        <v>44687</v>
      </c>
      <c r="BB367" s="1">
        <v>16.59</v>
      </c>
      <c r="BC367" s="1">
        <v>3.8117000000000001</v>
      </c>
      <c r="BD367" s="1">
        <v>16.605399999999999</v>
      </c>
      <c r="BE367" s="1">
        <v>1.1478900000000001</v>
      </c>
      <c r="BG367" s="1425">
        <v>44687</v>
      </c>
      <c r="BH367" s="1">
        <v>18.151199999999999</v>
      </c>
      <c r="BI367" s="1">
        <v>4.7153999999999998</v>
      </c>
      <c r="BJ367" s="1">
        <v>24.771000000000001</v>
      </c>
      <c r="BT367" s="1425">
        <v>44705</v>
      </c>
      <c r="BU367" s="1">
        <v>18.4056</v>
      </c>
      <c r="BV367" s="1">
        <v>4.3494000000000002</v>
      </c>
      <c r="BW367" s="1">
        <v>11.6548</v>
      </c>
      <c r="BX367" s="1">
        <v>2.8917000000000002</v>
      </c>
      <c r="BZ367" s="1425">
        <v>44705</v>
      </c>
      <c r="CA367" s="1">
        <v>17.2166</v>
      </c>
      <c r="CB367" s="1">
        <v>4.9245000000000001</v>
      </c>
      <c r="CC367" s="1">
        <v>16.3874</v>
      </c>
      <c r="CD367" s="1">
        <v>2.7146499999999998</v>
      </c>
      <c r="CF367" s="1425">
        <v>44704</v>
      </c>
      <c r="CG367" s="1">
        <v>5.5269000000000004</v>
      </c>
      <c r="CH367" s="1">
        <v>1.8010999999999999</v>
      </c>
      <c r="CI367" s="1">
        <v>7.3083999999999998</v>
      </c>
      <c r="CL367" s="1425">
        <v>44708</v>
      </c>
      <c r="CM367" s="1">
        <v>23.2241</v>
      </c>
      <c r="CN367" s="1">
        <v>2.8803000000000001</v>
      </c>
      <c r="CO367" s="1">
        <v>12.4216</v>
      </c>
    </row>
    <row r="368" spans="1:93">
      <c r="A368" s="1425">
        <v>44704</v>
      </c>
      <c r="B368" s="20">
        <f t="shared" si="52"/>
        <v>12.5877</v>
      </c>
      <c r="C368" s="20">
        <f t="shared" si="54"/>
        <v>11.0639</v>
      </c>
      <c r="D368" s="20">
        <f t="shared" si="55"/>
        <v>15.6831</v>
      </c>
      <c r="E368" s="20">
        <f t="shared" si="56"/>
        <v>7.4587000000000003</v>
      </c>
      <c r="F368" s="20">
        <f t="shared" si="57"/>
        <v>17.046399999999998</v>
      </c>
      <c r="G368" s="20">
        <f t="shared" si="58"/>
        <v>13.714399999999999</v>
      </c>
      <c r="H368" s="1239">
        <f t="shared" si="59"/>
        <v>13.714399999999999</v>
      </c>
      <c r="I368" s="1243">
        <f t="shared" si="53"/>
        <v>-8.2154523712302363E-2</v>
      </c>
      <c r="J368" s="1243">
        <f t="shared" si="60"/>
        <v>0.12093838824177333</v>
      </c>
      <c r="K368" s="1243">
        <f t="shared" si="61"/>
        <v>0.1</v>
      </c>
      <c r="L368" s="203"/>
      <c r="N368" s="1425">
        <v>44704</v>
      </c>
      <c r="O368" s="1502">
        <v>12.5877</v>
      </c>
      <c r="P368" s="1502">
        <v>4.8151000000000002</v>
      </c>
      <c r="Q368" s="1502">
        <v>14.315799999999999</v>
      </c>
      <c r="R368" s="1233">
        <f>'B. PE'!$U$23</f>
        <v>15.978235616082999</v>
      </c>
      <c r="S368" s="1233"/>
      <c r="T368" s="1233"/>
      <c r="V368" s="1425">
        <v>44704</v>
      </c>
      <c r="W368" s="1">
        <v>11.0639</v>
      </c>
      <c r="X368" s="1">
        <v>1.6834</v>
      </c>
      <c r="Y368" s="1">
        <v>10.3695</v>
      </c>
      <c r="Z368" s="1">
        <v>1.20333</v>
      </c>
      <c r="AB368" s="1425">
        <v>44690</v>
      </c>
      <c r="AC368" s="1">
        <v>7.8246000000000002</v>
      </c>
      <c r="AD368" s="1502">
        <v>1.2593000000000001</v>
      </c>
      <c r="AE368" s="1">
        <v>5.1280999999999999</v>
      </c>
      <c r="AF368" s="1">
        <v>3.6040000000000003E-2</v>
      </c>
      <c r="AH368" s="1425">
        <v>44690</v>
      </c>
      <c r="AI368" s="1">
        <v>15.460699999999999</v>
      </c>
      <c r="AJ368" s="1">
        <v>2.9144000000000001</v>
      </c>
      <c r="AK368" s="1">
        <v>8.4139999999999997</v>
      </c>
      <c r="AL368" s="1">
        <v>4.8509999999999998E-2</v>
      </c>
      <c r="AN368" s="1425">
        <v>44687</v>
      </c>
      <c r="AO368" s="1">
        <v>7.6567999999999996</v>
      </c>
      <c r="AP368" s="1">
        <v>1.0780000000000001</v>
      </c>
      <c r="AQ368" s="1">
        <v>5.1848000000000001</v>
      </c>
      <c r="AR368" s="1">
        <v>0.27695999999999998</v>
      </c>
      <c r="AT368" s="1425">
        <v>44687</v>
      </c>
      <c r="AU368" s="1">
        <v>13.573399999999999</v>
      </c>
      <c r="AV368" s="1">
        <v>0.88970000000000005</v>
      </c>
      <c r="AW368" s="1">
        <v>8.8821999999999992</v>
      </c>
      <c r="AX368" s="1">
        <v>0.22156999999999999</v>
      </c>
      <c r="BA368" s="1425">
        <v>44686</v>
      </c>
      <c r="BB368" s="1">
        <v>16.811199999999999</v>
      </c>
      <c r="BC368" s="1">
        <v>3.8626</v>
      </c>
      <c r="BD368" s="1">
        <v>16.777899999999999</v>
      </c>
      <c r="BE368" s="1">
        <v>1.18825</v>
      </c>
      <c r="BG368" s="1425">
        <v>44686</v>
      </c>
      <c r="BH368" s="1">
        <v>18.782599999999999</v>
      </c>
      <c r="BI368" s="1">
        <v>4.8794000000000004</v>
      </c>
      <c r="BJ368" s="1">
        <v>25.502600000000001</v>
      </c>
      <c r="BT368" s="1425">
        <v>44704</v>
      </c>
      <c r="BU368" s="1">
        <v>18.101099999999999</v>
      </c>
      <c r="BV368" s="1">
        <v>4.2774999999999999</v>
      </c>
      <c r="BW368" s="1">
        <v>11.4793</v>
      </c>
      <c r="BX368" s="1">
        <v>2.8721000000000001</v>
      </c>
      <c r="BZ368" s="1425">
        <v>44704</v>
      </c>
      <c r="CA368" s="1">
        <v>16.853899999999999</v>
      </c>
      <c r="CB368" s="1">
        <v>4.8207000000000004</v>
      </c>
      <c r="CC368" s="1">
        <v>16.1387</v>
      </c>
      <c r="CD368" s="1">
        <v>2.7540900000000001</v>
      </c>
      <c r="CF368" s="1425">
        <v>44701</v>
      </c>
      <c r="CG368" s="1">
        <v>5.6843000000000004</v>
      </c>
      <c r="CH368" s="1">
        <v>1.8523000000000001</v>
      </c>
      <c r="CI368" s="1">
        <v>7.4371</v>
      </c>
      <c r="CL368" s="1425">
        <v>44706</v>
      </c>
      <c r="CM368" s="1">
        <v>23.035699999999999</v>
      </c>
      <c r="CN368" s="1">
        <v>2.8570000000000002</v>
      </c>
      <c r="CO368" s="1">
        <v>12.3207</v>
      </c>
    </row>
    <row r="369" spans="1:93">
      <c r="A369" s="1425">
        <v>44701</v>
      </c>
      <c r="B369" s="20">
        <f t="shared" si="52"/>
        <v>12.564500000000001</v>
      </c>
      <c r="C369" s="20">
        <f t="shared" si="54"/>
        <v>11.0639</v>
      </c>
      <c r="D369" s="20">
        <f t="shared" si="55"/>
        <v>15.571899999999999</v>
      </c>
      <c r="E369" s="20">
        <f t="shared" si="56"/>
        <v>7.5247999999999999</v>
      </c>
      <c r="F369" s="20">
        <f t="shared" si="57"/>
        <v>17.125299999999999</v>
      </c>
      <c r="G369" s="20">
        <f t="shared" si="58"/>
        <v>13.714399999999999</v>
      </c>
      <c r="H369" s="1239">
        <f t="shared" si="59"/>
        <v>13.714399999999999</v>
      </c>
      <c r="I369" s="1243">
        <f t="shared" si="53"/>
        <v>-8.3846176281864193E-2</v>
      </c>
      <c r="J369" s="1243">
        <f t="shared" si="60"/>
        <v>0.12093838824177333</v>
      </c>
      <c r="K369" s="1243">
        <f t="shared" si="61"/>
        <v>0.1</v>
      </c>
      <c r="L369" s="203"/>
      <c r="N369" s="1425">
        <v>44701</v>
      </c>
      <c r="O369" s="1502">
        <v>12.564500000000001</v>
      </c>
      <c r="P369" s="1502">
        <v>4.8061999999999996</v>
      </c>
      <c r="Q369" s="1502">
        <v>14.2928</v>
      </c>
      <c r="R369" s="1233">
        <f>'B. PE'!$U$23</f>
        <v>15.978235616082999</v>
      </c>
      <c r="S369" s="1233"/>
      <c r="T369" s="1233"/>
      <c r="V369" s="1425">
        <v>44701</v>
      </c>
      <c r="W369" s="1">
        <v>11.0639</v>
      </c>
      <c r="X369" s="1">
        <v>1.6834</v>
      </c>
      <c r="Y369" s="1">
        <v>10.3695</v>
      </c>
      <c r="Z369" s="1">
        <v>1.20448</v>
      </c>
      <c r="AB369" s="1425">
        <v>44679</v>
      </c>
      <c r="AC369" s="1">
        <v>8.0547000000000004</v>
      </c>
      <c r="AD369" s="1502">
        <v>1.2963</v>
      </c>
      <c r="AE369" s="1">
        <v>5.2398999999999996</v>
      </c>
      <c r="AF369" s="1">
        <v>3.6400000000000002E-2</v>
      </c>
      <c r="AH369" s="1425">
        <v>44679</v>
      </c>
      <c r="AI369" s="1">
        <v>15.9056</v>
      </c>
      <c r="AJ369" s="1">
        <v>2.9982000000000002</v>
      </c>
      <c r="AK369" s="1">
        <v>8.6477000000000004</v>
      </c>
      <c r="AL369" s="1">
        <v>4.888E-2</v>
      </c>
      <c r="AN369" s="1425">
        <v>44686</v>
      </c>
      <c r="AO369" s="1">
        <v>7.7888000000000002</v>
      </c>
      <c r="AP369" s="1">
        <v>1.0966</v>
      </c>
      <c r="AQ369" s="1">
        <v>5.2842000000000002</v>
      </c>
      <c r="AR369" s="1">
        <v>0.27231</v>
      </c>
      <c r="AT369" s="1425">
        <v>44686</v>
      </c>
      <c r="AU369" s="1">
        <v>13.2271</v>
      </c>
      <c r="AV369" s="1">
        <v>0.86699999999999999</v>
      </c>
      <c r="AW369" s="1">
        <v>8.6843000000000004</v>
      </c>
      <c r="AX369" s="1">
        <v>0.22197</v>
      </c>
      <c r="BA369" s="1425">
        <v>44684</v>
      </c>
      <c r="BB369" s="1">
        <v>17.474799999999998</v>
      </c>
      <c r="BC369" s="1">
        <v>4.0149999999999997</v>
      </c>
      <c r="BD369" s="1">
        <v>17.295300000000001</v>
      </c>
      <c r="BE369" s="1">
        <v>1.1392</v>
      </c>
      <c r="BG369" s="1425">
        <v>44684</v>
      </c>
      <c r="BH369" s="1">
        <v>18.861499999999999</v>
      </c>
      <c r="BI369" s="1">
        <v>4.8998999999999997</v>
      </c>
      <c r="BJ369" s="1">
        <v>25.594000000000001</v>
      </c>
      <c r="BT369" s="1425">
        <v>44701</v>
      </c>
      <c r="BU369" s="1">
        <v>18.544</v>
      </c>
      <c r="BV369" s="1">
        <v>4.3821000000000003</v>
      </c>
      <c r="BW369" s="1">
        <v>11.7346</v>
      </c>
      <c r="BX369" s="1">
        <v>2.8856000000000002</v>
      </c>
      <c r="BZ369" s="1425">
        <v>44701</v>
      </c>
      <c r="CA369" s="1">
        <v>16.400400000000001</v>
      </c>
      <c r="CB369" s="1">
        <v>4.6909999999999998</v>
      </c>
      <c r="CC369" s="1">
        <v>15.827999999999999</v>
      </c>
      <c r="CD369" s="1">
        <v>2.8444199999999999</v>
      </c>
      <c r="CF369" s="1425">
        <v>44700</v>
      </c>
      <c r="CG369" s="1">
        <v>6.0972999999999997</v>
      </c>
      <c r="CH369" s="1">
        <v>1.9869000000000001</v>
      </c>
      <c r="CI369" s="1">
        <v>7.7748999999999997</v>
      </c>
      <c r="CL369" s="1425">
        <v>44705</v>
      </c>
      <c r="CM369" s="1">
        <v>23.238600000000002</v>
      </c>
      <c r="CN369" s="1">
        <v>2.8820999999999999</v>
      </c>
      <c r="CO369" s="1">
        <v>12.429399999999999</v>
      </c>
    </row>
    <row r="370" spans="1:93">
      <c r="A370" s="1425">
        <v>44700</v>
      </c>
      <c r="B370" s="20">
        <f t="shared" si="52"/>
        <v>12.436500000000001</v>
      </c>
      <c r="C370" s="20">
        <f t="shared" si="54"/>
        <v>10.3451</v>
      </c>
      <c r="D370" s="20">
        <f t="shared" si="55"/>
        <v>15.460699999999999</v>
      </c>
      <c r="E370" s="20">
        <f t="shared" si="56"/>
        <v>7.4587000000000003</v>
      </c>
      <c r="F370" s="20">
        <f t="shared" si="57"/>
        <v>16.967400000000001</v>
      </c>
      <c r="G370" s="20">
        <f t="shared" si="58"/>
        <v>13.935600000000001</v>
      </c>
      <c r="H370" s="1239">
        <f t="shared" si="59"/>
        <v>13.935600000000001</v>
      </c>
      <c r="I370" s="1243">
        <f t="shared" si="53"/>
        <v>-0.10757340911047963</v>
      </c>
      <c r="J370" s="1243">
        <f t="shared" si="60"/>
        <v>0.12093838824177333</v>
      </c>
      <c r="K370" s="1243">
        <f t="shared" si="61"/>
        <v>0.1</v>
      </c>
      <c r="L370" s="203"/>
      <c r="N370" s="1425">
        <v>44700</v>
      </c>
      <c r="O370" s="1502">
        <v>12.436500000000001</v>
      </c>
      <c r="P370" s="1502">
        <v>4.7572000000000001</v>
      </c>
      <c r="Q370" s="1502">
        <v>14.165900000000001</v>
      </c>
      <c r="R370" s="1233">
        <f>'B. PE'!$U$23</f>
        <v>15.978235616082999</v>
      </c>
      <c r="S370" s="1233"/>
      <c r="T370" s="1233"/>
      <c r="V370" s="1425">
        <v>44700</v>
      </c>
      <c r="W370" s="1">
        <v>10.3451</v>
      </c>
      <c r="X370" s="1">
        <v>1.5741000000000001</v>
      </c>
      <c r="Y370" s="1">
        <v>9.8667999999999996</v>
      </c>
      <c r="Z370" s="1">
        <v>1.1981299999999999</v>
      </c>
      <c r="AB370" s="1425">
        <v>44678</v>
      </c>
      <c r="AC370" s="1">
        <v>7.9779999999999998</v>
      </c>
      <c r="AD370" s="1502">
        <v>1.2839</v>
      </c>
      <c r="AE370" s="1">
        <v>5.2027000000000001</v>
      </c>
      <c r="AF370" s="1">
        <v>3.6360000000000003E-2</v>
      </c>
      <c r="AH370" s="1425">
        <v>44678</v>
      </c>
      <c r="AI370" s="1">
        <v>15.571899999999999</v>
      </c>
      <c r="AJ370" s="1">
        <v>2.9352999999999998</v>
      </c>
      <c r="AK370" s="1">
        <v>8.4724000000000004</v>
      </c>
      <c r="AL370" s="1">
        <v>4.8820000000000002E-2</v>
      </c>
      <c r="AN370" s="1425">
        <v>44680</v>
      </c>
      <c r="AO370" s="1">
        <v>7.9207999999999998</v>
      </c>
      <c r="AP370" s="1">
        <v>1.1152</v>
      </c>
      <c r="AQ370" s="1">
        <v>5.3836000000000004</v>
      </c>
      <c r="AR370" s="1">
        <v>0.27073999999999998</v>
      </c>
      <c r="AT370" s="1425">
        <v>44680</v>
      </c>
      <c r="AU370" s="1">
        <v>13.2964</v>
      </c>
      <c r="AV370" s="1">
        <v>0.87150000000000005</v>
      </c>
      <c r="AW370" s="1">
        <v>8.7238000000000007</v>
      </c>
      <c r="AX370" s="1">
        <v>0.22026000000000001</v>
      </c>
      <c r="BA370" s="1425">
        <v>44680</v>
      </c>
      <c r="BB370" s="1">
        <v>18.027799999999999</v>
      </c>
      <c r="BC370" s="1">
        <v>4.1421000000000001</v>
      </c>
      <c r="BD370" s="1">
        <v>17.726400000000002</v>
      </c>
      <c r="BE370" s="1">
        <v>1.12737</v>
      </c>
      <c r="BG370" s="1425">
        <v>44680</v>
      </c>
      <c r="BH370" s="1">
        <v>19.098199999999999</v>
      </c>
      <c r="BI370" s="1">
        <v>4.9614000000000003</v>
      </c>
      <c r="BJ370" s="1">
        <v>25.868300000000001</v>
      </c>
      <c r="BT370" s="1425">
        <v>44700</v>
      </c>
      <c r="BU370" s="1">
        <v>18.4056</v>
      </c>
      <c r="BV370" s="1">
        <v>4.3494000000000002</v>
      </c>
      <c r="BW370" s="1">
        <v>11.6548</v>
      </c>
      <c r="BX370" s="1">
        <v>2.8468</v>
      </c>
      <c r="BZ370" s="1425">
        <v>44700</v>
      </c>
      <c r="CA370" s="1">
        <v>16.627099999999999</v>
      </c>
      <c r="CB370" s="1">
        <v>4.7558999999999996</v>
      </c>
      <c r="CC370" s="1">
        <v>15.9833</v>
      </c>
      <c r="CD370" s="1">
        <v>2.7262499999999998</v>
      </c>
      <c r="CF370" s="1425">
        <v>44699</v>
      </c>
      <c r="CG370" s="1">
        <v>5.6253000000000002</v>
      </c>
      <c r="CH370" s="1">
        <v>1.8331</v>
      </c>
      <c r="CI370" s="1">
        <v>7.3888999999999996</v>
      </c>
      <c r="CL370" s="1425">
        <v>44704</v>
      </c>
      <c r="CM370" s="1">
        <v>23.122699999999998</v>
      </c>
      <c r="CN370" s="1">
        <v>2.8677000000000001</v>
      </c>
      <c r="CO370" s="1">
        <v>12.3673</v>
      </c>
    </row>
    <row r="371" spans="1:93">
      <c r="A371" s="1425">
        <v>44699</v>
      </c>
      <c r="B371" s="20">
        <f t="shared" si="52"/>
        <v>12.4016</v>
      </c>
      <c r="C371" s="20">
        <f t="shared" si="54"/>
        <v>10.3451</v>
      </c>
      <c r="D371" s="20">
        <f t="shared" si="55"/>
        <v>16.0168</v>
      </c>
      <c r="E371" s="20">
        <f t="shared" si="56"/>
        <v>7.6567999999999996</v>
      </c>
      <c r="F371" s="20">
        <f t="shared" si="57"/>
        <v>17.2042</v>
      </c>
      <c r="G371" s="20">
        <f t="shared" si="58"/>
        <v>14.378</v>
      </c>
      <c r="H371" s="1239">
        <f t="shared" si="59"/>
        <v>14.378</v>
      </c>
      <c r="I371" s="1243">
        <f t="shared" si="53"/>
        <v>-0.13746000834608429</v>
      </c>
      <c r="J371" s="1243">
        <f t="shared" si="60"/>
        <v>0.12093838824177333</v>
      </c>
      <c r="K371" s="1243">
        <f t="shared" si="61"/>
        <v>0.1</v>
      </c>
      <c r="L371" s="203"/>
      <c r="N371" s="1425">
        <v>44699</v>
      </c>
      <c r="O371" s="1502">
        <v>12.4016</v>
      </c>
      <c r="P371" s="1502">
        <v>4.7439</v>
      </c>
      <c r="Q371" s="1502">
        <v>14.1313</v>
      </c>
      <c r="R371" s="1233">
        <f>'B. PE'!$U$23</f>
        <v>15.978235616082999</v>
      </c>
      <c r="S371" s="1233"/>
      <c r="T371" s="1233"/>
      <c r="V371" s="1425">
        <v>44699</v>
      </c>
      <c r="W371" s="1">
        <v>10.3451</v>
      </c>
      <c r="X371" s="1">
        <v>1.5741000000000001</v>
      </c>
      <c r="Y371" s="1">
        <v>9.8667999999999996</v>
      </c>
      <c r="Z371" s="1">
        <v>1.12124</v>
      </c>
      <c r="AB371" s="1425">
        <v>44677</v>
      </c>
      <c r="AC371" s="1">
        <v>8.0547000000000004</v>
      </c>
      <c r="AD371" s="1502">
        <v>1.2963</v>
      </c>
      <c r="AE371" s="1">
        <v>5.2398999999999996</v>
      </c>
      <c r="AF371" s="1">
        <v>3.6639999999999999E-2</v>
      </c>
      <c r="AH371" s="1425">
        <v>44677</v>
      </c>
      <c r="AI371" s="1">
        <v>15.6831</v>
      </c>
      <c r="AJ371" s="1">
        <v>2.9563000000000001</v>
      </c>
      <c r="AK371" s="1">
        <v>8.5307999999999993</v>
      </c>
      <c r="AL371" s="1">
        <v>5.1839999999999997E-2</v>
      </c>
      <c r="AN371" s="1425">
        <v>44679</v>
      </c>
      <c r="AO371" s="1">
        <v>7.8548</v>
      </c>
      <c r="AP371" s="1">
        <v>1.1059000000000001</v>
      </c>
      <c r="AQ371" s="1">
        <v>5.3338999999999999</v>
      </c>
      <c r="AR371" s="1">
        <v>0.27007999999999999</v>
      </c>
      <c r="AT371" s="1425">
        <v>44679</v>
      </c>
      <c r="AU371" s="1">
        <v>13.434900000000001</v>
      </c>
      <c r="AV371" s="1">
        <v>0.88060000000000005</v>
      </c>
      <c r="AW371" s="1">
        <v>8.8007000000000009</v>
      </c>
      <c r="AX371" s="1">
        <v>0.21401000000000001</v>
      </c>
      <c r="BA371" s="1425">
        <v>44679</v>
      </c>
      <c r="BB371" s="1">
        <v>17.3642</v>
      </c>
      <c r="BC371" s="1">
        <v>3.9895999999999998</v>
      </c>
      <c r="BD371" s="1">
        <v>17.209</v>
      </c>
      <c r="BE371" s="1">
        <v>1.13693</v>
      </c>
      <c r="BG371" s="1425">
        <v>44679</v>
      </c>
      <c r="BH371" s="1">
        <v>19.335000000000001</v>
      </c>
      <c r="BI371" s="1">
        <v>5.0228999999999999</v>
      </c>
      <c r="BJ371" s="1">
        <v>26.142700000000001</v>
      </c>
      <c r="BT371" s="1425">
        <v>44699</v>
      </c>
      <c r="BU371" s="1">
        <v>18.474799999999998</v>
      </c>
      <c r="BV371" s="1">
        <v>4.3658000000000001</v>
      </c>
      <c r="BW371" s="1">
        <v>11.694699999999999</v>
      </c>
      <c r="BX371" s="1">
        <v>2.6640999999999999</v>
      </c>
      <c r="BZ371" s="1425">
        <v>44699</v>
      </c>
      <c r="CA371" s="1">
        <v>17.156199999999998</v>
      </c>
      <c r="CB371" s="1">
        <v>4.9071999999999996</v>
      </c>
      <c r="CC371" s="1">
        <v>16.3459</v>
      </c>
      <c r="CD371" s="1">
        <v>2.55138</v>
      </c>
      <c r="CF371" s="1425">
        <v>44698</v>
      </c>
      <c r="CG371" s="1">
        <v>5.5860000000000003</v>
      </c>
      <c r="CH371" s="1">
        <v>1.8203</v>
      </c>
      <c r="CI371" s="1">
        <v>7.3567</v>
      </c>
      <c r="CL371" s="1425">
        <v>44701</v>
      </c>
      <c r="CM371" s="1">
        <v>23.0212</v>
      </c>
      <c r="CN371" s="1">
        <v>2.8552</v>
      </c>
      <c r="CO371" s="1">
        <v>12.312900000000001</v>
      </c>
    </row>
    <row r="372" spans="1:93">
      <c r="A372" s="1425">
        <v>44698</v>
      </c>
      <c r="B372" s="20">
        <f t="shared" si="52"/>
        <v>11.5989</v>
      </c>
      <c r="C372" s="20">
        <f t="shared" si="54"/>
        <v>10.2826</v>
      </c>
      <c r="D372" s="20">
        <f t="shared" si="55"/>
        <v>15.9056</v>
      </c>
      <c r="E372" s="20">
        <f t="shared" si="56"/>
        <v>7.5907999999999998</v>
      </c>
      <c r="F372" s="20">
        <f t="shared" si="57"/>
        <v>17.598800000000001</v>
      </c>
      <c r="G372" s="20">
        <f t="shared" si="58"/>
        <v>14.2674</v>
      </c>
      <c r="H372" s="1239">
        <f t="shared" si="59"/>
        <v>14.2674</v>
      </c>
      <c r="I372" s="1243">
        <f t="shared" si="53"/>
        <v>-0.18703477858614748</v>
      </c>
      <c r="J372" s="1243">
        <f t="shared" si="60"/>
        <v>0.12093838824177333</v>
      </c>
      <c r="K372" s="1243">
        <f t="shared" si="61"/>
        <v>0.1</v>
      </c>
      <c r="L372" s="203"/>
      <c r="N372" s="1425">
        <v>44698</v>
      </c>
      <c r="O372" s="1502">
        <v>11.5989</v>
      </c>
      <c r="P372" s="1502">
        <v>4.4367999999999999</v>
      </c>
      <c r="Q372" s="1502">
        <v>13.335599999999999</v>
      </c>
      <c r="R372" s="1233">
        <f>'B. PE'!$U$23</f>
        <v>15.978235616082999</v>
      </c>
      <c r="S372" s="1233"/>
      <c r="T372" s="1233"/>
      <c r="V372" s="1425">
        <v>44698</v>
      </c>
      <c r="W372" s="1">
        <v>10.2826</v>
      </c>
      <c r="X372" s="1">
        <v>1.5645</v>
      </c>
      <c r="Y372" s="1">
        <v>9.8231000000000002</v>
      </c>
      <c r="Z372" s="1">
        <v>1.20458</v>
      </c>
      <c r="AB372" s="1425">
        <v>44676</v>
      </c>
      <c r="AC372" s="1">
        <v>8.0547000000000004</v>
      </c>
      <c r="AD372" s="1502">
        <v>1.2963</v>
      </c>
      <c r="AE372" s="1">
        <v>5.2398999999999996</v>
      </c>
      <c r="AF372" s="1">
        <v>3.7229999999999999E-2</v>
      </c>
      <c r="AH372" s="1425">
        <v>44676</v>
      </c>
      <c r="AI372" s="1">
        <v>15.6831</v>
      </c>
      <c r="AJ372" s="1">
        <v>2.9563000000000001</v>
      </c>
      <c r="AK372" s="1">
        <v>8.5307999999999993</v>
      </c>
      <c r="AL372" s="1">
        <v>5.2880000000000003E-2</v>
      </c>
      <c r="AN372" s="1425">
        <v>44678</v>
      </c>
      <c r="AO372" s="1">
        <v>7.7888000000000002</v>
      </c>
      <c r="AP372" s="1">
        <v>1.0966</v>
      </c>
      <c r="AQ372" s="1">
        <v>5.2842000000000002</v>
      </c>
      <c r="AR372" s="1">
        <v>0.27217000000000002</v>
      </c>
      <c r="AT372" s="1425">
        <v>44678</v>
      </c>
      <c r="AU372" s="1">
        <v>13.2964</v>
      </c>
      <c r="AV372" s="1">
        <v>0.87150000000000005</v>
      </c>
      <c r="AW372" s="1">
        <v>8.7203999999999997</v>
      </c>
      <c r="AX372" s="1">
        <v>0.21385000000000001</v>
      </c>
      <c r="BA372" s="1425">
        <v>44678</v>
      </c>
      <c r="BB372" s="1">
        <v>17.143000000000001</v>
      </c>
      <c r="BC372" s="1">
        <v>3.9388000000000001</v>
      </c>
      <c r="BD372" s="1">
        <v>17.0366</v>
      </c>
      <c r="BE372" s="1">
        <v>1.1721600000000001</v>
      </c>
      <c r="BG372" s="1425">
        <v>44678</v>
      </c>
      <c r="BH372" s="1">
        <v>19.2561</v>
      </c>
      <c r="BI372" s="1">
        <v>5.0023999999999997</v>
      </c>
      <c r="BJ372" s="1">
        <v>26.051200000000001</v>
      </c>
      <c r="BT372" s="1425">
        <v>44698</v>
      </c>
      <c r="BU372" s="1">
        <v>18.2118</v>
      </c>
      <c r="BV372" s="1">
        <v>4.3036000000000003</v>
      </c>
      <c r="BW372" s="1">
        <v>11.543100000000001</v>
      </c>
      <c r="BX372" s="1">
        <v>2.7084000000000001</v>
      </c>
      <c r="BZ372" s="1425">
        <v>44698</v>
      </c>
      <c r="CA372" s="1">
        <v>16.430599999999998</v>
      </c>
      <c r="CB372" s="1">
        <v>4.6997</v>
      </c>
      <c r="CC372" s="1">
        <v>15.848699999999999</v>
      </c>
      <c r="CD372" s="1">
        <v>2.7410399999999999</v>
      </c>
      <c r="CF372" s="1425">
        <v>44697</v>
      </c>
      <c r="CG372" s="1">
        <v>5.0941999999999998</v>
      </c>
      <c r="CH372" s="1">
        <v>1.6600999999999999</v>
      </c>
      <c r="CI372" s="1">
        <v>6.9545000000000003</v>
      </c>
      <c r="CL372" s="1425">
        <v>44700</v>
      </c>
      <c r="CM372" s="1">
        <v>22.934200000000001</v>
      </c>
      <c r="CN372" s="1">
        <v>2.8443999999999998</v>
      </c>
      <c r="CO372" s="1">
        <v>12.266299999999999</v>
      </c>
    </row>
    <row r="373" spans="1:93">
      <c r="A373" s="1425">
        <v>44697</v>
      </c>
      <c r="B373" s="20">
        <f t="shared" si="52"/>
        <v>10.842700000000001</v>
      </c>
      <c r="C373" s="20">
        <f t="shared" si="54"/>
        <v>9.6105999999999998</v>
      </c>
      <c r="D373" s="20">
        <f t="shared" si="55"/>
        <v>15.9056</v>
      </c>
      <c r="E373" s="20">
        <f t="shared" si="56"/>
        <v>7.5907999999999998</v>
      </c>
      <c r="F373" s="20">
        <f t="shared" si="57"/>
        <v>17.598800000000001</v>
      </c>
      <c r="G373" s="20">
        <f t="shared" si="58"/>
        <v>14.2674</v>
      </c>
      <c r="H373" s="1239">
        <f t="shared" si="59"/>
        <v>14.2674</v>
      </c>
      <c r="I373" s="1243">
        <f t="shared" si="53"/>
        <v>-0.24003672708412183</v>
      </c>
      <c r="J373" s="1243">
        <f t="shared" si="60"/>
        <v>0.12093838824177333</v>
      </c>
      <c r="K373" s="1243">
        <f t="shared" si="61"/>
        <v>0.1</v>
      </c>
      <c r="L373" s="203"/>
      <c r="N373" s="1425">
        <v>44697</v>
      </c>
      <c r="O373" s="1502">
        <v>10.842700000000001</v>
      </c>
      <c r="P373" s="1502">
        <v>4.1475999999999997</v>
      </c>
      <c r="Q373" s="1502">
        <v>12.586</v>
      </c>
      <c r="R373" s="1233">
        <f>'B. PE'!$U$23</f>
        <v>15.978235616082999</v>
      </c>
      <c r="S373" s="1233"/>
      <c r="T373" s="1233"/>
      <c r="V373" s="1425">
        <v>44697</v>
      </c>
      <c r="W373" s="1">
        <v>9.6105999999999998</v>
      </c>
      <c r="X373" s="1">
        <v>1.4622999999999999</v>
      </c>
      <c r="Y373" s="1">
        <v>9.3531999999999993</v>
      </c>
      <c r="Z373" s="1">
        <v>1.29433</v>
      </c>
      <c r="AB373" s="1425">
        <v>44673</v>
      </c>
      <c r="AC373" s="1">
        <v>8.1313999999999993</v>
      </c>
      <c r="AD373" s="1502">
        <v>1.3086</v>
      </c>
      <c r="AE373" s="1">
        <v>5.2771999999999997</v>
      </c>
      <c r="AF373" s="1">
        <v>3.6920000000000001E-2</v>
      </c>
      <c r="AH373" s="1425">
        <v>44673</v>
      </c>
      <c r="AI373" s="1">
        <v>16.684200000000001</v>
      </c>
      <c r="AJ373" s="1">
        <v>3.145</v>
      </c>
      <c r="AK373" s="1">
        <v>9.0565999999999995</v>
      </c>
      <c r="AL373" s="1">
        <v>5.0860000000000002E-2</v>
      </c>
      <c r="AN373" s="1425">
        <v>44677</v>
      </c>
      <c r="AO373" s="1">
        <v>7.7888000000000002</v>
      </c>
      <c r="AP373" s="1">
        <v>1.0966</v>
      </c>
      <c r="AQ373" s="1">
        <v>5.2842000000000002</v>
      </c>
      <c r="AR373" s="1">
        <v>0.27977000000000002</v>
      </c>
      <c r="AT373" s="1425">
        <v>44677</v>
      </c>
      <c r="AU373" s="1">
        <v>12.950100000000001</v>
      </c>
      <c r="AV373" s="1">
        <v>0.8488</v>
      </c>
      <c r="AW373" s="1">
        <v>8.5225000000000009</v>
      </c>
      <c r="AX373" s="1">
        <v>0.22428000000000001</v>
      </c>
      <c r="BA373" s="1425">
        <v>44677</v>
      </c>
      <c r="BB373" s="1">
        <v>17.253599999999999</v>
      </c>
      <c r="BC373" s="1">
        <v>3.9641999999999999</v>
      </c>
      <c r="BD373" s="1">
        <v>17.122800000000002</v>
      </c>
      <c r="BE373" s="1">
        <v>1.17696</v>
      </c>
      <c r="BG373" s="1425">
        <v>44677</v>
      </c>
      <c r="BH373" s="1">
        <v>19.650700000000001</v>
      </c>
      <c r="BI373" s="1">
        <v>5.1048999999999998</v>
      </c>
      <c r="BJ373" s="1">
        <v>26.508400000000002</v>
      </c>
      <c r="BT373" s="1425">
        <v>44697</v>
      </c>
      <c r="BU373" s="1">
        <v>17.021699999999999</v>
      </c>
      <c r="BV373" s="1">
        <v>4.0224000000000002</v>
      </c>
      <c r="BW373" s="1">
        <v>10.8569</v>
      </c>
      <c r="BX373" s="1">
        <v>2.9106999999999998</v>
      </c>
      <c r="BZ373" s="1425">
        <v>44697</v>
      </c>
      <c r="CA373" s="1">
        <v>15.3574</v>
      </c>
      <c r="CB373" s="1">
        <v>4.3926999999999996</v>
      </c>
      <c r="CC373" s="1">
        <v>15.113200000000001</v>
      </c>
      <c r="CD373" s="1">
        <v>2.9478900000000001</v>
      </c>
      <c r="CF373" s="1425">
        <v>44694</v>
      </c>
      <c r="CG373" s="1">
        <v>5.1336000000000004</v>
      </c>
      <c r="CH373" s="1">
        <v>1.6729000000000001</v>
      </c>
      <c r="CI373" s="1">
        <v>6.9866999999999999</v>
      </c>
      <c r="CL373" s="1425">
        <v>44699</v>
      </c>
      <c r="CM373" s="1">
        <v>23.3691</v>
      </c>
      <c r="CN373" s="1">
        <v>2.8982999999999999</v>
      </c>
      <c r="CO373" s="1">
        <v>12.4993</v>
      </c>
    </row>
    <row r="374" spans="1:93">
      <c r="A374" s="1425">
        <v>44694</v>
      </c>
      <c r="B374" s="20">
        <f t="shared" si="52"/>
        <v>11.657</v>
      </c>
      <c r="C374" s="20">
        <f t="shared" si="54"/>
        <v>10.329499999999999</v>
      </c>
      <c r="D374" s="20">
        <f t="shared" si="55"/>
        <v>16.0168</v>
      </c>
      <c r="E374" s="20">
        <f t="shared" si="56"/>
        <v>7.5247999999999999</v>
      </c>
      <c r="F374" s="20">
        <f t="shared" si="57"/>
        <v>16.257200000000001</v>
      </c>
      <c r="G374" s="20">
        <f t="shared" si="58"/>
        <v>13.4932</v>
      </c>
      <c r="H374" s="1239">
        <f t="shared" si="59"/>
        <v>13.4932</v>
      </c>
      <c r="I374" s="1243">
        <f t="shared" si="53"/>
        <v>-0.13608336050751491</v>
      </c>
      <c r="J374" s="1243">
        <f t="shared" si="60"/>
        <v>0.12093838824177333</v>
      </c>
      <c r="K374" s="1243">
        <f t="shared" si="61"/>
        <v>0.1</v>
      </c>
      <c r="L374" s="203"/>
      <c r="N374" s="1425">
        <v>44694</v>
      </c>
      <c r="O374" s="1502">
        <v>11.657</v>
      </c>
      <c r="P374" s="1502">
        <v>4.4591000000000003</v>
      </c>
      <c r="Q374" s="1502">
        <v>13.3933</v>
      </c>
      <c r="R374" s="1233">
        <f>'B. PE'!$U$23</f>
        <v>15.978235616082999</v>
      </c>
      <c r="S374" s="1233"/>
      <c r="T374" s="1233"/>
      <c r="V374" s="1425">
        <v>44694</v>
      </c>
      <c r="W374" s="1">
        <v>10.329499999999999</v>
      </c>
      <c r="X374" s="1">
        <v>1.5717000000000001</v>
      </c>
      <c r="Y374" s="1">
        <v>9.8559000000000001</v>
      </c>
      <c r="Z374" s="1">
        <v>1.39663</v>
      </c>
      <c r="AB374" s="1425">
        <v>44672</v>
      </c>
      <c r="AC374" s="1">
        <v>8.2081</v>
      </c>
      <c r="AD374" s="1502">
        <v>1.321</v>
      </c>
      <c r="AE374" s="1">
        <v>5.3144999999999998</v>
      </c>
      <c r="AF374" s="1">
        <v>3.7249999999999998E-2</v>
      </c>
      <c r="AH374" s="1425">
        <v>44672</v>
      </c>
      <c r="AI374" s="1">
        <v>16.906600000000001</v>
      </c>
      <c r="AJ374" s="1">
        <v>3.1869000000000001</v>
      </c>
      <c r="AK374" s="1">
        <v>9.1734000000000009</v>
      </c>
      <c r="AL374" s="1">
        <v>5.0139999999999997E-2</v>
      </c>
      <c r="AN374" s="1425">
        <v>44676</v>
      </c>
      <c r="AO374" s="1">
        <v>7.8548</v>
      </c>
      <c r="AP374" s="1">
        <v>1.1059000000000001</v>
      </c>
      <c r="AQ374" s="1">
        <v>5.3338999999999999</v>
      </c>
      <c r="AR374" s="1">
        <v>0.28366999999999998</v>
      </c>
      <c r="AT374" s="1425">
        <v>44676</v>
      </c>
      <c r="AU374" s="1">
        <v>12.950100000000001</v>
      </c>
      <c r="AV374" s="1">
        <v>0.8488</v>
      </c>
      <c r="AW374" s="1">
        <v>8.5225000000000009</v>
      </c>
      <c r="AX374" s="1">
        <v>0.22786999999999999</v>
      </c>
      <c r="BA374" s="1425">
        <v>44676</v>
      </c>
      <c r="BB374" s="1">
        <v>17.696000000000002</v>
      </c>
      <c r="BC374" s="1">
        <v>4.0658000000000003</v>
      </c>
      <c r="BD374" s="1">
        <v>17.467700000000001</v>
      </c>
      <c r="BE374" s="1">
        <v>1.18753</v>
      </c>
      <c r="BG374" s="1425">
        <v>44676</v>
      </c>
      <c r="BH374" s="1">
        <v>19.9269</v>
      </c>
      <c r="BI374" s="1">
        <v>5.1767000000000003</v>
      </c>
      <c r="BJ374" s="1">
        <v>26.828499999999998</v>
      </c>
      <c r="BT374" s="1425">
        <v>44694</v>
      </c>
      <c r="BU374" s="1">
        <v>17.3123</v>
      </c>
      <c r="BV374" s="1">
        <v>4.0911</v>
      </c>
      <c r="BW374" s="1">
        <v>11.0245</v>
      </c>
      <c r="BX374" s="1">
        <v>3.0661999999999998</v>
      </c>
      <c r="BZ374" s="1425">
        <v>44694</v>
      </c>
      <c r="CA374" s="1">
        <v>16.5062</v>
      </c>
      <c r="CB374" s="1">
        <v>4.7213000000000003</v>
      </c>
      <c r="CC374" s="1">
        <v>15.900499999999999</v>
      </c>
      <c r="CD374" s="1">
        <v>3.18181</v>
      </c>
      <c r="CF374" s="1425">
        <v>44693</v>
      </c>
      <c r="CG374" s="1">
        <v>5.6843000000000004</v>
      </c>
      <c r="CH374" s="1">
        <v>1.8523000000000001</v>
      </c>
      <c r="CI374" s="1">
        <v>7.4371</v>
      </c>
      <c r="CL374" s="1425">
        <v>44698</v>
      </c>
      <c r="CM374" s="1">
        <v>23.615500000000001</v>
      </c>
      <c r="CN374" s="1">
        <v>2.9289000000000001</v>
      </c>
      <c r="CO374" s="1">
        <v>12.631399999999999</v>
      </c>
    </row>
    <row r="375" spans="1:93">
      <c r="A375" s="1425">
        <v>44693</v>
      </c>
      <c r="B375" s="20">
        <f t="shared" si="52"/>
        <v>12.5296</v>
      </c>
      <c r="C375" s="20">
        <f t="shared" si="54"/>
        <v>11.0952</v>
      </c>
      <c r="D375" s="20">
        <f t="shared" si="55"/>
        <v>15.238200000000001</v>
      </c>
      <c r="E375" s="20">
        <f t="shared" si="56"/>
        <v>7.4587000000000003</v>
      </c>
      <c r="F375" s="20">
        <f t="shared" si="57"/>
        <v>17.125299999999999</v>
      </c>
      <c r="G375" s="20">
        <f t="shared" si="58"/>
        <v>15.041600000000001</v>
      </c>
      <c r="H375" s="1239">
        <f t="shared" si="59"/>
        <v>15.041600000000001</v>
      </c>
      <c r="I375" s="1243">
        <f t="shared" si="53"/>
        <v>-0.16700351026486548</v>
      </c>
      <c r="J375" s="1243">
        <f t="shared" si="60"/>
        <v>0.12093838824177333</v>
      </c>
      <c r="K375" s="1243">
        <f t="shared" si="61"/>
        <v>0.1</v>
      </c>
      <c r="L375" s="203"/>
      <c r="N375" s="1425">
        <v>44693</v>
      </c>
      <c r="O375" s="1502">
        <v>12.5296</v>
      </c>
      <c r="P375" s="1502">
        <v>4.7929000000000004</v>
      </c>
      <c r="Q375" s="1502">
        <v>14.2582</v>
      </c>
      <c r="R375" s="1233">
        <f>'B. PE'!$U$23</f>
        <v>15.978235616082999</v>
      </c>
      <c r="S375" s="1233"/>
      <c r="T375" s="1233"/>
      <c r="V375" s="1425">
        <v>44693</v>
      </c>
      <c r="W375" s="1">
        <v>11.0952</v>
      </c>
      <c r="X375" s="1">
        <v>1.6881999999999999</v>
      </c>
      <c r="Y375" s="1">
        <v>10.391299999999999</v>
      </c>
      <c r="Z375" s="1">
        <v>1.44529</v>
      </c>
      <c r="AB375" s="1425">
        <v>44671</v>
      </c>
      <c r="AC375" s="1">
        <v>8.1313999999999993</v>
      </c>
      <c r="AD375" s="1502">
        <v>1.3086</v>
      </c>
      <c r="AE375" s="1">
        <v>5.2771999999999997</v>
      </c>
      <c r="AF375" s="1">
        <v>3.7600000000000001E-2</v>
      </c>
      <c r="AH375" s="1425">
        <v>44671</v>
      </c>
      <c r="AI375" s="1">
        <v>16.2393</v>
      </c>
      <c r="AJ375" s="1">
        <v>3.0611000000000002</v>
      </c>
      <c r="AK375" s="1">
        <v>8.8229000000000006</v>
      </c>
      <c r="AL375" s="1">
        <v>5.1529999999999999E-2</v>
      </c>
      <c r="AN375" s="1425">
        <v>44673</v>
      </c>
      <c r="AO375" s="1">
        <v>7.9867999999999997</v>
      </c>
      <c r="AP375" s="1">
        <v>1.1245000000000001</v>
      </c>
      <c r="AQ375" s="1">
        <v>5.4333999999999998</v>
      </c>
      <c r="AR375" s="1">
        <v>0.27999000000000002</v>
      </c>
      <c r="AT375" s="1425">
        <v>44673</v>
      </c>
      <c r="AU375" s="1">
        <v>13.434900000000001</v>
      </c>
      <c r="AV375" s="1">
        <v>0.88060000000000005</v>
      </c>
      <c r="AW375" s="1">
        <v>8.7942999999999998</v>
      </c>
      <c r="AX375" s="1">
        <v>0.22983000000000001</v>
      </c>
      <c r="BA375" s="1425">
        <v>44673</v>
      </c>
      <c r="BB375" s="1">
        <v>17.696000000000002</v>
      </c>
      <c r="BC375" s="1">
        <v>4.0658000000000003</v>
      </c>
      <c r="BD375" s="1">
        <v>17.467700000000001</v>
      </c>
      <c r="BE375" s="1">
        <v>1.22081</v>
      </c>
      <c r="BG375" s="1425">
        <v>44673</v>
      </c>
      <c r="BH375" s="1">
        <v>19.5717</v>
      </c>
      <c r="BI375" s="1">
        <v>5.0843999999999996</v>
      </c>
      <c r="BJ375" s="1">
        <v>26.417000000000002</v>
      </c>
      <c r="BT375" s="1425">
        <v>44693</v>
      </c>
      <c r="BU375" s="1">
        <v>18.599299999999999</v>
      </c>
      <c r="BV375" s="1">
        <v>4.3952</v>
      </c>
      <c r="BW375" s="1">
        <v>11.766500000000001</v>
      </c>
      <c r="BX375" s="1">
        <v>3.0527000000000002</v>
      </c>
      <c r="BZ375" s="1425">
        <v>44693</v>
      </c>
      <c r="CA375" s="1">
        <v>17.745699999999999</v>
      </c>
      <c r="CB375" s="1">
        <v>5.0758000000000001</v>
      </c>
      <c r="CC375" s="1">
        <v>16.7499</v>
      </c>
      <c r="CD375" s="1">
        <v>3.1073499999999998</v>
      </c>
      <c r="CF375" s="1425">
        <v>44692</v>
      </c>
      <c r="CG375" s="1">
        <v>6.2939999999999996</v>
      </c>
      <c r="CH375" s="1">
        <v>2.0510000000000002</v>
      </c>
      <c r="CI375" s="1">
        <v>7.9358000000000004</v>
      </c>
      <c r="CL375" s="1425">
        <v>44697</v>
      </c>
      <c r="CM375" s="1">
        <v>23.8765</v>
      </c>
      <c r="CN375" s="1">
        <v>2.9611999999999998</v>
      </c>
      <c r="CO375" s="1">
        <v>12.7712</v>
      </c>
    </row>
    <row r="376" spans="1:93">
      <c r="A376" s="1425">
        <v>44692</v>
      </c>
      <c r="B376" s="20">
        <f t="shared" si="52"/>
        <v>13.4719</v>
      </c>
      <c r="C376" s="20">
        <f t="shared" si="54"/>
        <v>11.923400000000001</v>
      </c>
      <c r="D376" s="20">
        <f t="shared" si="55"/>
        <v>15.349399999999999</v>
      </c>
      <c r="E376" s="20">
        <f t="shared" si="56"/>
        <v>7.5907999999999998</v>
      </c>
      <c r="F376" s="20">
        <f t="shared" si="57"/>
        <v>17.677700000000002</v>
      </c>
      <c r="G376" s="20">
        <f t="shared" si="58"/>
        <v>15.815799999999999</v>
      </c>
      <c r="H376" s="1239">
        <f t="shared" si="59"/>
        <v>15.349399999999999</v>
      </c>
      <c r="I376" s="1243">
        <f t="shared" si="53"/>
        <v>-0.12231748472252979</v>
      </c>
      <c r="J376" s="1243">
        <f t="shared" si="60"/>
        <v>0.12093838824177333</v>
      </c>
      <c r="K376" s="1243">
        <f t="shared" si="61"/>
        <v>0.1</v>
      </c>
      <c r="L376" s="203"/>
      <c r="N376" s="1425">
        <v>44692</v>
      </c>
      <c r="O376" s="1502">
        <v>13.4719</v>
      </c>
      <c r="P376" s="1502">
        <v>5.1532999999999998</v>
      </c>
      <c r="Q376" s="1502">
        <v>15.192299999999999</v>
      </c>
      <c r="R376" s="1233">
        <f>'B. PE'!$U$23</f>
        <v>15.978235616082999</v>
      </c>
      <c r="S376" s="1233"/>
      <c r="T376" s="1233"/>
      <c r="V376" s="1425">
        <v>44692</v>
      </c>
      <c r="W376" s="1">
        <v>11.923400000000001</v>
      </c>
      <c r="X376" s="1">
        <v>1.8142</v>
      </c>
      <c r="Y376" s="1">
        <v>10.970499999999999</v>
      </c>
      <c r="Z376" s="1">
        <v>1.49265</v>
      </c>
      <c r="AB376" s="1425">
        <v>44670</v>
      </c>
      <c r="AC376" s="1">
        <v>8.2081</v>
      </c>
      <c r="AD376" s="1502">
        <v>1.321</v>
      </c>
      <c r="AE376" s="1">
        <v>5.3144999999999998</v>
      </c>
      <c r="AF376" s="1">
        <v>3.7569999999999999E-2</v>
      </c>
      <c r="AH376" s="1425">
        <v>44670</v>
      </c>
      <c r="AI376" s="1">
        <v>16.0168</v>
      </c>
      <c r="AJ376" s="1">
        <v>3.0192000000000001</v>
      </c>
      <c r="AK376" s="1">
        <v>8.7060999999999993</v>
      </c>
      <c r="AL376" s="1">
        <v>5.1830000000000001E-2</v>
      </c>
      <c r="AN376" s="1425">
        <v>44672</v>
      </c>
      <c r="AO376" s="1">
        <v>8.0527999999999995</v>
      </c>
      <c r="AP376" s="1">
        <v>1.1337999999999999</v>
      </c>
      <c r="AQ376" s="1">
        <v>5.4831000000000003</v>
      </c>
      <c r="AR376" s="1">
        <v>0.29597000000000001</v>
      </c>
      <c r="AT376" s="1425">
        <v>44672</v>
      </c>
      <c r="AU376" s="1">
        <v>13.573399999999999</v>
      </c>
      <c r="AV376" s="1">
        <v>0.88970000000000005</v>
      </c>
      <c r="AW376" s="1">
        <v>8.8630999999999993</v>
      </c>
      <c r="AX376" s="1">
        <v>0.2349</v>
      </c>
      <c r="BA376" s="1425">
        <v>44672</v>
      </c>
      <c r="BB376" s="1">
        <v>17.8066</v>
      </c>
      <c r="BC376" s="1">
        <v>4.0913000000000004</v>
      </c>
      <c r="BD376" s="1">
        <v>17.553899999999999</v>
      </c>
      <c r="BE376" s="1">
        <v>1.2061200000000001</v>
      </c>
      <c r="BG376" s="1425">
        <v>44672</v>
      </c>
      <c r="BH376" s="1">
        <v>19.729600000000001</v>
      </c>
      <c r="BI376" s="1">
        <v>5.1254999999999997</v>
      </c>
      <c r="BJ376" s="1">
        <v>26.599900000000002</v>
      </c>
      <c r="BT376" s="1425">
        <v>44692</v>
      </c>
      <c r="BU376" s="1">
        <v>19.512699999999999</v>
      </c>
      <c r="BV376" s="1">
        <v>4.6109999999999998</v>
      </c>
      <c r="BW376" s="1">
        <v>12.293100000000001</v>
      </c>
      <c r="BX376" s="1">
        <v>2.9714</v>
      </c>
      <c r="BZ376" s="1425">
        <v>44692</v>
      </c>
      <c r="CA376" s="1">
        <v>19.075800000000001</v>
      </c>
      <c r="CB376" s="1">
        <v>5.4562999999999997</v>
      </c>
      <c r="CC376" s="1">
        <v>17.6616</v>
      </c>
      <c r="CD376" s="1">
        <v>3.33399</v>
      </c>
      <c r="CF376" s="1425">
        <v>44691</v>
      </c>
      <c r="CG376" s="1">
        <v>6.3924000000000003</v>
      </c>
      <c r="CH376" s="1">
        <v>2.0831</v>
      </c>
      <c r="CI376" s="1">
        <v>8.0161999999999995</v>
      </c>
      <c r="CL376" s="1425">
        <v>44694</v>
      </c>
      <c r="CM376" s="1">
        <v>23.673500000000001</v>
      </c>
      <c r="CN376" s="1">
        <v>2.9361000000000002</v>
      </c>
      <c r="CO376" s="1">
        <v>12.6624</v>
      </c>
    </row>
    <row r="377" spans="1:93">
      <c r="A377" s="1425">
        <v>44691</v>
      </c>
      <c r="B377" s="20">
        <f t="shared" si="52"/>
        <v>13.611499999999999</v>
      </c>
      <c r="C377" s="20">
        <f t="shared" si="54"/>
        <v>12.3141</v>
      </c>
      <c r="D377" s="20">
        <f t="shared" si="55"/>
        <v>15.238200000000001</v>
      </c>
      <c r="E377" s="20">
        <f t="shared" si="56"/>
        <v>7.5907999999999998</v>
      </c>
      <c r="F377" s="20">
        <f t="shared" si="57"/>
        <v>18.2301</v>
      </c>
      <c r="G377" s="20">
        <f t="shared" si="58"/>
        <v>16.3688</v>
      </c>
      <c r="H377" s="1239">
        <f t="shared" si="59"/>
        <v>15.238200000000001</v>
      </c>
      <c r="I377" s="1243">
        <f t="shared" si="53"/>
        <v>-0.10675145358375671</v>
      </c>
      <c r="J377" s="1243">
        <f t="shared" si="60"/>
        <v>0.12093838824177333</v>
      </c>
      <c r="K377" s="1243">
        <f t="shared" si="61"/>
        <v>0.1</v>
      </c>
      <c r="L377" s="203"/>
      <c r="N377" s="1425">
        <v>44691</v>
      </c>
      <c r="O377" s="1502">
        <v>13.611499999999999</v>
      </c>
      <c r="P377" s="1502">
        <v>5.2066999999999997</v>
      </c>
      <c r="Q377" s="1502">
        <v>15.3307</v>
      </c>
      <c r="R377" s="1233">
        <f>'B. PE'!$U$23</f>
        <v>15.978235616082999</v>
      </c>
      <c r="S377" s="1233"/>
      <c r="T377" s="1233"/>
      <c r="V377" s="1425">
        <v>44691</v>
      </c>
      <c r="W377" s="1">
        <v>12.3141</v>
      </c>
      <c r="X377" s="1">
        <v>1.8735999999999999</v>
      </c>
      <c r="Y377" s="1">
        <v>11.2438</v>
      </c>
      <c r="Z377" s="1">
        <v>1.60402</v>
      </c>
      <c r="AB377" s="1425">
        <v>44669</v>
      </c>
      <c r="AC377" s="1">
        <v>8.2849000000000004</v>
      </c>
      <c r="AD377" s="1502">
        <v>1.3332999999999999</v>
      </c>
      <c r="AE377" s="1">
        <v>5.3517999999999999</v>
      </c>
      <c r="AF377" s="1">
        <v>3.8649999999999997E-2</v>
      </c>
      <c r="AH377" s="1425">
        <v>44669</v>
      </c>
      <c r="AI377" s="1">
        <v>16.4617</v>
      </c>
      <c r="AJ377" s="1">
        <v>3.1031</v>
      </c>
      <c r="AK377" s="1">
        <v>8.9398</v>
      </c>
      <c r="AL377" s="1">
        <v>4.7710000000000002E-2</v>
      </c>
      <c r="AN377" s="1425">
        <v>44671</v>
      </c>
      <c r="AO377" s="1">
        <v>7.9207999999999998</v>
      </c>
      <c r="AP377" s="1">
        <v>1.1152</v>
      </c>
      <c r="AQ377" s="1">
        <v>5.3836000000000004</v>
      </c>
      <c r="AR377" s="1">
        <v>0.29298999999999997</v>
      </c>
      <c r="AT377" s="1425">
        <v>44671</v>
      </c>
      <c r="AU377" s="1">
        <v>13.6427</v>
      </c>
      <c r="AV377" s="1">
        <v>0.89419999999999999</v>
      </c>
      <c r="AW377" s="1">
        <v>8.9025999999999996</v>
      </c>
      <c r="AX377" s="1">
        <v>0.2351</v>
      </c>
      <c r="BA377" s="1425">
        <v>44671</v>
      </c>
      <c r="BB377" s="1">
        <v>18.248999999999999</v>
      </c>
      <c r="BC377" s="1">
        <v>4.1928999999999998</v>
      </c>
      <c r="BD377" s="1">
        <v>17.898800000000001</v>
      </c>
      <c r="BE377" s="1">
        <v>1.20167</v>
      </c>
      <c r="BG377" s="1425">
        <v>44671</v>
      </c>
      <c r="BH377" s="1">
        <v>19.729600000000001</v>
      </c>
      <c r="BI377" s="1">
        <v>5.1254999999999997</v>
      </c>
      <c r="BJ377" s="1">
        <v>26.599900000000002</v>
      </c>
      <c r="BT377" s="1425">
        <v>44691</v>
      </c>
      <c r="BU377" s="1">
        <v>19.388100000000001</v>
      </c>
      <c r="BV377" s="1">
        <v>4.5815999999999999</v>
      </c>
      <c r="BW377" s="1">
        <v>12.221299999999999</v>
      </c>
      <c r="BX377" s="1">
        <v>3.1926000000000001</v>
      </c>
      <c r="BZ377" s="1425">
        <v>44691</v>
      </c>
      <c r="CA377" s="1">
        <v>18.592099999999999</v>
      </c>
      <c r="CB377" s="1">
        <v>5.3178999999999998</v>
      </c>
      <c r="CC377" s="1">
        <v>17.330100000000002</v>
      </c>
      <c r="CD377" s="1">
        <v>3.5829499999999999</v>
      </c>
      <c r="CF377" s="1425">
        <v>44690</v>
      </c>
      <c r="CG377" s="1">
        <v>6.1367000000000003</v>
      </c>
      <c r="CH377" s="1">
        <v>1.9998</v>
      </c>
      <c r="CI377" s="1">
        <v>7.8071000000000002</v>
      </c>
      <c r="CL377" s="1425">
        <v>44693</v>
      </c>
      <c r="CM377" s="1">
        <v>23.398099999999999</v>
      </c>
      <c r="CN377" s="1">
        <v>2.9018999999999999</v>
      </c>
      <c r="CO377" s="1">
        <v>12.514799999999999</v>
      </c>
    </row>
    <row r="378" spans="1:93">
      <c r="A378" s="1425">
        <v>44690</v>
      </c>
      <c r="B378" s="20">
        <f t="shared" si="52"/>
        <v>13.483499999999999</v>
      </c>
      <c r="C378" s="20">
        <f t="shared" si="54"/>
        <v>12.7204</v>
      </c>
      <c r="D378" s="20">
        <f t="shared" si="55"/>
        <v>15.460699999999999</v>
      </c>
      <c r="E378" s="20">
        <f t="shared" si="56"/>
        <v>7.5907999999999998</v>
      </c>
      <c r="F378" s="20">
        <f t="shared" si="57"/>
        <v>17.756599999999999</v>
      </c>
      <c r="G378" s="20">
        <f t="shared" si="58"/>
        <v>15.815799999999999</v>
      </c>
      <c r="H378" s="1239">
        <f t="shared" si="59"/>
        <v>15.460699999999999</v>
      </c>
      <c r="I378" s="1243">
        <f t="shared" si="53"/>
        <v>-0.12788554205178293</v>
      </c>
      <c r="J378" s="1243">
        <f t="shared" si="60"/>
        <v>0.12093838824177333</v>
      </c>
      <c r="K378" s="1243">
        <f t="shared" si="61"/>
        <v>0.1</v>
      </c>
      <c r="L378" s="203"/>
      <c r="N378" s="1425">
        <v>44690</v>
      </c>
      <c r="O378" s="1502">
        <v>13.483499999999999</v>
      </c>
      <c r="P378" s="1502">
        <v>5.1577999999999999</v>
      </c>
      <c r="Q378" s="1502">
        <v>15.203799999999999</v>
      </c>
      <c r="R378" s="1233">
        <f>'B. PE'!$U$23</f>
        <v>15.978235616082999</v>
      </c>
      <c r="S378" s="1233"/>
      <c r="T378" s="1233"/>
      <c r="V378" s="1425">
        <v>44690</v>
      </c>
      <c r="W378" s="1">
        <v>12.7204</v>
      </c>
      <c r="X378" s="1">
        <v>1.9355</v>
      </c>
      <c r="Y378" s="1">
        <v>11.527900000000001</v>
      </c>
      <c r="Z378" s="1">
        <v>1.72332</v>
      </c>
      <c r="AB378" s="1425">
        <v>44665</v>
      </c>
      <c r="AC378" s="1">
        <v>8.2849000000000004</v>
      </c>
      <c r="AD378" s="1502">
        <v>1.3332999999999999</v>
      </c>
      <c r="AE378" s="1">
        <v>5.3517999999999999</v>
      </c>
      <c r="AF378" s="1">
        <v>3.7580000000000002E-2</v>
      </c>
      <c r="AH378" s="1425">
        <v>44665</v>
      </c>
      <c r="AI378" s="1">
        <v>16.572900000000001</v>
      </c>
      <c r="AJ378" s="1">
        <v>3.1240000000000001</v>
      </c>
      <c r="AK378" s="1">
        <v>8.9982000000000006</v>
      </c>
      <c r="AL378" s="1">
        <v>4.802E-2</v>
      </c>
      <c r="AN378" s="1425">
        <v>44669</v>
      </c>
      <c r="AO378" s="1">
        <v>8.3168000000000006</v>
      </c>
      <c r="AP378" s="1">
        <v>1.1709000000000001</v>
      </c>
      <c r="AQ378" s="1">
        <v>5.6818999999999997</v>
      </c>
      <c r="AR378" s="1">
        <v>0.2954</v>
      </c>
      <c r="AT378" s="1425">
        <v>44669</v>
      </c>
      <c r="AU378" s="1">
        <v>13.8504</v>
      </c>
      <c r="AV378" s="1">
        <v>0.90780000000000005</v>
      </c>
      <c r="AW378" s="1">
        <v>9.016</v>
      </c>
      <c r="AX378" s="1">
        <v>0.23868</v>
      </c>
      <c r="BA378" s="1425">
        <v>44670</v>
      </c>
      <c r="BB378" s="1">
        <v>18.027799999999999</v>
      </c>
      <c r="BC378" s="1">
        <v>4.1421000000000001</v>
      </c>
      <c r="BD378" s="1">
        <v>17.726400000000002</v>
      </c>
      <c r="BE378" s="1">
        <v>1.21573</v>
      </c>
      <c r="BG378" s="1425">
        <v>44670</v>
      </c>
      <c r="BH378" s="1">
        <v>19.729600000000001</v>
      </c>
      <c r="BI378" s="1">
        <v>5.1254999999999997</v>
      </c>
      <c r="BJ378" s="1">
        <v>26.599900000000002</v>
      </c>
      <c r="BT378" s="1425">
        <v>44690</v>
      </c>
      <c r="BU378" s="1">
        <v>18.876100000000001</v>
      </c>
      <c r="BV378" s="1">
        <v>4.4606000000000003</v>
      </c>
      <c r="BW378" s="1">
        <v>11.9261</v>
      </c>
      <c r="BX378" s="1">
        <v>3.2538999999999998</v>
      </c>
      <c r="BZ378" s="1425">
        <v>44690</v>
      </c>
      <c r="CA378" s="1">
        <v>19.952500000000001</v>
      </c>
      <c r="CB378" s="1">
        <v>5.7069999999999999</v>
      </c>
      <c r="CC378" s="1">
        <v>18.2624</v>
      </c>
      <c r="CD378" s="1">
        <v>3.85093</v>
      </c>
      <c r="CF378" s="1425">
        <v>44687</v>
      </c>
      <c r="CG378" s="1">
        <v>6.8053999999999997</v>
      </c>
      <c r="CH378" s="1">
        <v>2.2176999999999998</v>
      </c>
      <c r="CI378" s="1">
        <v>8.3539999999999992</v>
      </c>
      <c r="CL378" s="1425">
        <v>44692</v>
      </c>
      <c r="CM378" s="1">
        <v>23.485099999999999</v>
      </c>
      <c r="CN378" s="1">
        <v>2.9127000000000001</v>
      </c>
      <c r="CO378" s="1">
        <v>12.561500000000001</v>
      </c>
    </row>
    <row r="379" spans="1:93">
      <c r="A379" s="1425">
        <v>44687</v>
      </c>
      <c r="B379" s="20">
        <f t="shared" si="52"/>
        <v>14.495699999999999</v>
      </c>
      <c r="C379" s="20">
        <f t="shared" si="54"/>
        <v>13.6736</v>
      </c>
      <c r="D379" s="20">
        <f t="shared" si="55"/>
        <v>15.460699999999999</v>
      </c>
      <c r="E379" s="20">
        <f t="shared" si="56"/>
        <v>7.6567999999999996</v>
      </c>
      <c r="F379" s="20">
        <f t="shared" si="57"/>
        <v>18.151199999999999</v>
      </c>
      <c r="G379" s="20">
        <f t="shared" si="58"/>
        <v>16.59</v>
      </c>
      <c r="H379" s="1239">
        <f t="shared" si="59"/>
        <v>15.460699999999999</v>
      </c>
      <c r="I379" s="1243">
        <f t="shared" si="53"/>
        <v>-6.2416320088999888E-2</v>
      </c>
      <c r="J379" s="1243">
        <f t="shared" si="60"/>
        <v>0.12093838824177333</v>
      </c>
      <c r="K379" s="1243">
        <f t="shared" si="61"/>
        <v>0.1</v>
      </c>
      <c r="L379" s="203"/>
      <c r="N379" s="1425">
        <v>44687</v>
      </c>
      <c r="O379" s="1502">
        <v>14.495699999999999</v>
      </c>
      <c r="P379" s="1502">
        <v>5.5449000000000002</v>
      </c>
      <c r="Q379" s="1502">
        <v>16.207100000000001</v>
      </c>
      <c r="R379" s="1233">
        <f>'B. PE'!$U$23</f>
        <v>15.978235616082999</v>
      </c>
      <c r="S379" s="1233"/>
      <c r="T379" s="1233"/>
      <c r="V379" s="1425">
        <v>44687</v>
      </c>
      <c r="W379" s="1">
        <v>13.6736</v>
      </c>
      <c r="X379" s="1">
        <v>2.0804999999999998</v>
      </c>
      <c r="Y379" s="1">
        <v>12.1945</v>
      </c>
      <c r="Z379" s="1">
        <v>1.7958700000000001</v>
      </c>
      <c r="AB379" s="1425">
        <v>44664</v>
      </c>
      <c r="AC379" s="1">
        <v>8.5150000000000006</v>
      </c>
      <c r="AD379" s="1502">
        <v>1.3704000000000001</v>
      </c>
      <c r="AE379" s="1">
        <v>5.4635999999999996</v>
      </c>
      <c r="AF379" s="1">
        <v>3.6880000000000003E-2</v>
      </c>
      <c r="AH379" s="1425">
        <v>44664</v>
      </c>
      <c r="AI379" s="1">
        <v>15.238200000000001</v>
      </c>
      <c r="AJ379" s="1">
        <v>2.8723999999999998</v>
      </c>
      <c r="AK379" s="1">
        <v>8.2972000000000001</v>
      </c>
      <c r="AL379" s="1">
        <v>4.836E-2</v>
      </c>
      <c r="AN379" s="1425">
        <v>44666</v>
      </c>
      <c r="AO379" s="1">
        <v>8.1847999999999992</v>
      </c>
      <c r="AP379" s="1">
        <v>1.1523000000000001</v>
      </c>
      <c r="AQ379" s="1">
        <v>5.5824999999999996</v>
      </c>
      <c r="AR379" s="1">
        <v>0.30032999999999999</v>
      </c>
      <c r="AT379" s="1425">
        <v>44666</v>
      </c>
      <c r="AU379" s="1">
        <v>13.7812</v>
      </c>
      <c r="AV379" s="1">
        <v>0.90329999999999999</v>
      </c>
      <c r="AW379" s="1">
        <v>8.9764999999999997</v>
      </c>
      <c r="AX379" s="1">
        <v>0.23884</v>
      </c>
      <c r="BA379" s="1425">
        <v>44669</v>
      </c>
      <c r="BB379" s="1">
        <v>17.917200000000001</v>
      </c>
      <c r="BC379" s="1">
        <v>4.1166999999999998</v>
      </c>
      <c r="BD379" s="1">
        <v>17.6402</v>
      </c>
      <c r="BE379" s="1">
        <v>1.1893400000000001</v>
      </c>
      <c r="BG379" s="1425">
        <v>44669</v>
      </c>
      <c r="BH379" s="1">
        <v>19.9269</v>
      </c>
      <c r="BI379" s="1">
        <v>5.1767000000000003</v>
      </c>
      <c r="BJ379" s="1">
        <v>26.828499999999998</v>
      </c>
      <c r="BT379" s="1425">
        <v>44687</v>
      </c>
      <c r="BU379" s="1">
        <v>20.287600000000001</v>
      </c>
      <c r="BV379" s="1">
        <v>4.7942</v>
      </c>
      <c r="BW379" s="1">
        <v>12.74</v>
      </c>
      <c r="BX379" s="1">
        <v>3.2547000000000001</v>
      </c>
      <c r="BZ379" s="1425">
        <v>44687</v>
      </c>
      <c r="CA379" s="1">
        <v>21.449000000000002</v>
      </c>
      <c r="CB379" s="1">
        <v>6.1351000000000004</v>
      </c>
      <c r="CC379" s="1">
        <v>19.288</v>
      </c>
      <c r="CD379" s="1">
        <v>3.9805100000000002</v>
      </c>
      <c r="CF379" s="1425">
        <v>44686</v>
      </c>
      <c r="CG379" s="1">
        <v>7.1791</v>
      </c>
      <c r="CH379" s="1">
        <v>2.3395000000000001</v>
      </c>
      <c r="CI379" s="1">
        <v>8.6595999999999993</v>
      </c>
      <c r="CL379" s="1425">
        <v>44691</v>
      </c>
      <c r="CM379" s="1">
        <v>23.354600000000001</v>
      </c>
      <c r="CN379" s="1">
        <v>2.8965000000000001</v>
      </c>
      <c r="CO379" s="1">
        <v>12.4915</v>
      </c>
    </row>
    <row r="380" spans="1:93">
      <c r="A380" s="1425">
        <v>44686</v>
      </c>
      <c r="B380" s="20">
        <f t="shared" si="52"/>
        <v>15.5776</v>
      </c>
      <c r="C380" s="20">
        <f t="shared" si="54"/>
        <v>14.689399999999999</v>
      </c>
      <c r="D380" s="20">
        <f t="shared" si="55"/>
        <v>15.460699999999999</v>
      </c>
      <c r="E380" s="20">
        <f t="shared" si="56"/>
        <v>7.7888000000000002</v>
      </c>
      <c r="F380" s="20">
        <f t="shared" si="57"/>
        <v>18.782599999999999</v>
      </c>
      <c r="G380" s="20">
        <f t="shared" si="58"/>
        <v>16.811199999999999</v>
      </c>
      <c r="H380" s="1239">
        <f t="shared" si="59"/>
        <v>15.460699999999999</v>
      </c>
      <c r="I380" s="1243">
        <f t="shared" si="53"/>
        <v>7.5611065475691408E-3</v>
      </c>
      <c r="J380" s="1243">
        <f t="shared" si="60"/>
        <v>0.12093838824177333</v>
      </c>
      <c r="K380" s="1243">
        <f t="shared" si="61"/>
        <v>0.1</v>
      </c>
      <c r="L380" s="203"/>
      <c r="N380" s="1425">
        <v>44686</v>
      </c>
      <c r="O380" s="1502">
        <v>15.5776</v>
      </c>
      <c r="P380" s="1502">
        <v>5.9588000000000001</v>
      </c>
      <c r="Q380" s="1502">
        <v>17.279599999999999</v>
      </c>
      <c r="R380" s="1233">
        <f>'B. PE'!$U$23</f>
        <v>15.978235616082999</v>
      </c>
      <c r="S380" s="1233"/>
      <c r="T380" s="1233"/>
      <c r="V380" s="1425">
        <v>44686</v>
      </c>
      <c r="W380" s="1">
        <v>14.689399999999999</v>
      </c>
      <c r="X380" s="1">
        <v>2.2351000000000001</v>
      </c>
      <c r="Y380" s="1">
        <v>12.9048</v>
      </c>
      <c r="Z380" s="1">
        <v>1.81412</v>
      </c>
      <c r="AB380" s="1425">
        <v>44663</v>
      </c>
      <c r="AC380" s="1">
        <v>8.2849000000000004</v>
      </c>
      <c r="AD380" s="1502">
        <v>1.3332999999999999</v>
      </c>
      <c r="AE380" s="1">
        <v>5.3517999999999999</v>
      </c>
      <c r="AF380" s="1">
        <v>3.7909999999999999E-2</v>
      </c>
      <c r="AH380" s="1425">
        <v>44663</v>
      </c>
      <c r="AI380" s="1">
        <v>15.349399999999999</v>
      </c>
      <c r="AJ380" s="1">
        <v>2.8934000000000002</v>
      </c>
      <c r="AK380" s="1">
        <v>8.3556000000000008</v>
      </c>
      <c r="AL380" s="1">
        <v>4.8349999999999997E-2</v>
      </c>
      <c r="AN380" s="1425">
        <v>44665</v>
      </c>
      <c r="AO380" s="1">
        <v>8.2507999999999999</v>
      </c>
      <c r="AP380" s="1">
        <v>1.1616</v>
      </c>
      <c r="AQ380" s="1">
        <v>5.6322000000000001</v>
      </c>
      <c r="AR380" s="1">
        <v>0.29781000000000002</v>
      </c>
      <c r="AT380" s="1425">
        <v>44665</v>
      </c>
      <c r="AU380" s="1">
        <v>13.988899999999999</v>
      </c>
      <c r="AV380" s="1">
        <v>0.91690000000000005</v>
      </c>
      <c r="AW380" s="1">
        <v>9.0869</v>
      </c>
      <c r="AX380" s="1">
        <v>0.22689999999999999</v>
      </c>
      <c r="BA380" s="1425">
        <v>44663</v>
      </c>
      <c r="BB380" s="1">
        <v>18.027799999999999</v>
      </c>
      <c r="BC380" s="1">
        <v>4.1421000000000001</v>
      </c>
      <c r="BD380" s="1">
        <v>17.726400000000002</v>
      </c>
      <c r="BE380" s="1">
        <v>1.2441500000000001</v>
      </c>
      <c r="BG380" s="1425">
        <v>44663</v>
      </c>
      <c r="BH380" s="1">
        <v>19.729600000000001</v>
      </c>
      <c r="BI380" s="1">
        <v>5.1254999999999997</v>
      </c>
      <c r="BJ380" s="1">
        <v>26.599900000000002</v>
      </c>
      <c r="BT380" s="1425">
        <v>44686</v>
      </c>
      <c r="BU380" s="1">
        <v>20.6751</v>
      </c>
      <c r="BV380" s="1">
        <v>4.8856999999999999</v>
      </c>
      <c r="BW380" s="1">
        <v>12.9634</v>
      </c>
      <c r="BX380" s="1">
        <v>3.2480000000000002</v>
      </c>
      <c r="BZ380" s="1425">
        <v>44686</v>
      </c>
      <c r="CA380" s="1">
        <v>23.051200000000001</v>
      </c>
      <c r="CB380" s="1">
        <v>6.5933999999999999</v>
      </c>
      <c r="CC380" s="1">
        <v>20.386099999999999</v>
      </c>
      <c r="CD380" s="1">
        <v>3.9500500000000001</v>
      </c>
      <c r="CF380" s="1425">
        <v>44685</v>
      </c>
      <c r="CG380" s="1">
        <v>7.1398000000000001</v>
      </c>
      <c r="CH380" s="1">
        <v>2.3266</v>
      </c>
      <c r="CI380" s="1">
        <v>8.6274999999999995</v>
      </c>
      <c r="CL380" s="1425">
        <v>44690</v>
      </c>
      <c r="CM380" s="1">
        <v>23.1661</v>
      </c>
      <c r="CN380" s="1">
        <v>2.8731</v>
      </c>
      <c r="CO380" s="1">
        <v>12.390599999999999</v>
      </c>
    </row>
    <row r="381" spans="1:93">
      <c r="A381" s="1425">
        <v>44685</v>
      </c>
      <c r="B381" s="20">
        <f t="shared" si="52"/>
        <v>15.8917</v>
      </c>
      <c r="C381" s="20">
        <f t="shared" si="54"/>
        <v>15.314500000000001</v>
      </c>
      <c r="D381" s="20">
        <f t="shared" si="55"/>
        <v>15.460699999999999</v>
      </c>
      <c r="E381" s="20">
        <f t="shared" si="56"/>
        <v>7.7888000000000002</v>
      </c>
      <c r="F381" s="20">
        <f t="shared" si="57"/>
        <v>18.782599999999999</v>
      </c>
      <c r="G381" s="20">
        <f t="shared" si="58"/>
        <v>16.811199999999999</v>
      </c>
      <c r="H381" s="1239">
        <f t="shared" si="59"/>
        <v>15.460699999999999</v>
      </c>
      <c r="I381" s="1243">
        <f t="shared" si="53"/>
        <v>2.7877133635605178E-2</v>
      </c>
      <c r="J381" s="1243">
        <f t="shared" si="60"/>
        <v>0.12093838824177333</v>
      </c>
      <c r="K381" s="1243">
        <f t="shared" si="61"/>
        <v>0.1</v>
      </c>
      <c r="L381" s="203"/>
      <c r="N381" s="1425">
        <v>44685</v>
      </c>
      <c r="O381" s="1502">
        <v>15.8917</v>
      </c>
      <c r="P381" s="1502">
        <v>6.0789999999999997</v>
      </c>
      <c r="Q381" s="1502">
        <v>17.591000000000001</v>
      </c>
      <c r="R381" s="1233">
        <f>'B. PE'!$U$23</f>
        <v>15.978235616082999</v>
      </c>
      <c r="S381" s="1233"/>
      <c r="T381" s="1233"/>
      <c r="V381" s="1425">
        <v>44685</v>
      </c>
      <c r="W381" s="1">
        <v>15.314500000000001</v>
      </c>
      <c r="X381" s="1">
        <v>2.3302</v>
      </c>
      <c r="Y381" s="1">
        <v>13.342000000000001</v>
      </c>
      <c r="Z381" s="1">
        <v>1.7382200000000001</v>
      </c>
      <c r="AB381" s="1425">
        <v>44662</v>
      </c>
      <c r="AC381" s="1">
        <v>8.1313999999999993</v>
      </c>
      <c r="AD381" s="1502">
        <v>1.3086</v>
      </c>
      <c r="AE381" s="1">
        <v>5.2771999999999997</v>
      </c>
      <c r="AF381" s="1">
        <v>3.7900000000000003E-2</v>
      </c>
      <c r="AH381" s="1425">
        <v>44662</v>
      </c>
      <c r="AI381" s="1">
        <v>15.460699999999999</v>
      </c>
      <c r="AJ381" s="1">
        <v>2.9144000000000001</v>
      </c>
      <c r="AK381" s="1">
        <v>8.4139999999999997</v>
      </c>
      <c r="AL381" s="1">
        <v>4.6240000000000003E-2</v>
      </c>
      <c r="AN381" s="1425">
        <v>44664</v>
      </c>
      <c r="AO381" s="1">
        <v>8.3827999999999996</v>
      </c>
      <c r="AP381" s="1">
        <v>1.1801999999999999</v>
      </c>
      <c r="AQ381" s="1">
        <v>5.7316000000000003</v>
      </c>
      <c r="AR381" s="1">
        <v>0.29781999999999997</v>
      </c>
      <c r="AT381" s="1425">
        <v>44664</v>
      </c>
      <c r="AU381" s="1">
        <v>13.988899999999999</v>
      </c>
      <c r="AV381" s="1">
        <v>0.91690000000000005</v>
      </c>
      <c r="AW381" s="1">
        <v>9.0869</v>
      </c>
      <c r="AX381" s="1">
        <v>0.22337000000000001</v>
      </c>
      <c r="BA381" s="1425">
        <v>44662</v>
      </c>
      <c r="BB381" s="1">
        <v>17.696000000000002</v>
      </c>
      <c r="BC381" s="1">
        <v>4.0658000000000003</v>
      </c>
      <c r="BD381" s="1">
        <v>17.467700000000001</v>
      </c>
      <c r="BE381" s="1">
        <v>1.2682</v>
      </c>
      <c r="BG381" s="1425">
        <v>44662</v>
      </c>
      <c r="BH381" s="1">
        <v>19.9269</v>
      </c>
      <c r="BI381" s="1">
        <v>5.1767000000000003</v>
      </c>
      <c r="BJ381" s="1">
        <v>26.828499999999998</v>
      </c>
      <c r="BT381" s="1425">
        <v>44685</v>
      </c>
      <c r="BU381" s="1">
        <v>20.689</v>
      </c>
      <c r="BV381" s="1">
        <v>4.8890000000000002</v>
      </c>
      <c r="BW381" s="1">
        <v>12.971399999999999</v>
      </c>
      <c r="BX381" s="1">
        <v>3.1585000000000001</v>
      </c>
      <c r="BZ381" s="1425">
        <v>44685</v>
      </c>
      <c r="CA381" s="1">
        <v>23.837199999999999</v>
      </c>
      <c r="CB381" s="1">
        <v>6.8182</v>
      </c>
      <c r="CC381" s="1">
        <v>20.924800000000001</v>
      </c>
      <c r="CD381" s="1">
        <v>3.7706200000000001</v>
      </c>
      <c r="CF381" s="1425">
        <v>44680</v>
      </c>
      <c r="CG381" s="1">
        <v>7.2774999999999999</v>
      </c>
      <c r="CH381" s="1">
        <v>2.3715000000000002</v>
      </c>
      <c r="CI381" s="1">
        <v>8.7401</v>
      </c>
      <c r="CL381" s="1425">
        <v>44687</v>
      </c>
      <c r="CM381" s="1">
        <v>23.803999999999998</v>
      </c>
      <c r="CN381" s="1">
        <v>2.9521999999999999</v>
      </c>
      <c r="CO381" s="1">
        <v>12.7323</v>
      </c>
    </row>
    <row r="382" spans="1:93">
      <c r="A382" s="1425">
        <v>44680</v>
      </c>
      <c r="B382" s="20">
        <f t="shared" si="52"/>
        <v>16.1709</v>
      </c>
      <c r="C382" s="20">
        <f t="shared" si="54"/>
        <v>15.470700000000001</v>
      </c>
      <c r="D382" s="20">
        <f t="shared" si="55"/>
        <v>15.460699999999999</v>
      </c>
      <c r="E382" s="20">
        <f t="shared" si="56"/>
        <v>7.9207999999999998</v>
      </c>
      <c r="F382" s="20">
        <f t="shared" si="57"/>
        <v>19.098199999999999</v>
      </c>
      <c r="G382" s="20">
        <f t="shared" si="58"/>
        <v>18.027799999999999</v>
      </c>
      <c r="H382" s="1239">
        <f t="shared" si="59"/>
        <v>15.470700000000001</v>
      </c>
      <c r="I382" s="1243">
        <f t="shared" si="53"/>
        <v>4.5259749074056055E-2</v>
      </c>
      <c r="J382" s="1243">
        <f t="shared" si="60"/>
        <v>0.12093838824177333</v>
      </c>
      <c r="K382" s="1243">
        <f t="shared" si="61"/>
        <v>0.1</v>
      </c>
      <c r="L382" s="203"/>
      <c r="N382" s="1425">
        <v>44680</v>
      </c>
      <c r="O382" s="1502">
        <v>16.1709</v>
      </c>
      <c r="P382" s="1502">
        <v>6.1858000000000004</v>
      </c>
      <c r="Q382" s="1502">
        <v>17.867699999999999</v>
      </c>
      <c r="R382" s="1233">
        <f>'B. PE'!$U$23</f>
        <v>15.978235616082999</v>
      </c>
      <c r="S382" s="1233"/>
      <c r="T382" s="1233"/>
      <c r="V382" s="1425">
        <v>44680</v>
      </c>
      <c r="W382" s="1">
        <v>15.470700000000001</v>
      </c>
      <c r="X382" s="1">
        <v>2.3538999999999999</v>
      </c>
      <c r="Y382" s="1">
        <v>13.4513</v>
      </c>
      <c r="Z382" s="1">
        <v>1.72556</v>
      </c>
      <c r="AB382" s="1425">
        <v>44659</v>
      </c>
      <c r="AC382" s="1">
        <v>8.3615999999999993</v>
      </c>
      <c r="AD382" s="1502">
        <v>1.3456999999999999</v>
      </c>
      <c r="AE382" s="1">
        <v>5.3890000000000002</v>
      </c>
      <c r="AF382" s="1">
        <v>3.9649999999999998E-2</v>
      </c>
      <c r="AH382" s="1425">
        <v>44659</v>
      </c>
      <c r="AI382" s="1">
        <v>15.460699999999999</v>
      </c>
      <c r="AJ382" s="1">
        <v>2.9144000000000001</v>
      </c>
      <c r="AK382" s="1">
        <v>8.4139999999999997</v>
      </c>
      <c r="AL382" s="1">
        <v>4.6249999999999999E-2</v>
      </c>
      <c r="AN382" s="1425">
        <v>44663</v>
      </c>
      <c r="AO382" s="1">
        <v>8.3168000000000006</v>
      </c>
      <c r="AP382" s="1">
        <v>1.1709000000000001</v>
      </c>
      <c r="AQ382" s="1">
        <v>5.6818999999999997</v>
      </c>
      <c r="AR382" s="1">
        <v>0.30488999999999999</v>
      </c>
      <c r="AT382" s="1425">
        <v>44663</v>
      </c>
      <c r="AU382" s="1">
        <v>13.2964</v>
      </c>
      <c r="AV382" s="1">
        <v>0.87150000000000005</v>
      </c>
      <c r="AW382" s="1">
        <v>8.6843000000000004</v>
      </c>
      <c r="AX382" s="1">
        <v>0.22453000000000001</v>
      </c>
      <c r="BA382" s="1425">
        <v>44659</v>
      </c>
      <c r="BB382" s="1">
        <v>18.470199999999998</v>
      </c>
      <c r="BC382" s="1">
        <v>4.2436999999999996</v>
      </c>
      <c r="BD382" s="1">
        <v>18.071300000000001</v>
      </c>
      <c r="BE382" s="1">
        <v>1.2671399999999999</v>
      </c>
      <c r="BG382" s="1425">
        <v>44659</v>
      </c>
      <c r="BH382" s="1">
        <v>20.716100000000001</v>
      </c>
      <c r="BI382" s="1">
        <v>5.3817000000000004</v>
      </c>
      <c r="BJ382" s="1">
        <v>27.742899999999999</v>
      </c>
      <c r="BT382" s="1425">
        <v>44680</v>
      </c>
      <c r="BU382" s="1">
        <v>20.647400000000001</v>
      </c>
      <c r="BV382" s="1">
        <v>4.8792</v>
      </c>
      <c r="BW382" s="1">
        <v>12.9474</v>
      </c>
      <c r="BX382" s="1">
        <v>3.2033</v>
      </c>
      <c r="BZ382" s="1425">
        <v>44680</v>
      </c>
      <c r="CA382" s="1">
        <v>23.655899999999999</v>
      </c>
      <c r="CB382" s="1">
        <v>6.7663000000000002</v>
      </c>
      <c r="CC382" s="1">
        <v>20.8004</v>
      </c>
      <c r="CD382" s="1">
        <v>3.6837399999999998</v>
      </c>
      <c r="CF382" s="1425">
        <v>44679</v>
      </c>
      <c r="CG382" s="1">
        <v>7.0808</v>
      </c>
      <c r="CH382" s="1">
        <v>2.3073999999999999</v>
      </c>
      <c r="CI382" s="1">
        <v>8.5792000000000002</v>
      </c>
      <c r="CL382" s="1425">
        <v>44686</v>
      </c>
      <c r="CM382" s="1">
        <v>24.282399999999999</v>
      </c>
      <c r="CN382" s="1">
        <v>3.0116000000000001</v>
      </c>
      <c r="CO382" s="1">
        <v>12.9887</v>
      </c>
    </row>
    <row r="383" spans="1:93">
      <c r="A383" s="1425">
        <v>44679</v>
      </c>
      <c r="B383" s="20">
        <f t="shared" si="52"/>
        <v>15.7056</v>
      </c>
      <c r="C383" s="20">
        <f t="shared" si="54"/>
        <v>14.814399999999999</v>
      </c>
      <c r="D383" s="20">
        <f t="shared" si="55"/>
        <v>15.9056</v>
      </c>
      <c r="E383" s="20">
        <f t="shared" si="56"/>
        <v>7.8548</v>
      </c>
      <c r="F383" s="20">
        <f t="shared" si="57"/>
        <v>19.335000000000001</v>
      </c>
      <c r="G383" s="20">
        <f t="shared" si="58"/>
        <v>17.3642</v>
      </c>
      <c r="H383" s="1239">
        <f t="shared" si="59"/>
        <v>15.9056</v>
      </c>
      <c r="I383" s="1243">
        <f t="shared" si="53"/>
        <v>-1.2574187707474094E-2</v>
      </c>
      <c r="J383" s="1243">
        <f t="shared" si="60"/>
        <v>0.12093838824177333</v>
      </c>
      <c r="K383" s="1243">
        <f t="shared" si="61"/>
        <v>0.1</v>
      </c>
      <c r="L383" s="203"/>
      <c r="N383" s="1425">
        <v>44679</v>
      </c>
      <c r="O383" s="1502">
        <v>15.7056</v>
      </c>
      <c r="P383" s="1502">
        <v>6.0077999999999996</v>
      </c>
      <c r="Q383" s="1502">
        <v>17.406400000000001</v>
      </c>
      <c r="R383" s="1233">
        <f>'B. PE'!$U$23</f>
        <v>15.978235616082999</v>
      </c>
      <c r="S383" s="1233"/>
      <c r="T383" s="1233"/>
      <c r="V383" s="1425">
        <v>44679</v>
      </c>
      <c r="W383" s="1">
        <v>14.814399999999999</v>
      </c>
      <c r="X383" s="1">
        <v>2.2541000000000002</v>
      </c>
      <c r="Y383" s="1">
        <v>12.9923</v>
      </c>
      <c r="Z383" s="1">
        <v>1.68533</v>
      </c>
      <c r="AB383" s="1425">
        <v>44658</v>
      </c>
      <c r="AC383" s="1">
        <v>8.3615999999999993</v>
      </c>
      <c r="AD383" s="1502">
        <v>1.3456999999999999</v>
      </c>
      <c r="AE383" s="1">
        <v>5.3890000000000002</v>
      </c>
      <c r="AF383" s="1">
        <v>4.1439999999999998E-2</v>
      </c>
      <c r="AH383" s="1425">
        <v>44658</v>
      </c>
      <c r="AI383" s="1">
        <v>14.7933</v>
      </c>
      <c r="AJ383" s="1">
        <v>2.7886000000000002</v>
      </c>
      <c r="AK383" s="1">
        <v>8.0634999999999994</v>
      </c>
      <c r="AL383" s="1">
        <v>4.666E-2</v>
      </c>
      <c r="AN383" s="1425">
        <v>44662</v>
      </c>
      <c r="AO383" s="1">
        <v>8.3168000000000006</v>
      </c>
      <c r="AP383" s="1">
        <v>1.1709000000000001</v>
      </c>
      <c r="AQ383" s="1">
        <v>5.6818999999999997</v>
      </c>
      <c r="AR383" s="1">
        <v>0.30525000000000002</v>
      </c>
      <c r="AT383" s="1425">
        <v>44662</v>
      </c>
      <c r="AU383" s="1">
        <v>13.0886</v>
      </c>
      <c r="AV383" s="1">
        <v>0.8579</v>
      </c>
      <c r="AW383" s="1">
        <v>8.5662000000000003</v>
      </c>
      <c r="AX383" s="1">
        <v>0.22242999999999999</v>
      </c>
      <c r="BA383" s="1425">
        <v>44658</v>
      </c>
      <c r="BB383" s="1">
        <v>18.802</v>
      </c>
      <c r="BC383" s="1">
        <v>4.32</v>
      </c>
      <c r="BD383" s="1">
        <v>18.329999999999998</v>
      </c>
      <c r="BE383" s="1">
        <v>1.22542</v>
      </c>
      <c r="BG383" s="1425">
        <v>44658</v>
      </c>
      <c r="BH383" s="1">
        <v>19.729600000000001</v>
      </c>
      <c r="BI383" s="1">
        <v>5.1254999999999997</v>
      </c>
      <c r="BJ383" s="1">
        <v>26.599900000000002</v>
      </c>
      <c r="BT383" s="1425">
        <v>44679</v>
      </c>
      <c r="BU383" s="1">
        <v>20.066199999999998</v>
      </c>
      <c r="BV383" s="1">
        <v>4.7417999999999996</v>
      </c>
      <c r="BW383" s="1">
        <v>12.612299999999999</v>
      </c>
      <c r="BX383" s="1">
        <v>3.2383000000000002</v>
      </c>
      <c r="BZ383" s="1425">
        <v>44679</v>
      </c>
      <c r="CA383" s="1">
        <v>22.567499999999999</v>
      </c>
      <c r="CB383" s="1">
        <v>6.4550000000000001</v>
      </c>
      <c r="CC383" s="1">
        <v>20.054600000000001</v>
      </c>
      <c r="CD383" s="1">
        <v>3.6586699999999999</v>
      </c>
      <c r="CF383" s="1425">
        <v>44678</v>
      </c>
      <c r="CG383" s="1">
        <v>6.9234</v>
      </c>
      <c r="CH383" s="1">
        <v>2.2561</v>
      </c>
      <c r="CI383" s="1">
        <v>8.4504999999999999</v>
      </c>
      <c r="CL383" s="1425">
        <v>44685</v>
      </c>
      <c r="CM383" s="1">
        <v>24.079499999999999</v>
      </c>
      <c r="CN383" s="1">
        <v>2.9864000000000002</v>
      </c>
      <c r="CO383" s="1">
        <v>12.879899999999999</v>
      </c>
    </row>
    <row r="384" spans="1:93">
      <c r="A384" s="1425">
        <v>44678</v>
      </c>
      <c r="B384" s="20">
        <f t="shared" si="52"/>
        <v>15.600899999999999</v>
      </c>
      <c r="C384" s="20">
        <f t="shared" si="54"/>
        <v>14.720599999999999</v>
      </c>
      <c r="D384" s="20">
        <f t="shared" si="55"/>
        <v>15.571899999999999</v>
      </c>
      <c r="E384" s="20">
        <f t="shared" si="56"/>
        <v>7.7888000000000002</v>
      </c>
      <c r="F384" s="20">
        <f t="shared" si="57"/>
        <v>19.2561</v>
      </c>
      <c r="G384" s="20">
        <f t="shared" si="58"/>
        <v>17.143000000000001</v>
      </c>
      <c r="H384" s="1239">
        <f t="shared" si="59"/>
        <v>15.571899999999999</v>
      </c>
      <c r="I384" s="1243">
        <f t="shared" si="53"/>
        <v>1.8623289386652253E-3</v>
      </c>
      <c r="J384" s="1243">
        <f t="shared" si="60"/>
        <v>0.12093838824177333</v>
      </c>
      <c r="K384" s="1243">
        <f t="shared" si="61"/>
        <v>0.1</v>
      </c>
      <c r="L384" s="203"/>
      <c r="N384" s="1425">
        <v>44678</v>
      </c>
      <c r="O384" s="1502">
        <v>15.600899999999999</v>
      </c>
      <c r="P384" s="1502">
        <v>5.9676999999999998</v>
      </c>
      <c r="Q384" s="1502">
        <v>17.302600000000002</v>
      </c>
      <c r="R384" s="1233">
        <f>'B. PE'!$U$23</f>
        <v>15.978235616082999</v>
      </c>
      <c r="S384" s="1233"/>
      <c r="T384" s="1233"/>
      <c r="V384" s="1425">
        <v>44678</v>
      </c>
      <c r="W384" s="1">
        <v>14.720599999999999</v>
      </c>
      <c r="X384" s="1">
        <v>2.2397999999999998</v>
      </c>
      <c r="Y384" s="1">
        <v>12.9267</v>
      </c>
      <c r="Z384" s="1">
        <v>1.77037</v>
      </c>
      <c r="AB384" s="1425">
        <v>44657</v>
      </c>
      <c r="AC384" s="1">
        <v>8.7451000000000008</v>
      </c>
      <c r="AD384" s="1502">
        <v>1.4074</v>
      </c>
      <c r="AE384" s="1">
        <v>5.5754000000000001</v>
      </c>
      <c r="AF384" s="1">
        <v>4.2229999999999997E-2</v>
      </c>
      <c r="AH384" s="1425">
        <v>44657</v>
      </c>
      <c r="AI384" s="1">
        <v>14.7933</v>
      </c>
      <c r="AJ384" s="1">
        <v>2.7886000000000002</v>
      </c>
      <c r="AK384" s="1">
        <v>8.0634999999999994</v>
      </c>
      <c r="AL384" s="1">
        <v>4.5019999999999998E-2</v>
      </c>
      <c r="AN384" s="1425">
        <v>44659</v>
      </c>
      <c r="AO384" s="1">
        <v>8.5149000000000008</v>
      </c>
      <c r="AP384" s="1">
        <v>1.1988000000000001</v>
      </c>
      <c r="AQ384" s="1">
        <v>5.8310000000000004</v>
      </c>
      <c r="AR384" s="1">
        <v>0.30104999999999998</v>
      </c>
      <c r="AT384" s="1425">
        <v>44659</v>
      </c>
      <c r="AU384" s="1">
        <v>13.1579</v>
      </c>
      <c r="AV384" s="1">
        <v>0.86240000000000006</v>
      </c>
      <c r="AW384" s="1">
        <v>8.5856999999999992</v>
      </c>
      <c r="AX384" s="1">
        <v>0.22045000000000001</v>
      </c>
      <c r="BA384" s="1425">
        <v>44656</v>
      </c>
      <c r="BB384" s="1">
        <v>18.802</v>
      </c>
      <c r="BC384" s="1">
        <v>4.32</v>
      </c>
      <c r="BD384" s="1">
        <v>18.329999999999998</v>
      </c>
      <c r="BE384" s="1">
        <v>1.2032499999999999</v>
      </c>
      <c r="BG384" s="1425">
        <v>44656</v>
      </c>
      <c r="BH384" s="1">
        <v>20.518799999999999</v>
      </c>
      <c r="BI384" s="1">
        <v>5.3304999999999998</v>
      </c>
      <c r="BJ384" s="1">
        <v>27.514299999999999</v>
      </c>
      <c r="BT384" s="1425">
        <v>44678</v>
      </c>
      <c r="BU384" s="1">
        <v>20.370699999999999</v>
      </c>
      <c r="BV384" s="1">
        <v>4.8137999999999996</v>
      </c>
      <c r="BW384" s="1">
        <v>12.787800000000001</v>
      </c>
      <c r="BX384" s="1">
        <v>3.1547999999999998</v>
      </c>
      <c r="BZ384" s="1425">
        <v>44678</v>
      </c>
      <c r="CA384" s="1">
        <v>22.0687</v>
      </c>
      <c r="CB384" s="1">
        <v>6.3122999999999996</v>
      </c>
      <c r="CC384" s="1">
        <v>19.712700000000002</v>
      </c>
      <c r="CD384" s="1">
        <v>3.6249199999999999</v>
      </c>
      <c r="CF384" s="1425">
        <v>44677</v>
      </c>
      <c r="CG384" s="1">
        <v>6.8448000000000002</v>
      </c>
      <c r="CH384" s="1">
        <v>2.2305000000000001</v>
      </c>
      <c r="CI384" s="1">
        <v>8.3862000000000005</v>
      </c>
      <c r="CL384" s="1425">
        <v>44684</v>
      </c>
      <c r="CM384" s="1">
        <v>23.92</v>
      </c>
      <c r="CN384" s="1">
        <v>2.9666000000000001</v>
      </c>
      <c r="CO384" s="1">
        <v>12.794499999999999</v>
      </c>
    </row>
    <row r="385" spans="1:93">
      <c r="A385" s="1425">
        <v>44677</v>
      </c>
      <c r="B385" s="20">
        <f t="shared" si="52"/>
        <v>15.123900000000001</v>
      </c>
      <c r="C385" s="20">
        <f t="shared" si="54"/>
        <v>14.376899999999999</v>
      </c>
      <c r="D385" s="20">
        <f t="shared" si="55"/>
        <v>15.6831</v>
      </c>
      <c r="E385" s="20">
        <f t="shared" si="56"/>
        <v>7.7888000000000002</v>
      </c>
      <c r="F385" s="20">
        <f t="shared" si="57"/>
        <v>19.650700000000001</v>
      </c>
      <c r="G385" s="20">
        <f t="shared" si="58"/>
        <v>17.253599999999999</v>
      </c>
      <c r="H385" s="1239">
        <f t="shared" si="59"/>
        <v>15.6831</v>
      </c>
      <c r="I385" s="1243">
        <f t="shared" si="53"/>
        <v>-3.5656215926698098E-2</v>
      </c>
      <c r="J385" s="1243">
        <f t="shared" si="60"/>
        <v>0.12093838824177333</v>
      </c>
      <c r="K385" s="1243">
        <f t="shared" si="61"/>
        <v>0.1</v>
      </c>
      <c r="L385" s="203"/>
      <c r="N385" s="1425">
        <v>44677</v>
      </c>
      <c r="O385" s="1502">
        <v>15.123900000000001</v>
      </c>
      <c r="P385" s="1502">
        <v>5.7851999999999997</v>
      </c>
      <c r="Q385" s="1502">
        <v>16.829799999999999</v>
      </c>
      <c r="R385" s="1233">
        <f>'B. PE'!$U$23</f>
        <v>15.978235616082999</v>
      </c>
      <c r="S385" s="1233"/>
      <c r="T385" s="1233"/>
      <c r="V385" s="1425">
        <v>44677</v>
      </c>
      <c r="W385" s="1">
        <v>14.376899999999999</v>
      </c>
      <c r="X385" s="1">
        <v>2.1875</v>
      </c>
      <c r="Y385" s="1">
        <v>12.686299999999999</v>
      </c>
      <c r="Z385" s="1">
        <v>1.90208</v>
      </c>
      <c r="AB385" s="1425">
        <v>44656</v>
      </c>
      <c r="AC385" s="1">
        <v>9.1287000000000003</v>
      </c>
      <c r="AD385" s="1502">
        <v>1.4691000000000001</v>
      </c>
      <c r="AE385" s="1">
        <v>5.7617000000000003</v>
      </c>
      <c r="AF385" s="1">
        <v>4.036E-2</v>
      </c>
      <c r="AH385" s="1425">
        <v>44656</v>
      </c>
      <c r="AI385" s="1">
        <v>14.904500000000001</v>
      </c>
      <c r="AJ385" s="1">
        <v>2.8094999999999999</v>
      </c>
      <c r="AK385" s="1">
        <v>8.1219000000000001</v>
      </c>
      <c r="AL385" s="1">
        <v>4.6269999999999999E-2</v>
      </c>
      <c r="AN385" s="1425">
        <v>44658</v>
      </c>
      <c r="AO385" s="1">
        <v>8.5149000000000008</v>
      </c>
      <c r="AP385" s="1">
        <v>1.1988000000000001</v>
      </c>
      <c r="AQ385" s="1">
        <v>5.8310000000000004</v>
      </c>
      <c r="AR385" s="1">
        <v>0.29436000000000001</v>
      </c>
      <c r="AT385" s="1425">
        <v>44658</v>
      </c>
      <c r="AU385" s="1">
        <v>13.019399999999999</v>
      </c>
      <c r="AV385" s="1">
        <v>0.85340000000000005</v>
      </c>
      <c r="AW385" s="1">
        <v>8.5071999999999992</v>
      </c>
      <c r="AX385" s="1">
        <v>0.22195999999999999</v>
      </c>
      <c r="BA385" s="1425">
        <v>44655</v>
      </c>
      <c r="BB385" s="1">
        <v>18.138400000000001</v>
      </c>
      <c r="BC385" s="1">
        <v>4.1675000000000004</v>
      </c>
      <c r="BD385" s="1">
        <v>17.8126</v>
      </c>
      <c r="BE385" s="1">
        <v>1.2097599999999999</v>
      </c>
      <c r="BG385" s="1425">
        <v>44655</v>
      </c>
      <c r="BH385" s="1">
        <v>20.518799999999999</v>
      </c>
      <c r="BI385" s="1">
        <v>5.3304999999999998</v>
      </c>
      <c r="BJ385" s="1">
        <v>27.514299999999999</v>
      </c>
      <c r="BT385" s="1425">
        <v>44677</v>
      </c>
      <c r="BU385" s="1">
        <v>20.592099999999999</v>
      </c>
      <c r="BV385" s="1">
        <v>4.8661000000000003</v>
      </c>
      <c r="BW385" s="1">
        <v>12.9155</v>
      </c>
      <c r="BX385" s="1">
        <v>3.3917000000000002</v>
      </c>
      <c r="BZ385" s="1425">
        <v>44677</v>
      </c>
      <c r="CA385" s="1">
        <v>21.9176</v>
      </c>
      <c r="CB385" s="1">
        <v>6.2690999999999999</v>
      </c>
      <c r="CC385" s="1">
        <v>19.609100000000002</v>
      </c>
      <c r="CD385" s="1">
        <v>3.8970400000000001</v>
      </c>
      <c r="CF385" s="1425">
        <v>44676</v>
      </c>
      <c r="CG385" s="1">
        <v>7.1398000000000001</v>
      </c>
      <c r="CH385" s="1">
        <v>2.3266</v>
      </c>
      <c r="CI385" s="1">
        <v>8.6274999999999995</v>
      </c>
      <c r="CL385" s="1425">
        <v>44683</v>
      </c>
      <c r="CM385" s="1">
        <v>24.282399999999999</v>
      </c>
      <c r="CN385" s="1">
        <v>3.0116000000000001</v>
      </c>
      <c r="CO385" s="1">
        <v>12.9887</v>
      </c>
    </row>
    <row r="386" spans="1:93">
      <c r="A386" s="1425">
        <v>44676</v>
      </c>
      <c r="B386" s="20">
        <f t="shared" si="52"/>
        <v>15.3566</v>
      </c>
      <c r="C386" s="20">
        <f t="shared" si="54"/>
        <v>15.095700000000001</v>
      </c>
      <c r="D386" s="20">
        <f t="shared" si="55"/>
        <v>15.6831</v>
      </c>
      <c r="E386" s="20">
        <f t="shared" si="56"/>
        <v>7.8548</v>
      </c>
      <c r="F386" s="20">
        <f t="shared" si="57"/>
        <v>19.9269</v>
      </c>
      <c r="G386" s="20">
        <f t="shared" si="58"/>
        <v>17.696000000000002</v>
      </c>
      <c r="H386" s="1239">
        <f t="shared" si="59"/>
        <v>15.6831</v>
      </c>
      <c r="I386" s="1243">
        <f t="shared" si="53"/>
        <v>-2.0818588161779172E-2</v>
      </c>
      <c r="J386" s="1243">
        <f t="shared" si="60"/>
        <v>0.12093838824177333</v>
      </c>
      <c r="K386" s="1243">
        <f t="shared" si="61"/>
        <v>0.1</v>
      </c>
      <c r="L386" s="203"/>
      <c r="N386" s="1425">
        <v>44676</v>
      </c>
      <c r="O386" s="1502">
        <v>15.3566</v>
      </c>
      <c r="P386" s="1502">
        <v>5.8742000000000001</v>
      </c>
      <c r="Q386" s="1502">
        <v>17.060500000000001</v>
      </c>
      <c r="R386" s="1233">
        <f>'B. PE'!$U$23</f>
        <v>15.978235616082999</v>
      </c>
      <c r="S386" s="1233"/>
      <c r="T386" s="1233"/>
      <c r="V386" s="1425">
        <v>44676</v>
      </c>
      <c r="W386" s="1">
        <v>15.095700000000001</v>
      </c>
      <c r="X386" s="1">
        <v>2.2968999999999999</v>
      </c>
      <c r="Y386" s="1">
        <v>13.189</v>
      </c>
      <c r="Z386" s="1">
        <v>2.0453600000000001</v>
      </c>
      <c r="AB386" s="1425">
        <v>44655</v>
      </c>
      <c r="AC386" s="1">
        <v>9.2820999999999998</v>
      </c>
      <c r="AD386" s="1502">
        <v>1.4938</v>
      </c>
      <c r="AE386" s="1">
        <v>5.8362999999999996</v>
      </c>
      <c r="AF386" s="1">
        <v>4.0410000000000001E-2</v>
      </c>
      <c r="AH386" s="1425">
        <v>44655</v>
      </c>
      <c r="AI386" s="1">
        <v>14.3484</v>
      </c>
      <c r="AJ386" s="1">
        <v>2.7046999999999999</v>
      </c>
      <c r="AK386" s="1">
        <v>7.8297999999999996</v>
      </c>
      <c r="AL386" s="1">
        <v>4.7370000000000002E-2</v>
      </c>
      <c r="AN386" s="1425">
        <v>44657</v>
      </c>
      <c r="AO386" s="1">
        <v>8.3827999999999996</v>
      </c>
      <c r="AP386" s="1">
        <v>1.1801999999999999</v>
      </c>
      <c r="AQ386" s="1">
        <v>5.7316000000000003</v>
      </c>
      <c r="AR386" s="1">
        <v>0.28399000000000002</v>
      </c>
      <c r="AT386" s="1425">
        <v>44657</v>
      </c>
      <c r="AU386" s="1">
        <v>12.8809</v>
      </c>
      <c r="AV386" s="1">
        <v>0.84430000000000005</v>
      </c>
      <c r="AW386" s="1">
        <v>8.4115000000000002</v>
      </c>
      <c r="AX386" s="1">
        <v>0.21654000000000001</v>
      </c>
      <c r="BA386" s="1425">
        <v>44652</v>
      </c>
      <c r="BB386" s="1">
        <v>17.8066</v>
      </c>
      <c r="BC386" s="1">
        <v>4.0913000000000004</v>
      </c>
      <c r="BD386" s="1">
        <v>17.553899999999999</v>
      </c>
      <c r="BE386" s="1">
        <v>1.20113</v>
      </c>
      <c r="BG386" s="1425">
        <v>44652</v>
      </c>
      <c r="BH386" s="1">
        <v>20.913399999999999</v>
      </c>
      <c r="BI386" s="1">
        <v>5.4329999999999998</v>
      </c>
      <c r="BJ386" s="1">
        <v>27.971599999999999</v>
      </c>
      <c r="BT386" s="1425">
        <v>44676</v>
      </c>
      <c r="BU386" s="1">
        <v>20.052399999999999</v>
      </c>
      <c r="BV386" s="1">
        <v>4.7385999999999999</v>
      </c>
      <c r="BW386" s="1">
        <v>12.6043</v>
      </c>
      <c r="BX386" s="1">
        <v>3.3856999999999999</v>
      </c>
      <c r="BZ386" s="1425">
        <v>44676</v>
      </c>
      <c r="CA386" s="1">
        <v>21.706</v>
      </c>
      <c r="CB386" s="1">
        <v>6.2085999999999997</v>
      </c>
      <c r="CC386" s="1">
        <v>19.464099999999998</v>
      </c>
      <c r="CD386" s="1">
        <v>4.19055</v>
      </c>
      <c r="CF386" s="1425">
        <v>44673</v>
      </c>
      <c r="CG386" s="1">
        <v>7.9264999999999999</v>
      </c>
      <c r="CH386" s="1">
        <v>2.5830000000000002</v>
      </c>
      <c r="CI386" s="1">
        <v>9.2708999999999993</v>
      </c>
      <c r="CL386" s="1425">
        <v>44680</v>
      </c>
      <c r="CM386" s="1">
        <v>24.369399999999999</v>
      </c>
      <c r="CN386" s="1">
        <v>3.0224000000000002</v>
      </c>
      <c r="CO386" s="1">
        <v>13.035299999999999</v>
      </c>
    </row>
    <row r="387" spans="1:93">
      <c r="A387" s="1425">
        <v>44673</v>
      </c>
      <c r="B387" s="20">
        <f t="shared" si="52"/>
        <v>16.508299999999998</v>
      </c>
      <c r="C387" s="20">
        <f t="shared" si="54"/>
        <v>16.220800000000001</v>
      </c>
      <c r="D387" s="20">
        <f t="shared" si="55"/>
        <v>16.684200000000001</v>
      </c>
      <c r="E387" s="20">
        <f t="shared" si="56"/>
        <v>7.9867999999999997</v>
      </c>
      <c r="F387" s="20">
        <f t="shared" si="57"/>
        <v>19.5717</v>
      </c>
      <c r="G387" s="20">
        <f t="shared" si="58"/>
        <v>17.696000000000002</v>
      </c>
      <c r="H387" s="1239">
        <f t="shared" si="59"/>
        <v>16.684200000000001</v>
      </c>
      <c r="I387" s="1243">
        <f t="shared" si="53"/>
        <v>-1.0542908859879518E-2</v>
      </c>
      <c r="J387" s="1243">
        <f t="shared" si="60"/>
        <v>0.12093838824177333</v>
      </c>
      <c r="K387" s="1243">
        <f t="shared" si="61"/>
        <v>0.1</v>
      </c>
      <c r="L387" s="203"/>
      <c r="N387" s="1425">
        <v>44673</v>
      </c>
      <c r="O387" s="1502">
        <v>16.508299999999998</v>
      </c>
      <c r="P387" s="1502">
        <v>6.3148</v>
      </c>
      <c r="Q387" s="1502">
        <v>18.202200000000001</v>
      </c>
      <c r="R387" s="1233">
        <f>'B. PE'!$U$23</f>
        <v>15.978235616082999</v>
      </c>
      <c r="S387" s="1233"/>
      <c r="T387" s="1233"/>
      <c r="V387" s="1425">
        <v>44673</v>
      </c>
      <c r="W387" s="1">
        <v>16.220800000000001</v>
      </c>
      <c r="X387" s="1">
        <v>2.4681000000000002</v>
      </c>
      <c r="Y387" s="1">
        <v>13.9758</v>
      </c>
      <c r="Z387" s="1">
        <v>2.1977799999999998</v>
      </c>
      <c r="AB387" s="1425">
        <v>44652</v>
      </c>
      <c r="AC387" s="1">
        <v>8.8985000000000003</v>
      </c>
      <c r="AD387" s="1502">
        <v>1.4320999999999999</v>
      </c>
      <c r="AE387" s="1">
        <v>5.6498999999999997</v>
      </c>
      <c r="AF387" s="1">
        <v>4.0840000000000001E-2</v>
      </c>
      <c r="AH387" s="1425">
        <v>44652</v>
      </c>
      <c r="AI387" s="1">
        <v>14.7933</v>
      </c>
      <c r="AJ387" s="1">
        <v>2.7886000000000002</v>
      </c>
      <c r="AK387" s="1">
        <v>8.0634999999999994</v>
      </c>
      <c r="AL387" s="1">
        <v>4.7820000000000001E-2</v>
      </c>
      <c r="AN387" s="1425">
        <v>44656</v>
      </c>
      <c r="AO387" s="1">
        <v>8.1847999999999992</v>
      </c>
      <c r="AP387" s="1">
        <v>1.1523000000000001</v>
      </c>
      <c r="AQ387" s="1">
        <v>5.5824999999999996</v>
      </c>
      <c r="AR387" s="1">
        <v>0.28493000000000002</v>
      </c>
      <c r="AT387" s="1425">
        <v>44656</v>
      </c>
      <c r="AU387" s="1">
        <v>12.950100000000001</v>
      </c>
      <c r="AV387" s="1">
        <v>0.8488</v>
      </c>
      <c r="AW387" s="1">
        <v>8.4506999999999994</v>
      </c>
      <c r="AX387" s="1">
        <v>0.21132999999999999</v>
      </c>
      <c r="BA387" s="1425">
        <v>44651</v>
      </c>
      <c r="BB387" s="1">
        <v>17.8066</v>
      </c>
      <c r="BC387" s="1">
        <v>4.0913000000000004</v>
      </c>
      <c r="BD387" s="1">
        <v>17.553899999999999</v>
      </c>
      <c r="BE387" s="1">
        <v>1.1563000000000001</v>
      </c>
      <c r="BG387" s="1425">
        <v>44651</v>
      </c>
      <c r="BH387" s="1">
        <v>20.913399999999999</v>
      </c>
      <c r="BI387" s="1">
        <v>5.4329999999999998</v>
      </c>
      <c r="BJ387" s="1">
        <v>27.971599999999999</v>
      </c>
      <c r="BT387" s="1425">
        <v>44673</v>
      </c>
      <c r="BU387" s="1">
        <v>21.5608</v>
      </c>
      <c r="BV387" s="1">
        <v>5.0949999999999998</v>
      </c>
      <c r="BW387" s="1">
        <v>13.474</v>
      </c>
      <c r="BX387" s="1">
        <v>3.3942999999999999</v>
      </c>
      <c r="BZ387" s="1425">
        <v>44673</v>
      </c>
      <c r="CA387" s="1">
        <v>23.3384</v>
      </c>
      <c r="CB387" s="1">
        <v>6.6755000000000004</v>
      </c>
      <c r="CC387" s="1">
        <v>20.582899999999999</v>
      </c>
      <c r="CD387" s="1">
        <v>4.2406100000000002</v>
      </c>
      <c r="CF387" s="1425">
        <v>44672</v>
      </c>
      <c r="CG387" s="1">
        <v>8.7919999999999998</v>
      </c>
      <c r="CH387" s="1">
        <v>2.8650000000000002</v>
      </c>
      <c r="CI387" s="1">
        <v>9.9786999999999999</v>
      </c>
      <c r="CL387" s="1425">
        <v>44679</v>
      </c>
      <c r="CM387" s="1">
        <v>24.151900000000001</v>
      </c>
      <c r="CN387" s="1">
        <v>2.9954000000000001</v>
      </c>
      <c r="CO387" s="1">
        <v>12.918699999999999</v>
      </c>
    </row>
    <row r="388" spans="1:93">
      <c r="A388" s="1425">
        <v>44672</v>
      </c>
      <c r="B388" s="20">
        <f t="shared" si="52"/>
        <v>17.741499999999998</v>
      </c>
      <c r="C388" s="20">
        <f t="shared" si="54"/>
        <v>17.439800000000002</v>
      </c>
      <c r="D388" s="20">
        <f t="shared" si="55"/>
        <v>16.906600000000001</v>
      </c>
      <c r="E388" s="20">
        <f t="shared" si="56"/>
        <v>8.0527999999999995</v>
      </c>
      <c r="F388" s="20">
        <f t="shared" si="57"/>
        <v>19.729600000000001</v>
      </c>
      <c r="G388" s="20">
        <f t="shared" si="58"/>
        <v>17.8066</v>
      </c>
      <c r="H388" s="1239">
        <f t="shared" si="59"/>
        <v>17.439800000000002</v>
      </c>
      <c r="I388" s="1243">
        <f t="shared" si="53"/>
        <v>1.7299510315485156E-2</v>
      </c>
      <c r="J388" s="1243">
        <f t="shared" si="60"/>
        <v>0.12093838824177333</v>
      </c>
      <c r="K388" s="1243">
        <f t="shared" si="61"/>
        <v>0.1</v>
      </c>
      <c r="L388" s="203"/>
      <c r="N388" s="1425">
        <v>44672</v>
      </c>
      <c r="O388" s="1502">
        <v>17.741499999999998</v>
      </c>
      <c r="P388" s="1502">
        <v>6.7865000000000002</v>
      </c>
      <c r="Q388" s="1502">
        <v>19.424600000000002</v>
      </c>
      <c r="R388" s="1233">
        <f>'B. PE'!$U$23</f>
        <v>15.978235616082999</v>
      </c>
      <c r="S388" s="1233"/>
      <c r="T388" s="1233"/>
      <c r="V388" s="1425">
        <v>44672</v>
      </c>
      <c r="W388" s="1">
        <v>17.439800000000002</v>
      </c>
      <c r="X388" s="1">
        <v>2.6535000000000002</v>
      </c>
      <c r="Y388" s="1">
        <v>14.828200000000001</v>
      </c>
      <c r="Z388" s="1">
        <v>2.30199</v>
      </c>
      <c r="AB388" s="1425">
        <v>44651</v>
      </c>
      <c r="AC388" s="1">
        <v>8.8985000000000003</v>
      </c>
      <c r="AD388" s="1502">
        <v>1.4320999999999999</v>
      </c>
      <c r="AE388" s="1">
        <v>5.6498999999999997</v>
      </c>
      <c r="AF388" s="1">
        <v>4.0739999999999998E-2</v>
      </c>
      <c r="AH388" s="1425">
        <v>44651</v>
      </c>
      <c r="AI388" s="1">
        <v>15.127000000000001</v>
      </c>
      <c r="AJ388" s="1">
        <v>2.8515000000000001</v>
      </c>
      <c r="AK388" s="1">
        <v>8.2386999999999997</v>
      </c>
      <c r="AL388" s="1">
        <v>4.7710000000000002E-2</v>
      </c>
      <c r="AN388" s="1425">
        <v>44655</v>
      </c>
      <c r="AO388" s="1">
        <v>7.9207999999999998</v>
      </c>
      <c r="AP388" s="1">
        <v>1.1152</v>
      </c>
      <c r="AQ388" s="1">
        <v>5.3836000000000004</v>
      </c>
      <c r="AR388" s="1">
        <v>0.28255999999999998</v>
      </c>
      <c r="AT388" s="1425">
        <v>44655</v>
      </c>
      <c r="AU388" s="1">
        <v>12.6731</v>
      </c>
      <c r="AV388" s="1">
        <v>0.83069999999999999</v>
      </c>
      <c r="AW388" s="1">
        <v>8.2939000000000007</v>
      </c>
      <c r="AX388" s="1">
        <v>0.20183000000000001</v>
      </c>
      <c r="BA388" s="1425">
        <v>44650</v>
      </c>
      <c r="BB388" s="1">
        <v>17.7746</v>
      </c>
      <c r="BC388" s="1">
        <v>4.3082000000000003</v>
      </c>
      <c r="BD388" s="1">
        <v>18.6126</v>
      </c>
      <c r="BE388" s="1">
        <v>1.10256</v>
      </c>
      <c r="BG388" s="1425">
        <v>44650</v>
      </c>
      <c r="BH388" s="1">
        <v>21.595099999999999</v>
      </c>
      <c r="BI388" s="1">
        <v>5.7214999999999998</v>
      </c>
      <c r="BJ388" s="1">
        <v>27.8033</v>
      </c>
      <c r="BT388" s="1425">
        <v>44672</v>
      </c>
      <c r="BU388" s="1">
        <v>21.519300000000001</v>
      </c>
      <c r="BV388" s="1">
        <v>5.0852000000000004</v>
      </c>
      <c r="BW388" s="1">
        <v>13.450100000000001</v>
      </c>
      <c r="BX388" s="1">
        <v>3.4020999999999999</v>
      </c>
      <c r="BZ388" s="1425">
        <v>44672</v>
      </c>
      <c r="CA388" s="1">
        <v>25.091799999999999</v>
      </c>
      <c r="CB388" s="1">
        <v>7.1769999999999996</v>
      </c>
      <c r="CC388" s="1">
        <v>21.784600000000001</v>
      </c>
      <c r="CD388" s="1">
        <v>4.2934000000000001</v>
      </c>
      <c r="CF388" s="1425">
        <v>44671</v>
      </c>
      <c r="CG388" s="1">
        <v>8.5952999999999999</v>
      </c>
      <c r="CH388" s="1">
        <v>2.8010000000000002</v>
      </c>
      <c r="CI388" s="1">
        <v>9.8178000000000001</v>
      </c>
      <c r="CL388" s="1425">
        <v>44678</v>
      </c>
      <c r="CM388" s="1">
        <v>23.861999999999998</v>
      </c>
      <c r="CN388" s="1">
        <v>2.9594</v>
      </c>
      <c r="CO388" s="1">
        <v>12.763400000000001</v>
      </c>
    </row>
    <row r="389" spans="1:93">
      <c r="A389" s="1425">
        <v>44671</v>
      </c>
      <c r="B389" s="20">
        <f t="shared" ref="B389:B452" si="62">O389</f>
        <v>17.218</v>
      </c>
      <c r="C389" s="20">
        <f t="shared" si="54"/>
        <v>18.752400000000002</v>
      </c>
      <c r="D389" s="20">
        <f t="shared" si="55"/>
        <v>16.2393</v>
      </c>
      <c r="E389" s="20">
        <f t="shared" si="56"/>
        <v>7.9207999999999998</v>
      </c>
      <c r="F389" s="20">
        <f t="shared" si="57"/>
        <v>19.729600000000001</v>
      </c>
      <c r="G389" s="20">
        <f t="shared" si="58"/>
        <v>18.248999999999999</v>
      </c>
      <c r="H389" s="1239">
        <f t="shared" si="59"/>
        <v>18.248999999999999</v>
      </c>
      <c r="I389" s="1243">
        <f t="shared" ref="I389:I452" si="63">B389/H389-1</f>
        <v>-5.6496246369663994E-2</v>
      </c>
      <c r="J389" s="1243">
        <f t="shared" si="60"/>
        <v>0.12093838824177333</v>
      </c>
      <c r="K389" s="1243">
        <f t="shared" si="61"/>
        <v>0.1</v>
      </c>
      <c r="L389" s="203"/>
      <c r="N389" s="1425">
        <v>44671</v>
      </c>
      <c r="O389" s="1502">
        <v>17.218</v>
      </c>
      <c r="P389" s="1502">
        <v>6.5862999999999996</v>
      </c>
      <c r="Q389" s="1502">
        <v>18.9056</v>
      </c>
      <c r="R389" s="1233">
        <f>'B. PE'!$U$23</f>
        <v>15.978235616082999</v>
      </c>
      <c r="S389" s="1233"/>
      <c r="T389" s="1233"/>
      <c r="V389" s="1425">
        <v>44671</v>
      </c>
      <c r="W389" s="1">
        <v>18.752400000000002</v>
      </c>
      <c r="X389" s="1">
        <v>2.8532999999999999</v>
      </c>
      <c r="Y389" s="1">
        <v>15.7462</v>
      </c>
      <c r="Z389" s="1">
        <v>2.3514599999999999</v>
      </c>
      <c r="AB389" s="1425">
        <v>44650</v>
      </c>
      <c r="AC389" s="1">
        <v>9.2593999999999994</v>
      </c>
      <c r="AD389" s="1502">
        <v>1.5149999999999999</v>
      </c>
      <c r="AE389" s="1">
        <v>5.3783000000000003</v>
      </c>
      <c r="AF389" s="1">
        <v>4.002E-2</v>
      </c>
      <c r="AH389" s="1425">
        <v>44650</v>
      </c>
      <c r="AI389" s="1">
        <v>16.5258</v>
      </c>
      <c r="AJ389" s="1">
        <v>3.0436000000000001</v>
      </c>
      <c r="AK389" s="1">
        <v>8.1260999999999992</v>
      </c>
      <c r="AL389" s="1">
        <v>4.8030000000000003E-2</v>
      </c>
      <c r="AN389" s="1425">
        <v>44652</v>
      </c>
      <c r="AO389" s="1">
        <v>7.9207999999999998</v>
      </c>
      <c r="AP389" s="1">
        <v>1.1152</v>
      </c>
      <c r="AQ389" s="1">
        <v>5.3836000000000004</v>
      </c>
      <c r="AR389" s="1">
        <v>0.27776000000000001</v>
      </c>
      <c r="AT389" s="1425">
        <v>44652</v>
      </c>
      <c r="AU389" s="1">
        <v>12.3269</v>
      </c>
      <c r="AV389" s="1">
        <v>0.80800000000000005</v>
      </c>
      <c r="AW389" s="1">
        <v>8.0820000000000007</v>
      </c>
      <c r="AX389" s="1">
        <v>0.19467000000000001</v>
      </c>
      <c r="BA389" s="1425">
        <v>44649</v>
      </c>
      <c r="BB389" s="1">
        <v>17.219200000000001</v>
      </c>
      <c r="BC389" s="1">
        <v>4.1734999999999998</v>
      </c>
      <c r="BD389" s="1">
        <v>18.164200000000001</v>
      </c>
      <c r="BE389" s="1">
        <v>1.139</v>
      </c>
      <c r="BG389" s="1425">
        <v>44649</v>
      </c>
      <c r="BH389" s="1">
        <v>20.983899999999998</v>
      </c>
      <c r="BI389" s="1">
        <v>5.5595999999999997</v>
      </c>
      <c r="BJ389" s="1">
        <v>27.100200000000001</v>
      </c>
      <c r="BT389" s="1425">
        <v>44671</v>
      </c>
      <c r="BU389" s="1">
        <v>21.5885</v>
      </c>
      <c r="BV389" s="1">
        <v>5.1016000000000004</v>
      </c>
      <c r="BW389" s="1">
        <v>13.49</v>
      </c>
      <c r="BX389" s="1">
        <v>3.4963000000000002</v>
      </c>
      <c r="BZ389" s="1425">
        <v>44671</v>
      </c>
      <c r="CA389" s="1">
        <v>25.409300000000002</v>
      </c>
      <c r="CB389" s="1">
        <v>7.2678000000000003</v>
      </c>
      <c r="CC389" s="1">
        <v>22.002099999999999</v>
      </c>
      <c r="CD389" s="1">
        <v>4.0865600000000004</v>
      </c>
      <c r="CF389" s="1425">
        <v>44670</v>
      </c>
      <c r="CG389" s="1">
        <v>8.6542999999999992</v>
      </c>
      <c r="CH389" s="1">
        <v>2.8201999999999998</v>
      </c>
      <c r="CI389" s="1">
        <v>9.8660999999999994</v>
      </c>
      <c r="CL389" s="1425">
        <v>44677</v>
      </c>
      <c r="CM389" s="1">
        <v>24.151900000000001</v>
      </c>
      <c r="CN389" s="1">
        <v>2.9954000000000001</v>
      </c>
      <c r="CO389" s="1">
        <v>12.918699999999999</v>
      </c>
    </row>
    <row r="390" spans="1:93">
      <c r="A390" s="1425">
        <v>44670</v>
      </c>
      <c r="B390" s="20">
        <f t="shared" si="62"/>
        <v>18.3813</v>
      </c>
      <c r="C390" s="20">
        <f t="shared" ref="C390:C453" si="64">IF(W390=0,W389,W390)</f>
        <v>19.596299999999999</v>
      </c>
      <c r="D390" s="20">
        <f t="shared" ref="D390:D453" si="65">IFERROR(          IF(VLOOKUP(A390,$AH$5:$AI$1301,2,)=0,D389,VLOOKUP(A390,$AH$5:$AI$1301,2,)),D389)</f>
        <v>16.0168</v>
      </c>
      <c r="E390" s="20">
        <f t="shared" ref="E390:E453" si="66">IFERROR(IF(VLOOKUP(A390,$AN$5:$AO$1301,2,)=0, E389, VLOOKUP(A390,$AN$5:$AO$1301,2,)),E389)</f>
        <v>7.9207999999999998</v>
      </c>
      <c r="F390" s="20">
        <f t="shared" ref="F390:F453" si="67">IFERROR(IF(VLOOKUP(A390,$BG$5:$BH$1301,2,)=0,F389,VLOOKUP(A390,$BG$5:$BH$1301,2,)),F389)</f>
        <v>19.729600000000001</v>
      </c>
      <c r="G390" s="20">
        <f t="shared" ref="G390:G453" si="68">IFERROR(IF(VLOOKUP(A390,$BA$5:$BB$1301,2,)=0,G389,VLOOKUP(A390,$BA$5:$BB$1301,2,)),G389)</f>
        <v>18.027799999999999</v>
      </c>
      <c r="H390" s="1239">
        <f t="shared" ref="H390:H453" si="69">MEDIAN(C390:G390)</f>
        <v>18.027799999999999</v>
      </c>
      <c r="I390" s="1243">
        <f t="shared" si="63"/>
        <v>1.9608604488623227E-2</v>
      </c>
      <c r="J390" s="1243">
        <f t="shared" ref="J390:J453" si="70">$I$3</f>
        <v>0.12093838824177333</v>
      </c>
      <c r="K390" s="1243">
        <f t="shared" si="61"/>
        <v>0.1</v>
      </c>
      <c r="L390" s="203"/>
      <c r="N390" s="1425">
        <v>44670</v>
      </c>
      <c r="O390" s="1502">
        <v>18.3813</v>
      </c>
      <c r="P390" s="1502">
        <v>7.0312999999999999</v>
      </c>
      <c r="Q390" s="1502">
        <v>20.058800000000002</v>
      </c>
      <c r="R390" s="1233">
        <f>'B. PE'!$U$23</f>
        <v>15.978235616082999</v>
      </c>
      <c r="S390" s="1233"/>
      <c r="T390" s="1233"/>
      <c r="V390" s="1425">
        <v>44670</v>
      </c>
      <c r="W390" s="1">
        <v>19.596299999999999</v>
      </c>
      <c r="X390" s="1">
        <v>2.9817</v>
      </c>
      <c r="Y390" s="1">
        <v>16.336300000000001</v>
      </c>
      <c r="Z390" s="1">
        <v>2.22384</v>
      </c>
      <c r="AB390" s="1425">
        <v>44649</v>
      </c>
      <c r="AC390" s="1">
        <v>9.2593999999999994</v>
      </c>
      <c r="AD390" s="1502">
        <v>1.5149999999999999</v>
      </c>
      <c r="AE390" s="1">
        <v>5.3783000000000003</v>
      </c>
      <c r="AF390" s="1">
        <v>4.0399999999999998E-2</v>
      </c>
      <c r="AH390" s="1425">
        <v>44649</v>
      </c>
      <c r="AI390" s="1">
        <v>16.5258</v>
      </c>
      <c r="AJ390" s="1">
        <v>3.0436000000000001</v>
      </c>
      <c r="AK390" s="1">
        <v>8.1260999999999992</v>
      </c>
      <c r="AL390" s="1">
        <v>4.7370000000000002E-2</v>
      </c>
      <c r="AN390" s="1425">
        <v>44651</v>
      </c>
      <c r="AO390" s="1">
        <v>7.8548</v>
      </c>
      <c r="AP390" s="1">
        <v>1.1059000000000001</v>
      </c>
      <c r="AQ390" s="1">
        <v>5.3338999999999999</v>
      </c>
      <c r="AR390" s="1">
        <v>0.27778000000000003</v>
      </c>
      <c r="AT390" s="1425">
        <v>44651</v>
      </c>
      <c r="AU390" s="1">
        <v>11.7729</v>
      </c>
      <c r="AV390" s="1">
        <v>0.77170000000000005</v>
      </c>
      <c r="AW390" s="1">
        <v>7.7691999999999997</v>
      </c>
      <c r="AX390" s="1">
        <v>0.19467999999999999</v>
      </c>
      <c r="BA390" s="1425">
        <v>44648</v>
      </c>
      <c r="BB390" s="1">
        <v>16.552600000000002</v>
      </c>
      <c r="BC390" s="1">
        <v>4.0119999999999996</v>
      </c>
      <c r="BD390" s="1">
        <v>17.626200000000001</v>
      </c>
      <c r="BE390" s="1">
        <v>1.15585</v>
      </c>
      <c r="BG390" s="1425">
        <v>44648</v>
      </c>
      <c r="BH390" s="1">
        <v>21.1876</v>
      </c>
      <c r="BI390" s="1">
        <v>5.6135999999999999</v>
      </c>
      <c r="BJ390" s="1">
        <v>27.334599999999998</v>
      </c>
      <c r="BT390" s="1425">
        <v>44670</v>
      </c>
      <c r="BU390" s="1">
        <v>21.5885</v>
      </c>
      <c r="BV390" s="1">
        <v>5.1016000000000004</v>
      </c>
      <c r="BW390" s="1">
        <v>13.49</v>
      </c>
      <c r="BX390" s="1">
        <v>3.4977999999999998</v>
      </c>
      <c r="BZ390" s="1425">
        <v>44670</v>
      </c>
      <c r="CA390" s="1">
        <v>25.6662</v>
      </c>
      <c r="CB390" s="1">
        <v>7.3413000000000004</v>
      </c>
      <c r="CC390" s="1">
        <v>22.1782</v>
      </c>
      <c r="CD390" s="1">
        <v>4.1642900000000003</v>
      </c>
      <c r="CF390" s="1425">
        <v>44669</v>
      </c>
      <c r="CG390" s="1">
        <v>7.8674999999999997</v>
      </c>
      <c r="CH390" s="1">
        <v>2.5638000000000001</v>
      </c>
      <c r="CI390" s="1">
        <v>9.2225999999999999</v>
      </c>
      <c r="CL390" s="1425">
        <v>44676</v>
      </c>
      <c r="CM390" s="1">
        <v>24.4129</v>
      </c>
      <c r="CN390" s="1">
        <v>3.0278</v>
      </c>
      <c r="CO390" s="1">
        <v>13.0586</v>
      </c>
    </row>
    <row r="391" spans="1:93">
      <c r="A391" s="1425">
        <v>44669</v>
      </c>
      <c r="B391" s="20">
        <f t="shared" si="62"/>
        <v>18.090499999999999</v>
      </c>
      <c r="C391" s="20">
        <f t="shared" si="64"/>
        <v>20.002600000000001</v>
      </c>
      <c r="D391" s="20">
        <f t="shared" si="65"/>
        <v>16.4617</v>
      </c>
      <c r="E391" s="20">
        <f t="shared" si="66"/>
        <v>8.3168000000000006</v>
      </c>
      <c r="F391" s="20">
        <f t="shared" si="67"/>
        <v>19.9269</v>
      </c>
      <c r="G391" s="20">
        <f t="shared" si="68"/>
        <v>17.917200000000001</v>
      </c>
      <c r="H391" s="1239">
        <f t="shared" si="69"/>
        <v>17.917200000000001</v>
      </c>
      <c r="I391" s="1243">
        <f t="shared" si="63"/>
        <v>9.6722702207931999E-3</v>
      </c>
      <c r="J391" s="1243">
        <f t="shared" si="70"/>
        <v>0.12093838824177333</v>
      </c>
      <c r="K391" s="1243">
        <f t="shared" ref="K391:K454" si="71">K390</f>
        <v>0.1</v>
      </c>
      <c r="L391" s="203"/>
      <c r="N391" s="1425">
        <v>44669</v>
      </c>
      <c r="O391" s="1502">
        <v>18.090499999999999</v>
      </c>
      <c r="P391" s="1502">
        <v>6.92</v>
      </c>
      <c r="Q391" s="1502">
        <v>19.770499999999998</v>
      </c>
      <c r="R391" s="1233">
        <f>'B. PE'!$U$23</f>
        <v>15.978235616082999</v>
      </c>
      <c r="S391" s="1233"/>
      <c r="T391" s="1233"/>
      <c r="V391" s="1425">
        <v>44669</v>
      </c>
      <c r="W391" s="1">
        <v>20.002600000000001</v>
      </c>
      <c r="X391" s="1">
        <v>3.0434999999999999</v>
      </c>
      <c r="Y391" s="1">
        <v>16.6205</v>
      </c>
      <c r="Z391" s="1">
        <v>2.20546</v>
      </c>
      <c r="AB391" s="1425">
        <v>44648</v>
      </c>
      <c r="AC391" s="1">
        <v>9.1011000000000006</v>
      </c>
      <c r="AD391" s="1502">
        <v>1.4891000000000001</v>
      </c>
      <c r="AE391" s="1">
        <v>5.3023999999999996</v>
      </c>
      <c r="AF391" s="1">
        <v>4.1070000000000002E-2</v>
      </c>
      <c r="AH391" s="1425">
        <v>44648</v>
      </c>
      <c r="AI391" s="1">
        <v>16.6464</v>
      </c>
      <c r="AJ391" s="1">
        <v>3.0657999999999999</v>
      </c>
      <c r="AK391" s="1">
        <v>8.1891999999999996</v>
      </c>
      <c r="AL391" s="1">
        <v>4.8030000000000003E-2</v>
      </c>
      <c r="AN391" s="1425">
        <v>44650</v>
      </c>
      <c r="AO391" s="1">
        <v>7.5974000000000004</v>
      </c>
      <c r="AP391" s="1">
        <v>1.1207</v>
      </c>
      <c r="AQ391" s="1">
        <v>4.8398000000000003</v>
      </c>
      <c r="AR391" s="1">
        <v>0.27748</v>
      </c>
      <c r="AT391" s="1425">
        <v>44650</v>
      </c>
      <c r="AU391" s="1">
        <v>11.3573</v>
      </c>
      <c r="AV391" s="1">
        <v>0.74439999999999995</v>
      </c>
      <c r="AW391" s="1">
        <v>7.5347</v>
      </c>
      <c r="AX391" s="1">
        <v>0.19209999999999999</v>
      </c>
      <c r="BA391" s="1425">
        <v>44645</v>
      </c>
      <c r="BB391" s="1">
        <v>16.997</v>
      </c>
      <c r="BC391" s="1">
        <v>4.1196999999999999</v>
      </c>
      <c r="BD391" s="1">
        <v>17.9849</v>
      </c>
      <c r="BE391" s="1">
        <v>1.1446799999999999</v>
      </c>
      <c r="BG391" s="1425">
        <v>44645</v>
      </c>
      <c r="BH391" s="1">
        <v>21.1876</v>
      </c>
      <c r="BI391" s="1">
        <v>5.6135999999999999</v>
      </c>
      <c r="BJ391" s="1">
        <v>27.334599999999998</v>
      </c>
      <c r="BT391" s="1425">
        <v>44669</v>
      </c>
      <c r="BU391" s="1">
        <v>22.169699999999999</v>
      </c>
      <c r="BV391" s="1">
        <v>5.2389000000000001</v>
      </c>
      <c r="BW391" s="1">
        <v>13.825100000000001</v>
      </c>
      <c r="BX391" s="1">
        <v>3.4824999999999999</v>
      </c>
      <c r="BZ391" s="1425">
        <v>44669</v>
      </c>
      <c r="CA391" s="1">
        <v>24.4116</v>
      </c>
      <c r="CB391" s="1">
        <v>6.9824999999999999</v>
      </c>
      <c r="CC391" s="1">
        <v>21.3184</v>
      </c>
      <c r="CD391" s="1">
        <v>4.1845499999999998</v>
      </c>
      <c r="CF391" s="1425">
        <v>44666</v>
      </c>
      <c r="CG391" s="1">
        <v>8.0446000000000009</v>
      </c>
      <c r="CH391" s="1">
        <v>2.6215000000000002</v>
      </c>
      <c r="CI391" s="1">
        <v>9.3673999999999999</v>
      </c>
      <c r="CL391" s="1425">
        <v>44673</v>
      </c>
      <c r="CM391" s="1">
        <v>24.427399999999999</v>
      </c>
      <c r="CN391" s="1">
        <v>3.0295999999999998</v>
      </c>
      <c r="CO391" s="1">
        <v>13.0663</v>
      </c>
    </row>
    <row r="392" spans="1:93">
      <c r="A392" s="1425">
        <v>44666</v>
      </c>
      <c r="B392" s="20">
        <f t="shared" si="62"/>
        <v>16.915500000000002</v>
      </c>
      <c r="C392" s="20">
        <f t="shared" si="64"/>
        <v>18.9087</v>
      </c>
      <c r="D392" s="20">
        <f t="shared" si="65"/>
        <v>16.4617</v>
      </c>
      <c r="E392" s="20">
        <f t="shared" si="66"/>
        <v>8.1847999999999992</v>
      </c>
      <c r="F392" s="20">
        <f t="shared" si="67"/>
        <v>19.9269</v>
      </c>
      <c r="G392" s="20">
        <f t="shared" si="68"/>
        <v>17.917200000000001</v>
      </c>
      <c r="H392" s="1239">
        <f t="shared" si="69"/>
        <v>17.917200000000001</v>
      </c>
      <c r="I392" s="1243">
        <f t="shared" si="63"/>
        <v>-5.5907172995780519E-2</v>
      </c>
      <c r="J392" s="1243">
        <f t="shared" si="70"/>
        <v>0.12093838824177333</v>
      </c>
      <c r="K392" s="1243">
        <f t="shared" si="71"/>
        <v>0.1</v>
      </c>
      <c r="L392" s="203"/>
      <c r="N392" s="1425">
        <v>44666</v>
      </c>
      <c r="O392" s="1502">
        <v>16.915500000000002</v>
      </c>
      <c r="P392" s="1502">
        <v>6.4706000000000001</v>
      </c>
      <c r="Q392" s="1502">
        <v>18.605799999999999</v>
      </c>
      <c r="R392" s="1233">
        <f>'B. PE'!$U$23</f>
        <v>15.978235616082999</v>
      </c>
      <c r="S392" s="1233"/>
      <c r="T392" s="1233"/>
      <c r="V392" s="1425">
        <v>44666</v>
      </c>
      <c r="W392" s="1">
        <v>18.9087</v>
      </c>
      <c r="X392" s="1">
        <v>2.8769999999999998</v>
      </c>
      <c r="Y392" s="1">
        <v>15.855499999999999</v>
      </c>
      <c r="Z392" s="1">
        <v>2.1660699999999999</v>
      </c>
      <c r="AB392" s="1425">
        <v>44645</v>
      </c>
      <c r="AC392" s="1">
        <v>9.1801999999999992</v>
      </c>
      <c r="AD392" s="1502">
        <v>1.5021</v>
      </c>
      <c r="AE392" s="1">
        <v>5.3403</v>
      </c>
      <c r="AF392" s="1">
        <v>4.1020000000000001E-2</v>
      </c>
      <c r="AH392" s="1425">
        <v>44645</v>
      </c>
      <c r="AI392" s="1">
        <v>16.405100000000001</v>
      </c>
      <c r="AJ392" s="1">
        <v>3.0213000000000001</v>
      </c>
      <c r="AK392" s="1">
        <v>8.0631000000000004</v>
      </c>
      <c r="AL392" s="1">
        <v>4.7629999999999999E-2</v>
      </c>
      <c r="AN392" s="1425">
        <v>44649</v>
      </c>
      <c r="AO392" s="1">
        <v>7.5974000000000004</v>
      </c>
      <c r="AP392" s="1">
        <v>1.1207</v>
      </c>
      <c r="AQ392" s="1">
        <v>4.8398000000000003</v>
      </c>
      <c r="AR392" s="1">
        <v>0.27789999999999998</v>
      </c>
      <c r="AT392" s="1425">
        <v>44649</v>
      </c>
      <c r="AU392" s="1">
        <v>11.3573</v>
      </c>
      <c r="AV392" s="1">
        <v>0.74439999999999995</v>
      </c>
      <c r="AW392" s="1">
        <v>7.4996999999999998</v>
      </c>
      <c r="AX392" s="1">
        <v>0.19001000000000001</v>
      </c>
      <c r="BA392" s="1425">
        <v>44644</v>
      </c>
      <c r="BB392" s="1">
        <v>17.219200000000001</v>
      </c>
      <c r="BC392" s="1">
        <v>4.1734999999999998</v>
      </c>
      <c r="BD392" s="1">
        <v>18.164200000000001</v>
      </c>
      <c r="BE392" s="1">
        <v>1.1260300000000001</v>
      </c>
      <c r="BG392" s="1425">
        <v>44644</v>
      </c>
      <c r="BH392" s="1">
        <v>21.1876</v>
      </c>
      <c r="BI392" s="1">
        <v>5.6135999999999999</v>
      </c>
      <c r="BJ392" s="1">
        <v>27.334599999999998</v>
      </c>
      <c r="BT392" s="1425">
        <v>44666</v>
      </c>
      <c r="BU392" s="1">
        <v>22.169699999999999</v>
      </c>
      <c r="BV392" s="1">
        <v>5.2389000000000001</v>
      </c>
      <c r="BW392" s="1">
        <v>13.825100000000001</v>
      </c>
      <c r="BX392" s="1">
        <v>3.4121000000000001</v>
      </c>
      <c r="BZ392" s="1425">
        <v>44666</v>
      </c>
      <c r="CA392" s="1">
        <v>24.865100000000002</v>
      </c>
      <c r="CB392" s="1">
        <v>7.1121999999999996</v>
      </c>
      <c r="CC392" s="1">
        <v>21.629200000000001</v>
      </c>
      <c r="CD392" s="1">
        <v>3.9256899999999999</v>
      </c>
      <c r="CF392" s="1425">
        <v>44665</v>
      </c>
      <c r="CG392" s="1">
        <v>8.0641999999999996</v>
      </c>
      <c r="CH392" s="1">
        <v>2.6278999999999999</v>
      </c>
      <c r="CI392" s="1">
        <v>9.3834999999999997</v>
      </c>
      <c r="CL392" s="1425">
        <v>44672</v>
      </c>
      <c r="CM392" s="1">
        <v>24.195399999999999</v>
      </c>
      <c r="CN392" s="1">
        <v>3.0007999999999999</v>
      </c>
      <c r="CO392" s="1">
        <v>12.942</v>
      </c>
    </row>
    <row r="393" spans="1:93">
      <c r="A393" s="1425">
        <v>44665</v>
      </c>
      <c r="B393" s="20">
        <f t="shared" si="62"/>
        <v>16.834</v>
      </c>
      <c r="C393" s="20">
        <f t="shared" si="64"/>
        <v>18.752400000000002</v>
      </c>
      <c r="D393" s="20">
        <f t="shared" si="65"/>
        <v>16.572900000000001</v>
      </c>
      <c r="E393" s="20">
        <f t="shared" si="66"/>
        <v>8.2507999999999999</v>
      </c>
      <c r="F393" s="20">
        <f t="shared" si="67"/>
        <v>19.9269</v>
      </c>
      <c r="G393" s="20">
        <f t="shared" si="68"/>
        <v>17.917200000000001</v>
      </c>
      <c r="H393" s="1239">
        <f t="shared" si="69"/>
        <v>17.917200000000001</v>
      </c>
      <c r="I393" s="1243">
        <f t="shared" si="63"/>
        <v>-6.0455874801866427E-2</v>
      </c>
      <c r="J393" s="1243">
        <f t="shared" si="70"/>
        <v>0.12093838824177333</v>
      </c>
      <c r="K393" s="1243">
        <f t="shared" si="71"/>
        <v>0.1</v>
      </c>
      <c r="L393" s="203"/>
      <c r="N393" s="1425">
        <v>44665</v>
      </c>
      <c r="O393" s="1502">
        <v>16.834</v>
      </c>
      <c r="P393" s="1502">
        <v>6.4394</v>
      </c>
      <c r="Q393" s="1502">
        <v>18.119900000000001</v>
      </c>
      <c r="R393" s="1233">
        <f>'B. PE'!$U$23</f>
        <v>15.978235616082999</v>
      </c>
      <c r="S393" s="1233"/>
      <c r="T393" s="1233"/>
      <c r="V393" s="1425">
        <v>44665</v>
      </c>
      <c r="W393" s="1">
        <v>18.752400000000002</v>
      </c>
      <c r="X393" s="1">
        <v>2.8532999999999999</v>
      </c>
      <c r="Y393" s="1">
        <v>15.7462</v>
      </c>
      <c r="Z393" s="1">
        <v>2.0342099999999999</v>
      </c>
      <c r="AB393" s="1425">
        <v>44644</v>
      </c>
      <c r="AC393" s="1">
        <v>9.3384999999999998</v>
      </c>
      <c r="AD393" s="1502">
        <v>1.528</v>
      </c>
      <c r="AE393" s="1">
        <v>5.4161999999999999</v>
      </c>
      <c r="AF393" s="1">
        <v>3.8679999999999999E-2</v>
      </c>
      <c r="AH393" s="1425">
        <v>44644</v>
      </c>
      <c r="AI393" s="1">
        <v>16.6464</v>
      </c>
      <c r="AJ393" s="1">
        <v>3.0657999999999999</v>
      </c>
      <c r="AK393" s="1">
        <v>8.1891999999999996</v>
      </c>
      <c r="AL393" s="1">
        <v>4.8079999999999998E-2</v>
      </c>
      <c r="AN393" s="1425">
        <v>44648</v>
      </c>
      <c r="AO393" s="1">
        <v>7.5974000000000004</v>
      </c>
      <c r="AP393" s="1">
        <v>1.1207</v>
      </c>
      <c r="AQ393" s="1">
        <v>4.8398000000000003</v>
      </c>
      <c r="AR393" s="1">
        <v>0.27911999999999998</v>
      </c>
      <c r="AT393" s="1425">
        <v>44648</v>
      </c>
      <c r="AU393" s="1">
        <v>11.2188</v>
      </c>
      <c r="AV393" s="1">
        <v>0.73529999999999995</v>
      </c>
      <c r="AW393" s="1">
        <v>7.4127000000000001</v>
      </c>
      <c r="AX393" s="1">
        <v>0.18923999999999999</v>
      </c>
      <c r="BA393" s="1425">
        <v>44643</v>
      </c>
      <c r="BB393" s="1">
        <v>17.1081</v>
      </c>
      <c r="BC393" s="1">
        <v>4.1466000000000003</v>
      </c>
      <c r="BD393" s="1">
        <v>18.0746</v>
      </c>
      <c r="BE393" s="1">
        <v>1.14781</v>
      </c>
      <c r="BG393" s="1425">
        <v>44643</v>
      </c>
      <c r="BH393" s="1">
        <v>21.391300000000001</v>
      </c>
      <c r="BI393" s="1">
        <v>5.6676000000000002</v>
      </c>
      <c r="BJ393" s="1">
        <v>27.568899999999999</v>
      </c>
      <c r="BT393" s="1425">
        <v>44665</v>
      </c>
      <c r="BU393" s="1">
        <v>22.072800000000001</v>
      </c>
      <c r="BV393" s="1">
        <v>5.2160000000000002</v>
      </c>
      <c r="BW393" s="1">
        <v>13.769299999999999</v>
      </c>
      <c r="BX393" s="1">
        <v>3.3365</v>
      </c>
      <c r="BZ393" s="1425">
        <v>44665</v>
      </c>
      <c r="CA393" s="1">
        <v>24.986000000000001</v>
      </c>
      <c r="CB393" s="1">
        <v>7.1467999999999998</v>
      </c>
      <c r="CC393" s="1">
        <v>21.7121</v>
      </c>
      <c r="CD393" s="1">
        <v>3.6733799999999999</v>
      </c>
      <c r="CF393" s="1425">
        <v>44664</v>
      </c>
      <c r="CG393" s="1">
        <v>8.0052000000000003</v>
      </c>
      <c r="CH393" s="1">
        <v>2.6086999999999998</v>
      </c>
      <c r="CI393" s="1">
        <v>9.3352000000000004</v>
      </c>
      <c r="CL393" s="1425">
        <v>44671</v>
      </c>
      <c r="CM393" s="1">
        <v>23.978000000000002</v>
      </c>
      <c r="CN393" s="1">
        <v>2.9738000000000002</v>
      </c>
      <c r="CO393" s="1">
        <v>12.8255</v>
      </c>
    </row>
    <row r="394" spans="1:93">
      <c r="A394" s="1425">
        <v>44664</v>
      </c>
      <c r="B394" s="20">
        <f t="shared" si="62"/>
        <v>16.031300000000002</v>
      </c>
      <c r="C394" s="20">
        <f t="shared" si="64"/>
        <v>18.4086</v>
      </c>
      <c r="D394" s="20">
        <f t="shared" si="65"/>
        <v>15.238200000000001</v>
      </c>
      <c r="E394" s="20">
        <f t="shared" si="66"/>
        <v>8.3827999999999996</v>
      </c>
      <c r="F394" s="20">
        <f t="shared" si="67"/>
        <v>19.9269</v>
      </c>
      <c r="G394" s="20">
        <f t="shared" si="68"/>
        <v>17.917200000000001</v>
      </c>
      <c r="H394" s="1239">
        <f t="shared" si="69"/>
        <v>17.917200000000001</v>
      </c>
      <c r="I394" s="1243">
        <f t="shared" si="63"/>
        <v>-0.1052564016699038</v>
      </c>
      <c r="J394" s="1243">
        <f t="shared" si="70"/>
        <v>0.12093838824177333</v>
      </c>
      <c r="K394" s="1243">
        <f t="shared" si="71"/>
        <v>0.1</v>
      </c>
      <c r="L394" s="203"/>
      <c r="N394" s="1425">
        <v>44664</v>
      </c>
      <c r="O394" s="1502">
        <v>16.031300000000002</v>
      </c>
      <c r="P394" s="1502">
        <v>6.1323999999999996</v>
      </c>
      <c r="Q394" s="1502">
        <v>17.343499999999999</v>
      </c>
      <c r="R394" s="1233">
        <f>'B. PE'!$U$23</f>
        <v>15.978235616082999</v>
      </c>
      <c r="S394" s="1233"/>
      <c r="T394" s="1233"/>
      <c r="V394" s="1425">
        <v>44664</v>
      </c>
      <c r="W394" s="1">
        <v>18.4086</v>
      </c>
      <c r="X394" s="1">
        <v>2.8010000000000002</v>
      </c>
      <c r="Y394" s="1">
        <v>15.505800000000001</v>
      </c>
      <c r="Z394" s="1">
        <v>2.18675</v>
      </c>
      <c r="AB394" s="1425">
        <v>44643</v>
      </c>
      <c r="AC394" s="1">
        <v>9.3384999999999998</v>
      </c>
      <c r="AD394" s="1502">
        <v>1.528</v>
      </c>
      <c r="AE394" s="1">
        <v>5.4161999999999999</v>
      </c>
      <c r="AF394" s="1">
        <v>3.9399999999999998E-2</v>
      </c>
      <c r="AH394" s="1425">
        <v>44643</v>
      </c>
      <c r="AI394" s="1">
        <v>16.5258</v>
      </c>
      <c r="AJ394" s="1">
        <v>3.0436000000000001</v>
      </c>
      <c r="AK394" s="1">
        <v>8.1260999999999992</v>
      </c>
      <c r="AL394" s="1">
        <v>4.8809999999999999E-2</v>
      </c>
      <c r="AN394" s="1425">
        <v>44645</v>
      </c>
      <c r="AO394" s="1">
        <v>7.5974000000000004</v>
      </c>
      <c r="AP394" s="1">
        <v>1.1207</v>
      </c>
      <c r="AQ394" s="1">
        <v>4.8398000000000003</v>
      </c>
      <c r="AR394" s="1">
        <v>0.28138999999999997</v>
      </c>
      <c r="AT394" s="1425">
        <v>44645</v>
      </c>
      <c r="AU394" s="1">
        <v>11.080299999999999</v>
      </c>
      <c r="AV394" s="1">
        <v>0.72629999999999995</v>
      </c>
      <c r="AW394" s="1">
        <v>7.335</v>
      </c>
      <c r="AX394" s="1">
        <v>0.18681</v>
      </c>
      <c r="BA394" s="1425">
        <v>44642</v>
      </c>
      <c r="BB394" s="1">
        <v>16.774799999999999</v>
      </c>
      <c r="BC394" s="1">
        <v>4.0658000000000003</v>
      </c>
      <c r="BD394" s="1">
        <v>17.805599999999998</v>
      </c>
      <c r="BE394" s="1">
        <v>1.15577</v>
      </c>
      <c r="BG394" s="1425">
        <v>44642</v>
      </c>
      <c r="BH394" s="1">
        <v>20.780100000000001</v>
      </c>
      <c r="BI394" s="1">
        <v>5.5056000000000003</v>
      </c>
      <c r="BJ394" s="1">
        <v>26.8658</v>
      </c>
      <c r="BT394" s="1425">
        <v>44664</v>
      </c>
      <c r="BU394" s="1">
        <v>21.616199999999999</v>
      </c>
      <c r="BV394" s="1">
        <v>5.1081000000000003</v>
      </c>
      <c r="BW394" s="1">
        <v>13.506</v>
      </c>
      <c r="BX394" s="1">
        <v>3.2801</v>
      </c>
      <c r="BZ394" s="1425">
        <v>44664</v>
      </c>
      <c r="CA394" s="1">
        <v>23.429099999999998</v>
      </c>
      <c r="CB394" s="1">
        <v>6.7015000000000002</v>
      </c>
      <c r="CC394" s="1">
        <v>20.645099999999999</v>
      </c>
      <c r="CD394" s="1">
        <v>3.7447300000000001</v>
      </c>
      <c r="CF394" s="1425">
        <v>44663</v>
      </c>
      <c r="CG394" s="1">
        <v>7.6708999999999996</v>
      </c>
      <c r="CH394" s="1">
        <v>2.4996999999999998</v>
      </c>
      <c r="CI394" s="1">
        <v>9.0617999999999999</v>
      </c>
      <c r="CL394" s="1425">
        <v>44670</v>
      </c>
      <c r="CM394" s="1">
        <v>23.92</v>
      </c>
      <c r="CN394" s="1">
        <v>2.9666000000000001</v>
      </c>
      <c r="CO394" s="1">
        <v>12.794499999999999</v>
      </c>
    </row>
    <row r="395" spans="1:93">
      <c r="A395" s="1425">
        <v>44663</v>
      </c>
      <c r="B395" s="20">
        <f t="shared" si="62"/>
        <v>15.4496</v>
      </c>
      <c r="C395" s="20">
        <f t="shared" si="64"/>
        <v>17.2835</v>
      </c>
      <c r="D395" s="20">
        <f t="shared" si="65"/>
        <v>15.349399999999999</v>
      </c>
      <c r="E395" s="20">
        <f t="shared" si="66"/>
        <v>8.3168000000000006</v>
      </c>
      <c r="F395" s="20">
        <f t="shared" si="67"/>
        <v>19.729600000000001</v>
      </c>
      <c r="G395" s="20">
        <f t="shared" si="68"/>
        <v>18.027799999999999</v>
      </c>
      <c r="H395" s="1239">
        <f t="shared" si="69"/>
        <v>17.2835</v>
      </c>
      <c r="I395" s="1243">
        <f t="shared" si="63"/>
        <v>-0.1061069806462811</v>
      </c>
      <c r="J395" s="1243">
        <f t="shared" si="70"/>
        <v>0.12093838824177333</v>
      </c>
      <c r="K395" s="1243">
        <f t="shared" si="71"/>
        <v>0.1</v>
      </c>
      <c r="L395" s="203"/>
      <c r="N395" s="1425">
        <v>44663</v>
      </c>
      <c r="O395" s="1502">
        <v>15.4496</v>
      </c>
      <c r="P395" s="1502">
        <v>5.9097999999999997</v>
      </c>
      <c r="Q395" s="1502">
        <v>16.780899999999999</v>
      </c>
      <c r="R395" s="1233">
        <f>'B. PE'!$U$23</f>
        <v>15.978235616082999</v>
      </c>
      <c r="S395" s="1233"/>
      <c r="T395" s="1233"/>
      <c r="V395" s="1425">
        <v>44663</v>
      </c>
      <c r="W395" s="1">
        <v>17.2835</v>
      </c>
      <c r="X395" s="1">
        <v>2.6297999999999999</v>
      </c>
      <c r="Y395" s="1">
        <v>14.7189</v>
      </c>
      <c r="Z395" s="1">
        <v>2.3447399999999998</v>
      </c>
      <c r="AB395" s="1425">
        <v>44642</v>
      </c>
      <c r="AC395" s="1">
        <v>8.7844999999999995</v>
      </c>
      <c r="AD395" s="1502">
        <v>1.4373</v>
      </c>
      <c r="AE395" s="1">
        <v>5.1505999999999998</v>
      </c>
      <c r="AF395" s="1">
        <v>3.9410000000000001E-2</v>
      </c>
      <c r="AH395" s="1425">
        <v>44642</v>
      </c>
      <c r="AI395" s="1">
        <v>16.6464</v>
      </c>
      <c r="AJ395" s="1">
        <v>3.0657999999999999</v>
      </c>
      <c r="AK395" s="1">
        <v>8.1891999999999996</v>
      </c>
      <c r="AL395" s="1">
        <v>4.7079999999999997E-2</v>
      </c>
      <c r="AN395" s="1425">
        <v>44644</v>
      </c>
      <c r="AO395" s="1">
        <v>7.6623000000000001</v>
      </c>
      <c r="AP395" s="1">
        <v>1.1303000000000001</v>
      </c>
      <c r="AQ395" s="1">
        <v>4.8893000000000004</v>
      </c>
      <c r="AR395" s="1">
        <v>0.27748</v>
      </c>
      <c r="AT395" s="1425">
        <v>44644</v>
      </c>
      <c r="AU395" s="1">
        <v>11.080299999999999</v>
      </c>
      <c r="AV395" s="1">
        <v>0.72629999999999995</v>
      </c>
      <c r="AW395" s="1">
        <v>7.3265000000000002</v>
      </c>
      <c r="AX395" s="1">
        <v>0.18143000000000001</v>
      </c>
      <c r="BA395" s="1425">
        <v>44641</v>
      </c>
      <c r="BB395" s="1">
        <v>17.1081</v>
      </c>
      <c r="BC395" s="1">
        <v>4.1466000000000003</v>
      </c>
      <c r="BD395" s="1">
        <v>18.0746</v>
      </c>
      <c r="BE395" s="1">
        <v>1.1446099999999999</v>
      </c>
      <c r="BG395" s="1425">
        <v>44641</v>
      </c>
      <c r="BH395" s="1">
        <v>20.5764</v>
      </c>
      <c r="BI395" s="1">
        <v>5.4516999999999998</v>
      </c>
      <c r="BJ395" s="1">
        <v>26.631399999999999</v>
      </c>
      <c r="BT395" s="1425">
        <v>44663</v>
      </c>
      <c r="BU395" s="1">
        <v>21.131799999999998</v>
      </c>
      <c r="BV395" s="1">
        <v>4.9935999999999998</v>
      </c>
      <c r="BW395" s="1">
        <v>13.226699999999999</v>
      </c>
      <c r="BX395" s="1">
        <v>3.3889999999999998</v>
      </c>
      <c r="BZ395" s="1425">
        <v>44663</v>
      </c>
      <c r="CA395" s="1">
        <v>21.9176</v>
      </c>
      <c r="CB395" s="1">
        <v>6.2690999999999999</v>
      </c>
      <c r="CC395" s="1">
        <v>19.609100000000002</v>
      </c>
      <c r="CD395" s="1">
        <v>3.85324</v>
      </c>
      <c r="CF395" s="1425">
        <v>44659</v>
      </c>
      <c r="CG395" s="1">
        <v>8.3788999999999998</v>
      </c>
      <c r="CH395" s="1">
        <v>2.7303999999999999</v>
      </c>
      <c r="CI395" s="1">
        <v>9.6409000000000002</v>
      </c>
      <c r="CL395" s="1425">
        <v>44665</v>
      </c>
      <c r="CM395" s="1">
        <v>24.007000000000001</v>
      </c>
      <c r="CN395" s="1">
        <v>2.9773999999999998</v>
      </c>
      <c r="CO395" s="1">
        <v>12.841100000000001</v>
      </c>
    </row>
    <row r="396" spans="1:93">
      <c r="A396" s="1425">
        <v>44659</v>
      </c>
      <c r="B396" s="20">
        <f t="shared" si="62"/>
        <v>15.9964</v>
      </c>
      <c r="C396" s="20">
        <f t="shared" si="64"/>
        <v>18.564900000000002</v>
      </c>
      <c r="D396" s="20">
        <f t="shared" si="65"/>
        <v>15.460699999999999</v>
      </c>
      <c r="E396" s="20">
        <f t="shared" si="66"/>
        <v>8.5149000000000008</v>
      </c>
      <c r="F396" s="20">
        <f t="shared" si="67"/>
        <v>20.716100000000001</v>
      </c>
      <c r="G396" s="20">
        <f t="shared" si="68"/>
        <v>18.470199999999998</v>
      </c>
      <c r="H396" s="1239">
        <f t="shared" si="69"/>
        <v>18.470199999999998</v>
      </c>
      <c r="I396" s="1243">
        <f t="shared" si="63"/>
        <v>-0.13393466232092777</v>
      </c>
      <c r="J396" s="1243">
        <f t="shared" si="70"/>
        <v>0.12093838824177333</v>
      </c>
      <c r="K396" s="1243">
        <f t="shared" si="71"/>
        <v>0.1</v>
      </c>
      <c r="L396" s="203"/>
      <c r="N396" s="1425">
        <v>44659</v>
      </c>
      <c r="O396" s="1502">
        <v>15.9964</v>
      </c>
      <c r="P396" s="1502">
        <v>6.1189999999999998</v>
      </c>
      <c r="Q396" s="1502">
        <v>17.309699999999999</v>
      </c>
      <c r="R396" s="1233">
        <f>'B. PE'!$U$23</f>
        <v>15.978235616082999</v>
      </c>
      <c r="S396" s="1233"/>
      <c r="T396" s="1233"/>
      <c r="V396" s="1425">
        <v>44659</v>
      </c>
      <c r="W396" s="1">
        <v>18.564900000000002</v>
      </c>
      <c r="X396" s="1">
        <v>2.8247</v>
      </c>
      <c r="Y396" s="1">
        <v>15.6151</v>
      </c>
      <c r="Z396" s="1">
        <v>2.1938200000000001</v>
      </c>
      <c r="AB396" s="1425">
        <v>44641</v>
      </c>
      <c r="AC396" s="1">
        <v>8.9428000000000001</v>
      </c>
      <c r="AD396" s="1502">
        <v>1.4632000000000001</v>
      </c>
      <c r="AE396" s="1">
        <v>5.2264999999999997</v>
      </c>
      <c r="AF396" s="1">
        <v>3.9140000000000001E-2</v>
      </c>
      <c r="AH396" s="1425">
        <v>44641</v>
      </c>
      <c r="AI396" s="1">
        <v>16.887599999999999</v>
      </c>
      <c r="AJ396" s="1">
        <v>3.1101999999999999</v>
      </c>
      <c r="AK396" s="1">
        <v>8.3153000000000006</v>
      </c>
      <c r="AL396" s="1">
        <v>4.718E-2</v>
      </c>
      <c r="AN396" s="1425">
        <v>44643</v>
      </c>
      <c r="AO396" s="1">
        <v>7.7272999999999996</v>
      </c>
      <c r="AP396" s="1">
        <v>1.1398999999999999</v>
      </c>
      <c r="AQ396" s="1">
        <v>4.9387999999999996</v>
      </c>
      <c r="AR396" s="1">
        <v>0.27582000000000001</v>
      </c>
      <c r="AT396" s="1425">
        <v>44643</v>
      </c>
      <c r="AU396" s="1">
        <v>10.941800000000001</v>
      </c>
      <c r="AV396" s="1">
        <v>0.71719999999999995</v>
      </c>
      <c r="AW396" s="1">
        <v>7.2489999999999997</v>
      </c>
      <c r="AX396" s="1">
        <v>0.17000999999999999</v>
      </c>
      <c r="BA396" s="1425">
        <v>44638</v>
      </c>
      <c r="BB396" s="1">
        <v>17.1081</v>
      </c>
      <c r="BC396" s="1">
        <v>4.1466000000000003</v>
      </c>
      <c r="BD396" s="1">
        <v>18.0746</v>
      </c>
      <c r="BE396" s="1">
        <v>1.13568</v>
      </c>
      <c r="BG396" s="1425">
        <v>44638</v>
      </c>
      <c r="BH396" s="1">
        <v>22.613700000000001</v>
      </c>
      <c r="BI396" s="1">
        <v>5.9913999999999996</v>
      </c>
      <c r="BJ396" s="1">
        <v>28.975200000000001</v>
      </c>
      <c r="BT396" s="1425">
        <v>44659</v>
      </c>
      <c r="BU396" s="1">
        <v>20.758199999999999</v>
      </c>
      <c r="BV396" s="1">
        <v>4.9053000000000004</v>
      </c>
      <c r="BW396" s="1">
        <v>13.0113</v>
      </c>
      <c r="BX396" s="1">
        <v>3.4721000000000002</v>
      </c>
      <c r="BZ396" s="1425">
        <v>44659</v>
      </c>
      <c r="CA396" s="1">
        <v>22.325700000000001</v>
      </c>
      <c r="CB396" s="1">
        <v>6.3857999999999997</v>
      </c>
      <c r="CC396" s="1">
        <v>19.8888</v>
      </c>
      <c r="CD396" s="1">
        <v>3.9647800000000002</v>
      </c>
      <c r="CF396" s="1425">
        <v>44658</v>
      </c>
      <c r="CG396" s="1">
        <v>8.2216000000000005</v>
      </c>
      <c r="CH396" s="1">
        <v>2.6791999999999998</v>
      </c>
      <c r="CI396" s="1">
        <v>9.5122</v>
      </c>
      <c r="CL396" s="1425">
        <v>44664</v>
      </c>
      <c r="CM396" s="1">
        <v>23.702500000000001</v>
      </c>
      <c r="CN396" s="1">
        <v>2.9397000000000002</v>
      </c>
      <c r="CO396" s="1">
        <v>12.678000000000001</v>
      </c>
    </row>
    <row r="397" spans="1:93">
      <c r="A397" s="1425">
        <v>44658</v>
      </c>
      <c r="B397" s="20">
        <f t="shared" si="62"/>
        <v>15.961499999999999</v>
      </c>
      <c r="C397" s="20">
        <f t="shared" si="64"/>
        <v>19.908799999999999</v>
      </c>
      <c r="D397" s="20">
        <f t="shared" si="65"/>
        <v>14.7933</v>
      </c>
      <c r="E397" s="20">
        <f t="shared" si="66"/>
        <v>8.5149000000000008</v>
      </c>
      <c r="F397" s="20">
        <f t="shared" si="67"/>
        <v>19.729600000000001</v>
      </c>
      <c r="G397" s="20">
        <f t="shared" si="68"/>
        <v>18.802</v>
      </c>
      <c r="H397" s="1239">
        <f t="shared" si="69"/>
        <v>18.802</v>
      </c>
      <c r="I397" s="1243">
        <f t="shared" si="63"/>
        <v>-0.15107435379214984</v>
      </c>
      <c r="J397" s="1243">
        <f t="shared" si="70"/>
        <v>0.12093838824177333</v>
      </c>
      <c r="K397" s="1243">
        <f t="shared" si="71"/>
        <v>0.1</v>
      </c>
      <c r="L397" s="203"/>
      <c r="N397" s="1425">
        <v>44658</v>
      </c>
      <c r="O397" s="1502">
        <v>15.961499999999999</v>
      </c>
      <c r="P397" s="1502">
        <v>6.1056999999999997</v>
      </c>
      <c r="Q397" s="1502">
        <v>17.2759</v>
      </c>
      <c r="R397" s="1233">
        <f>'B. PE'!$U$23</f>
        <v>15.978235616082999</v>
      </c>
      <c r="S397" s="1233"/>
      <c r="T397" s="1233"/>
      <c r="V397" s="1425">
        <v>44658</v>
      </c>
      <c r="W397" s="1">
        <v>19.908799999999999</v>
      </c>
      <c r="X397" s="1">
        <v>3.0291999999999999</v>
      </c>
      <c r="Y397" s="1">
        <v>16.5549</v>
      </c>
      <c r="Z397" s="1">
        <v>2.3563999999999998</v>
      </c>
      <c r="AB397" s="1425">
        <v>44638</v>
      </c>
      <c r="AC397" s="1">
        <v>8.9428000000000001</v>
      </c>
      <c r="AD397" s="1502">
        <v>1.4632000000000001</v>
      </c>
      <c r="AE397" s="1">
        <v>5.2264999999999997</v>
      </c>
      <c r="AF397" s="1">
        <v>3.85E-2</v>
      </c>
      <c r="AH397" s="1425">
        <v>44638</v>
      </c>
      <c r="AI397" s="1">
        <v>16.284500000000001</v>
      </c>
      <c r="AJ397" s="1">
        <v>2.9990999999999999</v>
      </c>
      <c r="AK397" s="1">
        <v>8</v>
      </c>
      <c r="AL397" s="1">
        <v>4.48E-2</v>
      </c>
      <c r="AN397" s="1425">
        <v>44642</v>
      </c>
      <c r="AO397" s="1">
        <v>7.5974000000000004</v>
      </c>
      <c r="AP397" s="1">
        <v>1.1207</v>
      </c>
      <c r="AQ397" s="1">
        <v>4.8398000000000003</v>
      </c>
      <c r="AR397" s="1">
        <v>0.27422999999999997</v>
      </c>
      <c r="AT397" s="1425">
        <v>44642</v>
      </c>
      <c r="AU397" s="1">
        <v>10.595599999999999</v>
      </c>
      <c r="AV397" s="1">
        <v>0.69450000000000001</v>
      </c>
      <c r="AW397" s="1">
        <v>7.0551000000000004</v>
      </c>
      <c r="AX397" s="1">
        <v>0.18123</v>
      </c>
      <c r="BA397" s="1425">
        <v>44637</v>
      </c>
      <c r="BB397" s="1">
        <v>16.885899999999999</v>
      </c>
      <c r="BC397" s="1">
        <v>4.0928000000000004</v>
      </c>
      <c r="BD397" s="1">
        <v>17.895199999999999</v>
      </c>
      <c r="BE397" s="1">
        <v>1.0958699999999999</v>
      </c>
      <c r="BG397" s="1425">
        <v>44637</v>
      </c>
      <c r="BH397" s="1">
        <v>22.002500000000001</v>
      </c>
      <c r="BI397" s="1">
        <v>5.8295000000000003</v>
      </c>
      <c r="BJ397" s="1">
        <v>28.272099999999998</v>
      </c>
      <c r="BT397" s="1425">
        <v>44658</v>
      </c>
      <c r="BU397" s="1">
        <v>21.450099999999999</v>
      </c>
      <c r="BV397" s="1">
        <v>5.0689000000000002</v>
      </c>
      <c r="BW397" s="1">
        <v>13.4102</v>
      </c>
      <c r="BX397" s="1">
        <v>3.3942999999999999</v>
      </c>
      <c r="BZ397" s="1425">
        <v>44658</v>
      </c>
      <c r="CA397" s="1">
        <v>22.9757</v>
      </c>
      <c r="CB397" s="1">
        <v>6.5716999999999999</v>
      </c>
      <c r="CC397" s="1">
        <v>20.334299999999999</v>
      </c>
      <c r="CD397" s="1">
        <v>3.89229</v>
      </c>
      <c r="CF397" s="1425">
        <v>44657</v>
      </c>
      <c r="CG397" s="1">
        <v>8.2608999999999995</v>
      </c>
      <c r="CH397" s="1">
        <v>2.6920000000000002</v>
      </c>
      <c r="CI397" s="1">
        <v>9.5442999999999998</v>
      </c>
      <c r="CL397" s="1425">
        <v>44663</v>
      </c>
      <c r="CM397" s="1">
        <v>23.8765</v>
      </c>
      <c r="CN397" s="1">
        <v>2.9611999999999998</v>
      </c>
      <c r="CO397" s="1">
        <v>12.7712</v>
      </c>
    </row>
    <row r="398" spans="1:93">
      <c r="A398" s="1425">
        <v>44657</v>
      </c>
      <c r="B398" s="20">
        <f t="shared" si="62"/>
        <v>17.159800000000001</v>
      </c>
      <c r="C398" s="20">
        <f t="shared" si="64"/>
        <v>18.627400000000002</v>
      </c>
      <c r="D398" s="20">
        <f t="shared" si="65"/>
        <v>14.7933</v>
      </c>
      <c r="E398" s="20">
        <f t="shared" si="66"/>
        <v>8.3827999999999996</v>
      </c>
      <c r="F398" s="20">
        <f t="shared" si="67"/>
        <v>19.729600000000001</v>
      </c>
      <c r="G398" s="20">
        <f t="shared" si="68"/>
        <v>18.802</v>
      </c>
      <c r="H398" s="1239">
        <f t="shared" si="69"/>
        <v>18.627400000000002</v>
      </c>
      <c r="I398" s="1243">
        <f t="shared" si="63"/>
        <v>-7.8787162996446169E-2</v>
      </c>
      <c r="J398" s="1243">
        <f t="shared" si="70"/>
        <v>0.12093838824177333</v>
      </c>
      <c r="K398" s="1243">
        <f t="shared" si="71"/>
        <v>0.1</v>
      </c>
      <c r="L398" s="203"/>
      <c r="N398" s="1425">
        <v>44657</v>
      </c>
      <c r="O398" s="1502">
        <v>17.159800000000001</v>
      </c>
      <c r="P398" s="1502">
        <v>6.5640000000000001</v>
      </c>
      <c r="Q398" s="1502">
        <v>18.434899999999999</v>
      </c>
      <c r="R398" s="1233">
        <f>'B. PE'!$U$23</f>
        <v>15.978235616082999</v>
      </c>
      <c r="S398" s="1233"/>
      <c r="T398" s="1233"/>
      <c r="V398" s="1425">
        <v>44657</v>
      </c>
      <c r="W398" s="1">
        <v>18.627400000000002</v>
      </c>
      <c r="X398" s="1">
        <v>2.8342000000000001</v>
      </c>
      <c r="Y398" s="1">
        <v>15.658799999999999</v>
      </c>
      <c r="Z398" s="1">
        <v>2.49817</v>
      </c>
      <c r="AB398" s="1425">
        <v>44637</v>
      </c>
      <c r="AC398" s="1">
        <v>8.8636999999999997</v>
      </c>
      <c r="AD398" s="1502">
        <v>1.4502999999999999</v>
      </c>
      <c r="AE398" s="1">
        <v>5.1885000000000003</v>
      </c>
      <c r="AF398" s="1">
        <v>3.773E-2</v>
      </c>
      <c r="AH398" s="1425">
        <v>44637</v>
      </c>
      <c r="AI398" s="1">
        <v>16.284500000000001</v>
      </c>
      <c r="AJ398" s="1">
        <v>2.9990999999999999</v>
      </c>
      <c r="AK398" s="1">
        <v>8</v>
      </c>
      <c r="AL398" s="1">
        <v>4.6120000000000001E-2</v>
      </c>
      <c r="AN398" s="1425">
        <v>44641</v>
      </c>
      <c r="AO398" s="1">
        <v>7.5324999999999998</v>
      </c>
      <c r="AP398" s="1">
        <v>1.1111</v>
      </c>
      <c r="AQ398" s="1">
        <v>4.7908999999999997</v>
      </c>
      <c r="AR398" s="1">
        <v>0.27655999999999997</v>
      </c>
      <c r="AT398" s="1425">
        <v>44641</v>
      </c>
      <c r="AU398" s="1">
        <v>9.9030000000000005</v>
      </c>
      <c r="AV398" s="1">
        <v>0.64910000000000001</v>
      </c>
      <c r="AW398" s="1">
        <v>6.6673999999999998</v>
      </c>
      <c r="AX398" s="1">
        <v>0.16450999999999999</v>
      </c>
      <c r="BA398" s="1425">
        <v>44636</v>
      </c>
      <c r="BB398" s="1">
        <v>16.885899999999999</v>
      </c>
      <c r="BC398" s="1">
        <v>4.0928000000000004</v>
      </c>
      <c r="BD398" s="1">
        <v>17.895199999999999</v>
      </c>
      <c r="BE398" s="1">
        <v>1.08416</v>
      </c>
      <c r="BG398" s="1425">
        <v>44636</v>
      </c>
      <c r="BH398" s="1">
        <v>20.5764</v>
      </c>
      <c r="BI398" s="1">
        <v>5.4516999999999998</v>
      </c>
      <c r="BJ398" s="1">
        <v>26.631399999999999</v>
      </c>
      <c r="BT398" s="1425">
        <v>44657</v>
      </c>
      <c r="BU398" s="1">
        <v>21.975999999999999</v>
      </c>
      <c r="BV398" s="1">
        <v>5.1931000000000003</v>
      </c>
      <c r="BW398" s="1">
        <v>13.7134</v>
      </c>
      <c r="BX398" s="1">
        <v>3.3923999999999999</v>
      </c>
      <c r="BZ398" s="1425">
        <v>44657</v>
      </c>
      <c r="CA398" s="1">
        <v>23.640699999999999</v>
      </c>
      <c r="CB398" s="1">
        <v>6.7619999999999996</v>
      </c>
      <c r="CC398" s="1">
        <v>20.790099999999999</v>
      </c>
      <c r="CD398" s="1">
        <v>3.8824999999999998</v>
      </c>
      <c r="CF398" s="1425">
        <v>44656</v>
      </c>
      <c r="CG398" s="1">
        <v>8.3986000000000001</v>
      </c>
      <c r="CH398" s="1">
        <v>2.7368999999999999</v>
      </c>
      <c r="CI398" s="1">
        <v>9.6569000000000003</v>
      </c>
      <c r="CL398" s="1425">
        <v>44662</v>
      </c>
      <c r="CM398" s="1">
        <v>24.093900000000001</v>
      </c>
      <c r="CN398" s="1">
        <v>2.9882</v>
      </c>
      <c r="CO398" s="1">
        <v>12.887700000000001</v>
      </c>
    </row>
    <row r="399" spans="1:93">
      <c r="A399" s="1425">
        <v>44656</v>
      </c>
      <c r="B399" s="20">
        <f t="shared" si="62"/>
        <v>17.055099999999999</v>
      </c>
      <c r="C399" s="20">
        <f t="shared" si="64"/>
        <v>20.002600000000001</v>
      </c>
      <c r="D399" s="20">
        <f t="shared" si="65"/>
        <v>14.904500000000001</v>
      </c>
      <c r="E399" s="20">
        <f t="shared" si="66"/>
        <v>8.1847999999999992</v>
      </c>
      <c r="F399" s="20">
        <f t="shared" si="67"/>
        <v>20.518799999999999</v>
      </c>
      <c r="G399" s="20">
        <f t="shared" si="68"/>
        <v>18.802</v>
      </c>
      <c r="H399" s="1239">
        <f t="shared" si="69"/>
        <v>18.802</v>
      </c>
      <c r="I399" s="1243">
        <f t="shared" si="63"/>
        <v>-9.2910328688437405E-2</v>
      </c>
      <c r="J399" s="1243">
        <f t="shared" si="70"/>
        <v>0.12093838824177333</v>
      </c>
      <c r="K399" s="1243">
        <f t="shared" si="71"/>
        <v>0.1</v>
      </c>
      <c r="L399" s="203"/>
      <c r="N399" s="1425">
        <v>44656</v>
      </c>
      <c r="O399" s="1502">
        <v>17.055099999999999</v>
      </c>
      <c r="P399" s="1502">
        <v>6.524</v>
      </c>
      <c r="Q399" s="1502">
        <v>18.333600000000001</v>
      </c>
      <c r="R399" s="1233">
        <f>'B. PE'!$U$23</f>
        <v>15.978235616082999</v>
      </c>
      <c r="S399" s="1233"/>
      <c r="T399" s="1233"/>
      <c r="V399" s="1425">
        <v>44656</v>
      </c>
      <c r="W399" s="1">
        <v>20.002600000000001</v>
      </c>
      <c r="X399" s="1">
        <v>3.0434999999999999</v>
      </c>
      <c r="Y399" s="1">
        <v>16.6205</v>
      </c>
      <c r="Z399" s="1">
        <v>2.4799600000000002</v>
      </c>
      <c r="AB399" s="1425">
        <v>44636</v>
      </c>
      <c r="AC399" s="1">
        <v>8.7053999999999991</v>
      </c>
      <c r="AD399" s="1502">
        <v>1.4244000000000001</v>
      </c>
      <c r="AE399" s="1">
        <v>5.1127000000000002</v>
      </c>
      <c r="AF399" s="1">
        <v>3.8039999999999997E-2</v>
      </c>
      <c r="AH399" s="1425">
        <v>44636</v>
      </c>
      <c r="AI399" s="1">
        <v>15.440099999999999</v>
      </c>
      <c r="AJ399" s="1">
        <v>2.8435999999999999</v>
      </c>
      <c r="AK399" s="1">
        <v>7.5587999999999997</v>
      </c>
      <c r="AL399" s="1">
        <v>4.7460000000000002E-2</v>
      </c>
      <c r="AN399" s="1425">
        <v>44638</v>
      </c>
      <c r="AO399" s="1">
        <v>7.4675000000000002</v>
      </c>
      <c r="AP399" s="1">
        <v>1.1015999999999999</v>
      </c>
      <c r="AQ399" s="1">
        <v>4.7413999999999996</v>
      </c>
      <c r="AR399" s="1">
        <v>0.27388000000000001</v>
      </c>
      <c r="AT399" s="1425">
        <v>44638</v>
      </c>
      <c r="AU399" s="1">
        <v>10.526300000000001</v>
      </c>
      <c r="AV399" s="1">
        <v>0.69</v>
      </c>
      <c r="AW399" s="1">
        <v>7.0164</v>
      </c>
      <c r="AX399" s="1">
        <v>0.16433</v>
      </c>
      <c r="BA399" s="1425">
        <v>44635</v>
      </c>
      <c r="BB399" s="1">
        <v>16.330400000000001</v>
      </c>
      <c r="BC399" s="1">
        <v>3.9581</v>
      </c>
      <c r="BD399" s="1">
        <v>17.446899999999999</v>
      </c>
      <c r="BE399" s="1">
        <v>1.1105799999999999</v>
      </c>
      <c r="BG399" s="1425">
        <v>44635</v>
      </c>
      <c r="BH399" s="1">
        <v>20.1282</v>
      </c>
      <c r="BI399" s="1">
        <v>5.3329000000000004</v>
      </c>
      <c r="BJ399" s="1">
        <v>26.1158</v>
      </c>
      <c r="BT399" s="1425">
        <v>44656</v>
      </c>
      <c r="BU399" s="1">
        <v>21.477799999999998</v>
      </c>
      <c r="BV399" s="1">
        <v>5.0754000000000001</v>
      </c>
      <c r="BW399" s="1">
        <v>13.4262</v>
      </c>
      <c r="BX399" s="1">
        <v>3.4146000000000001</v>
      </c>
      <c r="BZ399" s="1425">
        <v>44656</v>
      </c>
      <c r="CA399" s="1">
        <v>23.202400000000001</v>
      </c>
      <c r="CB399" s="1">
        <v>6.6365999999999996</v>
      </c>
      <c r="CC399" s="1">
        <v>20.489699999999999</v>
      </c>
      <c r="CD399" s="1">
        <v>3.86253</v>
      </c>
      <c r="CF399" s="1425">
        <v>44655</v>
      </c>
      <c r="CG399" s="1">
        <v>8.5952999999999999</v>
      </c>
      <c r="CH399" s="1">
        <v>2.8010000000000002</v>
      </c>
      <c r="CI399" s="1">
        <v>9.8178000000000001</v>
      </c>
      <c r="CL399" s="1425">
        <v>44659</v>
      </c>
      <c r="CM399" s="1">
        <v>23.8475</v>
      </c>
      <c r="CN399" s="1">
        <v>2.9575999999999998</v>
      </c>
      <c r="CO399" s="1">
        <v>12.755599999999999</v>
      </c>
    </row>
    <row r="400" spans="1:93">
      <c r="A400" s="1425">
        <v>44655</v>
      </c>
      <c r="B400" s="20">
        <f t="shared" si="62"/>
        <v>17.055099999999999</v>
      </c>
      <c r="C400" s="20">
        <f t="shared" si="64"/>
        <v>21.190200000000001</v>
      </c>
      <c r="D400" s="20">
        <f t="shared" si="65"/>
        <v>14.3484</v>
      </c>
      <c r="E400" s="20">
        <f t="shared" si="66"/>
        <v>7.9207999999999998</v>
      </c>
      <c r="F400" s="20">
        <f t="shared" si="67"/>
        <v>20.518799999999999</v>
      </c>
      <c r="G400" s="20">
        <f t="shared" si="68"/>
        <v>18.138400000000001</v>
      </c>
      <c r="H400" s="1239">
        <f t="shared" si="69"/>
        <v>18.138400000000001</v>
      </c>
      <c r="I400" s="1243">
        <f t="shared" si="63"/>
        <v>-5.9724121201429115E-2</v>
      </c>
      <c r="J400" s="1243">
        <f t="shared" si="70"/>
        <v>0.12093838824177333</v>
      </c>
      <c r="K400" s="1243">
        <f t="shared" si="71"/>
        <v>0.1</v>
      </c>
      <c r="L400" s="203"/>
      <c r="N400" s="1425">
        <v>44655</v>
      </c>
      <c r="O400" s="1502">
        <v>17.055099999999999</v>
      </c>
      <c r="P400" s="1502">
        <v>6.524</v>
      </c>
      <c r="Q400" s="1502">
        <v>18.333600000000001</v>
      </c>
      <c r="R400" s="1233">
        <f>'B. PE'!$U$23</f>
        <v>15.978235616082999</v>
      </c>
      <c r="S400" s="1233"/>
      <c r="T400" s="1233"/>
      <c r="V400" s="1425">
        <v>44655</v>
      </c>
      <c r="W400" s="1">
        <v>21.190200000000001</v>
      </c>
      <c r="X400" s="1">
        <v>3.2242000000000002</v>
      </c>
      <c r="Y400" s="1">
        <v>17.451000000000001</v>
      </c>
      <c r="Z400" s="1">
        <v>2.3184399999999998</v>
      </c>
      <c r="AB400" s="1425">
        <v>44635</v>
      </c>
      <c r="AC400" s="1">
        <v>8.5471000000000004</v>
      </c>
      <c r="AD400" s="1502">
        <v>1.3985000000000001</v>
      </c>
      <c r="AE400" s="1">
        <v>5.0368000000000004</v>
      </c>
      <c r="AF400" s="1">
        <v>3.7400000000000003E-2</v>
      </c>
      <c r="AH400" s="1425">
        <v>44635</v>
      </c>
      <c r="AI400" s="1">
        <v>15.922599999999999</v>
      </c>
      <c r="AJ400" s="1">
        <v>2.9325000000000001</v>
      </c>
      <c r="AK400" s="1">
        <v>7.8109000000000002</v>
      </c>
      <c r="AL400" s="1">
        <v>4.5440000000000001E-2</v>
      </c>
      <c r="AN400" s="1425">
        <v>44637</v>
      </c>
      <c r="AO400" s="1">
        <v>7.5324999999999998</v>
      </c>
      <c r="AP400" s="1">
        <v>1.1111</v>
      </c>
      <c r="AQ400" s="1">
        <v>4.7908999999999997</v>
      </c>
      <c r="AR400" s="1">
        <v>0.26854</v>
      </c>
      <c r="AT400" s="1425">
        <v>44637</v>
      </c>
      <c r="AU400" s="1">
        <v>9.5568000000000008</v>
      </c>
      <c r="AV400" s="1">
        <v>0.62639999999999996</v>
      </c>
      <c r="AW400" s="1">
        <v>6.4736000000000002</v>
      </c>
      <c r="AX400" s="1">
        <v>0.15803</v>
      </c>
      <c r="BA400" s="1425">
        <v>44634</v>
      </c>
      <c r="BB400" s="1">
        <v>16.1082</v>
      </c>
      <c r="BC400" s="1">
        <v>3.9043000000000001</v>
      </c>
      <c r="BD400" s="1">
        <v>17.267499999999998</v>
      </c>
      <c r="BE400" s="1">
        <v>1.1172800000000001</v>
      </c>
      <c r="BG400" s="1425">
        <v>44634</v>
      </c>
      <c r="BH400" s="1">
        <v>20.372699999999998</v>
      </c>
      <c r="BI400" s="1">
        <v>5.3977000000000004</v>
      </c>
      <c r="BJ400" s="1">
        <v>26.396999999999998</v>
      </c>
      <c r="BT400" s="1425">
        <v>44655</v>
      </c>
      <c r="BU400" s="1">
        <v>21.450099999999999</v>
      </c>
      <c r="BV400" s="1">
        <v>5.0689000000000002</v>
      </c>
      <c r="BW400" s="1">
        <v>13.4102</v>
      </c>
      <c r="BX400" s="1">
        <v>3.1922000000000001</v>
      </c>
      <c r="BZ400" s="1425">
        <v>44655</v>
      </c>
      <c r="CA400" s="1">
        <v>23.126799999999999</v>
      </c>
      <c r="CB400" s="1">
        <v>6.6150000000000002</v>
      </c>
      <c r="CC400" s="1">
        <v>20.437899999999999</v>
      </c>
      <c r="CD400" s="1">
        <v>3.8102399999999998</v>
      </c>
      <c r="CF400" s="1425">
        <v>44652</v>
      </c>
      <c r="CG400" s="1">
        <v>8.8510000000000009</v>
      </c>
      <c r="CH400" s="1">
        <v>2.8843000000000001</v>
      </c>
      <c r="CI400" s="1">
        <v>10.026899999999999</v>
      </c>
      <c r="CL400" s="1425">
        <v>44658</v>
      </c>
      <c r="CM400" s="1">
        <v>23.658999999999999</v>
      </c>
      <c r="CN400" s="1">
        <v>2.9342999999999999</v>
      </c>
      <c r="CO400" s="1">
        <v>12.6547</v>
      </c>
    </row>
    <row r="401" spans="1:93">
      <c r="A401" s="1425">
        <v>44652</v>
      </c>
      <c r="B401" s="20">
        <f t="shared" si="62"/>
        <v>17.148199999999999</v>
      </c>
      <c r="C401" s="20">
        <f t="shared" si="64"/>
        <v>21.033999999999999</v>
      </c>
      <c r="D401" s="20">
        <f t="shared" si="65"/>
        <v>14.7933</v>
      </c>
      <c r="E401" s="20">
        <f t="shared" si="66"/>
        <v>7.9207999999999998</v>
      </c>
      <c r="F401" s="20">
        <f t="shared" si="67"/>
        <v>20.913399999999999</v>
      </c>
      <c r="G401" s="20">
        <f t="shared" si="68"/>
        <v>17.8066</v>
      </c>
      <c r="H401" s="1239">
        <f t="shared" si="69"/>
        <v>17.8066</v>
      </c>
      <c r="I401" s="1243">
        <f t="shared" si="63"/>
        <v>-3.6975054193388979E-2</v>
      </c>
      <c r="J401" s="1243">
        <f t="shared" si="70"/>
        <v>0.12093838824177333</v>
      </c>
      <c r="K401" s="1243">
        <f t="shared" si="71"/>
        <v>0.1</v>
      </c>
      <c r="L401" s="203"/>
      <c r="N401" s="1425">
        <v>44652</v>
      </c>
      <c r="O401" s="1502">
        <v>17.148199999999999</v>
      </c>
      <c r="P401" s="1502">
        <v>6.5595999999999997</v>
      </c>
      <c r="Q401" s="1502">
        <v>18.4237</v>
      </c>
      <c r="R401" s="1233">
        <f>'B. PE'!$U$23</f>
        <v>15.978235616082999</v>
      </c>
      <c r="S401" s="1233"/>
      <c r="T401" s="1233"/>
      <c r="V401" s="1425">
        <v>44652</v>
      </c>
      <c r="W401" s="1">
        <v>21.033999999999999</v>
      </c>
      <c r="X401" s="1">
        <v>3.2004000000000001</v>
      </c>
      <c r="Y401" s="1">
        <v>17.341699999999999</v>
      </c>
      <c r="Z401" s="1">
        <v>2.3012700000000001</v>
      </c>
      <c r="AB401" s="1425">
        <v>44634</v>
      </c>
      <c r="AC401" s="1">
        <v>8.6263000000000005</v>
      </c>
      <c r="AD401" s="1502">
        <v>1.4114</v>
      </c>
      <c r="AE401" s="1">
        <v>5.0747</v>
      </c>
      <c r="AF401" s="1">
        <v>3.8899999999999997E-2</v>
      </c>
      <c r="AH401" s="1425">
        <v>44634</v>
      </c>
      <c r="AI401" s="1">
        <v>16.405100000000001</v>
      </c>
      <c r="AJ401" s="1">
        <v>3.0213000000000001</v>
      </c>
      <c r="AK401" s="1">
        <v>8.0631000000000004</v>
      </c>
      <c r="AL401" s="1">
        <v>4.5909999999999999E-2</v>
      </c>
      <c r="AN401" s="1425">
        <v>44636</v>
      </c>
      <c r="AO401" s="1">
        <v>7.4675000000000002</v>
      </c>
      <c r="AP401" s="1">
        <v>1.1015999999999999</v>
      </c>
      <c r="AQ401" s="1">
        <v>4.7413999999999996</v>
      </c>
      <c r="AR401" s="1">
        <v>0.27300000000000002</v>
      </c>
      <c r="AT401" s="1425">
        <v>44636</v>
      </c>
      <c r="AU401" s="1">
        <v>9.5568000000000008</v>
      </c>
      <c r="AV401" s="1">
        <v>0.62639999999999996</v>
      </c>
      <c r="AW401" s="1">
        <v>6.4736000000000002</v>
      </c>
      <c r="AX401" s="1">
        <v>0.15074000000000001</v>
      </c>
      <c r="BA401" s="1425">
        <v>44631</v>
      </c>
      <c r="BB401" s="1">
        <v>16.441500000000001</v>
      </c>
      <c r="BC401" s="1">
        <v>3.9851000000000001</v>
      </c>
      <c r="BD401" s="1">
        <v>17.5366</v>
      </c>
      <c r="BE401" s="1">
        <v>1.1431800000000001</v>
      </c>
      <c r="BG401" s="1425">
        <v>44631</v>
      </c>
      <c r="BH401" s="1">
        <v>20.5764</v>
      </c>
      <c r="BI401" s="1">
        <v>5.4516999999999998</v>
      </c>
      <c r="BJ401" s="1">
        <v>26.631399999999999</v>
      </c>
      <c r="BT401" s="1425">
        <v>44652</v>
      </c>
      <c r="BU401" s="1">
        <v>21.5885</v>
      </c>
      <c r="BV401" s="1">
        <v>5.1016000000000004</v>
      </c>
      <c r="BW401" s="1">
        <v>13.49</v>
      </c>
      <c r="BX401" s="1">
        <v>3.1581999999999999</v>
      </c>
      <c r="BZ401" s="1425">
        <v>44652</v>
      </c>
      <c r="CA401" s="1">
        <v>23.0059</v>
      </c>
      <c r="CB401" s="1">
        <v>6.5804</v>
      </c>
      <c r="CC401" s="1">
        <v>20.355</v>
      </c>
      <c r="CD401" s="1">
        <v>3.9558499999999999</v>
      </c>
      <c r="CF401" s="1425">
        <v>44651</v>
      </c>
      <c r="CG401" s="1">
        <v>8.3592999999999993</v>
      </c>
      <c r="CH401" s="1">
        <v>2.7240000000000002</v>
      </c>
      <c r="CI401" s="1">
        <v>9.6248000000000005</v>
      </c>
      <c r="CL401" s="1425">
        <v>44657</v>
      </c>
      <c r="CM401" s="1">
        <v>23.2531</v>
      </c>
      <c r="CN401" s="1">
        <v>2.8839000000000001</v>
      </c>
      <c r="CO401" s="1">
        <v>12.437200000000001</v>
      </c>
    </row>
    <row r="402" spans="1:93">
      <c r="A402" s="1425">
        <v>44651</v>
      </c>
      <c r="B402" s="20">
        <f t="shared" si="62"/>
        <v>16.5199</v>
      </c>
      <c r="C402" s="20">
        <f t="shared" si="64"/>
        <v>19.658799999999999</v>
      </c>
      <c r="D402" s="20">
        <f t="shared" si="65"/>
        <v>15.127000000000001</v>
      </c>
      <c r="E402" s="20">
        <f t="shared" si="66"/>
        <v>7.8548</v>
      </c>
      <c r="F402" s="20">
        <f t="shared" si="67"/>
        <v>20.913399999999999</v>
      </c>
      <c r="G402" s="20">
        <f t="shared" si="68"/>
        <v>17.8066</v>
      </c>
      <c r="H402" s="1239">
        <f t="shared" si="69"/>
        <v>17.8066</v>
      </c>
      <c r="I402" s="1243">
        <f t="shared" si="63"/>
        <v>-7.2259723922590502E-2</v>
      </c>
      <c r="J402" s="1243">
        <f t="shared" si="70"/>
        <v>0.12093838824177333</v>
      </c>
      <c r="K402" s="1243">
        <f t="shared" si="71"/>
        <v>0.1</v>
      </c>
      <c r="L402" s="203"/>
      <c r="N402" s="1425">
        <v>44651</v>
      </c>
      <c r="O402" s="1502">
        <v>16.5199</v>
      </c>
      <c r="P402" s="1502">
        <v>6.3193000000000001</v>
      </c>
      <c r="Q402" s="1502">
        <v>17.815999999999999</v>
      </c>
      <c r="R402" s="1233">
        <f>'B. PE'!$U$23</f>
        <v>15.978235616082999</v>
      </c>
      <c r="S402" s="1233"/>
      <c r="T402" s="1233"/>
      <c r="V402" s="1425">
        <v>44651</v>
      </c>
      <c r="W402" s="1">
        <v>19.658799999999999</v>
      </c>
      <c r="X402" s="1">
        <v>2.9912000000000001</v>
      </c>
      <c r="Y402" s="1">
        <v>16.38</v>
      </c>
      <c r="Z402" s="1">
        <v>2.3773499999999999</v>
      </c>
      <c r="AB402" s="1425">
        <v>44631</v>
      </c>
      <c r="AC402" s="1">
        <v>8.468</v>
      </c>
      <c r="AD402" s="1502">
        <v>1.3855</v>
      </c>
      <c r="AE402" s="1">
        <v>4.9988000000000001</v>
      </c>
      <c r="AF402" s="1">
        <v>3.857E-2</v>
      </c>
      <c r="AH402" s="1425">
        <v>44631</v>
      </c>
      <c r="AI402" s="1">
        <v>15.6814</v>
      </c>
      <c r="AJ402" s="1">
        <v>2.8879999999999999</v>
      </c>
      <c r="AK402" s="1">
        <v>7.6848000000000001</v>
      </c>
      <c r="AL402" s="1">
        <v>4.5940000000000002E-2</v>
      </c>
      <c r="AN402" s="1425">
        <v>44635</v>
      </c>
      <c r="AO402" s="1">
        <v>7.3376999999999999</v>
      </c>
      <c r="AP402" s="1">
        <v>1.0824</v>
      </c>
      <c r="AQ402" s="1">
        <v>4.6424000000000003</v>
      </c>
      <c r="AR402" s="1">
        <v>0.27618999999999999</v>
      </c>
      <c r="AT402" s="1425">
        <v>44635</v>
      </c>
      <c r="AU402" s="1">
        <v>9.2104999999999997</v>
      </c>
      <c r="AV402" s="1">
        <v>0.60370000000000001</v>
      </c>
      <c r="AW402" s="1">
        <v>6.2797999999999998</v>
      </c>
      <c r="AX402" s="1">
        <v>0.14524000000000001</v>
      </c>
      <c r="BA402" s="1425">
        <v>44630</v>
      </c>
      <c r="BB402" s="1">
        <v>16.441500000000001</v>
      </c>
      <c r="BC402" s="1">
        <v>3.9851000000000001</v>
      </c>
      <c r="BD402" s="1">
        <v>17.5366</v>
      </c>
      <c r="BE402" s="1">
        <v>1.0927899999999999</v>
      </c>
      <c r="BG402" s="1425">
        <v>44630</v>
      </c>
      <c r="BH402" s="1">
        <v>20.1282</v>
      </c>
      <c r="BI402" s="1">
        <v>5.3329000000000004</v>
      </c>
      <c r="BJ402" s="1">
        <v>26.1158</v>
      </c>
      <c r="BT402" s="1425">
        <v>44651</v>
      </c>
      <c r="BU402" s="1">
        <v>20.1769</v>
      </c>
      <c r="BV402" s="1">
        <v>4.7679999999999998</v>
      </c>
      <c r="BW402" s="1">
        <v>12.6761</v>
      </c>
      <c r="BX402" s="1">
        <v>3.2025000000000001</v>
      </c>
      <c r="BZ402" s="1425">
        <v>44651</v>
      </c>
      <c r="CA402" s="1">
        <v>22.688500000000001</v>
      </c>
      <c r="CB402" s="1">
        <v>6.4896000000000003</v>
      </c>
      <c r="CC402" s="1">
        <v>20.1374</v>
      </c>
      <c r="CD402" s="1">
        <v>3.9537800000000001</v>
      </c>
      <c r="CF402" s="1425">
        <v>44650</v>
      </c>
      <c r="CG402" s="1">
        <v>9.0076999999999998</v>
      </c>
      <c r="CH402" s="1">
        <v>2.9434999999999998</v>
      </c>
      <c r="CI402" s="1">
        <v>6.0551000000000004</v>
      </c>
      <c r="CL402" s="1425">
        <v>44656</v>
      </c>
      <c r="CM402" s="1">
        <v>22.731200000000001</v>
      </c>
      <c r="CN402" s="1">
        <v>2.8191999999999999</v>
      </c>
      <c r="CO402" s="1">
        <v>12.1576</v>
      </c>
    </row>
    <row r="403" spans="1:93">
      <c r="A403" s="1425">
        <v>44650</v>
      </c>
      <c r="B403" s="20">
        <f t="shared" si="62"/>
        <v>19.598700000000001</v>
      </c>
      <c r="C403" s="20">
        <f t="shared" si="64"/>
        <v>20.71</v>
      </c>
      <c r="D403" s="20">
        <f t="shared" si="65"/>
        <v>16.5258</v>
      </c>
      <c r="E403" s="20">
        <f t="shared" si="66"/>
        <v>7.5974000000000004</v>
      </c>
      <c r="F403" s="20">
        <f t="shared" si="67"/>
        <v>21.595099999999999</v>
      </c>
      <c r="G403" s="20">
        <f t="shared" si="68"/>
        <v>17.7746</v>
      </c>
      <c r="H403" s="1239">
        <f t="shared" si="69"/>
        <v>17.7746</v>
      </c>
      <c r="I403" s="1243">
        <f t="shared" si="63"/>
        <v>0.10262396903446502</v>
      </c>
      <c r="J403" s="1243">
        <f t="shared" si="70"/>
        <v>0.12093838824177333</v>
      </c>
      <c r="K403" s="1243">
        <f t="shared" si="71"/>
        <v>0.1</v>
      </c>
      <c r="L403" s="203"/>
      <c r="N403" s="1425">
        <v>44650</v>
      </c>
      <c r="O403" s="1502">
        <v>19.598700000000001</v>
      </c>
      <c r="P403" s="1502">
        <v>7.2640000000000002</v>
      </c>
      <c r="Q403" s="1502">
        <v>18.126799999999999</v>
      </c>
      <c r="R403" s="1233">
        <f>'B. PE'!$U$23</f>
        <v>15.978235616082999</v>
      </c>
      <c r="S403" s="1233"/>
      <c r="T403" s="1233"/>
      <c r="V403" s="1425">
        <v>44650</v>
      </c>
      <c r="W403" s="1">
        <v>20.71</v>
      </c>
      <c r="X403" s="1">
        <v>3.0914999999999999</v>
      </c>
      <c r="Y403" s="1">
        <v>15.2235</v>
      </c>
      <c r="Z403" s="1">
        <v>2.42876</v>
      </c>
      <c r="AB403" s="1425">
        <v>44630</v>
      </c>
      <c r="AC403" s="1">
        <v>8.7844999999999995</v>
      </c>
      <c r="AD403" s="1502">
        <v>1.4373</v>
      </c>
      <c r="AE403" s="1">
        <v>5.1505999999999998</v>
      </c>
      <c r="AF403" s="1">
        <v>3.6569999999999998E-2</v>
      </c>
      <c r="AH403" s="1425">
        <v>44630</v>
      </c>
      <c r="AI403" s="1">
        <v>15.802</v>
      </c>
      <c r="AJ403" s="1">
        <v>2.9102999999999999</v>
      </c>
      <c r="AK403" s="1">
        <v>7.7478999999999996</v>
      </c>
      <c r="AL403" s="1">
        <v>4.4580000000000002E-2</v>
      </c>
      <c r="AN403" s="1425">
        <v>44634</v>
      </c>
      <c r="AO403" s="1">
        <v>7.4675000000000002</v>
      </c>
      <c r="AP403" s="1">
        <v>1.1015999999999999</v>
      </c>
      <c r="AQ403" s="1">
        <v>4.7413999999999996</v>
      </c>
      <c r="AR403" s="1">
        <v>0.27473999999999998</v>
      </c>
      <c r="AT403" s="1425">
        <v>44634</v>
      </c>
      <c r="AU403" s="1">
        <v>8.7949999999999999</v>
      </c>
      <c r="AV403" s="1">
        <v>0.57650000000000001</v>
      </c>
      <c r="AW403" s="1">
        <v>6.0471000000000004</v>
      </c>
      <c r="AX403" s="1">
        <v>0.14334</v>
      </c>
      <c r="BA403" s="1425">
        <v>44629</v>
      </c>
      <c r="BB403" s="1">
        <v>16.774799999999999</v>
      </c>
      <c r="BC403" s="1">
        <v>4.0658000000000003</v>
      </c>
      <c r="BD403" s="1">
        <v>17.805599999999998</v>
      </c>
      <c r="BE403" s="1">
        <v>1.12199</v>
      </c>
      <c r="BG403" s="1425">
        <v>44629</v>
      </c>
      <c r="BH403" s="1">
        <v>20.372699999999998</v>
      </c>
      <c r="BI403" s="1">
        <v>5.3977000000000004</v>
      </c>
      <c r="BJ403" s="1">
        <v>26.396999999999998</v>
      </c>
      <c r="BT403" s="1425">
        <v>44650</v>
      </c>
      <c r="BU403" s="1">
        <v>20.2485</v>
      </c>
      <c r="BV403" s="1">
        <v>5.0556999999999999</v>
      </c>
      <c r="BW403" s="1">
        <v>12.7035</v>
      </c>
      <c r="BX403" s="1">
        <v>3.1476999999999999</v>
      </c>
      <c r="BZ403" s="1425">
        <v>44650</v>
      </c>
      <c r="CA403" s="1">
        <v>27.764399999999998</v>
      </c>
      <c r="CB403" s="1">
        <v>7.4124999999999996</v>
      </c>
      <c r="CC403" s="1">
        <v>27.295200000000001</v>
      </c>
      <c r="CD403" s="1">
        <v>3.9155899999999999</v>
      </c>
      <c r="CF403" s="1425">
        <v>44649</v>
      </c>
      <c r="CG403" s="1">
        <v>9.2408000000000001</v>
      </c>
      <c r="CH403" s="1">
        <v>3.0196999999999998</v>
      </c>
      <c r="CI403" s="1">
        <v>6.2435999999999998</v>
      </c>
      <c r="CL403" s="1425">
        <v>44655</v>
      </c>
      <c r="CM403" s="1">
        <v>22.499300000000002</v>
      </c>
      <c r="CN403" s="1">
        <v>2.7904</v>
      </c>
      <c r="CO403" s="1">
        <v>12.033300000000001</v>
      </c>
    </row>
    <row r="404" spans="1:93">
      <c r="A404" s="1425">
        <v>44649</v>
      </c>
      <c r="B404" s="20">
        <f t="shared" si="62"/>
        <v>19.035699999999999</v>
      </c>
      <c r="C404" s="20">
        <f t="shared" si="64"/>
        <v>21.405899999999999</v>
      </c>
      <c r="D404" s="20">
        <f t="shared" si="65"/>
        <v>16.5258</v>
      </c>
      <c r="E404" s="20">
        <f t="shared" si="66"/>
        <v>7.5974000000000004</v>
      </c>
      <c r="F404" s="20">
        <f t="shared" si="67"/>
        <v>20.983899999999998</v>
      </c>
      <c r="G404" s="20">
        <f t="shared" si="68"/>
        <v>17.219200000000001</v>
      </c>
      <c r="H404" s="1239">
        <f t="shared" si="69"/>
        <v>17.219200000000001</v>
      </c>
      <c r="I404" s="1243">
        <f t="shared" si="63"/>
        <v>0.10549270581676251</v>
      </c>
      <c r="J404" s="1243">
        <f t="shared" si="70"/>
        <v>0.12093838824177333</v>
      </c>
      <c r="K404" s="1243">
        <f t="shared" si="71"/>
        <v>0.1</v>
      </c>
      <c r="L404" s="203"/>
      <c r="N404" s="1425">
        <v>44649</v>
      </c>
      <c r="O404" s="1502">
        <v>19.035699999999999</v>
      </c>
      <c r="P404" s="1502">
        <v>7.0553999999999997</v>
      </c>
      <c r="Q404" s="1502">
        <v>17.590499999999999</v>
      </c>
      <c r="R404" s="1233">
        <f>'B. PE'!$U$23</f>
        <v>15.978235616082999</v>
      </c>
      <c r="S404" s="1233"/>
      <c r="T404" s="1233"/>
      <c r="V404" s="1425">
        <v>44649</v>
      </c>
      <c r="W404" s="1">
        <v>21.405899999999999</v>
      </c>
      <c r="X404" s="1">
        <v>3.1953</v>
      </c>
      <c r="Y404" s="1">
        <v>15.689399999999999</v>
      </c>
      <c r="Z404" s="1">
        <v>2.31867</v>
      </c>
      <c r="AB404" s="1425">
        <v>44629</v>
      </c>
      <c r="AC404" s="1">
        <v>8.7053999999999991</v>
      </c>
      <c r="AD404" s="1502">
        <v>1.4244000000000001</v>
      </c>
      <c r="AE404" s="1">
        <v>5.1127000000000002</v>
      </c>
      <c r="AF404" s="1">
        <v>3.6819999999999999E-2</v>
      </c>
      <c r="AH404" s="1425">
        <v>44629</v>
      </c>
      <c r="AI404" s="1">
        <v>15.802</v>
      </c>
      <c r="AJ404" s="1">
        <v>2.9102999999999999</v>
      </c>
      <c r="AK404" s="1">
        <v>7.7478999999999996</v>
      </c>
      <c r="AL404" s="1">
        <v>4.3770000000000003E-2</v>
      </c>
      <c r="AN404" s="1425">
        <v>44631</v>
      </c>
      <c r="AO404" s="1">
        <v>7.5324999999999998</v>
      </c>
      <c r="AP404" s="1">
        <v>1.1111</v>
      </c>
      <c r="AQ404" s="1">
        <v>4.7908999999999997</v>
      </c>
      <c r="AR404" s="1">
        <v>0.27489000000000002</v>
      </c>
      <c r="AT404" s="1425">
        <v>44631</v>
      </c>
      <c r="AU404" s="1">
        <v>8.4488000000000003</v>
      </c>
      <c r="AV404" s="1">
        <v>0.55379999999999996</v>
      </c>
      <c r="AW404" s="1">
        <v>5.8513999999999999</v>
      </c>
      <c r="BA404" s="1425">
        <v>44628</v>
      </c>
      <c r="BB404" s="1">
        <v>16.1082</v>
      </c>
      <c r="BC404" s="1">
        <v>3.9043000000000001</v>
      </c>
      <c r="BD404" s="1">
        <v>17.267499999999998</v>
      </c>
      <c r="BE404" s="1">
        <v>1.1844399999999999</v>
      </c>
      <c r="BG404" s="1425">
        <v>44628</v>
      </c>
      <c r="BH404" s="1">
        <v>20.046700000000001</v>
      </c>
      <c r="BI404" s="1">
        <v>5.3113000000000001</v>
      </c>
      <c r="BJ404" s="1">
        <v>26.021999999999998</v>
      </c>
      <c r="BT404" s="1425">
        <v>44649</v>
      </c>
      <c r="BU404" s="1">
        <v>20.542899999999999</v>
      </c>
      <c r="BV404" s="1">
        <v>5.1292</v>
      </c>
      <c r="BW404" s="1">
        <v>12.8779</v>
      </c>
      <c r="BX404" s="1">
        <v>3.0366</v>
      </c>
      <c r="BZ404" s="1425">
        <v>44649</v>
      </c>
      <c r="CA404" s="1">
        <v>27.764399999999998</v>
      </c>
      <c r="CB404" s="1">
        <v>7.4124999999999996</v>
      </c>
      <c r="CC404" s="1">
        <v>27.295200000000001</v>
      </c>
      <c r="CD404" s="1">
        <v>3.9414500000000001</v>
      </c>
      <c r="CF404" s="1425">
        <v>44648</v>
      </c>
      <c r="CG404" s="1">
        <v>9.6012000000000004</v>
      </c>
      <c r="CH404" s="1">
        <v>3.1374</v>
      </c>
      <c r="CI404" s="1">
        <v>6.5350000000000001</v>
      </c>
      <c r="CL404" s="1425">
        <v>44652</v>
      </c>
      <c r="CM404" s="1">
        <v>22.2818</v>
      </c>
      <c r="CN404" s="1">
        <v>2.7635000000000001</v>
      </c>
      <c r="CO404" s="1">
        <v>11.9168</v>
      </c>
    </row>
    <row r="405" spans="1:93">
      <c r="A405" s="1425">
        <v>44648</v>
      </c>
      <c r="B405" s="20">
        <f t="shared" si="62"/>
        <v>19.84</v>
      </c>
      <c r="C405" s="20">
        <f t="shared" si="64"/>
        <v>21.869800000000001</v>
      </c>
      <c r="D405" s="20">
        <f t="shared" si="65"/>
        <v>16.6464</v>
      </c>
      <c r="E405" s="20">
        <f t="shared" si="66"/>
        <v>7.5974000000000004</v>
      </c>
      <c r="F405" s="20">
        <f t="shared" si="67"/>
        <v>21.1876</v>
      </c>
      <c r="G405" s="20">
        <f t="shared" si="68"/>
        <v>16.552600000000002</v>
      </c>
      <c r="H405" s="1239">
        <f t="shared" si="69"/>
        <v>16.6464</v>
      </c>
      <c r="I405" s="1243">
        <f t="shared" si="63"/>
        <v>0.19184928873510199</v>
      </c>
      <c r="J405" s="1243">
        <f t="shared" si="70"/>
        <v>0.12093838824177333</v>
      </c>
      <c r="K405" s="1243">
        <f t="shared" si="71"/>
        <v>0.1</v>
      </c>
      <c r="L405" s="203"/>
      <c r="N405" s="1425">
        <v>44648</v>
      </c>
      <c r="O405" s="1502">
        <v>19.84</v>
      </c>
      <c r="P405" s="1502">
        <v>7.3535000000000004</v>
      </c>
      <c r="Q405" s="1502">
        <v>18.3567</v>
      </c>
      <c r="R405" s="1233">
        <f>'B. PE'!$U$23</f>
        <v>15.978235616082999</v>
      </c>
      <c r="S405" s="1233"/>
      <c r="T405" s="1233"/>
      <c r="V405" s="1425">
        <v>44648</v>
      </c>
      <c r="W405" s="1">
        <v>21.869800000000001</v>
      </c>
      <c r="X405" s="1">
        <v>3.2646000000000002</v>
      </c>
      <c r="Y405" s="1">
        <v>16</v>
      </c>
      <c r="Z405" s="1">
        <v>2.19014</v>
      </c>
      <c r="AB405" s="1425">
        <v>44628</v>
      </c>
      <c r="AC405" s="1">
        <v>8.3096999999999994</v>
      </c>
      <c r="AD405" s="1502">
        <v>1.3595999999999999</v>
      </c>
      <c r="AE405" s="1">
        <v>4.9229000000000003</v>
      </c>
      <c r="AF405" s="1">
        <v>3.8589999999999999E-2</v>
      </c>
      <c r="AH405" s="1425">
        <v>44628</v>
      </c>
      <c r="AI405" s="1">
        <v>15.440099999999999</v>
      </c>
      <c r="AJ405" s="1">
        <v>2.8435999999999999</v>
      </c>
      <c r="AK405" s="1">
        <v>7.5587999999999997</v>
      </c>
      <c r="AL405" s="1">
        <v>4.3799999999999999E-2</v>
      </c>
      <c r="AN405" s="1425">
        <v>44630</v>
      </c>
      <c r="AO405" s="1">
        <v>7.4675000000000002</v>
      </c>
      <c r="AP405" s="1">
        <v>1.1015999999999999</v>
      </c>
      <c r="AQ405" s="1">
        <v>4.7413999999999996</v>
      </c>
      <c r="AR405" s="1">
        <v>0.26574999999999999</v>
      </c>
      <c r="AT405" s="1425">
        <v>44630</v>
      </c>
      <c r="AU405" s="1">
        <v>8.3102</v>
      </c>
      <c r="AV405" s="1">
        <v>0.54469999999999996</v>
      </c>
      <c r="AW405" s="1">
        <v>5.7739000000000003</v>
      </c>
      <c r="AX405" s="1">
        <v>0.14126</v>
      </c>
      <c r="BA405" s="1425">
        <v>44627</v>
      </c>
      <c r="BB405" s="1">
        <v>16.441500000000001</v>
      </c>
      <c r="BC405" s="1">
        <v>3.9851000000000001</v>
      </c>
      <c r="BD405" s="1">
        <v>17.5366</v>
      </c>
      <c r="BE405" s="1">
        <v>1.2253799999999999</v>
      </c>
      <c r="BG405" s="1425">
        <v>44627</v>
      </c>
      <c r="BH405" s="1">
        <v>20.1282</v>
      </c>
      <c r="BI405" s="1">
        <v>5.3329000000000004</v>
      </c>
      <c r="BJ405" s="1">
        <v>26.1158</v>
      </c>
      <c r="BT405" s="1425">
        <v>44648</v>
      </c>
      <c r="BU405" s="1">
        <v>20.192399999999999</v>
      </c>
      <c r="BV405" s="1">
        <v>5.0416999999999996</v>
      </c>
      <c r="BW405" s="1">
        <v>12.3568</v>
      </c>
      <c r="BX405" s="1">
        <v>2.9298999999999999</v>
      </c>
      <c r="BZ405" s="1425">
        <v>44648</v>
      </c>
      <c r="CA405" s="1">
        <v>27.497499999999999</v>
      </c>
      <c r="CB405" s="1">
        <v>7.3411999999999997</v>
      </c>
      <c r="CC405" s="1">
        <v>27.085999999999999</v>
      </c>
      <c r="CD405" s="1">
        <v>3.80254</v>
      </c>
      <c r="CF405" s="1425">
        <v>44645</v>
      </c>
      <c r="CG405" s="1">
        <v>9.3680000000000003</v>
      </c>
      <c r="CH405" s="1">
        <v>3.0613000000000001</v>
      </c>
      <c r="CI405" s="1">
        <v>6.3464999999999998</v>
      </c>
      <c r="CL405" s="1425">
        <v>44651</v>
      </c>
      <c r="CM405" s="1">
        <v>22.5428</v>
      </c>
      <c r="CN405" s="1">
        <v>2.7957999999999998</v>
      </c>
      <c r="CO405" s="1">
        <v>12.0566</v>
      </c>
    </row>
    <row r="406" spans="1:93">
      <c r="A406" s="1425">
        <v>44645</v>
      </c>
      <c r="B406" s="20">
        <f t="shared" si="62"/>
        <v>19.008900000000001</v>
      </c>
      <c r="C406" s="20">
        <f t="shared" si="64"/>
        <v>20.875699999999998</v>
      </c>
      <c r="D406" s="20">
        <f t="shared" si="65"/>
        <v>16.405100000000001</v>
      </c>
      <c r="E406" s="20">
        <f t="shared" si="66"/>
        <v>7.5974000000000004</v>
      </c>
      <c r="F406" s="20">
        <f t="shared" si="67"/>
        <v>21.1876</v>
      </c>
      <c r="G406" s="20">
        <f t="shared" si="68"/>
        <v>16.997</v>
      </c>
      <c r="H406" s="1239">
        <f t="shared" si="69"/>
        <v>16.997</v>
      </c>
      <c r="I406" s="1243">
        <f t="shared" si="63"/>
        <v>0.11836794728481492</v>
      </c>
      <c r="J406" s="1243">
        <f t="shared" si="70"/>
        <v>0.12093838824177333</v>
      </c>
      <c r="K406" s="1243">
        <f t="shared" si="71"/>
        <v>0.1</v>
      </c>
      <c r="L406" s="203"/>
      <c r="N406" s="1425">
        <v>44645</v>
      </c>
      <c r="O406" s="1502">
        <v>19.008900000000001</v>
      </c>
      <c r="P406" s="1502">
        <v>7.0453999999999999</v>
      </c>
      <c r="Q406" s="1502">
        <v>17.565000000000001</v>
      </c>
      <c r="R406" s="1233">
        <f>'B. PE'!$U$23</f>
        <v>15.978235616082999</v>
      </c>
      <c r="S406" s="1233"/>
      <c r="T406" s="1233"/>
      <c r="V406" s="1425">
        <v>44645</v>
      </c>
      <c r="W406" s="1">
        <v>20.875699999999998</v>
      </c>
      <c r="X406" s="1">
        <v>3.1162000000000001</v>
      </c>
      <c r="Y406" s="1">
        <v>15.3344</v>
      </c>
      <c r="Z406" s="1">
        <v>2.1303200000000002</v>
      </c>
      <c r="AB406" s="1425">
        <v>44627</v>
      </c>
      <c r="AC406" s="1">
        <v>8.3887999999999998</v>
      </c>
      <c r="AD406" s="1502">
        <v>1.3726</v>
      </c>
      <c r="AE406" s="1">
        <v>4.9608999999999996</v>
      </c>
      <c r="AF406" s="1">
        <v>3.8249999999999999E-2</v>
      </c>
      <c r="AH406" s="1425">
        <v>44627</v>
      </c>
      <c r="AI406" s="1">
        <v>15.1989</v>
      </c>
      <c r="AJ406" s="1">
        <v>2.7991999999999999</v>
      </c>
      <c r="AK406" s="1">
        <v>7.4326999999999996</v>
      </c>
      <c r="AL406" s="1">
        <v>4.521E-2</v>
      </c>
      <c r="AN406" s="1425">
        <v>44629</v>
      </c>
      <c r="AO406" s="1">
        <v>7.4675000000000002</v>
      </c>
      <c r="AP406" s="1">
        <v>1.1015999999999999</v>
      </c>
      <c r="AQ406" s="1">
        <v>4.7422000000000004</v>
      </c>
      <c r="AR406" s="1">
        <v>0.2681</v>
      </c>
      <c r="AT406" s="1425">
        <v>44629</v>
      </c>
      <c r="AW406" s="1">
        <v>5.6963999999999997</v>
      </c>
      <c r="AX406" s="1">
        <v>0.14243</v>
      </c>
      <c r="BA406" s="1425">
        <v>44624</v>
      </c>
      <c r="BB406" s="1">
        <v>17.219200000000001</v>
      </c>
      <c r="BC406" s="1">
        <v>4.1734999999999998</v>
      </c>
      <c r="BD406" s="1">
        <v>18.164200000000001</v>
      </c>
      <c r="BE406" s="1">
        <v>1.21505</v>
      </c>
      <c r="BG406" s="1425">
        <v>44624</v>
      </c>
      <c r="BH406" s="1">
        <v>20.983899999999998</v>
      </c>
      <c r="BI406" s="1">
        <v>5.5595999999999997</v>
      </c>
      <c r="BJ406" s="1">
        <v>27.100200000000001</v>
      </c>
      <c r="BT406" s="1425">
        <v>44645</v>
      </c>
      <c r="BU406" s="1">
        <v>19.4772</v>
      </c>
      <c r="BV406" s="1">
        <v>4.8631000000000002</v>
      </c>
      <c r="BW406" s="1">
        <v>11.9444</v>
      </c>
      <c r="BX406" s="1">
        <v>2.9504000000000001</v>
      </c>
      <c r="BZ406" s="1425">
        <v>44645</v>
      </c>
      <c r="CA406" s="1">
        <v>27.6755</v>
      </c>
      <c r="CB406" s="1">
        <v>7.3887999999999998</v>
      </c>
      <c r="CC406" s="1">
        <v>27.2255</v>
      </c>
      <c r="CD406" s="1">
        <v>3.7755399999999999</v>
      </c>
      <c r="CF406" s="1425">
        <v>44644</v>
      </c>
      <c r="CG406" s="1">
        <v>8.8592999999999993</v>
      </c>
      <c r="CH406" s="1">
        <v>2.895</v>
      </c>
      <c r="CI406" s="1">
        <v>5.9351000000000003</v>
      </c>
      <c r="CL406" s="1425">
        <v>44650</v>
      </c>
      <c r="CM406" s="1">
        <v>22.876200000000001</v>
      </c>
      <c r="CN406" s="1">
        <v>2.8372000000000002</v>
      </c>
      <c r="CO406" s="1">
        <v>12.235200000000001</v>
      </c>
    </row>
    <row r="407" spans="1:93">
      <c r="A407" s="1425">
        <v>44644</v>
      </c>
      <c r="B407" s="20">
        <f t="shared" si="62"/>
        <v>17.775600000000001</v>
      </c>
      <c r="C407" s="20">
        <f t="shared" si="64"/>
        <v>19.715900000000001</v>
      </c>
      <c r="D407" s="20">
        <f t="shared" si="65"/>
        <v>16.6464</v>
      </c>
      <c r="E407" s="20">
        <f t="shared" si="66"/>
        <v>7.6623000000000001</v>
      </c>
      <c r="F407" s="20">
        <f t="shared" si="67"/>
        <v>21.1876</v>
      </c>
      <c r="G407" s="20">
        <f t="shared" si="68"/>
        <v>17.219200000000001</v>
      </c>
      <c r="H407" s="1239">
        <f t="shared" si="69"/>
        <v>17.219200000000001</v>
      </c>
      <c r="I407" s="1243">
        <f t="shared" si="63"/>
        <v>3.2312767143653609E-2</v>
      </c>
      <c r="J407" s="1243">
        <f t="shared" si="70"/>
        <v>0.12093838824177333</v>
      </c>
      <c r="K407" s="1243">
        <f t="shared" si="71"/>
        <v>0.1</v>
      </c>
      <c r="L407" s="203"/>
      <c r="N407" s="1425">
        <v>44644</v>
      </c>
      <c r="O407" s="1502">
        <v>17.775600000000001</v>
      </c>
      <c r="P407" s="1502">
        <v>6.5883000000000003</v>
      </c>
      <c r="Q407" s="1502">
        <v>16.3902</v>
      </c>
      <c r="R407" s="1233">
        <f>'B. PE'!$U$23</f>
        <v>15.978235616082999</v>
      </c>
      <c r="S407" s="1233"/>
      <c r="T407" s="1233"/>
      <c r="V407" s="1425">
        <v>44644</v>
      </c>
      <c r="W407" s="1">
        <v>19.715900000000001</v>
      </c>
      <c r="X407" s="1">
        <v>2.9430999999999998</v>
      </c>
      <c r="Y407" s="1">
        <v>14.5579</v>
      </c>
      <c r="Z407" s="1">
        <v>1.99471</v>
      </c>
      <c r="AB407" s="1425">
        <v>44624</v>
      </c>
      <c r="AC407" s="1">
        <v>8.7844999999999995</v>
      </c>
      <c r="AD407" s="1502">
        <v>1.4373</v>
      </c>
      <c r="AE407" s="1">
        <v>5.1505999999999998</v>
      </c>
      <c r="AF407" s="1">
        <v>3.8519999999999999E-2</v>
      </c>
      <c r="AH407" s="1425">
        <v>44624</v>
      </c>
      <c r="AI407" s="1">
        <v>15.1989</v>
      </c>
      <c r="AJ407" s="1">
        <v>2.7991999999999999</v>
      </c>
      <c r="AK407" s="1">
        <v>7.4326999999999996</v>
      </c>
      <c r="AL407" s="1">
        <v>4.4769999999999997E-2</v>
      </c>
      <c r="AN407" s="1425">
        <v>44628</v>
      </c>
      <c r="AO407" s="1">
        <v>7.2077999999999998</v>
      </c>
      <c r="AP407" s="1">
        <v>1.0632999999999999</v>
      </c>
      <c r="AQ407" s="1">
        <v>4.5441000000000003</v>
      </c>
      <c r="AR407" s="1">
        <v>0.27535999999999999</v>
      </c>
      <c r="AT407" s="1425">
        <v>44628</v>
      </c>
      <c r="AU407" s="1">
        <v>8.1716999999999995</v>
      </c>
      <c r="AV407" s="1">
        <v>0.53559999999999997</v>
      </c>
      <c r="AW407" s="1">
        <v>5.6963999999999997</v>
      </c>
      <c r="AX407" s="1">
        <v>0.14606</v>
      </c>
      <c r="BA407" s="1425">
        <v>44623</v>
      </c>
      <c r="BB407" s="1">
        <v>17.7746</v>
      </c>
      <c r="BC407" s="1">
        <v>4.3082000000000003</v>
      </c>
      <c r="BD407" s="1">
        <v>18.6126</v>
      </c>
      <c r="BE407" s="1">
        <v>1.2225299999999999</v>
      </c>
      <c r="BG407" s="1425">
        <v>44623</v>
      </c>
      <c r="BH407" s="1">
        <v>21.595099999999999</v>
      </c>
      <c r="BI407" s="1">
        <v>5.7214999999999998</v>
      </c>
      <c r="BJ407" s="1">
        <v>27.8033</v>
      </c>
      <c r="BT407" s="1425">
        <v>44644</v>
      </c>
      <c r="BU407" s="1">
        <v>18.790099999999999</v>
      </c>
      <c r="BV407" s="1">
        <v>4.6916000000000002</v>
      </c>
      <c r="BW407" s="1">
        <v>11.5482</v>
      </c>
      <c r="BX407" s="1">
        <v>2.9556</v>
      </c>
      <c r="BZ407" s="1425">
        <v>44644</v>
      </c>
      <c r="CA407" s="1">
        <v>26.6966</v>
      </c>
      <c r="CB407" s="1">
        <v>7.1273999999999997</v>
      </c>
      <c r="CC407" s="1">
        <v>26.458500000000001</v>
      </c>
      <c r="CD407" s="1">
        <v>3.62446</v>
      </c>
      <c r="CF407" s="1425">
        <v>44643</v>
      </c>
      <c r="CG407" s="1">
        <v>8.5625999999999998</v>
      </c>
      <c r="CH407" s="1">
        <v>2.7980999999999998</v>
      </c>
      <c r="CI407" s="1">
        <v>5.6951999999999998</v>
      </c>
      <c r="CL407" s="1425">
        <v>44649</v>
      </c>
      <c r="CM407" s="1">
        <v>23.3111</v>
      </c>
      <c r="CN407" s="1">
        <v>2.8910999999999998</v>
      </c>
      <c r="CO407" s="1">
        <v>12.4682</v>
      </c>
    </row>
    <row r="408" spans="1:93">
      <c r="A408" s="1425">
        <v>44643</v>
      </c>
      <c r="B408" s="20">
        <f t="shared" si="62"/>
        <v>17.654900000000001</v>
      </c>
      <c r="C408" s="20">
        <f t="shared" si="64"/>
        <v>19.185700000000001</v>
      </c>
      <c r="D408" s="20">
        <f t="shared" si="65"/>
        <v>16.5258</v>
      </c>
      <c r="E408" s="20">
        <f t="shared" si="66"/>
        <v>7.7272999999999996</v>
      </c>
      <c r="F408" s="20">
        <f t="shared" si="67"/>
        <v>21.391300000000001</v>
      </c>
      <c r="G408" s="20">
        <f t="shared" si="68"/>
        <v>17.1081</v>
      </c>
      <c r="H408" s="1239">
        <f t="shared" si="69"/>
        <v>17.1081</v>
      </c>
      <c r="I408" s="1243">
        <f t="shared" si="63"/>
        <v>3.1961468544140059E-2</v>
      </c>
      <c r="J408" s="1243">
        <f t="shared" si="70"/>
        <v>0.12093838824177333</v>
      </c>
      <c r="K408" s="1243">
        <f t="shared" si="71"/>
        <v>0.1</v>
      </c>
      <c r="L408" s="203"/>
      <c r="N408" s="1425">
        <v>44643</v>
      </c>
      <c r="O408" s="1502">
        <v>17.654900000000001</v>
      </c>
      <c r="P408" s="1502">
        <v>6.5435999999999996</v>
      </c>
      <c r="Q408" s="1502">
        <v>16.275300000000001</v>
      </c>
      <c r="R408" s="1233">
        <f>'B. PE'!$U$23</f>
        <v>15.978235616082999</v>
      </c>
      <c r="S408" s="1233"/>
      <c r="T408" s="1233"/>
      <c r="V408" s="1425">
        <v>44643</v>
      </c>
      <c r="W408" s="1">
        <v>19.185700000000001</v>
      </c>
      <c r="X408" s="1">
        <v>2.8639000000000001</v>
      </c>
      <c r="Y408" s="1">
        <v>14.2029</v>
      </c>
      <c r="Z408" s="1">
        <v>1.9773400000000001</v>
      </c>
      <c r="AB408" s="1425">
        <v>44622</v>
      </c>
      <c r="AC408" s="1">
        <v>8.7053999999999991</v>
      </c>
      <c r="AD408" s="1502">
        <v>1.4244000000000001</v>
      </c>
      <c r="AE408" s="1">
        <v>5.1127000000000002</v>
      </c>
      <c r="AF408" s="1">
        <v>3.8690000000000002E-2</v>
      </c>
      <c r="AH408" s="1425">
        <v>44622</v>
      </c>
      <c r="AI408" s="1">
        <v>15.6814</v>
      </c>
      <c r="AJ408" s="1">
        <v>2.8879999999999999</v>
      </c>
      <c r="AK408" s="1">
        <v>7.6848000000000001</v>
      </c>
      <c r="AL408" s="1">
        <v>4.3220000000000001E-2</v>
      </c>
      <c r="AN408" s="1425">
        <v>44627</v>
      </c>
      <c r="AO408" s="1">
        <v>7.2727000000000004</v>
      </c>
      <c r="AP408" s="1">
        <v>1.0728</v>
      </c>
      <c r="AQ408" s="1">
        <v>4.5967000000000002</v>
      </c>
      <c r="AR408" s="1">
        <v>0.27717000000000003</v>
      </c>
      <c r="AT408" s="1425">
        <v>44627</v>
      </c>
      <c r="AU408" s="1">
        <v>8.2409999999999997</v>
      </c>
      <c r="AV408" s="1">
        <v>0.54020000000000001</v>
      </c>
      <c r="AW408" s="1">
        <v>5.7202000000000002</v>
      </c>
      <c r="AX408" s="1">
        <v>0.14574999999999999</v>
      </c>
      <c r="BA408" s="1425">
        <v>44622</v>
      </c>
      <c r="BB408" s="1">
        <v>17.552399999999999</v>
      </c>
      <c r="BC408" s="1">
        <v>4.2542999999999997</v>
      </c>
      <c r="BD408" s="1">
        <v>18.433199999999999</v>
      </c>
      <c r="BE408" s="1">
        <v>1.2236499999999999</v>
      </c>
      <c r="BG408" s="1425">
        <v>44622</v>
      </c>
      <c r="BH408" s="1">
        <v>22.002500000000001</v>
      </c>
      <c r="BI408" s="1">
        <v>5.8295000000000003</v>
      </c>
      <c r="BJ408" s="1">
        <v>28.272099999999998</v>
      </c>
      <c r="BT408" s="1425">
        <v>44643</v>
      </c>
      <c r="BU408" s="1">
        <v>18.930299999999999</v>
      </c>
      <c r="BV408" s="1">
        <v>4.7266000000000004</v>
      </c>
      <c r="BW408" s="1">
        <v>11.629</v>
      </c>
      <c r="BX408" s="1">
        <v>2.9506000000000001</v>
      </c>
      <c r="BZ408" s="1425">
        <v>44643</v>
      </c>
      <c r="CA408" s="1">
        <v>26.518599999999999</v>
      </c>
      <c r="CB408" s="1">
        <v>7.0799000000000003</v>
      </c>
      <c r="CC408" s="1">
        <v>26.319099999999999</v>
      </c>
      <c r="CD408" s="1">
        <v>3.7303299999999999</v>
      </c>
      <c r="CF408" s="1425">
        <v>44642</v>
      </c>
      <c r="CG408" s="1">
        <v>8.3082999999999991</v>
      </c>
      <c r="CH408" s="1">
        <v>2.7149999999999999</v>
      </c>
      <c r="CI408" s="1">
        <v>5.4894999999999996</v>
      </c>
      <c r="CL408" s="1425">
        <v>44648</v>
      </c>
      <c r="CM408" s="1">
        <v>23.1371</v>
      </c>
      <c r="CN408" s="1">
        <v>2.8694999999999999</v>
      </c>
      <c r="CO408" s="1">
        <v>12.375</v>
      </c>
    </row>
    <row r="409" spans="1:93">
      <c r="A409" s="1425">
        <v>44642</v>
      </c>
      <c r="B409" s="20">
        <f t="shared" si="62"/>
        <v>16.502099999999999</v>
      </c>
      <c r="C409" s="20">
        <f t="shared" si="64"/>
        <v>17.959700000000002</v>
      </c>
      <c r="D409" s="20">
        <f t="shared" si="65"/>
        <v>16.6464</v>
      </c>
      <c r="E409" s="20">
        <f t="shared" si="66"/>
        <v>7.5974000000000004</v>
      </c>
      <c r="F409" s="20">
        <f t="shared" si="67"/>
        <v>20.780100000000001</v>
      </c>
      <c r="G409" s="20">
        <f t="shared" si="68"/>
        <v>16.774799999999999</v>
      </c>
      <c r="H409" s="1239">
        <f t="shared" si="69"/>
        <v>16.774799999999999</v>
      </c>
      <c r="I409" s="1243">
        <f t="shared" si="63"/>
        <v>-1.6256527648615848E-2</v>
      </c>
      <c r="J409" s="1243">
        <f t="shared" si="70"/>
        <v>0.12093838824177333</v>
      </c>
      <c r="K409" s="1243">
        <f t="shared" si="71"/>
        <v>0.1</v>
      </c>
      <c r="L409" s="203"/>
      <c r="N409" s="1425">
        <v>44642</v>
      </c>
      <c r="O409" s="1502">
        <v>16.502099999999999</v>
      </c>
      <c r="P409" s="1502">
        <v>6.1162999999999998</v>
      </c>
      <c r="Q409" s="1502">
        <v>15.177099999999999</v>
      </c>
      <c r="R409" s="1233">
        <f>'B. PE'!$U$23</f>
        <v>15.978235616082999</v>
      </c>
      <c r="S409" s="1233"/>
      <c r="T409" s="1233"/>
      <c r="V409" s="1425">
        <v>44642</v>
      </c>
      <c r="W409" s="1">
        <v>17.959700000000002</v>
      </c>
      <c r="X409" s="1">
        <v>2.6808999999999998</v>
      </c>
      <c r="Y409" s="1">
        <v>13.382</v>
      </c>
      <c r="Z409" s="1">
        <v>1.8959999999999999</v>
      </c>
      <c r="AB409" s="1425">
        <v>44621</v>
      </c>
      <c r="AC409" s="1">
        <v>8.7844999999999995</v>
      </c>
      <c r="AD409" s="1502">
        <v>1.4373</v>
      </c>
      <c r="AE409" s="1">
        <v>5.1505999999999998</v>
      </c>
      <c r="AF409" s="1">
        <v>3.8780000000000002E-2</v>
      </c>
      <c r="AH409" s="1425">
        <v>44621</v>
      </c>
      <c r="AI409" s="1">
        <v>15.5608</v>
      </c>
      <c r="AJ409" s="1">
        <v>2.8658000000000001</v>
      </c>
      <c r="AK409" s="1">
        <v>7.6218000000000004</v>
      </c>
      <c r="AL409" s="1">
        <v>4.3979999999999998E-2</v>
      </c>
      <c r="AN409" s="1425">
        <v>44624</v>
      </c>
      <c r="AO409" s="1">
        <v>7.4675000000000002</v>
      </c>
      <c r="AP409" s="1">
        <v>1.1015999999999999</v>
      </c>
      <c r="AQ409" s="1">
        <v>4.7454000000000001</v>
      </c>
      <c r="AR409" s="1">
        <v>0.27675</v>
      </c>
      <c r="AT409" s="1425">
        <v>44624</v>
      </c>
      <c r="AU409" s="1">
        <v>8.4488000000000003</v>
      </c>
      <c r="AV409" s="1">
        <v>0.55379999999999996</v>
      </c>
      <c r="AW409" s="1">
        <v>5.8361000000000001</v>
      </c>
      <c r="AX409" s="1">
        <v>0.14315</v>
      </c>
      <c r="BA409" s="1425">
        <v>44621</v>
      </c>
      <c r="BB409" s="1">
        <v>17.7746</v>
      </c>
      <c r="BC409" s="1">
        <v>4.3082000000000003</v>
      </c>
      <c r="BD409" s="1">
        <v>18.6126</v>
      </c>
      <c r="BE409" s="1">
        <v>1.20587</v>
      </c>
      <c r="BG409" s="1425">
        <v>44621</v>
      </c>
      <c r="BH409" s="1">
        <v>22.613700000000001</v>
      </c>
      <c r="BI409" s="1">
        <v>5.9913999999999996</v>
      </c>
      <c r="BJ409" s="1">
        <v>28.975200000000001</v>
      </c>
      <c r="BT409" s="1425">
        <v>44642</v>
      </c>
      <c r="BU409" s="1">
        <v>18.958400000000001</v>
      </c>
      <c r="BV409" s="1">
        <v>4.7336</v>
      </c>
      <c r="BW409" s="1">
        <v>11.645200000000001</v>
      </c>
      <c r="BX409" s="1">
        <v>2.8778999999999999</v>
      </c>
      <c r="BZ409" s="1425">
        <v>44642</v>
      </c>
      <c r="CA409" s="1">
        <v>25.450700000000001</v>
      </c>
      <c r="CB409" s="1">
        <v>6.7948000000000004</v>
      </c>
      <c r="CC409" s="1">
        <v>25.482399999999998</v>
      </c>
      <c r="CD409" s="1">
        <v>3.67136</v>
      </c>
      <c r="CF409" s="1425">
        <v>44641</v>
      </c>
      <c r="CG409" s="1">
        <v>8.2659000000000002</v>
      </c>
      <c r="CH409" s="1">
        <v>2.7010999999999998</v>
      </c>
      <c r="CI409" s="1">
        <v>5.4553000000000003</v>
      </c>
      <c r="CL409" s="1425">
        <v>44645</v>
      </c>
      <c r="CM409" s="1">
        <v>22.731200000000001</v>
      </c>
      <c r="CN409" s="1">
        <v>2.8191999999999999</v>
      </c>
      <c r="CO409" s="1">
        <v>12.1576</v>
      </c>
    </row>
    <row r="410" spans="1:93">
      <c r="A410" s="1425">
        <v>44641</v>
      </c>
      <c r="B410" s="20">
        <f t="shared" si="62"/>
        <v>16.957799999999999</v>
      </c>
      <c r="C410" s="20">
        <f t="shared" si="64"/>
        <v>17.794</v>
      </c>
      <c r="D410" s="20">
        <f t="shared" si="65"/>
        <v>16.887599999999999</v>
      </c>
      <c r="E410" s="20">
        <f t="shared" si="66"/>
        <v>7.5324999999999998</v>
      </c>
      <c r="F410" s="20">
        <f t="shared" si="67"/>
        <v>20.5764</v>
      </c>
      <c r="G410" s="20">
        <f t="shared" si="68"/>
        <v>17.1081</v>
      </c>
      <c r="H410" s="1239">
        <f t="shared" si="69"/>
        <v>17.1081</v>
      </c>
      <c r="I410" s="1243">
        <f t="shared" si="63"/>
        <v>-8.7853122205272527E-3</v>
      </c>
      <c r="J410" s="1243">
        <f t="shared" si="70"/>
        <v>0.12093838824177333</v>
      </c>
      <c r="K410" s="1243">
        <f t="shared" si="71"/>
        <v>0.1</v>
      </c>
      <c r="L410" s="203"/>
      <c r="N410" s="1425">
        <v>44641</v>
      </c>
      <c r="O410" s="1502">
        <v>16.957799999999999</v>
      </c>
      <c r="P410" s="1502">
        <v>6.2851999999999997</v>
      </c>
      <c r="Q410" s="1502">
        <v>15.6113</v>
      </c>
      <c r="R410" s="1233">
        <f>'B. PE'!$U$23</f>
        <v>15.978235616082999</v>
      </c>
      <c r="S410" s="1233"/>
      <c r="T410" s="1233"/>
      <c r="V410" s="1425">
        <v>44641</v>
      </c>
      <c r="W410" s="1">
        <v>17.794</v>
      </c>
      <c r="X410" s="1">
        <v>2.6562000000000001</v>
      </c>
      <c r="Y410" s="1">
        <v>13.271000000000001</v>
      </c>
      <c r="Z410" s="1">
        <v>1.9507099999999999</v>
      </c>
      <c r="AB410" s="1425">
        <v>44617</v>
      </c>
      <c r="AC410" s="1">
        <v>8.7844999999999995</v>
      </c>
      <c r="AD410" s="1502">
        <v>1.4373</v>
      </c>
      <c r="AE410" s="1">
        <v>5.1505999999999998</v>
      </c>
      <c r="AF410" s="1">
        <v>4.0419999999999998E-2</v>
      </c>
      <c r="AH410" s="1425">
        <v>44617</v>
      </c>
      <c r="AI410" s="1">
        <v>14.957599999999999</v>
      </c>
      <c r="AJ410" s="1">
        <v>2.7547000000000001</v>
      </c>
      <c r="AK410" s="1">
        <v>7.3066000000000004</v>
      </c>
      <c r="AL410" s="1">
        <v>4.5999999999999999E-2</v>
      </c>
      <c r="AN410" s="1425">
        <v>44623</v>
      </c>
      <c r="AO410" s="1">
        <v>7.5324999999999998</v>
      </c>
      <c r="AP410" s="1">
        <v>1.1111</v>
      </c>
      <c r="AQ410" s="1">
        <v>4.7949000000000002</v>
      </c>
      <c r="AR410" s="1">
        <v>0.28101999999999999</v>
      </c>
      <c r="AT410" s="1425">
        <v>44623</v>
      </c>
      <c r="AU410" s="1">
        <v>8.4488000000000003</v>
      </c>
      <c r="AV410" s="1">
        <v>0.55379999999999996</v>
      </c>
      <c r="AW410" s="1">
        <v>5.8338999999999999</v>
      </c>
      <c r="AX410" s="1">
        <v>0.14646000000000001</v>
      </c>
      <c r="BA410" s="1425">
        <v>44620</v>
      </c>
      <c r="BB410" s="1">
        <v>17.7746</v>
      </c>
      <c r="BC410" s="1">
        <v>4.3082000000000003</v>
      </c>
      <c r="BD410" s="1">
        <v>18.6126</v>
      </c>
      <c r="BE410" s="1">
        <v>1.12032</v>
      </c>
      <c r="BG410" s="1425">
        <v>44620</v>
      </c>
      <c r="BH410" s="1">
        <v>21.595099999999999</v>
      </c>
      <c r="BI410" s="1">
        <v>5.7214999999999998</v>
      </c>
      <c r="BJ410" s="1">
        <v>27.8033</v>
      </c>
      <c r="BT410" s="1425">
        <v>44641</v>
      </c>
      <c r="BU410" s="1">
        <v>18.9163</v>
      </c>
      <c r="BV410" s="1">
        <v>4.7230999999999996</v>
      </c>
      <c r="BW410" s="1">
        <v>11.620900000000001</v>
      </c>
      <c r="BX410" s="1">
        <v>2.8595999999999999</v>
      </c>
      <c r="BZ410" s="1425">
        <v>44641</v>
      </c>
      <c r="CA410" s="1">
        <v>26.180499999999999</v>
      </c>
      <c r="CB410" s="1">
        <v>6.9896000000000003</v>
      </c>
      <c r="CC410" s="1">
        <v>26.054099999999998</v>
      </c>
      <c r="CD410" s="1">
        <v>3.6957499999999999</v>
      </c>
      <c r="CF410" s="1425">
        <v>44638</v>
      </c>
      <c r="CG410" s="1">
        <v>7.8419999999999996</v>
      </c>
      <c r="CH410" s="1">
        <v>2.5626000000000002</v>
      </c>
      <c r="CI410" s="1">
        <v>5.1124999999999998</v>
      </c>
      <c r="CL410" s="1425">
        <v>44644</v>
      </c>
      <c r="CM410" s="1">
        <v>22.745699999999999</v>
      </c>
      <c r="CN410" s="1">
        <v>2.8210000000000002</v>
      </c>
      <c r="CO410" s="1">
        <v>12.1653</v>
      </c>
    </row>
    <row r="411" spans="1:93">
      <c r="A411" s="1425">
        <v>44638</v>
      </c>
      <c r="B411" s="20">
        <f t="shared" si="62"/>
        <v>16.703099999999999</v>
      </c>
      <c r="C411" s="20">
        <f t="shared" si="64"/>
        <v>17.065000000000001</v>
      </c>
      <c r="D411" s="20">
        <f t="shared" si="65"/>
        <v>16.284500000000001</v>
      </c>
      <c r="E411" s="20">
        <f t="shared" si="66"/>
        <v>7.4675000000000002</v>
      </c>
      <c r="F411" s="20">
        <f t="shared" si="67"/>
        <v>22.613700000000001</v>
      </c>
      <c r="G411" s="20">
        <f t="shared" si="68"/>
        <v>17.1081</v>
      </c>
      <c r="H411" s="1239">
        <f t="shared" si="69"/>
        <v>17.065000000000001</v>
      </c>
      <c r="I411" s="1243">
        <f t="shared" si="63"/>
        <v>-2.120714913565791E-2</v>
      </c>
      <c r="J411" s="1243">
        <f t="shared" si="70"/>
        <v>0.12093838824177333</v>
      </c>
      <c r="K411" s="1243">
        <f t="shared" si="71"/>
        <v>0.1</v>
      </c>
      <c r="L411" s="203"/>
      <c r="N411" s="1425">
        <v>44638</v>
      </c>
      <c r="O411" s="1502">
        <v>16.703099999999999</v>
      </c>
      <c r="P411" s="1502">
        <v>6.1908000000000003</v>
      </c>
      <c r="Q411" s="1502">
        <v>15.3687</v>
      </c>
      <c r="R411" s="1233">
        <f>'B. PE'!$U$23</f>
        <v>15.978235616082999</v>
      </c>
      <c r="S411" s="1233"/>
      <c r="T411" s="1233"/>
      <c r="V411" s="1425">
        <v>44638</v>
      </c>
      <c r="W411" s="1">
        <v>17.065000000000001</v>
      </c>
      <c r="X411" s="1">
        <v>2.5474000000000001</v>
      </c>
      <c r="Y411" s="1">
        <v>12.7829</v>
      </c>
      <c r="Z411" s="1">
        <v>1.8730100000000001</v>
      </c>
      <c r="AB411" s="1425">
        <v>44616</v>
      </c>
      <c r="AC411" s="1">
        <v>8.8636999999999997</v>
      </c>
      <c r="AD411" s="1502">
        <v>1.4502999999999999</v>
      </c>
      <c r="AE411" s="1">
        <v>5.1885000000000003</v>
      </c>
      <c r="AF411" s="1">
        <v>3.9609999999999999E-2</v>
      </c>
      <c r="AH411" s="1425">
        <v>44616</v>
      </c>
      <c r="AI411" s="1">
        <v>15.3195</v>
      </c>
      <c r="AJ411" s="1">
        <v>2.8214000000000001</v>
      </c>
      <c r="AK411" s="1">
        <v>7.4957000000000003</v>
      </c>
      <c r="AL411" s="1">
        <v>4.6219999999999997E-2</v>
      </c>
      <c r="AN411" s="1425">
        <v>44622</v>
      </c>
      <c r="AO411" s="1">
        <v>7.5324999999999998</v>
      </c>
      <c r="AP411" s="1">
        <v>1.1111</v>
      </c>
      <c r="AQ411" s="1">
        <v>4.7949000000000002</v>
      </c>
      <c r="AR411" s="1">
        <v>0.28383999999999998</v>
      </c>
      <c r="AT411" s="1425">
        <v>44622</v>
      </c>
      <c r="AU411" s="1">
        <v>8.3102</v>
      </c>
      <c r="AV411" s="1">
        <v>0.54469999999999996</v>
      </c>
      <c r="AW411" s="1">
        <v>5.7567000000000004</v>
      </c>
      <c r="AX411" s="1">
        <v>0.14310999999999999</v>
      </c>
      <c r="BA411" s="1425">
        <v>44617</v>
      </c>
      <c r="BB411" s="1">
        <v>17.441299999999998</v>
      </c>
      <c r="BC411" s="1">
        <v>4.2274000000000003</v>
      </c>
      <c r="BD411" s="1">
        <v>18.343599999999999</v>
      </c>
      <c r="BE411" s="1">
        <v>1.20058</v>
      </c>
      <c r="BG411" s="1425">
        <v>44617</v>
      </c>
      <c r="BH411" s="1">
        <v>21.7988</v>
      </c>
      <c r="BI411" s="1">
        <v>5.7755000000000001</v>
      </c>
      <c r="BJ411" s="1">
        <v>28.037700000000001</v>
      </c>
      <c r="BT411" s="1425">
        <v>44638</v>
      </c>
      <c r="BU411" s="1">
        <v>18.453600000000002</v>
      </c>
      <c r="BV411" s="1">
        <v>4.6075999999999997</v>
      </c>
      <c r="BW411" s="1">
        <v>11.354100000000001</v>
      </c>
      <c r="BX411" s="1">
        <v>2.8721000000000001</v>
      </c>
      <c r="BZ411" s="1425">
        <v>44638</v>
      </c>
      <c r="CA411" s="1">
        <v>25.771100000000001</v>
      </c>
      <c r="CB411" s="1">
        <v>6.8803000000000001</v>
      </c>
      <c r="CC411" s="1">
        <v>25.7334</v>
      </c>
      <c r="CD411" s="1">
        <v>3.4567199999999998</v>
      </c>
      <c r="CF411" s="1425">
        <v>44637</v>
      </c>
      <c r="CG411" s="1">
        <v>7.9268000000000001</v>
      </c>
      <c r="CH411" s="1">
        <v>2.5903</v>
      </c>
      <c r="CI411" s="1">
        <v>5.181</v>
      </c>
      <c r="CL411" s="1425">
        <v>44643</v>
      </c>
      <c r="CM411" s="1">
        <v>23.006699999999999</v>
      </c>
      <c r="CN411" s="1">
        <v>2.8534000000000002</v>
      </c>
      <c r="CO411" s="1">
        <v>12.305099999999999</v>
      </c>
    </row>
    <row r="412" spans="1:93">
      <c r="A412" s="1425">
        <v>44637</v>
      </c>
      <c r="B412" s="20">
        <f t="shared" si="62"/>
        <v>16.756799999999998</v>
      </c>
      <c r="C412" s="20">
        <f t="shared" si="64"/>
        <v>17.562100000000001</v>
      </c>
      <c r="D412" s="20">
        <f t="shared" si="65"/>
        <v>16.284500000000001</v>
      </c>
      <c r="E412" s="20">
        <f t="shared" si="66"/>
        <v>7.5324999999999998</v>
      </c>
      <c r="F412" s="20">
        <f t="shared" si="67"/>
        <v>22.002500000000001</v>
      </c>
      <c r="G412" s="20">
        <f t="shared" si="68"/>
        <v>16.885899999999999</v>
      </c>
      <c r="H412" s="1239">
        <f t="shared" si="69"/>
        <v>16.885899999999999</v>
      </c>
      <c r="I412" s="1243">
        <f t="shared" si="63"/>
        <v>-7.6454319876346766E-3</v>
      </c>
      <c r="J412" s="1243">
        <f t="shared" si="70"/>
        <v>0.12093838824177333</v>
      </c>
      <c r="K412" s="1243">
        <f t="shared" si="71"/>
        <v>0.1</v>
      </c>
      <c r="L412" s="203"/>
      <c r="N412" s="1425">
        <v>44637</v>
      </c>
      <c r="O412" s="1502">
        <v>16.756799999999998</v>
      </c>
      <c r="P412" s="1502">
        <v>6.2107000000000001</v>
      </c>
      <c r="Q412" s="1502">
        <v>15.4198</v>
      </c>
      <c r="R412" s="1233">
        <f>'B. PE'!$U$23</f>
        <v>15.978235616082999</v>
      </c>
      <c r="S412" s="1233"/>
      <c r="T412" s="1233"/>
      <c r="V412" s="1425">
        <v>44637</v>
      </c>
      <c r="W412" s="1">
        <v>17.562100000000001</v>
      </c>
      <c r="X412" s="1">
        <v>2.6215999999999999</v>
      </c>
      <c r="Y412" s="1">
        <v>13.1157</v>
      </c>
      <c r="Z412" s="1">
        <v>1.79057</v>
      </c>
      <c r="AB412" s="1425">
        <v>44615</v>
      </c>
      <c r="AC412" s="1">
        <v>9.1801999999999992</v>
      </c>
      <c r="AD412" s="1502">
        <v>1.5021</v>
      </c>
      <c r="AE412" s="1">
        <v>5.3403</v>
      </c>
      <c r="AF412" s="1">
        <v>4.0779999999999997E-2</v>
      </c>
      <c r="AH412" s="1425">
        <v>44615</v>
      </c>
      <c r="AI412" s="1">
        <v>15.922599999999999</v>
      </c>
      <c r="AJ412" s="1">
        <v>2.9325000000000001</v>
      </c>
      <c r="AK412" s="1">
        <v>7.8109000000000002</v>
      </c>
      <c r="AL412" s="1">
        <v>4.7050000000000002E-2</v>
      </c>
      <c r="AN412" s="1425">
        <v>44621</v>
      </c>
      <c r="AO412" s="1">
        <v>7.6623000000000001</v>
      </c>
      <c r="AP412" s="1">
        <v>1.1303000000000001</v>
      </c>
      <c r="AQ412" s="1">
        <v>4.8940000000000001</v>
      </c>
      <c r="AR412" s="1">
        <v>0.28338999999999998</v>
      </c>
      <c r="AT412" s="1425">
        <v>44621</v>
      </c>
      <c r="AU412" s="1">
        <v>8.5180000000000007</v>
      </c>
      <c r="AV412" s="1">
        <v>0.55830000000000002</v>
      </c>
      <c r="AW412" s="1">
        <v>5.8724999999999996</v>
      </c>
      <c r="AX412" s="1">
        <v>0.14408000000000001</v>
      </c>
      <c r="BA412" s="1425">
        <v>44616</v>
      </c>
      <c r="BB412" s="1">
        <v>16.330400000000001</v>
      </c>
      <c r="BC412" s="1">
        <v>3.9581</v>
      </c>
      <c r="BD412" s="1">
        <v>17.446899999999999</v>
      </c>
      <c r="BE412" s="1">
        <v>1.18747</v>
      </c>
      <c r="BG412" s="1425">
        <v>44616</v>
      </c>
      <c r="BH412" s="1">
        <v>21.391300000000001</v>
      </c>
      <c r="BI412" s="1">
        <v>5.6676000000000002</v>
      </c>
      <c r="BJ412" s="1">
        <v>27.568899999999999</v>
      </c>
      <c r="BT412" s="1425">
        <v>44637</v>
      </c>
      <c r="BU412" s="1">
        <v>18.3414</v>
      </c>
      <c r="BV412" s="1">
        <v>4.5795000000000003</v>
      </c>
      <c r="BW412" s="1">
        <v>11.289400000000001</v>
      </c>
      <c r="BX412" s="1">
        <v>2.8696999999999999</v>
      </c>
      <c r="BZ412" s="1425">
        <v>44637</v>
      </c>
      <c r="CA412" s="1">
        <v>25.949100000000001</v>
      </c>
      <c r="CB412" s="1">
        <v>6.9279000000000002</v>
      </c>
      <c r="CC412" s="1">
        <v>25.872800000000002</v>
      </c>
      <c r="CD412" s="1">
        <v>3.2284899999999999</v>
      </c>
      <c r="CF412" s="1425">
        <v>44636</v>
      </c>
      <c r="CG412" s="1">
        <v>7.6513</v>
      </c>
      <c r="CH412" s="1">
        <v>2.5003000000000002</v>
      </c>
      <c r="CI412" s="1">
        <v>4.9581999999999997</v>
      </c>
      <c r="CL412" s="1425">
        <v>44642</v>
      </c>
      <c r="CM412" s="1">
        <v>22.905200000000001</v>
      </c>
      <c r="CN412" s="1">
        <v>2.8408000000000002</v>
      </c>
      <c r="CO412" s="1">
        <v>12.2508</v>
      </c>
    </row>
    <row r="413" spans="1:93">
      <c r="A413" s="1425">
        <v>44636</v>
      </c>
      <c r="B413" s="20">
        <f t="shared" si="62"/>
        <v>15.6709</v>
      </c>
      <c r="C413" s="20">
        <f t="shared" si="64"/>
        <v>16.866199999999999</v>
      </c>
      <c r="D413" s="20">
        <f t="shared" si="65"/>
        <v>15.440099999999999</v>
      </c>
      <c r="E413" s="20">
        <f t="shared" si="66"/>
        <v>7.4675000000000002</v>
      </c>
      <c r="F413" s="20">
        <f t="shared" si="67"/>
        <v>20.5764</v>
      </c>
      <c r="G413" s="20">
        <f t="shared" si="68"/>
        <v>16.885899999999999</v>
      </c>
      <c r="H413" s="1239">
        <f t="shared" si="69"/>
        <v>16.866199999999999</v>
      </c>
      <c r="I413" s="1243">
        <f t="shared" si="63"/>
        <v>-7.0869549750388283E-2</v>
      </c>
      <c r="J413" s="1243">
        <f t="shared" si="70"/>
        <v>0.12093838824177333</v>
      </c>
      <c r="K413" s="1243">
        <f t="shared" si="71"/>
        <v>0.1</v>
      </c>
      <c r="L413" s="203"/>
      <c r="N413" s="1425">
        <v>44636</v>
      </c>
      <c r="O413" s="1502">
        <v>15.6709</v>
      </c>
      <c r="P413" s="1502">
        <v>5.8082000000000003</v>
      </c>
      <c r="Q413" s="1502">
        <v>14.3855</v>
      </c>
      <c r="R413" s="1233">
        <f>'B. PE'!$U$23</f>
        <v>15.978235616082999</v>
      </c>
      <c r="S413" s="1233"/>
      <c r="T413" s="1233"/>
      <c r="V413" s="1425">
        <v>44636</v>
      </c>
      <c r="W413" s="1">
        <v>16.866199999999999</v>
      </c>
      <c r="X413" s="1">
        <v>2.5177</v>
      </c>
      <c r="Y413" s="1">
        <v>12.649800000000001</v>
      </c>
      <c r="Z413" s="1">
        <v>1.85012</v>
      </c>
      <c r="AB413" s="1425">
        <v>44614</v>
      </c>
      <c r="AC413" s="1">
        <v>9.0220000000000002</v>
      </c>
      <c r="AD413" s="1502">
        <v>1.4762</v>
      </c>
      <c r="AE413" s="1">
        <v>5.2644000000000002</v>
      </c>
      <c r="AF413" s="1">
        <v>0.04</v>
      </c>
      <c r="AH413" s="1425">
        <v>44614</v>
      </c>
      <c r="AI413" s="1">
        <v>16.043299999999999</v>
      </c>
      <c r="AJ413" s="1">
        <v>2.9546999999999999</v>
      </c>
      <c r="AK413" s="1">
        <v>7.8739999999999997</v>
      </c>
      <c r="AL413" s="1">
        <v>4.7300000000000002E-2</v>
      </c>
      <c r="AN413" s="1425">
        <v>44620</v>
      </c>
      <c r="AO413" s="1">
        <v>7.7272999999999996</v>
      </c>
      <c r="AP413" s="1">
        <v>1.1398999999999999</v>
      </c>
      <c r="AQ413" s="1">
        <v>4.9436</v>
      </c>
      <c r="AR413" s="1">
        <v>0.28071000000000002</v>
      </c>
      <c r="AT413" s="1425">
        <v>44620</v>
      </c>
      <c r="AU413" s="1">
        <v>8.3102</v>
      </c>
      <c r="AV413" s="1">
        <v>0.54469999999999996</v>
      </c>
      <c r="AW413" s="1">
        <v>5.7539999999999996</v>
      </c>
      <c r="AX413" s="1">
        <v>0.14391999999999999</v>
      </c>
      <c r="BA413" s="1425">
        <v>44615</v>
      </c>
      <c r="BB413" s="1">
        <v>17.219200000000001</v>
      </c>
      <c r="BC413" s="1">
        <v>4.1734999999999998</v>
      </c>
      <c r="BD413" s="1">
        <v>18.164200000000001</v>
      </c>
      <c r="BE413" s="1">
        <v>1.20245</v>
      </c>
      <c r="BG413" s="1425">
        <v>44615</v>
      </c>
      <c r="BH413" s="1">
        <v>22.613700000000001</v>
      </c>
      <c r="BI413" s="1">
        <v>5.9913999999999996</v>
      </c>
      <c r="BJ413" s="1">
        <v>28.975200000000001</v>
      </c>
      <c r="BT413" s="1425">
        <v>44636</v>
      </c>
      <c r="BU413" s="1">
        <v>18.4255</v>
      </c>
      <c r="BV413" s="1">
        <v>4.6006</v>
      </c>
      <c r="BW413" s="1">
        <v>11.337899999999999</v>
      </c>
      <c r="BX413" s="1">
        <v>2.8774000000000002</v>
      </c>
      <c r="BZ413" s="1425">
        <v>44636</v>
      </c>
      <c r="CA413" s="1">
        <v>24.2761</v>
      </c>
      <c r="CB413" s="1">
        <v>6.4812000000000003</v>
      </c>
      <c r="CC413" s="1">
        <v>24.562000000000001</v>
      </c>
      <c r="CD413" s="1">
        <v>3.1613600000000002</v>
      </c>
      <c r="CF413" s="1425">
        <v>44635</v>
      </c>
      <c r="CG413" s="1">
        <v>7.5240999999999998</v>
      </c>
      <c r="CH413" s="1">
        <v>2.4586999999999999</v>
      </c>
      <c r="CI413" s="1">
        <v>4.8554000000000004</v>
      </c>
      <c r="CL413" s="1425">
        <v>44641</v>
      </c>
      <c r="CM413" s="1">
        <v>23.1371</v>
      </c>
      <c r="CN413" s="1">
        <v>2.8694999999999999</v>
      </c>
      <c r="CO413" s="1">
        <v>12.375</v>
      </c>
    </row>
    <row r="414" spans="1:93">
      <c r="A414" s="1425">
        <v>44635</v>
      </c>
      <c r="B414" s="20">
        <f t="shared" si="62"/>
        <v>15.081099999999999</v>
      </c>
      <c r="C414" s="20">
        <f t="shared" si="64"/>
        <v>16.1372</v>
      </c>
      <c r="D414" s="20">
        <f t="shared" si="65"/>
        <v>15.922599999999999</v>
      </c>
      <c r="E414" s="20">
        <f t="shared" si="66"/>
        <v>7.3376999999999999</v>
      </c>
      <c r="F414" s="20">
        <f t="shared" si="67"/>
        <v>20.1282</v>
      </c>
      <c r="G414" s="20">
        <f t="shared" si="68"/>
        <v>16.330400000000001</v>
      </c>
      <c r="H414" s="1239">
        <f t="shared" si="69"/>
        <v>16.1372</v>
      </c>
      <c r="I414" s="1243">
        <f t="shared" si="63"/>
        <v>-6.5445058622313756E-2</v>
      </c>
      <c r="J414" s="1243">
        <f t="shared" si="70"/>
        <v>0.12093838824177333</v>
      </c>
      <c r="K414" s="1243">
        <f t="shared" si="71"/>
        <v>0.1</v>
      </c>
      <c r="L414" s="203"/>
      <c r="N414" s="1425">
        <v>44635</v>
      </c>
      <c r="O414" s="1502">
        <v>15.081099999999999</v>
      </c>
      <c r="P414" s="1502">
        <v>5.5895999999999999</v>
      </c>
      <c r="Q414" s="1502">
        <v>13.823600000000001</v>
      </c>
      <c r="R414" s="1233">
        <f>'B. PE'!$U$23</f>
        <v>15.978235616082999</v>
      </c>
      <c r="S414" s="1233"/>
      <c r="T414" s="1233"/>
      <c r="V414" s="1425">
        <v>44635</v>
      </c>
      <c r="W414" s="1">
        <v>16.1372</v>
      </c>
      <c r="X414" s="1">
        <v>2.4089</v>
      </c>
      <c r="Y414" s="1">
        <v>12.1617</v>
      </c>
      <c r="Z414" s="1">
        <v>1.9332400000000001</v>
      </c>
      <c r="AB414" s="1425">
        <v>44613</v>
      </c>
      <c r="AC414" s="1">
        <v>9.2593999999999994</v>
      </c>
      <c r="AD414" s="1502">
        <v>1.5149999999999999</v>
      </c>
      <c r="AE414" s="1">
        <v>5.3783000000000003</v>
      </c>
      <c r="AF414" s="1">
        <v>3.9419999999999997E-2</v>
      </c>
      <c r="AH414" s="1425">
        <v>44613</v>
      </c>
      <c r="AI414" s="1">
        <v>16.284500000000001</v>
      </c>
      <c r="AJ414" s="1">
        <v>2.9990999999999999</v>
      </c>
      <c r="AK414" s="1">
        <v>8</v>
      </c>
      <c r="AL414" s="1">
        <v>4.7100000000000003E-2</v>
      </c>
      <c r="AN414" s="1425">
        <v>44617</v>
      </c>
      <c r="AO414" s="1">
        <v>7.7272999999999996</v>
      </c>
      <c r="AP414" s="1">
        <v>1.1398999999999999</v>
      </c>
      <c r="AQ414" s="1">
        <v>4.9436</v>
      </c>
      <c r="AR414" s="1">
        <v>0.28669</v>
      </c>
      <c r="AT414" s="1425">
        <v>44617</v>
      </c>
      <c r="AU414" s="1">
        <v>8.3795000000000002</v>
      </c>
      <c r="AV414" s="1">
        <v>0.54920000000000002</v>
      </c>
      <c r="AW414" s="1">
        <v>5.7926000000000002</v>
      </c>
      <c r="AX414" s="1">
        <v>0.14812</v>
      </c>
      <c r="BA414" s="1425">
        <v>44614</v>
      </c>
      <c r="BB414" s="1">
        <v>17.1081</v>
      </c>
      <c r="BC414" s="1">
        <v>4.1466000000000003</v>
      </c>
      <c r="BD414" s="1">
        <v>18.0746</v>
      </c>
      <c r="BE414" s="1">
        <v>1.1652800000000001</v>
      </c>
      <c r="BG414" s="1425">
        <v>44614</v>
      </c>
      <c r="BH414" s="1">
        <v>22.002500000000001</v>
      </c>
      <c r="BI414" s="1">
        <v>5.8295000000000003</v>
      </c>
      <c r="BJ414" s="1">
        <v>28.272099999999998</v>
      </c>
      <c r="BT414" s="1425">
        <v>44635</v>
      </c>
      <c r="BU414" s="1">
        <v>18.4255</v>
      </c>
      <c r="BV414" s="1">
        <v>4.6006</v>
      </c>
      <c r="BW414" s="1">
        <v>11.337899999999999</v>
      </c>
      <c r="BX414" s="1">
        <v>2.9091</v>
      </c>
      <c r="BZ414" s="1425">
        <v>44635</v>
      </c>
      <c r="CA414" s="1">
        <v>22.6921</v>
      </c>
      <c r="CB414" s="1">
        <v>6.0583</v>
      </c>
      <c r="CC414" s="1">
        <v>23.321000000000002</v>
      </c>
      <c r="CD414" s="1">
        <v>3.2638699999999998</v>
      </c>
      <c r="CF414" s="1425">
        <v>44634</v>
      </c>
      <c r="CG414" s="1">
        <v>7.6723999999999997</v>
      </c>
      <c r="CH414" s="1">
        <v>2.5072000000000001</v>
      </c>
      <c r="CI414" s="1">
        <v>4.9753999999999996</v>
      </c>
      <c r="CL414" s="1425">
        <v>44638</v>
      </c>
      <c r="CM414" s="1">
        <v>23.412600000000001</v>
      </c>
      <c r="CN414" s="1">
        <v>2.9037000000000002</v>
      </c>
      <c r="CO414" s="1">
        <v>12.522600000000001</v>
      </c>
    </row>
    <row r="415" spans="1:93">
      <c r="A415" s="1425">
        <v>44634</v>
      </c>
      <c r="B415" s="20">
        <f t="shared" si="62"/>
        <v>15.308999999999999</v>
      </c>
      <c r="C415" s="20">
        <f t="shared" si="64"/>
        <v>16.667400000000001</v>
      </c>
      <c r="D415" s="20">
        <f t="shared" si="65"/>
        <v>16.405100000000001</v>
      </c>
      <c r="E415" s="20">
        <f t="shared" si="66"/>
        <v>7.4675000000000002</v>
      </c>
      <c r="F415" s="20">
        <f t="shared" si="67"/>
        <v>20.372699999999998</v>
      </c>
      <c r="G415" s="20">
        <f t="shared" si="68"/>
        <v>16.1082</v>
      </c>
      <c r="H415" s="1239">
        <f t="shared" si="69"/>
        <v>16.405100000000001</v>
      </c>
      <c r="I415" s="1243">
        <f t="shared" si="63"/>
        <v>-6.6814588146369203E-2</v>
      </c>
      <c r="J415" s="1243">
        <f t="shared" si="70"/>
        <v>0.12093838824177333</v>
      </c>
      <c r="K415" s="1243">
        <f t="shared" si="71"/>
        <v>0.1</v>
      </c>
      <c r="L415" s="203"/>
      <c r="N415" s="1425">
        <v>44634</v>
      </c>
      <c r="O415" s="1502">
        <v>15.308999999999999</v>
      </c>
      <c r="P415" s="1502">
        <v>5.6741000000000001</v>
      </c>
      <c r="Q415" s="1502">
        <v>14.040699999999999</v>
      </c>
      <c r="R415" s="1233">
        <f>'B. PE'!$U$23</f>
        <v>15.978235616082999</v>
      </c>
      <c r="S415" s="1233"/>
      <c r="T415" s="1233"/>
      <c r="V415" s="1425">
        <v>44634</v>
      </c>
      <c r="W415" s="1">
        <v>16.667400000000001</v>
      </c>
      <c r="X415" s="1">
        <v>2.488</v>
      </c>
      <c r="Y415" s="1">
        <v>12.5167</v>
      </c>
      <c r="Z415" s="1">
        <v>1.93099</v>
      </c>
      <c r="AB415" s="1425">
        <v>44610</v>
      </c>
      <c r="AC415" s="1">
        <v>9.1011000000000006</v>
      </c>
      <c r="AD415" s="1502">
        <v>1.4891000000000001</v>
      </c>
      <c r="AE415" s="1">
        <v>5.3023999999999996</v>
      </c>
      <c r="AF415" s="1">
        <v>3.8899999999999997E-2</v>
      </c>
      <c r="AH415" s="1425">
        <v>44610</v>
      </c>
      <c r="AI415" s="1">
        <v>16.405100000000001</v>
      </c>
      <c r="AJ415" s="1">
        <v>3.0213000000000001</v>
      </c>
      <c r="AK415" s="1">
        <v>8.0631000000000004</v>
      </c>
      <c r="AL415" s="1">
        <v>4.8009999999999997E-2</v>
      </c>
      <c r="AN415" s="1425">
        <v>44616</v>
      </c>
      <c r="AO415" s="1">
        <v>7.6623000000000001</v>
      </c>
      <c r="AP415" s="1">
        <v>1.1303000000000001</v>
      </c>
      <c r="AQ415" s="1">
        <v>4.8940000000000001</v>
      </c>
      <c r="AR415" s="1">
        <v>0.28686</v>
      </c>
      <c r="AT415" s="1425">
        <v>44616</v>
      </c>
      <c r="AU415" s="1">
        <v>8.3795000000000002</v>
      </c>
      <c r="AV415" s="1">
        <v>0.54920000000000002</v>
      </c>
      <c r="AW415" s="1">
        <v>5.7926000000000002</v>
      </c>
      <c r="AX415" s="1">
        <v>0.14582000000000001</v>
      </c>
      <c r="BA415" s="1425">
        <v>44613</v>
      </c>
      <c r="BB415" s="1">
        <v>17.219200000000001</v>
      </c>
      <c r="BC415" s="1">
        <v>4.1734999999999998</v>
      </c>
      <c r="BD415" s="1">
        <v>18.164200000000001</v>
      </c>
      <c r="BE415" s="1">
        <v>1.1524700000000001</v>
      </c>
      <c r="BG415" s="1425">
        <v>44613</v>
      </c>
      <c r="BH415" s="1">
        <v>22.41</v>
      </c>
      <c r="BI415" s="1">
        <v>5.9375</v>
      </c>
      <c r="BJ415" s="1">
        <v>28.7409</v>
      </c>
      <c r="BT415" s="1425">
        <v>44634</v>
      </c>
      <c r="BU415" s="1">
        <v>18.467600000000001</v>
      </c>
      <c r="BV415" s="1">
        <v>4.6111000000000004</v>
      </c>
      <c r="BW415" s="1">
        <v>11.3622</v>
      </c>
      <c r="BX415" s="1">
        <v>2.9222000000000001</v>
      </c>
      <c r="BZ415" s="1425">
        <v>44634</v>
      </c>
      <c r="CA415" s="1">
        <v>22.211600000000001</v>
      </c>
      <c r="CB415" s="1">
        <v>5.93</v>
      </c>
      <c r="CC415" s="1">
        <v>22.944500000000001</v>
      </c>
      <c r="CD415" s="1">
        <v>3.2536</v>
      </c>
      <c r="CF415" s="1425">
        <v>44631</v>
      </c>
      <c r="CG415" s="1">
        <v>8.2234999999999996</v>
      </c>
      <c r="CH415" s="1">
        <v>2.6873</v>
      </c>
      <c r="CI415" s="1">
        <v>5.4210000000000003</v>
      </c>
      <c r="CL415" s="1425">
        <v>44637</v>
      </c>
      <c r="CM415" s="1">
        <v>23.0212</v>
      </c>
      <c r="CN415" s="1">
        <v>2.8552</v>
      </c>
      <c r="CO415" s="1">
        <v>12.312900000000001</v>
      </c>
    </row>
    <row r="416" spans="1:93">
      <c r="A416" s="1425">
        <v>44631</v>
      </c>
      <c r="B416" s="20">
        <f t="shared" si="62"/>
        <v>15.952400000000001</v>
      </c>
      <c r="C416" s="20">
        <f t="shared" si="64"/>
        <v>17.3964</v>
      </c>
      <c r="D416" s="20">
        <f t="shared" si="65"/>
        <v>15.6814</v>
      </c>
      <c r="E416" s="20">
        <f t="shared" si="66"/>
        <v>7.5324999999999998</v>
      </c>
      <c r="F416" s="20">
        <f t="shared" si="67"/>
        <v>20.5764</v>
      </c>
      <c r="G416" s="20">
        <f t="shared" si="68"/>
        <v>16.441500000000001</v>
      </c>
      <c r="H416" s="1239">
        <f t="shared" si="69"/>
        <v>16.441500000000001</v>
      </c>
      <c r="I416" s="1243">
        <f t="shared" si="63"/>
        <v>-2.9747894048596568E-2</v>
      </c>
      <c r="J416" s="1243">
        <f t="shared" si="70"/>
        <v>0.12093838824177333</v>
      </c>
      <c r="K416" s="1243">
        <f t="shared" si="71"/>
        <v>0.1</v>
      </c>
      <c r="L416" s="203"/>
      <c r="N416" s="1425">
        <v>44631</v>
      </c>
      <c r="O416" s="1502">
        <v>15.952400000000001</v>
      </c>
      <c r="P416" s="1502">
        <v>5.9126000000000003</v>
      </c>
      <c r="Q416" s="1502">
        <v>14.653600000000001</v>
      </c>
      <c r="R416" s="1233">
        <f>'B. PE'!$U$23</f>
        <v>15.978235616082999</v>
      </c>
      <c r="S416" s="1233"/>
      <c r="T416" s="1233"/>
      <c r="V416" s="1425">
        <v>44631</v>
      </c>
      <c r="W416" s="1">
        <v>17.3964</v>
      </c>
      <c r="X416" s="1">
        <v>2.5968</v>
      </c>
      <c r="Y416" s="1">
        <v>13.004799999999999</v>
      </c>
      <c r="Z416" s="1">
        <v>1.8791500000000001</v>
      </c>
      <c r="AB416" s="1425">
        <v>44609</v>
      </c>
      <c r="AC416" s="1">
        <v>8.9428000000000001</v>
      </c>
      <c r="AD416" s="1502">
        <v>1.4632000000000001</v>
      </c>
      <c r="AE416" s="1">
        <v>5.2264999999999997</v>
      </c>
      <c r="AF416" s="1">
        <v>3.7850000000000002E-2</v>
      </c>
      <c r="AH416" s="1425">
        <v>44609</v>
      </c>
      <c r="AI416" s="1">
        <v>16.284500000000001</v>
      </c>
      <c r="AJ416" s="1">
        <v>2.9990999999999999</v>
      </c>
      <c r="AK416" s="1">
        <v>8</v>
      </c>
      <c r="AL416" s="1">
        <v>4.7660000000000001E-2</v>
      </c>
      <c r="AN416" s="1425">
        <v>44615</v>
      </c>
      <c r="AO416" s="1">
        <v>7.7922000000000002</v>
      </c>
      <c r="AP416" s="1">
        <v>1.1495</v>
      </c>
      <c r="AQ416" s="1">
        <v>4.9931000000000001</v>
      </c>
      <c r="AR416" s="1">
        <v>0.28711999999999999</v>
      </c>
      <c r="AT416" s="1425">
        <v>44615</v>
      </c>
      <c r="AU416" s="1">
        <v>8.5873000000000008</v>
      </c>
      <c r="AV416" s="1">
        <v>0.56289999999999996</v>
      </c>
      <c r="AW416" s="1">
        <v>5.9082999999999997</v>
      </c>
      <c r="AX416" s="1">
        <v>0.14595</v>
      </c>
      <c r="BA416" s="1425">
        <v>44610</v>
      </c>
      <c r="BB416" s="1">
        <v>16.663699999999999</v>
      </c>
      <c r="BC416" s="1">
        <v>4.0388999999999999</v>
      </c>
      <c r="BD416" s="1">
        <v>17.715900000000001</v>
      </c>
      <c r="BE416" s="1">
        <v>1.15008</v>
      </c>
      <c r="BG416" s="1425">
        <v>44610</v>
      </c>
      <c r="BH416" s="1">
        <v>21.7988</v>
      </c>
      <c r="BI416" s="1">
        <v>5.7755000000000001</v>
      </c>
      <c r="BJ416" s="1">
        <v>28.037700000000001</v>
      </c>
      <c r="BT416" s="1425">
        <v>44631</v>
      </c>
      <c r="BU416" s="1">
        <v>18.649899999999999</v>
      </c>
      <c r="BV416" s="1">
        <v>4.6566000000000001</v>
      </c>
      <c r="BW416" s="1">
        <v>11.4673</v>
      </c>
      <c r="BX416" s="1">
        <v>2.9283999999999999</v>
      </c>
      <c r="BZ416" s="1425">
        <v>44631</v>
      </c>
      <c r="CA416" s="1">
        <v>22.9057</v>
      </c>
      <c r="CB416" s="1">
        <v>6.1153000000000004</v>
      </c>
      <c r="CC416" s="1">
        <v>23.488299999999999</v>
      </c>
      <c r="CD416" s="1">
        <v>3.0425599999999999</v>
      </c>
      <c r="CF416" s="1425">
        <v>44630</v>
      </c>
      <c r="CG416" s="1">
        <v>8.6262000000000008</v>
      </c>
      <c r="CH416" s="1">
        <v>2.8189000000000002</v>
      </c>
      <c r="CI416" s="1">
        <v>5.7465999999999999</v>
      </c>
      <c r="CL416" s="1425">
        <v>44636</v>
      </c>
      <c r="CM416" s="1">
        <v>22.919699999999999</v>
      </c>
      <c r="CN416" s="1">
        <v>2.8426</v>
      </c>
      <c r="CO416" s="1">
        <v>12.2585</v>
      </c>
    </row>
    <row r="417" spans="1:93">
      <c r="A417" s="1425">
        <v>44630</v>
      </c>
      <c r="B417" s="20">
        <f t="shared" si="62"/>
        <v>16.1401</v>
      </c>
      <c r="C417" s="20">
        <f t="shared" si="64"/>
        <v>17.363299999999999</v>
      </c>
      <c r="D417" s="20">
        <f t="shared" si="65"/>
        <v>15.802</v>
      </c>
      <c r="E417" s="20">
        <f t="shared" si="66"/>
        <v>7.4675000000000002</v>
      </c>
      <c r="F417" s="20">
        <f t="shared" si="67"/>
        <v>20.1282</v>
      </c>
      <c r="G417" s="20">
        <f t="shared" si="68"/>
        <v>16.441500000000001</v>
      </c>
      <c r="H417" s="1239">
        <f t="shared" si="69"/>
        <v>16.441500000000001</v>
      </c>
      <c r="I417" s="1243">
        <f t="shared" si="63"/>
        <v>-1.8331660736550903E-2</v>
      </c>
      <c r="J417" s="1243">
        <f t="shared" si="70"/>
        <v>0.12093838824177333</v>
      </c>
      <c r="K417" s="1243">
        <f t="shared" si="71"/>
        <v>0.1</v>
      </c>
      <c r="L417" s="203"/>
      <c r="N417" s="1425">
        <v>44630</v>
      </c>
      <c r="O417" s="1502">
        <v>16.1401</v>
      </c>
      <c r="P417" s="1502">
        <v>5.9821</v>
      </c>
      <c r="Q417" s="1502">
        <v>14.8324</v>
      </c>
      <c r="R417" s="1233">
        <f>'B. PE'!$U$23</f>
        <v>15.978235616082999</v>
      </c>
      <c r="S417" s="1233"/>
      <c r="T417" s="1233"/>
      <c r="V417" s="1425">
        <v>44630</v>
      </c>
      <c r="W417" s="1">
        <v>17.363299999999999</v>
      </c>
      <c r="X417" s="1">
        <v>2.5918999999999999</v>
      </c>
      <c r="Y417" s="1">
        <v>12.9826</v>
      </c>
      <c r="Z417" s="1">
        <v>1.9083000000000001</v>
      </c>
      <c r="AB417" s="1425">
        <v>44608</v>
      </c>
      <c r="AC417" s="1">
        <v>8.7844999999999995</v>
      </c>
      <c r="AD417" s="1502">
        <v>1.4373</v>
      </c>
      <c r="AE417" s="1">
        <v>5.1505999999999998</v>
      </c>
      <c r="AF417" s="1">
        <v>3.7400000000000003E-2</v>
      </c>
      <c r="AH417" s="1425">
        <v>44608</v>
      </c>
      <c r="AI417" s="1">
        <v>16.5258</v>
      </c>
      <c r="AJ417" s="1">
        <v>3.0436000000000001</v>
      </c>
      <c r="AK417" s="1">
        <v>8.1260999999999992</v>
      </c>
      <c r="AL417" s="1">
        <v>4.7190000000000003E-2</v>
      </c>
      <c r="AN417" s="1425">
        <v>44614</v>
      </c>
      <c r="AO417" s="1">
        <v>7.7922000000000002</v>
      </c>
      <c r="AP417" s="1">
        <v>1.1495</v>
      </c>
      <c r="AQ417" s="1">
        <v>4.9931000000000001</v>
      </c>
      <c r="AR417" s="1">
        <v>0.27001999999999998</v>
      </c>
      <c r="AT417" s="1425">
        <v>44614</v>
      </c>
      <c r="AU417" s="1">
        <v>8.4488000000000003</v>
      </c>
      <c r="AV417" s="1">
        <v>0.55379999999999996</v>
      </c>
      <c r="AW417" s="1">
        <v>5.8311999999999999</v>
      </c>
      <c r="AX417" s="1">
        <v>0.14576</v>
      </c>
      <c r="BA417" s="1425">
        <v>44609</v>
      </c>
      <c r="BB417" s="1">
        <v>16.441500000000001</v>
      </c>
      <c r="BC417" s="1">
        <v>3.9851000000000001</v>
      </c>
      <c r="BD417" s="1">
        <v>17.5366</v>
      </c>
      <c r="BE417" s="1">
        <v>1.1093999999999999</v>
      </c>
      <c r="BG417" s="1425">
        <v>44609</v>
      </c>
      <c r="BH417" s="1">
        <v>21.595099999999999</v>
      </c>
      <c r="BI417" s="1">
        <v>5.7214999999999998</v>
      </c>
      <c r="BJ417" s="1">
        <v>27.8033</v>
      </c>
      <c r="BT417" s="1425">
        <v>44630</v>
      </c>
      <c r="BU417" s="1">
        <v>18.72</v>
      </c>
      <c r="BV417" s="1">
        <v>4.6741000000000001</v>
      </c>
      <c r="BW417" s="1">
        <v>11.5077</v>
      </c>
      <c r="BX417" s="1">
        <v>2.9367000000000001</v>
      </c>
      <c r="BZ417" s="1425">
        <v>44630</v>
      </c>
      <c r="CA417" s="1">
        <v>22.816700000000001</v>
      </c>
      <c r="CB417" s="1">
        <v>6.0915999999999997</v>
      </c>
      <c r="CC417" s="1">
        <v>23.418600000000001</v>
      </c>
      <c r="CD417" s="1">
        <v>3.0674000000000001</v>
      </c>
      <c r="CF417" s="1425">
        <v>44629</v>
      </c>
      <c r="CG417" s="1">
        <v>8.7533999999999992</v>
      </c>
      <c r="CH417" s="1">
        <v>2.8603999999999998</v>
      </c>
      <c r="CI417" s="1">
        <v>5.8494999999999999</v>
      </c>
      <c r="CL417" s="1425">
        <v>44635</v>
      </c>
      <c r="CM417" s="1">
        <v>22.716699999999999</v>
      </c>
      <c r="CN417" s="1">
        <v>2.8174000000000001</v>
      </c>
      <c r="CO417" s="1">
        <v>12.149800000000001</v>
      </c>
    </row>
    <row r="418" spans="1:93">
      <c r="A418" s="1425">
        <v>44629</v>
      </c>
      <c r="B418" s="20">
        <f t="shared" si="62"/>
        <v>15.8184</v>
      </c>
      <c r="C418" s="20">
        <f t="shared" si="64"/>
        <v>16.8994</v>
      </c>
      <c r="D418" s="20">
        <f t="shared" si="65"/>
        <v>15.802</v>
      </c>
      <c r="E418" s="20">
        <f t="shared" si="66"/>
        <v>7.4675000000000002</v>
      </c>
      <c r="F418" s="20">
        <f t="shared" si="67"/>
        <v>20.372699999999998</v>
      </c>
      <c r="G418" s="20">
        <f t="shared" si="68"/>
        <v>16.774799999999999</v>
      </c>
      <c r="H418" s="1239">
        <f t="shared" si="69"/>
        <v>16.774799999999999</v>
      </c>
      <c r="I418" s="1243">
        <f t="shared" si="63"/>
        <v>-5.7014092567422514E-2</v>
      </c>
      <c r="J418" s="1243">
        <f t="shared" si="70"/>
        <v>0.12093838824177333</v>
      </c>
      <c r="K418" s="1243">
        <f t="shared" si="71"/>
        <v>0.1</v>
      </c>
      <c r="L418" s="203"/>
      <c r="N418" s="1425">
        <v>44629</v>
      </c>
      <c r="O418" s="1502">
        <v>15.8184</v>
      </c>
      <c r="P418" s="1502">
        <v>5.8628999999999998</v>
      </c>
      <c r="Q418" s="1502">
        <v>14.5259</v>
      </c>
      <c r="R418" s="1233">
        <f>'B. PE'!$U$23</f>
        <v>15.978235616082999</v>
      </c>
      <c r="S418" s="1233"/>
      <c r="T418" s="1233"/>
      <c r="V418" s="1425">
        <v>44629</v>
      </c>
      <c r="W418" s="1">
        <v>16.8994</v>
      </c>
      <c r="X418" s="1">
        <v>2.5226000000000002</v>
      </c>
      <c r="Y418" s="1">
        <v>12.672000000000001</v>
      </c>
      <c r="Z418" s="1">
        <v>2.0482900000000002</v>
      </c>
      <c r="AB418" s="1425">
        <v>44607</v>
      </c>
      <c r="AC418" s="1">
        <v>8.5471000000000004</v>
      </c>
      <c r="AD418" s="1502">
        <v>1.3985000000000001</v>
      </c>
      <c r="AE418" s="1">
        <v>5.0368000000000004</v>
      </c>
      <c r="AF418" s="1">
        <v>3.8089999999999999E-2</v>
      </c>
      <c r="AH418" s="1425">
        <v>44607</v>
      </c>
      <c r="AI418" s="1">
        <v>16.405100000000001</v>
      </c>
      <c r="AJ418" s="1">
        <v>3.0213000000000001</v>
      </c>
      <c r="AK418" s="1">
        <v>8.0631000000000004</v>
      </c>
      <c r="AL418" s="1">
        <v>4.9270000000000001E-2</v>
      </c>
      <c r="AN418" s="1425">
        <v>44613</v>
      </c>
      <c r="AO418" s="1">
        <v>7.7922000000000002</v>
      </c>
      <c r="AP418" s="1">
        <v>1.1495</v>
      </c>
      <c r="AQ418" s="1">
        <v>4.9931000000000001</v>
      </c>
      <c r="AR418" s="1">
        <v>0.26755000000000001</v>
      </c>
      <c r="AT418" s="1425">
        <v>44613</v>
      </c>
      <c r="AU418" s="1">
        <v>8.4488000000000003</v>
      </c>
      <c r="AV418" s="1">
        <v>0.55379999999999996</v>
      </c>
      <c r="AW418" s="1">
        <v>5.8311999999999999</v>
      </c>
      <c r="AX418" s="1">
        <v>0.14929999999999999</v>
      </c>
      <c r="BA418" s="1425">
        <v>44607</v>
      </c>
      <c r="BB418" s="1">
        <v>16.552600000000002</v>
      </c>
      <c r="BC418" s="1">
        <v>4.0119999999999996</v>
      </c>
      <c r="BD418" s="1">
        <v>17.626200000000001</v>
      </c>
      <c r="BE418" s="1">
        <v>1.12554</v>
      </c>
      <c r="BG418" s="1425">
        <v>44607</v>
      </c>
      <c r="BH418" s="1">
        <v>20.5764</v>
      </c>
      <c r="BI418" s="1">
        <v>5.4516999999999998</v>
      </c>
      <c r="BJ418" s="1">
        <v>26.631399999999999</v>
      </c>
      <c r="BT418" s="1425">
        <v>44629</v>
      </c>
      <c r="BU418" s="1">
        <v>18.7621</v>
      </c>
      <c r="BV418" s="1">
        <v>4.6845999999999997</v>
      </c>
      <c r="BW418" s="1">
        <v>11.532</v>
      </c>
      <c r="BX418" s="1">
        <v>2.9367000000000001</v>
      </c>
      <c r="BZ418" s="1425">
        <v>44629</v>
      </c>
      <c r="CA418" s="1">
        <v>21.339500000000001</v>
      </c>
      <c r="CB418" s="1">
        <v>5.6971999999999996</v>
      </c>
      <c r="CC418" s="1">
        <v>22.261199999999999</v>
      </c>
      <c r="CD418" s="1">
        <v>3.2982800000000001</v>
      </c>
      <c r="CF418" s="1425">
        <v>44628</v>
      </c>
      <c r="CG418" s="1">
        <v>8.7533999999999992</v>
      </c>
      <c r="CH418" s="1">
        <v>2.8603999999999998</v>
      </c>
      <c r="CI418" s="1">
        <v>5.8494999999999999</v>
      </c>
      <c r="CL418" s="1425">
        <v>44634</v>
      </c>
      <c r="CM418" s="1">
        <v>22.180299999999999</v>
      </c>
      <c r="CN418" s="1">
        <v>2.7509000000000001</v>
      </c>
      <c r="CO418" s="1">
        <v>11.862399999999999</v>
      </c>
    </row>
    <row r="419" spans="1:93">
      <c r="A419" s="1425">
        <v>44628</v>
      </c>
      <c r="B419" s="20">
        <f t="shared" si="62"/>
        <v>15.9122</v>
      </c>
      <c r="C419" s="20">
        <f t="shared" si="64"/>
        <v>17.164400000000001</v>
      </c>
      <c r="D419" s="20">
        <f t="shared" si="65"/>
        <v>15.440099999999999</v>
      </c>
      <c r="E419" s="20">
        <f t="shared" si="66"/>
        <v>7.2077999999999998</v>
      </c>
      <c r="F419" s="20">
        <f t="shared" si="67"/>
        <v>20.046700000000001</v>
      </c>
      <c r="G419" s="20">
        <f t="shared" si="68"/>
        <v>16.1082</v>
      </c>
      <c r="H419" s="1239">
        <f t="shared" si="69"/>
        <v>16.1082</v>
      </c>
      <c r="I419" s="1243">
        <f t="shared" si="63"/>
        <v>-1.2167715821755354E-2</v>
      </c>
      <c r="J419" s="1243">
        <f t="shared" si="70"/>
        <v>0.12093838824177333</v>
      </c>
      <c r="K419" s="1243">
        <f t="shared" si="71"/>
        <v>0.1</v>
      </c>
      <c r="L419" s="203"/>
      <c r="N419" s="1425">
        <v>44628</v>
      </c>
      <c r="O419" s="1502">
        <v>15.9122</v>
      </c>
      <c r="P419" s="1502">
        <v>5.8977000000000004</v>
      </c>
      <c r="Q419" s="1502">
        <v>14.6153</v>
      </c>
      <c r="R419" s="1233">
        <f>'B. PE'!$U$23</f>
        <v>15.978235616082999</v>
      </c>
      <c r="S419" s="1233"/>
      <c r="T419" s="1233"/>
      <c r="V419" s="1425">
        <v>44628</v>
      </c>
      <c r="W419" s="1">
        <v>17.164400000000001</v>
      </c>
      <c r="X419" s="1">
        <v>2.5621999999999998</v>
      </c>
      <c r="Y419" s="1">
        <v>12.849500000000001</v>
      </c>
      <c r="Z419" s="1">
        <v>1.99004</v>
      </c>
      <c r="AB419" s="1425">
        <v>44606</v>
      </c>
      <c r="AC419" s="1">
        <v>8.468</v>
      </c>
      <c r="AD419" s="1502">
        <v>1.3855</v>
      </c>
      <c r="AE419" s="1">
        <v>4.9988000000000001</v>
      </c>
      <c r="AF419" s="1">
        <v>3.8390000000000001E-2</v>
      </c>
      <c r="AH419" s="1425">
        <v>44606</v>
      </c>
      <c r="AI419" s="1">
        <v>16.284500000000001</v>
      </c>
      <c r="AJ419" s="1">
        <v>2.9990999999999999</v>
      </c>
      <c r="AK419" s="1">
        <v>8</v>
      </c>
      <c r="AL419" s="1">
        <v>4.956E-2</v>
      </c>
      <c r="AN419" s="1425">
        <v>44610</v>
      </c>
      <c r="AO419" s="1">
        <v>7.3376999999999999</v>
      </c>
      <c r="AP419" s="1">
        <v>1.0824</v>
      </c>
      <c r="AQ419" s="1">
        <v>4.6463000000000001</v>
      </c>
      <c r="AR419" s="1">
        <v>0.26761000000000001</v>
      </c>
      <c r="AT419" s="1425">
        <v>44610</v>
      </c>
      <c r="AU419" s="1">
        <v>8.4488000000000003</v>
      </c>
      <c r="AV419" s="1">
        <v>0.55379999999999996</v>
      </c>
      <c r="AW419" s="1">
        <v>5.8311999999999999</v>
      </c>
      <c r="BA419" s="1425">
        <v>44606</v>
      </c>
      <c r="BB419" s="1">
        <v>15.9971</v>
      </c>
      <c r="BC419" s="1">
        <v>3.8773</v>
      </c>
      <c r="BD419" s="1">
        <v>17.177900000000001</v>
      </c>
      <c r="BE419" s="1">
        <v>1.1340600000000001</v>
      </c>
      <c r="BG419" s="1425">
        <v>44606</v>
      </c>
      <c r="BH419" s="1">
        <v>20.209700000000002</v>
      </c>
      <c r="BI419" s="1">
        <v>5.3544999999999998</v>
      </c>
      <c r="BJ419" s="1">
        <v>26.209499999999998</v>
      </c>
      <c r="BT419" s="1425">
        <v>44628</v>
      </c>
      <c r="BU419" s="1">
        <v>18.818200000000001</v>
      </c>
      <c r="BV419" s="1">
        <v>4.6985999999999999</v>
      </c>
      <c r="BW419" s="1">
        <v>11.564299999999999</v>
      </c>
      <c r="BX419" s="1">
        <v>2.9727000000000001</v>
      </c>
      <c r="BZ419" s="1425">
        <v>44628</v>
      </c>
      <c r="CA419" s="1">
        <v>21.517399999999999</v>
      </c>
      <c r="CB419" s="1">
        <v>5.7446999999999999</v>
      </c>
      <c r="CC419" s="1">
        <v>22.400600000000001</v>
      </c>
      <c r="CD419" s="1">
        <v>3.2994300000000001</v>
      </c>
      <c r="CF419" s="1425">
        <v>44627</v>
      </c>
      <c r="CG419" s="1">
        <v>9.3043999999999993</v>
      </c>
      <c r="CH419" s="1">
        <v>3.0405000000000002</v>
      </c>
      <c r="CI419" s="1">
        <v>6.2950999999999997</v>
      </c>
      <c r="CL419" s="1425">
        <v>44631</v>
      </c>
      <c r="CM419" s="1">
        <v>22.223800000000001</v>
      </c>
      <c r="CN419" s="1">
        <v>2.7563</v>
      </c>
      <c r="CO419" s="1">
        <v>11.8857</v>
      </c>
    </row>
    <row r="420" spans="1:93">
      <c r="A420" s="1425">
        <v>44627</v>
      </c>
      <c r="B420" s="20">
        <f t="shared" si="62"/>
        <v>15.992699999999999</v>
      </c>
      <c r="C420" s="20">
        <f t="shared" si="64"/>
        <v>18.4236</v>
      </c>
      <c r="D420" s="20">
        <f t="shared" si="65"/>
        <v>15.1989</v>
      </c>
      <c r="E420" s="20">
        <f t="shared" si="66"/>
        <v>7.2727000000000004</v>
      </c>
      <c r="F420" s="20">
        <f t="shared" si="67"/>
        <v>20.1282</v>
      </c>
      <c r="G420" s="20">
        <f t="shared" si="68"/>
        <v>16.441500000000001</v>
      </c>
      <c r="H420" s="1239">
        <f t="shared" si="69"/>
        <v>16.441500000000001</v>
      </c>
      <c r="I420" s="1243">
        <f t="shared" si="63"/>
        <v>-2.7296779490922463E-2</v>
      </c>
      <c r="J420" s="1243">
        <f t="shared" si="70"/>
        <v>0.12093838824177333</v>
      </c>
      <c r="K420" s="1243">
        <f t="shared" si="71"/>
        <v>0.1</v>
      </c>
      <c r="L420" s="203"/>
      <c r="N420" s="1425">
        <v>44627</v>
      </c>
      <c r="O420" s="1502">
        <v>15.992699999999999</v>
      </c>
      <c r="P420" s="1502">
        <v>5.9275000000000002</v>
      </c>
      <c r="Q420" s="1502">
        <v>14.6919</v>
      </c>
      <c r="R420" s="1233">
        <f>'B. PE'!$U$23</f>
        <v>15.978235616082999</v>
      </c>
      <c r="S420" s="1233"/>
      <c r="T420" s="1233"/>
      <c r="V420" s="1425">
        <v>44627</v>
      </c>
      <c r="W420" s="1">
        <v>18.4236</v>
      </c>
      <c r="X420" s="1">
        <v>2.7502</v>
      </c>
      <c r="Y420" s="1">
        <v>13.692600000000001</v>
      </c>
      <c r="Z420" s="1">
        <v>1.9602200000000001</v>
      </c>
      <c r="AB420" s="1425">
        <v>44603</v>
      </c>
      <c r="AC420" s="1">
        <v>8.6263000000000005</v>
      </c>
      <c r="AD420" s="1502">
        <v>1.4114</v>
      </c>
      <c r="AE420" s="1">
        <v>5.0747</v>
      </c>
      <c r="AF420" s="1">
        <v>3.8719999999999997E-2</v>
      </c>
      <c r="AH420" s="1425">
        <v>44603</v>
      </c>
      <c r="AI420" s="1">
        <v>17.008299999999998</v>
      </c>
      <c r="AJ420" s="1">
        <v>3.1324000000000001</v>
      </c>
      <c r="AK420" s="1">
        <v>8.3782999999999994</v>
      </c>
      <c r="AL420" s="1">
        <v>4.9880000000000001E-2</v>
      </c>
      <c r="AN420" s="1425">
        <v>44609</v>
      </c>
      <c r="AO420" s="1">
        <v>7.2727000000000004</v>
      </c>
      <c r="AP420" s="1">
        <v>1.0728</v>
      </c>
      <c r="AQ420" s="1">
        <v>4.5967000000000002</v>
      </c>
      <c r="AR420" s="1">
        <v>0.26806999999999997</v>
      </c>
      <c r="AT420" s="1425">
        <v>44609</v>
      </c>
      <c r="AU420" s="1">
        <v>8.6564999999999994</v>
      </c>
      <c r="AV420" s="1">
        <v>0.56740000000000002</v>
      </c>
      <c r="AW420" s="1">
        <v>5.9469000000000003</v>
      </c>
      <c r="AX420" s="1">
        <v>0.14360999999999999</v>
      </c>
      <c r="BA420" s="1425">
        <v>44603</v>
      </c>
      <c r="BB420" s="1">
        <v>16.330400000000001</v>
      </c>
      <c r="BC420" s="1">
        <v>3.9581</v>
      </c>
      <c r="BD420" s="1">
        <v>17.446899999999999</v>
      </c>
      <c r="BE420" s="1">
        <v>1.13167</v>
      </c>
      <c r="BG420" s="1425">
        <v>44603</v>
      </c>
      <c r="BH420" s="1">
        <v>21.391300000000001</v>
      </c>
      <c r="BI420" s="1">
        <v>5.6676000000000002</v>
      </c>
      <c r="BJ420" s="1">
        <v>27.568899999999999</v>
      </c>
      <c r="BT420" s="1425">
        <v>44627</v>
      </c>
      <c r="BU420" s="1">
        <v>18.818200000000001</v>
      </c>
      <c r="BV420" s="1">
        <v>4.6985999999999999</v>
      </c>
      <c r="BW420" s="1">
        <v>11.564299999999999</v>
      </c>
      <c r="BX420" s="1">
        <v>2.9874999999999998</v>
      </c>
      <c r="BZ420" s="1425">
        <v>44627</v>
      </c>
      <c r="CA420" s="1">
        <v>23.137</v>
      </c>
      <c r="CB420" s="1">
        <v>6.1771000000000003</v>
      </c>
      <c r="CC420" s="1">
        <v>23.669599999999999</v>
      </c>
      <c r="CD420" s="1">
        <v>3.2328800000000002</v>
      </c>
      <c r="CF420" s="1425">
        <v>44624</v>
      </c>
      <c r="CG420" s="1">
        <v>8.9229000000000003</v>
      </c>
      <c r="CH420" s="1">
        <v>2.9157999999999999</v>
      </c>
      <c r="CI420" s="1">
        <v>5.9866000000000001</v>
      </c>
      <c r="CL420" s="1425">
        <v>44630</v>
      </c>
      <c r="CM420" s="1">
        <v>21.9194</v>
      </c>
      <c r="CN420" s="1">
        <v>2.7185000000000001</v>
      </c>
      <c r="CO420" s="1">
        <v>11.7226</v>
      </c>
    </row>
    <row r="421" spans="1:93">
      <c r="A421" s="1425">
        <v>44624</v>
      </c>
      <c r="B421" s="20">
        <f t="shared" si="62"/>
        <v>16.2608</v>
      </c>
      <c r="C421" s="20">
        <f t="shared" si="64"/>
        <v>17.8934</v>
      </c>
      <c r="D421" s="20">
        <f t="shared" si="65"/>
        <v>15.1989</v>
      </c>
      <c r="E421" s="20">
        <f t="shared" si="66"/>
        <v>7.4675000000000002</v>
      </c>
      <c r="F421" s="20">
        <f t="shared" si="67"/>
        <v>20.983899999999998</v>
      </c>
      <c r="G421" s="20">
        <f t="shared" si="68"/>
        <v>17.219200000000001</v>
      </c>
      <c r="H421" s="1239">
        <f t="shared" si="69"/>
        <v>17.219200000000001</v>
      </c>
      <c r="I421" s="1243">
        <f t="shared" si="63"/>
        <v>-5.5658799479650689E-2</v>
      </c>
      <c r="J421" s="1243">
        <f t="shared" si="70"/>
        <v>0.12093838824177333</v>
      </c>
      <c r="K421" s="1243">
        <f t="shared" si="71"/>
        <v>0.1</v>
      </c>
      <c r="L421" s="203"/>
      <c r="N421" s="1425">
        <v>44624</v>
      </c>
      <c r="O421" s="1502">
        <v>16.2608</v>
      </c>
      <c r="P421" s="1502">
        <v>6.0269000000000004</v>
      </c>
      <c r="Q421" s="1502">
        <v>14.9473</v>
      </c>
      <c r="R421" s="1233">
        <f>'B. PE'!$U$23</f>
        <v>15.978235616082999</v>
      </c>
      <c r="S421" s="1233"/>
      <c r="T421" s="1233"/>
      <c r="V421" s="1425">
        <v>44624</v>
      </c>
      <c r="W421" s="1">
        <v>17.8934</v>
      </c>
      <c r="X421" s="1">
        <v>2.6709999999999998</v>
      </c>
      <c r="Y421" s="1">
        <v>13.3376</v>
      </c>
      <c r="Z421" s="1">
        <v>2.03525</v>
      </c>
      <c r="AB421" s="1425">
        <v>44602</v>
      </c>
      <c r="AC421" s="1">
        <v>8.7053999999999991</v>
      </c>
      <c r="AD421" s="1502">
        <v>1.4244000000000001</v>
      </c>
      <c r="AE421" s="1">
        <v>5.1127000000000002</v>
      </c>
      <c r="AF421" s="1">
        <v>3.7909999999999999E-2</v>
      </c>
      <c r="AH421" s="1425">
        <v>44602</v>
      </c>
      <c r="AI421" s="1">
        <v>17.128900000000002</v>
      </c>
      <c r="AJ421" s="1">
        <v>3.1545999999999998</v>
      </c>
      <c r="AK421" s="1">
        <v>8.4413</v>
      </c>
      <c r="AL421" s="1">
        <v>4.9730000000000003E-2</v>
      </c>
      <c r="AN421" s="1425">
        <v>44608</v>
      </c>
      <c r="AO421" s="1">
        <v>7.2727000000000004</v>
      </c>
      <c r="AP421" s="1">
        <v>1.0728</v>
      </c>
      <c r="AQ421" s="1">
        <v>4.5967000000000002</v>
      </c>
      <c r="AR421" s="1">
        <v>0.26762000000000002</v>
      </c>
      <c r="AT421" s="1425">
        <v>44608</v>
      </c>
      <c r="AW421" s="1">
        <v>5.7539999999999996</v>
      </c>
      <c r="AX421" s="1">
        <v>0.14337</v>
      </c>
      <c r="BA421" s="1425">
        <v>44602</v>
      </c>
      <c r="BB421" s="1">
        <v>16.441500000000001</v>
      </c>
      <c r="BC421" s="1">
        <v>3.9851000000000001</v>
      </c>
      <c r="BD421" s="1">
        <v>17.5366</v>
      </c>
      <c r="BE421" s="1">
        <v>1.2087600000000001</v>
      </c>
      <c r="BG421" s="1425">
        <v>44602</v>
      </c>
      <c r="BH421" s="1">
        <v>22.002500000000001</v>
      </c>
      <c r="BI421" s="1">
        <v>5.8295000000000003</v>
      </c>
      <c r="BJ421" s="1">
        <v>28.272099999999998</v>
      </c>
      <c r="BT421" s="1425">
        <v>44624</v>
      </c>
      <c r="BU421" s="1">
        <v>19.0425</v>
      </c>
      <c r="BV421" s="1">
        <v>4.7545999999999999</v>
      </c>
      <c r="BW421" s="1">
        <v>11.6937</v>
      </c>
      <c r="BX421" s="1">
        <v>2.9457</v>
      </c>
      <c r="BZ421" s="1425">
        <v>44624</v>
      </c>
      <c r="CA421" s="1">
        <v>23.137</v>
      </c>
      <c r="CB421" s="1">
        <v>6.1771000000000003</v>
      </c>
      <c r="CC421" s="1">
        <v>23.669599999999999</v>
      </c>
      <c r="CD421" s="1">
        <v>3.2248399999999999</v>
      </c>
      <c r="CF421" s="1425">
        <v>44623</v>
      </c>
      <c r="CG421" s="1">
        <v>9.0924999999999994</v>
      </c>
      <c r="CH421" s="1">
        <v>2.9712000000000001</v>
      </c>
      <c r="CI421" s="1">
        <v>6.1237000000000004</v>
      </c>
      <c r="CL421" s="1425">
        <v>44629</v>
      </c>
      <c r="CM421" s="1">
        <v>21.9194</v>
      </c>
      <c r="CN421" s="1">
        <v>2.7185000000000001</v>
      </c>
      <c r="CO421" s="1">
        <v>11.7226</v>
      </c>
    </row>
    <row r="422" spans="1:93">
      <c r="A422" s="1425">
        <v>44623</v>
      </c>
      <c r="B422" s="20">
        <f t="shared" si="62"/>
        <v>16.555700000000002</v>
      </c>
      <c r="C422" s="20">
        <f t="shared" si="64"/>
        <v>17.628399999999999</v>
      </c>
      <c r="D422" s="20">
        <f t="shared" si="65"/>
        <v>15.1989</v>
      </c>
      <c r="E422" s="20">
        <f t="shared" si="66"/>
        <v>7.5324999999999998</v>
      </c>
      <c r="F422" s="20">
        <f t="shared" si="67"/>
        <v>21.595099999999999</v>
      </c>
      <c r="G422" s="20">
        <f t="shared" si="68"/>
        <v>17.7746</v>
      </c>
      <c r="H422" s="1239">
        <f t="shared" si="69"/>
        <v>17.628399999999999</v>
      </c>
      <c r="I422" s="1243">
        <f t="shared" si="63"/>
        <v>-6.0850672778017145E-2</v>
      </c>
      <c r="J422" s="1243">
        <f t="shared" si="70"/>
        <v>0.12093838824177333</v>
      </c>
      <c r="K422" s="1243">
        <f t="shared" si="71"/>
        <v>0.1</v>
      </c>
      <c r="L422" s="203"/>
      <c r="N422" s="1425">
        <v>44623</v>
      </c>
      <c r="O422" s="1502">
        <v>16.555700000000002</v>
      </c>
      <c r="P422" s="1502">
        <v>6.1361999999999997</v>
      </c>
      <c r="Q422" s="1502">
        <v>15.228199999999999</v>
      </c>
      <c r="R422" s="1233">
        <f>'B. PE'!$U$23</f>
        <v>15.978235616082999</v>
      </c>
      <c r="S422" s="1233"/>
      <c r="T422" s="1233"/>
      <c r="V422" s="1425">
        <v>44623</v>
      </c>
      <c r="W422" s="1">
        <v>17.628399999999999</v>
      </c>
      <c r="X422" s="1">
        <v>2.6315</v>
      </c>
      <c r="Y422" s="1">
        <v>13.1601</v>
      </c>
      <c r="Z422" s="1">
        <v>2.02894</v>
      </c>
      <c r="AB422" s="1425">
        <v>44601</v>
      </c>
      <c r="AC422" s="1">
        <v>8.7844999999999995</v>
      </c>
      <c r="AD422" s="1502">
        <v>1.4373</v>
      </c>
      <c r="AE422" s="1">
        <v>5.1505999999999998</v>
      </c>
      <c r="AF422" s="1">
        <v>3.7830000000000003E-2</v>
      </c>
      <c r="AH422" s="1425">
        <v>44601</v>
      </c>
      <c r="AI422" s="1">
        <v>17.249500000000001</v>
      </c>
      <c r="AJ422" s="1">
        <v>3.1768000000000001</v>
      </c>
      <c r="AK422" s="1">
        <v>8.5044000000000004</v>
      </c>
      <c r="AL422" s="1">
        <v>4.929E-2</v>
      </c>
      <c r="AN422" s="1425">
        <v>44607</v>
      </c>
      <c r="AO422" s="1">
        <v>7.2727000000000004</v>
      </c>
      <c r="AP422" s="1">
        <v>1.0728</v>
      </c>
      <c r="AQ422" s="1">
        <v>4.5967000000000002</v>
      </c>
      <c r="AR422" s="1">
        <v>0.26972000000000002</v>
      </c>
      <c r="AT422" s="1425">
        <v>44607</v>
      </c>
      <c r="AU422" s="1">
        <v>8.3102</v>
      </c>
      <c r="AV422" s="1">
        <v>0.54469999999999996</v>
      </c>
      <c r="AW422" s="1">
        <v>5.7539999999999996</v>
      </c>
      <c r="AX422" s="1">
        <v>0.14680000000000001</v>
      </c>
      <c r="BA422" s="1425">
        <v>44601</v>
      </c>
      <c r="BB422" s="1">
        <v>16.441500000000001</v>
      </c>
      <c r="BC422" s="1">
        <v>3.9851000000000001</v>
      </c>
      <c r="BD422" s="1">
        <v>17.5366</v>
      </c>
      <c r="BE422" s="1">
        <v>1.19773</v>
      </c>
      <c r="BG422" s="1425">
        <v>44601</v>
      </c>
      <c r="BH422" s="1">
        <v>22.41</v>
      </c>
      <c r="BI422" s="1">
        <v>5.9375</v>
      </c>
      <c r="BJ422" s="1">
        <v>28.7409</v>
      </c>
      <c r="BT422" s="1425">
        <v>44623</v>
      </c>
      <c r="BU422" s="1">
        <v>19.140699999999999</v>
      </c>
      <c r="BV422" s="1">
        <v>4.7790999999999997</v>
      </c>
      <c r="BW422" s="1">
        <v>11.750299999999999</v>
      </c>
      <c r="BX422" s="1">
        <v>2.9801000000000002</v>
      </c>
      <c r="BZ422" s="1425">
        <v>44623</v>
      </c>
      <c r="CA422" s="1">
        <v>22.674299999999999</v>
      </c>
      <c r="CB422" s="1">
        <v>6.0536000000000003</v>
      </c>
      <c r="CC422" s="1">
        <v>23.306999999999999</v>
      </c>
      <c r="CD422" s="1">
        <v>3.1503199999999998</v>
      </c>
      <c r="CF422" s="1425">
        <v>44622</v>
      </c>
      <c r="CG422" s="1">
        <v>8.6262000000000008</v>
      </c>
      <c r="CH422" s="1">
        <v>2.8189000000000002</v>
      </c>
      <c r="CI422" s="1">
        <v>5.7465999999999999</v>
      </c>
      <c r="CL422" s="1425">
        <v>44628</v>
      </c>
      <c r="CM422" s="1">
        <v>21.527999999999999</v>
      </c>
      <c r="CN422" s="1">
        <v>2.67</v>
      </c>
      <c r="CO422" s="1">
        <v>11.5129</v>
      </c>
    </row>
    <row r="423" spans="1:93">
      <c r="A423" s="1425">
        <v>44622</v>
      </c>
      <c r="B423" s="20">
        <f t="shared" si="62"/>
        <v>16.609300000000001</v>
      </c>
      <c r="C423" s="20">
        <f t="shared" si="64"/>
        <v>18.2911</v>
      </c>
      <c r="D423" s="20">
        <f t="shared" si="65"/>
        <v>15.6814</v>
      </c>
      <c r="E423" s="20">
        <f t="shared" si="66"/>
        <v>7.5324999999999998</v>
      </c>
      <c r="F423" s="20">
        <f t="shared" si="67"/>
        <v>22.002500000000001</v>
      </c>
      <c r="G423" s="20">
        <f t="shared" si="68"/>
        <v>17.552399999999999</v>
      </c>
      <c r="H423" s="1239">
        <f t="shared" si="69"/>
        <v>17.552399999999999</v>
      </c>
      <c r="I423" s="1243">
        <f t="shared" si="63"/>
        <v>-5.37305439711947E-2</v>
      </c>
      <c r="J423" s="1243">
        <f t="shared" si="70"/>
        <v>0.12093838824177333</v>
      </c>
      <c r="K423" s="1243">
        <f t="shared" si="71"/>
        <v>0.1</v>
      </c>
      <c r="L423" s="203"/>
      <c r="N423" s="1425">
        <v>44622</v>
      </c>
      <c r="O423" s="1502">
        <v>16.609300000000001</v>
      </c>
      <c r="P423" s="1502">
        <v>6.1559999999999997</v>
      </c>
      <c r="Q423" s="1502">
        <v>15.279299999999999</v>
      </c>
      <c r="R423" s="1233">
        <f>'B. PE'!$U$23</f>
        <v>15.978235616082999</v>
      </c>
      <c r="S423" s="1233"/>
      <c r="T423" s="1233"/>
      <c r="V423" s="1425">
        <v>44622</v>
      </c>
      <c r="W423" s="1">
        <v>18.2911</v>
      </c>
      <c r="X423" s="1">
        <v>2.7303999999999999</v>
      </c>
      <c r="Y423" s="1">
        <v>13.6038</v>
      </c>
      <c r="Z423" s="1">
        <v>2.0692400000000002</v>
      </c>
      <c r="AB423" s="1425">
        <v>44600</v>
      </c>
      <c r="AC423" s="1">
        <v>8.6263000000000005</v>
      </c>
      <c r="AD423" s="1502">
        <v>1.4114</v>
      </c>
      <c r="AE423" s="1">
        <v>5.0747</v>
      </c>
      <c r="AF423" s="1">
        <v>3.814E-2</v>
      </c>
      <c r="AH423" s="1425">
        <v>44600</v>
      </c>
      <c r="AI423" s="1">
        <v>17.249500000000001</v>
      </c>
      <c r="AJ423" s="1">
        <v>3.1768000000000001</v>
      </c>
      <c r="AK423" s="1">
        <v>8.5044000000000004</v>
      </c>
      <c r="AL423" s="1">
        <v>4.9590000000000002E-2</v>
      </c>
      <c r="AN423" s="1425">
        <v>44606</v>
      </c>
      <c r="AO423" s="1">
        <v>7.2727000000000004</v>
      </c>
      <c r="AP423" s="1">
        <v>1.0728</v>
      </c>
      <c r="AQ423" s="1">
        <v>4.5967000000000002</v>
      </c>
      <c r="AR423" s="1">
        <v>0.27251999999999998</v>
      </c>
      <c r="AT423" s="1425">
        <v>44606</v>
      </c>
      <c r="AU423" s="1">
        <v>8.3102</v>
      </c>
      <c r="AV423" s="1">
        <v>0.54469999999999996</v>
      </c>
      <c r="AW423" s="1">
        <v>5.7539999999999996</v>
      </c>
      <c r="AX423" s="1">
        <v>0.14702000000000001</v>
      </c>
      <c r="BA423" s="1425">
        <v>44600</v>
      </c>
      <c r="BB423" s="1">
        <v>17.663499999999999</v>
      </c>
      <c r="BC423" s="1">
        <v>4.2812000000000001</v>
      </c>
      <c r="BD423" s="1">
        <v>18.5229</v>
      </c>
      <c r="BE423" s="1">
        <v>1.2272400000000001</v>
      </c>
      <c r="BG423" s="1425">
        <v>44600</v>
      </c>
      <c r="BH423" s="1">
        <v>23.224900000000002</v>
      </c>
      <c r="BI423" s="1">
        <v>6.1534000000000004</v>
      </c>
      <c r="BJ423" s="1">
        <v>29.6784</v>
      </c>
      <c r="BT423" s="1425">
        <v>44622</v>
      </c>
      <c r="BU423" s="1">
        <v>18.860199999999999</v>
      </c>
      <c r="BV423" s="1">
        <v>4.7091000000000003</v>
      </c>
      <c r="BW423" s="1">
        <v>11.5886</v>
      </c>
      <c r="BX423" s="1">
        <v>2.9796999999999998</v>
      </c>
      <c r="BZ423" s="1425">
        <v>44622</v>
      </c>
      <c r="CA423" s="1">
        <v>22.603100000000001</v>
      </c>
      <c r="CB423" s="1">
        <v>6.0346000000000002</v>
      </c>
      <c r="CC423" s="1">
        <v>23.251200000000001</v>
      </c>
      <c r="CD423" s="1">
        <v>3.1067200000000001</v>
      </c>
      <c r="CF423" s="1425">
        <v>44621</v>
      </c>
      <c r="CG423" s="1">
        <v>8.8170000000000002</v>
      </c>
      <c r="CH423" s="1">
        <v>2.8812000000000002</v>
      </c>
      <c r="CI423" s="1">
        <v>5.9009</v>
      </c>
      <c r="CL423" s="1425">
        <v>44627</v>
      </c>
      <c r="CM423" s="1">
        <v>22.2818</v>
      </c>
      <c r="CN423" s="1">
        <v>2.7635000000000001</v>
      </c>
      <c r="CO423" s="1">
        <v>11.9168</v>
      </c>
    </row>
    <row r="424" spans="1:93">
      <c r="A424" s="1425">
        <v>44621</v>
      </c>
      <c r="B424" s="20">
        <f t="shared" si="62"/>
        <v>17.024899999999999</v>
      </c>
      <c r="C424" s="20">
        <f t="shared" si="64"/>
        <v>18.224799999999998</v>
      </c>
      <c r="D424" s="20">
        <f t="shared" si="65"/>
        <v>15.5608</v>
      </c>
      <c r="E424" s="20">
        <f t="shared" si="66"/>
        <v>7.6623000000000001</v>
      </c>
      <c r="F424" s="20">
        <f t="shared" si="67"/>
        <v>22.613700000000001</v>
      </c>
      <c r="G424" s="20">
        <f t="shared" si="68"/>
        <v>17.7746</v>
      </c>
      <c r="H424" s="1239">
        <f t="shared" si="69"/>
        <v>17.7746</v>
      </c>
      <c r="I424" s="1243">
        <f t="shared" si="63"/>
        <v>-4.2178164346877045E-2</v>
      </c>
      <c r="J424" s="1243">
        <f t="shared" si="70"/>
        <v>0.12093838824177333</v>
      </c>
      <c r="K424" s="1243">
        <f t="shared" si="71"/>
        <v>0.1</v>
      </c>
      <c r="L424" s="203"/>
      <c r="N424" s="1425">
        <v>44621</v>
      </c>
      <c r="O424" s="1502">
        <v>17.024899999999999</v>
      </c>
      <c r="P424" s="1502">
        <v>6.3101000000000003</v>
      </c>
      <c r="Q424" s="1502">
        <v>15.6751</v>
      </c>
      <c r="R424" s="1233">
        <f>'B. PE'!$U$23</f>
        <v>15.978235616082999</v>
      </c>
      <c r="S424" s="1233"/>
      <c r="T424" s="1233"/>
      <c r="V424" s="1425">
        <v>44621</v>
      </c>
      <c r="W424" s="1">
        <v>18.224799999999998</v>
      </c>
      <c r="X424" s="1">
        <v>2.7204999999999999</v>
      </c>
      <c r="Y424" s="1">
        <v>13.5595</v>
      </c>
      <c r="Z424" s="1">
        <v>1.9358599999999999</v>
      </c>
      <c r="AB424" s="1425">
        <v>44599</v>
      </c>
      <c r="AC424" s="1">
        <v>8.6263000000000005</v>
      </c>
      <c r="AD424" s="1502">
        <v>1.4114</v>
      </c>
      <c r="AE424" s="1">
        <v>5.0747</v>
      </c>
      <c r="AF424" s="1">
        <v>3.8249999999999999E-2</v>
      </c>
      <c r="AH424" s="1425">
        <v>44599</v>
      </c>
      <c r="AI424" s="1">
        <v>17.128900000000002</v>
      </c>
      <c r="AJ424" s="1">
        <v>3.1545999999999998</v>
      </c>
      <c r="AK424" s="1">
        <v>8.4413</v>
      </c>
      <c r="AL424" s="1">
        <v>4.6600000000000003E-2</v>
      </c>
      <c r="AN424" s="1425">
        <v>44603</v>
      </c>
      <c r="AO424" s="1">
        <v>7.3376999999999999</v>
      </c>
      <c r="AP424" s="1">
        <v>1.0824</v>
      </c>
      <c r="AQ424" s="1">
        <v>4.6463000000000001</v>
      </c>
      <c r="AR424" s="1">
        <v>0.27000999999999997</v>
      </c>
      <c r="AT424" s="1425">
        <v>44603</v>
      </c>
      <c r="AU424" s="1">
        <v>8.5180000000000007</v>
      </c>
      <c r="AV424" s="1">
        <v>0.55830000000000002</v>
      </c>
      <c r="AW424" s="1">
        <v>5.8697999999999997</v>
      </c>
      <c r="AX424" s="1">
        <v>0.14695</v>
      </c>
      <c r="BA424" s="1425">
        <v>44599</v>
      </c>
      <c r="BB424" s="1">
        <v>17.552399999999999</v>
      </c>
      <c r="BC424" s="1">
        <v>4.2542999999999997</v>
      </c>
      <c r="BD424" s="1">
        <v>18.433199999999999</v>
      </c>
      <c r="BE424" s="1">
        <v>1.26831</v>
      </c>
      <c r="BG424" s="1425">
        <v>44599</v>
      </c>
      <c r="BH424" s="1">
        <v>23.428599999999999</v>
      </c>
      <c r="BI424" s="1">
        <v>6.2073</v>
      </c>
      <c r="BJ424" s="1">
        <v>29.912800000000001</v>
      </c>
      <c r="BT424" s="1425">
        <v>44621</v>
      </c>
      <c r="BU424" s="1">
        <v>19.070599999999999</v>
      </c>
      <c r="BV424" s="1">
        <v>4.7615999999999996</v>
      </c>
      <c r="BW424" s="1">
        <v>11.709899999999999</v>
      </c>
      <c r="BX424" s="1">
        <v>3.0137999999999998</v>
      </c>
      <c r="BZ424" s="1425">
        <v>44621</v>
      </c>
      <c r="CA424" s="1">
        <v>22.069199999999999</v>
      </c>
      <c r="CB424" s="1">
        <v>5.8920000000000003</v>
      </c>
      <c r="CC424" s="1">
        <v>22.832899999999999</v>
      </c>
      <c r="CD424" s="1">
        <v>3.1743399999999999</v>
      </c>
      <c r="CF424" s="1425">
        <v>44620</v>
      </c>
      <c r="CG424" s="1">
        <v>8.9016999999999999</v>
      </c>
      <c r="CH424" s="1">
        <v>2.9089</v>
      </c>
      <c r="CI424" s="1">
        <v>5.9694000000000003</v>
      </c>
      <c r="CL424" s="1425">
        <v>44624</v>
      </c>
      <c r="CM424" s="1">
        <v>22.716699999999999</v>
      </c>
      <c r="CN424" s="1">
        <v>2.8174000000000001</v>
      </c>
      <c r="CO424" s="1">
        <v>12.149800000000001</v>
      </c>
    </row>
    <row r="425" spans="1:93">
      <c r="A425" s="1425">
        <v>44620</v>
      </c>
      <c r="B425" s="20">
        <f t="shared" si="62"/>
        <v>16.475300000000001</v>
      </c>
      <c r="C425" s="20">
        <f t="shared" si="64"/>
        <v>18.589300000000001</v>
      </c>
      <c r="D425" s="20">
        <f t="shared" si="65"/>
        <v>15.5608</v>
      </c>
      <c r="E425" s="20">
        <f t="shared" si="66"/>
        <v>7.7272999999999996</v>
      </c>
      <c r="F425" s="20">
        <f t="shared" si="67"/>
        <v>21.595099999999999</v>
      </c>
      <c r="G425" s="20">
        <f t="shared" si="68"/>
        <v>17.7746</v>
      </c>
      <c r="H425" s="1239">
        <f t="shared" si="69"/>
        <v>17.7746</v>
      </c>
      <c r="I425" s="1243">
        <f t="shared" si="63"/>
        <v>-7.3098691391086046E-2</v>
      </c>
      <c r="J425" s="1243">
        <f t="shared" si="70"/>
        <v>0.12093838824177333</v>
      </c>
      <c r="K425" s="1243">
        <f t="shared" si="71"/>
        <v>0.1</v>
      </c>
      <c r="L425" s="203"/>
      <c r="N425" s="1425">
        <v>44620</v>
      </c>
      <c r="O425" s="1502">
        <v>16.475300000000001</v>
      </c>
      <c r="P425" s="1502">
        <v>6.1063999999999998</v>
      </c>
      <c r="Q425" s="1502">
        <v>15.1516</v>
      </c>
      <c r="R425" s="1233">
        <f>'B. PE'!$U$23</f>
        <v>15.978235616082999</v>
      </c>
      <c r="S425" s="1233"/>
      <c r="T425" s="1233"/>
      <c r="V425" s="1425">
        <v>44620</v>
      </c>
      <c r="W425" s="1">
        <v>18.589300000000001</v>
      </c>
      <c r="X425" s="1">
        <v>2.7749000000000001</v>
      </c>
      <c r="Y425" s="1">
        <v>13.8035</v>
      </c>
      <c r="Z425" s="1">
        <v>1.9357</v>
      </c>
      <c r="AB425" s="1425">
        <v>44596</v>
      </c>
      <c r="AC425" s="1">
        <v>8.7053999999999991</v>
      </c>
      <c r="AD425" s="1502">
        <v>1.4244000000000001</v>
      </c>
      <c r="AE425" s="1">
        <v>5.1127000000000002</v>
      </c>
      <c r="AF425" s="1">
        <v>3.832E-2</v>
      </c>
      <c r="AH425" s="1425">
        <v>44596</v>
      </c>
      <c r="AI425" s="1">
        <v>17.249500000000001</v>
      </c>
      <c r="AJ425" s="1">
        <v>3.1768000000000001</v>
      </c>
      <c r="AK425" s="1">
        <v>8.5044000000000004</v>
      </c>
      <c r="AL425" s="1">
        <v>4.7030000000000002E-2</v>
      </c>
      <c r="AN425" s="1425">
        <v>44602</v>
      </c>
      <c r="AO425" s="1">
        <v>7.4025999999999996</v>
      </c>
      <c r="AP425" s="1">
        <v>1.0920000000000001</v>
      </c>
      <c r="AQ425" s="1">
        <v>4.6958000000000002</v>
      </c>
      <c r="AR425" s="1">
        <v>0.27002999999999999</v>
      </c>
      <c r="AT425" s="1425">
        <v>44602</v>
      </c>
      <c r="AU425" s="1">
        <v>8.5180000000000007</v>
      </c>
      <c r="AV425" s="1">
        <v>0.55830000000000002</v>
      </c>
      <c r="AW425" s="1">
        <v>5.8697999999999997</v>
      </c>
      <c r="AX425" s="1">
        <v>0.14577000000000001</v>
      </c>
      <c r="BA425" s="1425">
        <v>44596</v>
      </c>
      <c r="BB425" s="1">
        <v>17.9968</v>
      </c>
      <c r="BC425" s="1">
        <v>4.3620000000000001</v>
      </c>
      <c r="BD425" s="1">
        <v>18.791899999999998</v>
      </c>
      <c r="BE425" s="1">
        <v>1.30566</v>
      </c>
      <c r="BG425" s="1425">
        <v>44596</v>
      </c>
      <c r="BH425" s="1">
        <v>23.224900000000002</v>
      </c>
      <c r="BI425" s="1">
        <v>6.1534000000000004</v>
      </c>
      <c r="BJ425" s="1">
        <v>29.6784</v>
      </c>
      <c r="BT425" s="1425">
        <v>44620</v>
      </c>
      <c r="BU425" s="1">
        <v>19.070599999999999</v>
      </c>
      <c r="BV425" s="1">
        <v>4.7615999999999996</v>
      </c>
      <c r="BW425" s="1">
        <v>11.709899999999999</v>
      </c>
      <c r="BX425" s="1">
        <v>2.9961000000000002</v>
      </c>
      <c r="BZ425" s="1425">
        <v>44620</v>
      </c>
      <c r="CA425" s="1">
        <v>21.7666</v>
      </c>
      <c r="CB425" s="1">
        <v>5.8112000000000004</v>
      </c>
      <c r="CC425" s="1">
        <v>22.595800000000001</v>
      </c>
      <c r="CD425" s="1">
        <v>3.1664400000000001</v>
      </c>
      <c r="CF425" s="1425">
        <v>44617</v>
      </c>
      <c r="CG425" s="1">
        <v>8.4565999999999999</v>
      </c>
      <c r="CH425" s="1">
        <v>2.7633999999999999</v>
      </c>
      <c r="CI425" s="1">
        <v>5.6094999999999997</v>
      </c>
      <c r="CL425" s="1425">
        <v>44623</v>
      </c>
      <c r="CM425" s="1">
        <v>23.180599999999998</v>
      </c>
      <c r="CN425" s="1">
        <v>2.8748999999999998</v>
      </c>
      <c r="CO425" s="1">
        <v>12.398300000000001</v>
      </c>
    </row>
    <row r="426" spans="1:93">
      <c r="A426" s="1425">
        <v>44617</v>
      </c>
      <c r="B426" s="20">
        <f t="shared" si="62"/>
        <v>16.207100000000001</v>
      </c>
      <c r="C426" s="20">
        <f t="shared" si="64"/>
        <v>17.3964</v>
      </c>
      <c r="D426" s="20">
        <f t="shared" si="65"/>
        <v>14.957599999999999</v>
      </c>
      <c r="E426" s="20">
        <f t="shared" si="66"/>
        <v>7.7272999999999996</v>
      </c>
      <c r="F426" s="20">
        <f t="shared" si="67"/>
        <v>21.7988</v>
      </c>
      <c r="G426" s="20">
        <f t="shared" si="68"/>
        <v>17.441299999999998</v>
      </c>
      <c r="H426" s="1239">
        <f t="shared" si="69"/>
        <v>17.3964</v>
      </c>
      <c r="I426" s="1243">
        <f t="shared" si="63"/>
        <v>-6.8364719137292695E-2</v>
      </c>
      <c r="J426" s="1243">
        <f t="shared" si="70"/>
        <v>0.12093838824177333</v>
      </c>
      <c r="K426" s="1243">
        <f t="shared" si="71"/>
        <v>0.1</v>
      </c>
      <c r="L426" s="203"/>
      <c r="N426" s="1425">
        <v>44617</v>
      </c>
      <c r="O426" s="1502">
        <v>16.207100000000001</v>
      </c>
      <c r="P426" s="1502">
        <v>6.0069999999999997</v>
      </c>
      <c r="Q426" s="1502">
        <v>14.8962</v>
      </c>
      <c r="R426" s="1233">
        <f>'B. PE'!$U$23</f>
        <v>15.978235616082999</v>
      </c>
      <c r="S426" s="1233"/>
      <c r="T426" s="1233"/>
      <c r="V426" s="1425">
        <v>44617</v>
      </c>
      <c r="W426" s="1">
        <v>17.3964</v>
      </c>
      <c r="X426" s="1">
        <v>2.5968</v>
      </c>
      <c r="Y426" s="1">
        <v>13.004799999999999</v>
      </c>
      <c r="Z426" s="1">
        <v>1.8987400000000001</v>
      </c>
      <c r="AB426" s="1425">
        <v>44595</v>
      </c>
      <c r="AC426" s="1">
        <v>8.7053999999999991</v>
      </c>
      <c r="AD426" s="1502">
        <v>1.4244000000000001</v>
      </c>
      <c r="AE426" s="1">
        <v>5.1127000000000002</v>
      </c>
      <c r="AF426" s="1">
        <v>3.8339999999999999E-2</v>
      </c>
      <c r="AH426" s="1425">
        <v>44595</v>
      </c>
      <c r="AI426" s="1">
        <v>16.163900000000002</v>
      </c>
      <c r="AJ426" s="1">
        <v>2.9769000000000001</v>
      </c>
      <c r="AK426" s="1">
        <v>7.9370000000000003</v>
      </c>
      <c r="AL426" s="1">
        <v>4.7050000000000002E-2</v>
      </c>
      <c r="AN426" s="1425">
        <v>44601</v>
      </c>
      <c r="AO426" s="1">
        <v>7.3376999999999999</v>
      </c>
      <c r="AP426" s="1">
        <v>1.0824</v>
      </c>
      <c r="AQ426" s="1">
        <v>4.6463000000000001</v>
      </c>
      <c r="AR426" s="1">
        <v>0.27013999999999999</v>
      </c>
      <c r="AT426" s="1425">
        <v>44601</v>
      </c>
      <c r="AU426" s="1">
        <v>8.5180000000000007</v>
      </c>
      <c r="AV426" s="1">
        <v>0.55830000000000002</v>
      </c>
      <c r="AW426" s="1">
        <v>5.8697999999999997</v>
      </c>
      <c r="BA426" s="1425">
        <v>44595</v>
      </c>
      <c r="BB426" s="1">
        <v>18.6633</v>
      </c>
      <c r="BC426" s="1">
        <v>4.5236000000000001</v>
      </c>
      <c r="BD426" s="1">
        <v>19.329899999999999</v>
      </c>
      <c r="BE426" s="1">
        <v>1.28024</v>
      </c>
      <c r="BG426" s="1425">
        <v>44595</v>
      </c>
      <c r="BH426" s="1">
        <v>24.0398</v>
      </c>
      <c r="BI426" s="1">
        <v>6.3693</v>
      </c>
      <c r="BJ426" s="1">
        <v>30.6159</v>
      </c>
      <c r="BT426" s="1425">
        <v>44617</v>
      </c>
      <c r="BU426" s="1">
        <v>19.294899999999998</v>
      </c>
      <c r="BV426" s="1">
        <v>4.8175999999999997</v>
      </c>
      <c r="BW426" s="1">
        <v>11.8393</v>
      </c>
      <c r="BX426" s="1">
        <v>3.0177999999999998</v>
      </c>
      <c r="BZ426" s="1425">
        <v>44617</v>
      </c>
      <c r="CA426" s="1">
        <v>22.247199999999999</v>
      </c>
      <c r="CB426" s="1">
        <v>5.9394999999999998</v>
      </c>
      <c r="CC426" s="1">
        <v>22.9724</v>
      </c>
      <c r="CD426" s="1">
        <v>2.9606300000000001</v>
      </c>
      <c r="CF426" s="1425">
        <v>44616</v>
      </c>
      <c r="CG426" s="1">
        <v>9.1349</v>
      </c>
      <c r="CH426" s="1">
        <v>2.9851000000000001</v>
      </c>
      <c r="CI426" s="1">
        <v>6.1580000000000004</v>
      </c>
      <c r="CL426" s="1425">
        <v>44622</v>
      </c>
      <c r="CM426" s="1">
        <v>23.2241</v>
      </c>
      <c r="CN426" s="1">
        <v>2.8803000000000001</v>
      </c>
      <c r="CO426" s="1">
        <v>12.4216</v>
      </c>
    </row>
    <row r="427" spans="1:93">
      <c r="A427" s="1425">
        <v>44616</v>
      </c>
      <c r="B427" s="20">
        <f t="shared" si="62"/>
        <v>15.148099999999999</v>
      </c>
      <c r="C427" s="20">
        <f t="shared" si="64"/>
        <v>17.3964</v>
      </c>
      <c r="D427" s="20">
        <f t="shared" si="65"/>
        <v>15.3195</v>
      </c>
      <c r="E427" s="20">
        <f t="shared" si="66"/>
        <v>7.6623000000000001</v>
      </c>
      <c r="F427" s="20">
        <f t="shared" si="67"/>
        <v>21.391300000000001</v>
      </c>
      <c r="G427" s="20">
        <f t="shared" si="68"/>
        <v>16.330400000000001</v>
      </c>
      <c r="H427" s="1239">
        <f t="shared" si="69"/>
        <v>16.330400000000001</v>
      </c>
      <c r="I427" s="1243">
        <f t="shared" si="63"/>
        <v>-7.2398716504188609E-2</v>
      </c>
      <c r="J427" s="1243">
        <f t="shared" si="70"/>
        <v>0.12093838824177333</v>
      </c>
      <c r="K427" s="1243">
        <f t="shared" si="71"/>
        <v>0.1</v>
      </c>
      <c r="L427" s="203"/>
      <c r="N427" s="1425">
        <v>44616</v>
      </c>
      <c r="O427" s="1502">
        <v>15.148099999999999</v>
      </c>
      <c r="P427" s="1502">
        <v>5.6144999999999996</v>
      </c>
      <c r="Q427" s="1502">
        <v>13.887499999999999</v>
      </c>
      <c r="R427" s="1233">
        <f>'B. PE'!$U$23</f>
        <v>15.978235616082999</v>
      </c>
      <c r="S427" s="1233"/>
      <c r="T427" s="1233"/>
      <c r="V427" s="1425">
        <v>44616</v>
      </c>
      <c r="W427" s="1">
        <v>17.3964</v>
      </c>
      <c r="X427" s="1">
        <v>2.5968</v>
      </c>
      <c r="Y427" s="1">
        <v>13.004799999999999</v>
      </c>
      <c r="Z427" s="1">
        <v>1.7767900000000001</v>
      </c>
      <c r="AB427" s="1425">
        <v>44594</v>
      </c>
      <c r="AC427" s="1">
        <v>8.7053999999999991</v>
      </c>
      <c r="AD427" s="1502">
        <v>1.4244000000000001</v>
      </c>
      <c r="AE427" s="1">
        <v>5.1127000000000002</v>
      </c>
      <c r="AF427" s="1">
        <v>3.7839999999999999E-2</v>
      </c>
      <c r="AH427" s="1425">
        <v>44594</v>
      </c>
      <c r="AI427" s="1">
        <v>16.284500000000001</v>
      </c>
      <c r="AJ427" s="1">
        <v>2.9990999999999999</v>
      </c>
      <c r="AK427" s="1">
        <v>8</v>
      </c>
      <c r="AL427" s="1">
        <v>4.7219999999999998E-2</v>
      </c>
      <c r="AN427" s="1425">
        <v>44600</v>
      </c>
      <c r="AO427" s="1">
        <v>7.3376999999999999</v>
      </c>
      <c r="AP427" s="1">
        <v>1.0824</v>
      </c>
      <c r="AQ427" s="1">
        <v>4.6463000000000001</v>
      </c>
      <c r="AR427" s="1">
        <v>0.26787</v>
      </c>
      <c r="AT427" s="1425">
        <v>44600</v>
      </c>
      <c r="AU427" s="1">
        <v>8.4488000000000003</v>
      </c>
      <c r="AV427" s="1">
        <v>0.55379999999999996</v>
      </c>
      <c r="AW427" s="1">
        <v>5.8311999999999999</v>
      </c>
      <c r="AX427" s="1">
        <v>0.14230000000000001</v>
      </c>
      <c r="BA427" s="1425">
        <v>44594</v>
      </c>
      <c r="BB427" s="1">
        <v>19.218800000000002</v>
      </c>
      <c r="BC427" s="1">
        <v>4.6581999999999999</v>
      </c>
      <c r="BD427" s="1">
        <v>19.778300000000002</v>
      </c>
      <c r="BE427" s="1">
        <v>1.28552</v>
      </c>
      <c r="BG427" s="1425">
        <v>44594</v>
      </c>
      <c r="BH427" s="1">
        <v>24.651</v>
      </c>
      <c r="BI427" s="1">
        <v>6.5312000000000001</v>
      </c>
      <c r="BJ427" s="1">
        <v>31.319099999999999</v>
      </c>
      <c r="BT427" s="1425">
        <v>44616</v>
      </c>
      <c r="BU427" s="1">
        <v>19.182700000000001</v>
      </c>
      <c r="BV427" s="1">
        <v>4.7896000000000001</v>
      </c>
      <c r="BW427" s="1">
        <v>11.7746</v>
      </c>
      <c r="BX427" s="1">
        <v>3.0183</v>
      </c>
      <c r="BZ427" s="1425">
        <v>44616</v>
      </c>
      <c r="CA427" s="1">
        <v>22.1938</v>
      </c>
      <c r="CB427" s="1">
        <v>5.9253</v>
      </c>
      <c r="CC427" s="1">
        <v>22.930499999999999</v>
      </c>
      <c r="CD427" s="1">
        <v>2.9479799999999998</v>
      </c>
      <c r="CF427" s="1425">
        <v>44615</v>
      </c>
      <c r="CG427" s="1">
        <v>9.1984999999999992</v>
      </c>
      <c r="CH427" s="1">
        <v>3.0059</v>
      </c>
      <c r="CI427" s="1">
        <v>6.2093999999999996</v>
      </c>
      <c r="CL427" s="1425">
        <v>44621</v>
      </c>
      <c r="CM427" s="1">
        <v>23.0502</v>
      </c>
      <c r="CN427" s="1">
        <v>2.8588</v>
      </c>
      <c r="CO427" s="1">
        <v>12.3284</v>
      </c>
    </row>
    <row r="428" spans="1:93">
      <c r="A428" s="1425">
        <v>44615</v>
      </c>
      <c r="B428" s="20">
        <f t="shared" si="62"/>
        <v>14.9604</v>
      </c>
      <c r="C428" s="20">
        <f t="shared" si="64"/>
        <v>17.065000000000001</v>
      </c>
      <c r="D428" s="20">
        <f t="shared" si="65"/>
        <v>15.922599999999999</v>
      </c>
      <c r="E428" s="20">
        <f t="shared" si="66"/>
        <v>7.7922000000000002</v>
      </c>
      <c r="F428" s="20">
        <f t="shared" si="67"/>
        <v>22.613700000000001</v>
      </c>
      <c r="G428" s="20">
        <f t="shared" si="68"/>
        <v>17.219200000000001</v>
      </c>
      <c r="H428" s="1239">
        <f t="shared" si="69"/>
        <v>17.065000000000001</v>
      </c>
      <c r="I428" s="1243">
        <f t="shared" si="63"/>
        <v>-0.12332845004394966</v>
      </c>
      <c r="J428" s="1243">
        <f t="shared" si="70"/>
        <v>0.12093838824177333</v>
      </c>
      <c r="K428" s="1243">
        <f t="shared" si="71"/>
        <v>0.1</v>
      </c>
      <c r="L428" s="203"/>
      <c r="N428" s="1425">
        <v>44615</v>
      </c>
      <c r="O428" s="1502">
        <v>14.9604</v>
      </c>
      <c r="P428" s="1502">
        <v>5.5449000000000002</v>
      </c>
      <c r="Q428" s="1502">
        <v>13.7087</v>
      </c>
      <c r="R428" s="1233">
        <f>'B. PE'!$U$23</f>
        <v>15.978235616082999</v>
      </c>
      <c r="S428" s="1233"/>
      <c r="T428" s="1233"/>
      <c r="V428" s="1425">
        <v>44615</v>
      </c>
      <c r="W428" s="1">
        <v>17.065000000000001</v>
      </c>
      <c r="X428" s="1">
        <v>2.5474000000000001</v>
      </c>
      <c r="Y428" s="1">
        <v>12.7829</v>
      </c>
      <c r="Z428" s="1">
        <v>1.65917</v>
      </c>
      <c r="AB428" s="1425">
        <v>44592</v>
      </c>
      <c r="AC428" s="1">
        <v>8.7053999999999991</v>
      </c>
      <c r="AD428" s="1502">
        <v>1.4244000000000001</v>
      </c>
      <c r="AE428" s="1">
        <v>5.1127000000000002</v>
      </c>
      <c r="AF428" s="1">
        <v>3.7560000000000003E-2</v>
      </c>
      <c r="AH428" s="1425">
        <v>44592</v>
      </c>
      <c r="AI428" s="1">
        <v>16.284500000000001</v>
      </c>
      <c r="AJ428" s="1">
        <v>2.9990999999999999</v>
      </c>
      <c r="AK428" s="1">
        <v>8</v>
      </c>
      <c r="AL428" s="1">
        <v>4.5900000000000003E-2</v>
      </c>
      <c r="AN428" s="1425">
        <v>44599</v>
      </c>
      <c r="AO428" s="1">
        <v>7.3376999999999999</v>
      </c>
      <c r="AP428" s="1">
        <v>1.0824</v>
      </c>
      <c r="AQ428" s="1">
        <v>4.6463000000000001</v>
      </c>
      <c r="AR428" s="1">
        <v>0.26778000000000002</v>
      </c>
      <c r="AT428" s="1425">
        <v>44599</v>
      </c>
      <c r="AW428" s="1">
        <v>5.7153999999999998</v>
      </c>
      <c r="AX428" s="1">
        <v>0.15062</v>
      </c>
      <c r="BA428" s="1425">
        <v>44593</v>
      </c>
      <c r="BB428" s="1">
        <v>18.8855</v>
      </c>
      <c r="BC428" s="1">
        <v>4.5773999999999999</v>
      </c>
      <c r="BD428" s="1">
        <v>19.5093</v>
      </c>
      <c r="BE428" s="1">
        <v>1.2566900000000001</v>
      </c>
      <c r="BG428" s="1425">
        <v>44593</v>
      </c>
      <c r="BH428" s="1">
        <v>24.447199999999999</v>
      </c>
      <c r="BI428" s="1">
        <v>6.4771999999999998</v>
      </c>
      <c r="BJ428" s="1">
        <v>31.084700000000002</v>
      </c>
      <c r="BT428" s="1425">
        <v>44615</v>
      </c>
      <c r="BU428" s="1">
        <v>19.323</v>
      </c>
      <c r="BV428" s="1">
        <v>4.8246000000000002</v>
      </c>
      <c r="BW428" s="1">
        <v>11.855399999999999</v>
      </c>
      <c r="BX428" s="1">
        <v>2.9325000000000001</v>
      </c>
      <c r="BZ428" s="1425">
        <v>44615</v>
      </c>
      <c r="CA428" s="1">
        <v>20.752099999999999</v>
      </c>
      <c r="CB428" s="1">
        <v>5.5404</v>
      </c>
      <c r="CC428" s="1">
        <v>21.800999999999998</v>
      </c>
      <c r="CD428" s="1">
        <v>2.75508</v>
      </c>
      <c r="CF428" s="1425">
        <v>44614</v>
      </c>
      <c r="CG428" s="1">
        <v>8.9016999999999999</v>
      </c>
      <c r="CH428" s="1">
        <v>2.9089</v>
      </c>
      <c r="CI428" s="1">
        <v>5.9694000000000003</v>
      </c>
      <c r="CL428" s="1425">
        <v>44620</v>
      </c>
      <c r="CM428" s="1">
        <v>22.774699999999999</v>
      </c>
      <c r="CN428" s="1">
        <v>2.8246000000000002</v>
      </c>
      <c r="CO428" s="1">
        <v>12.180899999999999</v>
      </c>
    </row>
    <row r="429" spans="1:93">
      <c r="A429" s="1425">
        <v>44614</v>
      </c>
      <c r="B429" s="20">
        <f t="shared" si="62"/>
        <v>15.0007</v>
      </c>
      <c r="C429" s="20">
        <f t="shared" si="64"/>
        <v>15.955</v>
      </c>
      <c r="D429" s="20">
        <f t="shared" si="65"/>
        <v>16.043299999999999</v>
      </c>
      <c r="E429" s="20">
        <f t="shared" si="66"/>
        <v>7.7922000000000002</v>
      </c>
      <c r="F429" s="20">
        <f t="shared" si="67"/>
        <v>22.002500000000001</v>
      </c>
      <c r="G429" s="20">
        <f t="shared" si="68"/>
        <v>17.1081</v>
      </c>
      <c r="H429" s="1239">
        <f t="shared" si="69"/>
        <v>16.043299999999999</v>
      </c>
      <c r="I429" s="1243">
        <f t="shared" si="63"/>
        <v>-6.49866299327444E-2</v>
      </c>
      <c r="J429" s="1243">
        <f t="shared" si="70"/>
        <v>0.12093838824177333</v>
      </c>
      <c r="K429" s="1243">
        <f t="shared" si="71"/>
        <v>0.1</v>
      </c>
      <c r="L429" s="203"/>
      <c r="N429" s="1425">
        <v>44614</v>
      </c>
      <c r="O429" s="1502">
        <v>15.0007</v>
      </c>
      <c r="P429" s="1502">
        <v>5.5598000000000001</v>
      </c>
      <c r="Q429" s="1502">
        <v>13.747</v>
      </c>
      <c r="R429" s="1233">
        <f>'B. PE'!$U$23</f>
        <v>15.978235616082999</v>
      </c>
      <c r="S429" s="1233"/>
      <c r="T429" s="1233"/>
      <c r="V429" s="1425">
        <v>44614</v>
      </c>
      <c r="W429" s="1">
        <v>15.955</v>
      </c>
      <c r="X429" s="1">
        <v>2.3816999999999999</v>
      </c>
      <c r="Y429" s="1">
        <v>12.0396</v>
      </c>
      <c r="Z429" s="1">
        <v>1.7106399999999999</v>
      </c>
      <c r="AB429" s="1425">
        <v>44589</v>
      </c>
      <c r="AC429" s="1">
        <v>8.6263000000000005</v>
      </c>
      <c r="AD429" s="1502">
        <v>1.4114</v>
      </c>
      <c r="AE429" s="1">
        <v>5.0747</v>
      </c>
      <c r="AF429" s="1">
        <v>3.8420000000000003E-2</v>
      </c>
      <c r="AH429" s="1425">
        <v>44589</v>
      </c>
      <c r="AI429" s="1">
        <v>16.405100000000001</v>
      </c>
      <c r="AJ429" s="1">
        <v>3.0213000000000001</v>
      </c>
      <c r="AK429" s="1">
        <v>8.0631000000000004</v>
      </c>
      <c r="AL429" s="1">
        <v>4.9250000000000002E-2</v>
      </c>
      <c r="AN429" s="1425">
        <v>44596</v>
      </c>
      <c r="AO429" s="1">
        <v>7.2727000000000004</v>
      </c>
      <c r="AP429" s="1">
        <v>1.0728</v>
      </c>
      <c r="AQ429" s="1">
        <v>4.5967000000000002</v>
      </c>
      <c r="AR429" s="1">
        <v>0.26785999999999999</v>
      </c>
      <c r="AT429" s="1425">
        <v>44596</v>
      </c>
      <c r="AU429" s="1">
        <v>8.2409999999999997</v>
      </c>
      <c r="AV429" s="1">
        <v>0.54020000000000001</v>
      </c>
      <c r="AW429" s="1">
        <v>5.7153999999999998</v>
      </c>
      <c r="BA429" s="1425">
        <v>44592</v>
      </c>
      <c r="BB429" s="1">
        <v>18.996600000000001</v>
      </c>
      <c r="BC429" s="1">
        <v>4.6044</v>
      </c>
      <c r="BD429" s="1">
        <v>19.599</v>
      </c>
      <c r="BE429" s="1">
        <v>1.2456100000000001</v>
      </c>
      <c r="BG429" s="1425">
        <v>44592</v>
      </c>
      <c r="BH429" s="1">
        <v>24.243500000000001</v>
      </c>
      <c r="BI429" s="1">
        <v>6.4231999999999996</v>
      </c>
      <c r="BJ429" s="1">
        <v>30.850300000000001</v>
      </c>
      <c r="BT429" s="1425">
        <v>44614</v>
      </c>
      <c r="BU429" s="1">
        <v>19.308900000000001</v>
      </c>
      <c r="BV429" s="1">
        <v>4.8211000000000004</v>
      </c>
      <c r="BW429" s="1">
        <v>11.8474</v>
      </c>
      <c r="BX429" s="1">
        <v>2.9344999999999999</v>
      </c>
      <c r="BZ429" s="1425">
        <v>44614</v>
      </c>
      <c r="CA429" s="1">
        <v>20.645399999999999</v>
      </c>
      <c r="CB429" s="1">
        <v>5.5118999999999998</v>
      </c>
      <c r="CC429" s="1">
        <v>21.717300000000002</v>
      </c>
      <c r="CD429" s="1">
        <v>2.6025</v>
      </c>
      <c r="CF429" s="1425">
        <v>44613</v>
      </c>
      <c r="CG429" s="1">
        <v>8.5202000000000009</v>
      </c>
      <c r="CH429" s="1">
        <v>2.7841999999999998</v>
      </c>
      <c r="CI429" s="1">
        <v>5.6608999999999998</v>
      </c>
      <c r="CL429" s="1425">
        <v>44617</v>
      </c>
      <c r="CM429" s="1">
        <v>22.6877</v>
      </c>
      <c r="CN429" s="1">
        <v>2.8138000000000001</v>
      </c>
      <c r="CO429" s="1">
        <v>12.1343</v>
      </c>
    </row>
    <row r="430" spans="1:93">
      <c r="A430" s="1425">
        <v>44613</v>
      </c>
      <c r="B430" s="20">
        <f t="shared" si="62"/>
        <v>15.2151</v>
      </c>
      <c r="C430" s="20">
        <f t="shared" si="64"/>
        <v>14.911199999999999</v>
      </c>
      <c r="D430" s="20">
        <f t="shared" si="65"/>
        <v>16.284500000000001</v>
      </c>
      <c r="E430" s="20">
        <f t="shared" si="66"/>
        <v>7.7922000000000002</v>
      </c>
      <c r="F430" s="20">
        <f t="shared" si="67"/>
        <v>22.41</v>
      </c>
      <c r="G430" s="20">
        <f t="shared" si="68"/>
        <v>17.219200000000001</v>
      </c>
      <c r="H430" s="1239">
        <f t="shared" si="69"/>
        <v>16.284500000000001</v>
      </c>
      <c r="I430" s="1243">
        <f t="shared" si="63"/>
        <v>-6.5669808713807676E-2</v>
      </c>
      <c r="J430" s="1243">
        <f t="shared" si="70"/>
        <v>0.12093838824177333</v>
      </c>
      <c r="K430" s="1243">
        <f t="shared" si="71"/>
        <v>0.1</v>
      </c>
      <c r="L430" s="203"/>
      <c r="N430" s="1425">
        <v>44613</v>
      </c>
      <c r="O430" s="1502">
        <v>15.2151</v>
      </c>
      <c r="P430" s="1502">
        <v>5.6393000000000004</v>
      </c>
      <c r="Q430" s="1502">
        <v>13.9513</v>
      </c>
      <c r="R430" s="1233">
        <f>'B. PE'!$U$23</f>
        <v>15.978235616082999</v>
      </c>
      <c r="S430" s="1233"/>
      <c r="T430" s="1233"/>
      <c r="V430" s="1425">
        <v>44613</v>
      </c>
      <c r="W430" s="1">
        <v>14.911199999999999</v>
      </c>
      <c r="X430" s="1">
        <v>2.2259000000000002</v>
      </c>
      <c r="Y430" s="1">
        <v>11.3407</v>
      </c>
      <c r="Z430" s="1">
        <v>1.6894199999999999</v>
      </c>
      <c r="AB430" s="1425">
        <v>44588</v>
      </c>
      <c r="AC430" s="1">
        <v>8.5471000000000004</v>
      </c>
      <c r="AD430" s="1502">
        <v>1.3985000000000001</v>
      </c>
      <c r="AE430" s="1">
        <v>5.0368000000000004</v>
      </c>
      <c r="AF430" s="1">
        <v>3.6609999999999997E-2</v>
      </c>
      <c r="AH430" s="1425">
        <v>44588</v>
      </c>
      <c r="AI430" s="1">
        <v>15.922599999999999</v>
      </c>
      <c r="AJ430" s="1">
        <v>2.9325000000000001</v>
      </c>
      <c r="AK430" s="1">
        <v>7.8109000000000002</v>
      </c>
      <c r="AL430" s="1">
        <v>5.2650000000000002E-2</v>
      </c>
      <c r="AN430" s="1425">
        <v>44595</v>
      </c>
      <c r="AO430" s="1">
        <v>7.2727000000000004</v>
      </c>
      <c r="AP430" s="1">
        <v>1.0728</v>
      </c>
      <c r="AQ430" s="1">
        <v>4.5967000000000002</v>
      </c>
      <c r="AR430" s="1">
        <v>0.26728000000000002</v>
      </c>
      <c r="AT430" s="1425">
        <v>44595</v>
      </c>
      <c r="AU430" s="1">
        <v>8.7257999999999996</v>
      </c>
      <c r="AV430" s="1">
        <v>0.57189999999999996</v>
      </c>
      <c r="AW430" s="1">
        <v>5.9855</v>
      </c>
      <c r="AX430" s="1">
        <v>0.14080000000000001</v>
      </c>
      <c r="BA430" s="1425">
        <v>44589</v>
      </c>
      <c r="BB430" s="1">
        <v>18.6633</v>
      </c>
      <c r="BC430" s="1">
        <v>4.5236000000000001</v>
      </c>
      <c r="BD430" s="1">
        <v>19.329899999999999</v>
      </c>
      <c r="BE430" s="1">
        <v>1.2556</v>
      </c>
      <c r="BG430" s="1425">
        <v>44589</v>
      </c>
      <c r="BH430" s="1">
        <v>24.447199999999999</v>
      </c>
      <c r="BI430" s="1">
        <v>6.4771999999999998</v>
      </c>
      <c r="BJ430" s="1">
        <v>31.084700000000002</v>
      </c>
      <c r="BT430" s="1425">
        <v>44613</v>
      </c>
      <c r="BU430" s="1">
        <v>18.7761</v>
      </c>
      <c r="BV430" s="1">
        <v>4.6881000000000004</v>
      </c>
      <c r="BW430" s="1">
        <v>11.540100000000001</v>
      </c>
      <c r="BX430" s="1">
        <v>2.9533999999999998</v>
      </c>
      <c r="BZ430" s="1425">
        <v>44613</v>
      </c>
      <c r="CA430" s="1">
        <v>19.310500000000001</v>
      </c>
      <c r="CB430" s="1">
        <v>5.1555</v>
      </c>
      <c r="CC430" s="1">
        <v>20.671500000000002</v>
      </c>
      <c r="CD430" s="1">
        <v>2.4390100000000001</v>
      </c>
      <c r="CF430" s="1425">
        <v>44610</v>
      </c>
      <c r="CG430" s="1">
        <v>8.4565999999999999</v>
      </c>
      <c r="CH430" s="1">
        <v>2.7633999999999999</v>
      </c>
      <c r="CI430" s="1">
        <v>5.6094999999999997</v>
      </c>
      <c r="CL430" s="1425">
        <v>44616</v>
      </c>
      <c r="CM430" s="1">
        <v>21.8324</v>
      </c>
      <c r="CN430" s="1">
        <v>2.7077</v>
      </c>
      <c r="CO430" s="1">
        <v>11.676</v>
      </c>
    </row>
    <row r="431" spans="1:93">
      <c r="A431" s="1425">
        <v>44610</v>
      </c>
      <c r="B431" s="20">
        <f t="shared" si="62"/>
        <v>15.2822</v>
      </c>
      <c r="C431" s="20">
        <f t="shared" si="64"/>
        <v>15.3751</v>
      </c>
      <c r="D431" s="20">
        <f t="shared" si="65"/>
        <v>16.405100000000001</v>
      </c>
      <c r="E431" s="20">
        <f t="shared" si="66"/>
        <v>7.3376999999999999</v>
      </c>
      <c r="F431" s="20">
        <f t="shared" si="67"/>
        <v>21.7988</v>
      </c>
      <c r="G431" s="20">
        <f t="shared" si="68"/>
        <v>16.663699999999999</v>
      </c>
      <c r="H431" s="1239">
        <f t="shared" si="69"/>
        <v>16.405100000000001</v>
      </c>
      <c r="I431" s="1243">
        <f t="shared" si="63"/>
        <v>-6.844822646616E-2</v>
      </c>
      <c r="J431" s="1243">
        <f t="shared" si="70"/>
        <v>0.12093838824177333</v>
      </c>
      <c r="K431" s="1243">
        <f t="shared" si="71"/>
        <v>0.1</v>
      </c>
      <c r="L431" s="203"/>
      <c r="N431" s="1425">
        <v>44610</v>
      </c>
      <c r="O431" s="1502">
        <v>15.2822</v>
      </c>
      <c r="P431" s="1502">
        <v>5.6642000000000001</v>
      </c>
      <c r="Q431" s="1502">
        <v>14.0151</v>
      </c>
      <c r="R431" s="1233">
        <f>'B. PE'!$U$23</f>
        <v>15.978235616082999</v>
      </c>
      <c r="S431" s="1233"/>
      <c r="T431" s="1233"/>
      <c r="V431" s="1425">
        <v>44610</v>
      </c>
      <c r="W431" s="1">
        <v>15.3751</v>
      </c>
      <c r="X431" s="1">
        <v>2.2951000000000001</v>
      </c>
      <c r="Y431" s="1">
        <v>11.651400000000001</v>
      </c>
      <c r="Z431" s="1">
        <v>1.5808500000000001</v>
      </c>
      <c r="AB431" s="1425">
        <v>44587</v>
      </c>
      <c r="AC431" s="1">
        <v>8.7053999999999991</v>
      </c>
      <c r="AD431" s="1502">
        <v>1.4244000000000001</v>
      </c>
      <c r="AE431" s="1">
        <v>5.1127000000000002</v>
      </c>
      <c r="AF431" s="1">
        <v>3.7949999999999998E-2</v>
      </c>
      <c r="AH431" s="1425">
        <v>44587</v>
      </c>
      <c r="AI431" s="1">
        <v>17.008299999999998</v>
      </c>
      <c r="AJ431" s="1">
        <v>3.1324000000000001</v>
      </c>
      <c r="AK431" s="1">
        <v>8.3782999999999994</v>
      </c>
      <c r="AL431" s="1">
        <v>5.4309999999999997E-2</v>
      </c>
      <c r="AN431" s="1425">
        <v>44592</v>
      </c>
      <c r="AO431" s="1">
        <v>7.2727000000000004</v>
      </c>
      <c r="AP431" s="1">
        <v>1.0728</v>
      </c>
      <c r="AQ431" s="1">
        <v>4.5967000000000002</v>
      </c>
      <c r="AR431" s="1">
        <v>0.26230999999999999</v>
      </c>
      <c r="AT431" s="1425">
        <v>44592</v>
      </c>
      <c r="AW431" s="1">
        <v>5.6768000000000001</v>
      </c>
      <c r="BA431" s="1425">
        <v>44588</v>
      </c>
      <c r="BB431" s="1">
        <v>18.441199999999998</v>
      </c>
      <c r="BC431" s="1">
        <v>4.4696999999999996</v>
      </c>
      <c r="BD431" s="1">
        <v>19.150600000000001</v>
      </c>
      <c r="BE431" s="1">
        <v>1.2501899999999999</v>
      </c>
      <c r="BG431" s="1425">
        <v>44588</v>
      </c>
      <c r="BH431" s="1">
        <v>25.058399999999999</v>
      </c>
      <c r="BI431" s="1">
        <v>6.6391</v>
      </c>
      <c r="BJ431" s="1">
        <v>31.787800000000001</v>
      </c>
      <c r="BT431" s="1425">
        <v>44610</v>
      </c>
      <c r="BU431" s="1">
        <v>18.790099999999999</v>
      </c>
      <c r="BV431" s="1">
        <v>4.6916000000000002</v>
      </c>
      <c r="BW431" s="1">
        <v>11.5482</v>
      </c>
      <c r="BX431" s="1">
        <v>2.9192</v>
      </c>
      <c r="BZ431" s="1425">
        <v>44610</v>
      </c>
      <c r="CA431" s="1">
        <v>18.242699999999999</v>
      </c>
      <c r="CB431" s="1">
        <v>4.8704000000000001</v>
      </c>
      <c r="CC431" s="1">
        <v>19.834800000000001</v>
      </c>
      <c r="CD431" s="1">
        <v>2.3990100000000001</v>
      </c>
      <c r="CF431" s="1425">
        <v>44609</v>
      </c>
      <c r="CG431" s="1">
        <v>8.5625999999999998</v>
      </c>
      <c r="CH431" s="1">
        <v>2.7980999999999998</v>
      </c>
      <c r="CI431" s="1">
        <v>5.6951999999999998</v>
      </c>
      <c r="CL431" s="1425">
        <v>44615</v>
      </c>
      <c r="CM431" s="1">
        <v>22.934200000000001</v>
      </c>
      <c r="CN431" s="1">
        <v>2.8443999999999998</v>
      </c>
      <c r="CO431" s="1">
        <v>12.266299999999999</v>
      </c>
    </row>
    <row r="432" spans="1:93">
      <c r="A432" s="1425">
        <v>44609</v>
      </c>
      <c r="B432" s="20">
        <f t="shared" si="62"/>
        <v>15.1615</v>
      </c>
      <c r="C432" s="20">
        <f t="shared" si="64"/>
        <v>15.1432</v>
      </c>
      <c r="D432" s="20">
        <f t="shared" si="65"/>
        <v>16.284500000000001</v>
      </c>
      <c r="E432" s="20">
        <f t="shared" si="66"/>
        <v>7.2727000000000004</v>
      </c>
      <c r="F432" s="20">
        <f t="shared" si="67"/>
        <v>21.595099999999999</v>
      </c>
      <c r="G432" s="20">
        <f t="shared" si="68"/>
        <v>16.441500000000001</v>
      </c>
      <c r="H432" s="1239">
        <f t="shared" si="69"/>
        <v>16.284500000000001</v>
      </c>
      <c r="I432" s="1243">
        <f t="shared" si="63"/>
        <v>-6.8961282200865948E-2</v>
      </c>
      <c r="J432" s="1243">
        <f t="shared" si="70"/>
        <v>0.12093838824177333</v>
      </c>
      <c r="K432" s="1243">
        <f t="shared" si="71"/>
        <v>0.1</v>
      </c>
      <c r="L432" s="203"/>
      <c r="N432" s="1425">
        <v>44609</v>
      </c>
      <c r="O432" s="1502">
        <v>15.1615</v>
      </c>
      <c r="P432" s="1502">
        <v>5.6193999999999997</v>
      </c>
      <c r="Q432" s="1502">
        <v>13.9002</v>
      </c>
      <c r="R432" s="1233">
        <f>'B. PE'!$U$23</f>
        <v>15.978235616082999</v>
      </c>
      <c r="S432" s="1233"/>
      <c r="T432" s="1233"/>
      <c r="V432" s="1425">
        <v>44609</v>
      </c>
      <c r="W432" s="1">
        <v>15.1432</v>
      </c>
      <c r="X432" s="1">
        <v>2.2605</v>
      </c>
      <c r="Y432" s="1">
        <v>11.496</v>
      </c>
      <c r="Z432" s="1">
        <v>1.5226900000000001</v>
      </c>
      <c r="AB432" s="1425">
        <v>44586</v>
      </c>
      <c r="AC432" s="1">
        <v>8.3096999999999994</v>
      </c>
      <c r="AD432" s="1502">
        <v>1.3595999999999999</v>
      </c>
      <c r="AE432" s="1">
        <v>4.9229000000000003</v>
      </c>
      <c r="AF432" s="1">
        <v>3.8080000000000003E-2</v>
      </c>
      <c r="AH432" s="1425">
        <v>44586</v>
      </c>
      <c r="AI432" s="1">
        <v>18.214500000000001</v>
      </c>
      <c r="AJ432" s="1">
        <v>3.3546</v>
      </c>
      <c r="AK432" s="1">
        <v>9.0086999999999993</v>
      </c>
      <c r="AL432" s="1">
        <v>5.4850000000000003E-2</v>
      </c>
      <c r="AN432" s="1425">
        <v>44589</v>
      </c>
      <c r="AO432" s="1">
        <v>7.2727000000000004</v>
      </c>
      <c r="AP432" s="1">
        <v>1.0728</v>
      </c>
      <c r="AQ432" s="1">
        <v>4.5967000000000002</v>
      </c>
      <c r="AR432" s="1">
        <v>0.26962000000000003</v>
      </c>
      <c r="AT432" s="1425">
        <v>44589</v>
      </c>
      <c r="AU432" s="1">
        <v>8.1716999999999995</v>
      </c>
      <c r="AV432" s="1">
        <v>0.53559999999999997</v>
      </c>
      <c r="AW432" s="1">
        <v>5.6768000000000001</v>
      </c>
      <c r="BA432" s="1425">
        <v>44587</v>
      </c>
      <c r="BB432" s="1">
        <v>18.441199999999998</v>
      </c>
      <c r="BC432" s="1">
        <v>4.4696999999999996</v>
      </c>
      <c r="BD432" s="1">
        <v>19.150600000000001</v>
      </c>
      <c r="BE432" s="1">
        <v>1.22519</v>
      </c>
      <c r="BG432" s="1425">
        <v>44587</v>
      </c>
      <c r="BH432" s="1">
        <v>25.669599999999999</v>
      </c>
      <c r="BI432" s="1">
        <v>6.8010999999999999</v>
      </c>
      <c r="BJ432" s="1">
        <v>32.491</v>
      </c>
      <c r="BT432" s="1425">
        <v>44609</v>
      </c>
      <c r="BU432" s="1">
        <v>18.860199999999999</v>
      </c>
      <c r="BV432" s="1">
        <v>4.7091000000000003</v>
      </c>
      <c r="BW432" s="1">
        <v>11.5886</v>
      </c>
      <c r="BX432" s="1">
        <v>2.9298999999999999</v>
      </c>
      <c r="BZ432" s="1425">
        <v>44609</v>
      </c>
      <c r="CA432" s="1">
        <v>17.0502</v>
      </c>
      <c r="CB432" s="1">
        <v>4.5521000000000003</v>
      </c>
      <c r="CC432" s="1">
        <v>18.900500000000001</v>
      </c>
      <c r="CD432" s="1">
        <v>2.5025300000000001</v>
      </c>
      <c r="CF432" s="1425">
        <v>44608</v>
      </c>
      <c r="CG432" s="1">
        <v>8.4565999999999999</v>
      </c>
      <c r="CH432" s="1">
        <v>2.7633999999999999</v>
      </c>
      <c r="CI432" s="1">
        <v>5.6094999999999997</v>
      </c>
      <c r="CL432" s="1425">
        <v>44614</v>
      </c>
      <c r="CM432" s="1">
        <v>22.644300000000001</v>
      </c>
      <c r="CN432" s="1">
        <v>2.8083999999999998</v>
      </c>
      <c r="CO432" s="1">
        <v>12.111000000000001</v>
      </c>
    </row>
    <row r="433" spans="1:93">
      <c r="A433" s="1425">
        <v>44608</v>
      </c>
      <c r="B433" s="20">
        <f t="shared" si="62"/>
        <v>15.4162</v>
      </c>
      <c r="C433" s="20">
        <f t="shared" si="64"/>
        <v>14.1656</v>
      </c>
      <c r="D433" s="20">
        <f t="shared" si="65"/>
        <v>16.5258</v>
      </c>
      <c r="E433" s="20">
        <f t="shared" si="66"/>
        <v>7.2727000000000004</v>
      </c>
      <c r="F433" s="20">
        <f t="shared" si="67"/>
        <v>21.595099999999999</v>
      </c>
      <c r="G433" s="20">
        <f t="shared" si="68"/>
        <v>16.441500000000001</v>
      </c>
      <c r="H433" s="1239">
        <f t="shared" si="69"/>
        <v>16.441500000000001</v>
      </c>
      <c r="I433" s="1243">
        <f t="shared" si="63"/>
        <v>-6.2360490222911569E-2</v>
      </c>
      <c r="J433" s="1243">
        <f t="shared" si="70"/>
        <v>0.12093838824177333</v>
      </c>
      <c r="K433" s="1243">
        <f t="shared" si="71"/>
        <v>0.1</v>
      </c>
      <c r="L433" s="203"/>
      <c r="N433" s="1425">
        <v>44608</v>
      </c>
      <c r="O433" s="1502">
        <v>15.4162</v>
      </c>
      <c r="P433" s="1502">
        <v>5.7138</v>
      </c>
      <c r="Q433" s="1502">
        <v>14.142799999999999</v>
      </c>
      <c r="R433" s="1233">
        <f>'B. PE'!$U$23</f>
        <v>15.978235616082999</v>
      </c>
      <c r="S433" s="1233"/>
      <c r="T433" s="1233"/>
      <c r="V433" s="1425">
        <v>44608</v>
      </c>
      <c r="W433" s="1">
        <v>14.1656</v>
      </c>
      <c r="X433" s="1">
        <v>2.1145999999999998</v>
      </c>
      <c r="Y433" s="1">
        <v>10.8415</v>
      </c>
      <c r="Z433" s="1">
        <v>1.54426</v>
      </c>
      <c r="AB433" s="1425">
        <v>44585</v>
      </c>
      <c r="AC433" s="1">
        <v>8.6263000000000005</v>
      </c>
      <c r="AD433" s="1502">
        <v>1.4114</v>
      </c>
      <c r="AE433" s="1">
        <v>5.0747</v>
      </c>
      <c r="AF433" s="1">
        <v>3.8089999999999999E-2</v>
      </c>
      <c r="AH433" s="1425">
        <v>44585</v>
      </c>
      <c r="AI433" s="1">
        <v>18.817699999999999</v>
      </c>
      <c r="AJ433" s="1">
        <v>3.4657</v>
      </c>
      <c r="AK433" s="1">
        <v>9.3239000000000001</v>
      </c>
      <c r="AL433" s="1">
        <v>5.4510000000000003E-2</v>
      </c>
      <c r="AN433" s="1425">
        <v>44588</v>
      </c>
      <c r="AO433" s="1">
        <v>7.1429</v>
      </c>
      <c r="AP433" s="1">
        <v>1.0537000000000001</v>
      </c>
      <c r="AQ433" s="1">
        <v>4.4976000000000003</v>
      </c>
      <c r="AR433" s="1">
        <v>0.26262000000000002</v>
      </c>
      <c r="AT433" s="1425">
        <v>44588</v>
      </c>
      <c r="AW433" s="1">
        <v>5.6768000000000001</v>
      </c>
      <c r="AX433" s="1">
        <v>0.14086000000000001</v>
      </c>
      <c r="BA433" s="1425">
        <v>44586</v>
      </c>
      <c r="BB433" s="1">
        <v>18.330100000000002</v>
      </c>
      <c r="BC433" s="1">
        <v>4.4428000000000001</v>
      </c>
      <c r="BD433" s="1">
        <v>19.0609</v>
      </c>
      <c r="BE433" s="1">
        <v>1.2277899999999999</v>
      </c>
      <c r="BG433" s="1425">
        <v>44586</v>
      </c>
      <c r="BH433" s="1">
        <v>25.465900000000001</v>
      </c>
      <c r="BI433" s="1">
        <v>6.7470999999999997</v>
      </c>
      <c r="BJ433" s="1">
        <v>32.256599999999999</v>
      </c>
      <c r="BT433" s="1425">
        <v>44608</v>
      </c>
      <c r="BU433" s="1">
        <v>18.635899999999999</v>
      </c>
      <c r="BV433" s="1">
        <v>4.6531000000000002</v>
      </c>
      <c r="BW433" s="1">
        <v>11.459199999999999</v>
      </c>
      <c r="BX433" s="1">
        <v>2.9037000000000002</v>
      </c>
      <c r="BZ433" s="1425">
        <v>44608</v>
      </c>
      <c r="CA433" s="1">
        <v>16.765499999999999</v>
      </c>
      <c r="CB433" s="1">
        <v>4.476</v>
      </c>
      <c r="CC433" s="1">
        <v>18.677399999999999</v>
      </c>
      <c r="CD433" s="1">
        <v>2.50196</v>
      </c>
      <c r="CF433" s="1425">
        <v>44607</v>
      </c>
      <c r="CG433" s="1">
        <v>7.9480000000000004</v>
      </c>
      <c r="CH433" s="1">
        <v>2.5972</v>
      </c>
      <c r="CI433" s="1">
        <v>5.1981999999999999</v>
      </c>
      <c r="CL433" s="1425">
        <v>44613</v>
      </c>
      <c r="CM433" s="1">
        <v>22.6877</v>
      </c>
      <c r="CN433" s="1">
        <v>2.8138000000000001</v>
      </c>
      <c r="CO433" s="1">
        <v>12.1343</v>
      </c>
    </row>
    <row r="434" spans="1:93">
      <c r="A434" s="1425">
        <v>44607</v>
      </c>
      <c r="B434" s="20">
        <f t="shared" si="62"/>
        <v>15.536899999999999</v>
      </c>
      <c r="C434" s="20">
        <f t="shared" si="64"/>
        <v>13.6355</v>
      </c>
      <c r="D434" s="20">
        <f t="shared" si="65"/>
        <v>16.405100000000001</v>
      </c>
      <c r="E434" s="20">
        <f t="shared" si="66"/>
        <v>7.2727000000000004</v>
      </c>
      <c r="F434" s="20">
        <f t="shared" si="67"/>
        <v>20.5764</v>
      </c>
      <c r="G434" s="20">
        <f t="shared" si="68"/>
        <v>16.552600000000002</v>
      </c>
      <c r="H434" s="1239">
        <f t="shared" si="69"/>
        <v>16.405100000000001</v>
      </c>
      <c r="I434" s="1243">
        <f t="shared" si="63"/>
        <v>-5.292256676277507E-2</v>
      </c>
      <c r="J434" s="1243">
        <f t="shared" si="70"/>
        <v>0.12093838824177333</v>
      </c>
      <c r="K434" s="1243">
        <f t="shared" si="71"/>
        <v>0.1</v>
      </c>
      <c r="L434" s="203"/>
      <c r="N434" s="1425">
        <v>44607</v>
      </c>
      <c r="O434" s="1502">
        <v>15.536899999999999</v>
      </c>
      <c r="P434" s="1502">
        <v>5.7586000000000004</v>
      </c>
      <c r="Q434" s="1502">
        <v>14.2578</v>
      </c>
      <c r="R434" s="1233">
        <f>'B. PE'!$U$23</f>
        <v>15.978235616082999</v>
      </c>
      <c r="S434" s="1233"/>
      <c r="T434" s="1233"/>
      <c r="V434" s="1425">
        <v>44607</v>
      </c>
      <c r="W434" s="1">
        <v>13.6355</v>
      </c>
      <c r="X434" s="1">
        <v>2.0354000000000001</v>
      </c>
      <c r="Y434" s="1">
        <v>10.486499999999999</v>
      </c>
      <c r="Z434" s="1">
        <v>1.4464999999999999</v>
      </c>
      <c r="AB434" s="1425">
        <v>44582</v>
      </c>
      <c r="AC434" s="1">
        <v>8.6263000000000005</v>
      </c>
      <c r="AD434" s="1502">
        <v>1.4114</v>
      </c>
      <c r="AE434" s="1">
        <v>5.0747</v>
      </c>
      <c r="AF434" s="1">
        <v>3.7629999999999997E-2</v>
      </c>
      <c r="AH434" s="1425">
        <v>44582</v>
      </c>
      <c r="AI434" s="1">
        <v>18.938300000000002</v>
      </c>
      <c r="AJ434" s="1">
        <v>3.4878999999999998</v>
      </c>
      <c r="AK434" s="1">
        <v>9.3869000000000007</v>
      </c>
      <c r="AL434" s="1">
        <v>5.3650000000000003E-2</v>
      </c>
      <c r="AN434" s="1425">
        <v>44587</v>
      </c>
      <c r="AO434" s="1">
        <v>7.3376999999999999</v>
      </c>
      <c r="AP434" s="1">
        <v>1.0824</v>
      </c>
      <c r="AQ434" s="1">
        <v>4.6463000000000001</v>
      </c>
      <c r="AR434" s="1">
        <v>0.26508999999999999</v>
      </c>
      <c r="AT434" s="1425">
        <v>44587</v>
      </c>
      <c r="AW434" s="1">
        <v>5.6768000000000001</v>
      </c>
      <c r="AX434" s="1">
        <v>0.13971</v>
      </c>
      <c r="BA434" s="1425">
        <v>44585</v>
      </c>
      <c r="BB434" s="1">
        <v>17.9968</v>
      </c>
      <c r="BC434" s="1">
        <v>4.3620000000000001</v>
      </c>
      <c r="BD434" s="1">
        <v>18.791899999999998</v>
      </c>
      <c r="BE434" s="1">
        <v>1.2723199999999999</v>
      </c>
      <c r="BG434" s="1425">
        <v>44585</v>
      </c>
      <c r="BH434" s="1">
        <v>24.651</v>
      </c>
      <c r="BI434" s="1">
        <v>6.5312000000000001</v>
      </c>
      <c r="BJ434" s="1">
        <v>31.319099999999999</v>
      </c>
      <c r="BT434" s="1425">
        <v>44607</v>
      </c>
      <c r="BU434" s="1">
        <v>18.692</v>
      </c>
      <c r="BV434" s="1">
        <v>4.6670999999999996</v>
      </c>
      <c r="BW434" s="1">
        <v>11.4916</v>
      </c>
      <c r="BX434" s="1">
        <v>2.9807999999999999</v>
      </c>
      <c r="BZ434" s="1425">
        <v>44607</v>
      </c>
      <c r="CA434" s="1">
        <v>17.477399999999999</v>
      </c>
      <c r="CB434" s="1">
        <v>4.6661000000000001</v>
      </c>
      <c r="CC434" s="1">
        <v>19.235199999999999</v>
      </c>
      <c r="CD434" s="1">
        <v>2.52881</v>
      </c>
      <c r="CF434" s="1425">
        <v>44606</v>
      </c>
      <c r="CG434" s="1">
        <v>7.4817</v>
      </c>
      <c r="CH434" s="1">
        <v>2.4449000000000001</v>
      </c>
      <c r="CI434" s="1">
        <v>4.8211000000000004</v>
      </c>
      <c r="CL434" s="1425">
        <v>44610</v>
      </c>
      <c r="CM434" s="1">
        <v>22.4268</v>
      </c>
      <c r="CN434" s="1">
        <v>2.7814000000000001</v>
      </c>
      <c r="CO434" s="1">
        <v>11.994400000000001</v>
      </c>
    </row>
    <row r="435" spans="1:93">
      <c r="A435" s="1425">
        <v>44606</v>
      </c>
      <c r="B435" s="20">
        <f t="shared" si="62"/>
        <v>14.786199999999999</v>
      </c>
      <c r="C435" s="20">
        <f t="shared" si="64"/>
        <v>13.8177</v>
      </c>
      <c r="D435" s="20">
        <f t="shared" si="65"/>
        <v>16.284500000000001</v>
      </c>
      <c r="E435" s="20">
        <f t="shared" si="66"/>
        <v>7.2727000000000004</v>
      </c>
      <c r="F435" s="20">
        <f t="shared" si="67"/>
        <v>20.209700000000002</v>
      </c>
      <c r="G435" s="20">
        <f t="shared" si="68"/>
        <v>15.9971</v>
      </c>
      <c r="H435" s="1239">
        <f t="shared" si="69"/>
        <v>15.9971</v>
      </c>
      <c r="I435" s="1243">
        <f t="shared" si="63"/>
        <v>-7.5694969713260618E-2</v>
      </c>
      <c r="J435" s="1243">
        <f t="shared" si="70"/>
        <v>0.12093838824177333</v>
      </c>
      <c r="K435" s="1243">
        <f t="shared" si="71"/>
        <v>0.1</v>
      </c>
      <c r="L435" s="203"/>
      <c r="N435" s="1425">
        <v>44606</v>
      </c>
      <c r="O435" s="1502">
        <v>14.786199999999999</v>
      </c>
      <c r="P435" s="1502">
        <v>5.4802999999999997</v>
      </c>
      <c r="Q435" s="1502">
        <v>13.5427</v>
      </c>
      <c r="R435" s="1233">
        <f>'B. PE'!$U$23</f>
        <v>15.978235616082999</v>
      </c>
      <c r="S435" s="1233"/>
      <c r="T435" s="1233"/>
      <c r="V435" s="1425">
        <v>44606</v>
      </c>
      <c r="W435" s="1">
        <v>13.8177</v>
      </c>
      <c r="X435" s="1">
        <v>2.0626000000000002</v>
      </c>
      <c r="Y435" s="1">
        <v>10.608599999999999</v>
      </c>
      <c r="Z435" s="1">
        <v>1.41862</v>
      </c>
      <c r="AB435" s="1425">
        <v>44581</v>
      </c>
      <c r="AC435" s="1">
        <v>8.6263000000000005</v>
      </c>
      <c r="AD435" s="1502">
        <v>1.4114</v>
      </c>
      <c r="AE435" s="1">
        <v>5.0747</v>
      </c>
      <c r="AF435" s="1">
        <v>3.7940000000000002E-2</v>
      </c>
      <c r="AH435" s="1425">
        <v>44581</v>
      </c>
      <c r="AI435" s="1">
        <v>18.817699999999999</v>
      </c>
      <c r="AJ435" s="1">
        <v>3.4657</v>
      </c>
      <c r="AK435" s="1">
        <v>9.3239000000000001</v>
      </c>
      <c r="AL435" s="1">
        <v>5.3260000000000002E-2</v>
      </c>
      <c r="AN435" s="1425">
        <v>44586</v>
      </c>
      <c r="AO435" s="1">
        <v>7.1429</v>
      </c>
      <c r="AP435" s="1">
        <v>1.0537000000000001</v>
      </c>
      <c r="AQ435" s="1">
        <v>4.4976000000000003</v>
      </c>
      <c r="AR435" s="1">
        <v>0.26835999999999999</v>
      </c>
      <c r="AT435" s="1425">
        <v>44586</v>
      </c>
      <c r="AU435" s="1">
        <v>8.1716999999999995</v>
      </c>
      <c r="AV435" s="1">
        <v>0.53559999999999997</v>
      </c>
      <c r="AW435" s="1">
        <v>5.6768000000000001</v>
      </c>
      <c r="AX435" s="1">
        <v>0.14016999999999999</v>
      </c>
      <c r="BA435" s="1425">
        <v>44582</v>
      </c>
      <c r="BB435" s="1">
        <v>17.9968</v>
      </c>
      <c r="BC435" s="1">
        <v>4.3620000000000001</v>
      </c>
      <c r="BD435" s="1">
        <v>18.791899999999998</v>
      </c>
      <c r="BE435" s="1">
        <v>1.3139099999999999</v>
      </c>
      <c r="BG435" s="1425">
        <v>44582</v>
      </c>
      <c r="BH435" s="1">
        <v>24.447199999999999</v>
      </c>
      <c r="BI435" s="1">
        <v>6.4771999999999998</v>
      </c>
      <c r="BJ435" s="1">
        <v>31.084700000000002</v>
      </c>
      <c r="BT435" s="1425">
        <v>44606</v>
      </c>
      <c r="BU435" s="1">
        <v>18.509699999999999</v>
      </c>
      <c r="BV435" s="1">
        <v>4.6215999999999999</v>
      </c>
      <c r="BW435" s="1">
        <v>11.3864</v>
      </c>
      <c r="BX435" s="1">
        <v>3.0026999999999999</v>
      </c>
      <c r="BZ435" s="1425">
        <v>44606</v>
      </c>
      <c r="CA435" s="1">
        <v>17.459599999999998</v>
      </c>
      <c r="CB435" s="1">
        <v>4.6612999999999998</v>
      </c>
      <c r="CC435" s="1">
        <v>19.221299999999999</v>
      </c>
      <c r="CD435" s="1">
        <v>2.4776099999999999</v>
      </c>
      <c r="CF435" s="1425">
        <v>44603</v>
      </c>
      <c r="CG435" s="1">
        <v>7.1638000000000002</v>
      </c>
      <c r="CH435" s="1">
        <v>2.3410000000000002</v>
      </c>
      <c r="CI435" s="1">
        <v>4.5640000000000001</v>
      </c>
      <c r="CL435" s="1425">
        <v>44609</v>
      </c>
      <c r="CM435" s="1">
        <v>22.020900000000001</v>
      </c>
      <c r="CN435" s="1">
        <v>2.7311000000000001</v>
      </c>
      <c r="CO435" s="1">
        <v>11.776999999999999</v>
      </c>
    </row>
    <row r="436" spans="1:93">
      <c r="A436" s="1425">
        <v>44603</v>
      </c>
      <c r="B436" s="20">
        <f t="shared" si="62"/>
        <v>14.746</v>
      </c>
      <c r="C436" s="20">
        <f t="shared" si="64"/>
        <v>12.923</v>
      </c>
      <c r="D436" s="20">
        <f t="shared" si="65"/>
        <v>17.008299999999998</v>
      </c>
      <c r="E436" s="20">
        <f t="shared" si="66"/>
        <v>7.3376999999999999</v>
      </c>
      <c r="F436" s="20">
        <f t="shared" si="67"/>
        <v>21.391300000000001</v>
      </c>
      <c r="G436" s="20">
        <f t="shared" si="68"/>
        <v>16.330400000000001</v>
      </c>
      <c r="H436" s="1239">
        <f t="shared" si="69"/>
        <v>16.330400000000001</v>
      </c>
      <c r="I436" s="1243">
        <f t="shared" si="63"/>
        <v>-9.7021505903100991E-2</v>
      </c>
      <c r="J436" s="1243">
        <f t="shared" si="70"/>
        <v>0.12093838824177333</v>
      </c>
      <c r="K436" s="1243">
        <f t="shared" si="71"/>
        <v>0.1</v>
      </c>
      <c r="L436" s="203"/>
      <c r="N436" s="1425">
        <v>44603</v>
      </c>
      <c r="O436" s="1502">
        <v>14.746</v>
      </c>
      <c r="P436" s="1502">
        <v>5.4653999999999998</v>
      </c>
      <c r="Q436" s="1502">
        <v>13.5044</v>
      </c>
      <c r="R436" s="1233">
        <f>'B. PE'!$U$23</f>
        <v>15.978235616082999</v>
      </c>
      <c r="S436" s="1233"/>
      <c r="T436" s="1233"/>
      <c r="V436" s="1425">
        <v>44603</v>
      </c>
      <c r="W436" s="1">
        <v>12.923</v>
      </c>
      <c r="X436" s="1">
        <v>1.9291</v>
      </c>
      <c r="Y436" s="1">
        <v>10.009499999999999</v>
      </c>
      <c r="Z436" s="1">
        <v>1.40255</v>
      </c>
      <c r="AB436" s="1425">
        <v>44580</v>
      </c>
      <c r="AC436" s="1">
        <v>8.5471000000000004</v>
      </c>
      <c r="AD436" s="1502">
        <v>1.3985000000000001</v>
      </c>
      <c r="AE436" s="1">
        <v>5.0368000000000004</v>
      </c>
      <c r="AF436" s="1">
        <v>3.8739999999999997E-2</v>
      </c>
      <c r="AH436" s="1425">
        <v>44580</v>
      </c>
      <c r="AI436" s="1">
        <v>18.5764</v>
      </c>
      <c r="AJ436" s="1">
        <v>3.4211999999999998</v>
      </c>
      <c r="AK436" s="1">
        <v>9.1978000000000009</v>
      </c>
      <c r="AL436" s="1">
        <v>5.4449999999999998E-2</v>
      </c>
      <c r="AN436" s="1425">
        <v>44585</v>
      </c>
      <c r="AO436" s="1">
        <v>7.2077999999999998</v>
      </c>
      <c r="AP436" s="1">
        <v>1.0632999999999999</v>
      </c>
      <c r="AQ436" s="1">
        <v>4.5472000000000001</v>
      </c>
      <c r="AR436" s="1">
        <v>0.27567999999999998</v>
      </c>
      <c r="AT436" s="1425">
        <v>44585</v>
      </c>
      <c r="AU436" s="1">
        <v>8.1024999999999991</v>
      </c>
      <c r="AV436" s="1">
        <v>0.53110000000000002</v>
      </c>
      <c r="AW436" s="1">
        <v>5.6382000000000003</v>
      </c>
      <c r="AX436" s="1">
        <v>0.13904</v>
      </c>
      <c r="BA436" s="1425">
        <v>44581</v>
      </c>
      <c r="BB436" s="1">
        <v>18.552199999999999</v>
      </c>
      <c r="BC436" s="1">
        <v>4.4965999999999999</v>
      </c>
      <c r="BD436" s="1">
        <v>19.240300000000001</v>
      </c>
      <c r="BE436" s="1">
        <v>1.2907999999999999</v>
      </c>
      <c r="BG436" s="1425">
        <v>44581</v>
      </c>
      <c r="BH436" s="1">
        <v>24.651</v>
      </c>
      <c r="BI436" s="1">
        <v>6.5312000000000001</v>
      </c>
      <c r="BJ436" s="1">
        <v>31.319099999999999</v>
      </c>
      <c r="BT436" s="1425">
        <v>44603</v>
      </c>
      <c r="BU436" s="1">
        <v>18.9724</v>
      </c>
      <c r="BV436" s="1">
        <v>4.7370999999999999</v>
      </c>
      <c r="BW436" s="1">
        <v>11.6533</v>
      </c>
      <c r="BX436" s="1">
        <v>3.0154999999999998</v>
      </c>
      <c r="BZ436" s="1425">
        <v>44603</v>
      </c>
      <c r="CA436" s="1">
        <v>17.619700000000002</v>
      </c>
      <c r="CB436" s="1">
        <v>4.7041000000000004</v>
      </c>
      <c r="CC436" s="1">
        <v>19.346800000000002</v>
      </c>
      <c r="CD436" s="1">
        <v>2.4448099999999999</v>
      </c>
      <c r="CF436" s="1425">
        <v>44602</v>
      </c>
      <c r="CG436" s="1">
        <v>7.1002000000000001</v>
      </c>
      <c r="CH436" s="1">
        <v>2.3201999999999998</v>
      </c>
      <c r="CI436" s="1">
        <v>4.5125999999999999</v>
      </c>
      <c r="CL436" s="1425">
        <v>44608</v>
      </c>
      <c r="CM436" s="1">
        <v>21.8904</v>
      </c>
      <c r="CN436" s="1">
        <v>2.7149000000000001</v>
      </c>
      <c r="CO436" s="1">
        <v>11.707100000000001</v>
      </c>
    </row>
    <row r="437" spans="1:93">
      <c r="A437" s="1425">
        <v>44602</v>
      </c>
      <c r="B437" s="20">
        <f t="shared" si="62"/>
        <v>14.4778</v>
      </c>
      <c r="C437" s="20">
        <f t="shared" si="64"/>
        <v>12.6745</v>
      </c>
      <c r="D437" s="20">
        <f t="shared" si="65"/>
        <v>17.128900000000002</v>
      </c>
      <c r="E437" s="20">
        <f t="shared" si="66"/>
        <v>7.4025999999999996</v>
      </c>
      <c r="F437" s="20">
        <f t="shared" si="67"/>
        <v>22.002500000000001</v>
      </c>
      <c r="G437" s="20">
        <f t="shared" si="68"/>
        <v>16.441500000000001</v>
      </c>
      <c r="H437" s="1239">
        <f t="shared" si="69"/>
        <v>16.441500000000001</v>
      </c>
      <c r="I437" s="1243">
        <f t="shared" si="63"/>
        <v>-0.11943557461302201</v>
      </c>
      <c r="J437" s="1243">
        <f t="shared" si="70"/>
        <v>0.12093838824177333</v>
      </c>
      <c r="K437" s="1243">
        <f t="shared" si="71"/>
        <v>0.1</v>
      </c>
      <c r="L437" s="203"/>
      <c r="N437" s="1425">
        <v>44602</v>
      </c>
      <c r="O437" s="1502">
        <v>14.4778</v>
      </c>
      <c r="P437" s="1502">
        <v>5.3659999999999997</v>
      </c>
      <c r="Q437" s="1502">
        <v>13.249000000000001</v>
      </c>
      <c r="R437" s="1233">
        <f>'B. PE'!$U$23</f>
        <v>15.978235616082999</v>
      </c>
      <c r="S437" s="1233"/>
      <c r="T437" s="1233"/>
      <c r="V437" s="1425">
        <v>44602</v>
      </c>
      <c r="W437" s="1">
        <v>12.6745</v>
      </c>
      <c r="X437" s="1">
        <v>1.8919999999999999</v>
      </c>
      <c r="Y437" s="1">
        <v>9.8430999999999997</v>
      </c>
      <c r="Z437" s="1">
        <v>1.4102699999999999</v>
      </c>
      <c r="AB437" s="1425">
        <v>44579</v>
      </c>
      <c r="AC437" s="1">
        <v>8.6263000000000005</v>
      </c>
      <c r="AD437" s="1502">
        <v>1.4114</v>
      </c>
      <c r="AE437" s="1">
        <v>5.0747</v>
      </c>
      <c r="AF437" s="1">
        <v>3.9809999999999998E-2</v>
      </c>
      <c r="AH437" s="1425">
        <v>44579</v>
      </c>
      <c r="AI437" s="1">
        <v>18.4558</v>
      </c>
      <c r="AJ437" s="1">
        <v>3.399</v>
      </c>
      <c r="AK437" s="1">
        <v>9.1348000000000003</v>
      </c>
      <c r="AL437" s="1">
        <v>5.4829999999999997E-2</v>
      </c>
      <c r="AN437" s="1425">
        <v>44582</v>
      </c>
      <c r="AO437" s="1">
        <v>7.2727000000000004</v>
      </c>
      <c r="AP437" s="1">
        <v>1.0728</v>
      </c>
      <c r="AQ437" s="1">
        <v>4.5967000000000002</v>
      </c>
      <c r="AR437" s="1">
        <v>0.27473999999999998</v>
      </c>
      <c r="AT437" s="1425">
        <v>44582</v>
      </c>
      <c r="AU437" s="1">
        <v>8.1024999999999991</v>
      </c>
      <c r="AV437" s="1">
        <v>0.53110000000000002</v>
      </c>
      <c r="AW437" s="1">
        <v>5.6382000000000003</v>
      </c>
      <c r="AX437" s="1">
        <v>0.13976</v>
      </c>
      <c r="BA437" s="1425">
        <v>44580</v>
      </c>
      <c r="BB437" s="1">
        <v>19.218800000000002</v>
      </c>
      <c r="BC437" s="1">
        <v>4.6581999999999999</v>
      </c>
      <c r="BD437" s="1">
        <v>19.778300000000002</v>
      </c>
      <c r="BE437" s="1">
        <v>1.3225499999999999</v>
      </c>
      <c r="BG437" s="1425">
        <v>44580</v>
      </c>
      <c r="BH437" s="1">
        <v>25.2621</v>
      </c>
      <c r="BI437" s="1">
        <v>6.6931000000000003</v>
      </c>
      <c r="BJ437" s="1">
        <v>32.022199999999998</v>
      </c>
      <c r="BT437" s="1425">
        <v>44602</v>
      </c>
      <c r="BU437" s="1">
        <v>19.1126</v>
      </c>
      <c r="BV437" s="1">
        <v>4.7721</v>
      </c>
      <c r="BW437" s="1">
        <v>11.7342</v>
      </c>
      <c r="BX437" s="1">
        <v>3.0007000000000001</v>
      </c>
      <c r="BZ437" s="1425">
        <v>44602</v>
      </c>
      <c r="CA437" s="1">
        <v>17.2638</v>
      </c>
      <c r="CB437" s="1">
        <v>4.6090999999999998</v>
      </c>
      <c r="CC437" s="1">
        <v>19.067900000000002</v>
      </c>
      <c r="CD437" s="1">
        <v>2.3994</v>
      </c>
      <c r="CF437" s="1425">
        <v>44601</v>
      </c>
      <c r="CG437" s="1">
        <v>7.2061999999999999</v>
      </c>
      <c r="CH437" s="1">
        <v>2.3548</v>
      </c>
      <c r="CI437" s="1">
        <v>4.5983000000000001</v>
      </c>
      <c r="CL437" s="1425">
        <v>44607</v>
      </c>
      <c r="CM437" s="1">
        <v>21.875900000000001</v>
      </c>
      <c r="CN437" s="1">
        <v>2.7130999999999998</v>
      </c>
      <c r="CO437" s="1">
        <v>11.699299999999999</v>
      </c>
    </row>
    <row r="438" spans="1:93">
      <c r="A438" s="1425">
        <v>44601</v>
      </c>
      <c r="B438" s="20">
        <f t="shared" si="62"/>
        <v>14.746</v>
      </c>
      <c r="C438" s="20">
        <f t="shared" si="64"/>
        <v>12.542</v>
      </c>
      <c r="D438" s="20">
        <f t="shared" si="65"/>
        <v>17.249500000000001</v>
      </c>
      <c r="E438" s="20">
        <f t="shared" si="66"/>
        <v>7.3376999999999999</v>
      </c>
      <c r="F438" s="20">
        <f t="shared" si="67"/>
        <v>22.41</v>
      </c>
      <c r="G438" s="20">
        <f t="shared" si="68"/>
        <v>16.441500000000001</v>
      </c>
      <c r="H438" s="1239">
        <f t="shared" si="69"/>
        <v>16.441500000000001</v>
      </c>
      <c r="I438" s="1243">
        <f t="shared" si="63"/>
        <v>-0.10312319435574613</v>
      </c>
      <c r="J438" s="1243">
        <f t="shared" si="70"/>
        <v>0.12093838824177333</v>
      </c>
      <c r="K438" s="1243">
        <f t="shared" si="71"/>
        <v>0.1</v>
      </c>
      <c r="L438" s="203"/>
      <c r="N438" s="1425">
        <v>44601</v>
      </c>
      <c r="O438" s="1502">
        <v>14.746</v>
      </c>
      <c r="P438" s="1502">
        <v>5.4653999999999998</v>
      </c>
      <c r="Q438" s="1502">
        <v>13.5044</v>
      </c>
      <c r="R438" s="1233">
        <f>'B. PE'!$U$23</f>
        <v>15.978235616082999</v>
      </c>
      <c r="S438" s="1233"/>
      <c r="T438" s="1233"/>
      <c r="V438" s="1425">
        <v>44601</v>
      </c>
      <c r="W438" s="1">
        <v>12.542</v>
      </c>
      <c r="X438" s="1">
        <v>1.8722000000000001</v>
      </c>
      <c r="Y438" s="1">
        <v>9.7544000000000004</v>
      </c>
      <c r="Z438" s="1">
        <v>1.3922699999999999</v>
      </c>
      <c r="AB438" s="1425">
        <v>44578</v>
      </c>
      <c r="AC438" s="1">
        <v>8.7844999999999995</v>
      </c>
      <c r="AD438" s="1502">
        <v>1.4373</v>
      </c>
      <c r="AE438" s="1">
        <v>5.1505999999999998</v>
      </c>
      <c r="AF438" s="1">
        <v>3.8769999999999999E-2</v>
      </c>
      <c r="AH438" s="1425">
        <v>44578</v>
      </c>
      <c r="AI438" s="1">
        <v>18.817699999999999</v>
      </c>
      <c r="AJ438" s="1">
        <v>3.4657</v>
      </c>
      <c r="AK438" s="1">
        <v>9.3239000000000001</v>
      </c>
      <c r="AL438" s="1">
        <v>5.518E-2</v>
      </c>
      <c r="AN438" s="1425">
        <v>44581</v>
      </c>
      <c r="AO438" s="1">
        <v>7.4675000000000002</v>
      </c>
      <c r="AP438" s="1">
        <v>1.1015999999999999</v>
      </c>
      <c r="AQ438" s="1">
        <v>4.7454000000000001</v>
      </c>
      <c r="AR438" s="1">
        <v>0.28232000000000002</v>
      </c>
      <c r="AT438" s="1425">
        <v>44581</v>
      </c>
      <c r="AU438" s="1">
        <v>8.0332000000000008</v>
      </c>
      <c r="AV438" s="1">
        <v>0.52649999999999997</v>
      </c>
      <c r="AW438" s="1">
        <v>5.5995999999999997</v>
      </c>
      <c r="AX438" s="1">
        <v>0.13996</v>
      </c>
      <c r="BA438" s="1425">
        <v>44579</v>
      </c>
      <c r="BB438" s="1">
        <v>18.996600000000001</v>
      </c>
      <c r="BC438" s="1">
        <v>4.6044</v>
      </c>
      <c r="BD438" s="1">
        <v>19.599</v>
      </c>
      <c r="BE438" s="1">
        <v>1.37056</v>
      </c>
      <c r="BG438" s="1425">
        <v>44579</v>
      </c>
      <c r="BH438" s="1">
        <v>26.077000000000002</v>
      </c>
      <c r="BI438" s="1">
        <v>6.9089999999999998</v>
      </c>
      <c r="BJ438" s="1">
        <v>32.959800000000001</v>
      </c>
      <c r="BT438" s="1425">
        <v>44601</v>
      </c>
      <c r="BU438" s="1">
        <v>19.210799999999999</v>
      </c>
      <c r="BV438" s="1">
        <v>4.7965999999999998</v>
      </c>
      <c r="BW438" s="1">
        <v>11.790800000000001</v>
      </c>
      <c r="BX438" s="1">
        <v>2.9529999999999998</v>
      </c>
      <c r="BZ438" s="1425">
        <v>44601</v>
      </c>
      <c r="CA438" s="1">
        <v>17.0502</v>
      </c>
      <c r="CB438" s="1">
        <v>4.5521000000000003</v>
      </c>
      <c r="CC438" s="1">
        <v>18.900500000000001</v>
      </c>
      <c r="CD438" s="1">
        <v>2.3984100000000002</v>
      </c>
      <c r="CF438" s="1425">
        <v>44600</v>
      </c>
      <c r="CG438" s="1">
        <v>7.2061999999999999</v>
      </c>
      <c r="CH438" s="1">
        <v>2.3548</v>
      </c>
      <c r="CI438" s="1">
        <v>4.5983000000000001</v>
      </c>
      <c r="CL438" s="1425">
        <v>44606</v>
      </c>
      <c r="CM438" s="1">
        <v>22.006399999999999</v>
      </c>
      <c r="CN438" s="1">
        <v>2.7292999999999998</v>
      </c>
      <c r="CO438" s="1">
        <v>11.7692</v>
      </c>
    </row>
    <row r="439" spans="1:93">
      <c r="A439" s="1425">
        <v>44600</v>
      </c>
      <c r="B439" s="20">
        <f t="shared" si="62"/>
        <v>14.678900000000001</v>
      </c>
      <c r="C439" s="20">
        <f t="shared" si="64"/>
        <v>12.6082</v>
      </c>
      <c r="D439" s="20">
        <f t="shared" si="65"/>
        <v>17.249500000000001</v>
      </c>
      <c r="E439" s="20">
        <f t="shared" si="66"/>
        <v>7.3376999999999999</v>
      </c>
      <c r="F439" s="20">
        <f t="shared" si="67"/>
        <v>23.224900000000002</v>
      </c>
      <c r="G439" s="20">
        <f t="shared" si="68"/>
        <v>17.663499999999999</v>
      </c>
      <c r="H439" s="1239">
        <f t="shared" si="69"/>
        <v>17.249500000000001</v>
      </c>
      <c r="I439" s="1243">
        <f t="shared" si="63"/>
        <v>-0.14902460940896844</v>
      </c>
      <c r="J439" s="1243">
        <f t="shared" si="70"/>
        <v>0.12093838824177333</v>
      </c>
      <c r="K439" s="1243">
        <f t="shared" si="71"/>
        <v>0.1</v>
      </c>
      <c r="L439" s="203"/>
      <c r="N439" s="1425">
        <v>44600</v>
      </c>
      <c r="O439" s="1502">
        <v>14.678900000000001</v>
      </c>
      <c r="P439" s="1502">
        <v>5.4405999999999999</v>
      </c>
      <c r="Q439" s="1502">
        <v>13.4405</v>
      </c>
      <c r="R439" s="1233">
        <f>'B. PE'!$U$23</f>
        <v>15.978235616082999</v>
      </c>
      <c r="S439" s="1233"/>
      <c r="T439" s="1233"/>
      <c r="V439" s="1425">
        <v>44600</v>
      </c>
      <c r="W439" s="1">
        <v>12.6082</v>
      </c>
      <c r="X439" s="1">
        <v>1.8821000000000001</v>
      </c>
      <c r="Y439" s="1">
        <v>9.7987000000000002</v>
      </c>
      <c r="Z439" s="1">
        <v>1.30369</v>
      </c>
      <c r="AB439" s="1425">
        <v>44575</v>
      </c>
      <c r="AC439" s="1">
        <v>9.0220000000000002</v>
      </c>
      <c r="AD439" s="1502">
        <v>1.4762</v>
      </c>
      <c r="AE439" s="1">
        <v>5.2644000000000002</v>
      </c>
      <c r="AF439" s="1">
        <v>3.916E-2</v>
      </c>
      <c r="AH439" s="1425">
        <v>44575</v>
      </c>
      <c r="AI439" s="1">
        <v>18.938300000000002</v>
      </c>
      <c r="AJ439" s="1">
        <v>3.4878999999999998</v>
      </c>
      <c r="AK439" s="1">
        <v>9.3869000000000007</v>
      </c>
      <c r="AL439" s="1">
        <v>5.4899999999999997E-2</v>
      </c>
      <c r="AN439" s="1425">
        <v>44580</v>
      </c>
      <c r="AO439" s="1">
        <v>7.4675000000000002</v>
      </c>
      <c r="AP439" s="1">
        <v>1.1015999999999999</v>
      </c>
      <c r="AQ439" s="1">
        <v>4.7454000000000001</v>
      </c>
      <c r="AR439" s="1">
        <v>0.28264</v>
      </c>
      <c r="AT439" s="1425">
        <v>44580</v>
      </c>
      <c r="AU439" s="1">
        <v>8.1024999999999991</v>
      </c>
      <c r="AV439" s="1">
        <v>0.53110000000000002</v>
      </c>
      <c r="AW439" s="1">
        <v>5.6382000000000003</v>
      </c>
      <c r="AX439" s="1">
        <v>0.14011999999999999</v>
      </c>
      <c r="BA439" s="1425">
        <v>44578</v>
      </c>
      <c r="BB439" s="1">
        <v>19.440999999999999</v>
      </c>
      <c r="BC439" s="1">
        <v>4.7121000000000004</v>
      </c>
      <c r="BD439" s="1">
        <v>19.957599999999999</v>
      </c>
      <c r="BE439" s="1">
        <v>1.3085500000000001</v>
      </c>
      <c r="BG439" s="1425">
        <v>44578</v>
      </c>
      <c r="BH439" s="1">
        <v>27.5031</v>
      </c>
      <c r="BI439" s="1">
        <v>7.2869000000000002</v>
      </c>
      <c r="BJ439" s="1">
        <v>34.6004</v>
      </c>
      <c r="BT439" s="1425">
        <v>44600</v>
      </c>
      <c r="BU439" s="1">
        <v>19.1126</v>
      </c>
      <c r="BV439" s="1">
        <v>4.7721</v>
      </c>
      <c r="BW439" s="1">
        <v>11.7342</v>
      </c>
      <c r="BX439" s="1">
        <v>2.9232999999999998</v>
      </c>
      <c r="BZ439" s="1425">
        <v>44600</v>
      </c>
      <c r="CA439" s="1">
        <v>16.729900000000001</v>
      </c>
      <c r="CB439" s="1">
        <v>4.4664999999999999</v>
      </c>
      <c r="CC439" s="1">
        <v>18.6495</v>
      </c>
      <c r="CD439" s="1">
        <v>2.2433299999999998</v>
      </c>
      <c r="CF439" s="1425">
        <v>44599</v>
      </c>
      <c r="CG439" s="1">
        <v>7.2274000000000003</v>
      </c>
      <c r="CH439" s="1">
        <v>2.3616999999999999</v>
      </c>
      <c r="CI439" s="1">
        <v>4.6154999999999999</v>
      </c>
      <c r="CL439" s="1425">
        <v>44603</v>
      </c>
      <c r="CM439" s="1">
        <v>22.296299999999999</v>
      </c>
      <c r="CN439" s="1">
        <v>2.7652999999999999</v>
      </c>
      <c r="CO439" s="1">
        <v>11.9245</v>
      </c>
    </row>
    <row r="440" spans="1:93">
      <c r="A440" s="1425">
        <v>44599</v>
      </c>
      <c r="B440" s="20">
        <f t="shared" si="62"/>
        <v>14.8934</v>
      </c>
      <c r="C440" s="20">
        <f t="shared" si="64"/>
        <v>12.426</v>
      </c>
      <c r="D440" s="20">
        <f t="shared" si="65"/>
        <v>17.128900000000002</v>
      </c>
      <c r="E440" s="20">
        <f t="shared" si="66"/>
        <v>7.3376999999999999</v>
      </c>
      <c r="F440" s="20">
        <f t="shared" si="67"/>
        <v>23.428599999999999</v>
      </c>
      <c r="G440" s="20">
        <f t="shared" si="68"/>
        <v>17.552399999999999</v>
      </c>
      <c r="H440" s="1239">
        <f t="shared" si="69"/>
        <v>17.128900000000002</v>
      </c>
      <c r="I440" s="1243">
        <f t="shared" si="63"/>
        <v>-0.13051042390346146</v>
      </c>
      <c r="J440" s="1243">
        <f t="shared" si="70"/>
        <v>0.12093838824177333</v>
      </c>
      <c r="K440" s="1243">
        <f t="shared" si="71"/>
        <v>0.1</v>
      </c>
      <c r="L440" s="203"/>
      <c r="N440" s="1425">
        <v>44599</v>
      </c>
      <c r="O440" s="1502">
        <v>14.8934</v>
      </c>
      <c r="P440" s="1502">
        <v>5.5201000000000002</v>
      </c>
      <c r="Q440" s="1502">
        <v>13.6448</v>
      </c>
      <c r="R440" s="1233">
        <f>'B. PE'!$U$23</f>
        <v>15.978235616082999</v>
      </c>
      <c r="S440" s="1233"/>
      <c r="T440" s="1233"/>
      <c r="V440" s="1425">
        <v>44599</v>
      </c>
      <c r="W440" s="1">
        <v>12.426</v>
      </c>
      <c r="X440" s="1">
        <v>1.8549</v>
      </c>
      <c r="Y440" s="1">
        <v>9.6767000000000003</v>
      </c>
      <c r="Z440" s="1">
        <v>1.3007200000000001</v>
      </c>
      <c r="AB440" s="1425">
        <v>44574</v>
      </c>
      <c r="AC440" s="1">
        <v>8.7844999999999995</v>
      </c>
      <c r="AD440" s="1502">
        <v>1.4373</v>
      </c>
      <c r="AE440" s="1">
        <v>5.1505999999999998</v>
      </c>
      <c r="AF440" s="1">
        <v>3.8789999999999998E-2</v>
      </c>
      <c r="AH440" s="1425">
        <v>44574</v>
      </c>
      <c r="AI440" s="1">
        <v>19.058900000000001</v>
      </c>
      <c r="AJ440" s="1">
        <v>3.5101</v>
      </c>
      <c r="AK440" s="1">
        <v>9.4499999999999993</v>
      </c>
      <c r="AL440" s="1">
        <v>5.4519999999999999E-2</v>
      </c>
      <c r="AN440" s="1425">
        <v>44578</v>
      </c>
      <c r="AO440" s="1">
        <v>7.6623000000000001</v>
      </c>
      <c r="AP440" s="1">
        <v>1.1303000000000001</v>
      </c>
      <c r="AQ440" s="1">
        <v>4.8940000000000001</v>
      </c>
      <c r="AR440" s="1">
        <v>0.28266999999999998</v>
      </c>
      <c r="AT440" s="1425">
        <v>44578</v>
      </c>
      <c r="AU440" s="1">
        <v>8.1024999999999991</v>
      </c>
      <c r="AV440" s="1">
        <v>0.53110000000000002</v>
      </c>
      <c r="AW440" s="1">
        <v>5.6382000000000003</v>
      </c>
      <c r="AX440" s="1">
        <v>0.14133000000000001</v>
      </c>
      <c r="BA440" s="1425">
        <v>44575</v>
      </c>
      <c r="BB440" s="1">
        <v>20.218599999999999</v>
      </c>
      <c r="BC440" s="1">
        <v>4.9005000000000001</v>
      </c>
      <c r="BD440" s="1">
        <v>20.5853</v>
      </c>
      <c r="BE440" s="1">
        <v>1.26172</v>
      </c>
      <c r="BG440" s="1425">
        <v>44575</v>
      </c>
      <c r="BH440" s="1">
        <v>27.706900000000001</v>
      </c>
      <c r="BI440" s="1">
        <v>7.3407999999999998</v>
      </c>
      <c r="BJ440" s="1">
        <v>34.834800000000001</v>
      </c>
      <c r="BT440" s="1425">
        <v>44599</v>
      </c>
      <c r="BU440" s="1">
        <v>18.7761</v>
      </c>
      <c r="BV440" s="1">
        <v>4.6881000000000004</v>
      </c>
      <c r="BW440" s="1">
        <v>11.540100000000001</v>
      </c>
      <c r="BX440" s="1">
        <v>2.9028999999999998</v>
      </c>
      <c r="BZ440" s="1425">
        <v>44599</v>
      </c>
      <c r="CA440" s="1">
        <v>16.694299999999998</v>
      </c>
      <c r="CB440" s="1">
        <v>4.4569999999999999</v>
      </c>
      <c r="CC440" s="1">
        <v>18.621600000000001</v>
      </c>
      <c r="CD440" s="1">
        <v>2.12432</v>
      </c>
      <c r="CF440" s="1425">
        <v>44589</v>
      </c>
      <c r="CG440" s="1">
        <v>7.1849999999999996</v>
      </c>
      <c r="CH440" s="1">
        <v>2.3479000000000001</v>
      </c>
      <c r="CI440" s="1">
        <v>4.5811999999999999</v>
      </c>
      <c r="CL440" s="1425">
        <v>44602</v>
      </c>
      <c r="CM440" s="1">
        <v>22.180299999999999</v>
      </c>
      <c r="CN440" s="1">
        <v>2.7509000000000001</v>
      </c>
      <c r="CO440" s="1">
        <v>11.862399999999999</v>
      </c>
    </row>
    <row r="441" spans="1:93">
      <c r="A441" s="1425">
        <v>44589</v>
      </c>
      <c r="B441" s="20">
        <f t="shared" si="62"/>
        <v>14.075699999999999</v>
      </c>
      <c r="C441" s="20">
        <f t="shared" si="64"/>
        <v>11.630699999999999</v>
      </c>
      <c r="D441" s="20">
        <f t="shared" si="65"/>
        <v>16.405100000000001</v>
      </c>
      <c r="E441" s="20">
        <f t="shared" si="66"/>
        <v>7.2727000000000004</v>
      </c>
      <c r="F441" s="20">
        <f t="shared" si="67"/>
        <v>24.447199999999999</v>
      </c>
      <c r="G441" s="20">
        <f t="shared" si="68"/>
        <v>18.6633</v>
      </c>
      <c r="H441" s="1239">
        <f t="shared" si="69"/>
        <v>16.405100000000001</v>
      </c>
      <c r="I441" s="1243">
        <f t="shared" si="63"/>
        <v>-0.14199242918360766</v>
      </c>
      <c r="J441" s="1243">
        <f t="shared" si="70"/>
        <v>0.12093838824177333</v>
      </c>
      <c r="K441" s="1243">
        <f t="shared" si="71"/>
        <v>0.1</v>
      </c>
      <c r="L441" s="203"/>
      <c r="N441" s="1425">
        <v>44589</v>
      </c>
      <c r="O441" s="1502">
        <v>14.075699999999999</v>
      </c>
      <c r="P441" s="1502">
        <v>5.2169999999999996</v>
      </c>
      <c r="Q441" s="1502">
        <v>12.8659</v>
      </c>
      <c r="R441" s="1233">
        <f>'B. PE'!$U$23</f>
        <v>15.978235616082999</v>
      </c>
      <c r="S441" s="1233"/>
      <c r="T441" s="1233"/>
      <c r="V441" s="1425">
        <v>44589</v>
      </c>
      <c r="W441" s="1">
        <v>11.630699999999999</v>
      </c>
      <c r="X441" s="1">
        <v>1.7362</v>
      </c>
      <c r="Y441" s="1">
        <v>9.1441999999999997</v>
      </c>
      <c r="Z441" s="1">
        <v>1.3212200000000001</v>
      </c>
      <c r="AB441" s="1425">
        <v>44573</v>
      </c>
      <c r="AC441" s="1">
        <v>8.8636999999999997</v>
      </c>
      <c r="AD441" s="1502">
        <v>1.4502999999999999</v>
      </c>
      <c r="AE441" s="1">
        <v>5.1885000000000003</v>
      </c>
      <c r="AF441" s="1">
        <v>3.9190000000000003E-2</v>
      </c>
      <c r="AH441" s="1425">
        <v>44573</v>
      </c>
      <c r="AI441" s="1">
        <v>18.938300000000002</v>
      </c>
      <c r="AJ441" s="1">
        <v>3.4878999999999998</v>
      </c>
      <c r="AK441" s="1">
        <v>9.3869000000000007</v>
      </c>
      <c r="AL441" s="1">
        <v>5.6329999999999998E-2</v>
      </c>
      <c r="AN441" s="1425">
        <v>44575</v>
      </c>
      <c r="AO441" s="1">
        <v>7.6623000000000001</v>
      </c>
      <c r="AP441" s="1">
        <v>1.1303000000000001</v>
      </c>
      <c r="AQ441" s="1">
        <v>4.8940000000000001</v>
      </c>
      <c r="AR441" s="1">
        <v>0.2868</v>
      </c>
      <c r="AT441" s="1425">
        <v>44575</v>
      </c>
      <c r="AU441" s="1">
        <v>8.1024999999999991</v>
      </c>
      <c r="AV441" s="1">
        <v>0.53110000000000002</v>
      </c>
      <c r="AW441" s="1">
        <v>5.6382000000000003</v>
      </c>
      <c r="BA441" s="1425">
        <v>44574</v>
      </c>
      <c r="BB441" s="1">
        <v>19.329899999999999</v>
      </c>
      <c r="BC441" s="1">
        <v>4.6851000000000003</v>
      </c>
      <c r="BD441" s="1">
        <v>19.867999999999999</v>
      </c>
      <c r="BE441" s="1">
        <v>1.2746299999999999</v>
      </c>
      <c r="BG441" s="1425">
        <v>44574</v>
      </c>
      <c r="BH441" s="1">
        <v>30.151599999999998</v>
      </c>
      <c r="BI441" s="1">
        <v>7.9885999999999999</v>
      </c>
      <c r="BJ441" s="1">
        <v>37.647399999999998</v>
      </c>
      <c r="BT441" s="1425">
        <v>44589</v>
      </c>
      <c r="BU441" s="1">
        <v>18.579799999999999</v>
      </c>
      <c r="BV441" s="1">
        <v>4.6391</v>
      </c>
      <c r="BW441" s="1">
        <v>11.4269</v>
      </c>
      <c r="BX441" s="1">
        <v>2.9117999999999999</v>
      </c>
      <c r="BZ441" s="1425">
        <v>44589</v>
      </c>
      <c r="CA441" s="1">
        <v>15.608599999999999</v>
      </c>
      <c r="CB441" s="1">
        <v>4.1672000000000002</v>
      </c>
      <c r="CC441" s="1">
        <v>17.771000000000001</v>
      </c>
      <c r="CD441" s="1">
        <v>2.0629900000000001</v>
      </c>
      <c r="CF441" s="1425">
        <v>44588</v>
      </c>
      <c r="CG441" s="1">
        <v>6.8459000000000003</v>
      </c>
      <c r="CH441" s="1">
        <v>2.2370999999999999</v>
      </c>
      <c r="CI441" s="1">
        <v>4.3070000000000004</v>
      </c>
      <c r="CL441" s="1425">
        <v>44601</v>
      </c>
      <c r="CM441" s="1">
        <v>22.035399999999999</v>
      </c>
      <c r="CN441" s="1">
        <v>2.7328999999999999</v>
      </c>
      <c r="CO441" s="1">
        <v>11.784700000000001</v>
      </c>
    </row>
    <row r="442" spans="1:93">
      <c r="A442" s="1425">
        <v>44588</v>
      </c>
      <c r="B442" s="20">
        <f t="shared" si="62"/>
        <v>13.4054</v>
      </c>
      <c r="C442" s="20">
        <f t="shared" si="64"/>
        <v>11.5976</v>
      </c>
      <c r="D442" s="20">
        <f t="shared" si="65"/>
        <v>15.922599999999999</v>
      </c>
      <c r="E442" s="20">
        <f t="shared" si="66"/>
        <v>7.1429</v>
      </c>
      <c r="F442" s="20">
        <f t="shared" si="67"/>
        <v>25.058399999999999</v>
      </c>
      <c r="G442" s="20">
        <f t="shared" si="68"/>
        <v>18.441199999999998</v>
      </c>
      <c r="H442" s="1239">
        <f t="shared" si="69"/>
        <v>15.922599999999999</v>
      </c>
      <c r="I442" s="1243">
        <f t="shared" si="63"/>
        <v>-0.1580897592101792</v>
      </c>
      <c r="J442" s="1243">
        <f t="shared" si="70"/>
        <v>0.12093838824177333</v>
      </c>
      <c r="K442" s="1243">
        <f t="shared" si="71"/>
        <v>0.1</v>
      </c>
      <c r="L442" s="203"/>
      <c r="N442" s="1425">
        <v>44588</v>
      </c>
      <c r="O442" s="1502">
        <v>13.4054</v>
      </c>
      <c r="P442" s="1502">
        <v>4.9686000000000003</v>
      </c>
      <c r="Q442" s="1502">
        <v>12.227499999999999</v>
      </c>
      <c r="R442" s="1233">
        <f>'B. PE'!$U$23</f>
        <v>15.978235616082999</v>
      </c>
      <c r="S442" s="1233"/>
      <c r="T442" s="1233"/>
      <c r="V442" s="1425">
        <v>44588</v>
      </c>
      <c r="W442" s="1">
        <v>11.5976</v>
      </c>
      <c r="X442" s="1">
        <v>1.7312000000000001</v>
      </c>
      <c r="Y442" s="1">
        <v>9.1219999999999999</v>
      </c>
      <c r="Z442" s="1">
        <v>1.3349599999999999</v>
      </c>
      <c r="AB442" s="1425">
        <v>44572</v>
      </c>
      <c r="AC442" s="1">
        <v>8.7844999999999995</v>
      </c>
      <c r="AD442" s="1502">
        <v>1.4373</v>
      </c>
      <c r="AE442" s="1">
        <v>5.1505999999999998</v>
      </c>
      <c r="AF442" s="1">
        <v>4.0140000000000002E-2</v>
      </c>
      <c r="AH442" s="1425">
        <v>44572</v>
      </c>
      <c r="AI442" s="1">
        <v>18.817699999999999</v>
      </c>
      <c r="AJ442" s="1">
        <v>3.4657</v>
      </c>
      <c r="AK442" s="1">
        <v>9.3239000000000001</v>
      </c>
      <c r="AL442" s="1">
        <v>5.3749999999999999E-2</v>
      </c>
      <c r="AN442" s="1425">
        <v>44574</v>
      </c>
      <c r="AO442" s="1">
        <v>7.6623000000000001</v>
      </c>
      <c r="AP442" s="1">
        <v>1.1303000000000001</v>
      </c>
      <c r="AQ442" s="1">
        <v>4.8940000000000001</v>
      </c>
      <c r="AR442" s="1">
        <v>0.28400999999999998</v>
      </c>
      <c r="AT442" s="1425">
        <v>44574</v>
      </c>
      <c r="AU442" s="1">
        <v>8.1716999999999995</v>
      </c>
      <c r="AV442" s="1">
        <v>0.53559999999999997</v>
      </c>
      <c r="AW442" s="1">
        <v>5.6768000000000001</v>
      </c>
      <c r="AX442" s="1">
        <v>0.14080999999999999</v>
      </c>
      <c r="BA442" s="1425">
        <v>44573</v>
      </c>
      <c r="BB442" s="1">
        <v>18.6633</v>
      </c>
      <c r="BC442" s="1">
        <v>4.5236000000000001</v>
      </c>
      <c r="BD442" s="1">
        <v>19.329899999999999</v>
      </c>
      <c r="BE442" s="1">
        <v>1.27088</v>
      </c>
      <c r="BG442" s="1425">
        <v>44573</v>
      </c>
      <c r="BH442" s="1">
        <v>26.280799999999999</v>
      </c>
      <c r="BI442" s="1">
        <v>6.9630000000000001</v>
      </c>
      <c r="BJ442" s="1">
        <v>33.194099999999999</v>
      </c>
      <c r="BT442" s="1425">
        <v>44588</v>
      </c>
      <c r="BU442" s="1">
        <v>18.439599999999999</v>
      </c>
      <c r="BV442" s="1">
        <v>4.6040999999999999</v>
      </c>
      <c r="BW442" s="1">
        <v>11.346</v>
      </c>
      <c r="BX442" s="1">
        <v>2.8895</v>
      </c>
      <c r="BZ442" s="1425">
        <v>44588</v>
      </c>
      <c r="CA442" s="1">
        <v>14.7721</v>
      </c>
      <c r="CB442" s="1">
        <v>3.9438</v>
      </c>
      <c r="CC442" s="1">
        <v>17.115600000000001</v>
      </c>
      <c r="CD442" s="1">
        <v>2.0612599999999999</v>
      </c>
      <c r="CF442" s="1425">
        <v>44587</v>
      </c>
      <c r="CG442" s="1">
        <v>7.0578000000000003</v>
      </c>
      <c r="CH442" s="1">
        <v>2.3062999999999998</v>
      </c>
      <c r="CI442" s="1">
        <v>4.4782999999999999</v>
      </c>
      <c r="CL442" s="1425">
        <v>44600</v>
      </c>
      <c r="CM442" s="1">
        <v>21.238</v>
      </c>
      <c r="CN442" s="1">
        <v>2.6339999999999999</v>
      </c>
      <c r="CO442" s="1">
        <v>11.3575</v>
      </c>
    </row>
    <row r="443" spans="1:93">
      <c r="A443" s="1425">
        <v>44587</v>
      </c>
      <c r="B443" s="20">
        <f t="shared" si="62"/>
        <v>13.619899999999999</v>
      </c>
      <c r="C443" s="20">
        <f t="shared" si="64"/>
        <v>11.7798</v>
      </c>
      <c r="D443" s="20">
        <f t="shared" si="65"/>
        <v>17.008299999999998</v>
      </c>
      <c r="E443" s="20">
        <f t="shared" si="66"/>
        <v>7.3376999999999999</v>
      </c>
      <c r="F443" s="20">
        <f t="shared" si="67"/>
        <v>25.669599999999999</v>
      </c>
      <c r="G443" s="20">
        <f t="shared" si="68"/>
        <v>18.441199999999998</v>
      </c>
      <c r="H443" s="1239">
        <f t="shared" si="69"/>
        <v>17.008299999999998</v>
      </c>
      <c r="I443" s="1243">
        <f t="shared" si="63"/>
        <v>-0.19922038063768865</v>
      </c>
      <c r="J443" s="1243">
        <f t="shared" si="70"/>
        <v>0.12093838824177333</v>
      </c>
      <c r="K443" s="1243">
        <f t="shared" si="71"/>
        <v>0.1</v>
      </c>
      <c r="L443" s="203"/>
      <c r="N443" s="1425">
        <v>44587</v>
      </c>
      <c r="O443" s="1502">
        <v>13.619899999999999</v>
      </c>
      <c r="P443" s="1502">
        <v>5.0480999999999998</v>
      </c>
      <c r="Q443" s="1502">
        <v>12.431800000000001</v>
      </c>
      <c r="R443" s="1233">
        <f>'B. PE'!$U$23</f>
        <v>15.978235616082999</v>
      </c>
      <c r="S443" s="1233"/>
      <c r="T443" s="1233"/>
      <c r="V443" s="1425">
        <v>44587</v>
      </c>
      <c r="W443" s="1">
        <v>11.7798</v>
      </c>
      <c r="X443" s="1">
        <v>1.7584</v>
      </c>
      <c r="Y443" s="1">
        <v>9.2439999999999998</v>
      </c>
      <c r="Z443" s="1">
        <v>1.3143100000000001</v>
      </c>
      <c r="AB443" s="1425">
        <v>44571</v>
      </c>
      <c r="AC443" s="1">
        <v>8.8636999999999997</v>
      </c>
      <c r="AD443" s="1502">
        <v>1.4502999999999999</v>
      </c>
      <c r="AE443" s="1">
        <v>5.1885000000000003</v>
      </c>
      <c r="AF443" s="1">
        <v>3.9660000000000001E-2</v>
      </c>
      <c r="AH443" s="1425">
        <v>44571</v>
      </c>
      <c r="AI443" s="1">
        <v>19.4208</v>
      </c>
      <c r="AJ443" s="1">
        <v>3.5767000000000002</v>
      </c>
      <c r="AK443" s="1">
        <v>9.6390999999999991</v>
      </c>
      <c r="AL443" s="1">
        <v>5.3220000000000003E-2</v>
      </c>
      <c r="AN443" s="1425">
        <v>44573</v>
      </c>
      <c r="AO443" s="1">
        <v>7.7922000000000002</v>
      </c>
      <c r="AP443" s="1">
        <v>1.1495</v>
      </c>
      <c r="AQ443" s="1">
        <v>4.9931000000000001</v>
      </c>
      <c r="AR443" s="1">
        <v>0.27849000000000002</v>
      </c>
      <c r="AT443" s="1425">
        <v>44573</v>
      </c>
      <c r="AW443" s="1">
        <v>5.6768000000000001</v>
      </c>
      <c r="AX443" s="1">
        <v>0.14044000000000001</v>
      </c>
      <c r="BA443" s="1425">
        <v>44572</v>
      </c>
      <c r="BB443" s="1">
        <v>18.8855</v>
      </c>
      <c r="BC443" s="1">
        <v>4.5773999999999999</v>
      </c>
      <c r="BD443" s="1">
        <v>19.5093</v>
      </c>
      <c r="BE443" s="1">
        <v>1.3246</v>
      </c>
      <c r="BG443" s="1425">
        <v>44572</v>
      </c>
      <c r="BH443" s="1">
        <v>26.077000000000002</v>
      </c>
      <c r="BI443" s="1">
        <v>6.9089999999999998</v>
      </c>
      <c r="BJ443" s="1">
        <v>32.959800000000001</v>
      </c>
      <c r="BT443" s="1425">
        <v>44587</v>
      </c>
      <c r="BU443" s="1">
        <v>18.4956</v>
      </c>
      <c r="BV443" s="1">
        <v>4.6181000000000001</v>
      </c>
      <c r="BW443" s="1">
        <v>11.378399999999999</v>
      </c>
      <c r="BX443" s="1">
        <v>2.8687999999999998</v>
      </c>
      <c r="BZ443" s="1425">
        <v>44587</v>
      </c>
      <c r="CA443" s="1">
        <v>14.345000000000001</v>
      </c>
      <c r="CB443" s="1">
        <v>3.8298000000000001</v>
      </c>
      <c r="CC443" s="1">
        <v>16.780999999999999</v>
      </c>
      <c r="CD443" s="1">
        <v>2.0407600000000001</v>
      </c>
      <c r="CF443" s="1425">
        <v>44586</v>
      </c>
      <c r="CG443" s="1">
        <v>7.1849999999999996</v>
      </c>
      <c r="CH443" s="1">
        <v>2.3479000000000001</v>
      </c>
      <c r="CI443" s="1">
        <v>4.5811999999999999</v>
      </c>
      <c r="CL443" s="1425">
        <v>44599</v>
      </c>
      <c r="CM443" s="1">
        <v>21.411999999999999</v>
      </c>
      <c r="CN443" s="1">
        <v>2.6556000000000002</v>
      </c>
      <c r="CO443" s="1">
        <v>11.450699999999999</v>
      </c>
    </row>
    <row r="444" spans="1:93">
      <c r="A444" s="1425">
        <v>44586</v>
      </c>
      <c r="B444" s="20">
        <f t="shared" si="62"/>
        <v>12.735099999999999</v>
      </c>
      <c r="C444" s="20">
        <f t="shared" si="64"/>
        <v>11.9124</v>
      </c>
      <c r="D444" s="20">
        <f t="shared" si="65"/>
        <v>18.214500000000001</v>
      </c>
      <c r="E444" s="20">
        <f t="shared" si="66"/>
        <v>7.1429</v>
      </c>
      <c r="F444" s="20">
        <f t="shared" si="67"/>
        <v>25.465900000000001</v>
      </c>
      <c r="G444" s="20">
        <f t="shared" si="68"/>
        <v>18.330100000000002</v>
      </c>
      <c r="H444" s="1239">
        <f t="shared" si="69"/>
        <v>18.214500000000001</v>
      </c>
      <c r="I444" s="1243">
        <f t="shared" si="63"/>
        <v>-0.30082626478904173</v>
      </c>
      <c r="J444" s="1243">
        <f t="shared" si="70"/>
        <v>0.12093838824177333</v>
      </c>
      <c r="K444" s="1243">
        <f t="shared" si="71"/>
        <v>0.1</v>
      </c>
      <c r="L444" s="203"/>
      <c r="N444" s="1425">
        <v>44586</v>
      </c>
      <c r="O444" s="1502">
        <v>12.735099999999999</v>
      </c>
      <c r="P444" s="1502">
        <v>4.7201000000000004</v>
      </c>
      <c r="Q444" s="1502">
        <v>11.589</v>
      </c>
      <c r="R444" s="1233">
        <f>'B. PE'!$U$23</f>
        <v>15.978235616082999</v>
      </c>
      <c r="S444" s="1233"/>
      <c r="T444" s="1233"/>
      <c r="V444" s="1425">
        <v>44586</v>
      </c>
      <c r="W444" s="1">
        <v>11.9124</v>
      </c>
      <c r="X444" s="1">
        <v>1.7782</v>
      </c>
      <c r="Y444" s="1">
        <v>9.3328000000000007</v>
      </c>
      <c r="Z444" s="1">
        <v>1.3912599999999999</v>
      </c>
      <c r="AB444" s="1425">
        <v>44568</v>
      </c>
      <c r="AC444" s="1">
        <v>9.1011000000000006</v>
      </c>
      <c r="AD444" s="1502">
        <v>1.4891000000000001</v>
      </c>
      <c r="AE444" s="1">
        <v>5.3023999999999996</v>
      </c>
      <c r="AF444" s="1">
        <v>4.1009999999999998E-2</v>
      </c>
      <c r="AH444" s="1425">
        <v>44568</v>
      </c>
      <c r="AI444" s="1">
        <v>18.5764</v>
      </c>
      <c r="AJ444" s="1">
        <v>3.4211999999999998</v>
      </c>
      <c r="AK444" s="1">
        <v>9.1978000000000009</v>
      </c>
      <c r="AL444" s="1">
        <v>5.4219999999999997E-2</v>
      </c>
      <c r="AN444" s="1425">
        <v>44572</v>
      </c>
      <c r="AO444" s="1">
        <v>7.7272999999999996</v>
      </c>
      <c r="AP444" s="1">
        <v>1.1398999999999999</v>
      </c>
      <c r="AQ444" s="1">
        <v>4.9436</v>
      </c>
      <c r="AR444" s="1">
        <v>0.28277000000000002</v>
      </c>
      <c r="AT444" s="1425">
        <v>44572</v>
      </c>
      <c r="AU444" s="1">
        <v>8.1716999999999995</v>
      </c>
      <c r="AV444" s="1">
        <v>0.53559999999999997</v>
      </c>
      <c r="AW444" s="1">
        <v>5.6768000000000001</v>
      </c>
      <c r="AX444" s="1">
        <v>0.14019999999999999</v>
      </c>
      <c r="BA444" s="1425">
        <v>44571</v>
      </c>
      <c r="BB444" s="1">
        <v>18.996600000000001</v>
      </c>
      <c r="BC444" s="1">
        <v>4.6044</v>
      </c>
      <c r="BD444" s="1">
        <v>19.599</v>
      </c>
      <c r="BE444" s="1">
        <v>1.3032900000000001</v>
      </c>
      <c r="BG444" s="1425">
        <v>44571</v>
      </c>
      <c r="BH444" s="1">
        <v>26.280799999999999</v>
      </c>
      <c r="BI444" s="1">
        <v>6.9630000000000001</v>
      </c>
      <c r="BJ444" s="1">
        <v>33.194099999999999</v>
      </c>
      <c r="BT444" s="1425">
        <v>44586</v>
      </c>
      <c r="BU444" s="1">
        <v>18.369399999999999</v>
      </c>
      <c r="BV444" s="1">
        <v>4.5865999999999998</v>
      </c>
      <c r="BW444" s="1">
        <v>11.3056</v>
      </c>
      <c r="BX444" s="1">
        <v>2.9432999999999998</v>
      </c>
      <c r="BZ444" s="1425">
        <v>44586</v>
      </c>
      <c r="CA444" s="1">
        <v>14.345000000000001</v>
      </c>
      <c r="CB444" s="1">
        <v>3.8298000000000001</v>
      </c>
      <c r="CC444" s="1">
        <v>16.780999999999999</v>
      </c>
      <c r="CD444" s="1">
        <v>2.1263899999999998</v>
      </c>
      <c r="CF444" s="1425">
        <v>44585</v>
      </c>
      <c r="CG444" s="1">
        <v>7.0153999999999996</v>
      </c>
      <c r="CH444" s="1">
        <v>2.2925</v>
      </c>
      <c r="CI444" s="1">
        <v>4.4440999999999997</v>
      </c>
      <c r="CL444" s="1425">
        <v>44596</v>
      </c>
      <c r="CM444" s="1">
        <v>21.339500000000001</v>
      </c>
      <c r="CN444" s="1">
        <v>2.6465999999999998</v>
      </c>
      <c r="CO444" s="1">
        <v>11.411899999999999</v>
      </c>
    </row>
    <row r="445" spans="1:93">
      <c r="A445" s="1425">
        <v>44585</v>
      </c>
      <c r="B445" s="20">
        <f t="shared" si="62"/>
        <v>11.904</v>
      </c>
      <c r="C445" s="20">
        <f t="shared" si="64"/>
        <v>11.7136</v>
      </c>
      <c r="D445" s="20">
        <f t="shared" si="65"/>
        <v>18.817699999999999</v>
      </c>
      <c r="E445" s="20">
        <f t="shared" si="66"/>
        <v>7.2077999999999998</v>
      </c>
      <c r="F445" s="20">
        <f t="shared" si="67"/>
        <v>24.651</v>
      </c>
      <c r="G445" s="20">
        <f t="shared" si="68"/>
        <v>17.9968</v>
      </c>
      <c r="H445" s="1239">
        <f t="shared" si="69"/>
        <v>17.9968</v>
      </c>
      <c r="I445" s="1243">
        <f t="shared" si="63"/>
        <v>-0.33854907539118062</v>
      </c>
      <c r="J445" s="1243">
        <f t="shared" si="70"/>
        <v>0.12093838824177333</v>
      </c>
      <c r="K445" s="1243">
        <f t="shared" si="71"/>
        <v>0.1</v>
      </c>
      <c r="L445" s="203"/>
      <c r="N445" s="1425">
        <v>44585</v>
      </c>
      <c r="O445" s="1502">
        <v>11.904</v>
      </c>
      <c r="P445" s="1502">
        <v>4.4120999999999997</v>
      </c>
      <c r="Q445" s="1502">
        <v>10.7973</v>
      </c>
      <c r="R445" s="1233">
        <f>'B. PE'!$U$23</f>
        <v>15.978235616082999</v>
      </c>
      <c r="S445" s="1233"/>
      <c r="T445" s="1233"/>
      <c r="V445" s="1425">
        <v>44585</v>
      </c>
      <c r="W445" s="1">
        <v>11.7136</v>
      </c>
      <c r="X445" s="1">
        <v>1.7484999999999999</v>
      </c>
      <c r="Y445" s="1">
        <v>9.1997</v>
      </c>
      <c r="Z445" s="1">
        <v>1.38832</v>
      </c>
      <c r="AB445" s="1425">
        <v>44567</v>
      </c>
      <c r="AC445" s="1">
        <v>9.0220000000000002</v>
      </c>
      <c r="AD445" s="1502">
        <v>1.4762</v>
      </c>
      <c r="AE445" s="1">
        <v>5.2644000000000002</v>
      </c>
      <c r="AF445" s="1">
        <v>4.1480000000000003E-2</v>
      </c>
      <c r="AH445" s="1425">
        <v>44567</v>
      </c>
      <c r="AI445" s="1">
        <v>18.4558</v>
      </c>
      <c r="AJ445" s="1">
        <v>3.399</v>
      </c>
      <c r="AK445" s="1">
        <v>9.1348000000000003</v>
      </c>
      <c r="AL445" s="1">
        <v>5.5780000000000003E-2</v>
      </c>
      <c r="AN445" s="1425">
        <v>44571</v>
      </c>
      <c r="AO445" s="1">
        <v>7.5974000000000004</v>
      </c>
      <c r="AP445" s="1">
        <v>1.1207</v>
      </c>
      <c r="AQ445" s="1">
        <v>4.8445</v>
      </c>
      <c r="AR445" s="1">
        <v>0.28486</v>
      </c>
      <c r="AT445" s="1425">
        <v>44571</v>
      </c>
      <c r="AU445" s="1">
        <v>8.1716999999999995</v>
      </c>
      <c r="AV445" s="1">
        <v>0.53559999999999997</v>
      </c>
      <c r="AW445" s="1">
        <v>5.6768000000000001</v>
      </c>
      <c r="BA445" s="1425">
        <v>44568</v>
      </c>
      <c r="BB445" s="1">
        <v>19.7743</v>
      </c>
      <c r="BC445" s="1">
        <v>4.7927999999999997</v>
      </c>
      <c r="BD445" s="1">
        <v>20.226600000000001</v>
      </c>
      <c r="BE445" s="1">
        <v>1.3726700000000001</v>
      </c>
      <c r="BG445" s="1425">
        <v>44568</v>
      </c>
      <c r="BH445" s="1">
        <v>26.280799999999999</v>
      </c>
      <c r="BI445" s="1">
        <v>6.9630000000000001</v>
      </c>
      <c r="BJ445" s="1">
        <v>33.194099999999999</v>
      </c>
      <c r="BT445" s="1425">
        <v>44585</v>
      </c>
      <c r="BU445" s="1">
        <v>18.215199999999999</v>
      </c>
      <c r="BV445" s="1">
        <v>4.548</v>
      </c>
      <c r="BW445" s="1">
        <v>11.2166</v>
      </c>
      <c r="BX445" s="1">
        <v>2.9546999999999999</v>
      </c>
      <c r="BZ445" s="1425">
        <v>44585</v>
      </c>
      <c r="CA445" s="1">
        <v>14.184799999999999</v>
      </c>
      <c r="CB445" s="1">
        <v>3.7869999999999999</v>
      </c>
      <c r="CC445" s="1">
        <v>16.6555</v>
      </c>
      <c r="CD445" s="1">
        <v>2.1218900000000001</v>
      </c>
      <c r="CF445" s="1425">
        <v>44582</v>
      </c>
      <c r="CG445" s="1">
        <v>7.3544999999999998</v>
      </c>
      <c r="CH445" s="1">
        <v>2.4033000000000002</v>
      </c>
      <c r="CI445" s="1">
        <v>4.6662999999999997</v>
      </c>
      <c r="CL445" s="1425">
        <v>44595</v>
      </c>
      <c r="CM445" s="1">
        <v>21.498999999999999</v>
      </c>
      <c r="CN445" s="1">
        <v>2.6663999999999999</v>
      </c>
      <c r="CO445" s="1">
        <v>11.497299999999999</v>
      </c>
    </row>
    <row r="446" spans="1:93">
      <c r="A446" s="1425">
        <v>44582</v>
      </c>
      <c r="B446" s="20">
        <f t="shared" si="62"/>
        <v>12.7888</v>
      </c>
      <c r="C446" s="20">
        <f t="shared" si="64"/>
        <v>12.392899999999999</v>
      </c>
      <c r="D446" s="20">
        <f t="shared" si="65"/>
        <v>18.938300000000002</v>
      </c>
      <c r="E446" s="20">
        <f t="shared" si="66"/>
        <v>7.2727000000000004</v>
      </c>
      <c r="F446" s="20">
        <f t="shared" si="67"/>
        <v>24.447199999999999</v>
      </c>
      <c r="G446" s="20">
        <f t="shared" si="68"/>
        <v>17.9968</v>
      </c>
      <c r="H446" s="1239">
        <f t="shared" si="69"/>
        <v>17.9968</v>
      </c>
      <c r="I446" s="1243">
        <f t="shared" si="63"/>
        <v>-0.28938477951635844</v>
      </c>
      <c r="J446" s="1243">
        <f t="shared" si="70"/>
        <v>0.12093838824177333</v>
      </c>
      <c r="K446" s="1243">
        <f t="shared" si="71"/>
        <v>0.1</v>
      </c>
      <c r="L446" s="203"/>
      <c r="N446" s="1425">
        <v>44582</v>
      </c>
      <c r="O446" s="1502">
        <v>12.7888</v>
      </c>
      <c r="P446" s="1502">
        <v>4.74</v>
      </c>
      <c r="Q446" s="1502">
        <v>11.6401</v>
      </c>
      <c r="R446" s="1233">
        <f>'B. PE'!$U$23</f>
        <v>15.978235616082999</v>
      </c>
      <c r="S446" s="1233"/>
      <c r="T446" s="1233"/>
      <c r="V446" s="1425">
        <v>44582</v>
      </c>
      <c r="W446" s="1">
        <v>12.392899999999999</v>
      </c>
      <c r="X446" s="1">
        <v>1.8499000000000001</v>
      </c>
      <c r="Y446" s="1">
        <v>9.6545000000000005</v>
      </c>
      <c r="Z446" s="1">
        <v>1.3859300000000001</v>
      </c>
      <c r="AB446" s="1425">
        <v>44566</v>
      </c>
      <c r="AC446" s="1">
        <v>9.3384999999999998</v>
      </c>
      <c r="AD446" s="1502">
        <v>1.528</v>
      </c>
      <c r="AE446" s="1">
        <v>5.4161999999999999</v>
      </c>
      <c r="AF446" s="1">
        <v>4.2020000000000002E-2</v>
      </c>
      <c r="AH446" s="1425">
        <v>44566</v>
      </c>
      <c r="AI446" s="1">
        <v>18.817699999999999</v>
      </c>
      <c r="AJ446" s="1">
        <v>3.4657</v>
      </c>
      <c r="AK446" s="1">
        <v>9.3239000000000001</v>
      </c>
      <c r="AL446" s="1">
        <v>5.253E-2</v>
      </c>
      <c r="AN446" s="1425">
        <v>44568</v>
      </c>
      <c r="AO446" s="1">
        <v>7.7272999999999996</v>
      </c>
      <c r="AP446" s="1">
        <v>1.1398999999999999</v>
      </c>
      <c r="AQ446" s="1">
        <v>4.9436</v>
      </c>
      <c r="AR446" s="1">
        <v>0.28621999999999997</v>
      </c>
      <c r="AT446" s="1425">
        <v>44568</v>
      </c>
      <c r="AU446" s="1">
        <v>8.1716999999999995</v>
      </c>
      <c r="AV446" s="1">
        <v>0.53559999999999997</v>
      </c>
      <c r="AW446" s="1">
        <v>5.6768000000000001</v>
      </c>
      <c r="AX446" s="1">
        <v>0.14191999999999999</v>
      </c>
      <c r="BA446" s="1425">
        <v>44567</v>
      </c>
      <c r="BB446" s="1">
        <v>19.440999999999999</v>
      </c>
      <c r="BC446" s="1">
        <v>4.7121000000000004</v>
      </c>
      <c r="BD446" s="1">
        <v>19.957599999999999</v>
      </c>
      <c r="BE446" s="1">
        <v>1.4353100000000001</v>
      </c>
      <c r="BG446" s="1425">
        <v>44567</v>
      </c>
      <c r="BH446" s="1">
        <v>26.688199999999998</v>
      </c>
      <c r="BI446" s="1">
        <v>7.0709999999999997</v>
      </c>
      <c r="BJ446" s="1">
        <v>33.6629</v>
      </c>
      <c r="BT446" s="1425">
        <v>44582</v>
      </c>
      <c r="BU446" s="1">
        <v>18.677900000000001</v>
      </c>
      <c r="BV446" s="1">
        <v>4.6635999999999997</v>
      </c>
      <c r="BW446" s="1">
        <v>11.483499999999999</v>
      </c>
      <c r="BX446" s="1">
        <v>2.9386000000000001</v>
      </c>
      <c r="BZ446" s="1425">
        <v>44582</v>
      </c>
      <c r="CA446" s="1">
        <v>14.7721</v>
      </c>
      <c r="CB446" s="1">
        <v>3.9438</v>
      </c>
      <c r="CC446" s="1">
        <v>17.115600000000001</v>
      </c>
      <c r="CD446" s="1">
        <v>2.1080399999999999</v>
      </c>
      <c r="CF446" s="1425">
        <v>44581</v>
      </c>
      <c r="CG446" s="1">
        <v>7.2908999999999997</v>
      </c>
      <c r="CH446" s="1">
        <v>2.3824999999999998</v>
      </c>
      <c r="CI446" s="1">
        <v>4.6154000000000002</v>
      </c>
      <c r="CL446" s="1425">
        <v>44594</v>
      </c>
      <c r="CM446" s="1">
        <v>21.9194</v>
      </c>
      <c r="CN446" s="1">
        <v>2.7185000000000001</v>
      </c>
      <c r="CO446" s="1">
        <v>11.7226</v>
      </c>
    </row>
    <row r="447" spans="1:93">
      <c r="A447" s="1425">
        <v>44581</v>
      </c>
      <c r="B447" s="20">
        <f t="shared" si="62"/>
        <v>13.740500000000001</v>
      </c>
      <c r="C447" s="20">
        <f t="shared" si="64"/>
        <v>12.392899999999999</v>
      </c>
      <c r="D447" s="20">
        <f t="shared" si="65"/>
        <v>18.817699999999999</v>
      </c>
      <c r="E447" s="20">
        <f t="shared" si="66"/>
        <v>7.4675000000000002</v>
      </c>
      <c r="F447" s="20">
        <f t="shared" si="67"/>
        <v>24.651</v>
      </c>
      <c r="G447" s="20">
        <f t="shared" si="68"/>
        <v>18.552199999999999</v>
      </c>
      <c r="H447" s="1239">
        <f t="shared" si="69"/>
        <v>18.552199999999999</v>
      </c>
      <c r="I447" s="1243">
        <f t="shared" si="63"/>
        <v>-0.25936007589396393</v>
      </c>
      <c r="J447" s="1243">
        <f t="shared" si="70"/>
        <v>0.12093838824177333</v>
      </c>
      <c r="K447" s="1243">
        <f t="shared" si="71"/>
        <v>0.1</v>
      </c>
      <c r="L447" s="203"/>
      <c r="N447" s="1425">
        <v>44581</v>
      </c>
      <c r="O447" s="1502">
        <v>13.740500000000001</v>
      </c>
      <c r="P447" s="1502">
        <v>5.0928000000000004</v>
      </c>
      <c r="Q447" s="1502">
        <v>12.5467</v>
      </c>
      <c r="R447" s="1233">
        <f>'B. PE'!$U$23</f>
        <v>15.978235616082999</v>
      </c>
      <c r="S447" s="1233"/>
      <c r="T447" s="1233"/>
      <c r="V447" s="1425">
        <v>44581</v>
      </c>
      <c r="W447" s="1">
        <v>12.392899999999999</v>
      </c>
      <c r="X447" s="1">
        <v>1.8499000000000001</v>
      </c>
      <c r="Y447" s="1">
        <v>9.6545000000000005</v>
      </c>
      <c r="Z447" s="1">
        <v>1.3352900000000001</v>
      </c>
      <c r="AB447" s="1425">
        <v>44565</v>
      </c>
      <c r="AC447" s="1">
        <v>9.4177</v>
      </c>
      <c r="AD447" s="1502">
        <v>1.5408999999999999</v>
      </c>
      <c r="AE447" s="1">
        <v>5.4542000000000002</v>
      </c>
      <c r="AF447" s="1">
        <v>4.206E-2</v>
      </c>
      <c r="AH447" s="1425">
        <v>44565</v>
      </c>
      <c r="AI447" s="1">
        <v>19.3002</v>
      </c>
      <c r="AJ447" s="1">
        <v>3.5545</v>
      </c>
      <c r="AK447" s="1">
        <v>9.5761000000000003</v>
      </c>
      <c r="AL447" s="1">
        <v>5.355E-2</v>
      </c>
      <c r="AN447" s="1425">
        <v>44567</v>
      </c>
      <c r="AO447" s="1">
        <v>7.7922000000000002</v>
      </c>
      <c r="AP447" s="1">
        <v>1.1495</v>
      </c>
      <c r="AQ447" s="1">
        <v>4.9931000000000001</v>
      </c>
      <c r="AR447" s="1">
        <v>0.28649999999999998</v>
      </c>
      <c r="AT447" s="1425">
        <v>44567</v>
      </c>
      <c r="AW447" s="1">
        <v>5.7153999999999998</v>
      </c>
      <c r="AX447" s="1">
        <v>0.14086000000000001</v>
      </c>
      <c r="BA447" s="1425">
        <v>44566</v>
      </c>
      <c r="BB447" s="1">
        <v>20.218599999999999</v>
      </c>
      <c r="BC447" s="1">
        <v>4.9005000000000001</v>
      </c>
      <c r="BD447" s="1">
        <v>20.5853</v>
      </c>
      <c r="BE447" s="1">
        <v>1.3200099999999999</v>
      </c>
      <c r="BG447" s="1425">
        <v>44566</v>
      </c>
      <c r="BH447" s="1">
        <v>27.706900000000001</v>
      </c>
      <c r="BI447" s="1">
        <v>7.3407999999999998</v>
      </c>
      <c r="BJ447" s="1">
        <v>34.834800000000001</v>
      </c>
      <c r="BT447" s="1425">
        <v>44581</v>
      </c>
      <c r="BU447" s="1">
        <v>18.790099999999999</v>
      </c>
      <c r="BV447" s="1">
        <v>4.6916000000000002</v>
      </c>
      <c r="BW447" s="1">
        <v>11.5482</v>
      </c>
      <c r="BX447" s="1">
        <v>2.8584999999999998</v>
      </c>
      <c r="BZ447" s="1425">
        <v>44581</v>
      </c>
      <c r="CA447" s="1">
        <v>14.7721</v>
      </c>
      <c r="CB447" s="1">
        <v>3.9438</v>
      </c>
      <c r="CC447" s="1">
        <v>17.115600000000001</v>
      </c>
      <c r="CD447" s="1">
        <v>1.9869699999999999</v>
      </c>
      <c r="CF447" s="1425">
        <v>44580</v>
      </c>
      <c r="CG447" s="1">
        <v>7.0366</v>
      </c>
      <c r="CH447" s="1">
        <v>2.2993999999999999</v>
      </c>
      <c r="CI447" s="1">
        <v>4.4115000000000002</v>
      </c>
      <c r="CL447" s="1425">
        <v>44593</v>
      </c>
      <c r="CM447" s="1">
        <v>21.5715</v>
      </c>
      <c r="CN447" s="1">
        <v>2.6753999999999998</v>
      </c>
      <c r="CO447" s="1">
        <v>11.536199999999999</v>
      </c>
    </row>
    <row r="448" spans="1:93">
      <c r="A448" s="1425">
        <v>44580</v>
      </c>
      <c r="B448" s="20">
        <f t="shared" si="62"/>
        <v>14.7728</v>
      </c>
      <c r="C448" s="20">
        <f t="shared" si="64"/>
        <v>12.392899999999999</v>
      </c>
      <c r="D448" s="20">
        <f t="shared" si="65"/>
        <v>18.5764</v>
      </c>
      <c r="E448" s="20">
        <f t="shared" si="66"/>
        <v>7.4675000000000002</v>
      </c>
      <c r="F448" s="20">
        <f t="shared" si="67"/>
        <v>25.2621</v>
      </c>
      <c r="G448" s="20">
        <f t="shared" si="68"/>
        <v>19.218800000000002</v>
      </c>
      <c r="H448" s="1239">
        <f t="shared" si="69"/>
        <v>18.5764</v>
      </c>
      <c r="I448" s="1243">
        <f t="shared" si="63"/>
        <v>-0.20475441958614149</v>
      </c>
      <c r="J448" s="1243">
        <f t="shared" si="70"/>
        <v>0.12093838824177333</v>
      </c>
      <c r="K448" s="1243">
        <f t="shared" si="71"/>
        <v>0.1</v>
      </c>
      <c r="L448" s="203"/>
      <c r="N448" s="1425">
        <v>44580</v>
      </c>
      <c r="O448" s="1502">
        <v>14.7728</v>
      </c>
      <c r="P448" s="1502">
        <v>5.4753999999999996</v>
      </c>
      <c r="Q448" s="1502">
        <v>13.5299</v>
      </c>
      <c r="R448" s="1233">
        <f>'B. PE'!$U$23</f>
        <v>15.978235616082999</v>
      </c>
      <c r="S448" s="1233"/>
      <c r="T448" s="1233"/>
      <c r="V448" s="1425">
        <v>44580</v>
      </c>
      <c r="W448" s="1">
        <v>12.392899999999999</v>
      </c>
      <c r="X448" s="1">
        <v>1.8499000000000001</v>
      </c>
      <c r="Y448" s="1">
        <v>9.6545000000000005</v>
      </c>
      <c r="Z448" s="1">
        <v>1.3007</v>
      </c>
      <c r="AB448" s="1425">
        <v>44564</v>
      </c>
      <c r="AC448" s="1">
        <v>9.4968000000000004</v>
      </c>
      <c r="AD448" s="1502">
        <v>1.5539000000000001</v>
      </c>
      <c r="AE448" s="1">
        <v>5.4920999999999998</v>
      </c>
      <c r="AF448" s="1">
        <v>4.2529999999999998E-2</v>
      </c>
      <c r="AH448" s="1425">
        <v>44564</v>
      </c>
      <c r="AI448" s="1">
        <v>18.093900000000001</v>
      </c>
      <c r="AJ448" s="1">
        <v>3.3323999999999998</v>
      </c>
      <c r="AK448" s="1">
        <v>8.9457000000000004</v>
      </c>
      <c r="AL448" s="1">
        <v>5.4550000000000001E-2</v>
      </c>
      <c r="AN448" s="1425">
        <v>44566</v>
      </c>
      <c r="AO448" s="1">
        <v>7.7922000000000002</v>
      </c>
      <c r="AP448" s="1">
        <v>1.1495</v>
      </c>
      <c r="AQ448" s="1">
        <v>4.9931000000000001</v>
      </c>
      <c r="AR448" s="1">
        <v>0.29485</v>
      </c>
      <c r="AT448" s="1425">
        <v>44566</v>
      </c>
      <c r="AU448" s="1">
        <v>8.2409999999999997</v>
      </c>
      <c r="AV448" s="1">
        <v>0.54020000000000001</v>
      </c>
      <c r="AW448" s="1">
        <v>5.7153999999999998</v>
      </c>
      <c r="BA448" s="1425">
        <v>44565</v>
      </c>
      <c r="BB448" s="1">
        <v>21.218399999999999</v>
      </c>
      <c r="BC448" s="1">
        <v>5.1429</v>
      </c>
      <c r="BD448" s="1">
        <v>21.392299999999999</v>
      </c>
      <c r="BE448" s="1">
        <v>1.3137099999999999</v>
      </c>
      <c r="BG448" s="1425">
        <v>44565</v>
      </c>
      <c r="BH448" s="1">
        <v>28.1143</v>
      </c>
      <c r="BI448" s="1">
        <v>7.4488000000000003</v>
      </c>
      <c r="BJ448" s="1">
        <v>35.303600000000003</v>
      </c>
      <c r="BT448" s="1425">
        <v>44580</v>
      </c>
      <c r="BU448" s="1">
        <v>18.72</v>
      </c>
      <c r="BV448" s="1">
        <v>4.6741000000000001</v>
      </c>
      <c r="BW448" s="1">
        <v>11.5077</v>
      </c>
      <c r="BX448" s="1">
        <v>2.8614999999999999</v>
      </c>
      <c r="BZ448" s="1425">
        <v>44580</v>
      </c>
      <c r="CA448" s="1">
        <v>14.700900000000001</v>
      </c>
      <c r="CB448" s="1">
        <v>3.9247999999999998</v>
      </c>
      <c r="CC448" s="1">
        <v>17.059899999999999</v>
      </c>
      <c r="CD448" s="1">
        <v>2.0901700000000001</v>
      </c>
      <c r="CF448" s="1425">
        <v>44579</v>
      </c>
      <c r="CG448" s="1">
        <v>6.4008000000000003</v>
      </c>
      <c r="CH448" s="1">
        <v>2.0916000000000001</v>
      </c>
      <c r="CI448" s="1">
        <v>3.9018000000000002</v>
      </c>
      <c r="CL448" s="1425">
        <v>44592</v>
      </c>
      <c r="CM448" s="1">
        <v>21.397500000000001</v>
      </c>
      <c r="CN448" s="1">
        <v>2.6537999999999999</v>
      </c>
      <c r="CO448" s="1">
        <v>11.443</v>
      </c>
    </row>
    <row r="449" spans="1:93">
      <c r="A449" s="1425">
        <v>44579</v>
      </c>
      <c r="B449" s="20">
        <f t="shared" si="62"/>
        <v>14.946999999999999</v>
      </c>
      <c r="C449" s="20">
        <f t="shared" si="64"/>
        <v>11.9621</v>
      </c>
      <c r="D449" s="20">
        <f t="shared" si="65"/>
        <v>18.4558</v>
      </c>
      <c r="E449" s="20">
        <f t="shared" si="66"/>
        <v>7.4675000000000002</v>
      </c>
      <c r="F449" s="20">
        <f t="shared" si="67"/>
        <v>26.077000000000002</v>
      </c>
      <c r="G449" s="20">
        <f t="shared" si="68"/>
        <v>18.996600000000001</v>
      </c>
      <c r="H449" s="1239">
        <f t="shared" si="69"/>
        <v>18.4558</v>
      </c>
      <c r="I449" s="1243">
        <f t="shared" si="63"/>
        <v>-0.19011909535213867</v>
      </c>
      <c r="J449" s="1243">
        <f t="shared" si="70"/>
        <v>0.12093838824177333</v>
      </c>
      <c r="K449" s="1243">
        <f t="shared" si="71"/>
        <v>0.1</v>
      </c>
      <c r="L449" s="203"/>
      <c r="N449" s="1425">
        <v>44579</v>
      </c>
      <c r="O449" s="1502">
        <v>14.946999999999999</v>
      </c>
      <c r="P449" s="1502">
        <v>5.5399000000000003</v>
      </c>
      <c r="Q449" s="1502">
        <v>13.6959</v>
      </c>
      <c r="R449" s="1233">
        <f>'B. PE'!$U$23</f>
        <v>15.978235616082999</v>
      </c>
      <c r="S449" s="1233"/>
      <c r="T449" s="1233"/>
      <c r="V449" s="1425">
        <v>44579</v>
      </c>
      <c r="W449" s="1">
        <v>11.9621</v>
      </c>
      <c r="X449" s="1">
        <v>1.7856000000000001</v>
      </c>
      <c r="Y449" s="1">
        <v>9.3660999999999994</v>
      </c>
      <c r="Z449" s="1">
        <v>1.3750599999999999</v>
      </c>
      <c r="AB449" s="1425">
        <v>44560</v>
      </c>
      <c r="AC449" s="1">
        <v>9.4968000000000004</v>
      </c>
      <c r="AD449" s="1502">
        <v>1.5539000000000001</v>
      </c>
      <c r="AE449" s="1">
        <v>5.4920999999999998</v>
      </c>
      <c r="AF449" s="1">
        <v>4.2540000000000001E-2</v>
      </c>
      <c r="AH449" s="1425">
        <v>44560</v>
      </c>
      <c r="AI449" s="1">
        <v>18.431699999999999</v>
      </c>
      <c r="AJ449" s="1">
        <v>3.3946000000000001</v>
      </c>
      <c r="AK449" s="1">
        <v>9.1221999999999994</v>
      </c>
      <c r="AL449" s="1">
        <v>5.3719999999999997E-2</v>
      </c>
      <c r="AN449" s="1425">
        <v>44565</v>
      </c>
      <c r="AO449" s="1">
        <v>7.7922000000000002</v>
      </c>
      <c r="AP449" s="1">
        <v>1.1495</v>
      </c>
      <c r="AQ449" s="1">
        <v>4.9931000000000001</v>
      </c>
      <c r="AR449" s="1">
        <v>0.29823</v>
      </c>
      <c r="AT449" s="1425">
        <v>44565</v>
      </c>
      <c r="AU449" s="1">
        <v>8.1716999999999995</v>
      </c>
      <c r="AV449" s="1">
        <v>0.53559999999999997</v>
      </c>
      <c r="AW449" s="1">
        <v>5.6768000000000001</v>
      </c>
      <c r="AX449" s="1">
        <v>0.14430999999999999</v>
      </c>
      <c r="BA449" s="1425">
        <v>44560</v>
      </c>
      <c r="BB449" s="1">
        <v>19.552099999999999</v>
      </c>
      <c r="BC449" s="1">
        <v>4.7389999999999999</v>
      </c>
      <c r="BD449" s="1">
        <v>20.0473</v>
      </c>
      <c r="BE449" s="1">
        <v>1.2905800000000001</v>
      </c>
      <c r="BG449" s="1425">
        <v>44560</v>
      </c>
      <c r="BH449" s="1">
        <v>29.7441</v>
      </c>
      <c r="BI449" s="1">
        <v>7.8806000000000003</v>
      </c>
      <c r="BJ449" s="1">
        <v>37.178600000000003</v>
      </c>
      <c r="BT449" s="1425">
        <v>44579</v>
      </c>
      <c r="BU449" s="1">
        <v>18.243200000000002</v>
      </c>
      <c r="BV449" s="1">
        <v>4.5549999999999997</v>
      </c>
      <c r="BW449" s="1">
        <v>11.232799999999999</v>
      </c>
      <c r="BX449" s="1">
        <v>2.9500999999999999</v>
      </c>
      <c r="BZ449" s="1425">
        <v>44579</v>
      </c>
      <c r="CA449" s="1">
        <v>13.882199999999999</v>
      </c>
      <c r="CB449" s="1">
        <v>3.7063000000000001</v>
      </c>
      <c r="CC449" s="1">
        <v>16.418399999999998</v>
      </c>
      <c r="CD449" s="1">
        <v>2.2462499999999999</v>
      </c>
      <c r="CF449" s="1425">
        <v>44578</v>
      </c>
      <c r="CG449" s="1">
        <v>6.4432</v>
      </c>
      <c r="CH449" s="1">
        <v>2.1055000000000001</v>
      </c>
      <c r="CI449" s="1">
        <v>3.9358</v>
      </c>
      <c r="CL449" s="1425">
        <v>44589</v>
      </c>
      <c r="CM449" s="1">
        <v>21.368500000000001</v>
      </c>
      <c r="CN449" s="1">
        <v>2.6501999999999999</v>
      </c>
      <c r="CO449" s="1">
        <v>11.4274</v>
      </c>
    </row>
    <row r="450" spans="1:93">
      <c r="A450" s="1425">
        <v>44578</v>
      </c>
      <c r="B450" s="20">
        <f t="shared" si="62"/>
        <v>15.764799999999999</v>
      </c>
      <c r="C450" s="20">
        <f t="shared" si="64"/>
        <v>11.630699999999999</v>
      </c>
      <c r="D450" s="20">
        <f t="shared" si="65"/>
        <v>18.817699999999999</v>
      </c>
      <c r="E450" s="20">
        <f t="shared" si="66"/>
        <v>7.6623000000000001</v>
      </c>
      <c r="F450" s="20">
        <f t="shared" si="67"/>
        <v>27.5031</v>
      </c>
      <c r="G450" s="20">
        <f t="shared" si="68"/>
        <v>19.440999999999999</v>
      </c>
      <c r="H450" s="1239">
        <f t="shared" si="69"/>
        <v>18.817699999999999</v>
      </c>
      <c r="I450" s="1243">
        <f t="shared" si="63"/>
        <v>-0.16223555482338436</v>
      </c>
      <c r="J450" s="1243">
        <f t="shared" si="70"/>
        <v>0.12093838824177333</v>
      </c>
      <c r="K450" s="1243">
        <f t="shared" si="71"/>
        <v>0.1</v>
      </c>
      <c r="L450" s="203"/>
      <c r="N450" s="1425">
        <v>44578</v>
      </c>
      <c r="O450" s="1502">
        <v>15.764799999999999</v>
      </c>
      <c r="P450" s="1502">
        <v>5.843</v>
      </c>
      <c r="Q450" s="1502">
        <v>14.4748</v>
      </c>
      <c r="R450" s="1233">
        <f>'B. PE'!$U$23</f>
        <v>15.978235616082999</v>
      </c>
      <c r="S450" s="1233"/>
      <c r="T450" s="1233"/>
      <c r="V450" s="1425">
        <v>44578</v>
      </c>
      <c r="W450" s="1">
        <v>11.630699999999999</v>
      </c>
      <c r="X450" s="1">
        <v>1.7362</v>
      </c>
      <c r="Y450" s="1">
        <v>9.1441999999999997</v>
      </c>
      <c r="Z450" s="1">
        <v>1.3423499999999999</v>
      </c>
      <c r="AB450" s="1425">
        <v>44559</v>
      </c>
      <c r="AC450" s="1">
        <v>9.3550000000000004</v>
      </c>
      <c r="AD450" s="1502">
        <v>1.6433</v>
      </c>
      <c r="AE450" s="1">
        <v>4.9080000000000004</v>
      </c>
      <c r="AF450" s="1">
        <v>4.292E-2</v>
      </c>
      <c r="AH450" s="1425">
        <v>44559</v>
      </c>
      <c r="AI450" s="1">
        <v>21.231400000000001</v>
      </c>
      <c r="AJ450" s="1">
        <v>3.6690999999999998</v>
      </c>
      <c r="AK450" s="1">
        <v>10.205399999999999</v>
      </c>
      <c r="AL450" s="1">
        <v>5.1360000000000003E-2</v>
      </c>
      <c r="AN450" s="1425">
        <v>44564</v>
      </c>
      <c r="AO450" s="1">
        <v>7.9870000000000001</v>
      </c>
      <c r="AP450" s="1">
        <v>1.1781999999999999</v>
      </c>
      <c r="AQ450" s="1">
        <v>5.1417999999999999</v>
      </c>
      <c r="AR450" s="1">
        <v>0.29693999999999998</v>
      </c>
      <c r="AT450" s="1425">
        <v>44564</v>
      </c>
      <c r="AW450" s="1">
        <v>5.7539999999999996</v>
      </c>
      <c r="AX450" s="1">
        <v>0.14129</v>
      </c>
      <c r="BA450" s="1425">
        <v>44559</v>
      </c>
      <c r="BB450" s="1">
        <v>20.126899999999999</v>
      </c>
      <c r="BC450" s="1">
        <v>5.0319000000000003</v>
      </c>
      <c r="BD450" s="1">
        <v>18.796900000000001</v>
      </c>
      <c r="BE450" s="1">
        <v>1.3280000000000001</v>
      </c>
      <c r="BG450" s="1425">
        <v>44559</v>
      </c>
      <c r="BH450" s="1">
        <v>28.556000000000001</v>
      </c>
      <c r="BI450" s="1">
        <v>8.2713999999999999</v>
      </c>
      <c r="BJ450" s="1">
        <v>37.636800000000001</v>
      </c>
      <c r="BT450" s="1425">
        <v>44578</v>
      </c>
      <c r="BU450" s="1">
        <v>18.229199999999999</v>
      </c>
      <c r="BV450" s="1">
        <v>4.5514999999999999</v>
      </c>
      <c r="BW450" s="1">
        <v>11.2247</v>
      </c>
      <c r="BX450" s="1">
        <v>2.9845999999999999</v>
      </c>
      <c r="BZ450" s="1425">
        <v>44578</v>
      </c>
      <c r="CA450" s="1">
        <v>14.5763</v>
      </c>
      <c r="CB450" s="1">
        <v>3.8915999999999999</v>
      </c>
      <c r="CC450" s="1">
        <v>16.962199999999999</v>
      </c>
      <c r="CD450" s="1">
        <v>2.11965</v>
      </c>
      <c r="CF450" s="1425">
        <v>44575</v>
      </c>
      <c r="CG450" s="1">
        <v>6.8882000000000003</v>
      </c>
      <c r="CH450" s="1">
        <v>2.2509000000000001</v>
      </c>
      <c r="CI450" s="1">
        <v>4.2926000000000002</v>
      </c>
      <c r="CL450" s="1425">
        <v>44588</v>
      </c>
      <c r="CM450" s="1">
        <v>21.310500000000001</v>
      </c>
      <c r="CN450" s="1">
        <v>2.6429999999999998</v>
      </c>
      <c r="CO450" s="1">
        <v>11.3964</v>
      </c>
    </row>
    <row r="451" spans="1:93">
      <c r="A451" s="1425">
        <v>44575</v>
      </c>
      <c r="B451" s="20">
        <f t="shared" si="62"/>
        <v>16.488700000000001</v>
      </c>
      <c r="C451" s="20">
        <f t="shared" si="64"/>
        <v>12.2935</v>
      </c>
      <c r="D451" s="20">
        <f t="shared" si="65"/>
        <v>18.938300000000002</v>
      </c>
      <c r="E451" s="20">
        <f t="shared" si="66"/>
        <v>7.6623000000000001</v>
      </c>
      <c r="F451" s="20">
        <f t="shared" si="67"/>
        <v>27.706900000000001</v>
      </c>
      <c r="G451" s="20">
        <f t="shared" si="68"/>
        <v>20.218599999999999</v>
      </c>
      <c r="H451" s="1239">
        <f t="shared" si="69"/>
        <v>18.938300000000002</v>
      </c>
      <c r="I451" s="1243">
        <f t="shared" si="63"/>
        <v>-0.1293463510452364</v>
      </c>
      <c r="J451" s="1243">
        <f t="shared" si="70"/>
        <v>0.12093838824177333</v>
      </c>
      <c r="K451" s="1243">
        <f t="shared" si="71"/>
        <v>0.1</v>
      </c>
      <c r="L451" s="203"/>
      <c r="N451" s="1425">
        <v>44575</v>
      </c>
      <c r="O451" s="1502">
        <v>16.488700000000001</v>
      </c>
      <c r="P451" s="1502">
        <v>6.1113</v>
      </c>
      <c r="Q451" s="1502">
        <v>15.164400000000001</v>
      </c>
      <c r="R451" s="1233">
        <f>'B. PE'!$U$23</f>
        <v>15.978235616082999</v>
      </c>
      <c r="S451" s="1233"/>
      <c r="T451" s="1233"/>
      <c r="V451" s="1425">
        <v>44575</v>
      </c>
      <c r="W451" s="1">
        <v>12.2935</v>
      </c>
      <c r="X451" s="1">
        <v>1.8351</v>
      </c>
      <c r="Y451" s="1">
        <v>9.5878999999999994</v>
      </c>
      <c r="Z451" s="1">
        <v>1.36287</v>
      </c>
      <c r="AB451" s="1425">
        <v>44558</v>
      </c>
      <c r="AC451" s="1">
        <v>9.3550000000000004</v>
      </c>
      <c r="AD451" s="1502">
        <v>1.6433</v>
      </c>
      <c r="AE451" s="1">
        <v>4.9080000000000004</v>
      </c>
      <c r="AF451" s="1">
        <v>4.231E-2</v>
      </c>
      <c r="AH451" s="1425">
        <v>44558</v>
      </c>
      <c r="AI451" s="1">
        <v>20.903099999999998</v>
      </c>
      <c r="AJ451" s="1">
        <v>3.6124000000000001</v>
      </c>
      <c r="AK451" s="1">
        <v>10.035299999999999</v>
      </c>
      <c r="AL451" s="1">
        <v>5.1610000000000003E-2</v>
      </c>
      <c r="AN451" s="1425">
        <v>44561</v>
      </c>
      <c r="AO451" s="1">
        <v>8.0518999999999998</v>
      </c>
      <c r="AP451" s="1">
        <v>1.1878</v>
      </c>
      <c r="AQ451" s="1">
        <v>5.1913</v>
      </c>
      <c r="AR451" s="1">
        <v>0.29041</v>
      </c>
      <c r="AT451" s="1425">
        <v>44561</v>
      </c>
      <c r="AU451" s="1">
        <v>8.3102</v>
      </c>
      <c r="AV451" s="1">
        <v>0.54469999999999996</v>
      </c>
      <c r="AW451" s="1">
        <v>5.7539999999999996</v>
      </c>
      <c r="AX451" s="1">
        <v>0.14161000000000001</v>
      </c>
      <c r="BA451" s="1425">
        <v>44558</v>
      </c>
      <c r="BB451" s="1">
        <v>19.783899999999999</v>
      </c>
      <c r="BC451" s="1">
        <v>4.9461000000000004</v>
      </c>
      <c r="BD451" s="1">
        <v>18.525099999999998</v>
      </c>
      <c r="BE451" s="1">
        <v>1.3398600000000001</v>
      </c>
      <c r="BG451" s="1425">
        <v>44558</v>
      </c>
      <c r="BH451" s="1">
        <v>27.340900000000001</v>
      </c>
      <c r="BI451" s="1">
        <v>7.9194000000000004</v>
      </c>
      <c r="BJ451" s="1">
        <v>36.131100000000004</v>
      </c>
      <c r="BT451" s="1425">
        <v>44575</v>
      </c>
      <c r="BU451" s="1">
        <v>18.790099999999999</v>
      </c>
      <c r="BV451" s="1">
        <v>4.6916000000000002</v>
      </c>
      <c r="BW451" s="1">
        <v>11.5482</v>
      </c>
      <c r="BX451" s="1">
        <v>2.9958999999999998</v>
      </c>
      <c r="BZ451" s="1425">
        <v>44575</v>
      </c>
      <c r="CA451" s="1">
        <v>15.662000000000001</v>
      </c>
      <c r="CB451" s="1">
        <v>4.1814</v>
      </c>
      <c r="CC451" s="1">
        <v>17.812899999999999</v>
      </c>
      <c r="CD451" s="1">
        <v>2.0585399999999998</v>
      </c>
      <c r="CF451" s="1425">
        <v>44574</v>
      </c>
      <c r="CG451" s="1">
        <v>6.7610999999999999</v>
      </c>
      <c r="CH451" s="1">
        <v>2.2094</v>
      </c>
      <c r="CI451" s="1">
        <v>4.1905999999999999</v>
      </c>
      <c r="CL451" s="1425">
        <v>44587</v>
      </c>
      <c r="CM451" s="1">
        <v>21.426500000000001</v>
      </c>
      <c r="CN451" s="1">
        <v>2.6574</v>
      </c>
      <c r="CO451" s="1">
        <v>11.458500000000001</v>
      </c>
    </row>
    <row r="452" spans="1:93">
      <c r="A452" s="1425">
        <v>44574</v>
      </c>
      <c r="B452" s="20">
        <f t="shared" si="62"/>
        <v>16.300999999999998</v>
      </c>
      <c r="C452" s="20">
        <f t="shared" si="64"/>
        <v>11.995200000000001</v>
      </c>
      <c r="D452" s="20">
        <f t="shared" si="65"/>
        <v>19.058900000000001</v>
      </c>
      <c r="E452" s="20">
        <f t="shared" si="66"/>
        <v>7.6623000000000001</v>
      </c>
      <c r="F452" s="20">
        <f t="shared" si="67"/>
        <v>30.151599999999998</v>
      </c>
      <c r="G452" s="20">
        <f t="shared" si="68"/>
        <v>19.329899999999999</v>
      </c>
      <c r="H452" s="1239">
        <f t="shared" si="69"/>
        <v>19.058900000000001</v>
      </c>
      <c r="I452" s="1243">
        <f t="shared" si="63"/>
        <v>-0.14470404902696388</v>
      </c>
      <c r="J452" s="1243">
        <f t="shared" si="70"/>
        <v>0.12093838824177333</v>
      </c>
      <c r="K452" s="1243">
        <f t="shared" si="71"/>
        <v>0.1</v>
      </c>
      <c r="L452" s="203"/>
      <c r="N452" s="1425">
        <v>44574</v>
      </c>
      <c r="O452" s="1502">
        <v>16.300999999999998</v>
      </c>
      <c r="P452" s="1502">
        <v>6.0418000000000003</v>
      </c>
      <c r="Q452" s="1502">
        <v>14.9856</v>
      </c>
      <c r="R452" s="1233">
        <f>'B. PE'!$U$23</f>
        <v>15.978235616082999</v>
      </c>
      <c r="S452" s="1233"/>
      <c r="T452" s="1233"/>
      <c r="V452" s="1425">
        <v>44574</v>
      </c>
      <c r="W452" s="1">
        <v>11.995200000000001</v>
      </c>
      <c r="X452" s="1">
        <v>1.7906</v>
      </c>
      <c r="Y452" s="1">
        <v>9.3882999999999992</v>
      </c>
      <c r="Z452" s="1">
        <v>1.3772200000000001</v>
      </c>
      <c r="AB452" s="1425">
        <v>44557</v>
      </c>
      <c r="AC452" s="1">
        <v>9.4323999999999995</v>
      </c>
      <c r="AD452" s="1502">
        <v>1.6569</v>
      </c>
      <c r="AE452" s="1">
        <v>4.9420999999999999</v>
      </c>
      <c r="AF452" s="1">
        <v>4.1829999999999999E-2</v>
      </c>
      <c r="AH452" s="1425">
        <v>44557</v>
      </c>
      <c r="AI452" s="1">
        <v>19.972799999999999</v>
      </c>
      <c r="AJ452" s="1">
        <v>3.4516</v>
      </c>
      <c r="AK452" s="1">
        <v>9.5533999999999999</v>
      </c>
      <c r="AL452" s="1">
        <v>5.1610000000000003E-2</v>
      </c>
      <c r="AN452" s="1425">
        <v>44560</v>
      </c>
      <c r="AO452" s="1">
        <v>9.2537000000000003</v>
      </c>
      <c r="AP452" s="1">
        <v>1.2250000000000001</v>
      </c>
      <c r="AQ452" s="1">
        <v>5.2259000000000002</v>
      </c>
      <c r="AR452" s="1">
        <v>0.2944</v>
      </c>
      <c r="AT452" s="1425">
        <v>44560</v>
      </c>
      <c r="AU452" s="1">
        <v>8.3925999999999998</v>
      </c>
      <c r="AV452" s="1">
        <v>0.54720000000000002</v>
      </c>
      <c r="AW452" s="1">
        <v>5.4935</v>
      </c>
      <c r="BA452" s="1425">
        <v>44557</v>
      </c>
      <c r="BB452" s="1">
        <v>20.355699999999999</v>
      </c>
      <c r="BC452" s="1">
        <v>5.0890000000000004</v>
      </c>
      <c r="BD452" s="1">
        <v>18.978000000000002</v>
      </c>
      <c r="BE452" s="1">
        <v>1.35103</v>
      </c>
      <c r="BG452" s="1425">
        <v>44557</v>
      </c>
      <c r="BH452" s="1">
        <v>27.745899999999999</v>
      </c>
      <c r="BI452" s="1">
        <v>8.0367999999999995</v>
      </c>
      <c r="BJ452" s="1">
        <v>36.633000000000003</v>
      </c>
      <c r="BT452" s="1425">
        <v>44574</v>
      </c>
      <c r="BU452" s="1">
        <v>19.000499999999999</v>
      </c>
      <c r="BV452" s="1">
        <v>4.7441000000000004</v>
      </c>
      <c r="BW452" s="1">
        <v>11.669499999999999</v>
      </c>
      <c r="BX452" s="1">
        <v>2.9022999999999999</v>
      </c>
      <c r="BZ452" s="1425">
        <v>44574</v>
      </c>
      <c r="CA452" s="1">
        <v>14.7721</v>
      </c>
      <c r="CB452" s="1">
        <v>3.9438</v>
      </c>
      <c r="CC452" s="1">
        <v>17.115600000000001</v>
      </c>
      <c r="CD452" s="1">
        <v>2.0373899999999998</v>
      </c>
      <c r="CF452" s="1425">
        <v>44573</v>
      </c>
      <c r="CG452" s="1">
        <v>6.8882000000000003</v>
      </c>
      <c r="CH452" s="1">
        <v>2.2509000000000001</v>
      </c>
      <c r="CI452" s="1">
        <v>4.2926000000000002</v>
      </c>
      <c r="CL452" s="1425">
        <v>44586</v>
      </c>
      <c r="CM452" s="1">
        <v>21.209099999999999</v>
      </c>
      <c r="CN452" s="1">
        <v>2.6303999999999998</v>
      </c>
      <c r="CO452" s="1">
        <v>11.342000000000001</v>
      </c>
    </row>
    <row r="453" spans="1:93">
      <c r="A453" s="1425">
        <v>44573</v>
      </c>
      <c r="B453" s="20">
        <f t="shared" ref="B453:B516" si="72">O453</f>
        <v>16.220500000000001</v>
      </c>
      <c r="C453" s="20">
        <f t="shared" si="64"/>
        <v>12.1775</v>
      </c>
      <c r="D453" s="20">
        <f t="shared" si="65"/>
        <v>18.938300000000002</v>
      </c>
      <c r="E453" s="20">
        <f t="shared" si="66"/>
        <v>7.7922000000000002</v>
      </c>
      <c r="F453" s="20">
        <f t="shared" si="67"/>
        <v>26.280799999999999</v>
      </c>
      <c r="G453" s="20">
        <f t="shared" si="68"/>
        <v>18.6633</v>
      </c>
      <c r="H453" s="1239">
        <f t="shared" si="69"/>
        <v>18.6633</v>
      </c>
      <c r="I453" s="1243">
        <f t="shared" ref="I453:I516" si="73">B453/H453-1</f>
        <v>-0.13088789228057196</v>
      </c>
      <c r="J453" s="1243">
        <f t="shared" si="70"/>
        <v>0.12093838824177333</v>
      </c>
      <c r="K453" s="1243">
        <f t="shared" si="71"/>
        <v>0.1</v>
      </c>
      <c r="L453" s="203"/>
      <c r="N453" s="1425">
        <v>44573</v>
      </c>
      <c r="O453" s="1502">
        <v>16.220500000000001</v>
      </c>
      <c r="P453" s="1502">
        <v>6.0119999999999996</v>
      </c>
      <c r="Q453" s="1502">
        <v>14.909000000000001</v>
      </c>
      <c r="R453" s="1233">
        <f>'B. PE'!$U$23</f>
        <v>15.978235616082999</v>
      </c>
      <c r="S453" s="1233"/>
      <c r="T453" s="1233"/>
      <c r="V453" s="1425">
        <v>44573</v>
      </c>
      <c r="W453" s="1">
        <v>12.1775</v>
      </c>
      <c r="X453" s="1">
        <v>1.8178000000000001</v>
      </c>
      <c r="Y453" s="1">
        <v>9.5103000000000009</v>
      </c>
      <c r="Z453" s="1">
        <v>1.3765099999999999</v>
      </c>
      <c r="AB453" s="1425">
        <v>44554</v>
      </c>
      <c r="AC453" s="1">
        <v>9.2776999999999994</v>
      </c>
      <c r="AD453" s="1502">
        <v>1.6296999999999999</v>
      </c>
      <c r="AE453" s="1">
        <v>4.8738999999999999</v>
      </c>
      <c r="AF453" s="1">
        <v>4.1489999999999999E-2</v>
      </c>
      <c r="AH453" s="1425">
        <v>44554</v>
      </c>
      <c r="AI453" s="1">
        <v>20.0275</v>
      </c>
      <c r="AJ453" s="1">
        <v>3.4611000000000001</v>
      </c>
      <c r="AK453" s="1">
        <v>9.5817999999999994</v>
      </c>
      <c r="AL453" s="1">
        <v>5.2040000000000003E-2</v>
      </c>
      <c r="AN453" s="1425">
        <v>44559</v>
      </c>
      <c r="AO453" s="1">
        <v>9.0298999999999996</v>
      </c>
      <c r="AP453" s="1">
        <v>1.1954</v>
      </c>
      <c r="AQ453" s="1">
        <v>5.0517000000000003</v>
      </c>
      <c r="AR453" s="1">
        <v>0.29882999999999998</v>
      </c>
      <c r="AT453" s="1425">
        <v>44559</v>
      </c>
      <c r="AU453" s="1">
        <v>8.3925999999999998</v>
      </c>
      <c r="AV453" s="1">
        <v>0.54720000000000002</v>
      </c>
      <c r="AW453" s="1">
        <v>5.4935</v>
      </c>
      <c r="AX453" s="1">
        <v>0.14224000000000001</v>
      </c>
      <c r="BA453" s="1425">
        <v>44554</v>
      </c>
      <c r="BB453" s="1">
        <v>20.47</v>
      </c>
      <c r="BC453" s="1">
        <v>5.1176000000000004</v>
      </c>
      <c r="BD453" s="1">
        <v>19.0686</v>
      </c>
      <c r="BE453" s="1">
        <v>1.3826499999999999</v>
      </c>
      <c r="BG453" s="1425">
        <v>44554</v>
      </c>
      <c r="BH453" s="1">
        <v>27.138300000000001</v>
      </c>
      <c r="BI453" s="1">
        <v>7.8608000000000002</v>
      </c>
      <c r="BJ453" s="1">
        <v>35.880099999999999</v>
      </c>
      <c r="BT453" s="1425">
        <v>44573</v>
      </c>
      <c r="BU453" s="1">
        <v>19.070599999999999</v>
      </c>
      <c r="BV453" s="1">
        <v>4.7615999999999996</v>
      </c>
      <c r="BW453" s="1">
        <v>11.709899999999999</v>
      </c>
      <c r="BX453" s="1">
        <v>2.9312</v>
      </c>
      <c r="BZ453" s="1425">
        <v>44573</v>
      </c>
      <c r="CA453" s="1">
        <v>14.345000000000001</v>
      </c>
      <c r="CB453" s="1">
        <v>3.8298000000000001</v>
      </c>
      <c r="CC453" s="1">
        <v>16.780999999999999</v>
      </c>
      <c r="CD453" s="1">
        <v>2.1924100000000002</v>
      </c>
      <c r="CF453" s="1425">
        <v>44572</v>
      </c>
      <c r="CG453" s="1">
        <v>7.0153999999999996</v>
      </c>
      <c r="CH453" s="1">
        <v>2.2925</v>
      </c>
      <c r="CI453" s="1">
        <v>4.3944999999999999</v>
      </c>
      <c r="CL453" s="1425">
        <v>44585</v>
      </c>
      <c r="CM453" s="1">
        <v>21.252500000000001</v>
      </c>
      <c r="CN453" s="1">
        <v>2.6358000000000001</v>
      </c>
      <c r="CO453" s="1">
        <v>11.3653</v>
      </c>
    </row>
    <row r="454" spans="1:93">
      <c r="A454" s="1425">
        <v>44572</v>
      </c>
      <c r="B454" s="20">
        <f t="shared" si="72"/>
        <v>16.099900000000002</v>
      </c>
      <c r="C454" s="20">
        <f t="shared" ref="C454:C517" si="74">IF(W454=0,W453,W454)</f>
        <v>12.31</v>
      </c>
      <c r="D454" s="20">
        <f t="shared" ref="D454:D517" si="75">IFERROR(          IF(VLOOKUP(A454,$AH$5:$AI$1301,2,)=0,D453,VLOOKUP(A454,$AH$5:$AI$1301,2,)),D453)</f>
        <v>18.817699999999999</v>
      </c>
      <c r="E454" s="20">
        <f t="shared" ref="E454:E517" si="76">IFERROR(IF(VLOOKUP(A454,$AN$5:$AO$1301,2,)=0, E453, VLOOKUP(A454,$AN$5:$AO$1301,2,)),E453)</f>
        <v>7.7272999999999996</v>
      </c>
      <c r="F454" s="20">
        <f t="shared" ref="F454:F517" si="77">IFERROR(IF(VLOOKUP(A454,$BG$5:$BH$1301,2,)=0,F453,VLOOKUP(A454,$BG$5:$BH$1301,2,)),F453)</f>
        <v>26.077000000000002</v>
      </c>
      <c r="G454" s="20">
        <f t="shared" ref="G454:G517" si="78">IFERROR(IF(VLOOKUP(A454,$BA$5:$BB$1301,2,)=0,G453,VLOOKUP(A454,$BA$5:$BB$1301,2,)),G453)</f>
        <v>18.8855</v>
      </c>
      <c r="H454" s="1239">
        <f t="shared" ref="H454:H517" si="79">MEDIAN(C454:G454)</f>
        <v>18.817699999999999</v>
      </c>
      <c r="I454" s="1243">
        <f t="shared" si="73"/>
        <v>-0.14442785250057111</v>
      </c>
      <c r="J454" s="1243">
        <f t="shared" ref="J454:J517" si="80">$I$3</f>
        <v>0.12093838824177333</v>
      </c>
      <c r="K454" s="1243">
        <f t="shared" si="71"/>
        <v>0.1</v>
      </c>
      <c r="L454" s="203"/>
      <c r="N454" s="1425">
        <v>44572</v>
      </c>
      <c r="O454" s="1502">
        <v>16.099900000000002</v>
      </c>
      <c r="P454" s="1502">
        <v>5.9672000000000001</v>
      </c>
      <c r="Q454" s="1502">
        <v>14.7941</v>
      </c>
      <c r="R454" s="1233">
        <f>'B. PE'!$U$23</f>
        <v>15.978235616082999</v>
      </c>
      <c r="S454" s="1233"/>
      <c r="T454" s="1233"/>
      <c r="V454" s="1425">
        <v>44572</v>
      </c>
      <c r="W454" s="1">
        <v>12.31</v>
      </c>
      <c r="X454" s="1">
        <v>1.8375999999999999</v>
      </c>
      <c r="Y454" s="1">
        <v>9.5990000000000002</v>
      </c>
      <c r="Z454" s="1">
        <v>1.46804</v>
      </c>
      <c r="AB454" s="1425">
        <v>44553</v>
      </c>
      <c r="AC454" s="1">
        <v>9.2004000000000001</v>
      </c>
      <c r="AD454" s="1502">
        <v>1.6161000000000001</v>
      </c>
      <c r="AE454" s="1">
        <v>4.8398000000000003</v>
      </c>
      <c r="AF454" s="1">
        <v>4.2029999999999998E-2</v>
      </c>
      <c r="AH454" s="1425">
        <v>44553</v>
      </c>
      <c r="AI454" s="1">
        <v>20.0823</v>
      </c>
      <c r="AJ454" s="1">
        <v>3.4704999999999999</v>
      </c>
      <c r="AK454" s="1">
        <v>9.6100999999999992</v>
      </c>
      <c r="AL454" s="1">
        <v>5.1130000000000002E-2</v>
      </c>
      <c r="AN454" s="1425">
        <v>44558</v>
      </c>
      <c r="AO454" s="1">
        <v>9.1791</v>
      </c>
      <c r="AP454" s="1">
        <v>1.2151000000000001</v>
      </c>
      <c r="AQ454" s="1">
        <v>5.1679000000000004</v>
      </c>
      <c r="AR454" s="1">
        <v>0.29559000000000002</v>
      </c>
      <c r="AT454" s="1425">
        <v>44558</v>
      </c>
      <c r="AW454" s="1">
        <v>5.5328999999999997</v>
      </c>
      <c r="AX454" s="1">
        <v>0.14302999999999999</v>
      </c>
      <c r="BA454" s="1425">
        <v>44553</v>
      </c>
      <c r="BB454" s="1">
        <v>20.698699999999999</v>
      </c>
      <c r="BC454" s="1">
        <v>5.1748000000000003</v>
      </c>
      <c r="BD454" s="1">
        <v>19.2498</v>
      </c>
      <c r="BE454" s="1">
        <v>1.3566800000000001</v>
      </c>
      <c r="BG454" s="1425">
        <v>44553</v>
      </c>
      <c r="BH454" s="1">
        <v>27.543399999999998</v>
      </c>
      <c r="BI454" s="1">
        <v>7.9781000000000004</v>
      </c>
      <c r="BJ454" s="1">
        <v>36.381999999999998</v>
      </c>
      <c r="BT454" s="1425">
        <v>44572</v>
      </c>
      <c r="BU454" s="1">
        <v>18.4816</v>
      </c>
      <c r="BV454" s="1">
        <v>4.6146000000000003</v>
      </c>
      <c r="BW454" s="1">
        <v>11.3703</v>
      </c>
      <c r="BX454" s="1">
        <v>2.9838</v>
      </c>
      <c r="BZ454" s="1425">
        <v>44572</v>
      </c>
      <c r="CA454" s="1">
        <v>14.2026</v>
      </c>
      <c r="CB454" s="1">
        <v>3.7917999999999998</v>
      </c>
      <c r="CC454" s="1">
        <v>16.6694</v>
      </c>
      <c r="CD454" s="1">
        <v>2.2671700000000001</v>
      </c>
      <c r="CF454" s="1425">
        <v>44571</v>
      </c>
      <c r="CG454" s="1">
        <v>7.2061999999999999</v>
      </c>
      <c r="CH454" s="1">
        <v>2.3548</v>
      </c>
      <c r="CI454" s="1">
        <v>4.5473999999999997</v>
      </c>
      <c r="CL454" s="1425">
        <v>44582</v>
      </c>
      <c r="CM454" s="1">
        <v>21.5425</v>
      </c>
      <c r="CN454" s="1">
        <v>2.6718000000000002</v>
      </c>
      <c r="CO454" s="1">
        <v>11.5206</v>
      </c>
    </row>
    <row r="455" spans="1:93">
      <c r="A455" s="1425">
        <v>44571</v>
      </c>
      <c r="B455" s="20">
        <f t="shared" si="72"/>
        <v>16.3278</v>
      </c>
      <c r="C455" s="20">
        <f t="shared" si="74"/>
        <v>12.2935</v>
      </c>
      <c r="D455" s="20">
        <f t="shared" si="75"/>
        <v>19.4208</v>
      </c>
      <c r="E455" s="20">
        <f t="shared" si="76"/>
        <v>7.5974000000000004</v>
      </c>
      <c r="F455" s="20">
        <f t="shared" si="77"/>
        <v>26.280799999999999</v>
      </c>
      <c r="G455" s="20">
        <f t="shared" si="78"/>
        <v>18.996600000000001</v>
      </c>
      <c r="H455" s="1239">
        <f t="shared" si="79"/>
        <v>18.996600000000001</v>
      </c>
      <c r="I455" s="1243">
        <f t="shared" si="73"/>
        <v>-0.14048829790594108</v>
      </c>
      <c r="J455" s="1243">
        <f t="shared" si="80"/>
        <v>0.12093838824177333</v>
      </c>
      <c r="K455" s="1243">
        <f t="shared" ref="K455:K518" si="81">K454</f>
        <v>0.1</v>
      </c>
      <c r="L455" s="203"/>
      <c r="N455" s="1425">
        <v>44571</v>
      </c>
      <c r="O455" s="1502">
        <v>16.3278</v>
      </c>
      <c r="P455" s="1502">
        <v>6.0517000000000003</v>
      </c>
      <c r="Q455" s="1502">
        <v>15.011100000000001</v>
      </c>
      <c r="R455" s="1233">
        <f>'B. PE'!$U$23</f>
        <v>15.978235616082999</v>
      </c>
      <c r="S455" s="1233"/>
      <c r="T455" s="1233"/>
      <c r="V455" s="1425">
        <v>44571</v>
      </c>
      <c r="W455" s="1">
        <v>12.2935</v>
      </c>
      <c r="X455" s="1">
        <v>1.8351</v>
      </c>
      <c r="Y455" s="1">
        <v>9.5878999999999994</v>
      </c>
      <c r="Z455" s="1">
        <v>1.4651400000000001</v>
      </c>
      <c r="AB455" s="1425">
        <v>44552</v>
      </c>
      <c r="AC455" s="1">
        <v>9.1231000000000009</v>
      </c>
      <c r="AD455" s="1502">
        <v>1.6025</v>
      </c>
      <c r="AE455" s="1">
        <v>4.8056999999999999</v>
      </c>
      <c r="AF455" s="1">
        <v>4.1360000000000001E-2</v>
      </c>
      <c r="AH455" s="1425">
        <v>44552</v>
      </c>
      <c r="AI455" s="1">
        <v>20.246400000000001</v>
      </c>
      <c r="AJ455" s="1">
        <v>3.4988999999999999</v>
      </c>
      <c r="AK455" s="1">
        <v>9.6951999999999998</v>
      </c>
      <c r="AL455" s="1">
        <v>5.0180000000000002E-2</v>
      </c>
      <c r="AN455" s="1425">
        <v>44557</v>
      </c>
      <c r="AO455" s="1">
        <v>9.3284000000000002</v>
      </c>
      <c r="AP455" s="1">
        <v>1.2349000000000001</v>
      </c>
      <c r="AQ455" s="1">
        <v>5.2839999999999998</v>
      </c>
      <c r="AR455" s="1">
        <v>0.29276000000000002</v>
      </c>
      <c r="AT455" s="1425">
        <v>44557</v>
      </c>
      <c r="AU455" s="1">
        <v>8.4636999999999993</v>
      </c>
      <c r="AV455" s="1">
        <v>0.55179999999999996</v>
      </c>
      <c r="AW455" s="1">
        <v>5.5328999999999997</v>
      </c>
      <c r="AX455" s="1">
        <v>0.14280999999999999</v>
      </c>
      <c r="BA455" s="1425">
        <v>44552</v>
      </c>
      <c r="BB455" s="1">
        <v>21.270499999999998</v>
      </c>
      <c r="BC455" s="1">
        <v>5.3178000000000001</v>
      </c>
      <c r="BD455" s="1">
        <v>19.7028</v>
      </c>
      <c r="BE455" s="1">
        <v>1.32362</v>
      </c>
      <c r="BG455" s="1425">
        <v>44552</v>
      </c>
      <c r="BH455" s="1">
        <v>27.948399999999999</v>
      </c>
      <c r="BI455" s="1">
        <v>8.0953999999999997</v>
      </c>
      <c r="BJ455" s="1">
        <v>36.883899999999997</v>
      </c>
      <c r="BT455" s="1425">
        <v>44571</v>
      </c>
      <c r="BU455" s="1">
        <v>18.649899999999999</v>
      </c>
      <c r="BV455" s="1">
        <v>4.6566000000000001</v>
      </c>
      <c r="BW455" s="1">
        <v>11.4673</v>
      </c>
      <c r="BX455" s="1">
        <v>3.0217999999999998</v>
      </c>
      <c r="BZ455" s="1425">
        <v>44571</v>
      </c>
      <c r="CA455" s="1">
        <v>15.2704</v>
      </c>
      <c r="CB455" s="1">
        <v>4.0769000000000002</v>
      </c>
      <c r="CC455" s="1">
        <v>17.5061</v>
      </c>
      <c r="CD455" s="1">
        <v>2.2295600000000002</v>
      </c>
      <c r="CF455" s="1425">
        <v>44568</v>
      </c>
      <c r="CG455" s="1">
        <v>7.2908999999999997</v>
      </c>
      <c r="CH455" s="1">
        <v>2.3824999999999998</v>
      </c>
      <c r="CI455" s="1">
        <v>4.6154000000000002</v>
      </c>
      <c r="CL455" s="1425">
        <v>44581</v>
      </c>
      <c r="CM455" s="1">
        <v>21.933900000000001</v>
      </c>
      <c r="CN455" s="1">
        <v>2.7202999999999999</v>
      </c>
      <c r="CO455" s="1">
        <v>11.730399999999999</v>
      </c>
    </row>
    <row r="456" spans="1:93">
      <c r="A456" s="1425">
        <v>44568</v>
      </c>
      <c r="B456" s="20">
        <f t="shared" si="72"/>
        <v>16.756799999999998</v>
      </c>
      <c r="C456" s="20">
        <f t="shared" si="74"/>
        <v>13.1219</v>
      </c>
      <c r="D456" s="20">
        <f t="shared" si="75"/>
        <v>18.5764</v>
      </c>
      <c r="E456" s="20">
        <f t="shared" si="76"/>
        <v>7.7272999999999996</v>
      </c>
      <c r="F456" s="20">
        <f t="shared" si="77"/>
        <v>26.280799999999999</v>
      </c>
      <c r="G456" s="20">
        <f t="shared" si="78"/>
        <v>19.7743</v>
      </c>
      <c r="H456" s="1239">
        <f t="shared" si="79"/>
        <v>18.5764</v>
      </c>
      <c r="I456" s="1243">
        <f t="shared" si="73"/>
        <v>-9.7952240477164665E-2</v>
      </c>
      <c r="J456" s="1243">
        <f t="shared" si="80"/>
        <v>0.12093838824177333</v>
      </c>
      <c r="K456" s="1243">
        <f t="shared" si="81"/>
        <v>0.1</v>
      </c>
      <c r="L456" s="203"/>
      <c r="N456" s="1425">
        <v>44568</v>
      </c>
      <c r="O456" s="1502">
        <v>16.756799999999998</v>
      </c>
      <c r="P456" s="1502">
        <v>6.2107000000000001</v>
      </c>
      <c r="Q456" s="1502">
        <v>15.4198</v>
      </c>
      <c r="R456" s="1233">
        <f>'B. PE'!$U$23</f>
        <v>15.978235616082999</v>
      </c>
      <c r="S456" s="1233"/>
      <c r="T456" s="1233"/>
      <c r="V456" s="1425">
        <v>44568</v>
      </c>
      <c r="W456" s="1">
        <v>13.1219</v>
      </c>
      <c r="X456" s="1">
        <v>1.9588000000000001</v>
      </c>
      <c r="Y456" s="1">
        <v>10.1426</v>
      </c>
      <c r="Z456" s="1">
        <v>1.3706100000000001</v>
      </c>
      <c r="AB456" s="1425">
        <v>44551</v>
      </c>
      <c r="AC456" s="1">
        <v>9.2776999999999994</v>
      </c>
      <c r="AD456" s="1502">
        <v>1.6296999999999999</v>
      </c>
      <c r="AE456" s="1">
        <v>4.8738999999999999</v>
      </c>
      <c r="AF456" s="1">
        <v>4.07E-2</v>
      </c>
      <c r="AH456" s="1425">
        <v>44551</v>
      </c>
      <c r="AI456" s="1">
        <v>19.972799999999999</v>
      </c>
      <c r="AJ456" s="1">
        <v>3.4516</v>
      </c>
      <c r="AK456" s="1">
        <v>9.5533999999999999</v>
      </c>
      <c r="AL456" s="1">
        <v>5.1200000000000002E-2</v>
      </c>
      <c r="AN456" s="1425">
        <v>44554</v>
      </c>
      <c r="AO456" s="1">
        <v>9.2537000000000003</v>
      </c>
      <c r="AP456" s="1">
        <v>1.2250000000000001</v>
      </c>
      <c r="AQ456" s="1">
        <v>5.2259000000000002</v>
      </c>
      <c r="AR456" s="1">
        <v>0.29205999999999999</v>
      </c>
      <c r="AT456" s="1425">
        <v>44554</v>
      </c>
      <c r="AU456" s="1">
        <v>8.5349000000000004</v>
      </c>
      <c r="AV456" s="1">
        <v>0.55649999999999999</v>
      </c>
      <c r="AW456" s="1">
        <v>5.5723000000000003</v>
      </c>
      <c r="BA456" s="1425">
        <v>44551</v>
      </c>
      <c r="BB456" s="1">
        <v>20.927499999999998</v>
      </c>
      <c r="BC456" s="1">
        <v>5.2320000000000002</v>
      </c>
      <c r="BD456" s="1">
        <v>19.431000000000001</v>
      </c>
      <c r="BE456" s="1">
        <v>1.3654599999999999</v>
      </c>
      <c r="BG456" s="1425">
        <v>44551</v>
      </c>
      <c r="BH456" s="1">
        <v>27.340900000000001</v>
      </c>
      <c r="BI456" s="1">
        <v>7.9194000000000004</v>
      </c>
      <c r="BJ456" s="1">
        <v>36.131100000000004</v>
      </c>
      <c r="BT456" s="1425">
        <v>44568</v>
      </c>
      <c r="BU456" s="1">
        <v>19.000499999999999</v>
      </c>
      <c r="BV456" s="1">
        <v>4.7441000000000004</v>
      </c>
      <c r="BW456" s="1">
        <v>11.669499999999999</v>
      </c>
      <c r="BX456" s="1">
        <v>3.0127000000000002</v>
      </c>
      <c r="BZ456" s="1425">
        <v>44568</v>
      </c>
      <c r="CA456" s="1">
        <v>15.804399999999999</v>
      </c>
      <c r="CB456" s="1">
        <v>4.2194000000000003</v>
      </c>
      <c r="CC456" s="1">
        <v>17.924399999999999</v>
      </c>
      <c r="CD456" s="1">
        <v>2.39486</v>
      </c>
      <c r="CF456" s="1425">
        <v>44567</v>
      </c>
      <c r="CG456" s="1">
        <v>7.1214000000000004</v>
      </c>
      <c r="CH456" s="1">
        <v>2.3271000000000002</v>
      </c>
      <c r="CI456" s="1">
        <v>4.4794999999999998</v>
      </c>
      <c r="CL456" s="1425">
        <v>44580</v>
      </c>
      <c r="CM456" s="1">
        <v>22.267299999999999</v>
      </c>
      <c r="CN456" s="1">
        <v>2.7616999999999998</v>
      </c>
      <c r="CO456" s="1">
        <v>11.909000000000001</v>
      </c>
    </row>
    <row r="457" spans="1:93">
      <c r="A457" s="1425">
        <v>44567</v>
      </c>
      <c r="B457" s="20">
        <f t="shared" si="72"/>
        <v>16.515499999999999</v>
      </c>
      <c r="C457" s="20">
        <f t="shared" si="74"/>
        <v>13.1219</v>
      </c>
      <c r="D457" s="20">
        <f t="shared" si="75"/>
        <v>18.4558</v>
      </c>
      <c r="E457" s="20">
        <f t="shared" si="76"/>
        <v>7.7922000000000002</v>
      </c>
      <c r="F457" s="20">
        <f t="shared" si="77"/>
        <v>26.688199999999998</v>
      </c>
      <c r="G457" s="20">
        <f t="shared" si="78"/>
        <v>19.440999999999999</v>
      </c>
      <c r="H457" s="1239">
        <f t="shared" si="79"/>
        <v>18.4558</v>
      </c>
      <c r="I457" s="1243">
        <f t="shared" si="73"/>
        <v>-0.10513226194475456</v>
      </c>
      <c r="J457" s="1243">
        <f t="shared" si="80"/>
        <v>0.12093838824177333</v>
      </c>
      <c r="K457" s="1243">
        <f t="shared" si="81"/>
        <v>0.1</v>
      </c>
      <c r="L457" s="203"/>
      <c r="N457" s="1425">
        <v>44567</v>
      </c>
      <c r="O457" s="1502">
        <v>16.515499999999999</v>
      </c>
      <c r="P457" s="1502">
        <v>6.1212999999999997</v>
      </c>
      <c r="Q457" s="1502">
        <v>15.1899</v>
      </c>
      <c r="R457" s="1233">
        <f>'B. PE'!$U$23</f>
        <v>15.978235616082999</v>
      </c>
      <c r="S457" s="1233"/>
      <c r="T457" s="1233"/>
      <c r="V457" s="1425">
        <v>44567</v>
      </c>
      <c r="W457" s="1">
        <v>13.1219</v>
      </c>
      <c r="X457" s="1">
        <v>1.9588000000000001</v>
      </c>
      <c r="Y457" s="1">
        <v>10.1426</v>
      </c>
      <c r="Z457" s="1">
        <v>1.3422799999999999</v>
      </c>
      <c r="AB457" s="1425">
        <v>44550</v>
      </c>
      <c r="AC457" s="1">
        <v>9.2004000000000001</v>
      </c>
      <c r="AD457" s="1502">
        <v>1.6161000000000001</v>
      </c>
      <c r="AE457" s="1">
        <v>4.8398000000000003</v>
      </c>
      <c r="AF457" s="1">
        <v>4.1459999999999997E-2</v>
      </c>
      <c r="AH457" s="1425">
        <v>44550</v>
      </c>
      <c r="AI457" s="1">
        <v>19.753900000000002</v>
      </c>
      <c r="AJ457" s="1">
        <v>3.4138000000000002</v>
      </c>
      <c r="AK457" s="1">
        <v>9.44</v>
      </c>
      <c r="AL457" s="1">
        <v>5.2260000000000001E-2</v>
      </c>
      <c r="AN457" s="1425">
        <v>44553</v>
      </c>
      <c r="AO457" s="1">
        <v>9.1791</v>
      </c>
      <c r="AP457" s="1">
        <v>1.2151000000000001</v>
      </c>
      <c r="AQ457" s="1">
        <v>5.1679000000000004</v>
      </c>
      <c r="AR457" s="1">
        <v>0.28778999999999999</v>
      </c>
      <c r="AT457" s="1425">
        <v>44553</v>
      </c>
      <c r="AU457" s="1">
        <v>8.5349000000000004</v>
      </c>
      <c r="AV457" s="1">
        <v>0.55649999999999999</v>
      </c>
      <c r="AW457" s="1">
        <v>5.5723000000000003</v>
      </c>
      <c r="AX457" s="1">
        <v>0.14033000000000001</v>
      </c>
      <c r="BA457" s="1425">
        <v>44550</v>
      </c>
      <c r="BB457" s="1">
        <v>20.355699999999999</v>
      </c>
      <c r="BC457" s="1">
        <v>5.0890000000000004</v>
      </c>
      <c r="BD457" s="1">
        <v>18.978000000000002</v>
      </c>
      <c r="BE457" s="1">
        <v>1.3842300000000001</v>
      </c>
      <c r="BG457" s="1425">
        <v>44550</v>
      </c>
      <c r="BH457" s="1">
        <v>25.923200000000001</v>
      </c>
      <c r="BI457" s="1">
        <v>7.5087999999999999</v>
      </c>
      <c r="BJ457" s="1">
        <v>34.374400000000001</v>
      </c>
      <c r="BT457" s="1425">
        <v>44567</v>
      </c>
      <c r="BU457" s="1">
        <v>19.280899999999999</v>
      </c>
      <c r="BV457" s="1">
        <v>4.8140999999999998</v>
      </c>
      <c r="BW457" s="1">
        <v>11.831200000000001</v>
      </c>
      <c r="BX457" s="1">
        <v>3.0266999999999999</v>
      </c>
      <c r="BZ457" s="1425">
        <v>44567</v>
      </c>
      <c r="CA457" s="1">
        <v>15.573</v>
      </c>
      <c r="CB457" s="1">
        <v>4.1577000000000002</v>
      </c>
      <c r="CC457" s="1">
        <v>17.743099999999998</v>
      </c>
      <c r="CD457" s="1">
        <v>2.4192800000000001</v>
      </c>
      <c r="CF457" s="1425">
        <v>44566</v>
      </c>
      <c r="CG457" s="1">
        <v>6.9942000000000002</v>
      </c>
      <c r="CH457" s="1">
        <v>2.2856000000000001</v>
      </c>
      <c r="CI457" s="1">
        <v>4.3775000000000004</v>
      </c>
      <c r="CL457" s="1425">
        <v>44579</v>
      </c>
      <c r="CM457" s="1">
        <v>21.397500000000001</v>
      </c>
      <c r="CN457" s="1">
        <v>2.6537999999999999</v>
      </c>
      <c r="CO457" s="1">
        <v>11.443</v>
      </c>
    </row>
    <row r="458" spans="1:93">
      <c r="A458" s="1425">
        <v>44566</v>
      </c>
      <c r="B458" s="20">
        <f t="shared" si="72"/>
        <v>16.756799999999998</v>
      </c>
      <c r="C458" s="20">
        <f t="shared" si="74"/>
        <v>12.276899999999999</v>
      </c>
      <c r="D458" s="20">
        <f t="shared" si="75"/>
        <v>18.817699999999999</v>
      </c>
      <c r="E458" s="20">
        <f t="shared" si="76"/>
        <v>7.7922000000000002</v>
      </c>
      <c r="F458" s="20">
        <f t="shared" si="77"/>
        <v>27.706900000000001</v>
      </c>
      <c r="G458" s="20">
        <f t="shared" si="78"/>
        <v>20.218599999999999</v>
      </c>
      <c r="H458" s="1239">
        <f t="shared" si="79"/>
        <v>18.817699999999999</v>
      </c>
      <c r="I458" s="1243">
        <f t="shared" si="73"/>
        <v>-0.10951922923630408</v>
      </c>
      <c r="J458" s="1243">
        <f t="shared" si="80"/>
        <v>0.12093838824177333</v>
      </c>
      <c r="K458" s="1243">
        <f t="shared" si="81"/>
        <v>0.1</v>
      </c>
      <c r="L458" s="203"/>
      <c r="N458" s="1425">
        <v>44566</v>
      </c>
      <c r="O458" s="1502">
        <v>16.756799999999998</v>
      </c>
      <c r="P458" s="1502">
        <v>6.2107000000000001</v>
      </c>
      <c r="Q458" s="1502">
        <v>15.4198</v>
      </c>
      <c r="R458" s="1233">
        <f>'B. PE'!$U$23</f>
        <v>15.978235616082999</v>
      </c>
      <c r="S458" s="1233"/>
      <c r="T458" s="1233"/>
      <c r="V458" s="1425">
        <v>44566</v>
      </c>
      <c r="W458" s="1">
        <v>12.276899999999999</v>
      </c>
      <c r="X458" s="1">
        <v>1.8326</v>
      </c>
      <c r="Y458" s="1">
        <v>9.5769000000000002</v>
      </c>
      <c r="Z458" s="1">
        <v>1.34785</v>
      </c>
      <c r="AB458" s="1425">
        <v>44547</v>
      </c>
      <c r="AC458" s="1">
        <v>9.0457999999999998</v>
      </c>
      <c r="AD458" s="1502">
        <v>1.589</v>
      </c>
      <c r="AE458" s="1">
        <v>4.7716000000000003</v>
      </c>
      <c r="AF458" s="1">
        <v>4.2139999999999997E-2</v>
      </c>
      <c r="AH458" s="1425">
        <v>44547</v>
      </c>
      <c r="AI458" s="1">
        <v>20.137</v>
      </c>
      <c r="AJ458" s="1">
        <v>3.48</v>
      </c>
      <c r="AK458" s="1">
        <v>9.6385000000000005</v>
      </c>
      <c r="AL458" s="1">
        <v>5.2929999999999998E-2</v>
      </c>
      <c r="AN458" s="1425">
        <v>44552</v>
      </c>
      <c r="AO458" s="1">
        <v>9.1791</v>
      </c>
      <c r="AP458" s="1">
        <v>1.2151000000000001</v>
      </c>
      <c r="AQ458" s="1">
        <v>5.1679000000000004</v>
      </c>
      <c r="AR458" s="1">
        <v>0.29343999999999998</v>
      </c>
      <c r="AT458" s="1425">
        <v>44552</v>
      </c>
      <c r="AW458" s="1">
        <v>5.4935</v>
      </c>
      <c r="AX458" s="1">
        <v>0.14435000000000001</v>
      </c>
      <c r="BA458" s="1425">
        <v>44547</v>
      </c>
      <c r="BB458" s="1">
        <v>20.813099999999999</v>
      </c>
      <c r="BC458" s="1">
        <v>5.2034000000000002</v>
      </c>
      <c r="BD458" s="1">
        <v>19.340399999999999</v>
      </c>
      <c r="BE458" s="1">
        <v>1.36008</v>
      </c>
      <c r="BG458" s="1425">
        <v>44547</v>
      </c>
      <c r="BH458" s="1">
        <v>25.720700000000001</v>
      </c>
      <c r="BI458" s="1">
        <v>7.4500999999999999</v>
      </c>
      <c r="BJ458" s="1">
        <v>34.1235</v>
      </c>
      <c r="BT458" s="1425">
        <v>44566</v>
      </c>
      <c r="BU458" s="1">
        <v>19.224799999999998</v>
      </c>
      <c r="BV458" s="1">
        <v>4.8000999999999996</v>
      </c>
      <c r="BW458" s="1">
        <v>11.7988</v>
      </c>
      <c r="BX458" s="1">
        <v>2.9769000000000001</v>
      </c>
      <c r="BZ458" s="1425">
        <v>44566</v>
      </c>
      <c r="CA458" s="1">
        <v>16.729900000000001</v>
      </c>
      <c r="CB458" s="1">
        <v>4.4664999999999999</v>
      </c>
      <c r="CC458" s="1">
        <v>18.6495</v>
      </c>
      <c r="CD458" s="1">
        <v>2.5447700000000002</v>
      </c>
      <c r="CF458" s="1425">
        <v>44565</v>
      </c>
      <c r="CG458" s="1">
        <v>6.9518000000000004</v>
      </c>
      <c r="CH458" s="1">
        <v>2.2717000000000001</v>
      </c>
      <c r="CI458" s="1">
        <v>4.3434999999999997</v>
      </c>
      <c r="CL458" s="1425">
        <v>44578</v>
      </c>
      <c r="CM458" s="1">
        <v>21.47</v>
      </c>
      <c r="CN458" s="1">
        <v>2.6627999999999998</v>
      </c>
      <c r="CO458" s="1">
        <v>11.4818</v>
      </c>
    </row>
    <row r="459" spans="1:93">
      <c r="A459" s="1425">
        <v>44565</v>
      </c>
      <c r="B459" s="20">
        <f t="shared" si="72"/>
        <v>16.957799999999999</v>
      </c>
      <c r="C459" s="20">
        <f t="shared" si="74"/>
        <v>12.0284</v>
      </c>
      <c r="D459" s="20">
        <f t="shared" si="75"/>
        <v>19.3002</v>
      </c>
      <c r="E459" s="20">
        <f t="shared" si="76"/>
        <v>7.7922000000000002</v>
      </c>
      <c r="F459" s="20">
        <f t="shared" si="77"/>
        <v>28.1143</v>
      </c>
      <c r="G459" s="20">
        <f t="shared" si="78"/>
        <v>21.218399999999999</v>
      </c>
      <c r="H459" s="1239">
        <f t="shared" si="79"/>
        <v>19.3002</v>
      </c>
      <c r="I459" s="1243">
        <f t="shared" si="73"/>
        <v>-0.12136661796250825</v>
      </c>
      <c r="J459" s="1243">
        <f t="shared" si="80"/>
        <v>0.12093838824177333</v>
      </c>
      <c r="K459" s="1243">
        <f t="shared" si="81"/>
        <v>0.1</v>
      </c>
      <c r="L459" s="203"/>
      <c r="N459" s="1425">
        <v>44565</v>
      </c>
      <c r="O459" s="1502">
        <v>16.957799999999999</v>
      </c>
      <c r="P459" s="1502">
        <v>6.2851999999999997</v>
      </c>
      <c r="Q459" s="1502">
        <v>15.6113</v>
      </c>
      <c r="R459" s="1233">
        <f>'B. PE'!$U$23</f>
        <v>15.978235616082999</v>
      </c>
      <c r="S459" s="1233"/>
      <c r="T459" s="1233"/>
      <c r="V459" s="1425">
        <v>44565</v>
      </c>
      <c r="W459" s="1">
        <v>12.0284</v>
      </c>
      <c r="X459" s="1">
        <v>1.7955000000000001</v>
      </c>
      <c r="Y459" s="1">
        <v>9.4105000000000008</v>
      </c>
      <c r="Z459" s="1">
        <v>1.3774999999999999</v>
      </c>
      <c r="AB459" s="1425">
        <v>44546</v>
      </c>
      <c r="AC459" s="1">
        <v>9.2004000000000001</v>
      </c>
      <c r="AD459" s="1502">
        <v>1.6161000000000001</v>
      </c>
      <c r="AE459" s="1">
        <v>4.8398000000000003</v>
      </c>
      <c r="AF459" s="1">
        <v>4.258E-2</v>
      </c>
      <c r="AH459" s="1425">
        <v>44546</v>
      </c>
      <c r="AI459" s="1">
        <v>20.52</v>
      </c>
      <c r="AJ459" s="1">
        <v>3.5461999999999998</v>
      </c>
      <c r="AK459" s="1">
        <v>9.8369</v>
      </c>
      <c r="AL459" s="1">
        <v>5.4170000000000003E-2</v>
      </c>
      <c r="AN459" s="1425">
        <v>44551</v>
      </c>
      <c r="AO459" s="1">
        <v>9.0298999999999996</v>
      </c>
      <c r="AP459" s="1">
        <v>1.1954</v>
      </c>
      <c r="AQ459" s="1">
        <v>5.0517000000000003</v>
      </c>
      <c r="AR459" s="1">
        <v>0.29636000000000001</v>
      </c>
      <c r="AT459" s="1425">
        <v>44551</v>
      </c>
      <c r="AU459" s="1">
        <v>8.3925999999999998</v>
      </c>
      <c r="AV459" s="1">
        <v>0.54720000000000002</v>
      </c>
      <c r="AW459" s="1">
        <v>5.4935</v>
      </c>
      <c r="AX459" s="1">
        <v>0.14581</v>
      </c>
      <c r="BA459" s="1425">
        <v>44546</v>
      </c>
      <c r="BB459" s="1">
        <v>21.156199999999998</v>
      </c>
      <c r="BC459" s="1">
        <v>5.2892000000000001</v>
      </c>
      <c r="BD459" s="1">
        <v>19.612200000000001</v>
      </c>
      <c r="BE459" s="1">
        <v>1.34646</v>
      </c>
      <c r="BG459" s="1425">
        <v>44546</v>
      </c>
      <c r="BH459" s="1">
        <v>26.530799999999999</v>
      </c>
      <c r="BI459" s="1">
        <v>7.6848000000000001</v>
      </c>
      <c r="BJ459" s="1">
        <v>35.127299999999998</v>
      </c>
      <c r="BT459" s="1425">
        <v>44565</v>
      </c>
      <c r="BU459" s="1">
        <v>19.323</v>
      </c>
      <c r="BV459" s="1">
        <v>4.8246000000000002</v>
      </c>
      <c r="BW459" s="1">
        <v>11.855399999999999</v>
      </c>
      <c r="BX459" s="1">
        <v>2.9460999999999999</v>
      </c>
      <c r="BZ459" s="1425">
        <v>44565</v>
      </c>
      <c r="CA459" s="1">
        <v>16.907800000000002</v>
      </c>
      <c r="CB459" s="1">
        <v>4.5140000000000002</v>
      </c>
      <c r="CC459" s="1">
        <v>18.789000000000001</v>
      </c>
      <c r="CD459" s="1">
        <v>2.6578200000000001</v>
      </c>
      <c r="CF459" s="1425">
        <v>44561</v>
      </c>
      <c r="CG459" s="1">
        <v>6.9729999999999999</v>
      </c>
      <c r="CH459" s="1">
        <v>2.2786</v>
      </c>
      <c r="CI459" s="1">
        <v>4.3605</v>
      </c>
      <c r="CL459" s="1425">
        <v>44575</v>
      </c>
      <c r="CM459" s="1">
        <v>21.1511</v>
      </c>
      <c r="CN459" s="1">
        <v>2.6232000000000002</v>
      </c>
      <c r="CO459" s="1">
        <v>11.3109</v>
      </c>
    </row>
    <row r="460" spans="1:93">
      <c r="A460" s="1425">
        <v>44561</v>
      </c>
      <c r="B460" s="20">
        <f t="shared" si="72"/>
        <v>16.609300000000001</v>
      </c>
      <c r="C460" s="20">
        <f t="shared" si="74"/>
        <v>12.1112</v>
      </c>
      <c r="D460" s="20">
        <f t="shared" si="75"/>
        <v>19.3002</v>
      </c>
      <c r="E460" s="20">
        <f t="shared" si="76"/>
        <v>8.0518999999999998</v>
      </c>
      <c r="F460" s="20">
        <f t="shared" si="77"/>
        <v>28.1143</v>
      </c>
      <c r="G460" s="20">
        <f t="shared" si="78"/>
        <v>21.218399999999999</v>
      </c>
      <c r="H460" s="1239">
        <f t="shared" si="79"/>
        <v>19.3002</v>
      </c>
      <c r="I460" s="1243">
        <f t="shared" si="73"/>
        <v>-0.13942342566398269</v>
      </c>
      <c r="J460" s="1243">
        <f t="shared" si="80"/>
        <v>0.12093838824177333</v>
      </c>
      <c r="K460" s="1243">
        <f t="shared" si="81"/>
        <v>0.1</v>
      </c>
      <c r="L460" s="203"/>
      <c r="N460" s="1425">
        <v>44561</v>
      </c>
      <c r="O460" s="1502">
        <v>16.609300000000001</v>
      </c>
      <c r="P460" s="1502">
        <v>6.1559999999999997</v>
      </c>
      <c r="Q460" s="1502">
        <v>15.279299999999999</v>
      </c>
      <c r="R460" s="1233">
        <f>'B. PE'!$U$23</f>
        <v>15.978235616082999</v>
      </c>
      <c r="S460" s="1233"/>
      <c r="T460" s="1233"/>
      <c r="V460" s="1425">
        <v>44561</v>
      </c>
      <c r="W460" s="1">
        <v>12.1112</v>
      </c>
      <c r="X460" s="1">
        <v>1.8079000000000001</v>
      </c>
      <c r="Y460" s="1">
        <v>9.4658999999999995</v>
      </c>
      <c r="Z460" s="1">
        <v>1.34857</v>
      </c>
      <c r="AB460" s="1425">
        <v>44545</v>
      </c>
      <c r="AC460" s="1">
        <v>9.3550000000000004</v>
      </c>
      <c r="AD460" s="1502">
        <v>1.6433</v>
      </c>
      <c r="AE460" s="1">
        <v>4.9080000000000004</v>
      </c>
      <c r="AF460" s="1">
        <v>4.2590000000000003E-2</v>
      </c>
      <c r="AH460" s="1425">
        <v>44545</v>
      </c>
      <c r="AI460" s="1">
        <v>20.793600000000001</v>
      </c>
      <c r="AJ460" s="1">
        <v>3.5935000000000001</v>
      </c>
      <c r="AK460" s="1">
        <v>9.9786000000000001</v>
      </c>
      <c r="AL460" s="1">
        <v>5.5579999999999997E-2</v>
      </c>
      <c r="AN460" s="1425">
        <v>44550</v>
      </c>
      <c r="AO460" s="1">
        <v>9.2537000000000003</v>
      </c>
      <c r="AP460" s="1">
        <v>1.2250000000000001</v>
      </c>
      <c r="AQ460" s="1">
        <v>5.2259000000000002</v>
      </c>
      <c r="AR460" s="1">
        <v>0.29713000000000001</v>
      </c>
      <c r="AT460" s="1425">
        <v>44550</v>
      </c>
      <c r="AU460" s="1">
        <v>8.6770999999999994</v>
      </c>
      <c r="AV460" s="1">
        <v>0.56579999999999997</v>
      </c>
      <c r="AW460" s="1">
        <v>5.6509999999999998</v>
      </c>
      <c r="AX460" s="1">
        <v>0.14025000000000001</v>
      </c>
      <c r="BA460" s="1425">
        <v>44545</v>
      </c>
      <c r="BB460" s="1">
        <v>20.813099999999999</v>
      </c>
      <c r="BC460" s="1">
        <v>5.2034000000000002</v>
      </c>
      <c r="BD460" s="1">
        <v>19.340399999999999</v>
      </c>
      <c r="BE460" s="1">
        <v>1.3455299999999999</v>
      </c>
      <c r="BG460" s="1425">
        <v>44545</v>
      </c>
      <c r="BH460" s="1">
        <v>25.720700000000001</v>
      </c>
      <c r="BI460" s="1">
        <v>7.4500999999999999</v>
      </c>
      <c r="BJ460" s="1">
        <v>34.1235</v>
      </c>
      <c r="BT460" s="1425">
        <v>44561</v>
      </c>
      <c r="BU460" s="1">
        <v>19.0565</v>
      </c>
      <c r="BV460" s="1">
        <v>4.7580999999999998</v>
      </c>
      <c r="BW460" s="1">
        <v>11.7018</v>
      </c>
      <c r="BX460" s="1">
        <v>2.9416000000000002</v>
      </c>
      <c r="BZ460" s="1425">
        <v>44561</v>
      </c>
      <c r="CA460" s="1">
        <v>17.833300000000001</v>
      </c>
      <c r="CB460" s="1">
        <v>4.7610999999999999</v>
      </c>
      <c r="CC460" s="1">
        <v>19.514099999999999</v>
      </c>
      <c r="CD460" s="1">
        <v>2.6390799999999999</v>
      </c>
      <c r="CF460" s="1425">
        <v>44560</v>
      </c>
      <c r="CG460" s="1">
        <v>11.0784</v>
      </c>
      <c r="CH460" s="1">
        <v>2.3443999999999998</v>
      </c>
      <c r="CI460" s="1">
        <v>8.7338000000000005</v>
      </c>
      <c r="CL460" s="1425">
        <v>44574</v>
      </c>
      <c r="CM460" s="1">
        <v>21.368500000000001</v>
      </c>
      <c r="CN460" s="1">
        <v>2.6501999999999999</v>
      </c>
      <c r="CO460" s="1">
        <v>11.4274</v>
      </c>
    </row>
    <row r="461" spans="1:93">
      <c r="A461" s="1425">
        <v>44560</v>
      </c>
      <c r="B461" s="20">
        <f t="shared" si="72"/>
        <v>25.130600000000001</v>
      </c>
      <c r="C461" s="20">
        <f t="shared" si="74"/>
        <v>17.440799999999999</v>
      </c>
      <c r="D461" s="20">
        <f t="shared" si="75"/>
        <v>18.431699999999999</v>
      </c>
      <c r="E461" s="20">
        <f t="shared" si="76"/>
        <v>9.2537000000000003</v>
      </c>
      <c r="F461" s="20">
        <f t="shared" si="77"/>
        <v>29.7441</v>
      </c>
      <c r="G461" s="20">
        <f t="shared" si="78"/>
        <v>19.552099999999999</v>
      </c>
      <c r="H461" s="1239">
        <f t="shared" si="79"/>
        <v>18.431699999999999</v>
      </c>
      <c r="I461" s="1243">
        <f t="shared" si="73"/>
        <v>0.36344450050727839</v>
      </c>
      <c r="J461" s="1243">
        <f t="shared" si="80"/>
        <v>0.12093838824177333</v>
      </c>
      <c r="K461" s="1243">
        <f t="shared" si="81"/>
        <v>0.1</v>
      </c>
      <c r="L461" s="203"/>
      <c r="N461" s="1425">
        <v>44560</v>
      </c>
      <c r="O461" s="1502">
        <v>25.130600000000001</v>
      </c>
      <c r="P461" s="1502">
        <v>7.5449000000000002</v>
      </c>
      <c r="Q461" s="1502">
        <v>26.7729</v>
      </c>
      <c r="R461" s="1233">
        <f>'B. PE'!$U$23</f>
        <v>15.978235616082999</v>
      </c>
      <c r="S461" s="1233"/>
      <c r="T461" s="1233"/>
      <c r="V461" s="1425">
        <v>44560</v>
      </c>
      <c r="W461" s="1">
        <v>17.440799999999999</v>
      </c>
      <c r="X461" s="1">
        <v>1.9276</v>
      </c>
      <c r="Y461" s="1">
        <v>13.1205</v>
      </c>
      <c r="Z461" s="1">
        <v>1.3452999999999999</v>
      </c>
      <c r="AB461" s="1425">
        <v>44544</v>
      </c>
      <c r="AC461" s="1">
        <v>9.4323999999999995</v>
      </c>
      <c r="AD461" s="1502">
        <v>1.6569</v>
      </c>
      <c r="AE461" s="1">
        <v>4.9420999999999999</v>
      </c>
      <c r="AF461" s="1">
        <v>4.2459999999999998E-2</v>
      </c>
      <c r="AH461" s="1425">
        <v>44544</v>
      </c>
      <c r="AI461" s="1">
        <v>21.231400000000001</v>
      </c>
      <c r="AJ461" s="1">
        <v>3.6690999999999998</v>
      </c>
      <c r="AK461" s="1">
        <v>10.205399999999999</v>
      </c>
      <c r="AL461" s="1">
        <v>5.3870000000000001E-2</v>
      </c>
      <c r="AN461" s="1425">
        <v>44547</v>
      </c>
      <c r="AO461" s="1">
        <v>9.3284000000000002</v>
      </c>
      <c r="AP461" s="1">
        <v>1.2349000000000001</v>
      </c>
      <c r="AQ461" s="1">
        <v>5.2839999999999998</v>
      </c>
      <c r="AR461" s="1">
        <v>0.29568</v>
      </c>
      <c r="AT461" s="1425">
        <v>44547</v>
      </c>
      <c r="AU461" s="1">
        <v>8.7482000000000006</v>
      </c>
      <c r="AV461" s="1">
        <v>0.57040000000000002</v>
      </c>
      <c r="AW461" s="1">
        <v>5.6904000000000003</v>
      </c>
      <c r="AX461" s="1">
        <v>0.13838</v>
      </c>
      <c r="BA461" s="1425">
        <v>44544</v>
      </c>
      <c r="BB461" s="1">
        <v>20.584399999999999</v>
      </c>
      <c r="BC461" s="1">
        <v>5.1462000000000003</v>
      </c>
      <c r="BD461" s="1">
        <v>19.159199999999998</v>
      </c>
      <c r="BE461" s="1">
        <v>1.3257099999999999</v>
      </c>
      <c r="BG461" s="1425">
        <v>44544</v>
      </c>
      <c r="BH461" s="1">
        <v>26.328199999999999</v>
      </c>
      <c r="BI461" s="1">
        <v>7.6261000000000001</v>
      </c>
      <c r="BJ461" s="1">
        <v>34.876300000000001</v>
      </c>
      <c r="BT461" s="1425">
        <v>44560</v>
      </c>
      <c r="BU461" s="1">
        <v>21.231300000000001</v>
      </c>
      <c r="BV461" s="1">
        <v>5.0941999999999998</v>
      </c>
      <c r="BW461" s="1">
        <v>12.9785</v>
      </c>
      <c r="BX461" s="1">
        <v>2.9731000000000001</v>
      </c>
      <c r="BZ461" s="1425">
        <v>44560</v>
      </c>
      <c r="CA461" s="1">
        <v>72.219899999999996</v>
      </c>
      <c r="CB461" s="1">
        <v>6.22</v>
      </c>
      <c r="CC461" s="1">
        <v>103.66540000000001</v>
      </c>
      <c r="CD461" s="1">
        <v>2.5637400000000001</v>
      </c>
      <c r="CF461" s="1425">
        <v>44559</v>
      </c>
      <c r="CG461" s="1">
        <v>11.1449</v>
      </c>
      <c r="CH461" s="1">
        <v>2.3584999999999998</v>
      </c>
      <c r="CI461" s="1">
        <v>8.7824000000000009</v>
      </c>
      <c r="CL461" s="1425">
        <v>44573</v>
      </c>
      <c r="CM461" s="1">
        <v>21.47</v>
      </c>
      <c r="CN461" s="1">
        <v>2.6627999999999998</v>
      </c>
      <c r="CO461" s="1">
        <v>11.4818</v>
      </c>
    </row>
    <row r="462" spans="1:93">
      <c r="A462" s="1425">
        <v>44559</v>
      </c>
      <c r="B462" s="20">
        <f t="shared" si="72"/>
        <v>25.6769</v>
      </c>
      <c r="C462" s="20">
        <f t="shared" si="74"/>
        <v>17.113499999999998</v>
      </c>
      <c r="D462" s="20">
        <f t="shared" si="75"/>
        <v>21.231400000000001</v>
      </c>
      <c r="E462" s="20">
        <f t="shared" si="76"/>
        <v>9.0298999999999996</v>
      </c>
      <c r="F462" s="20">
        <f t="shared" si="77"/>
        <v>28.556000000000001</v>
      </c>
      <c r="G462" s="20">
        <f t="shared" si="78"/>
        <v>20.126899999999999</v>
      </c>
      <c r="H462" s="1239">
        <f t="shared" si="79"/>
        <v>20.126899999999999</v>
      </c>
      <c r="I462" s="1243">
        <f t="shared" si="73"/>
        <v>0.27575036394079566</v>
      </c>
      <c r="J462" s="1243">
        <f t="shared" si="80"/>
        <v>0.12093838824177333</v>
      </c>
      <c r="K462" s="1243">
        <f t="shared" si="81"/>
        <v>0.1</v>
      </c>
      <c r="L462" s="203"/>
      <c r="N462" s="1425">
        <v>44559</v>
      </c>
      <c r="O462" s="1502">
        <v>25.6769</v>
      </c>
      <c r="P462" s="1502">
        <v>7.7088999999999999</v>
      </c>
      <c r="Q462" s="1502">
        <v>27.329599999999999</v>
      </c>
      <c r="R462" s="1233">
        <f>'B. PE'!$U$23</f>
        <v>15.978235616082999</v>
      </c>
      <c r="S462" s="1233"/>
      <c r="T462" s="1233"/>
      <c r="V462" s="1425">
        <v>44559</v>
      </c>
      <c r="W462" s="1">
        <v>17.113499999999998</v>
      </c>
      <c r="X462" s="1">
        <v>1.8914</v>
      </c>
      <c r="Y462" s="1">
        <v>12.9169</v>
      </c>
      <c r="Z462" s="1">
        <v>1.36504</v>
      </c>
      <c r="AB462" s="1425">
        <v>44543</v>
      </c>
      <c r="AC462" s="1">
        <v>9.4323999999999995</v>
      </c>
      <c r="AD462" s="1502">
        <v>1.6569</v>
      </c>
      <c r="AE462" s="1">
        <v>4.9420999999999999</v>
      </c>
      <c r="AF462" s="1">
        <v>4.2810000000000001E-2</v>
      </c>
      <c r="AH462" s="1425">
        <v>44543</v>
      </c>
      <c r="AI462" s="1">
        <v>21.778600000000001</v>
      </c>
      <c r="AJ462" s="1">
        <v>3.7637</v>
      </c>
      <c r="AK462" s="1">
        <v>10.488799999999999</v>
      </c>
      <c r="AL462" s="1">
        <v>5.4289999999999998E-2</v>
      </c>
      <c r="AN462" s="1425">
        <v>44546</v>
      </c>
      <c r="AO462" s="1">
        <v>9.3284000000000002</v>
      </c>
      <c r="AP462" s="1">
        <v>1.2349000000000001</v>
      </c>
      <c r="AQ462" s="1">
        <v>5.2839999999999998</v>
      </c>
      <c r="AR462" s="1">
        <v>0.2954</v>
      </c>
      <c r="AT462" s="1425">
        <v>44546</v>
      </c>
      <c r="AU462" s="1">
        <v>8.3925999999999998</v>
      </c>
      <c r="AV462" s="1">
        <v>0.54720000000000002</v>
      </c>
      <c r="AW462" s="1">
        <v>5.4935</v>
      </c>
      <c r="AX462" s="1">
        <v>0.13825000000000001</v>
      </c>
      <c r="BA462" s="1425">
        <v>44543</v>
      </c>
      <c r="BB462" s="1">
        <v>20.584399999999999</v>
      </c>
      <c r="BC462" s="1">
        <v>5.1462000000000003</v>
      </c>
      <c r="BD462" s="1">
        <v>19.159199999999998</v>
      </c>
      <c r="BE462" s="1">
        <v>1.32437</v>
      </c>
      <c r="BG462" s="1425">
        <v>44543</v>
      </c>
      <c r="BH462" s="1">
        <v>25.3156</v>
      </c>
      <c r="BI462" s="1">
        <v>7.3327999999999998</v>
      </c>
      <c r="BJ462" s="1">
        <v>33.621499999999997</v>
      </c>
      <c r="BT462" s="1425">
        <v>44559</v>
      </c>
      <c r="BU462" s="1">
        <v>21.2471</v>
      </c>
      <c r="BV462" s="1">
        <v>5.0979999999999999</v>
      </c>
      <c r="BW462" s="1">
        <v>12.987399999999999</v>
      </c>
      <c r="BX462" s="1">
        <v>2.9563000000000001</v>
      </c>
      <c r="BZ462" s="1425">
        <v>44559</v>
      </c>
      <c r="CA462" s="1">
        <v>71.874399999999994</v>
      </c>
      <c r="CB462" s="1">
        <v>6.1901999999999999</v>
      </c>
      <c r="CC462" s="1">
        <v>103.3043</v>
      </c>
      <c r="CD462" s="1">
        <v>2.4899900000000001</v>
      </c>
      <c r="CF462" s="1425">
        <v>44558</v>
      </c>
      <c r="CG462" s="1">
        <v>10.812200000000001</v>
      </c>
      <c r="CH462" s="1">
        <v>2.2881</v>
      </c>
      <c r="CI462" s="1">
        <v>8.5395000000000003</v>
      </c>
      <c r="CL462" s="1425">
        <v>44572</v>
      </c>
      <c r="CM462" s="1">
        <v>21.382999999999999</v>
      </c>
      <c r="CN462" s="1">
        <v>2.6520000000000001</v>
      </c>
      <c r="CO462" s="1">
        <v>11.4352</v>
      </c>
    </row>
    <row r="463" spans="1:93">
      <c r="A463" s="1425">
        <v>44558</v>
      </c>
      <c r="B463" s="20">
        <f t="shared" si="72"/>
        <v>26.101800000000001</v>
      </c>
      <c r="C463" s="20">
        <f t="shared" si="74"/>
        <v>17.066700000000001</v>
      </c>
      <c r="D463" s="20">
        <f t="shared" si="75"/>
        <v>20.903099999999998</v>
      </c>
      <c r="E463" s="20">
        <f t="shared" si="76"/>
        <v>9.1791</v>
      </c>
      <c r="F463" s="20">
        <f t="shared" si="77"/>
        <v>27.340900000000001</v>
      </c>
      <c r="G463" s="20">
        <f t="shared" si="78"/>
        <v>19.783899999999999</v>
      </c>
      <c r="H463" s="1239">
        <f t="shared" si="79"/>
        <v>19.783899999999999</v>
      </c>
      <c r="I463" s="1243">
        <f t="shared" si="73"/>
        <v>0.31934552843473751</v>
      </c>
      <c r="J463" s="1243">
        <f t="shared" si="80"/>
        <v>0.12093838824177333</v>
      </c>
      <c r="K463" s="1243">
        <f t="shared" si="81"/>
        <v>0.1</v>
      </c>
      <c r="L463" s="203"/>
      <c r="N463" s="1425">
        <v>44558</v>
      </c>
      <c r="O463" s="1502">
        <v>26.101800000000001</v>
      </c>
      <c r="P463" s="1502">
        <v>7.8365</v>
      </c>
      <c r="Q463" s="1502">
        <v>27.762599999999999</v>
      </c>
      <c r="R463" s="1233">
        <f>'B. PE'!$U$23</f>
        <v>15.978235616082999</v>
      </c>
      <c r="S463" s="1233"/>
      <c r="T463" s="1233"/>
      <c r="V463" s="1425">
        <v>44558</v>
      </c>
      <c r="W463" s="1">
        <v>17.066700000000001</v>
      </c>
      <c r="X463" s="1">
        <v>1.8862000000000001</v>
      </c>
      <c r="Y463" s="1">
        <v>12.8878</v>
      </c>
      <c r="Z463" s="1">
        <v>1.3073699999999999</v>
      </c>
      <c r="AB463" s="1425">
        <v>44540</v>
      </c>
      <c r="AC463" s="1">
        <v>9.4323999999999995</v>
      </c>
      <c r="AD463" s="1502">
        <v>1.6569</v>
      </c>
      <c r="AE463" s="1">
        <v>4.9420999999999999</v>
      </c>
      <c r="AF463" s="1">
        <v>4.2270000000000002E-2</v>
      </c>
      <c r="AH463" s="1425">
        <v>44540</v>
      </c>
      <c r="AI463" s="1">
        <v>21.1767</v>
      </c>
      <c r="AJ463" s="1">
        <v>3.6596000000000002</v>
      </c>
      <c r="AK463" s="1">
        <v>10.177</v>
      </c>
      <c r="AL463" s="1">
        <v>5.3379999999999997E-2</v>
      </c>
      <c r="AN463" s="1425">
        <v>44545</v>
      </c>
      <c r="AO463" s="1">
        <v>9.3284000000000002</v>
      </c>
      <c r="AP463" s="1">
        <v>1.2349000000000001</v>
      </c>
      <c r="AQ463" s="1">
        <v>5.2839999999999998</v>
      </c>
      <c r="AR463" s="1">
        <v>0.29332000000000003</v>
      </c>
      <c r="AT463" s="1425">
        <v>44545</v>
      </c>
      <c r="AU463" s="1">
        <v>8.3215000000000003</v>
      </c>
      <c r="AV463" s="1">
        <v>0.54259999999999997</v>
      </c>
      <c r="AW463" s="1">
        <v>5.4542000000000002</v>
      </c>
      <c r="AX463" s="1">
        <v>0.13955999999999999</v>
      </c>
      <c r="BA463" s="1425">
        <v>44539</v>
      </c>
      <c r="BB463" s="1">
        <v>20.355699999999999</v>
      </c>
      <c r="BC463" s="1">
        <v>5.0890000000000004</v>
      </c>
      <c r="BD463" s="1">
        <v>18.978000000000002</v>
      </c>
      <c r="BE463" s="1">
        <v>1.3078099999999999</v>
      </c>
      <c r="BG463" s="1425">
        <v>44539</v>
      </c>
      <c r="BH463" s="1">
        <v>25.113099999999999</v>
      </c>
      <c r="BI463" s="1">
        <v>7.2740999999999998</v>
      </c>
      <c r="BJ463" s="1">
        <v>33.370600000000003</v>
      </c>
      <c r="BT463" s="1425">
        <v>44558</v>
      </c>
      <c r="BU463" s="1">
        <v>21.468499999999999</v>
      </c>
      <c r="BV463" s="1">
        <v>5.1510999999999996</v>
      </c>
      <c r="BW463" s="1">
        <v>13.1122</v>
      </c>
      <c r="BX463" s="1">
        <v>2.9361999999999999</v>
      </c>
      <c r="BZ463" s="1425">
        <v>44558</v>
      </c>
      <c r="CA463" s="1">
        <v>69.801100000000005</v>
      </c>
      <c r="CB463" s="1">
        <v>6.0115999999999996</v>
      </c>
      <c r="CC463" s="1">
        <v>101.1378</v>
      </c>
      <c r="CD463" s="1">
        <v>2.37995</v>
      </c>
      <c r="CF463" s="1425">
        <v>44557</v>
      </c>
      <c r="CG463" s="1">
        <v>10.9453</v>
      </c>
      <c r="CH463" s="1">
        <v>2.3161999999999998</v>
      </c>
      <c r="CI463" s="1">
        <v>8.6366999999999994</v>
      </c>
      <c r="CL463" s="1425">
        <v>44571</v>
      </c>
      <c r="CM463" s="1">
        <v>21.049600000000002</v>
      </c>
      <c r="CN463" s="1">
        <v>2.6105999999999998</v>
      </c>
      <c r="CO463" s="1">
        <v>11.256600000000001</v>
      </c>
    </row>
    <row r="464" spans="1:93">
      <c r="A464" s="1425">
        <v>44557</v>
      </c>
      <c r="B464" s="20">
        <f t="shared" si="72"/>
        <v>26.2637</v>
      </c>
      <c r="C464" s="20">
        <f t="shared" si="74"/>
        <v>17.3005</v>
      </c>
      <c r="D464" s="20">
        <f t="shared" si="75"/>
        <v>19.972799999999999</v>
      </c>
      <c r="E464" s="20">
        <f t="shared" si="76"/>
        <v>9.3284000000000002</v>
      </c>
      <c r="F464" s="20">
        <f t="shared" si="77"/>
        <v>27.745899999999999</v>
      </c>
      <c r="G464" s="20">
        <f t="shared" si="78"/>
        <v>20.355699999999999</v>
      </c>
      <c r="H464" s="1239">
        <f t="shared" si="79"/>
        <v>19.972799999999999</v>
      </c>
      <c r="I464" s="1243">
        <f t="shared" si="73"/>
        <v>0.31497336377473362</v>
      </c>
      <c r="J464" s="1243">
        <f t="shared" si="80"/>
        <v>0.12093838824177333</v>
      </c>
      <c r="K464" s="1243">
        <f t="shared" si="81"/>
        <v>0.1</v>
      </c>
      <c r="L464" s="203"/>
      <c r="N464" s="1425">
        <v>44557</v>
      </c>
      <c r="O464" s="1502">
        <v>26.2637</v>
      </c>
      <c r="P464" s="1502">
        <v>7.8851000000000004</v>
      </c>
      <c r="Q464" s="1502">
        <v>27.927499999999998</v>
      </c>
      <c r="R464" s="1233">
        <f>'B. PE'!$U$23</f>
        <v>15.978235616082999</v>
      </c>
      <c r="S464" s="1233"/>
      <c r="T464" s="1233"/>
      <c r="V464" s="1425">
        <v>44557</v>
      </c>
      <c r="W464" s="1">
        <v>17.3005</v>
      </c>
      <c r="X464" s="1">
        <v>1.9120999999999999</v>
      </c>
      <c r="Y464" s="1">
        <v>13.033300000000001</v>
      </c>
      <c r="Z464" s="1">
        <v>1.28366</v>
      </c>
      <c r="AB464" s="1425">
        <v>44539</v>
      </c>
      <c r="AC464" s="1">
        <v>9.5097000000000005</v>
      </c>
      <c r="AD464" s="1502">
        <v>1.6705000000000001</v>
      </c>
      <c r="AE464" s="1">
        <v>4.9762000000000004</v>
      </c>
      <c r="AF464" s="1">
        <v>4.2840000000000003E-2</v>
      </c>
      <c r="AH464" s="1425">
        <v>44539</v>
      </c>
      <c r="AI464" s="1">
        <v>21.340800000000002</v>
      </c>
      <c r="AJ464" s="1">
        <v>3.6880000000000002</v>
      </c>
      <c r="AK464" s="1">
        <v>10.2621</v>
      </c>
      <c r="AL464" s="1">
        <v>5.1959999999999999E-2</v>
      </c>
      <c r="AN464" s="1425">
        <v>44544</v>
      </c>
      <c r="AO464" s="1">
        <v>9.3284000000000002</v>
      </c>
      <c r="AP464" s="1">
        <v>1.2349000000000001</v>
      </c>
      <c r="AQ464" s="1">
        <v>5.2839999999999998</v>
      </c>
      <c r="AR464" s="1">
        <v>0.29432999999999998</v>
      </c>
      <c r="AT464" s="1425">
        <v>44544</v>
      </c>
      <c r="AU464" s="1">
        <v>8.3215000000000003</v>
      </c>
      <c r="AV464" s="1">
        <v>0.54259999999999997</v>
      </c>
      <c r="AW464" s="1">
        <v>5.4542000000000002</v>
      </c>
      <c r="AX464" s="1">
        <v>0.14241999999999999</v>
      </c>
      <c r="BA464" s="1425">
        <v>44538</v>
      </c>
      <c r="BB464" s="1">
        <v>20.241299999999999</v>
      </c>
      <c r="BC464" s="1">
        <v>5.0603999999999996</v>
      </c>
      <c r="BD464" s="1">
        <v>18.887499999999999</v>
      </c>
      <c r="BE464" s="1">
        <v>1.2559100000000001</v>
      </c>
      <c r="BG464" s="1425">
        <v>44538</v>
      </c>
      <c r="BH464" s="1">
        <v>25.3156</v>
      </c>
      <c r="BI464" s="1">
        <v>7.3327999999999998</v>
      </c>
      <c r="BJ464" s="1">
        <v>33.621499999999997</v>
      </c>
      <c r="BT464" s="1425">
        <v>44557</v>
      </c>
      <c r="BU464" s="1">
        <v>21.3262</v>
      </c>
      <c r="BV464" s="1">
        <v>5.1169000000000002</v>
      </c>
      <c r="BW464" s="1">
        <v>13.032</v>
      </c>
      <c r="BX464" s="1">
        <v>2.9104999999999999</v>
      </c>
      <c r="BZ464" s="1425">
        <v>44557</v>
      </c>
      <c r="CA464" s="1">
        <v>67.727800000000002</v>
      </c>
      <c r="CB464" s="1">
        <v>5.8331</v>
      </c>
      <c r="CC464" s="1">
        <v>98.971199999999996</v>
      </c>
      <c r="CD464" s="1">
        <v>2.2227600000000001</v>
      </c>
      <c r="CF464" s="1425">
        <v>44554</v>
      </c>
      <c r="CG464" s="1">
        <v>10.712400000000001</v>
      </c>
      <c r="CH464" s="1">
        <v>2.2669000000000001</v>
      </c>
      <c r="CI464" s="1">
        <v>8.4665999999999997</v>
      </c>
      <c r="CL464" s="1425">
        <v>44568</v>
      </c>
      <c r="CM464" s="1">
        <v>21.614999999999998</v>
      </c>
      <c r="CN464" s="1">
        <v>2.6808000000000001</v>
      </c>
      <c r="CO464" s="1">
        <v>11.5595</v>
      </c>
    </row>
    <row r="465" spans="1:93">
      <c r="A465" s="1425">
        <v>44554</v>
      </c>
      <c r="B465" s="20">
        <f t="shared" si="72"/>
        <v>24.584199999999999</v>
      </c>
      <c r="C465" s="20">
        <f t="shared" si="74"/>
        <v>16.645900000000001</v>
      </c>
      <c r="D465" s="20">
        <f t="shared" si="75"/>
        <v>20.0275</v>
      </c>
      <c r="E465" s="20">
        <f t="shared" si="76"/>
        <v>9.2537000000000003</v>
      </c>
      <c r="F465" s="20">
        <f t="shared" si="77"/>
        <v>27.138300000000001</v>
      </c>
      <c r="G465" s="20">
        <f t="shared" si="78"/>
        <v>20.47</v>
      </c>
      <c r="H465" s="1239">
        <f t="shared" si="79"/>
        <v>20.0275</v>
      </c>
      <c r="I465" s="1243">
        <f t="shared" si="73"/>
        <v>0.22752215703407819</v>
      </c>
      <c r="J465" s="1243">
        <f t="shared" si="80"/>
        <v>0.12093838824177333</v>
      </c>
      <c r="K465" s="1243">
        <f t="shared" si="81"/>
        <v>0.1</v>
      </c>
      <c r="L465" s="203"/>
      <c r="N465" s="1425">
        <v>44554</v>
      </c>
      <c r="O465" s="1502">
        <v>24.584199999999999</v>
      </c>
      <c r="P465" s="1502">
        <v>7.3808999999999996</v>
      </c>
      <c r="Q465" s="1502">
        <v>26.216200000000001</v>
      </c>
      <c r="R465" s="1233">
        <f>'B. PE'!$U$23</f>
        <v>15.978235616082999</v>
      </c>
      <c r="S465" s="1233"/>
      <c r="T465" s="1233"/>
      <c r="V465" s="1425">
        <v>44554</v>
      </c>
      <c r="W465" s="1">
        <v>16.645900000000001</v>
      </c>
      <c r="X465" s="1">
        <v>1.8396999999999999</v>
      </c>
      <c r="Y465" s="1">
        <v>12.625999999999999</v>
      </c>
      <c r="Z465" s="1">
        <v>1.30474</v>
      </c>
      <c r="AB465" s="1425">
        <v>44538</v>
      </c>
      <c r="AC465" s="1">
        <v>9.3550000000000004</v>
      </c>
      <c r="AD465" s="1502">
        <v>1.6433</v>
      </c>
      <c r="AE465" s="1">
        <v>4.9080000000000004</v>
      </c>
      <c r="AF465" s="1">
        <v>4.2599999999999999E-2</v>
      </c>
      <c r="AH465" s="1425">
        <v>44538</v>
      </c>
      <c r="AI465" s="1">
        <v>20.903099999999998</v>
      </c>
      <c r="AJ465" s="1">
        <v>3.6124000000000001</v>
      </c>
      <c r="AK465" s="1">
        <v>10.035299999999999</v>
      </c>
      <c r="AL465" s="1">
        <v>5.0979999999999998E-2</v>
      </c>
      <c r="AN465" s="1425">
        <v>44543</v>
      </c>
      <c r="AO465" s="1">
        <v>9.2537000000000003</v>
      </c>
      <c r="AP465" s="1">
        <v>1.2250000000000001</v>
      </c>
      <c r="AQ465" s="1">
        <v>5.2259000000000002</v>
      </c>
      <c r="AR465" s="1">
        <v>0.29404000000000002</v>
      </c>
      <c r="AT465" s="1425">
        <v>44543</v>
      </c>
      <c r="AU465" s="1">
        <v>8.3925999999999998</v>
      </c>
      <c r="AV465" s="1">
        <v>0.54720000000000002</v>
      </c>
      <c r="AW465" s="1">
        <v>5.4935</v>
      </c>
      <c r="AX465" s="1">
        <v>0.14227999999999999</v>
      </c>
      <c r="BA465" s="1425">
        <v>44537</v>
      </c>
      <c r="BB465" s="1">
        <v>20.126899999999999</v>
      </c>
      <c r="BC465" s="1">
        <v>5.0319000000000003</v>
      </c>
      <c r="BD465" s="1">
        <v>18.796900000000001</v>
      </c>
      <c r="BE465" s="1">
        <v>1.2765599999999999</v>
      </c>
      <c r="BG465" s="1425">
        <v>44537</v>
      </c>
      <c r="BH465" s="1">
        <v>26.7333</v>
      </c>
      <c r="BI465" s="1">
        <v>7.7434000000000003</v>
      </c>
      <c r="BJ465" s="1">
        <v>35.3782</v>
      </c>
      <c r="BT465" s="1425">
        <v>44554</v>
      </c>
      <c r="BU465" s="1">
        <v>21.2788</v>
      </c>
      <c r="BV465" s="1">
        <v>5.1055000000000001</v>
      </c>
      <c r="BW465" s="1">
        <v>13.0052</v>
      </c>
      <c r="BX465" s="1">
        <v>2.9386999999999999</v>
      </c>
      <c r="BZ465" s="1425">
        <v>44554</v>
      </c>
      <c r="CA465" s="1">
        <v>65.032499999999999</v>
      </c>
      <c r="CB465" s="1">
        <v>5.6009000000000002</v>
      </c>
      <c r="CC465" s="1">
        <v>96.154700000000005</v>
      </c>
      <c r="CD465" s="1">
        <v>2.2116699999999998</v>
      </c>
      <c r="CF465" s="1425">
        <v>44553</v>
      </c>
      <c r="CG465" s="1">
        <v>10.812200000000001</v>
      </c>
      <c r="CH465" s="1">
        <v>2.2881</v>
      </c>
      <c r="CI465" s="1">
        <v>8.5395000000000003</v>
      </c>
      <c r="CL465" s="1425">
        <v>44567</v>
      </c>
      <c r="CM465" s="1">
        <v>21.47</v>
      </c>
      <c r="CN465" s="1">
        <v>2.6627999999999998</v>
      </c>
      <c r="CO465" s="1">
        <v>11.4818</v>
      </c>
    </row>
    <row r="466" spans="1:93">
      <c r="A466" s="1425">
        <v>44553</v>
      </c>
      <c r="B466" s="20">
        <f t="shared" si="72"/>
        <v>23.8963</v>
      </c>
      <c r="C466" s="20">
        <f t="shared" si="74"/>
        <v>16.365400000000001</v>
      </c>
      <c r="D466" s="20">
        <f t="shared" si="75"/>
        <v>20.0823</v>
      </c>
      <c r="E466" s="20">
        <f t="shared" si="76"/>
        <v>9.1791</v>
      </c>
      <c r="F466" s="20">
        <f t="shared" si="77"/>
        <v>27.543399999999998</v>
      </c>
      <c r="G466" s="20">
        <f t="shared" si="78"/>
        <v>20.698699999999999</v>
      </c>
      <c r="H466" s="1239">
        <f t="shared" si="79"/>
        <v>20.0823</v>
      </c>
      <c r="I466" s="1243">
        <f t="shared" si="73"/>
        <v>0.18991848543244538</v>
      </c>
      <c r="J466" s="1243">
        <f t="shared" si="80"/>
        <v>0.12093838824177333</v>
      </c>
      <c r="K466" s="1243">
        <f t="shared" si="81"/>
        <v>0.1</v>
      </c>
      <c r="L466" s="203"/>
      <c r="N466" s="1425">
        <v>44553</v>
      </c>
      <c r="O466" s="1502">
        <v>23.8963</v>
      </c>
      <c r="P466" s="1502">
        <v>7.1742999999999997</v>
      </c>
      <c r="Q466" s="1502">
        <v>25.5152</v>
      </c>
      <c r="R466" s="1233">
        <f>'B. PE'!$U$23</f>
        <v>15.978235616082999</v>
      </c>
      <c r="S466" s="1233"/>
      <c r="T466" s="1233"/>
      <c r="V466" s="1425">
        <v>44553</v>
      </c>
      <c r="W466" s="1">
        <v>16.365400000000001</v>
      </c>
      <c r="X466" s="1">
        <v>1.8087</v>
      </c>
      <c r="Y466" s="1">
        <v>12.451499999999999</v>
      </c>
      <c r="Z466" s="1">
        <v>1.2607299999999999</v>
      </c>
      <c r="AB466" s="1425">
        <v>44537</v>
      </c>
      <c r="AC466" s="1">
        <v>9.5097000000000005</v>
      </c>
      <c r="AD466" s="1502">
        <v>1.6705000000000001</v>
      </c>
      <c r="AE466" s="1">
        <v>4.9762000000000004</v>
      </c>
      <c r="AF466" s="1">
        <v>4.3339999999999997E-2</v>
      </c>
      <c r="AH466" s="1425">
        <v>44537</v>
      </c>
      <c r="AI466" s="1">
        <v>20.410599999999999</v>
      </c>
      <c r="AJ466" s="1">
        <v>3.5272999999999999</v>
      </c>
      <c r="AK466" s="1">
        <v>9.7802000000000007</v>
      </c>
      <c r="AL466" s="1">
        <v>5.1040000000000002E-2</v>
      </c>
      <c r="AN466" s="1425">
        <v>44540</v>
      </c>
      <c r="AO466" s="1">
        <v>9.2537000000000003</v>
      </c>
      <c r="AP466" s="1">
        <v>1.2250000000000001</v>
      </c>
      <c r="AQ466" s="1">
        <v>5.2259000000000002</v>
      </c>
      <c r="AR466" s="1">
        <v>0.29593999999999998</v>
      </c>
      <c r="AT466" s="1425">
        <v>44540</v>
      </c>
      <c r="AU466" s="1">
        <v>8.5349000000000004</v>
      </c>
      <c r="AV466" s="1">
        <v>0.55649999999999999</v>
      </c>
      <c r="AW466" s="1">
        <v>5.5723000000000003</v>
      </c>
      <c r="AX466" s="1">
        <v>0.13730999999999999</v>
      </c>
      <c r="BA466" s="1425">
        <v>44533</v>
      </c>
      <c r="BB466" s="1">
        <v>19.440799999999999</v>
      </c>
      <c r="BC466" s="1">
        <v>4.8602999999999996</v>
      </c>
      <c r="BD466" s="1">
        <v>18.253299999999999</v>
      </c>
      <c r="BE466" s="1">
        <v>1.28399</v>
      </c>
      <c r="BG466" s="1425">
        <v>44533</v>
      </c>
      <c r="BH466" s="1">
        <v>25.113099999999999</v>
      </c>
      <c r="BI466" s="1">
        <v>7.2740999999999998</v>
      </c>
      <c r="BJ466" s="1">
        <v>33.370600000000003</v>
      </c>
      <c r="BT466" s="1425">
        <v>44553</v>
      </c>
      <c r="BU466" s="1">
        <v>21.120699999999999</v>
      </c>
      <c r="BV466" s="1">
        <v>5.0675999999999997</v>
      </c>
      <c r="BW466" s="1">
        <v>12.9161</v>
      </c>
      <c r="BX466" s="1">
        <v>2.9037999999999999</v>
      </c>
      <c r="BZ466" s="1425">
        <v>44553</v>
      </c>
      <c r="CA466" s="1">
        <v>60.816800000000001</v>
      </c>
      <c r="CB466" s="1">
        <v>5.2378999999999998</v>
      </c>
      <c r="CC466" s="1">
        <v>91.749399999999994</v>
      </c>
      <c r="CD466" s="1">
        <v>2.1947000000000001</v>
      </c>
      <c r="CF466" s="1425">
        <v>44552</v>
      </c>
      <c r="CG466" s="1">
        <v>11.0784</v>
      </c>
      <c r="CH466" s="1">
        <v>2.3443999999999998</v>
      </c>
      <c r="CI466" s="1">
        <v>8.7338000000000005</v>
      </c>
      <c r="CL466" s="1425">
        <v>44566</v>
      </c>
      <c r="CM466" s="1">
        <v>21.977399999999999</v>
      </c>
      <c r="CN466" s="1">
        <v>2.7256999999999998</v>
      </c>
      <c r="CO466" s="1">
        <v>11.7537</v>
      </c>
    </row>
    <row r="467" spans="1:93">
      <c r="A467" s="1425">
        <v>44552</v>
      </c>
      <c r="B467" s="20">
        <f t="shared" si="72"/>
        <v>24.4831</v>
      </c>
      <c r="C467" s="20">
        <f t="shared" si="74"/>
        <v>16.622499999999999</v>
      </c>
      <c r="D467" s="20">
        <f t="shared" si="75"/>
        <v>20.246400000000001</v>
      </c>
      <c r="E467" s="20">
        <f t="shared" si="76"/>
        <v>9.1791</v>
      </c>
      <c r="F467" s="20">
        <f t="shared" si="77"/>
        <v>27.948399999999999</v>
      </c>
      <c r="G467" s="20">
        <f t="shared" si="78"/>
        <v>21.270499999999998</v>
      </c>
      <c r="H467" s="1239">
        <f t="shared" si="79"/>
        <v>20.246400000000001</v>
      </c>
      <c r="I467" s="1243">
        <f t="shared" si="73"/>
        <v>0.20925695432274383</v>
      </c>
      <c r="J467" s="1243">
        <f t="shared" si="80"/>
        <v>0.12093838824177333</v>
      </c>
      <c r="K467" s="1243">
        <f t="shared" si="81"/>
        <v>0.1</v>
      </c>
      <c r="L467" s="203"/>
      <c r="N467" s="1425">
        <v>44552</v>
      </c>
      <c r="O467" s="1502">
        <v>24.4831</v>
      </c>
      <c r="P467" s="1502">
        <v>7.3505000000000003</v>
      </c>
      <c r="Q467" s="1502">
        <v>26.113099999999999</v>
      </c>
      <c r="R467" s="1233">
        <f>'B. PE'!$U$23</f>
        <v>15.978235616082999</v>
      </c>
      <c r="S467" s="1233"/>
      <c r="T467" s="1233"/>
      <c r="V467" s="1425">
        <v>44552</v>
      </c>
      <c r="W467" s="1">
        <v>16.622499999999999</v>
      </c>
      <c r="X467" s="1">
        <v>1.8371</v>
      </c>
      <c r="Y467" s="1">
        <v>12.611499999999999</v>
      </c>
      <c r="Z467" s="1">
        <v>1.17848</v>
      </c>
      <c r="AB467" s="1425">
        <v>44536</v>
      </c>
      <c r="AC467" s="1">
        <v>9.5097000000000005</v>
      </c>
      <c r="AD467" s="1502">
        <v>1.6705000000000001</v>
      </c>
      <c r="AE467" s="1">
        <v>4.9762000000000004</v>
      </c>
      <c r="AF467" s="1">
        <v>4.2680000000000003E-2</v>
      </c>
      <c r="AH467" s="1425">
        <v>44536</v>
      </c>
      <c r="AI467" s="1">
        <v>20.137</v>
      </c>
      <c r="AJ467" s="1">
        <v>3.48</v>
      </c>
      <c r="AK467" s="1">
        <v>9.6385000000000005</v>
      </c>
      <c r="AL467" s="1">
        <v>5.0939999999999999E-2</v>
      </c>
      <c r="AN467" s="1425">
        <v>44539</v>
      </c>
      <c r="AO467" s="1">
        <v>9.2537000000000003</v>
      </c>
      <c r="AP467" s="1">
        <v>1.2250000000000001</v>
      </c>
      <c r="AQ467" s="1">
        <v>5.2259000000000002</v>
      </c>
      <c r="AR467" s="1">
        <v>0.29532000000000003</v>
      </c>
      <c r="AT467" s="1425">
        <v>44539</v>
      </c>
      <c r="AU467" s="1">
        <v>8.5349000000000004</v>
      </c>
      <c r="AV467" s="1">
        <v>0.55649999999999999</v>
      </c>
      <c r="AW467" s="1">
        <v>5.5723000000000003</v>
      </c>
      <c r="BA467" s="1425">
        <v>44532</v>
      </c>
      <c r="BB467" s="1">
        <v>19.783899999999999</v>
      </c>
      <c r="BC467" s="1">
        <v>4.9461000000000004</v>
      </c>
      <c r="BD467" s="1">
        <v>18.525099999999998</v>
      </c>
      <c r="BE467" s="1">
        <v>1.2152799999999999</v>
      </c>
      <c r="BG467" s="1425">
        <v>44532</v>
      </c>
      <c r="BH467" s="1">
        <v>25.113099999999999</v>
      </c>
      <c r="BI467" s="1">
        <v>7.2740999999999998</v>
      </c>
      <c r="BJ467" s="1">
        <v>33.370600000000003</v>
      </c>
      <c r="BT467" s="1425">
        <v>44552</v>
      </c>
      <c r="BU467" s="1">
        <v>21.310400000000001</v>
      </c>
      <c r="BV467" s="1">
        <v>5.1131000000000002</v>
      </c>
      <c r="BW467" s="1">
        <v>13.023</v>
      </c>
      <c r="BX467" s="1">
        <v>2.9003999999999999</v>
      </c>
      <c r="BZ467" s="1425">
        <v>44552</v>
      </c>
      <c r="CA467" s="1">
        <v>60.471200000000003</v>
      </c>
      <c r="CB467" s="1">
        <v>5.2081</v>
      </c>
      <c r="CC467" s="1">
        <v>91.388300000000001</v>
      </c>
      <c r="CD467" s="1">
        <v>2.2047599999999998</v>
      </c>
      <c r="CF467" s="1425">
        <v>44551</v>
      </c>
      <c r="CG467" s="1">
        <v>11.1782</v>
      </c>
      <c r="CH467" s="1">
        <v>2.3654999999999999</v>
      </c>
      <c r="CI467" s="1">
        <v>8.8066999999999993</v>
      </c>
      <c r="CL467" s="1425">
        <v>44565</v>
      </c>
      <c r="CM467" s="1">
        <v>22.078900000000001</v>
      </c>
      <c r="CN467" s="1">
        <v>2.7383000000000002</v>
      </c>
      <c r="CO467" s="1">
        <v>11.808</v>
      </c>
    </row>
    <row r="468" spans="1:93">
      <c r="A468" s="1425">
        <v>44551</v>
      </c>
      <c r="B468" s="20">
        <f t="shared" si="72"/>
        <v>24.725899999999999</v>
      </c>
      <c r="C468" s="20">
        <f t="shared" si="74"/>
        <v>16.0381</v>
      </c>
      <c r="D468" s="20">
        <f t="shared" si="75"/>
        <v>19.972799999999999</v>
      </c>
      <c r="E468" s="20">
        <f t="shared" si="76"/>
        <v>9.0298999999999996</v>
      </c>
      <c r="F468" s="20">
        <f t="shared" si="77"/>
        <v>27.340900000000001</v>
      </c>
      <c r="G468" s="20">
        <f t="shared" si="78"/>
        <v>20.927499999999998</v>
      </c>
      <c r="H468" s="1239">
        <f t="shared" si="79"/>
        <v>19.972799999999999</v>
      </c>
      <c r="I468" s="1243">
        <f t="shared" si="73"/>
        <v>0.23797865096531279</v>
      </c>
      <c r="J468" s="1243">
        <f t="shared" si="80"/>
        <v>0.12093838824177333</v>
      </c>
      <c r="K468" s="1243">
        <f t="shared" si="81"/>
        <v>0.1</v>
      </c>
      <c r="L468" s="203"/>
      <c r="N468" s="1425">
        <v>44551</v>
      </c>
      <c r="O468" s="1502">
        <v>24.725899999999999</v>
      </c>
      <c r="P468" s="1502">
        <v>7.4234</v>
      </c>
      <c r="Q468" s="1502">
        <v>26.360499999999998</v>
      </c>
      <c r="R468" s="1233">
        <f>'B. PE'!$U$23</f>
        <v>15.978235616082999</v>
      </c>
      <c r="S468" s="1233"/>
      <c r="T468" s="1233"/>
      <c r="V468" s="1425">
        <v>44551</v>
      </c>
      <c r="W468" s="1">
        <v>16.0381</v>
      </c>
      <c r="X468" s="1">
        <v>1.7725</v>
      </c>
      <c r="Y468" s="1">
        <v>12.2479</v>
      </c>
      <c r="Z468" s="1">
        <v>1.17435</v>
      </c>
      <c r="AB468" s="1425">
        <v>44533</v>
      </c>
      <c r="AC468" s="1">
        <v>9.6643000000000008</v>
      </c>
      <c r="AD468" s="1502">
        <v>1.6976</v>
      </c>
      <c r="AE468" s="1">
        <v>5.0445000000000002</v>
      </c>
      <c r="AF468" s="1">
        <v>4.2509999999999999E-2</v>
      </c>
      <c r="AH468" s="1425">
        <v>44533</v>
      </c>
      <c r="AI468" s="1">
        <v>20.137</v>
      </c>
      <c r="AJ468" s="1">
        <v>3.48</v>
      </c>
      <c r="AK468" s="1">
        <v>9.6385000000000005</v>
      </c>
      <c r="AL468" s="1">
        <v>5.1569999999999998E-2</v>
      </c>
      <c r="AN468" s="1425">
        <v>44538</v>
      </c>
      <c r="AO468" s="1">
        <v>9.3284000000000002</v>
      </c>
      <c r="AP468" s="1">
        <v>1.2349000000000001</v>
      </c>
      <c r="AQ468" s="1">
        <v>5.2839999999999998</v>
      </c>
      <c r="AR468" s="1">
        <v>0.29065000000000002</v>
      </c>
      <c r="AT468" s="1425">
        <v>44538</v>
      </c>
      <c r="AU468" s="1">
        <v>8.2504000000000008</v>
      </c>
      <c r="AV468" s="1">
        <v>0.53790000000000004</v>
      </c>
      <c r="AW468" s="1">
        <v>5.4147999999999996</v>
      </c>
      <c r="AX468" s="1">
        <v>0.13705000000000001</v>
      </c>
      <c r="BA468" s="1425">
        <v>44531</v>
      </c>
      <c r="BB468" s="1">
        <v>19.783899999999999</v>
      </c>
      <c r="BC468" s="1">
        <v>4.9461000000000004</v>
      </c>
      <c r="BD468" s="1">
        <v>18.525099999999998</v>
      </c>
      <c r="BE468" s="1">
        <v>1.2307600000000001</v>
      </c>
      <c r="BG468" s="1425">
        <v>44531</v>
      </c>
      <c r="BH468" s="1">
        <v>24.1005</v>
      </c>
      <c r="BI468" s="1">
        <v>6.9808000000000003</v>
      </c>
      <c r="BJ468" s="1">
        <v>32.1158</v>
      </c>
      <c r="BT468" s="1425">
        <v>44551</v>
      </c>
      <c r="BU468" s="1">
        <v>21.0258</v>
      </c>
      <c r="BV468" s="1">
        <v>5.0449000000000002</v>
      </c>
      <c r="BW468" s="1">
        <v>12.8626</v>
      </c>
      <c r="BX468" s="1">
        <v>2.9319000000000002</v>
      </c>
      <c r="BZ468" s="1425">
        <v>44551</v>
      </c>
      <c r="CA468" s="1">
        <v>59.918399999999998</v>
      </c>
      <c r="CB468" s="1">
        <v>5.1604999999999999</v>
      </c>
      <c r="CC468" s="1">
        <v>90.810599999999994</v>
      </c>
      <c r="CD468" s="1">
        <v>2.0598299999999998</v>
      </c>
      <c r="CF468" s="1425">
        <v>44550</v>
      </c>
      <c r="CG468" s="1">
        <v>10.5128</v>
      </c>
      <c r="CH468" s="1">
        <v>2.2246999999999999</v>
      </c>
      <c r="CI468" s="1">
        <v>8.3208000000000002</v>
      </c>
      <c r="CL468" s="1425">
        <v>44564</v>
      </c>
      <c r="CM468" s="1">
        <v>21.672999999999998</v>
      </c>
      <c r="CN468" s="1">
        <v>2.6879</v>
      </c>
      <c r="CO468" s="1">
        <v>11.5905</v>
      </c>
    </row>
    <row r="469" spans="1:93">
      <c r="A469" s="1425">
        <v>44550</v>
      </c>
      <c r="B469" s="20">
        <f t="shared" si="72"/>
        <v>25.049600000000002</v>
      </c>
      <c r="C469" s="20">
        <f t="shared" si="74"/>
        <v>15.009399999999999</v>
      </c>
      <c r="D469" s="20">
        <f t="shared" si="75"/>
        <v>19.753900000000002</v>
      </c>
      <c r="E469" s="20">
        <f t="shared" si="76"/>
        <v>9.2537000000000003</v>
      </c>
      <c r="F469" s="20">
        <f t="shared" si="77"/>
        <v>25.923200000000001</v>
      </c>
      <c r="G469" s="20">
        <f t="shared" si="78"/>
        <v>20.355699999999999</v>
      </c>
      <c r="H469" s="1239">
        <f t="shared" si="79"/>
        <v>19.753900000000002</v>
      </c>
      <c r="I469" s="1243">
        <f t="shared" si="73"/>
        <v>0.26808377079969015</v>
      </c>
      <c r="J469" s="1243">
        <f t="shared" si="80"/>
        <v>0.12093838824177333</v>
      </c>
      <c r="K469" s="1243">
        <f t="shared" si="81"/>
        <v>0.1</v>
      </c>
      <c r="L469" s="203"/>
      <c r="N469" s="1425">
        <v>44550</v>
      </c>
      <c r="O469" s="1502">
        <v>25.049600000000002</v>
      </c>
      <c r="P469" s="1502">
        <v>7.5206</v>
      </c>
      <c r="Q469" s="1502">
        <v>26.6904</v>
      </c>
      <c r="R469" s="1233">
        <f>'B. PE'!$U$23</f>
        <v>15.978235616082999</v>
      </c>
      <c r="S469" s="1233"/>
      <c r="T469" s="1233"/>
      <c r="V469" s="1425">
        <v>44550</v>
      </c>
      <c r="W469" s="1">
        <v>15.009399999999999</v>
      </c>
      <c r="X469" s="1">
        <v>1.6588000000000001</v>
      </c>
      <c r="Y469" s="1">
        <v>11.608000000000001</v>
      </c>
      <c r="Z469" s="1">
        <v>1.1910000000000001</v>
      </c>
      <c r="AB469" s="1425">
        <v>44532</v>
      </c>
      <c r="AC469" s="1">
        <v>9.5097000000000005</v>
      </c>
      <c r="AD469" s="1502">
        <v>1.6705000000000001</v>
      </c>
      <c r="AE469" s="1">
        <v>4.9762000000000004</v>
      </c>
      <c r="AF469" s="1">
        <v>4.3249999999999997E-2</v>
      </c>
      <c r="AH469" s="1425">
        <v>44532</v>
      </c>
      <c r="AI469" s="1">
        <v>20.0823</v>
      </c>
      <c r="AJ469" s="1">
        <v>3.4704999999999999</v>
      </c>
      <c r="AK469" s="1">
        <v>9.6100999999999992</v>
      </c>
      <c r="AL469" s="1">
        <v>5.2319999999999998E-2</v>
      </c>
      <c r="AN469" s="1425">
        <v>44537</v>
      </c>
      <c r="AO469" s="1">
        <v>9.3284000000000002</v>
      </c>
      <c r="AP469" s="1">
        <v>1.2349000000000001</v>
      </c>
      <c r="AQ469" s="1">
        <v>5.2839999999999998</v>
      </c>
      <c r="AR469" s="1">
        <v>0.29735</v>
      </c>
      <c r="AT469" s="1425">
        <v>44537</v>
      </c>
      <c r="AW469" s="1">
        <v>5.4147999999999996</v>
      </c>
      <c r="AX469" s="1">
        <v>0.13805000000000001</v>
      </c>
      <c r="BA469" s="1425">
        <v>44530</v>
      </c>
      <c r="BB469" s="1">
        <v>18.7547</v>
      </c>
      <c r="BC469" s="1">
        <v>4.6887999999999996</v>
      </c>
      <c r="BD469" s="1">
        <v>17.709800000000001</v>
      </c>
      <c r="BE469" s="1">
        <v>1.1930499999999999</v>
      </c>
      <c r="BG469" s="1425">
        <v>44530</v>
      </c>
      <c r="BH469" s="1">
        <v>23.695399999999999</v>
      </c>
      <c r="BI469" s="1">
        <v>6.8635000000000002</v>
      </c>
      <c r="BJ469" s="1">
        <v>31.613900000000001</v>
      </c>
      <c r="BT469" s="1425">
        <v>44550</v>
      </c>
      <c r="BU469" s="1">
        <v>21.0258</v>
      </c>
      <c r="BV469" s="1">
        <v>5.0449000000000002</v>
      </c>
      <c r="BW469" s="1">
        <v>12.8626</v>
      </c>
      <c r="BX469" s="1">
        <v>2.9037000000000002</v>
      </c>
      <c r="BZ469" s="1425">
        <v>44550</v>
      </c>
      <c r="CA469" s="1">
        <v>60.2639</v>
      </c>
      <c r="CB469" s="1">
        <v>5.1901999999999999</v>
      </c>
      <c r="CC469" s="1">
        <v>91.171700000000001</v>
      </c>
      <c r="CD469" s="1">
        <v>1.9201900000000001</v>
      </c>
      <c r="CF469" s="1425">
        <v>44547</v>
      </c>
      <c r="CG469" s="1">
        <v>10.645899999999999</v>
      </c>
      <c r="CH469" s="1">
        <v>2.2528999999999999</v>
      </c>
      <c r="CI469" s="1">
        <v>8.4179999999999993</v>
      </c>
      <c r="CL469" s="1425">
        <v>44561</v>
      </c>
      <c r="CO469" s="1">
        <v>11.676</v>
      </c>
    </row>
    <row r="470" spans="1:93">
      <c r="A470" s="1425">
        <v>44547</v>
      </c>
      <c r="B470" s="20">
        <f t="shared" si="72"/>
        <v>25.272200000000002</v>
      </c>
      <c r="C470" s="20">
        <f t="shared" si="74"/>
        <v>14.9626</v>
      </c>
      <c r="D470" s="20">
        <f t="shared" si="75"/>
        <v>20.137</v>
      </c>
      <c r="E470" s="20">
        <f t="shared" si="76"/>
        <v>9.3284000000000002</v>
      </c>
      <c r="F470" s="20">
        <f t="shared" si="77"/>
        <v>25.720700000000001</v>
      </c>
      <c r="G470" s="20">
        <f t="shared" si="78"/>
        <v>20.813099999999999</v>
      </c>
      <c r="H470" s="1239">
        <f t="shared" si="79"/>
        <v>20.137</v>
      </c>
      <c r="I470" s="1243">
        <f t="shared" si="73"/>
        <v>0.2550131598549934</v>
      </c>
      <c r="J470" s="1243">
        <f t="shared" si="80"/>
        <v>0.12093838824177333</v>
      </c>
      <c r="K470" s="1243">
        <f t="shared" si="81"/>
        <v>0.1</v>
      </c>
      <c r="L470" s="203"/>
      <c r="N470" s="1425">
        <v>44547</v>
      </c>
      <c r="O470" s="1502">
        <v>25.272200000000002</v>
      </c>
      <c r="P470" s="1502">
        <v>7.5873999999999997</v>
      </c>
      <c r="Q470" s="1502">
        <v>26.917200000000001</v>
      </c>
      <c r="R470" s="1233">
        <f>'B. PE'!$U$23</f>
        <v>15.978235616082999</v>
      </c>
      <c r="S470" s="1233"/>
      <c r="T470" s="1233"/>
      <c r="V470" s="1425">
        <v>44547</v>
      </c>
      <c r="W470" s="1">
        <v>14.9626</v>
      </c>
      <c r="X470" s="1">
        <v>1.6536999999999999</v>
      </c>
      <c r="Y470" s="1">
        <v>11.578900000000001</v>
      </c>
      <c r="Z470" s="1">
        <v>1.1742699999999999</v>
      </c>
      <c r="AB470" s="1425">
        <v>44531</v>
      </c>
      <c r="AC470" s="1">
        <v>9.4323999999999995</v>
      </c>
      <c r="AD470" s="1502">
        <v>1.6569</v>
      </c>
      <c r="AE470" s="1">
        <v>4.9420999999999999</v>
      </c>
      <c r="AF470" s="1">
        <v>4.3529999999999999E-2</v>
      </c>
      <c r="AH470" s="1425">
        <v>44531</v>
      </c>
      <c r="AI470" s="1">
        <v>20.246400000000001</v>
      </c>
      <c r="AJ470" s="1">
        <v>3.4988999999999999</v>
      </c>
      <c r="AK470" s="1">
        <v>9.6951999999999998</v>
      </c>
      <c r="AL470" s="1">
        <v>5.3769999999999998E-2</v>
      </c>
      <c r="AN470" s="1425">
        <v>44536</v>
      </c>
      <c r="AO470" s="1">
        <v>9.1791</v>
      </c>
      <c r="AP470" s="1">
        <v>1.2151000000000001</v>
      </c>
      <c r="AQ470" s="1">
        <v>5.1679000000000004</v>
      </c>
      <c r="AR470" s="1">
        <v>0.30349999999999999</v>
      </c>
      <c r="AT470" s="1425">
        <v>44536</v>
      </c>
      <c r="AU470" s="1">
        <v>8.2504000000000008</v>
      </c>
      <c r="AV470" s="1">
        <v>0.53790000000000004</v>
      </c>
      <c r="AW470" s="1">
        <v>5.4147999999999996</v>
      </c>
      <c r="BA470" s="1425">
        <v>44529</v>
      </c>
      <c r="BB470" s="1">
        <v>18.9834</v>
      </c>
      <c r="BC470" s="1">
        <v>4.7460000000000004</v>
      </c>
      <c r="BD470" s="1">
        <v>17.890999999999998</v>
      </c>
      <c r="BE470" s="1">
        <v>1.2875399999999999</v>
      </c>
      <c r="BG470" s="1425">
        <v>44529</v>
      </c>
      <c r="BH470" s="1">
        <v>22.885300000000001</v>
      </c>
      <c r="BI470" s="1">
        <v>6.6288999999999998</v>
      </c>
      <c r="BJ470" s="1">
        <v>30.610099999999999</v>
      </c>
      <c r="BT470" s="1425">
        <v>44547</v>
      </c>
      <c r="BU470" s="1">
        <v>21.262899999999998</v>
      </c>
      <c r="BV470" s="1">
        <v>5.1017999999999999</v>
      </c>
      <c r="BW470" s="1">
        <v>12.9963</v>
      </c>
      <c r="BX470" s="1">
        <v>2.9485000000000001</v>
      </c>
      <c r="BZ470" s="1425">
        <v>44547</v>
      </c>
      <c r="CA470" s="1">
        <v>56.324599999999997</v>
      </c>
      <c r="CB470" s="1">
        <v>4.851</v>
      </c>
      <c r="CC470" s="1">
        <v>87.055199999999999</v>
      </c>
      <c r="CD470" s="1">
        <v>1.9369000000000001</v>
      </c>
      <c r="CF470" s="1425">
        <v>44546</v>
      </c>
      <c r="CG470" s="1">
        <v>10.446300000000001</v>
      </c>
      <c r="CH470" s="1">
        <v>2.2105999999999999</v>
      </c>
      <c r="CI470" s="1">
        <v>8.2721999999999998</v>
      </c>
      <c r="CL470" s="1425">
        <v>44560</v>
      </c>
      <c r="CM470" s="1">
        <v>26.7773</v>
      </c>
      <c r="CN470" s="1">
        <v>2.8837000000000002</v>
      </c>
      <c r="CO470" s="1">
        <v>12.129099999999999</v>
      </c>
    </row>
    <row r="471" spans="1:93">
      <c r="A471" s="1425">
        <v>44546</v>
      </c>
      <c r="B471" s="20">
        <f t="shared" si="72"/>
        <v>24.827100000000002</v>
      </c>
      <c r="C471" s="20">
        <f t="shared" si="74"/>
        <v>15.219799999999999</v>
      </c>
      <c r="D471" s="20">
        <f t="shared" si="75"/>
        <v>20.52</v>
      </c>
      <c r="E471" s="20">
        <f t="shared" si="76"/>
        <v>9.3284000000000002</v>
      </c>
      <c r="F471" s="20">
        <f t="shared" si="77"/>
        <v>26.530799999999999</v>
      </c>
      <c r="G471" s="20">
        <f t="shared" si="78"/>
        <v>21.156199999999998</v>
      </c>
      <c r="H471" s="1239">
        <f t="shared" si="79"/>
        <v>20.52</v>
      </c>
      <c r="I471" s="1243">
        <f t="shared" si="73"/>
        <v>0.20989766081871353</v>
      </c>
      <c r="J471" s="1243">
        <f t="shared" si="80"/>
        <v>0.12093838824177333</v>
      </c>
      <c r="K471" s="1243">
        <f t="shared" si="81"/>
        <v>0.1</v>
      </c>
      <c r="L471" s="203"/>
      <c r="N471" s="1425">
        <v>44546</v>
      </c>
      <c r="O471" s="1502">
        <v>24.827100000000002</v>
      </c>
      <c r="P471" s="1502">
        <v>7.4538000000000002</v>
      </c>
      <c r="Q471" s="1502">
        <v>26.4636</v>
      </c>
      <c r="R471" s="1233">
        <f>'B. PE'!$U$23</f>
        <v>15.978235616082999</v>
      </c>
      <c r="S471" s="1233"/>
      <c r="T471" s="1233"/>
      <c r="V471" s="1425">
        <v>44546</v>
      </c>
      <c r="W471" s="1">
        <v>15.219799999999999</v>
      </c>
      <c r="X471" s="1">
        <v>1.6820999999999999</v>
      </c>
      <c r="Y471" s="1">
        <v>11.738899999999999</v>
      </c>
      <c r="Z471" s="1">
        <v>1.2009300000000001</v>
      </c>
      <c r="AB471" s="1425">
        <v>44530</v>
      </c>
      <c r="AC471" s="1">
        <v>9.5869999999999997</v>
      </c>
      <c r="AD471" s="1502">
        <v>1.6839999999999999</v>
      </c>
      <c r="AE471" s="1">
        <v>5.0103</v>
      </c>
      <c r="AF471" s="1">
        <v>4.2299999999999997E-2</v>
      </c>
      <c r="AH471" s="1425">
        <v>44530</v>
      </c>
      <c r="AI471" s="1">
        <v>20.52</v>
      </c>
      <c r="AJ471" s="1">
        <v>3.5461999999999998</v>
      </c>
      <c r="AK471" s="1">
        <v>9.8369</v>
      </c>
      <c r="AL471" s="1">
        <v>5.2560000000000003E-2</v>
      </c>
      <c r="AN471" s="1425">
        <v>44532</v>
      </c>
      <c r="AO471" s="1">
        <v>9.4030000000000005</v>
      </c>
      <c r="AP471" s="1">
        <v>1.2447999999999999</v>
      </c>
      <c r="AQ471" s="1">
        <v>5.3421000000000003</v>
      </c>
      <c r="AR471" s="1">
        <v>0.30864999999999998</v>
      </c>
      <c r="AT471" s="1425">
        <v>44532</v>
      </c>
      <c r="AU471" s="1">
        <v>8.3215000000000003</v>
      </c>
      <c r="AV471" s="1">
        <v>0.54259999999999997</v>
      </c>
      <c r="AW471" s="1">
        <v>5.4542000000000002</v>
      </c>
      <c r="BA471" s="1425">
        <v>44526</v>
      </c>
      <c r="BB471" s="1">
        <v>18.4116</v>
      </c>
      <c r="BC471" s="1">
        <v>4.6029999999999998</v>
      </c>
      <c r="BD471" s="1">
        <v>17.437999999999999</v>
      </c>
      <c r="BE471" s="1">
        <v>1.2724899999999999</v>
      </c>
      <c r="BG471" s="1425">
        <v>44526</v>
      </c>
      <c r="BH471" s="1">
        <v>22.885300000000001</v>
      </c>
      <c r="BI471" s="1">
        <v>6.6288999999999998</v>
      </c>
      <c r="BJ471" s="1">
        <v>30.610099999999999</v>
      </c>
      <c r="BT471" s="1425">
        <v>44546</v>
      </c>
      <c r="BU471" s="1">
        <v>21.120699999999999</v>
      </c>
      <c r="BV471" s="1">
        <v>5.0675999999999997</v>
      </c>
      <c r="BW471" s="1">
        <v>12.9161</v>
      </c>
      <c r="BX471" s="1">
        <v>2.9447999999999999</v>
      </c>
      <c r="BZ471" s="1425">
        <v>44546</v>
      </c>
      <c r="CA471" s="1">
        <v>52.661799999999999</v>
      </c>
      <c r="CB471" s="1">
        <v>4.5354999999999999</v>
      </c>
      <c r="CC471" s="1">
        <v>83.227699999999999</v>
      </c>
      <c r="CD471" s="1">
        <v>1.9290099999999999</v>
      </c>
      <c r="CF471" s="1425">
        <v>44545</v>
      </c>
      <c r="CG471" s="1">
        <v>10.546099999999999</v>
      </c>
      <c r="CH471" s="1">
        <v>2.2317</v>
      </c>
      <c r="CI471" s="1">
        <v>8.3451000000000004</v>
      </c>
      <c r="CL471" s="1425">
        <v>44559</v>
      </c>
      <c r="CM471" s="1">
        <v>26.866199999999999</v>
      </c>
      <c r="CN471" s="1">
        <v>2.8933</v>
      </c>
      <c r="CO471" s="1">
        <v>12.1691</v>
      </c>
    </row>
    <row r="472" spans="1:93">
      <c r="A472" s="1425">
        <v>44545</v>
      </c>
      <c r="B472" s="20">
        <f t="shared" si="72"/>
        <v>25.0092</v>
      </c>
      <c r="C472" s="20">
        <f t="shared" si="74"/>
        <v>15.0328</v>
      </c>
      <c r="D472" s="20">
        <f t="shared" si="75"/>
        <v>20.793600000000001</v>
      </c>
      <c r="E472" s="20">
        <f t="shared" si="76"/>
        <v>9.3284000000000002</v>
      </c>
      <c r="F472" s="20">
        <f t="shared" si="77"/>
        <v>25.720700000000001</v>
      </c>
      <c r="G472" s="20">
        <f t="shared" si="78"/>
        <v>20.813099999999999</v>
      </c>
      <c r="H472" s="1239">
        <f t="shared" si="79"/>
        <v>20.793600000000001</v>
      </c>
      <c r="I472" s="1243">
        <f t="shared" si="73"/>
        <v>0.20273545706371188</v>
      </c>
      <c r="J472" s="1243">
        <f t="shared" si="80"/>
        <v>0.12093838824177333</v>
      </c>
      <c r="K472" s="1243">
        <f t="shared" si="81"/>
        <v>0.1</v>
      </c>
      <c r="L472" s="203"/>
      <c r="N472" s="1425">
        <v>44545</v>
      </c>
      <c r="O472" s="1502">
        <v>25.0092</v>
      </c>
      <c r="P472" s="1502">
        <v>7.5084</v>
      </c>
      <c r="Q472" s="1502">
        <v>26.6492</v>
      </c>
      <c r="R472" s="1233">
        <f>'B. PE'!$U$23</f>
        <v>15.978235616082999</v>
      </c>
      <c r="S472" s="1233"/>
      <c r="T472" s="1233"/>
      <c r="V472" s="1425">
        <v>44545</v>
      </c>
      <c r="W472" s="1">
        <v>15.0328</v>
      </c>
      <c r="X472" s="1">
        <v>1.6614</v>
      </c>
      <c r="Y472" s="1">
        <v>11.6225</v>
      </c>
      <c r="Z472" s="1">
        <v>1.15062</v>
      </c>
      <c r="AB472" s="1425">
        <v>44529</v>
      </c>
      <c r="AC472" s="1">
        <v>9.6643000000000008</v>
      </c>
      <c r="AD472" s="1502">
        <v>1.6976</v>
      </c>
      <c r="AE472" s="1">
        <v>5.0445000000000002</v>
      </c>
      <c r="AF472" s="1">
        <v>4.4450000000000003E-2</v>
      </c>
      <c r="AH472" s="1425">
        <v>44529</v>
      </c>
      <c r="AI472" s="1">
        <v>21.1219</v>
      </c>
      <c r="AJ472" s="1">
        <v>3.6501999999999999</v>
      </c>
      <c r="AK472" s="1">
        <v>10.1487</v>
      </c>
      <c r="AL472" s="1">
        <v>5.3760000000000002E-2</v>
      </c>
      <c r="AN472" s="1425">
        <v>44531</v>
      </c>
      <c r="AO472" s="1">
        <v>9.5521999999999991</v>
      </c>
      <c r="AP472" s="1">
        <v>1.2645</v>
      </c>
      <c r="AQ472" s="1">
        <v>5.4583000000000004</v>
      </c>
      <c r="AR472" s="1">
        <v>0.30890000000000001</v>
      </c>
      <c r="AT472" s="1425">
        <v>44531</v>
      </c>
      <c r="AW472" s="1">
        <v>5.5723000000000003</v>
      </c>
      <c r="AX472" s="1">
        <v>0.14147999999999999</v>
      </c>
      <c r="BA472" s="1425">
        <v>44525</v>
      </c>
      <c r="BB472" s="1">
        <v>19.669499999999999</v>
      </c>
      <c r="BC472" s="1">
        <v>4.9175000000000004</v>
      </c>
      <c r="BD472" s="1">
        <v>18.4345</v>
      </c>
      <c r="BE472" s="1">
        <v>1.1616299999999999</v>
      </c>
      <c r="BG472" s="1425">
        <v>44525</v>
      </c>
      <c r="BH472" s="1">
        <v>23.492899999999999</v>
      </c>
      <c r="BI472" s="1">
        <v>6.8048000000000002</v>
      </c>
      <c r="BJ472" s="1">
        <v>31.363</v>
      </c>
      <c r="BT472" s="1425">
        <v>44545</v>
      </c>
      <c r="BU472" s="1">
        <v>21.484300000000001</v>
      </c>
      <c r="BV472" s="1">
        <v>5.1548999999999996</v>
      </c>
      <c r="BW472" s="1">
        <v>13.1211</v>
      </c>
      <c r="BX472" s="1">
        <v>2.9363000000000001</v>
      </c>
      <c r="BZ472" s="1425">
        <v>44545</v>
      </c>
      <c r="CA472" s="1">
        <v>53.214700000000001</v>
      </c>
      <c r="CB472" s="1">
        <v>4.5831</v>
      </c>
      <c r="CC472" s="1">
        <v>83.805400000000006</v>
      </c>
      <c r="CD472" s="1">
        <v>1.9104099999999999</v>
      </c>
      <c r="CF472" s="1425">
        <v>44544</v>
      </c>
      <c r="CG472" s="1">
        <v>10.546099999999999</v>
      </c>
      <c r="CH472" s="1">
        <v>2.2317</v>
      </c>
      <c r="CI472" s="1">
        <v>8.3451000000000004</v>
      </c>
      <c r="CL472" s="1425">
        <v>44558</v>
      </c>
      <c r="CM472" s="1">
        <v>26.724</v>
      </c>
      <c r="CN472" s="1">
        <v>2.8780000000000001</v>
      </c>
      <c r="CO472" s="1">
        <v>12.1052</v>
      </c>
    </row>
    <row r="473" spans="1:93">
      <c r="A473" s="1425">
        <v>44544</v>
      </c>
      <c r="B473" s="20">
        <f t="shared" si="72"/>
        <v>25.029399999999999</v>
      </c>
      <c r="C473" s="20">
        <f t="shared" si="74"/>
        <v>15.3367</v>
      </c>
      <c r="D473" s="20">
        <f t="shared" si="75"/>
        <v>21.231400000000001</v>
      </c>
      <c r="E473" s="20">
        <f t="shared" si="76"/>
        <v>9.3284000000000002</v>
      </c>
      <c r="F473" s="20">
        <f t="shared" si="77"/>
        <v>26.328199999999999</v>
      </c>
      <c r="G473" s="20">
        <f t="shared" si="78"/>
        <v>20.584399999999999</v>
      </c>
      <c r="H473" s="1239">
        <f t="shared" si="79"/>
        <v>20.584399999999999</v>
      </c>
      <c r="I473" s="1243">
        <f t="shared" si="73"/>
        <v>0.2159402265793513</v>
      </c>
      <c r="J473" s="1243">
        <f t="shared" si="80"/>
        <v>0.12093838824177333</v>
      </c>
      <c r="K473" s="1243">
        <f t="shared" si="81"/>
        <v>0.1</v>
      </c>
      <c r="L473" s="203"/>
      <c r="N473" s="1425">
        <v>44544</v>
      </c>
      <c r="O473" s="1502">
        <v>25.029399999999999</v>
      </c>
      <c r="P473" s="1502">
        <v>7.5145</v>
      </c>
      <c r="Q473" s="1502">
        <v>26.669799999999999</v>
      </c>
      <c r="R473" s="1233">
        <f>'B. PE'!$U$23</f>
        <v>15.978235616082999</v>
      </c>
      <c r="S473" s="1233"/>
      <c r="T473" s="1233"/>
      <c r="V473" s="1425">
        <v>44544</v>
      </c>
      <c r="W473" s="1">
        <v>15.3367</v>
      </c>
      <c r="X473" s="1">
        <v>1.6950000000000001</v>
      </c>
      <c r="Y473" s="1">
        <v>11.8116</v>
      </c>
      <c r="Z473" s="1">
        <v>1.1398299999999999</v>
      </c>
      <c r="AB473" s="1425">
        <v>44526</v>
      </c>
      <c r="AC473" s="1">
        <v>9.4323999999999995</v>
      </c>
      <c r="AD473" s="1502">
        <v>1.6569</v>
      </c>
      <c r="AE473" s="1">
        <v>4.9420999999999999</v>
      </c>
      <c r="AF473" s="1">
        <v>4.5109999999999997E-2</v>
      </c>
      <c r="AH473" s="1425">
        <v>44526</v>
      </c>
      <c r="AI473" s="1">
        <v>20.738900000000001</v>
      </c>
      <c r="AJ473" s="1">
        <v>3.5840000000000001</v>
      </c>
      <c r="AK473" s="1">
        <v>9.9503000000000004</v>
      </c>
      <c r="AL473" s="1">
        <v>5.357E-2</v>
      </c>
      <c r="AN473" s="1425">
        <v>44530</v>
      </c>
      <c r="AO473" s="1">
        <v>9.7014999999999993</v>
      </c>
      <c r="AP473" s="1">
        <v>1.2843</v>
      </c>
      <c r="AQ473" s="1">
        <v>5.5744999999999996</v>
      </c>
      <c r="AR473" s="1">
        <v>0.30907000000000001</v>
      </c>
      <c r="AT473" s="1425">
        <v>44530</v>
      </c>
      <c r="AW473" s="1">
        <v>5.5723000000000003</v>
      </c>
      <c r="AX473" s="1">
        <v>0.14038</v>
      </c>
      <c r="BA473" s="1425">
        <v>44524</v>
      </c>
      <c r="BB473" s="1">
        <v>19.440799999999999</v>
      </c>
      <c r="BC473" s="1">
        <v>4.8602999999999996</v>
      </c>
      <c r="BD473" s="1">
        <v>18.253299999999999</v>
      </c>
      <c r="BE473" s="1">
        <v>1.17456</v>
      </c>
      <c r="BG473" s="1425">
        <v>44524</v>
      </c>
      <c r="BH473" s="1">
        <v>22.075199999999999</v>
      </c>
      <c r="BI473" s="1">
        <v>6.3941999999999997</v>
      </c>
      <c r="BJ473" s="1">
        <v>29.606300000000001</v>
      </c>
      <c r="BT473" s="1425">
        <v>44544</v>
      </c>
      <c r="BU473" s="1">
        <v>21.405200000000001</v>
      </c>
      <c r="BV473" s="1">
        <v>5.1359000000000004</v>
      </c>
      <c r="BW473" s="1">
        <v>13.076499999999999</v>
      </c>
      <c r="BX473" s="1">
        <v>2.9146999999999998</v>
      </c>
      <c r="BZ473" s="1425">
        <v>44544</v>
      </c>
      <c r="CA473" s="1">
        <v>52.869100000000003</v>
      </c>
      <c r="CB473" s="1">
        <v>4.5533999999999999</v>
      </c>
      <c r="CC473" s="1">
        <v>83.444299999999998</v>
      </c>
      <c r="CD473" s="1">
        <v>1.8093900000000001</v>
      </c>
      <c r="CF473" s="1425">
        <v>44543</v>
      </c>
      <c r="CG473" s="1">
        <v>10.246700000000001</v>
      </c>
      <c r="CH473" s="1">
        <v>2.1684000000000001</v>
      </c>
      <c r="CI473" s="1">
        <v>8.1264000000000003</v>
      </c>
      <c r="CL473" s="1425">
        <v>44557</v>
      </c>
      <c r="CM473" s="1">
        <v>26.652899999999999</v>
      </c>
      <c r="CN473" s="1">
        <v>2.8702999999999999</v>
      </c>
      <c r="CO473" s="1">
        <v>12.0732</v>
      </c>
    </row>
    <row r="474" spans="1:93">
      <c r="A474" s="1425">
        <v>44543</v>
      </c>
      <c r="B474" s="20">
        <f t="shared" si="72"/>
        <v>25.697099999999999</v>
      </c>
      <c r="C474" s="20">
        <f t="shared" si="74"/>
        <v>14.6821</v>
      </c>
      <c r="D474" s="20">
        <f t="shared" si="75"/>
        <v>21.778600000000001</v>
      </c>
      <c r="E474" s="20">
        <f t="shared" si="76"/>
        <v>9.2537000000000003</v>
      </c>
      <c r="F474" s="20">
        <f t="shared" si="77"/>
        <v>25.3156</v>
      </c>
      <c r="G474" s="20">
        <f t="shared" si="78"/>
        <v>20.584399999999999</v>
      </c>
      <c r="H474" s="1239">
        <f t="shared" si="79"/>
        <v>20.584399999999999</v>
      </c>
      <c r="I474" s="1243">
        <f t="shared" si="73"/>
        <v>0.24837741202075359</v>
      </c>
      <c r="J474" s="1243">
        <f t="shared" si="80"/>
        <v>0.12093838824177333</v>
      </c>
      <c r="K474" s="1243">
        <f t="shared" si="81"/>
        <v>0.1</v>
      </c>
      <c r="L474" s="203"/>
      <c r="N474" s="1425">
        <v>44543</v>
      </c>
      <c r="O474" s="1502">
        <v>25.697099999999999</v>
      </c>
      <c r="P474" s="1502">
        <v>7.7149999999999999</v>
      </c>
      <c r="Q474" s="1502">
        <v>27.350200000000001</v>
      </c>
      <c r="R474" s="1233">
        <f>'B. PE'!$U$23</f>
        <v>15.978235616082999</v>
      </c>
      <c r="S474" s="1233"/>
      <c r="T474" s="1233"/>
      <c r="V474" s="1425">
        <v>44543</v>
      </c>
      <c r="W474" s="1">
        <v>14.6821</v>
      </c>
      <c r="X474" s="1">
        <v>1.6227</v>
      </c>
      <c r="Y474" s="1">
        <v>11.404299999999999</v>
      </c>
      <c r="Z474" s="1">
        <v>1.1443399999999999</v>
      </c>
      <c r="AB474" s="1425">
        <v>44525</v>
      </c>
      <c r="AC474" s="1">
        <v>9.8188999999999993</v>
      </c>
      <c r="AD474" s="1502">
        <v>1.7248000000000001</v>
      </c>
      <c r="AE474" s="1">
        <v>5.1127000000000002</v>
      </c>
      <c r="AF474" s="1">
        <v>4.5909999999999999E-2</v>
      </c>
      <c r="AH474" s="1425">
        <v>44525</v>
      </c>
      <c r="AI474" s="1">
        <v>21.012499999999999</v>
      </c>
      <c r="AJ474" s="1">
        <v>3.6313</v>
      </c>
      <c r="AK474" s="1">
        <v>10.092000000000001</v>
      </c>
      <c r="AL474" s="1">
        <v>5.1299999999999998E-2</v>
      </c>
      <c r="AN474" s="1425">
        <v>44529</v>
      </c>
      <c r="AO474" s="1">
        <v>9.7760999999999996</v>
      </c>
      <c r="AP474" s="1">
        <v>1.2942</v>
      </c>
      <c r="AQ474" s="1">
        <v>5.6326000000000001</v>
      </c>
      <c r="AR474" s="1">
        <v>0.31430999999999998</v>
      </c>
      <c r="AT474" s="1425">
        <v>44529</v>
      </c>
      <c r="AU474" s="1">
        <v>8.5349000000000004</v>
      </c>
      <c r="AV474" s="1">
        <v>0.55649999999999999</v>
      </c>
      <c r="AW474" s="1">
        <v>5.5723000000000003</v>
      </c>
      <c r="AX474" s="1">
        <v>0.14298</v>
      </c>
      <c r="BA474" s="1425">
        <v>44523</v>
      </c>
      <c r="BB474" s="1">
        <v>17.6111</v>
      </c>
      <c r="BC474" s="1">
        <v>4.4028999999999998</v>
      </c>
      <c r="BD474" s="1">
        <v>16.803899999999999</v>
      </c>
      <c r="BE474" s="1">
        <v>1.16506</v>
      </c>
      <c r="BG474" s="1425">
        <v>44523</v>
      </c>
      <c r="BH474" s="1">
        <v>21.0626</v>
      </c>
      <c r="BI474" s="1">
        <v>6.1009000000000002</v>
      </c>
      <c r="BJ474" s="1">
        <v>28.351500000000001</v>
      </c>
      <c r="BT474" s="1425">
        <v>44543</v>
      </c>
      <c r="BU474" s="1">
        <v>21.3262</v>
      </c>
      <c r="BV474" s="1">
        <v>5.1169000000000002</v>
      </c>
      <c r="BW474" s="1">
        <v>13.032</v>
      </c>
      <c r="BX474" s="1">
        <v>2.9194</v>
      </c>
      <c r="BZ474" s="1425">
        <v>44543</v>
      </c>
      <c r="CA474" s="1">
        <v>52.316299999999998</v>
      </c>
      <c r="CB474" s="1">
        <v>4.5057</v>
      </c>
      <c r="CC474" s="1">
        <v>82.866600000000005</v>
      </c>
      <c r="CD474" s="1">
        <v>1.73787</v>
      </c>
      <c r="CF474" s="1425">
        <v>44540</v>
      </c>
      <c r="CG474" s="1">
        <v>10.379799999999999</v>
      </c>
      <c r="CH474" s="1">
        <v>2.1964999999999999</v>
      </c>
      <c r="CI474" s="1">
        <v>8.2235999999999994</v>
      </c>
      <c r="CL474" s="1425">
        <v>44554</v>
      </c>
      <c r="CO474" s="1">
        <v>12.001200000000001</v>
      </c>
    </row>
    <row r="475" spans="1:93">
      <c r="A475" s="1425">
        <v>44540</v>
      </c>
      <c r="B475" s="20">
        <f t="shared" si="72"/>
        <v>26.101800000000001</v>
      </c>
      <c r="C475" s="20">
        <f t="shared" si="74"/>
        <v>14.565200000000001</v>
      </c>
      <c r="D475" s="20">
        <f t="shared" si="75"/>
        <v>21.1767</v>
      </c>
      <c r="E475" s="20">
        <f t="shared" si="76"/>
        <v>9.2537000000000003</v>
      </c>
      <c r="F475" s="20">
        <f t="shared" si="77"/>
        <v>25.3156</v>
      </c>
      <c r="G475" s="20">
        <f t="shared" si="78"/>
        <v>20.584399999999999</v>
      </c>
      <c r="H475" s="1239">
        <f t="shared" si="79"/>
        <v>20.584399999999999</v>
      </c>
      <c r="I475" s="1243">
        <f t="shared" si="73"/>
        <v>0.26803793163755096</v>
      </c>
      <c r="J475" s="1243">
        <f t="shared" si="80"/>
        <v>0.12093838824177333</v>
      </c>
      <c r="K475" s="1243">
        <f t="shared" si="81"/>
        <v>0.1</v>
      </c>
      <c r="L475" s="203"/>
      <c r="N475" s="1425">
        <v>44540</v>
      </c>
      <c r="O475" s="1502">
        <v>26.101800000000001</v>
      </c>
      <c r="P475" s="1502">
        <v>7.8365</v>
      </c>
      <c r="Q475" s="1502">
        <v>27.762599999999999</v>
      </c>
      <c r="R475" s="1233">
        <f>'B. PE'!$U$23</f>
        <v>15.978235616082999</v>
      </c>
      <c r="S475" s="1233"/>
      <c r="T475" s="1233"/>
      <c r="V475" s="1425">
        <v>44540</v>
      </c>
      <c r="W475" s="1">
        <v>14.565200000000001</v>
      </c>
      <c r="X475" s="1">
        <v>1.6097999999999999</v>
      </c>
      <c r="Y475" s="1">
        <v>11.3316</v>
      </c>
      <c r="Z475" s="1">
        <v>1.09832</v>
      </c>
      <c r="AB475" s="1425">
        <v>44524</v>
      </c>
      <c r="AC475" s="1">
        <v>9.9735999999999994</v>
      </c>
      <c r="AD475" s="1502">
        <v>1.7519</v>
      </c>
      <c r="AE475" s="1">
        <v>5.1809000000000003</v>
      </c>
      <c r="AF475" s="1">
        <v>4.6289999999999998E-2</v>
      </c>
      <c r="AH475" s="1425">
        <v>44524</v>
      </c>
      <c r="AI475" s="1">
        <v>20.957799999999999</v>
      </c>
      <c r="AJ475" s="1">
        <v>3.6217999999999999</v>
      </c>
      <c r="AK475" s="1">
        <v>10.063599999999999</v>
      </c>
      <c r="AL475" s="1">
        <v>5.0360000000000002E-2</v>
      </c>
      <c r="AN475" s="1425">
        <v>44526</v>
      </c>
      <c r="AO475" s="1">
        <v>9.7760999999999996</v>
      </c>
      <c r="AP475" s="1">
        <v>1.2942</v>
      </c>
      <c r="AQ475" s="1">
        <v>5.6326000000000001</v>
      </c>
      <c r="AR475" s="1">
        <v>0.31814999999999999</v>
      </c>
      <c r="AT475" s="1425">
        <v>44526</v>
      </c>
      <c r="AU475" s="1">
        <v>8.4636999999999993</v>
      </c>
      <c r="AV475" s="1">
        <v>0.55179999999999996</v>
      </c>
      <c r="AW475" s="1">
        <v>5.5328999999999997</v>
      </c>
      <c r="AX475" s="1">
        <v>0.14363999999999999</v>
      </c>
      <c r="BA475" s="1425">
        <v>44522</v>
      </c>
      <c r="BB475" s="1">
        <v>17.7254</v>
      </c>
      <c r="BC475" s="1">
        <v>4.4314999999999998</v>
      </c>
      <c r="BD475" s="1">
        <v>16.894500000000001</v>
      </c>
      <c r="BE475" s="1">
        <v>1.2119899999999999</v>
      </c>
      <c r="BG475" s="1425">
        <v>44522</v>
      </c>
      <c r="BH475" s="1">
        <v>21.2651</v>
      </c>
      <c r="BI475" s="1">
        <v>6.1596000000000002</v>
      </c>
      <c r="BJ475" s="1">
        <v>28.602499999999999</v>
      </c>
      <c r="BT475" s="1425">
        <v>44540</v>
      </c>
      <c r="BU475" s="1">
        <v>21.1997</v>
      </c>
      <c r="BV475" s="1">
        <v>5.0865999999999998</v>
      </c>
      <c r="BW475" s="1">
        <v>12.960599999999999</v>
      </c>
      <c r="BX475" s="1">
        <v>2.9119000000000002</v>
      </c>
      <c r="BZ475" s="1425">
        <v>44540</v>
      </c>
      <c r="CA475" s="1">
        <v>49.621000000000002</v>
      </c>
      <c r="CB475" s="1">
        <v>4.2736000000000001</v>
      </c>
      <c r="CC475" s="1">
        <v>80.0501</v>
      </c>
      <c r="CD475" s="1">
        <v>1.6212299999999999</v>
      </c>
      <c r="CF475" s="1425">
        <v>44539</v>
      </c>
      <c r="CG475" s="1">
        <v>10.4796</v>
      </c>
      <c r="CH475" s="1">
        <v>2.2176999999999998</v>
      </c>
      <c r="CI475" s="1">
        <v>8.2965</v>
      </c>
      <c r="CL475" s="1425">
        <v>44553</v>
      </c>
      <c r="CM475" s="1">
        <v>26.492899999999999</v>
      </c>
      <c r="CN475" s="1">
        <v>2.8531</v>
      </c>
      <c r="CO475" s="1">
        <v>12.001200000000001</v>
      </c>
    </row>
    <row r="476" spans="1:93">
      <c r="A476" s="1425">
        <v>44539</v>
      </c>
      <c r="B476" s="20">
        <f t="shared" si="72"/>
        <v>26.385100000000001</v>
      </c>
      <c r="C476" s="20">
        <f t="shared" si="74"/>
        <v>14.5886</v>
      </c>
      <c r="D476" s="20">
        <f t="shared" si="75"/>
        <v>21.340800000000002</v>
      </c>
      <c r="E476" s="20">
        <f t="shared" si="76"/>
        <v>9.2537000000000003</v>
      </c>
      <c r="F476" s="20">
        <f t="shared" si="77"/>
        <v>25.113099999999999</v>
      </c>
      <c r="G476" s="20">
        <f t="shared" si="78"/>
        <v>20.355699999999999</v>
      </c>
      <c r="H476" s="1239">
        <f t="shared" si="79"/>
        <v>20.355699999999999</v>
      </c>
      <c r="I476" s="1243">
        <f t="shared" si="73"/>
        <v>0.29620204660119787</v>
      </c>
      <c r="J476" s="1243">
        <f t="shared" si="80"/>
        <v>0.12093838824177333</v>
      </c>
      <c r="K476" s="1243">
        <f t="shared" si="81"/>
        <v>0.1</v>
      </c>
      <c r="L476" s="203"/>
      <c r="N476" s="1425">
        <v>44539</v>
      </c>
      <c r="O476" s="1502">
        <v>26.385100000000001</v>
      </c>
      <c r="P476" s="1502">
        <v>7.9215</v>
      </c>
      <c r="Q476" s="1502">
        <v>28.051200000000001</v>
      </c>
      <c r="R476" s="1233">
        <f>'B. PE'!$U$23</f>
        <v>15.978235616082999</v>
      </c>
      <c r="S476" s="1233"/>
      <c r="T476" s="1233"/>
      <c r="V476" s="1425">
        <v>44539</v>
      </c>
      <c r="W476" s="1">
        <v>14.5886</v>
      </c>
      <c r="X476" s="1">
        <v>1.6123000000000001</v>
      </c>
      <c r="Y476" s="1">
        <v>11.3462</v>
      </c>
      <c r="Z476" s="1">
        <v>1.09351</v>
      </c>
      <c r="AB476" s="1425">
        <v>44523</v>
      </c>
      <c r="AC476" s="1">
        <v>10.1282</v>
      </c>
      <c r="AD476" s="1502">
        <v>1.7790999999999999</v>
      </c>
      <c r="AE476" s="1">
        <v>5.2491000000000003</v>
      </c>
      <c r="AF476" s="1">
        <v>4.5609999999999998E-2</v>
      </c>
      <c r="AH476" s="1425">
        <v>44523</v>
      </c>
      <c r="AI476" s="1">
        <v>20.0275</v>
      </c>
      <c r="AJ476" s="1">
        <v>3.4611000000000001</v>
      </c>
      <c r="AK476" s="1">
        <v>9.5817999999999994</v>
      </c>
      <c r="AL476" s="1">
        <v>4.9680000000000002E-2</v>
      </c>
      <c r="AN476" s="1425">
        <v>44525</v>
      </c>
      <c r="AO476" s="1">
        <v>9.9253999999999998</v>
      </c>
      <c r="AP476" s="1">
        <v>1.3139000000000001</v>
      </c>
      <c r="AQ476" s="1">
        <v>5.7488000000000001</v>
      </c>
      <c r="AR476" s="1">
        <v>0.32096999999999998</v>
      </c>
      <c r="AT476" s="1425">
        <v>44525</v>
      </c>
      <c r="AU476" s="1">
        <v>8.6059999999999999</v>
      </c>
      <c r="AV476" s="1">
        <v>0.56110000000000004</v>
      </c>
      <c r="AW476" s="1">
        <v>5.6116000000000001</v>
      </c>
      <c r="AX476" s="1">
        <v>0.14384</v>
      </c>
      <c r="BA476" s="1425">
        <v>44519</v>
      </c>
      <c r="BB476" s="1">
        <v>17.496700000000001</v>
      </c>
      <c r="BC476" s="1">
        <v>4.3742999999999999</v>
      </c>
      <c r="BD476" s="1">
        <v>16.7133</v>
      </c>
      <c r="BE476" s="1">
        <v>1.13347</v>
      </c>
      <c r="BG476" s="1425">
        <v>44519</v>
      </c>
      <c r="BH476" s="1">
        <v>21.467600000000001</v>
      </c>
      <c r="BI476" s="1">
        <v>6.2182000000000004</v>
      </c>
      <c r="BJ476" s="1">
        <v>28.853400000000001</v>
      </c>
      <c r="BT476" s="1425">
        <v>44539</v>
      </c>
      <c r="BU476" s="1">
        <v>21.183900000000001</v>
      </c>
      <c r="BV476" s="1">
        <v>5.0827999999999998</v>
      </c>
      <c r="BW476" s="1">
        <v>12.951700000000001</v>
      </c>
      <c r="BX476" s="1">
        <v>2.8904999999999998</v>
      </c>
      <c r="BZ476" s="1425">
        <v>44539</v>
      </c>
      <c r="CA476" s="1">
        <v>47.547699999999999</v>
      </c>
      <c r="CB476" s="1">
        <v>4.0951000000000004</v>
      </c>
      <c r="CC476" s="1">
        <v>77.883499999999998</v>
      </c>
      <c r="CD476" s="1">
        <v>1.55891</v>
      </c>
      <c r="CF476" s="1425">
        <v>44538</v>
      </c>
      <c r="CG476" s="1">
        <v>10.3132</v>
      </c>
      <c r="CH476" s="1">
        <v>2.1825000000000001</v>
      </c>
      <c r="CI476" s="1">
        <v>8.1750000000000007</v>
      </c>
      <c r="CL476" s="1425">
        <v>44552</v>
      </c>
      <c r="CM476" s="1">
        <v>26.279499999999999</v>
      </c>
      <c r="CN476" s="1">
        <v>2.8300999999999998</v>
      </c>
      <c r="CO476" s="1">
        <v>11.9053</v>
      </c>
    </row>
    <row r="477" spans="1:93">
      <c r="A477" s="1425">
        <v>44538</v>
      </c>
      <c r="B477" s="20">
        <f t="shared" si="72"/>
        <v>25.515000000000001</v>
      </c>
      <c r="C477" s="20">
        <f t="shared" si="74"/>
        <v>14.0275</v>
      </c>
      <c r="D477" s="20">
        <f t="shared" si="75"/>
        <v>20.903099999999998</v>
      </c>
      <c r="E477" s="20">
        <f t="shared" si="76"/>
        <v>9.3284000000000002</v>
      </c>
      <c r="F477" s="20">
        <f t="shared" si="77"/>
        <v>25.3156</v>
      </c>
      <c r="G477" s="20">
        <f t="shared" si="78"/>
        <v>20.241299999999999</v>
      </c>
      <c r="H477" s="1239">
        <f t="shared" si="79"/>
        <v>20.241299999999999</v>
      </c>
      <c r="I477" s="1243">
        <f t="shared" si="73"/>
        <v>0.26054156600613609</v>
      </c>
      <c r="J477" s="1243">
        <f t="shared" si="80"/>
        <v>0.12093838824177333</v>
      </c>
      <c r="K477" s="1243">
        <f t="shared" si="81"/>
        <v>0.1</v>
      </c>
      <c r="L477" s="203"/>
      <c r="N477" s="1425">
        <v>44538</v>
      </c>
      <c r="O477" s="1502">
        <v>25.515000000000001</v>
      </c>
      <c r="P477" s="1502">
        <v>7.6603000000000003</v>
      </c>
      <c r="Q477" s="1502">
        <v>27.1646</v>
      </c>
      <c r="R477" s="1233">
        <f>'B. PE'!$U$23</f>
        <v>15.978235616082999</v>
      </c>
      <c r="S477" s="1233"/>
      <c r="T477" s="1233"/>
      <c r="V477" s="1425">
        <v>44538</v>
      </c>
      <c r="W477" s="1">
        <v>14.0275</v>
      </c>
      <c r="X477" s="1">
        <v>1.5503</v>
      </c>
      <c r="Y477" s="1">
        <v>10.9971</v>
      </c>
      <c r="Z477" s="1">
        <v>1.0810500000000001</v>
      </c>
      <c r="AB477" s="1425">
        <v>44522</v>
      </c>
      <c r="AC477" s="1">
        <v>10.205500000000001</v>
      </c>
      <c r="AD477" s="1502">
        <v>1.7927</v>
      </c>
      <c r="AE477" s="1">
        <v>5.2831999999999999</v>
      </c>
      <c r="AF477" s="1">
        <v>4.5749999999999999E-2</v>
      </c>
      <c r="AH477" s="1425">
        <v>44522</v>
      </c>
      <c r="AI477" s="1">
        <v>19.644500000000001</v>
      </c>
      <c r="AJ477" s="1">
        <v>3.3948999999999998</v>
      </c>
      <c r="AK477" s="1">
        <v>9.3834</v>
      </c>
      <c r="AL477" s="1">
        <v>4.9549999999999997E-2</v>
      </c>
      <c r="AN477" s="1425">
        <v>44524</v>
      </c>
      <c r="AO477" s="1">
        <v>10</v>
      </c>
      <c r="AP477" s="1">
        <v>1.3238000000000001</v>
      </c>
      <c r="AQ477" s="1">
        <v>5.8068999999999997</v>
      </c>
      <c r="AR477" s="1">
        <v>0.32255</v>
      </c>
      <c r="AT477" s="1425">
        <v>44524</v>
      </c>
      <c r="AU477" s="1">
        <v>8.6059999999999999</v>
      </c>
      <c r="AV477" s="1">
        <v>0.56110000000000004</v>
      </c>
      <c r="AW477" s="1">
        <v>5.6116000000000001</v>
      </c>
      <c r="AX477" s="1">
        <v>0.14813000000000001</v>
      </c>
      <c r="BA477" s="1425">
        <v>44518</v>
      </c>
      <c r="BB477" s="1">
        <v>18.0685</v>
      </c>
      <c r="BC477" s="1">
        <v>4.5171999999999999</v>
      </c>
      <c r="BD477" s="1">
        <v>17.1663</v>
      </c>
      <c r="BE477" s="1">
        <v>1.2059599999999999</v>
      </c>
      <c r="BG477" s="1425">
        <v>44518</v>
      </c>
      <c r="BH477" s="1">
        <v>21.467600000000001</v>
      </c>
      <c r="BI477" s="1">
        <v>6.2182000000000004</v>
      </c>
      <c r="BJ477" s="1">
        <v>28.853400000000001</v>
      </c>
      <c r="BT477" s="1425">
        <v>44538</v>
      </c>
      <c r="BU477" s="1">
        <v>21.168099999999999</v>
      </c>
      <c r="BV477" s="1">
        <v>5.0789999999999997</v>
      </c>
      <c r="BW477" s="1">
        <v>12.9428</v>
      </c>
      <c r="BX477" s="1">
        <v>2.8603000000000001</v>
      </c>
      <c r="BZ477" s="1425">
        <v>44538</v>
      </c>
      <c r="CA477" s="1">
        <v>44.4377</v>
      </c>
      <c r="CB477" s="1">
        <v>3.8271999999999999</v>
      </c>
      <c r="CC477" s="1">
        <v>74.633700000000005</v>
      </c>
      <c r="CD477" s="1">
        <v>1.5142599999999999</v>
      </c>
      <c r="CF477" s="1425">
        <v>44537</v>
      </c>
      <c r="CG477" s="1">
        <v>10.5794</v>
      </c>
      <c r="CH477" s="1">
        <v>2.2387999999999999</v>
      </c>
      <c r="CI477" s="1">
        <v>8.3694000000000006</v>
      </c>
      <c r="CL477" s="1425">
        <v>44551</v>
      </c>
      <c r="CM477" s="1">
        <v>26.1372</v>
      </c>
      <c r="CN477" s="1">
        <v>2.8148</v>
      </c>
      <c r="CO477" s="1">
        <v>11.8413</v>
      </c>
    </row>
    <row r="478" spans="1:93">
      <c r="A478" s="1425">
        <v>44537</v>
      </c>
      <c r="B478" s="20">
        <f t="shared" si="72"/>
        <v>26.142299999999999</v>
      </c>
      <c r="C478" s="20">
        <f t="shared" si="74"/>
        <v>14.0275</v>
      </c>
      <c r="D478" s="20">
        <f t="shared" si="75"/>
        <v>20.410599999999999</v>
      </c>
      <c r="E478" s="20">
        <f t="shared" si="76"/>
        <v>9.3284000000000002</v>
      </c>
      <c r="F478" s="20">
        <f t="shared" si="77"/>
        <v>26.7333</v>
      </c>
      <c r="G478" s="20">
        <f t="shared" si="78"/>
        <v>20.126899999999999</v>
      </c>
      <c r="H478" s="1239">
        <f t="shared" si="79"/>
        <v>20.126899999999999</v>
      </c>
      <c r="I478" s="1243">
        <f t="shared" si="73"/>
        <v>0.29887364671161487</v>
      </c>
      <c r="J478" s="1243">
        <f t="shared" si="80"/>
        <v>0.12093838824177333</v>
      </c>
      <c r="K478" s="1243">
        <f t="shared" si="81"/>
        <v>0.1</v>
      </c>
      <c r="L478" s="203"/>
      <c r="N478" s="1425">
        <v>44537</v>
      </c>
      <c r="O478" s="1502">
        <v>26.142299999999999</v>
      </c>
      <c r="P478" s="1502">
        <v>7.8486000000000002</v>
      </c>
      <c r="Q478" s="1502">
        <v>27.803799999999999</v>
      </c>
      <c r="R478" s="1233">
        <f>'B. PE'!$U$23</f>
        <v>15.978235616082999</v>
      </c>
      <c r="S478" s="1233"/>
      <c r="T478" s="1233"/>
      <c r="V478" s="1425">
        <v>44537</v>
      </c>
      <c r="W478" s="1">
        <v>14.0275</v>
      </c>
      <c r="X478" s="1">
        <v>1.5503</v>
      </c>
      <c r="Y478" s="1">
        <v>10.9971</v>
      </c>
      <c r="Z478" s="1">
        <v>1.1079600000000001</v>
      </c>
      <c r="AB478" s="1425">
        <v>44519</v>
      </c>
      <c r="AC478" s="1">
        <v>10.0509</v>
      </c>
      <c r="AD478" s="1502">
        <v>1.7655000000000001</v>
      </c>
      <c r="AE478" s="1">
        <v>5.2149999999999999</v>
      </c>
      <c r="AF478" s="1">
        <v>4.7070000000000001E-2</v>
      </c>
      <c r="AH478" s="1425">
        <v>44519</v>
      </c>
      <c r="AI478" s="1">
        <v>19.370899999999999</v>
      </c>
      <c r="AJ478" s="1">
        <v>3.3475999999999999</v>
      </c>
      <c r="AK478" s="1">
        <v>9.2416</v>
      </c>
      <c r="AL478" s="1">
        <v>5.0160000000000003E-2</v>
      </c>
      <c r="AN478" s="1425">
        <v>44523</v>
      </c>
      <c r="AO478" s="1">
        <v>10.0746</v>
      </c>
      <c r="AP478" s="1">
        <v>1.3337000000000001</v>
      </c>
      <c r="AQ478" s="1">
        <v>5.8650000000000002</v>
      </c>
      <c r="AR478" s="1">
        <v>0.32245000000000001</v>
      </c>
      <c r="AT478" s="1425">
        <v>44523</v>
      </c>
      <c r="AU478" s="1">
        <v>8.6059999999999999</v>
      </c>
      <c r="AV478" s="1">
        <v>0.56110000000000004</v>
      </c>
      <c r="AW478" s="1">
        <v>5.6116000000000001</v>
      </c>
      <c r="AX478" s="1">
        <v>0.14688999999999999</v>
      </c>
      <c r="BA478" s="1425">
        <v>44517</v>
      </c>
      <c r="BB478" s="1">
        <v>16.924900000000001</v>
      </c>
      <c r="BC478" s="1">
        <v>4.2313000000000001</v>
      </c>
      <c r="BD478" s="1">
        <v>16.260400000000001</v>
      </c>
      <c r="BE478" s="1">
        <v>1.14581</v>
      </c>
      <c r="BG478" s="1425">
        <v>44517</v>
      </c>
      <c r="BH478" s="1">
        <v>21.872699999999998</v>
      </c>
      <c r="BI478" s="1">
        <v>6.3354999999999997</v>
      </c>
      <c r="BJ478" s="1">
        <v>29.3553</v>
      </c>
      <c r="BT478" s="1425">
        <v>44537</v>
      </c>
      <c r="BU478" s="1">
        <v>21.104900000000001</v>
      </c>
      <c r="BV478" s="1">
        <v>5.0637999999999996</v>
      </c>
      <c r="BW478" s="1">
        <v>12.9071</v>
      </c>
      <c r="BX478" s="1">
        <v>2.9287000000000001</v>
      </c>
      <c r="BZ478" s="1425">
        <v>44537</v>
      </c>
      <c r="CA478" s="1">
        <v>42.917299999999997</v>
      </c>
      <c r="CB478" s="1">
        <v>3.6962999999999999</v>
      </c>
      <c r="CC478" s="1">
        <v>73.044899999999998</v>
      </c>
      <c r="CD478" s="1">
        <v>1.5769599999999999</v>
      </c>
      <c r="CF478" s="1425">
        <v>44536</v>
      </c>
      <c r="CG478" s="1">
        <v>10.0138</v>
      </c>
      <c r="CH478" s="1">
        <v>2.1191</v>
      </c>
      <c r="CI478" s="1">
        <v>7.9564000000000004</v>
      </c>
      <c r="CL478" s="1425">
        <v>44550</v>
      </c>
      <c r="CM478" s="1">
        <v>25.995000000000001</v>
      </c>
      <c r="CN478" s="1">
        <v>2.7995000000000001</v>
      </c>
      <c r="CO478" s="1">
        <v>11.7774</v>
      </c>
    </row>
    <row r="479" spans="1:93">
      <c r="A479" s="1425">
        <v>44536</v>
      </c>
      <c r="B479" s="20">
        <f t="shared" si="72"/>
        <v>24.4831</v>
      </c>
      <c r="C479" s="20">
        <f t="shared" si="74"/>
        <v>13.793699999999999</v>
      </c>
      <c r="D479" s="20">
        <f t="shared" si="75"/>
        <v>20.137</v>
      </c>
      <c r="E479" s="20">
        <f t="shared" si="76"/>
        <v>9.1791</v>
      </c>
      <c r="F479" s="20">
        <f t="shared" si="77"/>
        <v>26.7333</v>
      </c>
      <c r="G479" s="20">
        <f t="shared" si="78"/>
        <v>20.126899999999999</v>
      </c>
      <c r="H479" s="1239">
        <f t="shared" si="79"/>
        <v>20.126899999999999</v>
      </c>
      <c r="I479" s="1243">
        <f t="shared" si="73"/>
        <v>0.21643670908088186</v>
      </c>
      <c r="J479" s="1243">
        <f t="shared" si="80"/>
        <v>0.12093838824177333</v>
      </c>
      <c r="K479" s="1243">
        <f t="shared" si="81"/>
        <v>0.1</v>
      </c>
      <c r="L479" s="203"/>
      <c r="N479" s="1425">
        <v>44536</v>
      </c>
      <c r="O479" s="1502">
        <v>24.4831</v>
      </c>
      <c r="P479" s="1502">
        <v>7.3505000000000003</v>
      </c>
      <c r="Q479" s="1502">
        <v>26.113099999999999</v>
      </c>
      <c r="R479" s="1233">
        <f>'B. PE'!$U$23</f>
        <v>15.978235616082999</v>
      </c>
      <c r="S479" s="1233"/>
      <c r="T479" s="1233"/>
      <c r="V479" s="1425">
        <v>44536</v>
      </c>
      <c r="W479" s="1">
        <v>13.793699999999999</v>
      </c>
      <c r="X479" s="1">
        <v>1.5245</v>
      </c>
      <c r="Y479" s="1">
        <v>10.851699999999999</v>
      </c>
      <c r="Z479" s="1">
        <v>1.14096</v>
      </c>
      <c r="AB479" s="1425">
        <v>44518</v>
      </c>
      <c r="AC479" s="1">
        <v>10.0509</v>
      </c>
      <c r="AD479" s="1502">
        <v>1.7655000000000001</v>
      </c>
      <c r="AE479" s="1">
        <v>5.2149999999999999</v>
      </c>
      <c r="AF479" s="1">
        <v>4.5679999999999998E-2</v>
      </c>
      <c r="AH479" s="1425">
        <v>44518</v>
      </c>
      <c r="AI479" s="1">
        <v>19.261500000000002</v>
      </c>
      <c r="AJ479" s="1">
        <v>3.3287</v>
      </c>
      <c r="AK479" s="1">
        <v>9.1849000000000007</v>
      </c>
      <c r="AL479" s="1">
        <v>4.947E-2</v>
      </c>
      <c r="AN479" s="1425">
        <v>44522</v>
      </c>
      <c r="AO479" s="1">
        <v>10.0746</v>
      </c>
      <c r="AP479" s="1">
        <v>1.3337000000000001</v>
      </c>
      <c r="AQ479" s="1">
        <v>5.8650000000000002</v>
      </c>
      <c r="AR479" s="1">
        <v>0.31579000000000002</v>
      </c>
      <c r="AT479" s="1425">
        <v>44522</v>
      </c>
      <c r="AU479" s="1">
        <v>8.8193000000000001</v>
      </c>
      <c r="AV479" s="1">
        <v>0.57499999999999996</v>
      </c>
      <c r="AW479" s="1">
        <v>5.7297000000000002</v>
      </c>
      <c r="BA479" s="1425">
        <v>44516</v>
      </c>
      <c r="BB479" s="1">
        <v>18.0685</v>
      </c>
      <c r="BC479" s="1">
        <v>4.5171999999999999</v>
      </c>
      <c r="BD479" s="1">
        <v>17.1663</v>
      </c>
      <c r="BE479" s="1">
        <v>1.1601300000000001</v>
      </c>
      <c r="BG479" s="1425">
        <v>44516</v>
      </c>
      <c r="BH479" s="1">
        <v>21.0626</v>
      </c>
      <c r="BI479" s="1">
        <v>6.1009000000000002</v>
      </c>
      <c r="BJ479" s="1">
        <v>28.351500000000001</v>
      </c>
      <c r="BT479" s="1425">
        <v>44536</v>
      </c>
      <c r="BU479" s="1">
        <v>20.7729</v>
      </c>
      <c r="BV479" s="1">
        <v>4.9842000000000004</v>
      </c>
      <c r="BW479" s="1">
        <v>12.719900000000001</v>
      </c>
      <c r="BX479" s="1">
        <v>3.0146000000000002</v>
      </c>
      <c r="BZ479" s="1425">
        <v>44536</v>
      </c>
      <c r="CA479" s="1">
        <v>41.466000000000001</v>
      </c>
      <c r="CB479" s="1">
        <v>3.5712999999999999</v>
      </c>
      <c r="CC479" s="1">
        <v>71.528300000000002</v>
      </c>
      <c r="CD479" s="1">
        <v>1.6072599999999999</v>
      </c>
      <c r="CF479" s="1425">
        <v>44533</v>
      </c>
      <c r="CG479" s="1">
        <v>10.28</v>
      </c>
      <c r="CH479" s="1">
        <v>2.1753999999999998</v>
      </c>
      <c r="CI479" s="1">
        <v>8.1507000000000005</v>
      </c>
      <c r="CL479" s="1425">
        <v>44547</v>
      </c>
      <c r="CM479" s="1">
        <v>25.9239</v>
      </c>
      <c r="CN479" s="1">
        <v>2.7917999999999998</v>
      </c>
      <c r="CO479" s="1">
        <v>11.7454</v>
      </c>
    </row>
    <row r="480" spans="1:93">
      <c r="A480" s="1425">
        <v>44533</v>
      </c>
      <c r="B480" s="20">
        <f t="shared" si="72"/>
        <v>25.0092</v>
      </c>
      <c r="C480" s="20">
        <f t="shared" si="74"/>
        <v>14.0275</v>
      </c>
      <c r="D480" s="20">
        <f t="shared" si="75"/>
        <v>20.137</v>
      </c>
      <c r="E480" s="20">
        <f t="shared" si="76"/>
        <v>9.1791</v>
      </c>
      <c r="F480" s="20">
        <f t="shared" si="77"/>
        <v>25.113099999999999</v>
      </c>
      <c r="G480" s="20">
        <f t="shared" si="78"/>
        <v>19.440799999999999</v>
      </c>
      <c r="H480" s="1239">
        <f t="shared" si="79"/>
        <v>19.440799999999999</v>
      </c>
      <c r="I480" s="1243">
        <f t="shared" si="73"/>
        <v>0.28642854203530721</v>
      </c>
      <c r="J480" s="1243">
        <f t="shared" si="80"/>
        <v>0.12093838824177333</v>
      </c>
      <c r="K480" s="1243">
        <f t="shared" si="81"/>
        <v>0.1</v>
      </c>
      <c r="L480" s="203"/>
      <c r="N480" s="1425">
        <v>44533</v>
      </c>
      <c r="O480" s="1502">
        <v>25.0092</v>
      </c>
      <c r="P480" s="1502">
        <v>7.5084</v>
      </c>
      <c r="Q480" s="1502">
        <v>26.6492</v>
      </c>
      <c r="R480" s="1233">
        <f>'B. PE'!$U$23</f>
        <v>15.978235616082999</v>
      </c>
      <c r="S480" s="1233"/>
      <c r="T480" s="1233"/>
      <c r="V480" s="1425">
        <v>44533</v>
      </c>
      <c r="W480" s="1">
        <v>14.0275</v>
      </c>
      <c r="X480" s="1">
        <v>1.5503</v>
      </c>
      <c r="Y480" s="1">
        <v>10.9971</v>
      </c>
      <c r="Z480" s="1">
        <v>1.1490199999999999</v>
      </c>
      <c r="AB480" s="1425">
        <v>44517</v>
      </c>
      <c r="AC480" s="1">
        <v>10.360099999999999</v>
      </c>
      <c r="AD480" s="1502">
        <v>1.8198000000000001</v>
      </c>
      <c r="AE480" s="1">
        <v>5.3514999999999997</v>
      </c>
      <c r="AF480" s="1">
        <v>4.5449999999999997E-2</v>
      </c>
      <c r="AH480" s="1425">
        <v>44517</v>
      </c>
      <c r="AI480" s="1">
        <v>19.5351</v>
      </c>
      <c r="AJ480" s="1">
        <v>3.3759999999999999</v>
      </c>
      <c r="AK480" s="1">
        <v>9.3267000000000007</v>
      </c>
      <c r="AL480" s="1">
        <v>5.0450000000000002E-2</v>
      </c>
      <c r="AN480" s="1425">
        <v>44519</v>
      </c>
      <c r="AO480" s="1">
        <v>10.0746</v>
      </c>
      <c r="AP480" s="1">
        <v>1.3337000000000001</v>
      </c>
      <c r="AQ480" s="1">
        <v>5.8650000000000002</v>
      </c>
      <c r="AR480" s="1">
        <v>0.32096000000000002</v>
      </c>
      <c r="AT480" s="1425">
        <v>44519</v>
      </c>
      <c r="AU480" s="1">
        <v>8.7482000000000006</v>
      </c>
      <c r="AV480" s="1">
        <v>0.57040000000000002</v>
      </c>
      <c r="AW480" s="1">
        <v>5.6904000000000003</v>
      </c>
      <c r="AX480" s="1">
        <v>0.14731</v>
      </c>
      <c r="BA480" s="1425">
        <v>44515</v>
      </c>
      <c r="BB480" s="1">
        <v>17.153600000000001</v>
      </c>
      <c r="BC480" s="1">
        <v>4.2885</v>
      </c>
      <c r="BD480" s="1">
        <v>16.441500000000001</v>
      </c>
      <c r="BE480" s="1">
        <v>1.1348400000000001</v>
      </c>
      <c r="BG480" s="1425">
        <v>44515</v>
      </c>
      <c r="BH480" s="1">
        <v>21.2651</v>
      </c>
      <c r="BI480" s="1">
        <v>6.1596000000000002</v>
      </c>
      <c r="BJ480" s="1">
        <v>28.602499999999999</v>
      </c>
      <c r="BT480" s="1425">
        <v>44533</v>
      </c>
      <c r="BU480" s="1">
        <v>21.104900000000001</v>
      </c>
      <c r="BV480" s="1">
        <v>5.0637999999999996</v>
      </c>
      <c r="BW480" s="1">
        <v>12.9071</v>
      </c>
      <c r="BX480" s="1">
        <v>3.0581</v>
      </c>
      <c r="BZ480" s="1425">
        <v>44533</v>
      </c>
      <c r="CA480" s="1">
        <v>42.848199999999999</v>
      </c>
      <c r="CB480" s="1">
        <v>3.6903000000000001</v>
      </c>
      <c r="CC480" s="1">
        <v>72.972700000000003</v>
      </c>
      <c r="CD480" s="1">
        <v>1.56989</v>
      </c>
      <c r="CF480" s="1425">
        <v>44532</v>
      </c>
      <c r="CG480" s="1">
        <v>10.28</v>
      </c>
      <c r="CH480" s="1">
        <v>2.1753999999999998</v>
      </c>
      <c r="CI480" s="1">
        <v>8.1507000000000005</v>
      </c>
      <c r="CL480" s="1425">
        <v>44546</v>
      </c>
      <c r="CM480" s="1">
        <v>26.155000000000001</v>
      </c>
      <c r="CN480" s="1">
        <v>2.8167</v>
      </c>
      <c r="CO480" s="1">
        <v>11.849299999999999</v>
      </c>
    </row>
    <row r="481" spans="1:93">
      <c r="A481" s="1425">
        <v>44532</v>
      </c>
      <c r="B481" s="20">
        <f t="shared" si="72"/>
        <v>25.8995</v>
      </c>
      <c r="C481" s="20">
        <f t="shared" si="74"/>
        <v>14.4015</v>
      </c>
      <c r="D481" s="20">
        <f t="shared" si="75"/>
        <v>20.0823</v>
      </c>
      <c r="E481" s="20">
        <f t="shared" si="76"/>
        <v>9.4030000000000005</v>
      </c>
      <c r="F481" s="20">
        <f t="shared" si="77"/>
        <v>25.113099999999999</v>
      </c>
      <c r="G481" s="20">
        <f t="shared" si="78"/>
        <v>19.783899999999999</v>
      </c>
      <c r="H481" s="1239">
        <f t="shared" si="79"/>
        <v>19.783899999999999</v>
      </c>
      <c r="I481" s="1243">
        <f t="shared" si="73"/>
        <v>0.3091200420543978</v>
      </c>
      <c r="J481" s="1243">
        <f t="shared" si="80"/>
        <v>0.12093838824177333</v>
      </c>
      <c r="K481" s="1243">
        <f t="shared" si="81"/>
        <v>0.1</v>
      </c>
      <c r="L481" s="203"/>
      <c r="N481" s="1425">
        <v>44532</v>
      </c>
      <c r="O481" s="1502">
        <v>25.8995</v>
      </c>
      <c r="P481" s="1502">
        <v>7.7756999999999996</v>
      </c>
      <c r="Q481" s="1502">
        <v>27.5564</v>
      </c>
      <c r="R481" s="1233">
        <f>'B. PE'!$U$23</f>
        <v>15.978235616082999</v>
      </c>
      <c r="S481" s="1233"/>
      <c r="T481" s="1233"/>
      <c r="V481" s="1425">
        <v>44532</v>
      </c>
      <c r="W481" s="1">
        <v>14.4015</v>
      </c>
      <c r="X481" s="1">
        <v>1.5916999999999999</v>
      </c>
      <c r="Y481" s="1">
        <v>11.229799999999999</v>
      </c>
      <c r="Z481" s="1">
        <v>1.11473</v>
      </c>
      <c r="AB481" s="1425">
        <v>44516</v>
      </c>
      <c r="AC481" s="1">
        <v>10.0509</v>
      </c>
      <c r="AD481" s="1502">
        <v>1.7655000000000001</v>
      </c>
      <c r="AE481" s="1">
        <v>5.2149999999999999</v>
      </c>
      <c r="AF481" s="1">
        <v>4.5080000000000002E-2</v>
      </c>
      <c r="AH481" s="1425">
        <v>44516</v>
      </c>
      <c r="AI481" s="1">
        <v>19.261500000000002</v>
      </c>
      <c r="AJ481" s="1">
        <v>3.3287</v>
      </c>
      <c r="AK481" s="1">
        <v>9.1849000000000007</v>
      </c>
      <c r="AL481" s="1">
        <v>4.8320000000000002E-2</v>
      </c>
      <c r="AN481" s="1425">
        <v>44518</v>
      </c>
      <c r="AO481" s="1">
        <v>9.8506999999999998</v>
      </c>
      <c r="AP481" s="1">
        <v>1.3041</v>
      </c>
      <c r="AQ481" s="1">
        <v>5.6906999999999996</v>
      </c>
      <c r="AR481" s="1">
        <v>0.32866000000000001</v>
      </c>
      <c r="AT481" s="1425">
        <v>44518</v>
      </c>
      <c r="AW481" s="1">
        <v>5.6904000000000003</v>
      </c>
      <c r="AX481" s="1">
        <v>0.14513999999999999</v>
      </c>
      <c r="BA481" s="1425">
        <v>44512</v>
      </c>
      <c r="BB481" s="1">
        <v>17.382400000000001</v>
      </c>
      <c r="BC481" s="1">
        <v>4.3456999999999999</v>
      </c>
      <c r="BD481" s="1">
        <v>16.622699999999998</v>
      </c>
      <c r="BE481" s="1">
        <v>1.11287</v>
      </c>
      <c r="BG481" s="1425">
        <v>44512</v>
      </c>
      <c r="BH481" s="1">
        <v>21.0626</v>
      </c>
      <c r="BI481" s="1">
        <v>6.1009000000000002</v>
      </c>
      <c r="BJ481" s="1">
        <v>28.351500000000001</v>
      </c>
      <c r="BT481" s="1425">
        <v>44532</v>
      </c>
      <c r="BU481" s="1">
        <v>21.658200000000001</v>
      </c>
      <c r="BV481" s="1">
        <v>5.1966000000000001</v>
      </c>
      <c r="BW481" s="1">
        <v>13.219200000000001</v>
      </c>
      <c r="BX481" s="1">
        <v>3.0556000000000001</v>
      </c>
      <c r="BZ481" s="1425">
        <v>44532</v>
      </c>
      <c r="CA481" s="1">
        <v>43.539299999999997</v>
      </c>
      <c r="CB481" s="1">
        <v>3.7498</v>
      </c>
      <c r="CC481" s="1">
        <v>73.694900000000004</v>
      </c>
      <c r="CD481" s="1">
        <v>1.4793099999999999</v>
      </c>
      <c r="CF481" s="1425">
        <v>44531</v>
      </c>
      <c r="CG481" s="1">
        <v>10.346500000000001</v>
      </c>
      <c r="CH481" s="1">
        <v>2.1894999999999998</v>
      </c>
      <c r="CI481" s="1">
        <v>8.1992999999999991</v>
      </c>
      <c r="CL481" s="1425">
        <v>44545</v>
      </c>
      <c r="CM481" s="1">
        <v>26.012799999999999</v>
      </c>
      <c r="CN481" s="1">
        <v>2.8014000000000001</v>
      </c>
      <c r="CO481" s="1">
        <v>11.785399999999999</v>
      </c>
    </row>
    <row r="482" spans="1:93">
      <c r="A482" s="1425">
        <v>44531</v>
      </c>
      <c r="B482" s="20">
        <f t="shared" si="72"/>
        <v>26.304099999999998</v>
      </c>
      <c r="C482" s="20">
        <f t="shared" si="74"/>
        <v>14.494999999999999</v>
      </c>
      <c r="D482" s="20">
        <f t="shared" si="75"/>
        <v>20.246400000000001</v>
      </c>
      <c r="E482" s="20">
        <f t="shared" si="76"/>
        <v>9.5521999999999991</v>
      </c>
      <c r="F482" s="20">
        <f t="shared" si="77"/>
        <v>24.1005</v>
      </c>
      <c r="G482" s="20">
        <f t="shared" si="78"/>
        <v>19.783899999999999</v>
      </c>
      <c r="H482" s="1239">
        <f t="shared" si="79"/>
        <v>19.783899999999999</v>
      </c>
      <c r="I482" s="1243">
        <f t="shared" si="73"/>
        <v>0.32957101481507678</v>
      </c>
      <c r="J482" s="1243">
        <f t="shared" si="80"/>
        <v>0.12093838824177333</v>
      </c>
      <c r="K482" s="1243">
        <f t="shared" si="81"/>
        <v>0.1</v>
      </c>
      <c r="L482" s="203"/>
      <c r="N482" s="1425">
        <v>44531</v>
      </c>
      <c r="O482" s="1502">
        <v>26.304099999999998</v>
      </c>
      <c r="P482" s="1502">
        <v>7.8971999999999998</v>
      </c>
      <c r="Q482" s="1502">
        <v>27.968699999999998</v>
      </c>
      <c r="R482" s="1233">
        <f>'B. PE'!$U$23</f>
        <v>15.978235616082999</v>
      </c>
      <c r="S482" s="1233"/>
      <c r="T482" s="1233"/>
      <c r="V482" s="1425">
        <v>44531</v>
      </c>
      <c r="W482" s="1">
        <v>14.494999999999999</v>
      </c>
      <c r="X482" s="1">
        <v>1.6020000000000001</v>
      </c>
      <c r="Y482" s="1">
        <v>11.288</v>
      </c>
      <c r="Z482" s="1">
        <v>1.0909199999999999</v>
      </c>
      <c r="AB482" s="1425">
        <v>44515</v>
      </c>
      <c r="AC482" s="1">
        <v>9.9735999999999994</v>
      </c>
      <c r="AD482" s="1502">
        <v>1.7519</v>
      </c>
      <c r="AE482" s="1">
        <v>5.1809000000000003</v>
      </c>
      <c r="AF482" s="1">
        <v>4.4900000000000002E-2</v>
      </c>
      <c r="AH482" s="1425">
        <v>44515</v>
      </c>
      <c r="AI482" s="1">
        <v>19.5898</v>
      </c>
      <c r="AJ482" s="1">
        <v>3.3854000000000002</v>
      </c>
      <c r="AK482" s="1">
        <v>9.3550000000000004</v>
      </c>
      <c r="AL482" s="1">
        <v>5.0790000000000002E-2</v>
      </c>
      <c r="AN482" s="1425">
        <v>44517</v>
      </c>
      <c r="AO482" s="1">
        <v>10</v>
      </c>
      <c r="AP482" s="1">
        <v>1.3238000000000001</v>
      </c>
      <c r="AQ482" s="1">
        <v>5.8068999999999997</v>
      </c>
      <c r="AR482" s="1">
        <v>0.33400999999999997</v>
      </c>
      <c r="AT482" s="1425">
        <v>44517</v>
      </c>
      <c r="AU482" s="1">
        <v>8.7482000000000006</v>
      </c>
      <c r="AV482" s="1">
        <v>0.57040000000000002</v>
      </c>
      <c r="AW482" s="1">
        <v>5.6904000000000003</v>
      </c>
      <c r="AX482" s="1">
        <v>0.14538000000000001</v>
      </c>
      <c r="BA482" s="1425">
        <v>44511</v>
      </c>
      <c r="BB482" s="1">
        <v>17.039300000000001</v>
      </c>
      <c r="BC482" s="1">
        <v>4.2599</v>
      </c>
      <c r="BD482" s="1">
        <v>16.350999999999999</v>
      </c>
      <c r="BE482" s="1">
        <v>1.1368799999999999</v>
      </c>
      <c r="BG482" s="1425">
        <v>44511</v>
      </c>
      <c r="BH482" s="1">
        <v>21.467600000000001</v>
      </c>
      <c r="BI482" s="1">
        <v>6.2182000000000004</v>
      </c>
      <c r="BJ482" s="1">
        <v>28.853400000000001</v>
      </c>
      <c r="BT482" s="1425">
        <v>44531</v>
      </c>
      <c r="BU482" s="1">
        <v>21.958500000000001</v>
      </c>
      <c r="BV482" s="1">
        <v>5.2686999999999999</v>
      </c>
      <c r="BW482" s="1">
        <v>13.388500000000001</v>
      </c>
      <c r="BX482" s="1">
        <v>3.0306000000000002</v>
      </c>
      <c r="BZ482" s="1425">
        <v>44531</v>
      </c>
      <c r="CA482" s="1">
        <v>42.502600000000001</v>
      </c>
      <c r="CB482" s="1">
        <v>3.6604999999999999</v>
      </c>
      <c r="CC482" s="1">
        <v>72.611599999999996</v>
      </c>
      <c r="CD482" s="1">
        <v>1.4642900000000001</v>
      </c>
      <c r="CF482" s="1425">
        <v>44530</v>
      </c>
      <c r="CG482" s="1">
        <v>10.1469</v>
      </c>
      <c r="CH482" s="1">
        <v>2.1473</v>
      </c>
      <c r="CI482" s="1">
        <v>8.0535999999999994</v>
      </c>
      <c r="CL482" s="1425">
        <v>44544</v>
      </c>
      <c r="CM482" s="1">
        <v>25.7639</v>
      </c>
      <c r="CN482" s="1">
        <v>2.7746</v>
      </c>
      <c r="CO482" s="1">
        <v>11.673500000000001</v>
      </c>
    </row>
    <row r="483" spans="1:93">
      <c r="A483" s="1425">
        <v>44530</v>
      </c>
      <c r="B483" s="20">
        <f t="shared" si="72"/>
        <v>26.101800000000001</v>
      </c>
      <c r="C483" s="20">
        <f t="shared" si="74"/>
        <v>14.074199999999999</v>
      </c>
      <c r="D483" s="20">
        <f t="shared" si="75"/>
        <v>20.52</v>
      </c>
      <c r="E483" s="20">
        <f t="shared" si="76"/>
        <v>9.7014999999999993</v>
      </c>
      <c r="F483" s="20">
        <f t="shared" si="77"/>
        <v>23.695399999999999</v>
      </c>
      <c r="G483" s="20">
        <f t="shared" si="78"/>
        <v>18.7547</v>
      </c>
      <c r="H483" s="1239">
        <f t="shared" si="79"/>
        <v>18.7547</v>
      </c>
      <c r="I483" s="1243">
        <f t="shared" si="73"/>
        <v>0.39174713538473038</v>
      </c>
      <c r="J483" s="1243">
        <f t="shared" si="80"/>
        <v>0.12093838824177333</v>
      </c>
      <c r="K483" s="1243">
        <f t="shared" si="81"/>
        <v>0.1</v>
      </c>
      <c r="L483" s="203"/>
      <c r="N483" s="1425">
        <v>44530</v>
      </c>
      <c r="O483" s="1502">
        <v>26.101800000000001</v>
      </c>
      <c r="P483" s="1502">
        <v>7.8365</v>
      </c>
      <c r="Q483" s="1502">
        <v>27.762599999999999</v>
      </c>
      <c r="R483" s="1233">
        <f>'B. PE'!$U$23</f>
        <v>15.978235616082999</v>
      </c>
      <c r="S483" s="1233"/>
      <c r="T483" s="1233"/>
      <c r="V483" s="1425">
        <v>44530</v>
      </c>
      <c r="W483" s="1">
        <v>14.074199999999999</v>
      </c>
      <c r="X483" s="1">
        <v>1.5555000000000001</v>
      </c>
      <c r="Y483" s="1">
        <v>11.026199999999999</v>
      </c>
      <c r="Z483" s="1">
        <v>1.1116699999999999</v>
      </c>
      <c r="AB483" s="1425">
        <v>44512</v>
      </c>
      <c r="AC483" s="1">
        <v>9.8962000000000003</v>
      </c>
      <c r="AD483" s="1502">
        <v>1.7383999999999999</v>
      </c>
      <c r="AE483" s="1">
        <v>5.1467999999999998</v>
      </c>
      <c r="AF483" s="1">
        <v>4.4859999999999997E-2</v>
      </c>
      <c r="AH483" s="1425">
        <v>44512</v>
      </c>
      <c r="AI483" s="1">
        <v>18.768999999999998</v>
      </c>
      <c r="AJ483" s="1">
        <v>3.2435999999999998</v>
      </c>
      <c r="AK483" s="1">
        <v>8.9298000000000002</v>
      </c>
      <c r="AL483" s="1">
        <v>5.2139999999999999E-2</v>
      </c>
      <c r="AN483" s="1425">
        <v>44516</v>
      </c>
      <c r="AO483" s="1">
        <v>10.2239</v>
      </c>
      <c r="AP483" s="1">
        <v>1.3534999999999999</v>
      </c>
      <c r="AQ483" s="1">
        <v>5.9810999999999996</v>
      </c>
      <c r="AR483" s="1">
        <v>0.3337</v>
      </c>
      <c r="AT483" s="1425">
        <v>44516</v>
      </c>
      <c r="AU483" s="1">
        <v>8.6059999999999999</v>
      </c>
      <c r="AV483" s="1">
        <v>0.56110000000000004</v>
      </c>
      <c r="AW483" s="1">
        <v>5.6116000000000001</v>
      </c>
      <c r="AX483" s="1">
        <v>0.14643999999999999</v>
      </c>
      <c r="BA483" s="1425">
        <v>44510</v>
      </c>
      <c r="BB483" s="1">
        <v>16.696200000000001</v>
      </c>
      <c r="BC483" s="1">
        <v>4.1741000000000001</v>
      </c>
      <c r="BD483" s="1">
        <v>16.0792</v>
      </c>
      <c r="BE483" s="1">
        <v>1.1234900000000001</v>
      </c>
      <c r="BG483" s="1425">
        <v>44510</v>
      </c>
      <c r="BH483" s="1">
        <v>20.454999999999998</v>
      </c>
      <c r="BI483" s="1">
        <v>5.9249000000000001</v>
      </c>
      <c r="BJ483" s="1">
        <v>27.598600000000001</v>
      </c>
      <c r="BT483" s="1425">
        <v>44530</v>
      </c>
      <c r="BU483" s="1">
        <v>21.958500000000001</v>
      </c>
      <c r="BV483" s="1">
        <v>5.2686999999999999</v>
      </c>
      <c r="BW483" s="1">
        <v>13.388500000000001</v>
      </c>
      <c r="BX483" s="1">
        <v>3.1198000000000001</v>
      </c>
      <c r="BZ483" s="1425">
        <v>44530</v>
      </c>
      <c r="CA483" s="1">
        <v>40.083799999999997</v>
      </c>
      <c r="CB483" s="1">
        <v>3.4521999999999999</v>
      </c>
      <c r="CC483" s="1">
        <v>70.084000000000003</v>
      </c>
      <c r="CD483" s="1">
        <v>1.4877499999999999</v>
      </c>
      <c r="CF483" s="1425">
        <v>44529</v>
      </c>
      <c r="CG483" s="1">
        <v>10.0471</v>
      </c>
      <c r="CH483" s="1">
        <v>2.1261000000000001</v>
      </c>
      <c r="CI483" s="1">
        <v>7.9806999999999997</v>
      </c>
      <c r="CL483" s="1425">
        <v>44543</v>
      </c>
      <c r="CM483" s="1">
        <v>25.995000000000001</v>
      </c>
      <c r="CN483" s="1">
        <v>2.7995000000000001</v>
      </c>
      <c r="CO483" s="1">
        <v>11.7774</v>
      </c>
    </row>
    <row r="484" spans="1:93">
      <c r="A484" s="1425">
        <v>44529</v>
      </c>
      <c r="B484" s="20">
        <f t="shared" si="72"/>
        <v>27.497900000000001</v>
      </c>
      <c r="C484" s="20">
        <f t="shared" si="74"/>
        <v>13.7469</v>
      </c>
      <c r="D484" s="20">
        <f t="shared" si="75"/>
        <v>21.1219</v>
      </c>
      <c r="E484" s="20">
        <f t="shared" si="76"/>
        <v>9.7760999999999996</v>
      </c>
      <c r="F484" s="20">
        <f t="shared" si="77"/>
        <v>22.885300000000001</v>
      </c>
      <c r="G484" s="20">
        <f t="shared" si="78"/>
        <v>18.9834</v>
      </c>
      <c r="H484" s="1239">
        <f t="shared" si="79"/>
        <v>18.9834</v>
      </c>
      <c r="I484" s="1243">
        <f t="shared" si="73"/>
        <v>0.4485234468008894</v>
      </c>
      <c r="J484" s="1243">
        <f t="shared" si="80"/>
        <v>0.12093838824177333</v>
      </c>
      <c r="K484" s="1243">
        <f t="shared" si="81"/>
        <v>0.1</v>
      </c>
      <c r="L484" s="203"/>
      <c r="N484" s="1425">
        <v>44529</v>
      </c>
      <c r="O484" s="1502">
        <v>27.497900000000001</v>
      </c>
      <c r="P484" s="1502">
        <v>8.2555999999999994</v>
      </c>
      <c r="Q484" s="1502">
        <v>29.185199999999998</v>
      </c>
      <c r="R484" s="1233">
        <f>'B. PE'!$U$23</f>
        <v>15.978235616082999</v>
      </c>
      <c r="S484" s="1233"/>
      <c r="T484" s="1233"/>
      <c r="V484" s="1425">
        <v>44529</v>
      </c>
      <c r="W484" s="1">
        <v>13.7469</v>
      </c>
      <c r="X484" s="1">
        <v>1.5193000000000001</v>
      </c>
      <c r="Y484" s="1">
        <v>10.8226</v>
      </c>
      <c r="Z484" s="1">
        <v>1.1264700000000001</v>
      </c>
      <c r="AB484" s="1425">
        <v>44511</v>
      </c>
      <c r="AC484" s="1">
        <v>9.8962000000000003</v>
      </c>
      <c r="AD484" s="1502">
        <v>1.7383999999999999</v>
      </c>
      <c r="AE484" s="1">
        <v>5.1467999999999998</v>
      </c>
      <c r="AF484" s="1">
        <v>4.4150000000000002E-2</v>
      </c>
      <c r="AH484" s="1425">
        <v>44511</v>
      </c>
      <c r="AI484" s="1">
        <v>19.808700000000002</v>
      </c>
      <c r="AJ484" s="1">
        <v>3.4232</v>
      </c>
      <c r="AK484" s="1">
        <v>9.4684000000000008</v>
      </c>
      <c r="AL484" s="1">
        <v>5.1720000000000002E-2</v>
      </c>
      <c r="AN484" s="1425">
        <v>44515</v>
      </c>
      <c r="AO484" s="1">
        <v>10.373100000000001</v>
      </c>
      <c r="AP484" s="1">
        <v>1.3732</v>
      </c>
      <c r="AQ484" s="1">
        <v>6.0972999999999997</v>
      </c>
      <c r="AR484" s="1">
        <v>0.33381</v>
      </c>
      <c r="AT484" s="1425">
        <v>44515</v>
      </c>
      <c r="AU484" s="1">
        <v>8.6059999999999999</v>
      </c>
      <c r="AV484" s="1">
        <v>0.56110000000000004</v>
      </c>
      <c r="AW484" s="1">
        <v>5.6116000000000001</v>
      </c>
      <c r="AX484" s="1">
        <v>0.14649000000000001</v>
      </c>
      <c r="BA484" s="1425">
        <v>44509</v>
      </c>
      <c r="BB484" s="1">
        <v>17.039300000000001</v>
      </c>
      <c r="BC484" s="1">
        <v>4.2599</v>
      </c>
      <c r="BD484" s="1">
        <v>16.350999999999999</v>
      </c>
      <c r="BE484" s="1">
        <v>1.11469</v>
      </c>
      <c r="BG484" s="1425">
        <v>44509</v>
      </c>
      <c r="BH484" s="1">
        <v>20.657499999999999</v>
      </c>
      <c r="BI484" s="1">
        <v>5.9836</v>
      </c>
      <c r="BJ484" s="1">
        <v>27.849599999999999</v>
      </c>
      <c r="BT484" s="1425">
        <v>44529</v>
      </c>
      <c r="BU484" s="1">
        <v>21.737200000000001</v>
      </c>
      <c r="BV484" s="1">
        <v>5.2154999999999996</v>
      </c>
      <c r="BW484" s="1">
        <v>13.2637</v>
      </c>
      <c r="BX484" s="1">
        <v>3.1968000000000001</v>
      </c>
      <c r="BZ484" s="1425">
        <v>44529</v>
      </c>
      <c r="CA484" s="1">
        <v>39.6</v>
      </c>
      <c r="CB484" s="1">
        <v>3.4106000000000001</v>
      </c>
      <c r="CC484" s="1">
        <v>69.578400000000002</v>
      </c>
      <c r="CD484" s="1">
        <v>1.5183599999999999</v>
      </c>
      <c r="CF484" s="1425">
        <v>44526</v>
      </c>
      <c r="CG484" s="1">
        <v>10.180099999999999</v>
      </c>
      <c r="CH484" s="1">
        <v>2.1543000000000001</v>
      </c>
      <c r="CI484" s="1">
        <v>8.0778999999999996</v>
      </c>
      <c r="CL484" s="1425">
        <v>44540</v>
      </c>
      <c r="CM484" s="1">
        <v>26.119499999999999</v>
      </c>
      <c r="CN484" s="1">
        <v>2.8129</v>
      </c>
      <c r="CO484" s="1">
        <v>11.833299999999999</v>
      </c>
    </row>
    <row r="485" spans="1:93">
      <c r="A485" s="1425">
        <v>44526</v>
      </c>
      <c r="B485" s="20">
        <f t="shared" si="72"/>
        <v>27.214700000000001</v>
      </c>
      <c r="C485" s="20">
        <f t="shared" si="74"/>
        <v>14.004099999999999</v>
      </c>
      <c r="D485" s="20">
        <f t="shared" si="75"/>
        <v>20.738900000000001</v>
      </c>
      <c r="E485" s="20">
        <f t="shared" si="76"/>
        <v>9.7760999999999996</v>
      </c>
      <c r="F485" s="20">
        <f t="shared" si="77"/>
        <v>22.885300000000001</v>
      </c>
      <c r="G485" s="20">
        <f t="shared" si="78"/>
        <v>18.4116</v>
      </c>
      <c r="H485" s="1239">
        <f t="shared" si="79"/>
        <v>18.4116</v>
      </c>
      <c r="I485" s="1243">
        <f t="shared" si="73"/>
        <v>0.47812791935518906</v>
      </c>
      <c r="J485" s="1243">
        <f t="shared" si="80"/>
        <v>0.12093838824177333</v>
      </c>
      <c r="K485" s="1243">
        <f t="shared" si="81"/>
        <v>0.1</v>
      </c>
      <c r="L485" s="203"/>
      <c r="N485" s="1425">
        <v>44526</v>
      </c>
      <c r="O485" s="1502">
        <v>27.214700000000001</v>
      </c>
      <c r="P485" s="1502">
        <v>8.1706000000000003</v>
      </c>
      <c r="Q485" s="1502">
        <v>28.8965</v>
      </c>
      <c r="R485" s="1233">
        <f>'B. PE'!$U$23</f>
        <v>15.978235616082999</v>
      </c>
      <c r="S485" s="1233"/>
      <c r="T485" s="1233"/>
      <c r="V485" s="1425">
        <v>44526</v>
      </c>
      <c r="W485" s="1">
        <v>14.004099999999999</v>
      </c>
      <c r="X485" s="1">
        <v>1.5477000000000001</v>
      </c>
      <c r="Y485" s="1">
        <v>10.9826</v>
      </c>
      <c r="Z485" s="1">
        <v>1.1110800000000001</v>
      </c>
      <c r="AB485" s="1425">
        <v>44510</v>
      </c>
      <c r="AC485" s="1">
        <v>9.8962000000000003</v>
      </c>
      <c r="AD485" s="1502">
        <v>1.7383999999999999</v>
      </c>
      <c r="AE485" s="1">
        <v>5.1467999999999998</v>
      </c>
      <c r="AF485" s="1">
        <v>4.4519999999999997E-2</v>
      </c>
      <c r="AH485" s="1425">
        <v>44510</v>
      </c>
      <c r="AI485" s="1">
        <v>20.355899999999998</v>
      </c>
      <c r="AJ485" s="1">
        <v>3.5177999999999998</v>
      </c>
      <c r="AK485" s="1">
        <v>9.7517999999999994</v>
      </c>
      <c r="AL485" s="1">
        <v>5.076E-2</v>
      </c>
      <c r="AN485" s="1425">
        <v>44512</v>
      </c>
      <c r="AO485" s="1">
        <v>10.373100000000001</v>
      </c>
      <c r="AP485" s="1">
        <v>1.3732</v>
      </c>
      <c r="AQ485" s="1">
        <v>6.0972999999999997</v>
      </c>
      <c r="AR485" s="1">
        <v>0.33673999999999998</v>
      </c>
      <c r="AT485" s="1425">
        <v>44512</v>
      </c>
      <c r="AU485" s="1">
        <v>8.6770999999999994</v>
      </c>
      <c r="AV485" s="1">
        <v>0.56579999999999997</v>
      </c>
      <c r="AW485" s="1">
        <v>5.6509999999999998</v>
      </c>
      <c r="AX485" s="1">
        <v>0.14793000000000001</v>
      </c>
      <c r="BA485" s="1425">
        <v>44508</v>
      </c>
      <c r="BB485" s="1">
        <v>16.924900000000001</v>
      </c>
      <c r="BC485" s="1">
        <v>4.2313000000000001</v>
      </c>
      <c r="BD485" s="1">
        <v>16.260400000000001</v>
      </c>
      <c r="BE485" s="1">
        <v>1.0943499999999999</v>
      </c>
      <c r="BG485" s="1425">
        <v>44508</v>
      </c>
      <c r="BH485" s="1">
        <v>20.090499999999999</v>
      </c>
      <c r="BI485" s="1">
        <v>5.8193000000000001</v>
      </c>
      <c r="BJ485" s="1">
        <v>27.146899999999999</v>
      </c>
      <c r="BT485" s="1425">
        <v>44526</v>
      </c>
      <c r="BU485" s="1">
        <v>22.369599999999998</v>
      </c>
      <c r="BV485" s="1">
        <v>5.3673000000000002</v>
      </c>
      <c r="BW485" s="1">
        <v>13.621600000000001</v>
      </c>
      <c r="BX485" s="1">
        <v>3.1732</v>
      </c>
      <c r="BZ485" s="1425">
        <v>44526</v>
      </c>
      <c r="CA485" s="1">
        <v>40.222000000000001</v>
      </c>
      <c r="CB485" s="1">
        <v>3.4641000000000002</v>
      </c>
      <c r="CC485" s="1">
        <v>70.228399999999993</v>
      </c>
      <c r="CD485" s="1">
        <v>1.50484</v>
      </c>
      <c r="CF485" s="1425">
        <v>44525</v>
      </c>
      <c r="CG485" s="1">
        <v>10.346500000000001</v>
      </c>
      <c r="CH485" s="1">
        <v>2.1894999999999998</v>
      </c>
      <c r="CI485" s="1">
        <v>8.1992999999999991</v>
      </c>
      <c r="CL485" s="1425">
        <v>44539</v>
      </c>
      <c r="CM485" s="1">
        <v>26.155000000000001</v>
      </c>
      <c r="CN485" s="1">
        <v>2.8167</v>
      </c>
      <c r="CO485" s="1">
        <v>11.849299999999999</v>
      </c>
    </row>
    <row r="486" spans="1:93">
      <c r="A486" s="1425">
        <v>44525</v>
      </c>
      <c r="B486" s="20">
        <f t="shared" si="72"/>
        <v>27.5991</v>
      </c>
      <c r="C486" s="20">
        <f t="shared" si="74"/>
        <v>14.1911</v>
      </c>
      <c r="D486" s="20">
        <f t="shared" si="75"/>
        <v>21.012499999999999</v>
      </c>
      <c r="E486" s="20">
        <f t="shared" si="76"/>
        <v>9.9253999999999998</v>
      </c>
      <c r="F486" s="20">
        <f t="shared" si="77"/>
        <v>23.492899999999999</v>
      </c>
      <c r="G486" s="20">
        <f t="shared" si="78"/>
        <v>19.669499999999999</v>
      </c>
      <c r="H486" s="1239">
        <f t="shared" si="79"/>
        <v>19.669499999999999</v>
      </c>
      <c r="I486" s="1243">
        <f t="shared" si="73"/>
        <v>0.40314192023183115</v>
      </c>
      <c r="J486" s="1243">
        <f t="shared" si="80"/>
        <v>0.12093838824177333</v>
      </c>
      <c r="K486" s="1243">
        <f t="shared" si="81"/>
        <v>0.1</v>
      </c>
      <c r="L486" s="203"/>
      <c r="N486" s="1425">
        <v>44525</v>
      </c>
      <c r="O486" s="1502">
        <v>27.5991</v>
      </c>
      <c r="P486" s="1502">
        <v>8.2859999999999996</v>
      </c>
      <c r="Q486" s="1502">
        <v>29.2883</v>
      </c>
      <c r="R486" s="1233">
        <f>'B. PE'!$U$23</f>
        <v>15.978235616082999</v>
      </c>
      <c r="S486" s="1233"/>
      <c r="T486" s="1233"/>
      <c r="V486" s="1425">
        <v>44525</v>
      </c>
      <c r="W486" s="1">
        <v>14.1911</v>
      </c>
      <c r="X486" s="1">
        <v>1.5684</v>
      </c>
      <c r="Y486" s="1">
        <v>11.0989</v>
      </c>
      <c r="Z486" s="1">
        <v>1.1396599999999999</v>
      </c>
      <c r="AB486" s="1425">
        <v>44509</v>
      </c>
      <c r="AC486" s="1">
        <v>9.7416</v>
      </c>
      <c r="AD486" s="1502">
        <v>1.7112000000000001</v>
      </c>
      <c r="AE486" s="1">
        <v>5.0785999999999998</v>
      </c>
      <c r="AF486" s="1">
        <v>4.3630000000000002E-2</v>
      </c>
      <c r="AH486" s="1425">
        <v>44509</v>
      </c>
      <c r="AI486" s="1">
        <v>20.191700000000001</v>
      </c>
      <c r="AJ486" s="1">
        <v>3.4893999999999998</v>
      </c>
      <c r="AK486" s="1">
        <v>9.6668000000000003</v>
      </c>
      <c r="AL486" s="1">
        <v>5.0959999999999998E-2</v>
      </c>
      <c r="AN486" s="1425">
        <v>44511</v>
      </c>
      <c r="AO486" s="1">
        <v>10.373100000000001</v>
      </c>
      <c r="AP486" s="1">
        <v>1.3732</v>
      </c>
      <c r="AQ486" s="1">
        <v>6.0972999999999997</v>
      </c>
      <c r="AR486" s="1">
        <v>0.33688000000000001</v>
      </c>
      <c r="AT486" s="1425">
        <v>44511</v>
      </c>
      <c r="AU486" s="1">
        <v>8.6770999999999994</v>
      </c>
      <c r="AV486" s="1">
        <v>0.56579999999999997</v>
      </c>
      <c r="AW486" s="1">
        <v>5.6509999999999998</v>
      </c>
      <c r="AX486" s="1">
        <v>0.14799000000000001</v>
      </c>
      <c r="BA486" s="1425">
        <v>44505</v>
      </c>
      <c r="BB486" s="1">
        <v>16.924900000000001</v>
      </c>
      <c r="BC486" s="1">
        <v>4.2313000000000001</v>
      </c>
      <c r="BD486" s="1">
        <v>16.260400000000001</v>
      </c>
      <c r="BE486" s="1">
        <v>1.0615699999999999</v>
      </c>
      <c r="BG486" s="1425">
        <v>44505</v>
      </c>
      <c r="BH486" s="1">
        <v>20.252500000000001</v>
      </c>
      <c r="BI486" s="1">
        <v>5.8662000000000001</v>
      </c>
      <c r="BJ486" s="1">
        <v>27.3477</v>
      </c>
      <c r="BT486" s="1425">
        <v>44525</v>
      </c>
      <c r="BU486" s="1">
        <v>22.922899999999998</v>
      </c>
      <c r="BV486" s="1">
        <v>5.5</v>
      </c>
      <c r="BW486" s="1">
        <v>13.9336</v>
      </c>
      <c r="BX486" s="1">
        <v>3.1533000000000002</v>
      </c>
      <c r="BZ486" s="1425">
        <v>44525</v>
      </c>
      <c r="CA486" s="1">
        <v>41.051299999999998</v>
      </c>
      <c r="CB486" s="1">
        <v>3.5356000000000001</v>
      </c>
      <c r="CC486" s="1">
        <v>71.094999999999999</v>
      </c>
      <c r="CD486" s="1">
        <v>1.5084</v>
      </c>
      <c r="CF486" s="1425">
        <v>44524</v>
      </c>
      <c r="CG486" s="1">
        <v>10.2134</v>
      </c>
      <c r="CH486" s="1">
        <v>2.1613000000000002</v>
      </c>
      <c r="CI486" s="1">
        <v>8.1021000000000001</v>
      </c>
      <c r="CL486" s="1425">
        <v>44538</v>
      </c>
      <c r="CM486" s="1">
        <v>26.101700000000001</v>
      </c>
      <c r="CN486" s="1">
        <v>2.8109999999999999</v>
      </c>
      <c r="CO486" s="1">
        <v>11.8254</v>
      </c>
    </row>
    <row r="487" spans="1:93">
      <c r="A487" s="1425">
        <v>44524</v>
      </c>
      <c r="B487" s="20">
        <f t="shared" si="72"/>
        <v>27.781199999999998</v>
      </c>
      <c r="C487" s="20">
        <f t="shared" si="74"/>
        <v>14.004099999999999</v>
      </c>
      <c r="D487" s="20">
        <f t="shared" si="75"/>
        <v>20.957799999999999</v>
      </c>
      <c r="E487" s="20">
        <f t="shared" si="76"/>
        <v>10</v>
      </c>
      <c r="F487" s="20">
        <f t="shared" si="77"/>
        <v>22.075199999999999</v>
      </c>
      <c r="G487" s="20">
        <f t="shared" si="78"/>
        <v>19.440799999999999</v>
      </c>
      <c r="H487" s="1239">
        <f t="shared" si="79"/>
        <v>19.440799999999999</v>
      </c>
      <c r="I487" s="1243">
        <f t="shared" si="73"/>
        <v>0.42901526686144598</v>
      </c>
      <c r="J487" s="1243">
        <f t="shared" si="80"/>
        <v>0.12093838824177333</v>
      </c>
      <c r="K487" s="1243">
        <f t="shared" si="81"/>
        <v>0.1</v>
      </c>
      <c r="L487" s="203"/>
      <c r="N487" s="1425">
        <v>44524</v>
      </c>
      <c r="O487" s="1502">
        <v>27.781199999999998</v>
      </c>
      <c r="P487" s="1502">
        <v>8.3407</v>
      </c>
      <c r="Q487" s="1502">
        <v>29.473800000000001</v>
      </c>
      <c r="R487" s="1233">
        <f>'B. PE'!$U$23</f>
        <v>15.978235616082999</v>
      </c>
      <c r="S487" s="1233"/>
      <c r="T487" s="1233"/>
      <c r="V487" s="1425">
        <v>44524</v>
      </c>
      <c r="W487" s="1">
        <v>14.004099999999999</v>
      </c>
      <c r="X487" s="1">
        <v>1.5477000000000001</v>
      </c>
      <c r="Y487" s="1">
        <v>10.9826</v>
      </c>
      <c r="Z487" s="1">
        <v>1.1064400000000001</v>
      </c>
      <c r="AB487" s="1425">
        <v>44508</v>
      </c>
      <c r="AC487" s="1">
        <v>9.8188999999999993</v>
      </c>
      <c r="AD487" s="1502">
        <v>1.7248000000000001</v>
      </c>
      <c r="AE487" s="1">
        <v>5.1127000000000002</v>
      </c>
      <c r="AF487" s="1">
        <v>4.3830000000000001E-2</v>
      </c>
      <c r="AH487" s="1425">
        <v>44508</v>
      </c>
      <c r="AI487" s="1">
        <v>19.808700000000002</v>
      </c>
      <c r="AJ487" s="1">
        <v>3.4232</v>
      </c>
      <c r="AK487" s="1">
        <v>9.4684000000000008</v>
      </c>
      <c r="AL487" s="1">
        <v>4.786E-2</v>
      </c>
      <c r="AN487" s="1425">
        <v>44510</v>
      </c>
      <c r="AO487" s="1">
        <v>10.447800000000001</v>
      </c>
      <c r="AP487" s="1">
        <v>1.3831</v>
      </c>
      <c r="AQ487" s="1">
        <v>6.1554000000000002</v>
      </c>
      <c r="AR487" s="1">
        <v>0.32017000000000001</v>
      </c>
      <c r="AT487" s="1425">
        <v>44510</v>
      </c>
      <c r="AU487" s="1">
        <v>8.7482000000000006</v>
      </c>
      <c r="AV487" s="1">
        <v>0.57040000000000002</v>
      </c>
      <c r="AW487" s="1">
        <v>5.6904000000000003</v>
      </c>
      <c r="AX487" s="1">
        <v>0.14685000000000001</v>
      </c>
      <c r="BA487" s="1425">
        <v>44504</v>
      </c>
      <c r="BB487" s="1">
        <v>16.696200000000001</v>
      </c>
      <c r="BC487" s="1">
        <v>4.1741000000000001</v>
      </c>
      <c r="BD487" s="1">
        <v>16.0792</v>
      </c>
      <c r="BE487" s="1">
        <v>1.0821499999999999</v>
      </c>
      <c r="BG487" s="1425">
        <v>44504</v>
      </c>
      <c r="BH487" s="1">
        <v>19.9285</v>
      </c>
      <c r="BI487" s="1">
        <v>5.7724000000000002</v>
      </c>
      <c r="BJ487" s="1">
        <v>26.946200000000001</v>
      </c>
      <c r="BT487" s="1425">
        <v>44524</v>
      </c>
      <c r="BU487" s="1">
        <v>22.764800000000001</v>
      </c>
      <c r="BV487" s="1">
        <v>5.4621000000000004</v>
      </c>
      <c r="BW487" s="1">
        <v>13.8445</v>
      </c>
      <c r="BX487" s="1">
        <v>3.0568</v>
      </c>
      <c r="BZ487" s="1425">
        <v>44524</v>
      </c>
      <c r="CA487" s="1">
        <v>40.705800000000004</v>
      </c>
      <c r="CB487" s="1">
        <v>3.5057999999999998</v>
      </c>
      <c r="CC487" s="1">
        <v>70.733900000000006</v>
      </c>
      <c r="CD487" s="1">
        <v>1.4293899999999999</v>
      </c>
      <c r="CF487" s="1425">
        <v>44523</v>
      </c>
      <c r="CG487" s="1">
        <v>10.3132</v>
      </c>
      <c r="CH487" s="1">
        <v>2.1825000000000001</v>
      </c>
      <c r="CI487" s="1">
        <v>8.1750000000000007</v>
      </c>
      <c r="CL487" s="1425">
        <v>44537</v>
      </c>
      <c r="CM487" s="1">
        <v>26.1906</v>
      </c>
      <c r="CN487" s="1">
        <v>2.8205</v>
      </c>
      <c r="CO487" s="1">
        <v>11.8653</v>
      </c>
    </row>
    <row r="488" spans="1:93">
      <c r="A488" s="1425">
        <v>44523</v>
      </c>
      <c r="B488" s="20">
        <f t="shared" si="72"/>
        <v>27.214700000000001</v>
      </c>
      <c r="C488" s="20">
        <f t="shared" si="74"/>
        <v>14.354799999999999</v>
      </c>
      <c r="D488" s="20">
        <f t="shared" si="75"/>
        <v>20.0275</v>
      </c>
      <c r="E488" s="20">
        <f t="shared" si="76"/>
        <v>10.0746</v>
      </c>
      <c r="F488" s="20">
        <f t="shared" si="77"/>
        <v>21.0626</v>
      </c>
      <c r="G488" s="20">
        <f t="shared" si="78"/>
        <v>17.6111</v>
      </c>
      <c r="H488" s="1239">
        <f t="shared" si="79"/>
        <v>17.6111</v>
      </c>
      <c r="I488" s="1243">
        <f t="shared" si="73"/>
        <v>0.54531517054584899</v>
      </c>
      <c r="J488" s="1243">
        <f t="shared" si="80"/>
        <v>0.12093838824177333</v>
      </c>
      <c r="K488" s="1243">
        <f t="shared" si="81"/>
        <v>0.1</v>
      </c>
      <c r="L488" s="203"/>
      <c r="N488" s="1425">
        <v>44523</v>
      </c>
      <c r="O488" s="1502">
        <v>27.214700000000001</v>
      </c>
      <c r="P488" s="1502">
        <v>8.1706000000000003</v>
      </c>
      <c r="Q488" s="1502">
        <v>28.8965</v>
      </c>
      <c r="R488" s="1233">
        <f>'B. PE'!$U$23</f>
        <v>15.978235616082999</v>
      </c>
      <c r="S488" s="1233"/>
      <c r="T488" s="1233"/>
      <c r="V488" s="1425">
        <v>44523</v>
      </c>
      <c r="W488" s="1">
        <v>14.354799999999999</v>
      </c>
      <c r="X488" s="1">
        <v>1.5865</v>
      </c>
      <c r="Y488" s="1">
        <v>11.200699999999999</v>
      </c>
      <c r="Z488" s="1">
        <v>1.18923</v>
      </c>
      <c r="AB488" s="1425">
        <v>44505</v>
      </c>
      <c r="AC488" s="1">
        <v>9.6643000000000008</v>
      </c>
      <c r="AD488" s="1502">
        <v>1.6976</v>
      </c>
      <c r="AE488" s="1">
        <v>5.0445000000000002</v>
      </c>
      <c r="AF488" s="1">
        <v>4.3389999999999998E-2</v>
      </c>
      <c r="AH488" s="1425">
        <v>44505</v>
      </c>
      <c r="AI488" s="1">
        <v>19.972799999999999</v>
      </c>
      <c r="AJ488" s="1">
        <v>3.4516</v>
      </c>
      <c r="AK488" s="1">
        <v>9.5533999999999999</v>
      </c>
      <c r="AL488" s="1">
        <v>4.888E-2</v>
      </c>
      <c r="AN488" s="1425">
        <v>44509</v>
      </c>
      <c r="AO488" s="1">
        <v>10.447800000000001</v>
      </c>
      <c r="AP488" s="1">
        <v>1.3831</v>
      </c>
      <c r="AQ488" s="1">
        <v>6.1554000000000002</v>
      </c>
      <c r="AR488" s="1">
        <v>0.31674000000000002</v>
      </c>
      <c r="AT488" s="1425">
        <v>44509</v>
      </c>
      <c r="AU488" s="1">
        <v>8.7482000000000006</v>
      </c>
      <c r="AV488" s="1">
        <v>0.57040000000000002</v>
      </c>
      <c r="AW488" s="1">
        <v>5.6904000000000003</v>
      </c>
      <c r="AX488" s="1">
        <v>0.14996999999999999</v>
      </c>
      <c r="BA488" s="1425">
        <v>44503</v>
      </c>
      <c r="BB488" s="1">
        <v>16.238800000000001</v>
      </c>
      <c r="BC488" s="1">
        <v>4.0598000000000001</v>
      </c>
      <c r="BD488" s="1">
        <v>15.716799999999999</v>
      </c>
      <c r="BE488" s="1">
        <v>1.11131</v>
      </c>
      <c r="BG488" s="1425">
        <v>44503</v>
      </c>
      <c r="BH488" s="1">
        <v>19.604399999999998</v>
      </c>
      <c r="BI488" s="1">
        <v>5.6784999999999997</v>
      </c>
      <c r="BJ488" s="1">
        <v>26.544599999999999</v>
      </c>
      <c r="BT488" s="1425">
        <v>44523</v>
      </c>
      <c r="BU488" s="1">
        <v>22.6067</v>
      </c>
      <c r="BV488" s="1">
        <v>5.4241999999999999</v>
      </c>
      <c r="BW488" s="1">
        <v>13.7553</v>
      </c>
      <c r="BX488" s="1">
        <v>3.0684</v>
      </c>
      <c r="BZ488" s="1425">
        <v>44523</v>
      </c>
      <c r="CA488" s="1">
        <v>40.774900000000002</v>
      </c>
      <c r="CB488" s="1">
        <v>3.5116999999999998</v>
      </c>
      <c r="CC488" s="1">
        <v>70.806200000000004</v>
      </c>
      <c r="CD488" s="1">
        <v>1.51006</v>
      </c>
      <c r="CF488" s="1425">
        <v>44522</v>
      </c>
      <c r="CG488" s="1">
        <v>9.9804999999999993</v>
      </c>
      <c r="CH488" s="1">
        <v>2.1120999999999999</v>
      </c>
      <c r="CI488" s="1">
        <v>7.9321000000000002</v>
      </c>
      <c r="CL488" s="1425">
        <v>44536</v>
      </c>
      <c r="CM488" s="1">
        <v>26.048300000000001</v>
      </c>
      <c r="CN488" s="1">
        <v>2.8052000000000001</v>
      </c>
      <c r="CO488" s="1">
        <v>11.801399999999999</v>
      </c>
    </row>
    <row r="489" spans="1:93">
      <c r="A489" s="1425">
        <v>44522</v>
      </c>
      <c r="B489" s="20">
        <f t="shared" si="72"/>
        <v>28.327500000000001</v>
      </c>
      <c r="C489" s="20">
        <f t="shared" si="74"/>
        <v>13.9339</v>
      </c>
      <c r="D489" s="20">
        <f t="shared" si="75"/>
        <v>19.644500000000001</v>
      </c>
      <c r="E489" s="20">
        <f t="shared" si="76"/>
        <v>10.0746</v>
      </c>
      <c r="F489" s="20">
        <f t="shared" si="77"/>
        <v>21.2651</v>
      </c>
      <c r="G489" s="20">
        <f t="shared" si="78"/>
        <v>17.7254</v>
      </c>
      <c r="H489" s="1239">
        <f t="shared" si="79"/>
        <v>17.7254</v>
      </c>
      <c r="I489" s="1243">
        <f t="shared" si="73"/>
        <v>0.59813036659257346</v>
      </c>
      <c r="J489" s="1243">
        <f t="shared" si="80"/>
        <v>0.12093838824177333</v>
      </c>
      <c r="K489" s="1243">
        <f t="shared" si="81"/>
        <v>0.1</v>
      </c>
      <c r="L489" s="203"/>
      <c r="N489" s="1425">
        <v>44522</v>
      </c>
      <c r="O489" s="1502">
        <v>28.327500000000001</v>
      </c>
      <c r="P489" s="1502">
        <v>8.5046999999999997</v>
      </c>
      <c r="Q489" s="1502">
        <v>30.0305</v>
      </c>
      <c r="R489" s="1233">
        <f>'B. PE'!$U$23</f>
        <v>15.978235616082999</v>
      </c>
      <c r="S489" s="1233"/>
      <c r="T489" s="1233"/>
      <c r="V489" s="1425">
        <v>44522</v>
      </c>
      <c r="W489" s="1">
        <v>13.9339</v>
      </c>
      <c r="X489" s="1">
        <v>1.54</v>
      </c>
      <c r="Y489" s="1">
        <v>10.9389</v>
      </c>
      <c r="Z489" s="1">
        <v>1.2743100000000001</v>
      </c>
      <c r="AB489" s="1425">
        <v>44504</v>
      </c>
      <c r="AC489" s="1">
        <v>9.7416</v>
      </c>
      <c r="AD489" s="1502">
        <v>1.7112000000000001</v>
      </c>
      <c r="AE489" s="1">
        <v>5.0785999999999998</v>
      </c>
      <c r="AF489" s="1">
        <v>4.376E-2</v>
      </c>
      <c r="AH489" s="1425">
        <v>44504</v>
      </c>
      <c r="AI489" s="1">
        <v>18.823699999999999</v>
      </c>
      <c r="AJ489" s="1">
        <v>3.2530000000000001</v>
      </c>
      <c r="AK489" s="1">
        <v>8.9581999999999997</v>
      </c>
      <c r="AL489" s="1">
        <v>4.8590000000000001E-2</v>
      </c>
      <c r="AN489" s="1425">
        <v>44508</v>
      </c>
      <c r="AO489" s="1">
        <v>9.9253999999999998</v>
      </c>
      <c r="AP489" s="1">
        <v>1.3139000000000001</v>
      </c>
      <c r="AQ489" s="1">
        <v>5.7488000000000001</v>
      </c>
      <c r="AR489" s="1">
        <v>0.31761</v>
      </c>
      <c r="AT489" s="1425">
        <v>44508</v>
      </c>
      <c r="AU489" s="1">
        <v>8.6770999999999994</v>
      </c>
      <c r="AV489" s="1">
        <v>0.56579999999999997</v>
      </c>
      <c r="AW489" s="1">
        <v>5.6509999999999998</v>
      </c>
      <c r="AX489" s="1">
        <v>0.14798</v>
      </c>
      <c r="BA489" s="1425">
        <v>44502</v>
      </c>
      <c r="BB489" s="1">
        <v>16.467500000000001</v>
      </c>
      <c r="BC489" s="1">
        <v>4.117</v>
      </c>
      <c r="BD489" s="1">
        <v>15.898</v>
      </c>
      <c r="BE489" s="1">
        <v>1.09419</v>
      </c>
      <c r="BG489" s="1425">
        <v>44502</v>
      </c>
      <c r="BH489" s="1">
        <v>19.685400000000001</v>
      </c>
      <c r="BI489" s="1">
        <v>5.702</v>
      </c>
      <c r="BJ489" s="1">
        <v>26.645</v>
      </c>
      <c r="BT489" s="1425">
        <v>44522</v>
      </c>
      <c r="BU489" s="1">
        <v>21.911100000000001</v>
      </c>
      <c r="BV489" s="1">
        <v>5.2572999999999999</v>
      </c>
      <c r="BW489" s="1">
        <v>13.363</v>
      </c>
      <c r="BX489" s="1">
        <v>3.0674999999999999</v>
      </c>
      <c r="BZ489" s="1425">
        <v>44522</v>
      </c>
      <c r="CA489" s="1">
        <v>38.6325</v>
      </c>
      <c r="CB489" s="1">
        <v>3.3271999999999999</v>
      </c>
      <c r="CC489" s="1">
        <v>68.567400000000006</v>
      </c>
      <c r="CD489" s="1">
        <v>1.5479700000000001</v>
      </c>
      <c r="CF489" s="1425">
        <v>44519</v>
      </c>
      <c r="CG489" s="1">
        <v>10.6792</v>
      </c>
      <c r="CH489" s="1">
        <v>2.2599</v>
      </c>
      <c r="CI489" s="1">
        <v>8.4422999999999995</v>
      </c>
      <c r="CL489" s="1425">
        <v>44533</v>
      </c>
      <c r="CM489" s="1">
        <v>25.9239</v>
      </c>
      <c r="CN489" s="1">
        <v>2.7917999999999998</v>
      </c>
      <c r="CO489" s="1">
        <v>11.7454</v>
      </c>
    </row>
    <row r="490" spans="1:93">
      <c r="A490" s="1425">
        <v>44519</v>
      </c>
      <c r="B490" s="20">
        <f t="shared" si="72"/>
        <v>27.5182</v>
      </c>
      <c r="C490" s="20">
        <f t="shared" si="74"/>
        <v>14.9626</v>
      </c>
      <c r="D490" s="20">
        <f t="shared" si="75"/>
        <v>19.370899999999999</v>
      </c>
      <c r="E490" s="20">
        <f t="shared" si="76"/>
        <v>10.0746</v>
      </c>
      <c r="F490" s="20">
        <f t="shared" si="77"/>
        <v>21.467600000000001</v>
      </c>
      <c r="G490" s="20">
        <f t="shared" si="78"/>
        <v>17.496700000000001</v>
      </c>
      <c r="H490" s="1239">
        <f t="shared" si="79"/>
        <v>17.496700000000001</v>
      </c>
      <c r="I490" s="1243">
        <f t="shared" si="73"/>
        <v>0.57276514999971417</v>
      </c>
      <c r="J490" s="1243">
        <f t="shared" si="80"/>
        <v>0.12093838824177333</v>
      </c>
      <c r="K490" s="1243">
        <f t="shared" si="81"/>
        <v>0.1</v>
      </c>
      <c r="L490" s="203"/>
      <c r="N490" s="1425">
        <v>44519</v>
      </c>
      <c r="O490" s="1502">
        <v>27.5182</v>
      </c>
      <c r="P490" s="1502">
        <v>8.2616999999999994</v>
      </c>
      <c r="Q490" s="1502">
        <v>29.2058</v>
      </c>
      <c r="R490" s="1233">
        <f>'B. PE'!$U$23</f>
        <v>15.978235616082999</v>
      </c>
      <c r="S490" s="1233"/>
      <c r="T490" s="1233"/>
      <c r="V490" s="1425">
        <v>44519</v>
      </c>
      <c r="W490" s="1">
        <v>14.9626</v>
      </c>
      <c r="X490" s="1">
        <v>1.6536999999999999</v>
      </c>
      <c r="Y490" s="1">
        <v>11.578900000000001</v>
      </c>
      <c r="Z490" s="1">
        <v>1.2859100000000001</v>
      </c>
      <c r="AB490" s="1425">
        <v>44503</v>
      </c>
      <c r="AC490" s="1">
        <v>9.6643000000000008</v>
      </c>
      <c r="AD490" s="1502">
        <v>1.6976</v>
      </c>
      <c r="AE490" s="1">
        <v>5.0445000000000002</v>
      </c>
      <c r="AF490" s="1">
        <v>4.48E-2</v>
      </c>
      <c r="AH490" s="1425">
        <v>44503</v>
      </c>
      <c r="AI490" s="1">
        <v>19.261500000000002</v>
      </c>
      <c r="AJ490" s="1">
        <v>3.3287</v>
      </c>
      <c r="AK490" s="1">
        <v>9.1849000000000007</v>
      </c>
      <c r="AL490" s="1">
        <v>4.9000000000000002E-2</v>
      </c>
      <c r="AN490" s="1425">
        <v>44505</v>
      </c>
      <c r="AO490" s="1">
        <v>9.8506999999999998</v>
      </c>
      <c r="AP490" s="1">
        <v>1.3041</v>
      </c>
      <c r="AQ490" s="1">
        <v>5.6906999999999996</v>
      </c>
      <c r="AR490" s="1">
        <v>0.31807999999999997</v>
      </c>
      <c r="AT490" s="1425">
        <v>44505</v>
      </c>
      <c r="AU490" s="1">
        <v>8.8904999999999994</v>
      </c>
      <c r="AV490" s="1">
        <v>0.57969999999999999</v>
      </c>
      <c r="AW490" s="1">
        <v>5.7690999999999999</v>
      </c>
      <c r="BA490" s="1425">
        <v>44501</v>
      </c>
      <c r="BB490" s="1">
        <v>16.924900000000001</v>
      </c>
      <c r="BC490" s="1">
        <v>4.2313000000000001</v>
      </c>
      <c r="BD490" s="1">
        <v>16.260400000000001</v>
      </c>
      <c r="BE490" s="1">
        <v>1.05447</v>
      </c>
      <c r="BG490" s="1425">
        <v>44501</v>
      </c>
      <c r="BH490" s="1">
        <v>20.171500000000002</v>
      </c>
      <c r="BI490" s="1">
        <v>5.8428000000000004</v>
      </c>
      <c r="BJ490" s="1">
        <v>27.247299999999999</v>
      </c>
      <c r="BT490" s="1425">
        <v>44519</v>
      </c>
      <c r="BU490" s="1">
        <v>21.974299999999999</v>
      </c>
      <c r="BV490" s="1">
        <v>5.2724000000000002</v>
      </c>
      <c r="BW490" s="1">
        <v>13.3987</v>
      </c>
      <c r="BX490" s="1">
        <v>3.0442999999999998</v>
      </c>
      <c r="BZ490" s="1425">
        <v>44519</v>
      </c>
      <c r="CA490" s="1">
        <v>40.774900000000002</v>
      </c>
      <c r="CB490" s="1">
        <v>3.5116999999999998</v>
      </c>
      <c r="CC490" s="1">
        <v>70.806200000000004</v>
      </c>
      <c r="CD490" s="1">
        <v>1.5562</v>
      </c>
      <c r="CF490" s="1425">
        <v>44518</v>
      </c>
      <c r="CG490" s="1">
        <v>11.3445</v>
      </c>
      <c r="CH490" s="1">
        <v>2.4007000000000001</v>
      </c>
      <c r="CI490" s="1">
        <v>8.9282000000000004</v>
      </c>
      <c r="CL490" s="1425">
        <v>44532</v>
      </c>
      <c r="CM490" s="1">
        <v>25.995000000000001</v>
      </c>
      <c r="CN490" s="1">
        <v>2.7995000000000001</v>
      </c>
      <c r="CO490" s="1">
        <v>11.7774</v>
      </c>
    </row>
    <row r="491" spans="1:93">
      <c r="A491" s="1425">
        <v>44518</v>
      </c>
      <c r="B491" s="20">
        <f t="shared" si="72"/>
        <v>26.506499999999999</v>
      </c>
      <c r="C491" s="20">
        <f t="shared" si="74"/>
        <v>16.0381</v>
      </c>
      <c r="D491" s="20">
        <f t="shared" si="75"/>
        <v>19.261500000000002</v>
      </c>
      <c r="E491" s="20">
        <f t="shared" si="76"/>
        <v>9.8506999999999998</v>
      </c>
      <c r="F491" s="20">
        <f t="shared" si="77"/>
        <v>21.467600000000001</v>
      </c>
      <c r="G491" s="20">
        <f t="shared" si="78"/>
        <v>18.0685</v>
      </c>
      <c r="H491" s="1239">
        <f t="shared" si="79"/>
        <v>18.0685</v>
      </c>
      <c r="I491" s="1243">
        <f t="shared" si="73"/>
        <v>0.46700058112184184</v>
      </c>
      <c r="J491" s="1243">
        <f t="shared" si="80"/>
        <v>0.12093838824177333</v>
      </c>
      <c r="K491" s="1243">
        <f t="shared" si="81"/>
        <v>0.1</v>
      </c>
      <c r="L491" s="203"/>
      <c r="N491" s="1425">
        <v>44518</v>
      </c>
      <c r="O491" s="1502">
        <v>26.506499999999999</v>
      </c>
      <c r="P491" s="1502">
        <v>7.9580000000000002</v>
      </c>
      <c r="Q491" s="1502">
        <v>28.174900000000001</v>
      </c>
      <c r="R491" s="1233">
        <f>'B. PE'!$U$23</f>
        <v>15.978235616082999</v>
      </c>
      <c r="S491" s="1233"/>
      <c r="T491" s="1233"/>
      <c r="V491" s="1425">
        <v>44518</v>
      </c>
      <c r="W491" s="1">
        <v>16.0381</v>
      </c>
      <c r="X491" s="1">
        <v>1.7725</v>
      </c>
      <c r="Y491" s="1">
        <v>12.2479</v>
      </c>
      <c r="Z491" s="1">
        <v>1.2338199999999999</v>
      </c>
      <c r="AB491" s="1425">
        <v>44502</v>
      </c>
      <c r="AC491" s="1">
        <v>9.6643000000000008</v>
      </c>
      <c r="AD491" s="1502">
        <v>1.6976</v>
      </c>
      <c r="AE491" s="1">
        <v>5.0445000000000002</v>
      </c>
      <c r="AF491" s="1">
        <v>4.5670000000000002E-2</v>
      </c>
      <c r="AH491" s="1425">
        <v>44502</v>
      </c>
      <c r="AI491" s="1">
        <v>18.9879</v>
      </c>
      <c r="AJ491" s="1">
        <v>3.2814000000000001</v>
      </c>
      <c r="AK491" s="1">
        <v>9.0432000000000006</v>
      </c>
      <c r="AL491" s="1">
        <v>5.185E-2</v>
      </c>
      <c r="AN491" s="1425">
        <v>44503</v>
      </c>
      <c r="AO491" s="1">
        <v>9.8506999999999998</v>
      </c>
      <c r="AP491" s="1">
        <v>1.3041</v>
      </c>
      <c r="AQ491" s="1">
        <v>5.6906999999999996</v>
      </c>
      <c r="AR491" s="1">
        <v>0.31069000000000002</v>
      </c>
      <c r="AT491" s="1425">
        <v>44503</v>
      </c>
      <c r="AU491" s="1">
        <v>8.7482000000000006</v>
      </c>
      <c r="AV491" s="1">
        <v>0.57040000000000002</v>
      </c>
      <c r="AW491" s="1">
        <v>5.6904000000000003</v>
      </c>
      <c r="AX491" s="1">
        <v>0.15053</v>
      </c>
      <c r="BA491" s="1425">
        <v>44498</v>
      </c>
      <c r="BB491" s="1">
        <v>16.696200000000001</v>
      </c>
      <c r="BC491" s="1">
        <v>4.1741000000000001</v>
      </c>
      <c r="BD491" s="1">
        <v>16.0792</v>
      </c>
      <c r="BE491" s="1">
        <v>0.98502000000000001</v>
      </c>
      <c r="BG491" s="1425">
        <v>44498</v>
      </c>
      <c r="BH491" s="1">
        <v>20.657499999999999</v>
      </c>
      <c r="BI491" s="1">
        <v>5.9836</v>
      </c>
      <c r="BJ491" s="1">
        <v>27.849599999999999</v>
      </c>
      <c r="BT491" s="1425">
        <v>44518</v>
      </c>
      <c r="BU491" s="1">
        <v>21.974299999999999</v>
      </c>
      <c r="BV491" s="1">
        <v>5.2724000000000002</v>
      </c>
      <c r="BW491" s="1">
        <v>13.3987</v>
      </c>
      <c r="BX491" s="1">
        <v>3.0442</v>
      </c>
      <c r="BZ491" s="1425">
        <v>44518</v>
      </c>
      <c r="CA491" s="1">
        <v>41.811599999999999</v>
      </c>
      <c r="CB491" s="1">
        <v>3.601</v>
      </c>
      <c r="CC491" s="1">
        <v>71.889399999999995</v>
      </c>
      <c r="CD491" s="1">
        <v>1.48447</v>
      </c>
      <c r="CF491" s="1425">
        <v>44517</v>
      </c>
      <c r="CG491" s="1">
        <v>11.3445</v>
      </c>
      <c r="CH491" s="1">
        <v>2.4007000000000001</v>
      </c>
      <c r="CI491" s="1">
        <v>8.9282000000000004</v>
      </c>
      <c r="CL491" s="1425">
        <v>44531</v>
      </c>
      <c r="CM491" s="1">
        <v>26.332799999999999</v>
      </c>
      <c r="CN491" s="1">
        <v>2.8359000000000001</v>
      </c>
      <c r="CO491" s="1">
        <v>11.9293</v>
      </c>
    </row>
    <row r="492" spans="1:93">
      <c r="A492" s="1425">
        <v>44517</v>
      </c>
      <c r="B492" s="20">
        <f t="shared" si="72"/>
        <v>25.272200000000002</v>
      </c>
      <c r="C492" s="20">
        <f t="shared" si="74"/>
        <v>16.1783</v>
      </c>
      <c r="D492" s="20">
        <f t="shared" si="75"/>
        <v>19.5351</v>
      </c>
      <c r="E492" s="20">
        <f t="shared" si="76"/>
        <v>10</v>
      </c>
      <c r="F492" s="20">
        <f t="shared" si="77"/>
        <v>21.872699999999998</v>
      </c>
      <c r="G492" s="20">
        <f t="shared" si="78"/>
        <v>16.924900000000001</v>
      </c>
      <c r="H492" s="1239">
        <f t="shared" si="79"/>
        <v>16.924900000000001</v>
      </c>
      <c r="I492" s="1243">
        <f t="shared" si="73"/>
        <v>0.49319641474986553</v>
      </c>
      <c r="J492" s="1243">
        <f t="shared" si="80"/>
        <v>0.12093838824177333</v>
      </c>
      <c r="K492" s="1243">
        <f t="shared" si="81"/>
        <v>0.1</v>
      </c>
      <c r="L492" s="203"/>
      <c r="N492" s="1425">
        <v>44517</v>
      </c>
      <c r="O492" s="1502">
        <v>25.272200000000002</v>
      </c>
      <c r="P492" s="1502">
        <v>7.5873999999999997</v>
      </c>
      <c r="Q492" s="1502">
        <v>26.917200000000001</v>
      </c>
      <c r="R492" s="1233">
        <f>'B. PE'!$U$23</f>
        <v>15.978235616082999</v>
      </c>
      <c r="S492" s="1233"/>
      <c r="T492" s="1233"/>
      <c r="V492" s="1425">
        <v>44517</v>
      </c>
      <c r="W492" s="1">
        <v>16.1783</v>
      </c>
      <c r="X492" s="1">
        <v>1.788</v>
      </c>
      <c r="Y492" s="1">
        <v>12.3352</v>
      </c>
      <c r="Z492" s="1">
        <v>1.1874199999999999</v>
      </c>
      <c r="AB492" s="1425">
        <v>44501</v>
      </c>
      <c r="AC492" s="1">
        <v>9.8962000000000003</v>
      </c>
      <c r="AD492" s="1502">
        <v>1.7383999999999999</v>
      </c>
      <c r="AE492" s="1">
        <v>5.1467999999999998</v>
      </c>
      <c r="AF492" s="1">
        <v>4.4749999999999998E-2</v>
      </c>
      <c r="AH492" s="1425">
        <v>44501</v>
      </c>
      <c r="AI492" s="1">
        <v>19.152000000000001</v>
      </c>
      <c r="AJ492" s="1">
        <v>3.3098000000000001</v>
      </c>
      <c r="AK492" s="1">
        <v>9.1281999999999996</v>
      </c>
      <c r="AL492" s="1">
        <v>5.1860000000000003E-2</v>
      </c>
      <c r="AN492" s="1425">
        <v>44502</v>
      </c>
      <c r="AO492" s="1">
        <v>9.8506999999999998</v>
      </c>
      <c r="AP492" s="1">
        <v>1.3041</v>
      </c>
      <c r="AQ492" s="1">
        <v>5.6906999999999996</v>
      </c>
      <c r="AR492" s="1">
        <v>0.32612999999999998</v>
      </c>
      <c r="AT492" s="1425">
        <v>44502</v>
      </c>
      <c r="AW492" s="1">
        <v>5.7690999999999999</v>
      </c>
      <c r="AX492" s="1">
        <v>0.15218999999999999</v>
      </c>
      <c r="BA492" s="1425">
        <v>44497</v>
      </c>
      <c r="BB492" s="1">
        <v>16.010100000000001</v>
      </c>
      <c r="BC492" s="1">
        <v>4.0026000000000002</v>
      </c>
      <c r="BD492" s="1">
        <v>15.5357</v>
      </c>
      <c r="BE492" s="1">
        <v>0.99322999999999995</v>
      </c>
      <c r="BG492" s="1425">
        <v>44497</v>
      </c>
      <c r="BH492" s="1">
        <v>19.8474</v>
      </c>
      <c r="BI492" s="1">
        <v>5.7488999999999999</v>
      </c>
      <c r="BJ492" s="1">
        <v>26.845800000000001</v>
      </c>
      <c r="BT492" s="1425">
        <v>44517</v>
      </c>
      <c r="BU492" s="1">
        <v>21.8004</v>
      </c>
      <c r="BV492" s="1">
        <v>5.2306999999999997</v>
      </c>
      <c r="BW492" s="1">
        <v>13.300599999999999</v>
      </c>
      <c r="BX492" s="1">
        <v>3.0773999999999999</v>
      </c>
      <c r="BZ492" s="1425">
        <v>44517</v>
      </c>
      <c r="CA492" s="1">
        <v>42.018900000000002</v>
      </c>
      <c r="CB492" s="1">
        <v>3.6189</v>
      </c>
      <c r="CC492" s="1">
        <v>72.106099999999998</v>
      </c>
      <c r="CD492" s="1">
        <v>1.51525</v>
      </c>
      <c r="CF492" s="1425">
        <v>44516</v>
      </c>
      <c r="CG492" s="1">
        <v>11.2447</v>
      </c>
      <c r="CH492" s="1">
        <v>2.3795999999999999</v>
      </c>
      <c r="CI492" s="1">
        <v>8.8552999999999997</v>
      </c>
      <c r="CL492" s="1425">
        <v>44530</v>
      </c>
      <c r="CM492" s="1">
        <v>26.101700000000001</v>
      </c>
      <c r="CN492" s="1">
        <v>2.8109999999999999</v>
      </c>
      <c r="CO492" s="1">
        <v>11.8254</v>
      </c>
    </row>
    <row r="493" spans="1:93">
      <c r="A493" s="1425">
        <v>44516</v>
      </c>
      <c r="B493" s="20">
        <f t="shared" si="72"/>
        <v>25.393599999999999</v>
      </c>
      <c r="C493" s="20">
        <f t="shared" si="74"/>
        <v>15.5237</v>
      </c>
      <c r="D493" s="20">
        <f t="shared" si="75"/>
        <v>19.261500000000002</v>
      </c>
      <c r="E493" s="20">
        <f t="shared" si="76"/>
        <v>10.2239</v>
      </c>
      <c r="F493" s="20">
        <f t="shared" si="77"/>
        <v>21.0626</v>
      </c>
      <c r="G493" s="20">
        <f t="shared" si="78"/>
        <v>18.0685</v>
      </c>
      <c r="H493" s="1239">
        <f t="shared" si="79"/>
        <v>18.0685</v>
      </c>
      <c r="I493" s="1243">
        <f t="shared" si="73"/>
        <v>0.40540720037634559</v>
      </c>
      <c r="J493" s="1243">
        <f t="shared" si="80"/>
        <v>0.12093838824177333</v>
      </c>
      <c r="K493" s="1243">
        <f t="shared" si="81"/>
        <v>0.1</v>
      </c>
      <c r="L493" s="203"/>
      <c r="N493" s="1425">
        <v>44516</v>
      </c>
      <c r="O493" s="1502">
        <v>25.393599999999999</v>
      </c>
      <c r="P493" s="1502">
        <v>7.6238999999999999</v>
      </c>
      <c r="Q493" s="1502">
        <v>27.040900000000001</v>
      </c>
      <c r="R493" s="1233">
        <f>'B. PE'!$U$23</f>
        <v>15.978235616082999</v>
      </c>
      <c r="S493" s="1233"/>
      <c r="T493" s="1233"/>
      <c r="V493" s="1425">
        <v>44516</v>
      </c>
      <c r="W493" s="1">
        <v>15.5237</v>
      </c>
      <c r="X493" s="1">
        <v>1.7157</v>
      </c>
      <c r="Y493" s="1">
        <v>11.927899999999999</v>
      </c>
      <c r="Z493" s="1">
        <v>1.1783399999999999</v>
      </c>
      <c r="AB493" s="1425">
        <v>44498</v>
      </c>
      <c r="AC493" s="1">
        <v>10.0509</v>
      </c>
      <c r="AD493" s="1502">
        <v>1.7655000000000001</v>
      </c>
      <c r="AE493" s="1">
        <v>5.2149999999999999</v>
      </c>
      <c r="AF493" s="1">
        <v>4.4019999999999997E-2</v>
      </c>
      <c r="AH493" s="1425">
        <v>44498</v>
      </c>
      <c r="AI493" s="1">
        <v>20.191700000000001</v>
      </c>
      <c r="AJ493" s="1">
        <v>3.4893999999999998</v>
      </c>
      <c r="AK493" s="1">
        <v>9.6668000000000003</v>
      </c>
      <c r="AL493" s="1">
        <v>5.0990000000000001E-2</v>
      </c>
      <c r="AN493" s="1425">
        <v>44501</v>
      </c>
      <c r="AO493" s="1">
        <v>9.6268999999999991</v>
      </c>
      <c r="AP493" s="1">
        <v>1.2744</v>
      </c>
      <c r="AQ493" s="1">
        <v>5.5164</v>
      </c>
      <c r="AR493" s="1">
        <v>0.32040000000000002</v>
      </c>
      <c r="AT493" s="1425">
        <v>44501</v>
      </c>
      <c r="AU493" s="1">
        <v>8.8904999999999994</v>
      </c>
      <c r="AV493" s="1">
        <v>0.57969999999999999</v>
      </c>
      <c r="AW493" s="1">
        <v>5.7690999999999999</v>
      </c>
      <c r="AX493" s="1">
        <v>0.15176999999999999</v>
      </c>
      <c r="BA493" s="1425">
        <v>44496</v>
      </c>
      <c r="BB493" s="1">
        <v>14.9809</v>
      </c>
      <c r="BC493" s="1">
        <v>3.7452999999999999</v>
      </c>
      <c r="BD493" s="1">
        <v>14.7203</v>
      </c>
      <c r="BE493" s="1">
        <v>0.99046999999999996</v>
      </c>
      <c r="BG493" s="1425">
        <v>44496</v>
      </c>
      <c r="BH493" s="1">
        <v>20.009499999999999</v>
      </c>
      <c r="BI493" s="1">
        <v>5.7957999999999998</v>
      </c>
      <c r="BJ493" s="1">
        <v>27.046500000000002</v>
      </c>
      <c r="BT493" s="1425">
        <v>44516</v>
      </c>
      <c r="BU493" s="1">
        <v>21.8004</v>
      </c>
      <c r="BV493" s="1">
        <v>5.2306999999999997</v>
      </c>
      <c r="BW493" s="1">
        <v>13.300599999999999</v>
      </c>
      <c r="BX493" s="1">
        <v>3.0028999999999999</v>
      </c>
      <c r="BZ493" s="1425">
        <v>44516</v>
      </c>
      <c r="CA493" s="1">
        <v>40.083799999999997</v>
      </c>
      <c r="CB493" s="1">
        <v>3.4521999999999999</v>
      </c>
      <c r="CC493" s="1">
        <v>70.084000000000003</v>
      </c>
      <c r="CD493" s="1">
        <v>1.49248</v>
      </c>
      <c r="CF493" s="1425">
        <v>44515</v>
      </c>
      <c r="CG493" s="1">
        <v>10.9453</v>
      </c>
      <c r="CH493" s="1">
        <v>2.3161999999999998</v>
      </c>
      <c r="CI493" s="1">
        <v>8.6366999999999994</v>
      </c>
      <c r="CL493" s="1425">
        <v>44529</v>
      </c>
      <c r="CM493" s="1">
        <v>26.404</v>
      </c>
      <c r="CN493" s="1">
        <v>2.8435000000000001</v>
      </c>
      <c r="CO493" s="1">
        <v>11.9613</v>
      </c>
    </row>
    <row r="494" spans="1:93">
      <c r="A494" s="1425">
        <v>44515</v>
      </c>
      <c r="B494" s="20">
        <f t="shared" si="72"/>
        <v>24.179600000000001</v>
      </c>
      <c r="C494" s="20">
        <f t="shared" si="74"/>
        <v>14.9392</v>
      </c>
      <c r="D494" s="20">
        <f t="shared" si="75"/>
        <v>19.5898</v>
      </c>
      <c r="E494" s="20">
        <f t="shared" si="76"/>
        <v>10.373100000000001</v>
      </c>
      <c r="F494" s="20">
        <f t="shared" si="77"/>
        <v>21.2651</v>
      </c>
      <c r="G494" s="20">
        <f t="shared" si="78"/>
        <v>17.153600000000001</v>
      </c>
      <c r="H494" s="1239">
        <f t="shared" si="79"/>
        <v>17.153600000000001</v>
      </c>
      <c r="I494" s="1243">
        <f t="shared" si="73"/>
        <v>0.40959332151851502</v>
      </c>
      <c r="J494" s="1243">
        <f t="shared" si="80"/>
        <v>0.12093838824177333</v>
      </c>
      <c r="K494" s="1243">
        <f t="shared" si="81"/>
        <v>0.1</v>
      </c>
      <c r="L494" s="203"/>
      <c r="N494" s="1425">
        <v>44515</v>
      </c>
      <c r="O494" s="1502">
        <v>24.179600000000001</v>
      </c>
      <c r="P494" s="1502">
        <v>7.2594000000000003</v>
      </c>
      <c r="Q494" s="1502">
        <v>25.803899999999999</v>
      </c>
      <c r="R494" s="1233">
        <f>'B. PE'!$U$23</f>
        <v>15.978235616082999</v>
      </c>
      <c r="S494" s="1233"/>
      <c r="T494" s="1233"/>
      <c r="V494" s="1425">
        <v>44515</v>
      </c>
      <c r="W494" s="1">
        <v>14.9392</v>
      </c>
      <c r="X494" s="1">
        <v>1.6511</v>
      </c>
      <c r="Y494" s="1">
        <v>11.564299999999999</v>
      </c>
      <c r="Z494" s="1">
        <v>1.18143</v>
      </c>
      <c r="AB494" s="1425">
        <v>44497</v>
      </c>
      <c r="AC494" s="1">
        <v>9.8188999999999993</v>
      </c>
      <c r="AD494" s="1502">
        <v>1.7248000000000001</v>
      </c>
      <c r="AE494" s="1">
        <v>5.1127000000000002</v>
      </c>
      <c r="AF494" s="1">
        <v>4.3790000000000003E-2</v>
      </c>
      <c r="AH494" s="1425">
        <v>44497</v>
      </c>
      <c r="AI494" s="1">
        <v>20.137</v>
      </c>
      <c r="AJ494" s="1">
        <v>3.48</v>
      </c>
      <c r="AK494" s="1">
        <v>9.6385000000000005</v>
      </c>
      <c r="AL494" s="1">
        <v>4.7750000000000001E-2</v>
      </c>
      <c r="AN494" s="1425">
        <v>44498</v>
      </c>
      <c r="AO494" s="1">
        <v>10.0746</v>
      </c>
      <c r="AP494" s="1">
        <v>1.3337000000000001</v>
      </c>
      <c r="AQ494" s="1">
        <v>5.8650000000000002</v>
      </c>
      <c r="AR494" s="1">
        <v>0.32490999999999998</v>
      </c>
      <c r="AT494" s="1425">
        <v>44498</v>
      </c>
      <c r="AU494" s="1">
        <v>8.9616000000000007</v>
      </c>
      <c r="AV494" s="1">
        <v>0.58430000000000004</v>
      </c>
      <c r="AW494" s="1">
        <v>5.8083999999999998</v>
      </c>
      <c r="AX494" s="1">
        <v>0.14921999999999999</v>
      </c>
      <c r="BA494" s="1425">
        <v>44495</v>
      </c>
      <c r="BB494" s="1">
        <v>15.0952</v>
      </c>
      <c r="BC494" s="1">
        <v>3.7738999999999998</v>
      </c>
      <c r="BD494" s="1">
        <v>14.8109</v>
      </c>
      <c r="BE494" s="1">
        <v>0.98089000000000004</v>
      </c>
      <c r="BG494" s="1425">
        <v>44495</v>
      </c>
      <c r="BH494" s="1">
        <v>19.766400000000001</v>
      </c>
      <c r="BI494" s="1">
        <v>5.7255000000000003</v>
      </c>
      <c r="BJ494" s="1">
        <v>26.7454</v>
      </c>
      <c r="BT494" s="1425">
        <v>44515</v>
      </c>
      <c r="BU494" s="1">
        <v>22.037600000000001</v>
      </c>
      <c r="BV494" s="1">
        <v>5.2876000000000003</v>
      </c>
      <c r="BW494" s="1">
        <v>13.4344</v>
      </c>
      <c r="BX494" s="1">
        <v>2.9792000000000001</v>
      </c>
      <c r="BZ494" s="1425">
        <v>44515</v>
      </c>
      <c r="CA494" s="1">
        <v>40.9131</v>
      </c>
      <c r="CB494" s="1">
        <v>3.5236000000000001</v>
      </c>
      <c r="CC494" s="1">
        <v>70.950599999999994</v>
      </c>
      <c r="CD494" s="1">
        <v>1.39446</v>
      </c>
      <c r="CF494" s="1425">
        <v>44512</v>
      </c>
      <c r="CG494" s="1">
        <v>11.1449</v>
      </c>
      <c r="CH494" s="1">
        <v>2.3584999999999998</v>
      </c>
      <c r="CI494" s="1">
        <v>8.7824000000000009</v>
      </c>
      <c r="CL494" s="1425">
        <v>44526</v>
      </c>
      <c r="CM494" s="1">
        <v>26.208400000000001</v>
      </c>
      <c r="CN494" s="1">
        <v>2.8224999999999998</v>
      </c>
      <c r="CO494" s="1">
        <v>11.8733</v>
      </c>
    </row>
    <row r="495" spans="1:93">
      <c r="A495" s="1425">
        <v>44512</v>
      </c>
      <c r="B495" s="20">
        <f t="shared" si="72"/>
        <v>22.601299999999998</v>
      </c>
      <c r="C495" s="20">
        <f t="shared" si="74"/>
        <v>14.8224</v>
      </c>
      <c r="D495" s="20">
        <f t="shared" si="75"/>
        <v>18.768999999999998</v>
      </c>
      <c r="E495" s="20">
        <f t="shared" si="76"/>
        <v>10.373100000000001</v>
      </c>
      <c r="F495" s="20">
        <f t="shared" si="77"/>
        <v>21.0626</v>
      </c>
      <c r="G495" s="20">
        <f t="shared" si="78"/>
        <v>17.382400000000001</v>
      </c>
      <c r="H495" s="1239">
        <f t="shared" si="79"/>
        <v>17.382400000000001</v>
      </c>
      <c r="I495" s="1243">
        <f t="shared" si="73"/>
        <v>0.30024047312223856</v>
      </c>
      <c r="J495" s="1243">
        <f t="shared" si="80"/>
        <v>0.12093838824177333</v>
      </c>
      <c r="K495" s="1243">
        <f t="shared" si="81"/>
        <v>0.1</v>
      </c>
      <c r="L495" s="203"/>
      <c r="N495" s="1425">
        <v>44512</v>
      </c>
      <c r="O495" s="1502">
        <v>22.601299999999998</v>
      </c>
      <c r="P495" s="1502">
        <v>6.7854999999999999</v>
      </c>
      <c r="Q495" s="1502">
        <v>24.195699999999999</v>
      </c>
      <c r="R495" s="1233">
        <f>'B. PE'!$U$23</f>
        <v>15.978235616082999</v>
      </c>
      <c r="S495" s="1233"/>
      <c r="T495" s="1233"/>
      <c r="V495" s="1425">
        <v>44512</v>
      </c>
      <c r="W495" s="1">
        <v>14.8224</v>
      </c>
      <c r="X495" s="1">
        <v>1.6382000000000001</v>
      </c>
      <c r="Y495" s="1">
        <v>11.4916</v>
      </c>
      <c r="Z495" s="1">
        <v>1.20929</v>
      </c>
      <c r="AB495" s="1425">
        <v>44496</v>
      </c>
      <c r="AC495" s="1">
        <v>9.6643000000000008</v>
      </c>
      <c r="AD495" s="1502">
        <v>1.6976</v>
      </c>
      <c r="AE495" s="1">
        <v>5.0445000000000002</v>
      </c>
      <c r="AF495" s="1">
        <v>4.3409999999999997E-2</v>
      </c>
      <c r="AH495" s="1425">
        <v>44496</v>
      </c>
      <c r="AI495" s="1">
        <v>19.808700000000002</v>
      </c>
      <c r="AJ495" s="1">
        <v>3.4232</v>
      </c>
      <c r="AK495" s="1">
        <v>9.4684000000000008</v>
      </c>
      <c r="AL495" s="1">
        <v>4.6449999999999998E-2</v>
      </c>
      <c r="AN495" s="1425">
        <v>44497</v>
      </c>
      <c r="AO495" s="1">
        <v>9.9253999999999998</v>
      </c>
      <c r="AP495" s="1">
        <v>1.3139000000000001</v>
      </c>
      <c r="AQ495" s="1">
        <v>5.7488000000000001</v>
      </c>
      <c r="AR495" s="1">
        <v>0.33273999999999998</v>
      </c>
      <c r="AT495" s="1425">
        <v>44497</v>
      </c>
      <c r="AU495" s="1">
        <v>8.9616000000000007</v>
      </c>
      <c r="AV495" s="1">
        <v>0.58430000000000004</v>
      </c>
      <c r="AW495" s="1">
        <v>5.8083999999999998</v>
      </c>
      <c r="AX495" s="1">
        <v>0.1507</v>
      </c>
      <c r="BA495" s="1425">
        <v>44494</v>
      </c>
      <c r="BB495" s="1">
        <v>14.9809</v>
      </c>
      <c r="BC495" s="1">
        <v>3.7452999999999999</v>
      </c>
      <c r="BD495" s="1">
        <v>14.7203</v>
      </c>
      <c r="BE495" s="1">
        <v>0.98168999999999995</v>
      </c>
      <c r="BG495" s="1425">
        <v>44494</v>
      </c>
      <c r="BH495" s="1">
        <v>19.604399999999998</v>
      </c>
      <c r="BI495" s="1">
        <v>5.6784999999999997</v>
      </c>
      <c r="BJ495" s="1">
        <v>26.544599999999999</v>
      </c>
      <c r="BT495" s="1425">
        <v>44512</v>
      </c>
      <c r="BU495" s="1">
        <v>21.5001</v>
      </c>
      <c r="BV495" s="1">
        <v>5.1585999999999999</v>
      </c>
      <c r="BW495" s="1">
        <v>13.1312</v>
      </c>
      <c r="BX495" s="1">
        <v>2.9020000000000001</v>
      </c>
      <c r="BZ495" s="1425">
        <v>44512</v>
      </c>
      <c r="CA495" s="1">
        <v>40.2911</v>
      </c>
      <c r="CB495" s="1">
        <v>3.4701</v>
      </c>
      <c r="CC495" s="1">
        <v>70.300600000000003</v>
      </c>
      <c r="CD495" s="1">
        <v>1.4021300000000001</v>
      </c>
      <c r="CF495" s="1425">
        <v>44511</v>
      </c>
      <c r="CG495" s="1">
        <v>11.377800000000001</v>
      </c>
      <c r="CH495" s="1">
        <v>2.4077000000000002</v>
      </c>
      <c r="CI495" s="1">
        <v>8.9525000000000006</v>
      </c>
      <c r="CL495" s="1425">
        <v>44525</v>
      </c>
      <c r="CM495" s="1">
        <v>26.546199999999999</v>
      </c>
      <c r="CN495" s="1">
        <v>2.8588</v>
      </c>
      <c r="CO495" s="1">
        <v>12.0252</v>
      </c>
    </row>
    <row r="496" spans="1:93">
      <c r="A496" s="1425">
        <v>44511</v>
      </c>
      <c r="B496" s="20">
        <f t="shared" si="72"/>
        <v>22.176400000000001</v>
      </c>
      <c r="C496" s="20">
        <f t="shared" si="74"/>
        <v>14.8691</v>
      </c>
      <c r="D496" s="20">
        <f t="shared" si="75"/>
        <v>19.808700000000002</v>
      </c>
      <c r="E496" s="20">
        <f t="shared" si="76"/>
        <v>10.373100000000001</v>
      </c>
      <c r="F496" s="20">
        <f t="shared" si="77"/>
        <v>21.467600000000001</v>
      </c>
      <c r="G496" s="20">
        <f t="shared" si="78"/>
        <v>17.039300000000001</v>
      </c>
      <c r="H496" s="1239">
        <f t="shared" si="79"/>
        <v>17.039300000000001</v>
      </c>
      <c r="I496" s="1243">
        <f t="shared" si="73"/>
        <v>0.30148538965802585</v>
      </c>
      <c r="J496" s="1243">
        <f t="shared" si="80"/>
        <v>0.12093838824177333</v>
      </c>
      <c r="K496" s="1243">
        <f t="shared" si="81"/>
        <v>0.1</v>
      </c>
      <c r="L496" s="203"/>
      <c r="N496" s="1425">
        <v>44511</v>
      </c>
      <c r="O496" s="1502">
        <v>22.176400000000001</v>
      </c>
      <c r="P496" s="1502">
        <v>6.6580000000000004</v>
      </c>
      <c r="Q496" s="1502">
        <v>23.762699999999999</v>
      </c>
      <c r="R496" s="1233">
        <f>'B. PE'!$U$23</f>
        <v>15.978235616082999</v>
      </c>
      <c r="S496" s="1233"/>
      <c r="T496" s="1233"/>
      <c r="V496" s="1425">
        <v>44511</v>
      </c>
      <c r="W496" s="1">
        <v>14.8691</v>
      </c>
      <c r="X496" s="1">
        <v>1.6433</v>
      </c>
      <c r="Y496" s="1">
        <v>11.5207</v>
      </c>
      <c r="Z496" s="1">
        <v>1.1813800000000001</v>
      </c>
      <c r="AB496" s="1425">
        <v>44495</v>
      </c>
      <c r="AC496" s="1">
        <v>9.5869999999999997</v>
      </c>
      <c r="AD496" s="1502">
        <v>1.6839999999999999</v>
      </c>
      <c r="AE496" s="1">
        <v>5.0103</v>
      </c>
      <c r="AF496" s="1">
        <v>4.471E-2</v>
      </c>
      <c r="AH496" s="1425">
        <v>44495</v>
      </c>
      <c r="AI496" s="1">
        <v>18.4954</v>
      </c>
      <c r="AJ496" s="1">
        <v>3.1962999999999999</v>
      </c>
      <c r="AK496" s="1">
        <v>8.7881</v>
      </c>
      <c r="AL496" s="1">
        <v>4.3929999999999997E-2</v>
      </c>
      <c r="AN496" s="1425">
        <v>44496</v>
      </c>
      <c r="AO496" s="1">
        <v>10.0746</v>
      </c>
      <c r="AP496" s="1">
        <v>1.3337000000000001</v>
      </c>
      <c r="AQ496" s="1">
        <v>5.8650000000000002</v>
      </c>
      <c r="AR496" s="1">
        <v>0.33007999999999998</v>
      </c>
      <c r="AT496" s="1425">
        <v>44496</v>
      </c>
      <c r="AU496" s="1">
        <v>8.8193000000000001</v>
      </c>
      <c r="AV496" s="1">
        <v>0.57499999999999996</v>
      </c>
      <c r="AW496" s="1">
        <v>5.7297000000000002</v>
      </c>
      <c r="AX496" s="1">
        <v>0.14938000000000001</v>
      </c>
      <c r="BA496" s="1425">
        <v>44490</v>
      </c>
      <c r="BB496" s="1">
        <v>14.9809</v>
      </c>
      <c r="BC496" s="1">
        <v>3.7452999999999999</v>
      </c>
      <c r="BD496" s="1">
        <v>14.7203</v>
      </c>
      <c r="BE496" s="1">
        <v>0.96614999999999995</v>
      </c>
      <c r="BG496" s="1425">
        <v>44490</v>
      </c>
      <c r="BH496" s="1">
        <v>19.604399999999998</v>
      </c>
      <c r="BI496" s="1">
        <v>5.6784999999999997</v>
      </c>
      <c r="BJ496" s="1">
        <v>26.544599999999999</v>
      </c>
      <c r="BT496" s="1425">
        <v>44511</v>
      </c>
      <c r="BU496" s="1">
        <v>21.341999999999999</v>
      </c>
      <c r="BV496" s="1">
        <v>5.1207000000000003</v>
      </c>
      <c r="BW496" s="1">
        <v>13.0421</v>
      </c>
      <c r="BX496" s="1">
        <v>2.8687</v>
      </c>
      <c r="BZ496" s="1425">
        <v>44511</v>
      </c>
      <c r="CA496" s="1">
        <v>37.664900000000003</v>
      </c>
      <c r="CB496" s="1">
        <v>3.2439</v>
      </c>
      <c r="CC496" s="1">
        <v>67.556299999999993</v>
      </c>
      <c r="CD496" s="1">
        <v>1.38672</v>
      </c>
      <c r="CF496" s="1425">
        <v>44510</v>
      </c>
      <c r="CG496" s="1">
        <v>11.677199999999999</v>
      </c>
      <c r="CH496" s="1">
        <v>2.4710999999999999</v>
      </c>
      <c r="CI496" s="1">
        <v>9.1712000000000007</v>
      </c>
      <c r="CL496" s="1425">
        <v>44524</v>
      </c>
      <c r="CM496" s="1">
        <v>26.528400000000001</v>
      </c>
      <c r="CN496" s="1">
        <v>2.8569</v>
      </c>
      <c r="CO496" s="1">
        <v>12.017200000000001</v>
      </c>
    </row>
    <row r="497" spans="1:93">
      <c r="A497" s="1425">
        <v>44510</v>
      </c>
      <c r="B497" s="20">
        <f t="shared" si="72"/>
        <v>22.3383</v>
      </c>
      <c r="C497" s="20">
        <f t="shared" si="74"/>
        <v>15.219799999999999</v>
      </c>
      <c r="D497" s="20">
        <f t="shared" si="75"/>
        <v>20.355899999999998</v>
      </c>
      <c r="E497" s="20">
        <f t="shared" si="76"/>
        <v>10.447800000000001</v>
      </c>
      <c r="F497" s="20">
        <f t="shared" si="77"/>
        <v>20.454999999999998</v>
      </c>
      <c r="G497" s="20">
        <f t="shared" si="78"/>
        <v>16.696200000000001</v>
      </c>
      <c r="H497" s="1239">
        <f t="shared" si="79"/>
        <v>16.696200000000001</v>
      </c>
      <c r="I497" s="1243">
        <f t="shared" si="73"/>
        <v>0.33792719301397911</v>
      </c>
      <c r="J497" s="1243">
        <f t="shared" si="80"/>
        <v>0.12093838824177333</v>
      </c>
      <c r="K497" s="1243">
        <f t="shared" si="81"/>
        <v>0.1</v>
      </c>
      <c r="L497" s="203"/>
      <c r="N497" s="1425">
        <v>44510</v>
      </c>
      <c r="O497" s="1502">
        <v>22.3383</v>
      </c>
      <c r="P497" s="1502">
        <v>6.7065999999999999</v>
      </c>
      <c r="Q497" s="1502">
        <v>23.927600000000002</v>
      </c>
      <c r="R497" s="1233">
        <f>'B. PE'!$U$23</f>
        <v>15.978235616082999</v>
      </c>
      <c r="S497" s="1233"/>
      <c r="T497" s="1233"/>
      <c r="V497" s="1425">
        <v>44510</v>
      </c>
      <c r="W497" s="1">
        <v>15.219799999999999</v>
      </c>
      <c r="X497" s="1">
        <v>1.6820999999999999</v>
      </c>
      <c r="Y497" s="1">
        <v>11.738899999999999</v>
      </c>
      <c r="Z497" s="1">
        <v>1.1906699999999999</v>
      </c>
      <c r="AB497" s="1425">
        <v>44494</v>
      </c>
      <c r="AC497" s="1">
        <v>9.5097000000000005</v>
      </c>
      <c r="AD497" s="1502">
        <v>1.6705000000000001</v>
      </c>
      <c r="AE497" s="1">
        <v>4.9762000000000004</v>
      </c>
      <c r="AF497" s="1">
        <v>4.5600000000000002E-2</v>
      </c>
      <c r="AH497" s="1425">
        <v>44494</v>
      </c>
      <c r="AI497" s="1">
        <v>18.0029</v>
      </c>
      <c r="AJ497" s="1">
        <v>3.1112000000000002</v>
      </c>
      <c r="AK497" s="1">
        <v>8.5329999999999995</v>
      </c>
      <c r="AL497" s="1">
        <v>4.4540000000000003E-2</v>
      </c>
      <c r="AN497" s="1425">
        <v>44495</v>
      </c>
      <c r="AO497" s="1">
        <v>10.298500000000001</v>
      </c>
      <c r="AP497" s="1">
        <v>1.3633</v>
      </c>
      <c r="AQ497" s="1">
        <v>6.0392000000000001</v>
      </c>
      <c r="AR497" s="1">
        <v>0.33252999999999999</v>
      </c>
      <c r="AT497" s="1425">
        <v>44495</v>
      </c>
      <c r="AU497" s="1">
        <v>8.8904999999999994</v>
      </c>
      <c r="AV497" s="1">
        <v>0.57969999999999999</v>
      </c>
      <c r="AW497" s="1">
        <v>5.7690999999999999</v>
      </c>
      <c r="AX497" s="1">
        <v>0.15181</v>
      </c>
      <c r="BA497" s="1425">
        <v>44489</v>
      </c>
      <c r="BB497" s="1">
        <v>14.9809</v>
      </c>
      <c r="BC497" s="1">
        <v>3.7452999999999999</v>
      </c>
      <c r="BD497" s="1">
        <v>14.7203</v>
      </c>
      <c r="BE497" s="1">
        <v>0.96380999999999994</v>
      </c>
      <c r="BG497" s="1425">
        <v>44489</v>
      </c>
      <c r="BH497" s="1">
        <v>19.766400000000001</v>
      </c>
      <c r="BI497" s="1">
        <v>5.7255000000000003</v>
      </c>
      <c r="BJ497" s="1">
        <v>26.7454</v>
      </c>
      <c r="BT497" s="1425">
        <v>44510</v>
      </c>
      <c r="BU497" s="1">
        <v>20.788699999999999</v>
      </c>
      <c r="BV497" s="1">
        <v>4.9880000000000004</v>
      </c>
      <c r="BW497" s="1">
        <v>12.73</v>
      </c>
      <c r="BX497" s="1">
        <v>2.9041000000000001</v>
      </c>
      <c r="BZ497" s="1425">
        <v>44510</v>
      </c>
      <c r="CA497" s="1">
        <v>37.872300000000003</v>
      </c>
      <c r="CB497" s="1">
        <v>3.2618</v>
      </c>
      <c r="CC497" s="1">
        <v>67.772999999999996</v>
      </c>
      <c r="CD497" s="1">
        <v>1.4020699999999999</v>
      </c>
      <c r="CF497" s="1425">
        <v>44509</v>
      </c>
      <c r="CG497" s="1">
        <v>10.645899999999999</v>
      </c>
      <c r="CH497" s="1">
        <v>2.2528999999999999</v>
      </c>
      <c r="CI497" s="1">
        <v>8.4179999999999993</v>
      </c>
      <c r="CL497" s="1425">
        <v>44523</v>
      </c>
      <c r="CM497" s="1">
        <v>26.635100000000001</v>
      </c>
      <c r="CN497" s="1">
        <v>2.8683999999999998</v>
      </c>
      <c r="CO497" s="1">
        <v>12.065200000000001</v>
      </c>
    </row>
    <row r="498" spans="1:93">
      <c r="A498" s="1425">
        <v>44509</v>
      </c>
      <c r="B498" s="20">
        <f t="shared" si="72"/>
        <v>22.661999999999999</v>
      </c>
      <c r="C498" s="20">
        <f t="shared" si="74"/>
        <v>14.8691</v>
      </c>
      <c r="D498" s="20">
        <f t="shared" si="75"/>
        <v>20.191700000000001</v>
      </c>
      <c r="E498" s="20">
        <f t="shared" si="76"/>
        <v>10.447800000000001</v>
      </c>
      <c r="F498" s="20">
        <f t="shared" si="77"/>
        <v>20.657499999999999</v>
      </c>
      <c r="G498" s="20">
        <f t="shared" si="78"/>
        <v>17.039300000000001</v>
      </c>
      <c r="H498" s="1239">
        <f t="shared" si="79"/>
        <v>17.039300000000001</v>
      </c>
      <c r="I498" s="1243">
        <f t="shared" si="73"/>
        <v>0.32998421296649494</v>
      </c>
      <c r="J498" s="1243">
        <f t="shared" si="80"/>
        <v>0.12093838824177333</v>
      </c>
      <c r="K498" s="1243">
        <f t="shared" si="81"/>
        <v>0.1</v>
      </c>
      <c r="L498" s="203"/>
      <c r="N498" s="1425">
        <v>44509</v>
      </c>
      <c r="O498" s="1502">
        <v>22.661999999999999</v>
      </c>
      <c r="P498" s="1502">
        <v>6.8037999999999998</v>
      </c>
      <c r="Q498" s="1502">
        <v>24.2575</v>
      </c>
      <c r="R498" s="1233">
        <f>'B. PE'!$U$23</f>
        <v>15.978235616082999</v>
      </c>
      <c r="S498" s="1233"/>
      <c r="T498" s="1233"/>
      <c r="V498" s="1425">
        <v>44509</v>
      </c>
      <c r="W498" s="1">
        <v>14.8691</v>
      </c>
      <c r="X498" s="1">
        <v>1.6433</v>
      </c>
      <c r="Y498" s="1">
        <v>11.5207</v>
      </c>
      <c r="Z498" s="1">
        <v>1.1514800000000001</v>
      </c>
      <c r="AB498" s="1425">
        <v>44491</v>
      </c>
      <c r="AC498" s="1">
        <v>9.8188999999999993</v>
      </c>
      <c r="AD498" s="1502">
        <v>1.7248000000000001</v>
      </c>
      <c r="AE498" s="1">
        <v>5.1127000000000002</v>
      </c>
      <c r="AF498" s="1">
        <v>4.58E-2</v>
      </c>
      <c r="AH498" s="1425">
        <v>44491</v>
      </c>
      <c r="AI498" s="1">
        <v>17.072700000000001</v>
      </c>
      <c r="AJ498" s="1">
        <v>2.9504000000000001</v>
      </c>
      <c r="AK498" s="1">
        <v>8.0510999999999999</v>
      </c>
      <c r="AL498" s="1">
        <v>4.7010000000000003E-2</v>
      </c>
      <c r="AN498" s="1425">
        <v>44494</v>
      </c>
      <c r="AO498" s="1">
        <v>10.2239</v>
      </c>
      <c r="AP498" s="1">
        <v>1.3534999999999999</v>
      </c>
      <c r="AQ498" s="1">
        <v>5.9810999999999996</v>
      </c>
      <c r="AR498" s="1">
        <v>0.33429999999999999</v>
      </c>
      <c r="AT498" s="1425">
        <v>44494</v>
      </c>
      <c r="AU498" s="1">
        <v>8.8193000000000001</v>
      </c>
      <c r="AV498" s="1">
        <v>0.57499999999999996</v>
      </c>
      <c r="AW498" s="1">
        <v>5.7297000000000002</v>
      </c>
      <c r="AX498" s="1">
        <v>0.14791000000000001</v>
      </c>
      <c r="BA498" s="1425">
        <v>44488</v>
      </c>
      <c r="BB498" s="1">
        <v>14.7521</v>
      </c>
      <c r="BC498" s="1">
        <v>3.6880999999999999</v>
      </c>
      <c r="BD498" s="1">
        <v>14.539199999999999</v>
      </c>
      <c r="BE498" s="1">
        <v>0.97282000000000002</v>
      </c>
      <c r="BG498" s="1425">
        <v>44488</v>
      </c>
      <c r="BH498" s="1">
        <v>19.442399999999999</v>
      </c>
      <c r="BI498" s="1">
        <v>5.6315999999999997</v>
      </c>
      <c r="BJ498" s="1">
        <v>26.343900000000001</v>
      </c>
      <c r="BT498" s="1425">
        <v>44509</v>
      </c>
      <c r="BU498" s="1">
        <v>20.551500000000001</v>
      </c>
      <c r="BV498" s="1">
        <v>4.9310999999999998</v>
      </c>
      <c r="BW498" s="1">
        <v>12.596299999999999</v>
      </c>
      <c r="BX498" s="1">
        <v>2.9077000000000002</v>
      </c>
      <c r="BZ498" s="1425">
        <v>44509</v>
      </c>
      <c r="CA498" s="1">
        <v>37.457599999999999</v>
      </c>
      <c r="CB498" s="1">
        <v>3.226</v>
      </c>
      <c r="CC498" s="1">
        <v>67.339699999999993</v>
      </c>
      <c r="CD498" s="1">
        <v>1.4174800000000001</v>
      </c>
      <c r="CF498" s="1425">
        <v>44508</v>
      </c>
      <c r="CG498" s="1">
        <v>10.812200000000001</v>
      </c>
      <c r="CH498" s="1">
        <v>2.2881</v>
      </c>
      <c r="CI498" s="1">
        <v>8.5395000000000003</v>
      </c>
      <c r="CL498" s="1425">
        <v>44522</v>
      </c>
      <c r="CM498" s="1">
        <v>26.581800000000001</v>
      </c>
      <c r="CN498" s="1">
        <v>2.8626999999999998</v>
      </c>
      <c r="CO498" s="1">
        <v>12.0412</v>
      </c>
    </row>
    <row r="499" spans="1:93">
      <c r="A499" s="1425">
        <v>44508</v>
      </c>
      <c r="B499" s="20">
        <f t="shared" si="72"/>
        <v>22.661999999999999</v>
      </c>
      <c r="C499" s="20">
        <f t="shared" si="74"/>
        <v>14.986000000000001</v>
      </c>
      <c r="D499" s="20">
        <f t="shared" si="75"/>
        <v>19.808700000000002</v>
      </c>
      <c r="E499" s="20">
        <f t="shared" si="76"/>
        <v>9.9253999999999998</v>
      </c>
      <c r="F499" s="20">
        <f t="shared" si="77"/>
        <v>20.090499999999999</v>
      </c>
      <c r="G499" s="20">
        <f t="shared" si="78"/>
        <v>16.924900000000001</v>
      </c>
      <c r="H499" s="1239">
        <f t="shared" si="79"/>
        <v>16.924900000000001</v>
      </c>
      <c r="I499" s="1243">
        <f t="shared" si="73"/>
        <v>0.33897393780760887</v>
      </c>
      <c r="J499" s="1243">
        <f t="shared" si="80"/>
        <v>0.12093838824177333</v>
      </c>
      <c r="K499" s="1243">
        <f t="shared" si="81"/>
        <v>0.1</v>
      </c>
      <c r="L499" s="203"/>
      <c r="N499" s="1425">
        <v>44508</v>
      </c>
      <c r="O499" s="1502">
        <v>22.661999999999999</v>
      </c>
      <c r="P499" s="1502">
        <v>6.8037999999999998</v>
      </c>
      <c r="Q499" s="1502">
        <v>24.2575</v>
      </c>
      <c r="R499" s="1233">
        <f>'B. PE'!$U$23</f>
        <v>15.978235616082999</v>
      </c>
      <c r="S499" s="1233"/>
      <c r="T499" s="1233"/>
      <c r="V499" s="1425">
        <v>44508</v>
      </c>
      <c r="W499" s="1">
        <v>14.986000000000001</v>
      </c>
      <c r="X499" s="1">
        <v>1.6563000000000001</v>
      </c>
      <c r="Y499" s="1">
        <v>11.593400000000001</v>
      </c>
      <c r="Z499" s="1">
        <v>1.1375</v>
      </c>
      <c r="AB499" s="1425">
        <v>44490</v>
      </c>
      <c r="AC499" s="1">
        <v>9.9735999999999994</v>
      </c>
      <c r="AD499" s="1502">
        <v>1.7519</v>
      </c>
      <c r="AE499" s="1">
        <v>5.1809000000000003</v>
      </c>
      <c r="AF499" s="1">
        <v>4.6719999999999998E-2</v>
      </c>
      <c r="AH499" s="1425">
        <v>44490</v>
      </c>
      <c r="AI499" s="1">
        <v>17.236799999999999</v>
      </c>
      <c r="AJ499" s="1">
        <v>2.9788000000000001</v>
      </c>
      <c r="AK499" s="1">
        <v>8.1361000000000008</v>
      </c>
      <c r="AL499" s="1">
        <v>4.7570000000000001E-2</v>
      </c>
      <c r="AN499" s="1425">
        <v>44491</v>
      </c>
      <c r="AO499" s="1">
        <v>10.298500000000001</v>
      </c>
      <c r="AP499" s="1">
        <v>1.3633</v>
      </c>
      <c r="AQ499" s="1">
        <v>6.0392000000000001</v>
      </c>
      <c r="AR499" s="1">
        <v>0.33817000000000003</v>
      </c>
      <c r="AT499" s="1425">
        <v>44491</v>
      </c>
      <c r="AU499" s="1">
        <v>8.9616000000000007</v>
      </c>
      <c r="AV499" s="1">
        <v>0.58430000000000004</v>
      </c>
      <c r="AW499" s="1">
        <v>5.8083999999999998</v>
      </c>
      <c r="AX499" s="1">
        <v>0.1487</v>
      </c>
      <c r="BA499" s="1425">
        <v>44487</v>
      </c>
      <c r="BB499" s="1">
        <v>14.7521</v>
      </c>
      <c r="BC499" s="1">
        <v>3.6880999999999999</v>
      </c>
      <c r="BD499" s="1">
        <v>14.539199999999999</v>
      </c>
      <c r="BE499" s="1">
        <v>0.97921000000000002</v>
      </c>
      <c r="BG499" s="1425">
        <v>44487</v>
      </c>
      <c r="BH499" s="1">
        <v>19.604399999999998</v>
      </c>
      <c r="BI499" s="1">
        <v>5.6784999999999997</v>
      </c>
      <c r="BJ499" s="1">
        <v>26.544599999999999</v>
      </c>
      <c r="BT499" s="1425">
        <v>44508</v>
      </c>
      <c r="BU499" s="1">
        <v>20.804500000000001</v>
      </c>
      <c r="BV499" s="1">
        <v>4.9917999999999996</v>
      </c>
      <c r="BW499" s="1">
        <v>12.739000000000001</v>
      </c>
      <c r="BX499" s="1">
        <v>2.859</v>
      </c>
      <c r="BZ499" s="1425">
        <v>44508</v>
      </c>
      <c r="CA499" s="1">
        <v>37.872300000000003</v>
      </c>
      <c r="CB499" s="1">
        <v>3.2618</v>
      </c>
      <c r="CC499" s="1">
        <v>67.772999999999996</v>
      </c>
      <c r="CD499" s="1">
        <v>1.3881600000000001</v>
      </c>
      <c r="CF499" s="1425">
        <v>44505</v>
      </c>
      <c r="CG499" s="1">
        <v>10.812200000000001</v>
      </c>
      <c r="CH499" s="1">
        <v>2.2881</v>
      </c>
      <c r="CI499" s="1">
        <v>8.5395000000000003</v>
      </c>
      <c r="CL499" s="1425">
        <v>44519</v>
      </c>
      <c r="CM499" s="1">
        <v>26.848500000000001</v>
      </c>
      <c r="CN499" s="1">
        <v>2.8914</v>
      </c>
      <c r="CO499" s="1">
        <v>12.161099999999999</v>
      </c>
    </row>
    <row r="500" spans="1:93">
      <c r="A500" s="1425">
        <v>44505</v>
      </c>
      <c r="B500" s="20">
        <f t="shared" si="72"/>
        <v>23.026199999999999</v>
      </c>
      <c r="C500" s="20">
        <f t="shared" si="74"/>
        <v>14.5184</v>
      </c>
      <c r="D500" s="20">
        <f t="shared" si="75"/>
        <v>19.972799999999999</v>
      </c>
      <c r="E500" s="20">
        <f t="shared" si="76"/>
        <v>9.8506999999999998</v>
      </c>
      <c r="F500" s="20">
        <f t="shared" si="77"/>
        <v>20.252500000000001</v>
      </c>
      <c r="G500" s="20">
        <f t="shared" si="78"/>
        <v>16.924900000000001</v>
      </c>
      <c r="H500" s="1239">
        <f t="shared" si="79"/>
        <v>16.924900000000001</v>
      </c>
      <c r="I500" s="1243">
        <f t="shared" si="73"/>
        <v>0.36049252875940163</v>
      </c>
      <c r="J500" s="1243">
        <f t="shared" si="80"/>
        <v>0.12093838824177333</v>
      </c>
      <c r="K500" s="1243">
        <f t="shared" si="81"/>
        <v>0.1</v>
      </c>
      <c r="L500" s="203"/>
      <c r="N500" s="1425">
        <v>44505</v>
      </c>
      <c r="O500" s="1502">
        <v>23.026199999999999</v>
      </c>
      <c r="P500" s="1502">
        <v>6.9131</v>
      </c>
      <c r="Q500" s="1502">
        <v>24.628699999999998</v>
      </c>
      <c r="R500" s="1233">
        <f>'B. PE'!$U$23</f>
        <v>15.978235616082999</v>
      </c>
      <c r="S500" s="1233"/>
      <c r="T500" s="1233"/>
      <c r="V500" s="1425">
        <v>44505</v>
      </c>
      <c r="W500" s="1">
        <v>14.5184</v>
      </c>
      <c r="X500" s="1">
        <v>1.6046</v>
      </c>
      <c r="Y500" s="1">
        <v>11.3025</v>
      </c>
      <c r="Z500" s="1">
        <v>1.1288499999999999</v>
      </c>
      <c r="AB500" s="1425">
        <v>44488</v>
      </c>
      <c r="AC500" s="1">
        <v>9.9735999999999994</v>
      </c>
      <c r="AD500" s="1502">
        <v>1.7519</v>
      </c>
      <c r="AE500" s="1">
        <v>5.1809000000000003</v>
      </c>
      <c r="AF500" s="1">
        <v>4.2680000000000003E-2</v>
      </c>
      <c r="AH500" s="1425">
        <v>44488</v>
      </c>
      <c r="AI500" s="1">
        <v>18.112300000000001</v>
      </c>
      <c r="AJ500" s="1">
        <v>3.1301000000000001</v>
      </c>
      <c r="AK500" s="1">
        <v>8.5897000000000006</v>
      </c>
      <c r="AL500" s="1">
        <v>4.5809999999999997E-2</v>
      </c>
      <c r="AN500" s="1425">
        <v>44490</v>
      </c>
      <c r="AO500" s="1">
        <v>10.373100000000001</v>
      </c>
      <c r="AP500" s="1">
        <v>1.3732</v>
      </c>
      <c r="AQ500" s="1">
        <v>6.0972999999999997</v>
      </c>
      <c r="AR500" s="1">
        <v>0.34553</v>
      </c>
      <c r="AT500" s="1425">
        <v>44490</v>
      </c>
      <c r="AU500" s="1">
        <v>8.7482000000000006</v>
      </c>
      <c r="AV500" s="1">
        <v>0.57040000000000002</v>
      </c>
      <c r="AW500" s="1">
        <v>5.6904000000000003</v>
      </c>
      <c r="AX500" s="1">
        <v>0.14877000000000001</v>
      </c>
      <c r="BA500" s="1425">
        <v>44484</v>
      </c>
      <c r="BB500" s="1">
        <v>14.8665</v>
      </c>
      <c r="BC500" s="1">
        <v>3.7166999999999999</v>
      </c>
      <c r="BD500" s="1">
        <v>14.629799999999999</v>
      </c>
      <c r="BE500" s="1">
        <v>0.99039999999999995</v>
      </c>
      <c r="BG500" s="1425">
        <v>44484</v>
      </c>
      <c r="BH500" s="1">
        <v>19.442399999999999</v>
      </c>
      <c r="BI500" s="1">
        <v>5.6315999999999997</v>
      </c>
      <c r="BJ500" s="1">
        <v>26.343900000000001</v>
      </c>
      <c r="BT500" s="1425">
        <v>44505</v>
      </c>
      <c r="BU500" s="1">
        <v>20.867699999999999</v>
      </c>
      <c r="BV500" s="1">
        <v>5.0068999999999999</v>
      </c>
      <c r="BW500" s="1">
        <v>12.7746</v>
      </c>
      <c r="BX500" s="1">
        <v>2.8315999999999999</v>
      </c>
      <c r="BZ500" s="1425">
        <v>44505</v>
      </c>
      <c r="CA500" s="1">
        <v>38.356000000000002</v>
      </c>
      <c r="CB500" s="1">
        <v>3.3033999999999999</v>
      </c>
      <c r="CC500" s="1">
        <v>68.278499999999994</v>
      </c>
      <c r="CD500" s="1">
        <v>1.3407500000000001</v>
      </c>
      <c r="CF500" s="1425">
        <v>44504</v>
      </c>
      <c r="CG500" s="1">
        <v>10.5794</v>
      </c>
      <c r="CH500" s="1">
        <v>2.2387999999999999</v>
      </c>
      <c r="CI500" s="1">
        <v>8.3694000000000006</v>
      </c>
      <c r="CL500" s="1425">
        <v>44518</v>
      </c>
      <c r="CM500" s="1">
        <v>26.6707</v>
      </c>
      <c r="CN500" s="1">
        <v>2.8721999999999999</v>
      </c>
      <c r="CO500" s="1">
        <v>12.081200000000001</v>
      </c>
    </row>
    <row r="501" spans="1:93">
      <c r="A501" s="1425">
        <v>44504</v>
      </c>
      <c r="B501" s="20">
        <f t="shared" si="72"/>
        <v>22.459700000000002</v>
      </c>
      <c r="C501" s="20">
        <f t="shared" si="74"/>
        <v>14.354799999999999</v>
      </c>
      <c r="D501" s="20">
        <f t="shared" si="75"/>
        <v>18.823699999999999</v>
      </c>
      <c r="E501" s="20">
        <f t="shared" si="76"/>
        <v>9.8506999999999998</v>
      </c>
      <c r="F501" s="20">
        <f t="shared" si="77"/>
        <v>19.9285</v>
      </c>
      <c r="G501" s="20">
        <f t="shared" si="78"/>
        <v>16.696200000000001</v>
      </c>
      <c r="H501" s="1239">
        <f t="shared" si="79"/>
        <v>16.696200000000001</v>
      </c>
      <c r="I501" s="1243">
        <f t="shared" si="73"/>
        <v>0.34519830859716594</v>
      </c>
      <c r="J501" s="1243">
        <f t="shared" si="80"/>
        <v>0.12093838824177333</v>
      </c>
      <c r="K501" s="1243">
        <f t="shared" si="81"/>
        <v>0.1</v>
      </c>
      <c r="L501" s="203"/>
      <c r="N501" s="1425">
        <v>44504</v>
      </c>
      <c r="O501" s="1502">
        <v>22.459700000000002</v>
      </c>
      <c r="P501" s="1502">
        <v>6.7430000000000003</v>
      </c>
      <c r="Q501" s="1502">
        <v>24.051400000000001</v>
      </c>
      <c r="R501" s="1233">
        <f>'B. PE'!$U$23</f>
        <v>15.978235616082999</v>
      </c>
      <c r="S501" s="1233"/>
      <c r="T501" s="1233"/>
      <c r="V501" s="1425">
        <v>44504</v>
      </c>
      <c r="W501" s="1">
        <v>14.354799999999999</v>
      </c>
      <c r="X501" s="1">
        <v>1.5865</v>
      </c>
      <c r="Y501" s="1">
        <v>11.200699999999999</v>
      </c>
      <c r="Z501" s="1">
        <v>1.1655</v>
      </c>
      <c r="AB501" s="1425">
        <v>44487</v>
      </c>
      <c r="AC501" s="1">
        <v>10.205500000000001</v>
      </c>
      <c r="AD501" s="1502">
        <v>1.7927</v>
      </c>
      <c r="AE501" s="1">
        <v>5.2831999999999999</v>
      </c>
      <c r="AF501" s="1">
        <v>4.3360000000000003E-2</v>
      </c>
      <c r="AH501" s="1425">
        <v>44487</v>
      </c>
      <c r="AI501" s="1">
        <v>18.385899999999999</v>
      </c>
      <c r="AJ501" s="1">
        <v>3.1774</v>
      </c>
      <c r="AK501" s="1">
        <v>8.7314000000000007</v>
      </c>
      <c r="AL501" s="1">
        <v>4.607E-2</v>
      </c>
      <c r="AN501" s="1425">
        <v>44489</v>
      </c>
      <c r="AO501" s="1">
        <v>10.522399999999999</v>
      </c>
      <c r="AP501" s="1">
        <v>1.393</v>
      </c>
      <c r="AQ501" s="1">
        <v>6.2134999999999998</v>
      </c>
      <c r="AR501" s="1">
        <v>0.34378999999999998</v>
      </c>
      <c r="AT501" s="1425">
        <v>44489</v>
      </c>
      <c r="AU501" s="1">
        <v>8.8193000000000001</v>
      </c>
      <c r="AV501" s="1">
        <v>0.57499999999999996</v>
      </c>
      <c r="AW501" s="1">
        <v>5.7297000000000002</v>
      </c>
      <c r="AX501" s="1">
        <v>0.15146000000000001</v>
      </c>
      <c r="BA501" s="1425">
        <v>44483</v>
      </c>
      <c r="BB501" s="1">
        <v>14.8665</v>
      </c>
      <c r="BC501" s="1">
        <v>3.7166999999999999</v>
      </c>
      <c r="BD501" s="1">
        <v>14.629799999999999</v>
      </c>
      <c r="BE501" s="1">
        <v>0.98175999999999997</v>
      </c>
      <c r="BG501" s="1425">
        <v>44483</v>
      </c>
      <c r="BH501" s="1">
        <v>19.604399999999998</v>
      </c>
      <c r="BI501" s="1">
        <v>5.6784999999999997</v>
      </c>
      <c r="BJ501" s="1">
        <v>26.544599999999999</v>
      </c>
      <c r="BT501" s="1425">
        <v>44504</v>
      </c>
      <c r="BU501" s="1">
        <v>20.535699999999999</v>
      </c>
      <c r="BV501" s="1">
        <v>4.9272999999999998</v>
      </c>
      <c r="BW501" s="1">
        <v>12.587400000000001</v>
      </c>
      <c r="BX501" s="1">
        <v>2.8330000000000002</v>
      </c>
      <c r="BZ501" s="1425">
        <v>44504</v>
      </c>
      <c r="CA501" s="1">
        <v>37.595799999999997</v>
      </c>
      <c r="CB501" s="1">
        <v>3.2378999999999998</v>
      </c>
      <c r="CC501" s="1">
        <v>67.484099999999998</v>
      </c>
      <c r="CD501" s="1">
        <v>1.4371700000000001</v>
      </c>
      <c r="CF501" s="1425">
        <v>44503</v>
      </c>
      <c r="CG501" s="1">
        <v>10.6126</v>
      </c>
      <c r="CH501" s="1">
        <v>2.2458</v>
      </c>
      <c r="CI501" s="1">
        <v>8.3937000000000008</v>
      </c>
      <c r="CL501" s="1425">
        <v>44517</v>
      </c>
      <c r="CM501" s="1">
        <v>26.741800000000001</v>
      </c>
      <c r="CN501" s="1">
        <v>2.8799000000000001</v>
      </c>
      <c r="CO501" s="1">
        <v>12.113200000000001</v>
      </c>
    </row>
    <row r="502" spans="1:93">
      <c r="A502" s="1425">
        <v>44503</v>
      </c>
      <c r="B502" s="20">
        <f t="shared" si="72"/>
        <v>22.257300000000001</v>
      </c>
      <c r="C502" s="20">
        <f t="shared" si="74"/>
        <v>14.2613</v>
      </c>
      <c r="D502" s="20">
        <f t="shared" si="75"/>
        <v>19.261500000000002</v>
      </c>
      <c r="E502" s="20">
        <f t="shared" si="76"/>
        <v>9.8506999999999998</v>
      </c>
      <c r="F502" s="20">
        <f t="shared" si="77"/>
        <v>19.604399999999998</v>
      </c>
      <c r="G502" s="20">
        <f t="shared" si="78"/>
        <v>16.238800000000001</v>
      </c>
      <c r="H502" s="1239">
        <f t="shared" si="79"/>
        <v>16.238800000000001</v>
      </c>
      <c r="I502" s="1243">
        <f t="shared" si="73"/>
        <v>0.37062467670024879</v>
      </c>
      <c r="J502" s="1243">
        <f t="shared" si="80"/>
        <v>0.12093838824177333</v>
      </c>
      <c r="K502" s="1243">
        <f t="shared" si="81"/>
        <v>0.1</v>
      </c>
      <c r="L502" s="203"/>
      <c r="N502" s="1425">
        <v>44503</v>
      </c>
      <c r="O502" s="1502">
        <v>22.257300000000001</v>
      </c>
      <c r="P502" s="1502">
        <v>6.6822999999999997</v>
      </c>
      <c r="Q502" s="1502">
        <v>23.845199999999998</v>
      </c>
      <c r="R502" s="1233">
        <f>'B. PE'!$U$23</f>
        <v>15.978235616082999</v>
      </c>
      <c r="S502" s="1233"/>
      <c r="T502" s="1233"/>
      <c r="V502" s="1425">
        <v>44503</v>
      </c>
      <c r="W502" s="1">
        <v>14.2613</v>
      </c>
      <c r="X502" s="1">
        <v>1.5762</v>
      </c>
      <c r="Y502" s="1">
        <v>11.1426</v>
      </c>
      <c r="Z502" s="1">
        <v>1.1338999999999999</v>
      </c>
      <c r="AB502" s="1425">
        <v>44484</v>
      </c>
      <c r="AC502" s="1">
        <v>9.2776999999999994</v>
      </c>
      <c r="AD502" s="1502">
        <v>1.6296999999999999</v>
      </c>
      <c r="AE502" s="1">
        <v>4.8738999999999999</v>
      </c>
      <c r="AF502" s="1">
        <v>4.2610000000000002E-2</v>
      </c>
      <c r="AH502" s="1425">
        <v>44484</v>
      </c>
      <c r="AI502" s="1">
        <v>17.619900000000001</v>
      </c>
      <c r="AJ502" s="1">
        <v>3.0449999999999999</v>
      </c>
      <c r="AK502" s="1">
        <v>8.3346</v>
      </c>
      <c r="AL502" s="1">
        <v>4.5920000000000002E-2</v>
      </c>
      <c r="AN502" s="1425">
        <v>44487</v>
      </c>
      <c r="AO502" s="1">
        <v>10.7463</v>
      </c>
      <c r="AP502" s="1">
        <v>1.4226000000000001</v>
      </c>
      <c r="AQ502" s="1">
        <v>6.3878000000000004</v>
      </c>
      <c r="AR502" s="1">
        <v>0.34421000000000002</v>
      </c>
      <c r="AT502" s="1425">
        <v>44487</v>
      </c>
      <c r="AU502" s="1">
        <v>8.8193000000000001</v>
      </c>
      <c r="AV502" s="1">
        <v>0.57499999999999996</v>
      </c>
      <c r="AW502" s="1">
        <v>5.7297000000000002</v>
      </c>
      <c r="AX502" s="1">
        <v>0.14924000000000001</v>
      </c>
      <c r="BA502" s="1425">
        <v>44481</v>
      </c>
      <c r="BB502" s="1">
        <v>15.0952</v>
      </c>
      <c r="BC502" s="1">
        <v>3.7738999999999998</v>
      </c>
      <c r="BD502" s="1">
        <v>14.8109</v>
      </c>
      <c r="BE502" s="1">
        <v>0.97987000000000002</v>
      </c>
      <c r="BG502" s="1425">
        <v>44481</v>
      </c>
      <c r="BH502" s="1">
        <v>19.8474</v>
      </c>
      <c r="BI502" s="1">
        <v>5.7488999999999999</v>
      </c>
      <c r="BJ502" s="1">
        <v>26.845800000000001</v>
      </c>
      <c r="BT502" s="1425">
        <v>44503</v>
      </c>
      <c r="BU502" s="1">
        <v>20.361799999999999</v>
      </c>
      <c r="BV502" s="1">
        <v>4.8855000000000004</v>
      </c>
      <c r="BW502" s="1">
        <v>12.4893</v>
      </c>
      <c r="BX502" s="1">
        <v>2.8567999999999998</v>
      </c>
      <c r="BZ502" s="1425">
        <v>44503</v>
      </c>
      <c r="CA502" s="1">
        <v>36.351900000000001</v>
      </c>
      <c r="CB502" s="1">
        <v>3.1307999999999998</v>
      </c>
      <c r="CC502" s="1">
        <v>66.184200000000004</v>
      </c>
      <c r="CD502" s="1">
        <v>1.39876</v>
      </c>
      <c r="CF502" s="1425">
        <v>44502</v>
      </c>
      <c r="CG502" s="1">
        <v>10.9453</v>
      </c>
      <c r="CH502" s="1">
        <v>2.3161999999999998</v>
      </c>
      <c r="CI502" s="1">
        <v>8.6366999999999994</v>
      </c>
      <c r="CL502" s="1425">
        <v>44516</v>
      </c>
      <c r="CM502" s="1">
        <v>26.599499999999999</v>
      </c>
      <c r="CN502" s="1">
        <v>2.8645999999999998</v>
      </c>
      <c r="CO502" s="1">
        <v>12.049200000000001</v>
      </c>
    </row>
    <row r="503" spans="1:93">
      <c r="A503" s="1425">
        <v>44502</v>
      </c>
      <c r="B503" s="20">
        <f t="shared" si="72"/>
        <v>22.702500000000001</v>
      </c>
      <c r="C503" s="20">
        <f t="shared" si="74"/>
        <v>14.7288</v>
      </c>
      <c r="D503" s="20">
        <f t="shared" si="75"/>
        <v>18.9879</v>
      </c>
      <c r="E503" s="20">
        <f t="shared" si="76"/>
        <v>9.8506999999999998</v>
      </c>
      <c r="F503" s="20">
        <f t="shared" si="77"/>
        <v>19.685400000000001</v>
      </c>
      <c r="G503" s="20">
        <f t="shared" si="78"/>
        <v>16.467500000000001</v>
      </c>
      <c r="H503" s="1239">
        <f t="shared" si="79"/>
        <v>16.467500000000001</v>
      </c>
      <c r="I503" s="1243">
        <f t="shared" si="73"/>
        <v>0.37862456353423402</v>
      </c>
      <c r="J503" s="1243">
        <f t="shared" si="80"/>
        <v>0.12093838824177333</v>
      </c>
      <c r="K503" s="1243">
        <f t="shared" si="81"/>
        <v>0.1</v>
      </c>
      <c r="L503" s="203"/>
      <c r="N503" s="1425">
        <v>44502</v>
      </c>
      <c r="O503" s="1502">
        <v>22.702500000000001</v>
      </c>
      <c r="P503" s="1502">
        <v>6.8159000000000001</v>
      </c>
      <c r="Q503" s="1502">
        <v>24.2988</v>
      </c>
      <c r="R503" s="1233">
        <f>'B. PE'!$U$23</f>
        <v>15.978235616082999</v>
      </c>
      <c r="S503" s="1233"/>
      <c r="T503" s="1233"/>
      <c r="V503" s="1425">
        <v>44502</v>
      </c>
      <c r="W503" s="1">
        <v>14.7288</v>
      </c>
      <c r="X503" s="1">
        <v>1.6277999999999999</v>
      </c>
      <c r="Y503" s="1">
        <v>11.433400000000001</v>
      </c>
      <c r="Z503" s="1">
        <v>1.1469</v>
      </c>
      <c r="AB503" s="1425">
        <v>44483</v>
      </c>
      <c r="AC503" s="1">
        <v>9.4323999999999995</v>
      </c>
      <c r="AD503" s="1502">
        <v>1.6569</v>
      </c>
      <c r="AE503" s="1">
        <v>4.9420999999999999</v>
      </c>
      <c r="AF503" s="1">
        <v>4.36E-2</v>
      </c>
      <c r="AH503" s="1425">
        <v>44483</v>
      </c>
      <c r="AI503" s="1">
        <v>17.729299999999999</v>
      </c>
      <c r="AJ503" s="1">
        <v>3.0638999999999998</v>
      </c>
      <c r="AK503" s="1">
        <v>8.3911999999999995</v>
      </c>
      <c r="AL503" s="1">
        <v>4.4729999999999999E-2</v>
      </c>
      <c r="AN503" s="1425">
        <v>44484</v>
      </c>
      <c r="AO503" s="1">
        <v>10.6716</v>
      </c>
      <c r="AP503" s="1">
        <v>1.4127000000000001</v>
      </c>
      <c r="AQ503" s="1">
        <v>6.3296999999999999</v>
      </c>
      <c r="AR503" s="1">
        <v>0.33894000000000002</v>
      </c>
      <c r="AT503" s="1425">
        <v>44484</v>
      </c>
      <c r="AU503" s="1">
        <v>8.9616000000000007</v>
      </c>
      <c r="AV503" s="1">
        <v>0.58430000000000004</v>
      </c>
      <c r="AW503" s="1">
        <v>5.8076999999999996</v>
      </c>
      <c r="AX503" s="1">
        <v>0.15504999999999999</v>
      </c>
      <c r="BA503" s="1425">
        <v>44480</v>
      </c>
      <c r="BB503" s="1">
        <v>15.0952</v>
      </c>
      <c r="BC503" s="1">
        <v>3.7738999999999998</v>
      </c>
      <c r="BD503" s="1">
        <v>14.8109</v>
      </c>
      <c r="BE503" s="1">
        <v>0.99148000000000003</v>
      </c>
      <c r="BG503" s="1425">
        <v>44480</v>
      </c>
      <c r="BH503" s="1">
        <v>19.766400000000001</v>
      </c>
      <c r="BI503" s="1">
        <v>5.7255000000000003</v>
      </c>
      <c r="BJ503" s="1">
        <v>26.7454</v>
      </c>
      <c r="BT503" s="1425">
        <v>44502</v>
      </c>
      <c r="BU503" s="1">
        <v>20.377600000000001</v>
      </c>
      <c r="BV503" s="1">
        <v>4.8893000000000004</v>
      </c>
      <c r="BW503" s="1">
        <v>12.498200000000001</v>
      </c>
      <c r="BX503" s="1">
        <v>2.8877000000000002</v>
      </c>
      <c r="BZ503" s="1425">
        <v>44502</v>
      </c>
      <c r="CA503" s="1">
        <v>38.978000000000002</v>
      </c>
      <c r="CB503" s="1">
        <v>3.3570000000000002</v>
      </c>
      <c r="CC503" s="1">
        <v>68.9285</v>
      </c>
      <c r="CD503" s="1">
        <v>1.32748</v>
      </c>
      <c r="CF503" s="1425">
        <v>44501</v>
      </c>
      <c r="CG503" s="1">
        <v>10.645899999999999</v>
      </c>
      <c r="CH503" s="1">
        <v>2.2528999999999999</v>
      </c>
      <c r="CI503" s="1">
        <v>8.4179999999999993</v>
      </c>
      <c r="CL503" s="1425">
        <v>44515</v>
      </c>
      <c r="CM503" s="1">
        <v>26.652899999999999</v>
      </c>
      <c r="CN503" s="1">
        <v>2.8702999999999999</v>
      </c>
      <c r="CO503" s="1">
        <v>12.0732</v>
      </c>
    </row>
    <row r="504" spans="1:93">
      <c r="A504" s="1425">
        <v>44501</v>
      </c>
      <c r="B504" s="20">
        <f t="shared" si="72"/>
        <v>22.965499999999999</v>
      </c>
      <c r="C504" s="20">
        <f t="shared" si="74"/>
        <v>14.3314</v>
      </c>
      <c r="D504" s="20">
        <f t="shared" si="75"/>
        <v>19.152000000000001</v>
      </c>
      <c r="E504" s="20">
        <f t="shared" si="76"/>
        <v>9.6268999999999991</v>
      </c>
      <c r="F504" s="20">
        <f t="shared" si="77"/>
        <v>20.171500000000002</v>
      </c>
      <c r="G504" s="20">
        <f t="shared" si="78"/>
        <v>16.924900000000001</v>
      </c>
      <c r="H504" s="1239">
        <f t="shared" si="79"/>
        <v>16.924900000000001</v>
      </c>
      <c r="I504" s="1243">
        <f t="shared" si="73"/>
        <v>0.35690609693410291</v>
      </c>
      <c r="J504" s="1243">
        <f t="shared" si="80"/>
        <v>0.12093838824177333</v>
      </c>
      <c r="K504" s="1243">
        <f t="shared" si="81"/>
        <v>0.1</v>
      </c>
      <c r="L504" s="203"/>
      <c r="N504" s="1425">
        <v>44501</v>
      </c>
      <c r="O504" s="1502">
        <v>22.965499999999999</v>
      </c>
      <c r="P504" s="1502">
        <v>6.8948999999999998</v>
      </c>
      <c r="Q504" s="1502">
        <v>24.566800000000001</v>
      </c>
      <c r="R504" s="1233">
        <f>'B. PE'!$U$23</f>
        <v>15.978235616082999</v>
      </c>
      <c r="S504" s="1233"/>
      <c r="T504" s="1233"/>
      <c r="V504" s="1425">
        <v>44501</v>
      </c>
      <c r="W504" s="1">
        <v>14.3314</v>
      </c>
      <c r="X504" s="1">
        <v>1.5839000000000001</v>
      </c>
      <c r="Y504" s="1">
        <v>11.186199999999999</v>
      </c>
      <c r="Z504" s="1">
        <v>1.1374500000000001</v>
      </c>
      <c r="AB504" s="1425">
        <v>44482</v>
      </c>
      <c r="AC504" s="1">
        <v>9.3550000000000004</v>
      </c>
      <c r="AD504" s="1502">
        <v>1.6433</v>
      </c>
      <c r="AE504" s="1">
        <v>4.9080000000000004</v>
      </c>
      <c r="AF504" s="1">
        <v>4.1509999999999998E-2</v>
      </c>
      <c r="AH504" s="1425">
        <v>44482</v>
      </c>
      <c r="AI504" s="1">
        <v>17.838699999999999</v>
      </c>
      <c r="AJ504" s="1">
        <v>3.0828000000000002</v>
      </c>
      <c r="AK504" s="1">
        <v>8.4479000000000006</v>
      </c>
      <c r="AL504" s="1">
        <v>4.5030000000000001E-2</v>
      </c>
      <c r="AN504" s="1425">
        <v>44483</v>
      </c>
      <c r="AO504" s="1">
        <v>10.6716</v>
      </c>
      <c r="AP504" s="1">
        <v>1.4127000000000001</v>
      </c>
      <c r="AQ504" s="1">
        <v>6.3296999999999999</v>
      </c>
      <c r="AR504" s="1">
        <v>0.34089999999999998</v>
      </c>
      <c r="AT504" s="1425">
        <v>44483</v>
      </c>
      <c r="AU504" s="1">
        <v>8.8193000000000001</v>
      </c>
      <c r="AV504" s="1">
        <v>0.57499999999999996</v>
      </c>
      <c r="AW504" s="1">
        <v>5.7290000000000001</v>
      </c>
      <c r="AX504" s="1">
        <v>0.15364</v>
      </c>
      <c r="BA504" s="1425">
        <v>44477</v>
      </c>
      <c r="BB504" s="1">
        <v>15.2096</v>
      </c>
      <c r="BC504" s="1">
        <v>3.8025000000000002</v>
      </c>
      <c r="BD504" s="1">
        <v>14.9015</v>
      </c>
      <c r="BE504" s="1">
        <v>0.95316000000000001</v>
      </c>
      <c r="BG504" s="1425">
        <v>44477</v>
      </c>
      <c r="BH504" s="1">
        <v>19.685400000000001</v>
      </c>
      <c r="BI504" s="1">
        <v>5.702</v>
      </c>
      <c r="BJ504" s="1">
        <v>26.645</v>
      </c>
      <c r="BT504" s="1425">
        <v>44501</v>
      </c>
      <c r="BU504" s="1">
        <v>20.551500000000001</v>
      </c>
      <c r="BV504" s="1">
        <v>4.9310999999999998</v>
      </c>
      <c r="BW504" s="1">
        <v>12.596299999999999</v>
      </c>
      <c r="BX504" s="1">
        <v>2.9003000000000001</v>
      </c>
      <c r="BZ504" s="1425">
        <v>44501</v>
      </c>
      <c r="CA504" s="1">
        <v>37.941400000000002</v>
      </c>
      <c r="CB504" s="1">
        <v>3.2677</v>
      </c>
      <c r="CC504" s="1">
        <v>67.845200000000006</v>
      </c>
      <c r="CD504" s="1">
        <v>1.3221499999999999</v>
      </c>
      <c r="CF504" s="1425">
        <v>44498</v>
      </c>
      <c r="CG504" s="1">
        <v>11.011900000000001</v>
      </c>
      <c r="CH504" s="1">
        <v>2.3302999999999998</v>
      </c>
      <c r="CI504" s="1">
        <v>8.6852</v>
      </c>
      <c r="CL504" s="1425">
        <v>44512</v>
      </c>
      <c r="CM504" s="1">
        <v>27.008500000000002</v>
      </c>
      <c r="CN504" s="1">
        <v>2.9085999999999999</v>
      </c>
      <c r="CO504" s="1">
        <v>12.2331</v>
      </c>
    </row>
    <row r="505" spans="1:93">
      <c r="A505" s="1425">
        <v>44498</v>
      </c>
      <c r="B505" s="20">
        <f t="shared" si="72"/>
        <v>22.965499999999999</v>
      </c>
      <c r="C505" s="20">
        <f t="shared" si="74"/>
        <v>14.494999999999999</v>
      </c>
      <c r="D505" s="20">
        <f t="shared" si="75"/>
        <v>20.191700000000001</v>
      </c>
      <c r="E505" s="20">
        <f t="shared" si="76"/>
        <v>10.0746</v>
      </c>
      <c r="F505" s="20">
        <f t="shared" si="77"/>
        <v>20.657499999999999</v>
      </c>
      <c r="G505" s="20">
        <f t="shared" si="78"/>
        <v>16.696200000000001</v>
      </c>
      <c r="H505" s="1239">
        <f t="shared" si="79"/>
        <v>16.696200000000001</v>
      </c>
      <c r="I505" s="1243">
        <f t="shared" si="73"/>
        <v>0.37549262706484088</v>
      </c>
      <c r="J505" s="1243">
        <f t="shared" si="80"/>
        <v>0.12093838824177333</v>
      </c>
      <c r="K505" s="1243">
        <f t="shared" si="81"/>
        <v>0.1</v>
      </c>
      <c r="L505" s="203"/>
      <c r="N505" s="1425">
        <v>44498</v>
      </c>
      <c r="O505" s="1502">
        <v>22.965499999999999</v>
      </c>
      <c r="P505" s="1502">
        <v>6.8948999999999998</v>
      </c>
      <c r="Q505" s="1502">
        <v>24.566800000000001</v>
      </c>
      <c r="R505" s="1233">
        <f>'B. PE'!$U$23</f>
        <v>15.978235616082999</v>
      </c>
      <c r="S505" s="1233"/>
      <c r="T505" s="1233"/>
      <c r="V505" s="1425">
        <v>44498</v>
      </c>
      <c r="W505" s="1">
        <v>14.494999999999999</v>
      </c>
      <c r="X505" s="1">
        <v>1.6020000000000001</v>
      </c>
      <c r="Y505" s="1">
        <v>11.288</v>
      </c>
      <c r="Z505" s="1">
        <v>1.1468</v>
      </c>
      <c r="AB505" s="1425">
        <v>44481</v>
      </c>
      <c r="AC505" s="1">
        <v>9.5869999999999997</v>
      </c>
      <c r="AD505" s="1502">
        <v>1.6839999999999999</v>
      </c>
      <c r="AE505" s="1">
        <v>5.0103</v>
      </c>
      <c r="AF505" s="1">
        <v>4.1829999999999999E-2</v>
      </c>
      <c r="AH505" s="1425">
        <v>44481</v>
      </c>
      <c r="AI505" s="1">
        <v>17.401</v>
      </c>
      <c r="AJ505" s="1">
        <v>3.0072000000000001</v>
      </c>
      <c r="AK505" s="1">
        <v>8.2211999999999996</v>
      </c>
      <c r="AL505" s="1">
        <v>4.1759999999999999E-2</v>
      </c>
      <c r="AN505" s="1425">
        <v>44482</v>
      </c>
      <c r="AO505" s="1">
        <v>10.522399999999999</v>
      </c>
      <c r="AP505" s="1">
        <v>1.393</v>
      </c>
      <c r="AQ505" s="1">
        <v>6.2134999999999998</v>
      </c>
      <c r="AR505" s="1">
        <v>0.33561000000000002</v>
      </c>
      <c r="AT505" s="1425">
        <v>44482</v>
      </c>
      <c r="AU505" s="1">
        <v>9.1750000000000007</v>
      </c>
      <c r="AV505" s="1">
        <v>0.59819999999999995</v>
      </c>
      <c r="AW505" s="1">
        <v>5.9257999999999997</v>
      </c>
      <c r="AX505" s="1">
        <v>0.15342</v>
      </c>
      <c r="BA505" s="1425">
        <v>44476</v>
      </c>
      <c r="BB505" s="1">
        <v>15.3239</v>
      </c>
      <c r="BC505" s="1">
        <v>3.8311000000000002</v>
      </c>
      <c r="BD505" s="1">
        <v>14.992100000000001</v>
      </c>
      <c r="BE505" s="1">
        <v>0.96821999999999997</v>
      </c>
      <c r="BG505" s="1425">
        <v>44476</v>
      </c>
      <c r="BH505" s="1">
        <v>19.766400000000001</v>
      </c>
      <c r="BI505" s="1">
        <v>5.7255000000000003</v>
      </c>
      <c r="BJ505" s="1">
        <v>26.7454</v>
      </c>
      <c r="BT505" s="1425">
        <v>44498</v>
      </c>
      <c r="BU505" s="1">
        <v>20.7729</v>
      </c>
      <c r="BV505" s="1">
        <v>4.9842000000000004</v>
      </c>
      <c r="BW505" s="1">
        <v>12.7211</v>
      </c>
      <c r="BX505" s="1">
        <v>2.9005999999999998</v>
      </c>
      <c r="BZ505" s="1425">
        <v>44498</v>
      </c>
      <c r="CA505" s="1">
        <v>36.006300000000003</v>
      </c>
      <c r="CB505" s="1">
        <v>3.101</v>
      </c>
      <c r="CC505" s="1">
        <v>65.823099999999997</v>
      </c>
      <c r="CD505" s="1">
        <v>1.30189</v>
      </c>
      <c r="CF505" s="1425">
        <v>44497</v>
      </c>
      <c r="CG505" s="1">
        <v>11.2447</v>
      </c>
      <c r="CH505" s="1">
        <v>2.3795999999999999</v>
      </c>
      <c r="CI505" s="1">
        <v>8.8552999999999997</v>
      </c>
      <c r="CL505" s="1425">
        <v>44511</v>
      </c>
      <c r="CM505" s="1">
        <v>26.635100000000001</v>
      </c>
      <c r="CN505" s="1">
        <v>2.8683999999999998</v>
      </c>
      <c r="CO505" s="1">
        <v>12.065200000000001</v>
      </c>
    </row>
    <row r="506" spans="1:93">
      <c r="A506" s="1425">
        <v>44497</v>
      </c>
      <c r="B506" s="20">
        <f t="shared" si="72"/>
        <v>23.268999999999998</v>
      </c>
      <c r="C506" s="20">
        <f t="shared" si="74"/>
        <v>14.3781</v>
      </c>
      <c r="D506" s="20">
        <f t="shared" si="75"/>
        <v>20.137</v>
      </c>
      <c r="E506" s="20">
        <f t="shared" si="76"/>
        <v>9.9253999999999998</v>
      </c>
      <c r="F506" s="20">
        <f t="shared" si="77"/>
        <v>19.8474</v>
      </c>
      <c r="G506" s="20">
        <f t="shared" si="78"/>
        <v>16.010100000000001</v>
      </c>
      <c r="H506" s="1239">
        <f t="shared" si="79"/>
        <v>16.010100000000001</v>
      </c>
      <c r="I506" s="1243">
        <f t="shared" si="73"/>
        <v>0.45339504437823597</v>
      </c>
      <c r="J506" s="1243">
        <f t="shared" si="80"/>
        <v>0.12093838824177333</v>
      </c>
      <c r="K506" s="1243">
        <f t="shared" si="81"/>
        <v>0.1</v>
      </c>
      <c r="L506" s="203"/>
      <c r="N506" s="1425">
        <v>44497</v>
      </c>
      <c r="O506" s="1502">
        <v>23.268999999999998</v>
      </c>
      <c r="P506" s="1502">
        <v>6.9859999999999998</v>
      </c>
      <c r="Q506" s="1502">
        <v>24.876100000000001</v>
      </c>
      <c r="R506" s="1233">
        <f>'B. PE'!$U$23</f>
        <v>15.978235616082999</v>
      </c>
      <c r="S506" s="1233"/>
      <c r="T506" s="1233"/>
      <c r="V506" s="1425">
        <v>44497</v>
      </c>
      <c r="W506" s="1">
        <v>14.3781</v>
      </c>
      <c r="X506" s="1">
        <v>1.5891</v>
      </c>
      <c r="Y506" s="1">
        <v>11.215299999999999</v>
      </c>
      <c r="Z506" s="1">
        <v>1.09856</v>
      </c>
      <c r="AB506" s="1425">
        <v>44480</v>
      </c>
      <c r="AC506" s="1">
        <v>9.1231000000000009</v>
      </c>
      <c r="AD506" s="1502">
        <v>1.6025</v>
      </c>
      <c r="AE506" s="1">
        <v>4.8056999999999999</v>
      </c>
      <c r="AF506" s="1">
        <v>4.1919999999999999E-2</v>
      </c>
      <c r="AH506" s="1425">
        <v>44480</v>
      </c>
      <c r="AI506" s="1">
        <v>17.510400000000001</v>
      </c>
      <c r="AJ506" s="1">
        <v>3.0261</v>
      </c>
      <c r="AK506" s="1">
        <v>8.2779000000000007</v>
      </c>
      <c r="AL506" s="1">
        <v>4.1419999999999998E-2</v>
      </c>
      <c r="AN506" s="1425">
        <v>44481</v>
      </c>
      <c r="AO506" s="1">
        <v>10.597</v>
      </c>
      <c r="AP506" s="1">
        <v>1.4028</v>
      </c>
      <c r="AQ506" s="1">
        <v>6.2716000000000003</v>
      </c>
      <c r="AR506" s="1">
        <v>0.34231</v>
      </c>
      <c r="AT506" s="1425">
        <v>44481</v>
      </c>
      <c r="AU506" s="1">
        <v>9.1037999999999997</v>
      </c>
      <c r="AV506" s="1">
        <v>0.59360000000000002</v>
      </c>
      <c r="AW506" s="1">
        <v>5.8864999999999998</v>
      </c>
      <c r="AX506" s="1">
        <v>0.15919</v>
      </c>
      <c r="BA506" s="1425">
        <v>44475</v>
      </c>
      <c r="BB506" s="1">
        <v>14.7521</v>
      </c>
      <c r="BC506" s="1">
        <v>3.6880999999999999</v>
      </c>
      <c r="BD506" s="1">
        <v>14.539199999999999</v>
      </c>
      <c r="BE506" s="1">
        <v>0.96270999999999995</v>
      </c>
      <c r="BG506" s="1425">
        <v>44475</v>
      </c>
      <c r="BH506" s="1">
        <v>19.685400000000001</v>
      </c>
      <c r="BI506" s="1">
        <v>5.702</v>
      </c>
      <c r="BJ506" s="1">
        <v>26.645</v>
      </c>
      <c r="BT506" s="1425">
        <v>44497</v>
      </c>
      <c r="BU506" s="1">
        <v>20.867699999999999</v>
      </c>
      <c r="BV506" s="1">
        <v>5.0068999999999999</v>
      </c>
      <c r="BW506" s="1">
        <v>12.7746</v>
      </c>
      <c r="BX506" s="1">
        <v>2.8123</v>
      </c>
      <c r="BZ506" s="1425">
        <v>44497</v>
      </c>
      <c r="CA506" s="1">
        <v>35.868099999999998</v>
      </c>
      <c r="CB506" s="1">
        <v>3.0891000000000002</v>
      </c>
      <c r="CC506" s="1">
        <v>65.678700000000006</v>
      </c>
      <c r="CD506" s="1">
        <v>1.2189300000000001</v>
      </c>
      <c r="CF506" s="1425">
        <v>44496</v>
      </c>
      <c r="CG506" s="1">
        <v>11.278</v>
      </c>
      <c r="CH506" s="1">
        <v>2.3866000000000001</v>
      </c>
      <c r="CI506" s="1">
        <v>8.8795999999999999</v>
      </c>
      <c r="CL506" s="1425">
        <v>44510</v>
      </c>
      <c r="CM506" s="1">
        <v>26.6707</v>
      </c>
      <c r="CN506" s="1">
        <v>2.8721999999999999</v>
      </c>
      <c r="CO506" s="1">
        <v>12.081200000000001</v>
      </c>
    </row>
    <row r="507" spans="1:93">
      <c r="A507" s="1425">
        <v>44496</v>
      </c>
      <c r="B507" s="20">
        <f t="shared" si="72"/>
        <v>23.552299999999999</v>
      </c>
      <c r="C507" s="20">
        <f t="shared" si="74"/>
        <v>14.494999999999999</v>
      </c>
      <c r="D507" s="20">
        <f t="shared" si="75"/>
        <v>19.808700000000002</v>
      </c>
      <c r="E507" s="20">
        <f t="shared" si="76"/>
        <v>10.0746</v>
      </c>
      <c r="F507" s="20">
        <f t="shared" si="77"/>
        <v>20.009499999999999</v>
      </c>
      <c r="G507" s="20">
        <f t="shared" si="78"/>
        <v>14.9809</v>
      </c>
      <c r="H507" s="1239">
        <f t="shared" si="79"/>
        <v>14.9809</v>
      </c>
      <c r="I507" s="1243">
        <f t="shared" si="73"/>
        <v>0.5721552109686332</v>
      </c>
      <c r="J507" s="1243">
        <f t="shared" si="80"/>
        <v>0.12093838824177333</v>
      </c>
      <c r="K507" s="1243">
        <f t="shared" si="81"/>
        <v>0.1</v>
      </c>
      <c r="L507" s="203"/>
      <c r="N507" s="1425">
        <v>44496</v>
      </c>
      <c r="O507" s="1502">
        <v>23.552299999999999</v>
      </c>
      <c r="P507" s="1502">
        <v>7.0711000000000004</v>
      </c>
      <c r="Q507" s="1502">
        <v>25.1647</v>
      </c>
      <c r="R507" s="1233">
        <f>'B. PE'!$U$23</f>
        <v>15.978235616082999</v>
      </c>
      <c r="S507" s="1233"/>
      <c r="T507" s="1233"/>
      <c r="V507" s="1425">
        <v>44496</v>
      </c>
      <c r="W507" s="1">
        <v>14.494999999999999</v>
      </c>
      <c r="X507" s="1">
        <v>1.6020000000000001</v>
      </c>
      <c r="Y507" s="1">
        <v>11.288</v>
      </c>
      <c r="Z507" s="1">
        <v>1.1097600000000001</v>
      </c>
      <c r="AB507" s="1425">
        <v>44477</v>
      </c>
      <c r="AC507" s="1">
        <v>9.2004000000000001</v>
      </c>
      <c r="AD507" s="1502">
        <v>1.6161000000000001</v>
      </c>
      <c r="AE507" s="1">
        <v>4.8398000000000003</v>
      </c>
      <c r="AF507" s="1">
        <v>4.1430000000000002E-2</v>
      </c>
      <c r="AH507" s="1425">
        <v>44477</v>
      </c>
      <c r="AI507" s="1">
        <v>16.251899999999999</v>
      </c>
      <c r="AJ507" s="1">
        <v>2.8086000000000002</v>
      </c>
      <c r="AK507" s="1">
        <v>7.6258999999999997</v>
      </c>
      <c r="AL507" s="1">
        <v>4.0869999999999997E-2</v>
      </c>
      <c r="AN507" s="1425">
        <v>44480</v>
      </c>
      <c r="AO507" s="1">
        <v>10.447800000000001</v>
      </c>
      <c r="AP507" s="1">
        <v>1.3831</v>
      </c>
      <c r="AQ507" s="1">
        <v>6.1554000000000002</v>
      </c>
      <c r="AR507" s="1">
        <v>0.33949000000000001</v>
      </c>
      <c r="AT507" s="1425">
        <v>44480</v>
      </c>
      <c r="AU507" s="1">
        <v>9.1037999999999997</v>
      </c>
      <c r="AV507" s="1">
        <v>0.59360000000000002</v>
      </c>
      <c r="AW507" s="1">
        <v>5.8864999999999998</v>
      </c>
      <c r="AX507" s="1">
        <v>0.15659000000000001</v>
      </c>
      <c r="BA507" s="1425">
        <v>44474</v>
      </c>
      <c r="BB507" s="1">
        <v>14.9809</v>
      </c>
      <c r="BC507" s="1">
        <v>3.7452999999999999</v>
      </c>
      <c r="BD507" s="1">
        <v>14.7203</v>
      </c>
      <c r="BE507" s="1">
        <v>0.94381999999999999</v>
      </c>
      <c r="BG507" s="1425">
        <v>44474</v>
      </c>
      <c r="BH507" s="1">
        <v>19.523399999999999</v>
      </c>
      <c r="BI507" s="1">
        <v>5.6551</v>
      </c>
      <c r="BJ507" s="1">
        <v>26.444299999999998</v>
      </c>
      <c r="BT507" s="1425">
        <v>44496</v>
      </c>
      <c r="BU507" s="1">
        <v>20.867699999999999</v>
      </c>
      <c r="BV507" s="1">
        <v>5.0068999999999999</v>
      </c>
      <c r="BW507" s="1">
        <v>12.7746</v>
      </c>
      <c r="BX507" s="1">
        <v>2.8214000000000001</v>
      </c>
      <c r="BZ507" s="1425">
        <v>44496</v>
      </c>
      <c r="CA507" s="1">
        <v>35.315199999999997</v>
      </c>
      <c r="CB507" s="1">
        <v>3.0415000000000001</v>
      </c>
      <c r="CC507" s="1">
        <v>65.100899999999996</v>
      </c>
      <c r="CD507" s="1">
        <v>1.20502</v>
      </c>
      <c r="CF507" s="1425">
        <v>44495</v>
      </c>
      <c r="CG507" s="1">
        <v>11.311299999999999</v>
      </c>
      <c r="CH507" s="1">
        <v>2.3936999999999999</v>
      </c>
      <c r="CI507" s="1">
        <v>8.9039000000000001</v>
      </c>
      <c r="CL507" s="1425">
        <v>44509</v>
      </c>
      <c r="CM507" s="1">
        <v>26.741800000000001</v>
      </c>
      <c r="CN507" s="1">
        <v>2.8799000000000001</v>
      </c>
      <c r="CO507" s="1">
        <v>12.113200000000001</v>
      </c>
    </row>
    <row r="508" spans="1:93">
      <c r="A508" s="1425">
        <v>44495</v>
      </c>
      <c r="B508" s="20">
        <f t="shared" si="72"/>
        <v>22.7227</v>
      </c>
      <c r="C508" s="20">
        <f t="shared" si="74"/>
        <v>13.8872</v>
      </c>
      <c r="D508" s="20">
        <f t="shared" si="75"/>
        <v>18.4954</v>
      </c>
      <c r="E508" s="20">
        <f t="shared" si="76"/>
        <v>10.298500000000001</v>
      </c>
      <c r="F508" s="20">
        <f t="shared" si="77"/>
        <v>19.766400000000001</v>
      </c>
      <c r="G508" s="20">
        <f t="shared" si="78"/>
        <v>15.0952</v>
      </c>
      <c r="H508" s="1239">
        <f t="shared" si="79"/>
        <v>15.0952</v>
      </c>
      <c r="I508" s="1243">
        <f t="shared" si="73"/>
        <v>0.5052930732948222</v>
      </c>
      <c r="J508" s="1243">
        <f t="shared" si="80"/>
        <v>0.12093838824177333</v>
      </c>
      <c r="K508" s="1243">
        <f t="shared" si="81"/>
        <v>0.1</v>
      </c>
      <c r="L508" s="203"/>
      <c r="N508" s="1425">
        <v>44495</v>
      </c>
      <c r="O508" s="1502">
        <v>22.7227</v>
      </c>
      <c r="P508" s="1502">
        <v>6.8220000000000001</v>
      </c>
      <c r="Q508" s="1502">
        <v>24.319400000000002</v>
      </c>
      <c r="R508" s="1233">
        <f>'B. PE'!$U$23</f>
        <v>15.978235616082999</v>
      </c>
      <c r="S508" s="1233"/>
      <c r="T508" s="1233"/>
      <c r="V508" s="1425">
        <v>44495</v>
      </c>
      <c r="W508" s="1">
        <v>13.8872</v>
      </c>
      <c r="X508" s="1">
        <v>1.5347999999999999</v>
      </c>
      <c r="Y508" s="1">
        <v>10.9099</v>
      </c>
      <c r="Z508" s="1">
        <v>1.13195</v>
      </c>
      <c r="AB508" s="1425">
        <v>44476</v>
      </c>
      <c r="AC508" s="1">
        <v>9.2004000000000001</v>
      </c>
      <c r="AD508" s="1502">
        <v>1.6161000000000001</v>
      </c>
      <c r="AE508" s="1">
        <v>4.8398000000000003</v>
      </c>
      <c r="AF508" s="1">
        <v>4.1860000000000001E-2</v>
      </c>
      <c r="AH508" s="1425">
        <v>44476</v>
      </c>
      <c r="AI508" s="1">
        <v>16.087700000000002</v>
      </c>
      <c r="AJ508" s="1">
        <v>2.7801999999999998</v>
      </c>
      <c r="AK508" s="1">
        <v>7.5408999999999997</v>
      </c>
      <c r="AL508" s="1">
        <v>4.095E-2</v>
      </c>
      <c r="AN508" s="1425">
        <v>44477</v>
      </c>
      <c r="AO508" s="1">
        <v>10.6716</v>
      </c>
      <c r="AP508" s="1">
        <v>1.4127000000000001</v>
      </c>
      <c r="AQ508" s="1">
        <v>6.3296999999999999</v>
      </c>
      <c r="AR508" s="1">
        <v>0.33700000000000002</v>
      </c>
      <c r="AT508" s="1425">
        <v>44477</v>
      </c>
      <c r="AU508" s="1">
        <v>9.4595000000000002</v>
      </c>
      <c r="AV508" s="1">
        <v>0.61680000000000001</v>
      </c>
      <c r="AW508" s="1">
        <v>6.0831999999999997</v>
      </c>
      <c r="AX508" s="1">
        <v>0.15654999999999999</v>
      </c>
      <c r="BA508" s="1425">
        <v>44473</v>
      </c>
      <c r="BB508" s="1">
        <v>14.8665</v>
      </c>
      <c r="BC508" s="1">
        <v>3.7166999999999999</v>
      </c>
      <c r="BD508" s="1">
        <v>14.629799999999999</v>
      </c>
      <c r="BE508" s="1">
        <v>0.95750999999999997</v>
      </c>
      <c r="BG508" s="1425">
        <v>44473</v>
      </c>
      <c r="BH508" s="1">
        <v>19.604399999999998</v>
      </c>
      <c r="BI508" s="1">
        <v>5.6784999999999997</v>
      </c>
      <c r="BJ508" s="1">
        <v>26.544599999999999</v>
      </c>
      <c r="BT508" s="1425">
        <v>44495</v>
      </c>
      <c r="BU508" s="1">
        <v>20.235399999999998</v>
      </c>
      <c r="BV508" s="1">
        <v>4.8552</v>
      </c>
      <c r="BW508" s="1">
        <v>12.417999999999999</v>
      </c>
      <c r="BX508" s="1">
        <v>2.8037999999999998</v>
      </c>
      <c r="BZ508" s="1425">
        <v>44495</v>
      </c>
      <c r="CA508" s="1">
        <v>33.069099999999999</v>
      </c>
      <c r="CB508" s="1">
        <v>2.8481000000000001</v>
      </c>
      <c r="CC508" s="1">
        <v>62.753799999999998</v>
      </c>
      <c r="CD508" s="1">
        <v>1.2152099999999999</v>
      </c>
      <c r="CF508" s="1425">
        <v>44494</v>
      </c>
      <c r="CG508" s="1">
        <v>11.0451</v>
      </c>
      <c r="CH508" s="1">
        <v>2.3372999999999999</v>
      </c>
      <c r="CI508" s="1">
        <v>8.7095000000000002</v>
      </c>
      <c r="CL508" s="1425">
        <v>44508</v>
      </c>
      <c r="CM508" s="1">
        <v>26.706199999999999</v>
      </c>
      <c r="CN508" s="1">
        <v>2.8761000000000001</v>
      </c>
      <c r="CO508" s="1">
        <v>12.097200000000001</v>
      </c>
    </row>
    <row r="509" spans="1:93">
      <c r="A509" s="1425">
        <v>44494</v>
      </c>
      <c r="B509" s="20">
        <f t="shared" si="72"/>
        <v>22.6418</v>
      </c>
      <c r="C509" s="20">
        <f t="shared" si="74"/>
        <v>14.0275</v>
      </c>
      <c r="D509" s="20">
        <f t="shared" si="75"/>
        <v>18.0029</v>
      </c>
      <c r="E509" s="20">
        <f t="shared" si="76"/>
        <v>10.2239</v>
      </c>
      <c r="F509" s="20">
        <f t="shared" si="77"/>
        <v>19.604399999999998</v>
      </c>
      <c r="G509" s="20">
        <f t="shared" si="78"/>
        <v>14.9809</v>
      </c>
      <c r="H509" s="1239">
        <f t="shared" si="79"/>
        <v>14.9809</v>
      </c>
      <c r="I509" s="1243">
        <f t="shared" si="73"/>
        <v>0.51137782109219065</v>
      </c>
      <c r="J509" s="1243">
        <f t="shared" si="80"/>
        <v>0.12093838824177333</v>
      </c>
      <c r="K509" s="1243">
        <f t="shared" si="81"/>
        <v>0.1</v>
      </c>
      <c r="L509" s="203"/>
      <c r="N509" s="1425">
        <v>44494</v>
      </c>
      <c r="O509" s="1502">
        <v>22.6418</v>
      </c>
      <c r="P509" s="1502">
        <v>6.7976999999999999</v>
      </c>
      <c r="Q509" s="1502">
        <v>24.236899999999999</v>
      </c>
      <c r="R509" s="1233">
        <f>'B. PE'!$U$23</f>
        <v>15.978235616082999</v>
      </c>
      <c r="S509" s="1233"/>
      <c r="T509" s="1233"/>
      <c r="V509" s="1425">
        <v>44494</v>
      </c>
      <c r="W509" s="1">
        <v>14.0275</v>
      </c>
      <c r="X509" s="1">
        <v>1.5503</v>
      </c>
      <c r="Y509" s="1">
        <v>10.9971</v>
      </c>
      <c r="Z509" s="1">
        <v>1.1396999999999999</v>
      </c>
      <c r="AB509" s="1425">
        <v>44475</v>
      </c>
      <c r="AC509" s="1">
        <v>9.1231000000000009</v>
      </c>
      <c r="AD509" s="1502">
        <v>1.6025</v>
      </c>
      <c r="AE509" s="1">
        <v>4.8056999999999999</v>
      </c>
      <c r="AF509" s="1">
        <v>4.1009999999999998E-2</v>
      </c>
      <c r="AH509" s="1425">
        <v>44475</v>
      </c>
      <c r="AI509" s="1">
        <v>15.923500000000001</v>
      </c>
      <c r="AJ509" s="1">
        <v>2.7517999999999998</v>
      </c>
      <c r="AK509" s="1">
        <v>7.4558</v>
      </c>
      <c r="AL509" s="1">
        <v>4.122E-2</v>
      </c>
      <c r="AN509" s="1425">
        <v>44476</v>
      </c>
      <c r="AO509" s="1">
        <v>10.597</v>
      </c>
      <c r="AP509" s="1">
        <v>1.4028</v>
      </c>
      <c r="AQ509" s="1">
        <v>6.2716000000000003</v>
      </c>
      <c r="AR509" s="1">
        <v>0.33981</v>
      </c>
      <c r="AT509" s="1425">
        <v>44476</v>
      </c>
      <c r="AU509" s="1">
        <v>9.3171999999999997</v>
      </c>
      <c r="AV509" s="1">
        <v>0.60750000000000004</v>
      </c>
      <c r="AW509" s="1">
        <v>6.0045000000000002</v>
      </c>
      <c r="AX509" s="1">
        <v>0.15076000000000001</v>
      </c>
      <c r="BA509" s="1425">
        <v>44470</v>
      </c>
      <c r="BB509" s="1">
        <v>14.523400000000001</v>
      </c>
      <c r="BC509" s="1">
        <v>3.6309</v>
      </c>
      <c r="BD509" s="1">
        <v>14.358000000000001</v>
      </c>
      <c r="BE509" s="1">
        <v>0.94215000000000004</v>
      </c>
      <c r="BG509" s="1425">
        <v>44470</v>
      </c>
      <c r="BH509" s="1">
        <v>19.037299999999998</v>
      </c>
      <c r="BI509" s="1">
        <v>5.5143000000000004</v>
      </c>
      <c r="BJ509" s="1">
        <v>25.841999999999999</v>
      </c>
      <c r="BT509" s="1425">
        <v>44494</v>
      </c>
      <c r="BU509" s="1">
        <v>20.2986</v>
      </c>
      <c r="BV509" s="1">
        <v>4.8704000000000001</v>
      </c>
      <c r="BW509" s="1">
        <v>12.4537</v>
      </c>
      <c r="BX509" s="1">
        <v>2.7915000000000001</v>
      </c>
      <c r="BZ509" s="1425">
        <v>44494</v>
      </c>
      <c r="CA509" s="1">
        <v>32.689</v>
      </c>
      <c r="CB509" s="1">
        <v>2.8153000000000001</v>
      </c>
      <c r="CC509" s="1">
        <v>62.3566</v>
      </c>
      <c r="CD509" s="1">
        <v>1.20794</v>
      </c>
      <c r="CF509" s="1425">
        <v>44491</v>
      </c>
      <c r="CG509" s="1">
        <v>11.377800000000001</v>
      </c>
      <c r="CH509" s="1">
        <v>2.4077000000000002</v>
      </c>
      <c r="CI509" s="1">
        <v>8.9525000000000006</v>
      </c>
      <c r="CL509" s="1425">
        <v>44505</v>
      </c>
      <c r="CM509" s="1">
        <v>26.4573</v>
      </c>
      <c r="CN509" s="1">
        <v>2.8492999999999999</v>
      </c>
      <c r="CO509" s="1">
        <v>11.985200000000001</v>
      </c>
    </row>
    <row r="510" spans="1:93">
      <c r="A510" s="1425">
        <v>44491</v>
      </c>
      <c r="B510" s="20">
        <f t="shared" si="72"/>
        <v>22.581099999999999</v>
      </c>
      <c r="C510" s="20">
        <f t="shared" si="74"/>
        <v>14.308</v>
      </c>
      <c r="D510" s="20">
        <f t="shared" si="75"/>
        <v>17.072700000000001</v>
      </c>
      <c r="E510" s="20">
        <f t="shared" si="76"/>
        <v>10.298500000000001</v>
      </c>
      <c r="F510" s="20">
        <f t="shared" si="77"/>
        <v>19.604399999999998</v>
      </c>
      <c r="G510" s="20">
        <f t="shared" si="78"/>
        <v>14.9809</v>
      </c>
      <c r="H510" s="1239">
        <f t="shared" si="79"/>
        <v>14.9809</v>
      </c>
      <c r="I510" s="1243">
        <f t="shared" si="73"/>
        <v>0.50732599510042786</v>
      </c>
      <c r="J510" s="1243">
        <f t="shared" si="80"/>
        <v>0.12093838824177333</v>
      </c>
      <c r="K510" s="1243">
        <f t="shared" si="81"/>
        <v>0.1</v>
      </c>
      <c r="L510" s="203"/>
      <c r="N510" s="1425">
        <v>44491</v>
      </c>
      <c r="O510" s="1502">
        <v>22.581099999999999</v>
      </c>
      <c r="P510" s="1502">
        <v>6.7794999999999996</v>
      </c>
      <c r="Q510" s="1502">
        <v>24.1751</v>
      </c>
      <c r="R510" s="1233">
        <f>'B. PE'!$U$23</f>
        <v>15.978235616082999</v>
      </c>
      <c r="S510" s="1233"/>
      <c r="T510" s="1233"/>
      <c r="V510" s="1425">
        <v>44491</v>
      </c>
      <c r="W510" s="1">
        <v>14.308</v>
      </c>
      <c r="X510" s="1">
        <v>1.5812999999999999</v>
      </c>
      <c r="Y510" s="1">
        <v>11.1716</v>
      </c>
      <c r="Z510" s="1">
        <v>1.1576900000000001</v>
      </c>
      <c r="AB510" s="1425">
        <v>44474</v>
      </c>
      <c r="AC510" s="1">
        <v>9.2004000000000001</v>
      </c>
      <c r="AD510" s="1502">
        <v>1.6161000000000001</v>
      </c>
      <c r="AE510" s="1">
        <v>4.8398000000000003</v>
      </c>
      <c r="AF510" s="1">
        <v>4.1360000000000001E-2</v>
      </c>
      <c r="AH510" s="1425">
        <v>44474</v>
      </c>
      <c r="AI510" s="1">
        <v>15.923500000000001</v>
      </c>
      <c r="AJ510" s="1">
        <v>2.7517999999999998</v>
      </c>
      <c r="AK510" s="1">
        <v>7.4558</v>
      </c>
      <c r="AL510" s="1">
        <v>4.206E-2</v>
      </c>
      <c r="AN510" s="1425">
        <v>44475</v>
      </c>
      <c r="AO510" s="1">
        <v>10.522399999999999</v>
      </c>
      <c r="AP510" s="1">
        <v>1.393</v>
      </c>
      <c r="AQ510" s="1">
        <v>6.2134999999999998</v>
      </c>
      <c r="AR510" s="1">
        <v>0.32339000000000001</v>
      </c>
      <c r="AT510" s="1425">
        <v>44475</v>
      </c>
      <c r="AU510" s="1">
        <v>9.3171999999999997</v>
      </c>
      <c r="AV510" s="1">
        <v>0.60750000000000004</v>
      </c>
      <c r="AW510" s="1">
        <v>6.0045000000000002</v>
      </c>
      <c r="AX510" s="1">
        <v>0.14971999999999999</v>
      </c>
      <c r="BA510" s="1425">
        <v>44469</v>
      </c>
      <c r="BB510" s="1">
        <v>14.7521</v>
      </c>
      <c r="BC510" s="1">
        <v>3.6880999999999999</v>
      </c>
      <c r="BD510" s="1">
        <v>14.539199999999999</v>
      </c>
      <c r="BE510" s="1">
        <v>0.93798999999999999</v>
      </c>
      <c r="BG510" s="1425">
        <v>44469</v>
      </c>
      <c r="BH510" s="1">
        <v>18.7943</v>
      </c>
      <c r="BI510" s="1">
        <v>5.4439000000000002</v>
      </c>
      <c r="BJ510" s="1">
        <v>25.540800000000001</v>
      </c>
      <c r="BT510" s="1425">
        <v>44491</v>
      </c>
      <c r="BU510" s="1">
        <v>20.1721</v>
      </c>
      <c r="BV510" s="1">
        <v>4.84</v>
      </c>
      <c r="BW510" s="1">
        <v>12.382300000000001</v>
      </c>
      <c r="BX510" s="1">
        <v>2.8386</v>
      </c>
      <c r="BZ510" s="1425">
        <v>44491</v>
      </c>
      <c r="CA510" s="1">
        <v>32.965499999999999</v>
      </c>
      <c r="CB510" s="1">
        <v>2.8391999999999999</v>
      </c>
      <c r="CC510" s="1">
        <v>62.645499999999998</v>
      </c>
      <c r="CD510" s="1">
        <v>1.1717500000000001</v>
      </c>
      <c r="CF510" s="1425">
        <v>44490</v>
      </c>
      <c r="CG510" s="1">
        <v>11.278</v>
      </c>
      <c r="CH510" s="1">
        <v>2.3866000000000001</v>
      </c>
      <c r="CI510" s="1">
        <v>8.8795999999999999</v>
      </c>
      <c r="CL510" s="1425">
        <v>44504</v>
      </c>
      <c r="CM510" s="1">
        <v>26.688400000000001</v>
      </c>
      <c r="CN510" s="1">
        <v>2.8742000000000001</v>
      </c>
      <c r="CO510" s="1">
        <v>12.0892</v>
      </c>
    </row>
    <row r="511" spans="1:93">
      <c r="A511" s="1425">
        <v>44490</v>
      </c>
      <c r="B511" s="20">
        <f t="shared" si="72"/>
        <v>22.844100000000001</v>
      </c>
      <c r="C511" s="20">
        <f t="shared" si="74"/>
        <v>14.4015</v>
      </c>
      <c r="D511" s="20">
        <f t="shared" si="75"/>
        <v>17.236799999999999</v>
      </c>
      <c r="E511" s="20">
        <f t="shared" si="76"/>
        <v>10.373100000000001</v>
      </c>
      <c r="F511" s="20">
        <f t="shared" si="77"/>
        <v>19.604399999999998</v>
      </c>
      <c r="G511" s="20">
        <f t="shared" si="78"/>
        <v>14.9809</v>
      </c>
      <c r="H511" s="1239">
        <f t="shared" si="79"/>
        <v>14.9809</v>
      </c>
      <c r="I511" s="1243">
        <f t="shared" si="73"/>
        <v>0.52488168267594082</v>
      </c>
      <c r="J511" s="1243">
        <f t="shared" si="80"/>
        <v>0.12093838824177333</v>
      </c>
      <c r="K511" s="1243">
        <f t="shared" si="81"/>
        <v>0.1</v>
      </c>
      <c r="L511" s="203"/>
      <c r="N511" s="1425">
        <v>44490</v>
      </c>
      <c r="O511" s="1502">
        <v>22.844100000000001</v>
      </c>
      <c r="P511" s="1502">
        <v>6.8583999999999996</v>
      </c>
      <c r="Q511" s="1502">
        <v>24.443100000000001</v>
      </c>
      <c r="R511" s="1233">
        <f>'B. PE'!$U$23</f>
        <v>15.978235616082999</v>
      </c>
      <c r="S511" s="1233"/>
      <c r="T511" s="1233"/>
      <c r="V511" s="1425">
        <v>44490</v>
      </c>
      <c r="W511" s="1">
        <v>14.4015</v>
      </c>
      <c r="X511" s="1">
        <v>1.5916999999999999</v>
      </c>
      <c r="Y511" s="1">
        <v>11.229799999999999</v>
      </c>
      <c r="Z511" s="1">
        <v>1.1244099999999999</v>
      </c>
      <c r="AB511" s="1425">
        <v>44473</v>
      </c>
      <c r="AC511" s="1">
        <v>9.0457999999999998</v>
      </c>
      <c r="AD511" s="1502">
        <v>1.589</v>
      </c>
      <c r="AE511" s="1">
        <v>4.7716000000000003</v>
      </c>
      <c r="AF511" s="1">
        <v>4.2259999999999999E-2</v>
      </c>
      <c r="AH511" s="1425">
        <v>44473</v>
      </c>
      <c r="AI511" s="1">
        <v>16.087700000000002</v>
      </c>
      <c r="AJ511" s="1">
        <v>2.7801999999999998</v>
      </c>
      <c r="AK511" s="1">
        <v>7.5408999999999997</v>
      </c>
      <c r="AL511" s="1">
        <v>4.0509999999999997E-2</v>
      </c>
      <c r="AN511" s="1425">
        <v>44474</v>
      </c>
      <c r="AO511" s="1">
        <v>10.597</v>
      </c>
      <c r="AP511" s="1">
        <v>1.4028</v>
      </c>
      <c r="AQ511" s="1">
        <v>6.2716000000000003</v>
      </c>
      <c r="AR511" s="1">
        <v>0.3231</v>
      </c>
      <c r="AT511" s="1425">
        <v>44474</v>
      </c>
      <c r="AU511" s="1">
        <v>8.9616000000000007</v>
      </c>
      <c r="AV511" s="1">
        <v>0.58430000000000004</v>
      </c>
      <c r="AW511" s="1">
        <v>5.8076999999999996</v>
      </c>
      <c r="AX511" s="1">
        <v>0.14838999999999999</v>
      </c>
      <c r="BA511" s="1425">
        <v>44468</v>
      </c>
      <c r="BB511" s="1">
        <v>15.872</v>
      </c>
      <c r="BC511" s="1">
        <v>3.9361000000000002</v>
      </c>
      <c r="BD511" s="1">
        <v>14.109400000000001</v>
      </c>
      <c r="BE511" s="1">
        <v>0.94550000000000001</v>
      </c>
      <c r="BG511" s="1425">
        <v>44468</v>
      </c>
      <c r="BH511" s="1">
        <v>26.985299999999999</v>
      </c>
      <c r="BI511" s="1">
        <v>5.5682</v>
      </c>
      <c r="BJ511" s="1">
        <v>28.408300000000001</v>
      </c>
      <c r="BT511" s="1425">
        <v>44490</v>
      </c>
      <c r="BU511" s="1">
        <v>20.077300000000001</v>
      </c>
      <c r="BV511" s="1">
        <v>4.8173000000000004</v>
      </c>
      <c r="BW511" s="1">
        <v>12.328799999999999</v>
      </c>
      <c r="BX511" s="1">
        <v>2.8494999999999999</v>
      </c>
      <c r="BZ511" s="1425">
        <v>44490</v>
      </c>
      <c r="CA511" s="1">
        <v>32.758099999999999</v>
      </c>
      <c r="CB511" s="1">
        <v>2.8212999999999999</v>
      </c>
      <c r="CC511" s="1">
        <v>62.428800000000003</v>
      </c>
      <c r="CD511" s="1">
        <v>1.1959500000000001</v>
      </c>
      <c r="CF511" s="1425">
        <v>44489</v>
      </c>
      <c r="CG511" s="1">
        <v>11.411099999999999</v>
      </c>
      <c r="CH511" s="1">
        <v>2.4148000000000001</v>
      </c>
      <c r="CI511" s="1">
        <v>8.9768000000000008</v>
      </c>
      <c r="CL511" s="1425">
        <v>44503</v>
      </c>
      <c r="CM511" s="1">
        <v>26.599499999999999</v>
      </c>
      <c r="CN511" s="1">
        <v>2.8645999999999998</v>
      </c>
      <c r="CO511" s="1">
        <v>12.049200000000001</v>
      </c>
    </row>
    <row r="512" spans="1:93">
      <c r="A512" s="1425">
        <v>44489</v>
      </c>
      <c r="B512" s="20">
        <f t="shared" si="72"/>
        <v>22.823899999999998</v>
      </c>
      <c r="C512" s="20">
        <f t="shared" si="74"/>
        <v>14.635300000000001</v>
      </c>
      <c r="D512" s="20">
        <f t="shared" si="75"/>
        <v>17.236799999999999</v>
      </c>
      <c r="E512" s="20">
        <f t="shared" si="76"/>
        <v>10.522399999999999</v>
      </c>
      <c r="F512" s="20">
        <f t="shared" si="77"/>
        <v>19.766400000000001</v>
      </c>
      <c r="G512" s="20">
        <f t="shared" si="78"/>
        <v>14.9809</v>
      </c>
      <c r="H512" s="1239">
        <f t="shared" si="79"/>
        <v>14.9809</v>
      </c>
      <c r="I512" s="1243">
        <f t="shared" si="73"/>
        <v>0.52353329906747903</v>
      </c>
      <c r="J512" s="1243">
        <f t="shared" si="80"/>
        <v>0.12093838824177333</v>
      </c>
      <c r="K512" s="1243">
        <f t="shared" si="81"/>
        <v>0.1</v>
      </c>
      <c r="L512" s="203"/>
      <c r="N512" s="1425">
        <v>44489</v>
      </c>
      <c r="O512" s="1502">
        <v>22.823899999999998</v>
      </c>
      <c r="P512" s="1502">
        <v>6.8524000000000003</v>
      </c>
      <c r="Q512" s="1502">
        <v>24.422499999999999</v>
      </c>
      <c r="R512" s="1233">
        <f>'B. PE'!$U$23</f>
        <v>15.978235616082999</v>
      </c>
      <c r="S512" s="1233"/>
      <c r="T512" s="1233"/>
      <c r="V512" s="1425">
        <v>44489</v>
      </c>
      <c r="W512" s="1">
        <v>14.635300000000001</v>
      </c>
      <c r="X512" s="1">
        <v>1.6174999999999999</v>
      </c>
      <c r="Y512" s="1">
        <v>11.375299999999999</v>
      </c>
      <c r="Z512" s="1">
        <v>1.1227</v>
      </c>
      <c r="AB512" s="1425">
        <v>44470</v>
      </c>
      <c r="AC512" s="1">
        <v>9.1231000000000009</v>
      </c>
      <c r="AD512" s="1502">
        <v>1.6025</v>
      </c>
      <c r="AE512" s="1">
        <v>4.8056999999999999</v>
      </c>
      <c r="AF512" s="1">
        <v>4.1880000000000001E-2</v>
      </c>
      <c r="AH512" s="1425">
        <v>44470</v>
      </c>
      <c r="AI512" s="1">
        <v>16.416</v>
      </c>
      <c r="AJ512" s="1">
        <v>2.8369</v>
      </c>
      <c r="AK512" s="1">
        <v>7.7110000000000003</v>
      </c>
      <c r="AL512" s="1">
        <v>4.0629999999999999E-2</v>
      </c>
      <c r="AN512" s="1425">
        <v>44473</v>
      </c>
      <c r="AO512" s="1">
        <v>10.0746</v>
      </c>
      <c r="AP512" s="1">
        <v>1.3337000000000001</v>
      </c>
      <c r="AQ512" s="1">
        <v>5.8650000000000002</v>
      </c>
      <c r="AR512" s="1">
        <v>0.32723999999999998</v>
      </c>
      <c r="AT512" s="1425">
        <v>44473</v>
      </c>
      <c r="AU512" s="1">
        <v>8.8904999999999994</v>
      </c>
      <c r="AV512" s="1">
        <v>0.57969999999999999</v>
      </c>
      <c r="AW512" s="1">
        <v>5.7683999999999997</v>
      </c>
      <c r="AX512" s="1">
        <v>0.14571000000000001</v>
      </c>
      <c r="BA512" s="1425">
        <v>44467</v>
      </c>
      <c r="BB512" s="1">
        <v>15.747999999999999</v>
      </c>
      <c r="BC512" s="1">
        <v>3.9054000000000002</v>
      </c>
      <c r="BD512" s="1">
        <v>14.0159</v>
      </c>
      <c r="BE512" s="1">
        <v>0.99604999999999999</v>
      </c>
      <c r="BG512" s="1425">
        <v>44467</v>
      </c>
      <c r="BH512" s="1">
        <v>26.756599999999999</v>
      </c>
      <c r="BI512" s="1">
        <v>5.5209999999999999</v>
      </c>
      <c r="BJ512" s="1">
        <v>28.1922</v>
      </c>
      <c r="BT512" s="1425">
        <v>44489</v>
      </c>
      <c r="BU512" s="1">
        <v>20.4251</v>
      </c>
      <c r="BV512" s="1">
        <v>4.9006999999999996</v>
      </c>
      <c r="BW512" s="1">
        <v>12.525</v>
      </c>
      <c r="BX512" s="1">
        <v>2.8719000000000001</v>
      </c>
      <c r="BZ512" s="1425">
        <v>44489</v>
      </c>
      <c r="CA512" s="1">
        <v>31.790600000000001</v>
      </c>
      <c r="CB512" s="1">
        <v>2.738</v>
      </c>
      <c r="CC512" s="1">
        <v>61.4178</v>
      </c>
      <c r="CD512" s="1">
        <v>1.2024699999999999</v>
      </c>
      <c r="CF512" s="1425">
        <v>44488</v>
      </c>
      <c r="CG512" s="1">
        <v>11.677199999999999</v>
      </c>
      <c r="CH512" s="1">
        <v>2.4710999999999999</v>
      </c>
      <c r="CI512" s="1">
        <v>9.1712000000000007</v>
      </c>
      <c r="CL512" s="1425">
        <v>44502</v>
      </c>
      <c r="CM512" s="1">
        <v>26.4573</v>
      </c>
      <c r="CN512" s="1">
        <v>2.8492999999999999</v>
      </c>
      <c r="CO512" s="1">
        <v>11.985200000000001</v>
      </c>
    </row>
    <row r="513" spans="1:93">
      <c r="A513" s="1425">
        <v>44488</v>
      </c>
      <c r="B513" s="20">
        <f t="shared" si="72"/>
        <v>23.147600000000001</v>
      </c>
      <c r="C513" s="20">
        <f t="shared" si="74"/>
        <v>14.214499999999999</v>
      </c>
      <c r="D513" s="20">
        <f t="shared" si="75"/>
        <v>18.112300000000001</v>
      </c>
      <c r="E513" s="20">
        <f t="shared" si="76"/>
        <v>10.522399999999999</v>
      </c>
      <c r="F513" s="20">
        <f t="shared" si="77"/>
        <v>19.442399999999999</v>
      </c>
      <c r="G513" s="20">
        <f t="shared" si="78"/>
        <v>14.7521</v>
      </c>
      <c r="H513" s="1239">
        <f t="shared" si="79"/>
        <v>14.7521</v>
      </c>
      <c r="I513" s="1243">
        <f t="shared" si="73"/>
        <v>0.56910541550016602</v>
      </c>
      <c r="J513" s="1243">
        <f t="shared" si="80"/>
        <v>0.12093838824177333</v>
      </c>
      <c r="K513" s="1243">
        <f t="shared" si="81"/>
        <v>0.1</v>
      </c>
      <c r="L513" s="203"/>
      <c r="N513" s="1425">
        <v>44488</v>
      </c>
      <c r="O513" s="1502">
        <v>23.147600000000001</v>
      </c>
      <c r="P513" s="1502">
        <v>6.9496000000000002</v>
      </c>
      <c r="Q513" s="1502">
        <v>24.752400000000002</v>
      </c>
      <c r="R513" s="1233">
        <f>'B. PE'!$U$23</f>
        <v>15.978235616082999</v>
      </c>
      <c r="S513" s="1233"/>
      <c r="T513" s="1233"/>
      <c r="V513" s="1425">
        <v>44488</v>
      </c>
      <c r="W513" s="1">
        <v>14.214499999999999</v>
      </c>
      <c r="X513" s="1">
        <v>1.571</v>
      </c>
      <c r="Y513" s="1">
        <v>11.1135</v>
      </c>
      <c r="Z513" s="1">
        <v>1.123</v>
      </c>
      <c r="AB513" s="1425">
        <v>44469</v>
      </c>
      <c r="AC513" s="1">
        <v>9.3550000000000004</v>
      </c>
      <c r="AD513" s="1502">
        <v>1.6433</v>
      </c>
      <c r="AE513" s="1">
        <v>4.9080000000000004</v>
      </c>
      <c r="AF513" s="1">
        <v>4.2279999999999998E-2</v>
      </c>
      <c r="AH513" s="1425">
        <v>44469</v>
      </c>
      <c r="AI513" s="1">
        <v>15.8688</v>
      </c>
      <c r="AJ513" s="1">
        <v>2.7423999999999999</v>
      </c>
      <c r="AK513" s="1">
        <v>7.4275000000000002</v>
      </c>
      <c r="AL513" s="1">
        <v>4.0390000000000002E-2</v>
      </c>
      <c r="AN513" s="1425">
        <v>44470</v>
      </c>
      <c r="AO513" s="1">
        <v>10.0746</v>
      </c>
      <c r="AP513" s="1">
        <v>1.3337000000000001</v>
      </c>
      <c r="AQ513" s="1">
        <v>5.8650000000000002</v>
      </c>
      <c r="AR513" s="1">
        <v>0.32974999999999999</v>
      </c>
      <c r="AT513" s="1425">
        <v>44470</v>
      </c>
      <c r="AU513" s="1">
        <v>8.8193000000000001</v>
      </c>
      <c r="AV513" s="1">
        <v>0.57499999999999996</v>
      </c>
      <c r="AW513" s="1">
        <v>5.7290000000000001</v>
      </c>
      <c r="AX513" s="1">
        <v>0.14576</v>
      </c>
      <c r="BA513" s="1425">
        <v>44466</v>
      </c>
      <c r="BB513" s="1">
        <v>15.747999999999999</v>
      </c>
      <c r="BC513" s="1">
        <v>3.9054000000000002</v>
      </c>
      <c r="BD513" s="1">
        <v>14.0159</v>
      </c>
      <c r="BE513" s="1">
        <v>1.00888</v>
      </c>
      <c r="BG513" s="1425">
        <v>44466</v>
      </c>
      <c r="BH513" s="1">
        <v>26.870999999999999</v>
      </c>
      <c r="BI513" s="1">
        <v>5.5446</v>
      </c>
      <c r="BJ513" s="1">
        <v>28.3002</v>
      </c>
      <c r="BT513" s="1425">
        <v>44488</v>
      </c>
      <c r="BU513" s="1">
        <v>20.504100000000001</v>
      </c>
      <c r="BV513" s="1">
        <v>4.9196999999999997</v>
      </c>
      <c r="BW513" s="1">
        <v>12.569599999999999</v>
      </c>
      <c r="BX513" s="1">
        <v>2.91</v>
      </c>
      <c r="BZ513" s="1425">
        <v>44488</v>
      </c>
      <c r="CA513" s="1">
        <v>32.447099999999999</v>
      </c>
      <c r="CB513" s="1">
        <v>2.7945000000000002</v>
      </c>
      <c r="CC513" s="1">
        <v>62.103900000000003</v>
      </c>
      <c r="CD513" s="1">
        <v>1.21553</v>
      </c>
      <c r="CF513" s="1425">
        <v>44487</v>
      </c>
      <c r="CG513" s="1">
        <v>11.577400000000001</v>
      </c>
      <c r="CH513" s="1">
        <v>2.4500000000000002</v>
      </c>
      <c r="CI513" s="1">
        <v>9.0983000000000001</v>
      </c>
      <c r="CL513" s="1425">
        <v>44501</v>
      </c>
      <c r="CM513" s="1">
        <v>26.1372</v>
      </c>
      <c r="CN513" s="1">
        <v>2.8148</v>
      </c>
      <c r="CO513" s="1">
        <v>11.8413</v>
      </c>
    </row>
    <row r="514" spans="1:93">
      <c r="A514" s="1425">
        <v>44487</v>
      </c>
      <c r="B514" s="20">
        <f t="shared" si="72"/>
        <v>22.7227</v>
      </c>
      <c r="C514" s="20">
        <f t="shared" si="74"/>
        <v>14.1911</v>
      </c>
      <c r="D514" s="20">
        <f t="shared" si="75"/>
        <v>18.385899999999999</v>
      </c>
      <c r="E514" s="20">
        <f t="shared" si="76"/>
        <v>10.7463</v>
      </c>
      <c r="F514" s="20">
        <f t="shared" si="77"/>
        <v>19.604399999999998</v>
      </c>
      <c r="G514" s="20">
        <f t="shared" si="78"/>
        <v>14.7521</v>
      </c>
      <c r="H514" s="1239">
        <f t="shared" si="79"/>
        <v>14.7521</v>
      </c>
      <c r="I514" s="1243">
        <f t="shared" si="73"/>
        <v>0.54030273655954053</v>
      </c>
      <c r="J514" s="1243">
        <f t="shared" si="80"/>
        <v>0.12093838824177333</v>
      </c>
      <c r="K514" s="1243">
        <f t="shared" si="81"/>
        <v>0.1</v>
      </c>
      <c r="L514" s="203"/>
      <c r="N514" s="1425">
        <v>44487</v>
      </c>
      <c r="O514" s="1502">
        <v>22.7227</v>
      </c>
      <c r="P514" s="1502">
        <v>6.8220000000000001</v>
      </c>
      <c r="Q514" s="1502">
        <v>24.319400000000002</v>
      </c>
      <c r="R514" s="1233">
        <f>'B. PE'!$U$23</f>
        <v>15.978235616082999</v>
      </c>
      <c r="S514" s="1233"/>
      <c r="T514" s="1233"/>
      <c r="V514" s="1425">
        <v>44487</v>
      </c>
      <c r="W514" s="1">
        <v>14.1911</v>
      </c>
      <c r="X514" s="1">
        <v>1.5684</v>
      </c>
      <c r="Y514" s="1">
        <v>11.0989</v>
      </c>
      <c r="Z514" s="1">
        <v>1.1247499999999999</v>
      </c>
      <c r="AB514" s="1425">
        <v>44468</v>
      </c>
      <c r="AC514" s="1">
        <v>9.0917999999999992</v>
      </c>
      <c r="AD514" s="1502">
        <v>1.6745000000000001</v>
      </c>
      <c r="AE514" s="1">
        <v>5.3413000000000004</v>
      </c>
      <c r="AF514" s="1">
        <v>4.2459999999999998E-2</v>
      </c>
      <c r="AH514" s="1425">
        <v>44468</v>
      </c>
      <c r="AI514" s="1">
        <v>15.8185</v>
      </c>
      <c r="AJ514" s="1">
        <v>2.8719999999999999</v>
      </c>
      <c r="AK514" s="1">
        <v>7.6597</v>
      </c>
      <c r="AL514" s="1">
        <v>4.07E-2</v>
      </c>
      <c r="AN514" s="1425">
        <v>44469</v>
      </c>
      <c r="AO514" s="1">
        <v>10.2239</v>
      </c>
      <c r="AP514" s="1">
        <v>1.3534999999999999</v>
      </c>
      <c r="AQ514" s="1">
        <v>5.9810999999999996</v>
      </c>
      <c r="AR514" s="1">
        <v>0.32501000000000002</v>
      </c>
      <c r="AT514" s="1425">
        <v>44469</v>
      </c>
      <c r="AU514" s="1">
        <v>8.6770999999999994</v>
      </c>
      <c r="AV514" s="1">
        <v>0.56579999999999997</v>
      </c>
      <c r="AW514" s="1">
        <v>5.6502999999999997</v>
      </c>
      <c r="AX514" s="1">
        <v>0.14577999999999999</v>
      </c>
      <c r="BA514" s="1425">
        <v>44462</v>
      </c>
      <c r="BB514" s="1">
        <v>16.492000000000001</v>
      </c>
      <c r="BC514" s="1">
        <v>4.0899000000000001</v>
      </c>
      <c r="BD514" s="1">
        <v>14.5769</v>
      </c>
      <c r="BE514" s="1">
        <v>1.0342</v>
      </c>
      <c r="BG514" s="1425">
        <v>44462</v>
      </c>
      <c r="BH514" s="1">
        <v>27.785699999999999</v>
      </c>
      <c r="BI514" s="1">
        <v>5.7333999999999996</v>
      </c>
      <c r="BJ514" s="1">
        <v>29.1646</v>
      </c>
      <c r="BT514" s="1425">
        <v>44487</v>
      </c>
      <c r="BU514" s="1">
        <v>20.662199999999999</v>
      </c>
      <c r="BV514" s="1">
        <v>4.9576000000000002</v>
      </c>
      <c r="BW514" s="1">
        <v>12.6587</v>
      </c>
      <c r="BX514" s="1">
        <v>2.9339</v>
      </c>
      <c r="BZ514" s="1425">
        <v>44487</v>
      </c>
      <c r="CA514" s="1">
        <v>32.619900000000001</v>
      </c>
      <c r="CB514" s="1">
        <v>2.8094000000000001</v>
      </c>
      <c r="CC514" s="1">
        <v>62.284399999999998</v>
      </c>
      <c r="CD514" s="1">
        <v>1.1975899999999999</v>
      </c>
      <c r="CF514" s="1425">
        <v>44484</v>
      </c>
      <c r="CG514" s="1">
        <v>11.577400000000001</v>
      </c>
      <c r="CH514" s="1">
        <v>2.4500000000000002</v>
      </c>
      <c r="CI514" s="1">
        <v>9.0983000000000001</v>
      </c>
      <c r="CL514" s="1425">
        <v>44498</v>
      </c>
      <c r="CM514" s="1">
        <v>26.066099999999999</v>
      </c>
      <c r="CN514" s="1">
        <v>2.8071000000000002</v>
      </c>
      <c r="CO514" s="1">
        <v>11.8094</v>
      </c>
    </row>
    <row r="515" spans="1:93">
      <c r="A515" s="1425">
        <v>44484</v>
      </c>
      <c r="B515" s="20">
        <f t="shared" si="72"/>
        <v>23.127400000000002</v>
      </c>
      <c r="C515" s="20">
        <f t="shared" si="74"/>
        <v>14.1911</v>
      </c>
      <c r="D515" s="20">
        <f t="shared" si="75"/>
        <v>17.619900000000001</v>
      </c>
      <c r="E515" s="20">
        <f t="shared" si="76"/>
        <v>10.6716</v>
      </c>
      <c r="F515" s="20">
        <f t="shared" si="77"/>
        <v>19.442399999999999</v>
      </c>
      <c r="G515" s="20">
        <f t="shared" si="78"/>
        <v>14.8665</v>
      </c>
      <c r="H515" s="1239">
        <f t="shared" si="79"/>
        <v>14.8665</v>
      </c>
      <c r="I515" s="1243">
        <f t="shared" si="73"/>
        <v>0.55567214879090576</v>
      </c>
      <c r="J515" s="1243">
        <f t="shared" si="80"/>
        <v>0.12093838824177333</v>
      </c>
      <c r="K515" s="1243">
        <f t="shared" si="81"/>
        <v>0.1</v>
      </c>
      <c r="L515" s="203"/>
      <c r="N515" s="1425">
        <v>44484</v>
      </c>
      <c r="O515" s="1502">
        <v>23.127400000000002</v>
      </c>
      <c r="P515" s="1502">
        <v>6.9435000000000002</v>
      </c>
      <c r="Q515" s="1502">
        <v>24.7317</v>
      </c>
      <c r="R515" s="1233">
        <f>'B. PE'!$U$23</f>
        <v>15.978235616082999</v>
      </c>
      <c r="S515" s="1233"/>
      <c r="T515" s="1233"/>
      <c r="V515" s="1425">
        <v>44484</v>
      </c>
      <c r="W515" s="1">
        <v>14.1911</v>
      </c>
      <c r="X515" s="1">
        <v>1.5684</v>
      </c>
      <c r="Y515" s="1">
        <v>11.0989</v>
      </c>
      <c r="Z515" s="1">
        <v>1.0785</v>
      </c>
      <c r="AB515" s="1425">
        <v>44467</v>
      </c>
      <c r="AC515" s="1">
        <v>9.1675000000000004</v>
      </c>
      <c r="AD515" s="1502">
        <v>1.6884999999999999</v>
      </c>
      <c r="AE515" s="1">
        <v>5.3749000000000002</v>
      </c>
      <c r="AF515" s="1">
        <v>4.3400000000000001E-2</v>
      </c>
      <c r="AH515" s="1425">
        <v>44467</v>
      </c>
      <c r="AI515" s="1">
        <v>15.7098</v>
      </c>
      <c r="AJ515" s="1">
        <v>2.8523000000000001</v>
      </c>
      <c r="AK515" s="1">
        <v>7.6016000000000004</v>
      </c>
      <c r="AL515" s="1">
        <v>4.0599999999999997E-2</v>
      </c>
      <c r="AN515" s="1425">
        <v>44468</v>
      </c>
      <c r="AO515" s="1">
        <v>10.823499999999999</v>
      </c>
      <c r="AP515" s="1">
        <v>1.4124000000000001</v>
      </c>
      <c r="AQ515" s="1">
        <v>7.9512</v>
      </c>
      <c r="AR515" s="1">
        <v>0.32968999999999998</v>
      </c>
      <c r="AT515" s="1425">
        <v>44468</v>
      </c>
      <c r="AU515" s="1">
        <v>7.1848999999999998</v>
      </c>
      <c r="AV515" s="1">
        <v>0.56430000000000002</v>
      </c>
      <c r="AW515" s="1">
        <v>5.0959000000000003</v>
      </c>
      <c r="AX515" s="1">
        <v>0.14812</v>
      </c>
      <c r="BA515" s="1425">
        <v>44461</v>
      </c>
      <c r="BB515" s="1">
        <v>16.739999999999998</v>
      </c>
      <c r="BC515" s="1">
        <v>4.1513999999999998</v>
      </c>
      <c r="BD515" s="1">
        <v>14.7638</v>
      </c>
      <c r="BE515" s="1">
        <v>1.01193</v>
      </c>
      <c r="BG515" s="1425">
        <v>44461</v>
      </c>
      <c r="BH515" s="1">
        <v>27.785699999999999</v>
      </c>
      <c r="BI515" s="1">
        <v>5.7333999999999996</v>
      </c>
      <c r="BJ515" s="1">
        <v>29.1646</v>
      </c>
      <c r="BT515" s="1425">
        <v>44484</v>
      </c>
      <c r="BU515" s="1">
        <v>20.931000000000001</v>
      </c>
      <c r="BV515" s="1">
        <v>5.0221</v>
      </c>
      <c r="BW515" s="1">
        <v>12.8103</v>
      </c>
      <c r="BX515" s="1">
        <v>2.9426999999999999</v>
      </c>
      <c r="BZ515" s="1425">
        <v>44484</v>
      </c>
      <c r="CA515" s="1">
        <v>32.965499999999999</v>
      </c>
      <c r="CB515" s="1">
        <v>2.8391999999999999</v>
      </c>
      <c r="CC515" s="1">
        <v>62.645499999999998</v>
      </c>
      <c r="CD515" s="1">
        <v>1.1950400000000001</v>
      </c>
      <c r="CF515" s="1425">
        <v>44483</v>
      </c>
      <c r="CG515" s="1">
        <v>11.1449</v>
      </c>
      <c r="CH515" s="1">
        <v>2.3584999999999998</v>
      </c>
      <c r="CI515" s="1">
        <v>8.7824000000000009</v>
      </c>
      <c r="CL515" s="1425">
        <v>44497</v>
      </c>
      <c r="CM515" s="1">
        <v>25.9239</v>
      </c>
      <c r="CN515" s="1">
        <v>2.7917999999999998</v>
      </c>
      <c r="CO515" s="1">
        <v>11.7454</v>
      </c>
    </row>
    <row r="516" spans="1:93">
      <c r="A516" s="1425">
        <v>44483</v>
      </c>
      <c r="B516" s="20">
        <f t="shared" si="72"/>
        <v>22.823899999999998</v>
      </c>
      <c r="C516" s="20">
        <f t="shared" si="74"/>
        <v>14.214499999999999</v>
      </c>
      <c r="D516" s="20">
        <f t="shared" si="75"/>
        <v>17.729299999999999</v>
      </c>
      <c r="E516" s="20">
        <f t="shared" si="76"/>
        <v>10.6716</v>
      </c>
      <c r="F516" s="20">
        <f t="shared" si="77"/>
        <v>19.604399999999998</v>
      </c>
      <c r="G516" s="20">
        <f t="shared" si="78"/>
        <v>14.8665</v>
      </c>
      <c r="H516" s="1239">
        <f t="shared" si="79"/>
        <v>14.8665</v>
      </c>
      <c r="I516" s="1243">
        <f t="shared" si="73"/>
        <v>0.53525712171661111</v>
      </c>
      <c r="J516" s="1243">
        <f t="shared" si="80"/>
        <v>0.12093838824177333</v>
      </c>
      <c r="K516" s="1243">
        <f t="shared" si="81"/>
        <v>0.1</v>
      </c>
      <c r="L516" s="203"/>
      <c r="N516" s="1425">
        <v>44483</v>
      </c>
      <c r="O516" s="1502">
        <v>22.823899999999998</v>
      </c>
      <c r="P516" s="1502">
        <v>6.8524000000000003</v>
      </c>
      <c r="Q516" s="1502">
        <v>24.422499999999999</v>
      </c>
      <c r="R516" s="1233">
        <f>'B. PE'!$U$23</f>
        <v>15.978235616082999</v>
      </c>
      <c r="S516" s="1233"/>
      <c r="T516" s="1233"/>
      <c r="V516" s="1425">
        <v>44483</v>
      </c>
      <c r="W516" s="1">
        <v>14.214499999999999</v>
      </c>
      <c r="X516" s="1">
        <v>1.571</v>
      </c>
      <c r="Y516" s="1">
        <v>11.1135</v>
      </c>
      <c r="Z516" s="1">
        <v>1.0805</v>
      </c>
      <c r="AB516" s="1425">
        <v>44466</v>
      </c>
      <c r="AC516" s="1">
        <v>9.1675000000000004</v>
      </c>
      <c r="AD516" s="1502">
        <v>1.6884999999999999</v>
      </c>
      <c r="AE516" s="1">
        <v>5.3749000000000002</v>
      </c>
      <c r="AF516" s="1">
        <v>4.4240000000000002E-2</v>
      </c>
      <c r="AH516" s="1425">
        <v>44466</v>
      </c>
      <c r="AI516" s="1">
        <v>15.764099999999999</v>
      </c>
      <c r="AJ516" s="1">
        <v>2.8620999999999999</v>
      </c>
      <c r="AK516" s="1">
        <v>7.6306000000000003</v>
      </c>
      <c r="AL516" s="1">
        <v>4.0579999999999998E-2</v>
      </c>
      <c r="AN516" s="1425">
        <v>44467</v>
      </c>
      <c r="AO516" s="1">
        <v>10.666700000000001</v>
      </c>
      <c r="AP516" s="1">
        <v>1.3918999999999999</v>
      </c>
      <c r="AQ516" s="1">
        <v>7.8281999999999998</v>
      </c>
      <c r="AR516" s="1">
        <v>0.32469999999999999</v>
      </c>
      <c r="AT516" s="1425">
        <v>44467</v>
      </c>
      <c r="AU516" s="1">
        <v>7.1848999999999998</v>
      </c>
      <c r="AV516" s="1">
        <v>0.56430000000000002</v>
      </c>
      <c r="AW516" s="1">
        <v>5.0959000000000003</v>
      </c>
      <c r="AX516" s="1">
        <v>0.14563999999999999</v>
      </c>
      <c r="BA516" s="1425">
        <v>44460</v>
      </c>
      <c r="BB516" s="1">
        <v>17.111999999999998</v>
      </c>
      <c r="BC516" s="1">
        <v>4.2435999999999998</v>
      </c>
      <c r="BD516" s="1">
        <v>15.0443</v>
      </c>
      <c r="BE516" s="1">
        <v>1.0360400000000001</v>
      </c>
      <c r="BG516" s="1425">
        <v>44460</v>
      </c>
      <c r="BH516" s="1">
        <v>28.128799999999998</v>
      </c>
      <c r="BI516" s="1">
        <v>5.8041</v>
      </c>
      <c r="BJ516" s="1">
        <v>29.488800000000001</v>
      </c>
      <c r="BT516" s="1425">
        <v>44483</v>
      </c>
      <c r="BU516" s="1">
        <v>21.104900000000001</v>
      </c>
      <c r="BV516" s="1">
        <v>5.0637999999999996</v>
      </c>
      <c r="BW516" s="1">
        <v>12.9084</v>
      </c>
      <c r="BX516" s="1">
        <v>2.9036</v>
      </c>
      <c r="BZ516" s="1425">
        <v>44483</v>
      </c>
      <c r="CA516" s="1">
        <v>32.481699999999996</v>
      </c>
      <c r="CB516" s="1">
        <v>2.7974999999999999</v>
      </c>
      <c r="CC516" s="1">
        <v>62.14</v>
      </c>
      <c r="CD516" s="1">
        <v>1.2117599999999999</v>
      </c>
      <c r="CF516" s="1425">
        <v>44482</v>
      </c>
      <c r="CG516" s="1">
        <v>12.143000000000001</v>
      </c>
      <c r="CH516" s="1">
        <v>2.5697000000000001</v>
      </c>
      <c r="CI516" s="1">
        <v>9.5113000000000003</v>
      </c>
      <c r="CL516" s="1425">
        <v>44496</v>
      </c>
      <c r="CM516" s="1">
        <v>26.0306</v>
      </c>
      <c r="CN516" s="1">
        <v>2.8033000000000001</v>
      </c>
      <c r="CO516" s="1">
        <v>11.7934</v>
      </c>
    </row>
    <row r="517" spans="1:93">
      <c r="A517" s="1425">
        <v>44482</v>
      </c>
      <c r="B517" s="20">
        <f t="shared" ref="B517:B580" si="82">O517</f>
        <v>23.046500000000002</v>
      </c>
      <c r="C517" s="20">
        <f t="shared" si="74"/>
        <v>13.63</v>
      </c>
      <c r="D517" s="20">
        <f t="shared" si="75"/>
        <v>17.838699999999999</v>
      </c>
      <c r="E517" s="20">
        <f t="shared" si="76"/>
        <v>10.522399999999999</v>
      </c>
      <c r="F517" s="20">
        <f t="shared" si="77"/>
        <v>19.604399999999998</v>
      </c>
      <c r="G517" s="20">
        <f t="shared" si="78"/>
        <v>14.8665</v>
      </c>
      <c r="H517" s="1239">
        <f t="shared" si="79"/>
        <v>14.8665</v>
      </c>
      <c r="I517" s="1243">
        <f t="shared" ref="I517:I580" si="83">B517/H517-1</f>
        <v>0.55023038374869682</v>
      </c>
      <c r="J517" s="1243">
        <f t="shared" si="80"/>
        <v>0.12093838824177333</v>
      </c>
      <c r="K517" s="1243">
        <f t="shared" si="81"/>
        <v>0.1</v>
      </c>
      <c r="L517" s="203"/>
      <c r="N517" s="1425">
        <v>44482</v>
      </c>
      <c r="O517" s="1502">
        <v>23.046500000000002</v>
      </c>
      <c r="P517" s="1502">
        <v>6.9192</v>
      </c>
      <c r="Q517" s="1502">
        <v>24.6493</v>
      </c>
      <c r="R517" s="1233">
        <f>'B. PE'!$U$23</f>
        <v>15.978235616082999</v>
      </c>
      <c r="S517" s="1233"/>
      <c r="T517" s="1233"/>
      <c r="V517" s="1425">
        <v>44482</v>
      </c>
      <c r="W517" s="1">
        <v>13.63</v>
      </c>
      <c r="X517" s="1">
        <v>1.5064</v>
      </c>
      <c r="Y517" s="1">
        <v>10.7499</v>
      </c>
      <c r="Z517" s="1">
        <v>1.07077</v>
      </c>
      <c r="AB517" s="1425">
        <v>44463</v>
      </c>
      <c r="AC517" s="1">
        <v>9.3948</v>
      </c>
      <c r="AD517" s="1502">
        <v>1.7302999999999999</v>
      </c>
      <c r="AE517" s="1">
        <v>5.4759000000000002</v>
      </c>
      <c r="AF517" s="1">
        <v>4.326E-2</v>
      </c>
      <c r="AH517" s="1425">
        <v>44463</v>
      </c>
      <c r="AI517" s="1">
        <v>15.764099999999999</v>
      </c>
      <c r="AJ517" s="1">
        <v>2.8620999999999999</v>
      </c>
      <c r="AK517" s="1">
        <v>7.6306000000000003</v>
      </c>
      <c r="AL517" s="1">
        <v>3.9530000000000003E-2</v>
      </c>
      <c r="AN517" s="1425">
        <v>44466</v>
      </c>
      <c r="AO517" s="1">
        <v>10.823499999999999</v>
      </c>
      <c r="AP517" s="1">
        <v>1.4124000000000001</v>
      </c>
      <c r="AQ517" s="1">
        <v>7.9512</v>
      </c>
      <c r="AR517" s="1">
        <v>0.30869999999999997</v>
      </c>
      <c r="AT517" s="1425">
        <v>44466</v>
      </c>
      <c r="AU517" s="1">
        <v>7.3026999999999997</v>
      </c>
      <c r="AV517" s="1">
        <v>0.57350000000000001</v>
      </c>
      <c r="AW517" s="1">
        <v>5.1623000000000001</v>
      </c>
      <c r="AX517" s="1">
        <v>0.14717</v>
      </c>
      <c r="BA517" s="1425">
        <v>44459</v>
      </c>
      <c r="BB517" s="1">
        <v>16.739999999999998</v>
      </c>
      <c r="BC517" s="1">
        <v>4.1513999999999998</v>
      </c>
      <c r="BD517" s="1">
        <v>14.7638</v>
      </c>
      <c r="BE517" s="1">
        <v>1.0407200000000001</v>
      </c>
      <c r="BG517" s="1425">
        <v>44459</v>
      </c>
      <c r="BH517" s="1">
        <v>27.900099999999998</v>
      </c>
      <c r="BI517" s="1">
        <v>5.7569999999999997</v>
      </c>
      <c r="BJ517" s="1">
        <v>29.2727</v>
      </c>
      <c r="BT517" s="1425">
        <v>44482</v>
      </c>
      <c r="BU517" s="1">
        <v>21.168099999999999</v>
      </c>
      <c r="BV517" s="1">
        <v>5.0789999999999997</v>
      </c>
      <c r="BW517" s="1">
        <v>12.944000000000001</v>
      </c>
      <c r="BX517" s="1">
        <v>2.8452000000000002</v>
      </c>
      <c r="BZ517" s="1425">
        <v>44482</v>
      </c>
      <c r="CA517" s="1">
        <v>32.412599999999998</v>
      </c>
      <c r="CB517" s="1">
        <v>2.7915000000000001</v>
      </c>
      <c r="CC517" s="1">
        <v>62.067799999999998</v>
      </c>
      <c r="CD517" s="1">
        <v>1.20486</v>
      </c>
      <c r="CF517" s="1425">
        <v>44481</v>
      </c>
      <c r="CG517" s="1">
        <v>12.3093</v>
      </c>
      <c r="CH517" s="1">
        <v>2.6049000000000002</v>
      </c>
      <c r="CI517" s="1">
        <v>9.6327999999999996</v>
      </c>
      <c r="CL517" s="1425">
        <v>44495</v>
      </c>
      <c r="CM517" s="1">
        <v>26.2973</v>
      </c>
      <c r="CN517" s="1">
        <v>2.8319999999999999</v>
      </c>
      <c r="CO517" s="1">
        <v>11.9133</v>
      </c>
    </row>
    <row r="518" spans="1:93">
      <c r="A518" s="1425">
        <v>44481</v>
      </c>
      <c r="B518" s="20">
        <f t="shared" si="82"/>
        <v>23.410699999999999</v>
      </c>
      <c r="C518" s="20">
        <f t="shared" ref="C518:C581" si="84">IF(W518=0,W517,W518)</f>
        <v>13.6534</v>
      </c>
      <c r="D518" s="20">
        <f t="shared" ref="D518:D581" si="85">IFERROR(          IF(VLOOKUP(A518,$AH$5:$AI$1301,2,)=0,D517,VLOOKUP(A518,$AH$5:$AI$1301,2,)),D517)</f>
        <v>17.401</v>
      </c>
      <c r="E518" s="20">
        <f t="shared" ref="E518:E581" si="86">IFERROR(IF(VLOOKUP(A518,$AN$5:$AO$1301,2,)=0, E517, VLOOKUP(A518,$AN$5:$AO$1301,2,)),E517)</f>
        <v>10.597</v>
      </c>
      <c r="F518" s="20">
        <f t="shared" ref="F518:F581" si="87">IFERROR(IF(VLOOKUP(A518,$BG$5:$BH$1301,2,)=0,F517,VLOOKUP(A518,$BG$5:$BH$1301,2,)),F517)</f>
        <v>19.8474</v>
      </c>
      <c r="G518" s="20">
        <f t="shared" ref="G518:G581" si="88">IFERROR(IF(VLOOKUP(A518,$BA$5:$BB$1301,2,)=0,G517,VLOOKUP(A518,$BA$5:$BB$1301,2,)),G517)</f>
        <v>15.0952</v>
      </c>
      <c r="H518" s="1239">
        <f t="shared" ref="H518:H581" si="89">MEDIAN(C518:G518)</f>
        <v>15.0952</v>
      </c>
      <c r="I518" s="1243">
        <f t="shared" si="83"/>
        <v>0.55087047538290301</v>
      </c>
      <c r="J518" s="1243">
        <f t="shared" ref="J518:J581" si="90">$I$3</f>
        <v>0.12093838824177333</v>
      </c>
      <c r="K518" s="1243">
        <f t="shared" si="81"/>
        <v>0.1</v>
      </c>
      <c r="L518" s="203"/>
      <c r="N518" s="1425">
        <v>44481</v>
      </c>
      <c r="O518" s="1502">
        <v>23.410699999999999</v>
      </c>
      <c r="P518" s="1502">
        <v>7.0285000000000002</v>
      </c>
      <c r="Q518" s="1502">
        <v>25.020399999999999</v>
      </c>
      <c r="R518" s="1233">
        <f>'B. PE'!$U$23</f>
        <v>15.978235616082999</v>
      </c>
      <c r="S518" s="1233"/>
      <c r="T518" s="1233"/>
      <c r="V518" s="1425">
        <v>44481</v>
      </c>
      <c r="W518" s="1">
        <v>13.6534</v>
      </c>
      <c r="X518" s="1">
        <v>1.5089999999999999</v>
      </c>
      <c r="Y518" s="1">
        <v>10.7644</v>
      </c>
      <c r="Z518" s="1">
        <v>1.0742400000000001</v>
      </c>
      <c r="AB518" s="1425">
        <v>44462</v>
      </c>
      <c r="AC518" s="1">
        <v>9.5463000000000005</v>
      </c>
      <c r="AD518" s="1502">
        <v>1.7583</v>
      </c>
      <c r="AE518" s="1">
        <v>5.5431999999999997</v>
      </c>
      <c r="AF518" s="1">
        <v>4.3200000000000002E-2</v>
      </c>
      <c r="AH518" s="1425">
        <v>44462</v>
      </c>
      <c r="AI518" s="1">
        <v>15.7098</v>
      </c>
      <c r="AJ518" s="1">
        <v>2.8523000000000001</v>
      </c>
      <c r="AK518" s="1">
        <v>7.6016000000000004</v>
      </c>
      <c r="AL518" s="1">
        <v>3.9620000000000002E-2</v>
      </c>
      <c r="AN518" s="1425">
        <v>44463</v>
      </c>
      <c r="AO518" s="1">
        <v>10.666700000000001</v>
      </c>
      <c r="AP518" s="1">
        <v>1.3918999999999999</v>
      </c>
      <c r="AQ518" s="1">
        <v>7.8281999999999998</v>
      </c>
      <c r="AR518" s="1">
        <v>0.30296000000000001</v>
      </c>
      <c r="AT518" s="1425">
        <v>44463</v>
      </c>
      <c r="AU518" s="1">
        <v>7.1848999999999998</v>
      </c>
      <c r="AV518" s="1">
        <v>0.56430000000000002</v>
      </c>
      <c r="AW518" s="1">
        <v>5.0959000000000003</v>
      </c>
      <c r="AX518" s="1">
        <v>0.14671000000000001</v>
      </c>
      <c r="BA518" s="1425">
        <v>44456</v>
      </c>
      <c r="BB518" s="1">
        <v>17.111999999999998</v>
      </c>
      <c r="BC518" s="1">
        <v>4.2435999999999998</v>
      </c>
      <c r="BD518" s="1">
        <v>15.0443</v>
      </c>
      <c r="BE518" s="1">
        <v>1.0476799999999999</v>
      </c>
      <c r="BG518" s="1425">
        <v>44456</v>
      </c>
      <c r="BH518" s="1">
        <v>28.586200000000002</v>
      </c>
      <c r="BI518" s="1">
        <v>5.8985000000000003</v>
      </c>
      <c r="BJ518" s="1">
        <v>29.920999999999999</v>
      </c>
      <c r="BT518" s="1425">
        <v>44481</v>
      </c>
      <c r="BU518" s="1">
        <v>20.883500000000002</v>
      </c>
      <c r="BV518" s="1">
        <v>5.0106999999999999</v>
      </c>
      <c r="BW518" s="1">
        <v>12.7835</v>
      </c>
      <c r="BX518" s="1">
        <v>2.8292000000000002</v>
      </c>
      <c r="BZ518" s="1425">
        <v>44481</v>
      </c>
      <c r="CA518" s="1">
        <v>32.861800000000002</v>
      </c>
      <c r="CB518" s="1">
        <v>2.8302</v>
      </c>
      <c r="CC518" s="1">
        <v>62.537199999999999</v>
      </c>
      <c r="CD518" s="1">
        <v>1.2224299999999999</v>
      </c>
      <c r="CF518" s="1425">
        <v>44480</v>
      </c>
      <c r="CG518" s="1">
        <v>12.508900000000001</v>
      </c>
      <c r="CH518" s="1">
        <v>2.6471</v>
      </c>
      <c r="CI518" s="1">
        <v>9.7786000000000008</v>
      </c>
      <c r="CL518" s="1425">
        <v>44494</v>
      </c>
      <c r="CM518" s="1">
        <v>26.315100000000001</v>
      </c>
      <c r="CN518" s="1">
        <v>2.8338999999999999</v>
      </c>
      <c r="CO518" s="1">
        <v>11.9213</v>
      </c>
    </row>
    <row r="519" spans="1:93">
      <c r="A519" s="1425">
        <v>44480</v>
      </c>
      <c r="B519" s="20">
        <f t="shared" si="82"/>
        <v>23.410699999999999</v>
      </c>
      <c r="C519" s="20">
        <f t="shared" si="84"/>
        <v>13.5365</v>
      </c>
      <c r="D519" s="20">
        <f t="shared" si="85"/>
        <v>17.510400000000001</v>
      </c>
      <c r="E519" s="20">
        <f t="shared" si="86"/>
        <v>10.447800000000001</v>
      </c>
      <c r="F519" s="20">
        <f t="shared" si="87"/>
        <v>19.766400000000001</v>
      </c>
      <c r="G519" s="20">
        <f t="shared" si="88"/>
        <v>15.0952</v>
      </c>
      <c r="H519" s="1239">
        <f t="shared" si="89"/>
        <v>15.0952</v>
      </c>
      <c r="I519" s="1243">
        <f t="shared" si="83"/>
        <v>0.55087047538290301</v>
      </c>
      <c r="J519" s="1243">
        <f t="shared" si="90"/>
        <v>0.12093838824177333</v>
      </c>
      <c r="K519" s="1243">
        <f t="shared" ref="K519:K582" si="91">K518</f>
        <v>0.1</v>
      </c>
      <c r="L519" s="203"/>
      <c r="N519" s="1425">
        <v>44480</v>
      </c>
      <c r="O519" s="1502">
        <v>23.410699999999999</v>
      </c>
      <c r="P519" s="1502">
        <v>7.0285000000000002</v>
      </c>
      <c r="Q519" s="1502">
        <v>25.020399999999999</v>
      </c>
      <c r="R519" s="1233">
        <f>'B. PE'!$U$23</f>
        <v>15.978235616082999</v>
      </c>
      <c r="S519" s="1233"/>
      <c r="T519" s="1233"/>
      <c r="V519" s="1425">
        <v>44480</v>
      </c>
      <c r="W519" s="1">
        <v>13.5365</v>
      </c>
      <c r="X519" s="1">
        <v>1.4961</v>
      </c>
      <c r="Y519" s="1">
        <v>10.691700000000001</v>
      </c>
      <c r="Z519" s="1">
        <v>1.08728</v>
      </c>
      <c r="AB519" s="1425">
        <v>44461</v>
      </c>
      <c r="AC519" s="1">
        <v>9.3190000000000008</v>
      </c>
      <c r="AD519" s="1502">
        <v>1.7163999999999999</v>
      </c>
      <c r="AE519" s="1">
        <v>5.4421999999999997</v>
      </c>
      <c r="AF519" s="1">
        <v>4.2000000000000003E-2</v>
      </c>
      <c r="AH519" s="1425">
        <v>44461</v>
      </c>
      <c r="AI519" s="1">
        <v>15.274900000000001</v>
      </c>
      <c r="AJ519" s="1">
        <v>2.7732999999999999</v>
      </c>
      <c r="AK519" s="1">
        <v>7.3693999999999997</v>
      </c>
      <c r="AL519" s="1">
        <v>3.9899999999999998E-2</v>
      </c>
      <c r="AN519" s="1425">
        <v>44462</v>
      </c>
      <c r="AO519" s="1">
        <v>10.117599999999999</v>
      </c>
      <c r="AP519" s="1">
        <v>1.3203</v>
      </c>
      <c r="AQ519" s="1">
        <v>7.3974000000000002</v>
      </c>
      <c r="AR519" s="1">
        <v>0.29630000000000001</v>
      </c>
      <c r="AT519" s="1425">
        <v>44462</v>
      </c>
      <c r="AU519" s="1">
        <v>7.2438000000000002</v>
      </c>
      <c r="AV519" s="1">
        <v>0.56889999999999996</v>
      </c>
      <c r="AW519" s="1">
        <v>5.1291000000000002</v>
      </c>
      <c r="AX519" s="1">
        <v>0.14576</v>
      </c>
      <c r="BA519" s="1425">
        <v>44455</v>
      </c>
      <c r="BB519" s="1">
        <v>17.111999999999998</v>
      </c>
      <c r="BC519" s="1">
        <v>4.2435999999999998</v>
      </c>
      <c r="BD519" s="1">
        <v>15.0443</v>
      </c>
      <c r="BE519" s="1">
        <v>1.05453</v>
      </c>
      <c r="BG519" s="1425">
        <v>44455</v>
      </c>
      <c r="BH519" s="1">
        <v>28.014399999999998</v>
      </c>
      <c r="BI519" s="1">
        <v>5.7805</v>
      </c>
      <c r="BJ519" s="1">
        <v>29.380700000000001</v>
      </c>
      <c r="BT519" s="1425">
        <v>44480</v>
      </c>
      <c r="BU519" s="1">
        <v>20.4725</v>
      </c>
      <c r="BV519" s="1">
        <v>4.9120999999999997</v>
      </c>
      <c r="BW519" s="1">
        <v>12.5517</v>
      </c>
      <c r="BX519" s="1">
        <v>2.8117999999999999</v>
      </c>
      <c r="BZ519" s="1425">
        <v>44480</v>
      </c>
      <c r="CA519" s="1">
        <v>32.689</v>
      </c>
      <c r="CB519" s="1">
        <v>2.8153000000000001</v>
      </c>
      <c r="CC519" s="1">
        <v>62.3566</v>
      </c>
      <c r="CD519" s="1">
        <v>1.2352700000000001</v>
      </c>
      <c r="CF519" s="1425">
        <v>44477</v>
      </c>
      <c r="CG519" s="1">
        <v>12.3093</v>
      </c>
      <c r="CH519" s="1">
        <v>2.6049000000000002</v>
      </c>
      <c r="CI519" s="1">
        <v>9.6327999999999996</v>
      </c>
      <c r="CL519" s="1425">
        <v>44491</v>
      </c>
      <c r="CM519" s="1">
        <v>26.6707</v>
      </c>
      <c r="CN519" s="1">
        <v>2.8721999999999999</v>
      </c>
      <c r="CO519" s="1">
        <v>12.081200000000001</v>
      </c>
    </row>
    <row r="520" spans="1:93">
      <c r="A520" s="1425">
        <v>44477</v>
      </c>
      <c r="B520" s="20">
        <f t="shared" si="82"/>
        <v>23.4511</v>
      </c>
      <c r="C520" s="20">
        <f t="shared" si="84"/>
        <v>13.583299999999999</v>
      </c>
      <c r="D520" s="20">
        <f t="shared" si="85"/>
        <v>16.251899999999999</v>
      </c>
      <c r="E520" s="20">
        <f t="shared" si="86"/>
        <v>10.6716</v>
      </c>
      <c r="F520" s="20">
        <f t="shared" si="87"/>
        <v>19.685400000000001</v>
      </c>
      <c r="G520" s="20">
        <f t="shared" si="88"/>
        <v>15.2096</v>
      </c>
      <c r="H520" s="1239">
        <f t="shared" si="89"/>
        <v>15.2096</v>
      </c>
      <c r="I520" s="1243">
        <f t="shared" si="83"/>
        <v>0.54186171891436996</v>
      </c>
      <c r="J520" s="1243">
        <f t="shared" si="90"/>
        <v>0.12093838824177333</v>
      </c>
      <c r="K520" s="1243">
        <f t="shared" si="91"/>
        <v>0.1</v>
      </c>
      <c r="L520" s="203"/>
      <c r="N520" s="1425">
        <v>44477</v>
      </c>
      <c r="O520" s="1502">
        <v>23.4511</v>
      </c>
      <c r="P520" s="1502">
        <v>7.0407000000000002</v>
      </c>
      <c r="Q520" s="1502">
        <v>25.061599999999999</v>
      </c>
      <c r="R520" s="1233">
        <f>'B. PE'!$U$23</f>
        <v>15.978235616082999</v>
      </c>
      <c r="S520" s="1233"/>
      <c r="T520" s="1233"/>
      <c r="V520" s="1425">
        <v>44477</v>
      </c>
      <c r="W520" s="1">
        <v>13.583299999999999</v>
      </c>
      <c r="X520" s="1">
        <v>1.5012000000000001</v>
      </c>
      <c r="Y520" s="1">
        <v>10.720800000000001</v>
      </c>
      <c r="Z520" s="1">
        <v>1.03545</v>
      </c>
      <c r="AB520" s="1425">
        <v>44460</v>
      </c>
      <c r="AC520" s="1">
        <v>9.3190000000000008</v>
      </c>
      <c r="AD520" s="1502">
        <v>1.7163999999999999</v>
      </c>
      <c r="AE520" s="1">
        <v>5.4421999999999997</v>
      </c>
      <c r="AF520" s="1">
        <v>4.1430000000000002E-2</v>
      </c>
      <c r="AH520" s="1425">
        <v>44460</v>
      </c>
      <c r="AI520" s="1">
        <v>15.3293</v>
      </c>
      <c r="AJ520" s="1">
        <v>2.7831999999999999</v>
      </c>
      <c r="AK520" s="1">
        <v>7.3985000000000003</v>
      </c>
      <c r="AL520" s="1">
        <v>4.0869999999999997E-2</v>
      </c>
      <c r="AN520" s="1425">
        <v>44461</v>
      </c>
      <c r="AO520" s="1">
        <v>9.9608000000000008</v>
      </c>
      <c r="AP520" s="1">
        <v>1.2998000000000001</v>
      </c>
      <c r="AQ520" s="1">
        <v>7.2743000000000002</v>
      </c>
      <c r="AR520" s="1">
        <v>0.30049999999999999</v>
      </c>
      <c r="AT520" s="1425">
        <v>44461</v>
      </c>
      <c r="AU520" s="1">
        <v>7.2438000000000002</v>
      </c>
      <c r="AV520" s="1">
        <v>0.56889999999999996</v>
      </c>
      <c r="AW520" s="1">
        <v>5.1257999999999999</v>
      </c>
      <c r="AX520" s="1">
        <v>0.14429</v>
      </c>
      <c r="BA520" s="1425">
        <v>44454</v>
      </c>
      <c r="BB520" s="1">
        <v>17.111999999999998</v>
      </c>
      <c r="BC520" s="1">
        <v>4.2435999999999998</v>
      </c>
      <c r="BD520" s="1">
        <v>15.0443</v>
      </c>
      <c r="BE520" s="1">
        <v>1.0576099999999999</v>
      </c>
      <c r="BG520" s="1425">
        <v>44454</v>
      </c>
      <c r="BH520" s="1">
        <v>28.357500000000002</v>
      </c>
      <c r="BI520" s="1">
        <v>5.8513000000000002</v>
      </c>
      <c r="BJ520" s="1">
        <v>29.704899999999999</v>
      </c>
      <c r="BT520" s="1425">
        <v>44477</v>
      </c>
      <c r="BU520" s="1">
        <v>20.361799999999999</v>
      </c>
      <c r="BV520" s="1">
        <v>4.8855000000000004</v>
      </c>
      <c r="BW520" s="1">
        <v>12.4893</v>
      </c>
      <c r="BX520" s="1">
        <v>2.8182999999999998</v>
      </c>
      <c r="BZ520" s="1425">
        <v>44477</v>
      </c>
      <c r="CA520" s="1">
        <v>33.172800000000002</v>
      </c>
      <c r="CB520" s="1">
        <v>2.8570000000000002</v>
      </c>
      <c r="CC520" s="1">
        <v>62.862200000000001</v>
      </c>
      <c r="CD520" s="1">
        <v>1.21102</v>
      </c>
      <c r="CF520" s="1425">
        <v>44476</v>
      </c>
      <c r="CG520" s="1">
        <v>12.4757</v>
      </c>
      <c r="CH520" s="1">
        <v>2.6400999999999999</v>
      </c>
      <c r="CI520" s="1">
        <v>9.7543000000000006</v>
      </c>
      <c r="CL520" s="1425">
        <v>44490</v>
      </c>
      <c r="CM520" s="1">
        <v>26.564</v>
      </c>
      <c r="CN520" s="1">
        <v>2.8607999999999998</v>
      </c>
      <c r="CO520" s="1">
        <v>12.033200000000001</v>
      </c>
    </row>
    <row r="521" spans="1:93">
      <c r="A521" s="1425">
        <v>44476</v>
      </c>
      <c r="B521" s="20">
        <f t="shared" si="82"/>
        <v>23.6737</v>
      </c>
      <c r="C521" s="20">
        <f t="shared" si="84"/>
        <v>13.7469</v>
      </c>
      <c r="D521" s="20">
        <f t="shared" si="85"/>
        <v>16.087700000000002</v>
      </c>
      <c r="E521" s="20">
        <f t="shared" si="86"/>
        <v>10.597</v>
      </c>
      <c r="F521" s="20">
        <f t="shared" si="87"/>
        <v>19.766400000000001</v>
      </c>
      <c r="G521" s="20">
        <f t="shared" si="88"/>
        <v>15.3239</v>
      </c>
      <c r="H521" s="1239">
        <f t="shared" si="89"/>
        <v>15.3239</v>
      </c>
      <c r="I521" s="1243">
        <f t="shared" si="83"/>
        <v>0.54488739811666753</v>
      </c>
      <c r="J521" s="1243">
        <f t="shared" si="90"/>
        <v>0.12093838824177333</v>
      </c>
      <c r="K521" s="1243">
        <f t="shared" si="91"/>
        <v>0.1</v>
      </c>
      <c r="L521" s="203"/>
      <c r="N521" s="1425">
        <v>44476</v>
      </c>
      <c r="O521" s="1502">
        <v>23.6737</v>
      </c>
      <c r="P521" s="1502">
        <v>7.1074999999999999</v>
      </c>
      <c r="Q521" s="1502">
        <v>25.288399999999999</v>
      </c>
      <c r="R521" s="1233">
        <f>'B. PE'!$U$23</f>
        <v>15.978235616082999</v>
      </c>
      <c r="S521" s="1233"/>
      <c r="T521" s="1233"/>
      <c r="V521" s="1425">
        <v>44476</v>
      </c>
      <c r="W521" s="1">
        <v>13.7469</v>
      </c>
      <c r="X521" s="1">
        <v>1.5193000000000001</v>
      </c>
      <c r="Y521" s="1">
        <v>10.8226</v>
      </c>
      <c r="Z521" s="1">
        <v>1.0263899999999999</v>
      </c>
      <c r="AB521" s="1425">
        <v>44459</v>
      </c>
      <c r="AC521" s="1">
        <v>9.0917999999999992</v>
      </c>
      <c r="AD521" s="1502">
        <v>1.6745000000000001</v>
      </c>
      <c r="AE521" s="1">
        <v>5.3413000000000004</v>
      </c>
      <c r="AF521" s="1">
        <v>4.0349999999999997E-2</v>
      </c>
      <c r="AH521" s="1425">
        <v>44459</v>
      </c>
      <c r="AI521" s="1">
        <v>15.4923</v>
      </c>
      <c r="AJ521" s="1">
        <v>2.8128000000000002</v>
      </c>
      <c r="AK521" s="1">
        <v>7.4855</v>
      </c>
      <c r="AL521" s="1">
        <v>3.8460000000000001E-2</v>
      </c>
      <c r="AN521" s="1425">
        <v>44460</v>
      </c>
      <c r="AO521" s="1">
        <v>9.7255000000000003</v>
      </c>
      <c r="AP521" s="1">
        <v>1.2690999999999999</v>
      </c>
      <c r="AQ521" s="1">
        <v>7.0896999999999997</v>
      </c>
      <c r="AR521" s="1">
        <v>0.30924000000000001</v>
      </c>
      <c r="AT521" s="1425">
        <v>44460</v>
      </c>
      <c r="AU521" s="1">
        <v>7.1848999999999998</v>
      </c>
      <c r="AV521" s="1">
        <v>0.56430000000000002</v>
      </c>
      <c r="AW521" s="1">
        <v>5.0926</v>
      </c>
      <c r="AX521" s="1">
        <v>0.14863000000000001</v>
      </c>
      <c r="BA521" s="1425">
        <v>44453</v>
      </c>
      <c r="BB521" s="1">
        <v>17.236000000000001</v>
      </c>
      <c r="BC521" s="1">
        <v>4.2744</v>
      </c>
      <c r="BD521" s="1">
        <v>15.1378</v>
      </c>
      <c r="BE521" s="1">
        <v>1.0548500000000001</v>
      </c>
      <c r="BG521" s="1425">
        <v>44453</v>
      </c>
      <c r="BH521" s="1">
        <v>30.015499999999999</v>
      </c>
      <c r="BI521" s="1">
        <v>6.1933999999999996</v>
      </c>
      <c r="BJ521" s="1">
        <v>31.271599999999999</v>
      </c>
      <c r="BT521" s="1425">
        <v>44476</v>
      </c>
      <c r="BU521" s="1">
        <v>20.235399999999998</v>
      </c>
      <c r="BV521" s="1">
        <v>4.8552</v>
      </c>
      <c r="BW521" s="1">
        <v>12.417999999999999</v>
      </c>
      <c r="BX521" s="1">
        <v>2.7858000000000001</v>
      </c>
      <c r="BZ521" s="1425">
        <v>44476</v>
      </c>
      <c r="CA521" s="1">
        <v>33.518300000000004</v>
      </c>
      <c r="CB521" s="1">
        <v>2.8868</v>
      </c>
      <c r="CC521" s="1">
        <v>63.223199999999999</v>
      </c>
      <c r="CD521" s="1">
        <v>1.1959500000000001</v>
      </c>
      <c r="CF521" s="1425">
        <v>44475</v>
      </c>
      <c r="CG521" s="1">
        <v>12.3093</v>
      </c>
      <c r="CH521" s="1">
        <v>2.6049000000000002</v>
      </c>
      <c r="CI521" s="1">
        <v>9.6327999999999996</v>
      </c>
      <c r="CL521" s="1425">
        <v>44489</v>
      </c>
      <c r="CM521" s="1">
        <v>26.6173</v>
      </c>
      <c r="CN521" s="1">
        <v>2.8664999999999998</v>
      </c>
      <c r="CO521" s="1">
        <v>12.0572</v>
      </c>
    </row>
    <row r="522" spans="1:93">
      <c r="A522" s="1425">
        <v>44475</v>
      </c>
      <c r="B522" s="20">
        <f t="shared" si="82"/>
        <v>23.855799999999999</v>
      </c>
      <c r="C522" s="20">
        <f t="shared" si="84"/>
        <v>13.0923</v>
      </c>
      <c r="D522" s="20">
        <f t="shared" si="85"/>
        <v>15.923500000000001</v>
      </c>
      <c r="E522" s="20">
        <f t="shared" si="86"/>
        <v>10.522399999999999</v>
      </c>
      <c r="F522" s="20">
        <f t="shared" si="87"/>
        <v>19.685400000000001</v>
      </c>
      <c r="G522" s="20">
        <f t="shared" si="88"/>
        <v>14.7521</v>
      </c>
      <c r="H522" s="1239">
        <f t="shared" si="89"/>
        <v>14.7521</v>
      </c>
      <c r="I522" s="1243">
        <f t="shared" si="83"/>
        <v>0.61711213996651315</v>
      </c>
      <c r="J522" s="1243">
        <f t="shared" si="90"/>
        <v>0.12093838824177333</v>
      </c>
      <c r="K522" s="1243">
        <f t="shared" si="91"/>
        <v>0.1</v>
      </c>
      <c r="L522" s="203"/>
      <c r="N522" s="1425">
        <v>44475</v>
      </c>
      <c r="O522" s="1502">
        <v>23.855799999999999</v>
      </c>
      <c r="P522" s="1502">
        <v>7.1622000000000003</v>
      </c>
      <c r="Q522" s="1502">
        <v>25.474</v>
      </c>
      <c r="R522" s="1233">
        <f>'B. PE'!$U$23</f>
        <v>15.978235616082999</v>
      </c>
      <c r="S522" s="1233"/>
      <c r="T522" s="1233"/>
      <c r="V522" s="1425">
        <v>44475</v>
      </c>
      <c r="W522" s="1">
        <v>13.0923</v>
      </c>
      <c r="X522" s="1">
        <v>1.4470000000000001</v>
      </c>
      <c r="Y522" s="1">
        <v>10.4154</v>
      </c>
      <c r="Z522" s="1">
        <v>1.012</v>
      </c>
      <c r="AB522" s="1425">
        <v>44456</v>
      </c>
      <c r="AC522" s="1">
        <v>8.9402000000000008</v>
      </c>
      <c r="AD522" s="1502">
        <v>1.6466000000000001</v>
      </c>
      <c r="AE522" s="1">
        <v>5.274</v>
      </c>
      <c r="AF522" s="1">
        <v>4.0370000000000003E-2</v>
      </c>
      <c r="AH522" s="1425">
        <v>44456</v>
      </c>
      <c r="AI522" s="1">
        <v>15.8185</v>
      </c>
      <c r="AJ522" s="1">
        <v>2.8719999999999999</v>
      </c>
      <c r="AK522" s="1">
        <v>7.6597</v>
      </c>
      <c r="AL522" s="1">
        <v>3.9460000000000002E-2</v>
      </c>
      <c r="AN522" s="1425">
        <v>44459</v>
      </c>
      <c r="AO522" s="1">
        <v>9.8824000000000005</v>
      </c>
      <c r="AP522" s="1">
        <v>1.2896000000000001</v>
      </c>
      <c r="AQ522" s="1">
        <v>7.2126999999999999</v>
      </c>
      <c r="AR522" s="1">
        <v>0.31264999999999998</v>
      </c>
      <c r="AT522" s="1425">
        <v>44459</v>
      </c>
      <c r="AU522" s="1">
        <v>7.1260000000000003</v>
      </c>
      <c r="AV522" s="1">
        <v>0.55959999999999999</v>
      </c>
      <c r="AW522" s="1">
        <v>5.0594999999999999</v>
      </c>
      <c r="AX522" s="1">
        <v>0.15392</v>
      </c>
      <c r="BA522" s="1425">
        <v>44452</v>
      </c>
      <c r="BB522" s="1">
        <v>17.236000000000001</v>
      </c>
      <c r="BC522" s="1">
        <v>4.2744</v>
      </c>
      <c r="BD522" s="1">
        <v>15.1378</v>
      </c>
      <c r="BE522" s="1">
        <v>1.0393699999999999</v>
      </c>
      <c r="BG522" s="1425">
        <v>44452</v>
      </c>
      <c r="BH522" s="1">
        <v>30.015499999999999</v>
      </c>
      <c r="BI522" s="1">
        <v>6.1933999999999996</v>
      </c>
      <c r="BJ522" s="1">
        <v>31.271599999999999</v>
      </c>
      <c r="BT522" s="1425">
        <v>44475</v>
      </c>
      <c r="BU522" s="1">
        <v>20.282800000000002</v>
      </c>
      <c r="BV522" s="1">
        <v>4.8666</v>
      </c>
      <c r="BW522" s="1">
        <v>12.444699999999999</v>
      </c>
      <c r="BX522" s="1">
        <v>2.7736999999999998</v>
      </c>
      <c r="BZ522" s="1425">
        <v>44475</v>
      </c>
      <c r="CA522" s="1">
        <v>32.861800000000002</v>
      </c>
      <c r="CB522" s="1">
        <v>2.8302</v>
      </c>
      <c r="CC522" s="1">
        <v>62.537199999999999</v>
      </c>
      <c r="CD522" s="1">
        <v>1.1977</v>
      </c>
      <c r="CF522" s="1425">
        <v>44474</v>
      </c>
      <c r="CG522" s="1">
        <v>11.2447</v>
      </c>
      <c r="CH522" s="1">
        <v>2.3795999999999999</v>
      </c>
      <c r="CI522" s="1">
        <v>8.8552999999999997</v>
      </c>
      <c r="CL522" s="1425">
        <v>44488</v>
      </c>
      <c r="CM522" s="1">
        <v>26.581800000000001</v>
      </c>
      <c r="CN522" s="1">
        <v>2.8626999999999998</v>
      </c>
      <c r="CO522" s="1">
        <v>12.0412</v>
      </c>
    </row>
    <row r="523" spans="1:93">
      <c r="A523" s="1425">
        <v>44474</v>
      </c>
      <c r="B523" s="20">
        <f t="shared" si="82"/>
        <v>23.572500000000002</v>
      </c>
      <c r="C523" s="20">
        <f t="shared" si="84"/>
        <v>12.9754</v>
      </c>
      <c r="D523" s="20">
        <f t="shared" si="85"/>
        <v>15.923500000000001</v>
      </c>
      <c r="E523" s="20">
        <f t="shared" si="86"/>
        <v>10.597</v>
      </c>
      <c r="F523" s="20">
        <f t="shared" si="87"/>
        <v>19.523399999999999</v>
      </c>
      <c r="G523" s="20">
        <f t="shared" si="88"/>
        <v>14.9809</v>
      </c>
      <c r="H523" s="1239">
        <f t="shared" si="89"/>
        <v>14.9809</v>
      </c>
      <c r="I523" s="1243">
        <f t="shared" si="83"/>
        <v>0.57350359457709499</v>
      </c>
      <c r="J523" s="1243">
        <f t="shared" si="90"/>
        <v>0.12093838824177333</v>
      </c>
      <c r="K523" s="1243">
        <f t="shared" si="91"/>
        <v>0.1</v>
      </c>
      <c r="L523" s="203"/>
      <c r="N523" s="1425">
        <v>44474</v>
      </c>
      <c r="O523" s="1502">
        <v>23.572500000000002</v>
      </c>
      <c r="P523" s="1502">
        <v>7.0770999999999997</v>
      </c>
      <c r="Q523" s="1502">
        <v>25.185300000000002</v>
      </c>
      <c r="R523" s="1233">
        <f>'B. PE'!$U$23</f>
        <v>15.978235616082999</v>
      </c>
      <c r="S523" s="1233"/>
      <c r="T523" s="1233"/>
      <c r="V523" s="1425">
        <v>44474</v>
      </c>
      <c r="W523" s="1">
        <v>12.9754</v>
      </c>
      <c r="X523" s="1">
        <v>1.4339999999999999</v>
      </c>
      <c r="Y523" s="1">
        <v>10.342599999999999</v>
      </c>
      <c r="Z523" s="1">
        <v>0.99507999999999996</v>
      </c>
      <c r="AB523" s="1425">
        <v>44455</v>
      </c>
      <c r="AC523" s="1">
        <v>8.7128999999999994</v>
      </c>
      <c r="AD523" s="1502">
        <v>1.6048</v>
      </c>
      <c r="AE523" s="1">
        <v>5.173</v>
      </c>
      <c r="AF523" s="1">
        <v>4.002E-2</v>
      </c>
      <c r="AH523" s="1425">
        <v>44455</v>
      </c>
      <c r="AI523" s="1">
        <v>14.894399999999999</v>
      </c>
      <c r="AJ523" s="1">
        <v>2.7042000000000002</v>
      </c>
      <c r="AK523" s="1">
        <v>7.1662999999999997</v>
      </c>
      <c r="AL523" s="1">
        <v>3.8760000000000003E-2</v>
      </c>
      <c r="AN523" s="1425">
        <v>44456</v>
      </c>
      <c r="AO523" s="1">
        <v>10.117599999999999</v>
      </c>
      <c r="AP523" s="1">
        <v>1.3203</v>
      </c>
      <c r="AQ523" s="1">
        <v>7.3974000000000002</v>
      </c>
      <c r="AR523" s="1">
        <v>0.31226999999999999</v>
      </c>
      <c r="AT523" s="1425">
        <v>44456</v>
      </c>
      <c r="AU523" s="1">
        <v>7.3026999999999997</v>
      </c>
      <c r="AV523" s="1">
        <v>0.57350000000000001</v>
      </c>
      <c r="AW523" s="1">
        <v>5.1589</v>
      </c>
      <c r="AX523" s="1">
        <v>0.14773</v>
      </c>
      <c r="BA523" s="1425">
        <v>44449</v>
      </c>
      <c r="BB523" s="1">
        <v>17.111999999999998</v>
      </c>
      <c r="BC523" s="1">
        <v>4.2435999999999998</v>
      </c>
      <c r="BD523" s="1">
        <v>15.0443</v>
      </c>
      <c r="BE523" s="1">
        <v>1.0306</v>
      </c>
      <c r="BG523" s="1425">
        <v>44449</v>
      </c>
      <c r="BH523" s="1">
        <v>30.587199999999999</v>
      </c>
      <c r="BI523" s="1">
        <v>6.3113999999999999</v>
      </c>
      <c r="BJ523" s="1">
        <v>31.811800000000002</v>
      </c>
      <c r="BT523" s="1425">
        <v>44474</v>
      </c>
      <c r="BU523" s="1">
        <v>20.0457</v>
      </c>
      <c r="BV523" s="1">
        <v>4.8097000000000003</v>
      </c>
      <c r="BW523" s="1">
        <v>12.311</v>
      </c>
      <c r="BX523" s="1">
        <v>2.7730000000000001</v>
      </c>
      <c r="BZ523" s="1425">
        <v>44474</v>
      </c>
      <c r="CA523" s="1">
        <v>32.447099999999999</v>
      </c>
      <c r="CB523" s="1">
        <v>2.7945000000000002</v>
      </c>
      <c r="CC523" s="1">
        <v>62.103900000000003</v>
      </c>
      <c r="CD523" s="1">
        <v>1.21139</v>
      </c>
      <c r="CF523" s="1425">
        <v>44473</v>
      </c>
      <c r="CG523" s="1">
        <v>11.577400000000001</v>
      </c>
      <c r="CH523" s="1">
        <v>2.4500000000000002</v>
      </c>
      <c r="CI523" s="1">
        <v>9.0983000000000001</v>
      </c>
      <c r="CL523" s="1425">
        <v>44487</v>
      </c>
      <c r="CM523" s="1">
        <v>26.848500000000001</v>
      </c>
      <c r="CN523" s="1">
        <v>2.8914</v>
      </c>
      <c r="CO523" s="1">
        <v>12.161099999999999</v>
      </c>
    </row>
    <row r="524" spans="1:93">
      <c r="A524" s="1425">
        <v>44473</v>
      </c>
      <c r="B524" s="20">
        <f t="shared" si="82"/>
        <v>23.6737</v>
      </c>
      <c r="C524" s="20">
        <f t="shared" si="84"/>
        <v>12.788399999999999</v>
      </c>
      <c r="D524" s="20">
        <f t="shared" si="85"/>
        <v>16.087700000000002</v>
      </c>
      <c r="E524" s="20">
        <f t="shared" si="86"/>
        <v>10.0746</v>
      </c>
      <c r="F524" s="20">
        <f t="shared" si="87"/>
        <v>19.604399999999998</v>
      </c>
      <c r="G524" s="20">
        <f t="shared" si="88"/>
        <v>14.8665</v>
      </c>
      <c r="H524" s="1239">
        <f t="shared" si="89"/>
        <v>14.8665</v>
      </c>
      <c r="I524" s="1243">
        <f t="shared" si="83"/>
        <v>0.59241919752463601</v>
      </c>
      <c r="J524" s="1243">
        <f t="shared" si="90"/>
        <v>0.12093838824177333</v>
      </c>
      <c r="K524" s="1243">
        <f t="shared" si="91"/>
        <v>0.1</v>
      </c>
      <c r="L524" s="203"/>
      <c r="N524" s="1425">
        <v>44473</v>
      </c>
      <c r="O524" s="1502">
        <v>23.6737</v>
      </c>
      <c r="P524" s="1502">
        <v>7.1074999999999999</v>
      </c>
      <c r="Q524" s="1502">
        <v>25.288399999999999</v>
      </c>
      <c r="R524" s="1233">
        <f>'B. PE'!$U$23</f>
        <v>15.978235616082999</v>
      </c>
      <c r="S524" s="1233"/>
      <c r="T524" s="1233"/>
      <c r="V524" s="1425">
        <v>44473</v>
      </c>
      <c r="W524" s="1">
        <v>12.788399999999999</v>
      </c>
      <c r="X524" s="1">
        <v>1.4134</v>
      </c>
      <c r="Y524" s="1">
        <v>10.2263</v>
      </c>
      <c r="Z524" s="1">
        <v>0.99112</v>
      </c>
      <c r="AB524" s="1425">
        <v>44454</v>
      </c>
      <c r="AC524" s="1">
        <v>8.7128999999999994</v>
      </c>
      <c r="AD524" s="1502">
        <v>1.6048</v>
      </c>
      <c r="AE524" s="1">
        <v>5.173</v>
      </c>
      <c r="AF524" s="1">
        <v>4.1070000000000002E-2</v>
      </c>
      <c r="AH524" s="1425">
        <v>44454</v>
      </c>
      <c r="AI524" s="1">
        <v>15.274900000000001</v>
      </c>
      <c r="AJ524" s="1">
        <v>2.7732999999999999</v>
      </c>
      <c r="AK524" s="1">
        <v>7.3693999999999997</v>
      </c>
      <c r="AL524" s="1">
        <v>3.805E-2</v>
      </c>
      <c r="AN524" s="1425">
        <v>44454</v>
      </c>
      <c r="AO524" s="1">
        <v>10.196099999999999</v>
      </c>
      <c r="AP524" s="1">
        <v>1.3305</v>
      </c>
      <c r="AQ524" s="1">
        <v>7.4588999999999999</v>
      </c>
      <c r="AR524" s="1">
        <v>0.31559999999999999</v>
      </c>
      <c r="AT524" s="1425">
        <v>44454</v>
      </c>
      <c r="AU524" s="1">
        <v>7.5382999999999996</v>
      </c>
      <c r="AV524" s="1">
        <v>0.59199999999999997</v>
      </c>
      <c r="AW524" s="1">
        <v>5.2915000000000001</v>
      </c>
      <c r="AX524" s="1">
        <v>0.14815999999999999</v>
      </c>
      <c r="BA524" s="1425">
        <v>44448</v>
      </c>
      <c r="BB524" s="1">
        <v>16.864000000000001</v>
      </c>
      <c r="BC524" s="1">
        <v>4.1821000000000002</v>
      </c>
      <c r="BD524" s="1">
        <v>14.8573</v>
      </c>
      <c r="BE524" s="1">
        <v>1.02519</v>
      </c>
      <c r="BG524" s="1425">
        <v>44448</v>
      </c>
      <c r="BH524" s="1">
        <v>29.157900000000001</v>
      </c>
      <c r="BI524" s="1">
        <v>6.0164999999999997</v>
      </c>
      <c r="BJ524" s="1">
        <v>30.461200000000002</v>
      </c>
      <c r="BT524" s="1425">
        <v>44473</v>
      </c>
      <c r="BU524" s="1">
        <v>19.950800000000001</v>
      </c>
      <c r="BV524" s="1">
        <v>4.7869000000000002</v>
      </c>
      <c r="BW524" s="1">
        <v>12.2575</v>
      </c>
      <c r="BX524" s="1">
        <v>2.8073999999999999</v>
      </c>
      <c r="BZ524" s="1425">
        <v>44473</v>
      </c>
      <c r="CA524" s="1">
        <v>32.481699999999996</v>
      </c>
      <c r="CB524" s="1">
        <v>2.7974999999999999</v>
      </c>
      <c r="CC524" s="1">
        <v>62.14</v>
      </c>
      <c r="CD524" s="1">
        <v>1.2110700000000001</v>
      </c>
      <c r="CF524" s="1425">
        <v>44470</v>
      </c>
      <c r="CG524" s="1">
        <v>11.111700000000001</v>
      </c>
      <c r="CH524" s="1">
        <v>2.3513999999999999</v>
      </c>
      <c r="CI524" s="1">
        <v>8.7581000000000007</v>
      </c>
      <c r="CL524" s="1425">
        <v>44484</v>
      </c>
      <c r="CM524" s="1">
        <v>26.492899999999999</v>
      </c>
      <c r="CN524" s="1">
        <v>2.8531</v>
      </c>
      <c r="CO524" s="1">
        <v>12.001200000000001</v>
      </c>
    </row>
    <row r="525" spans="1:93">
      <c r="A525" s="1425">
        <v>44470</v>
      </c>
      <c r="B525" s="20">
        <f t="shared" si="82"/>
        <v>24.2605</v>
      </c>
      <c r="C525" s="20">
        <f t="shared" si="84"/>
        <v>12.577999999999999</v>
      </c>
      <c r="D525" s="20">
        <f t="shared" si="85"/>
        <v>16.416</v>
      </c>
      <c r="E525" s="20">
        <f t="shared" si="86"/>
        <v>10.0746</v>
      </c>
      <c r="F525" s="20">
        <f t="shared" si="87"/>
        <v>19.037299999999998</v>
      </c>
      <c r="G525" s="20">
        <f t="shared" si="88"/>
        <v>14.523400000000001</v>
      </c>
      <c r="H525" s="1239">
        <f t="shared" si="89"/>
        <v>14.523400000000001</v>
      </c>
      <c r="I525" s="1243">
        <f t="shared" si="83"/>
        <v>0.67044218295991298</v>
      </c>
      <c r="J525" s="1243">
        <f t="shared" si="90"/>
        <v>0.12093838824177333</v>
      </c>
      <c r="K525" s="1243">
        <f t="shared" si="91"/>
        <v>0.1</v>
      </c>
      <c r="L525" s="203"/>
      <c r="N525" s="1425">
        <v>44470</v>
      </c>
      <c r="O525" s="1502">
        <v>24.2605</v>
      </c>
      <c r="P525" s="1502">
        <v>7.2836999999999996</v>
      </c>
      <c r="Q525" s="1502">
        <v>25.886299999999999</v>
      </c>
      <c r="R525" s="1233">
        <f>'B. PE'!$U$23</f>
        <v>15.978235616082999</v>
      </c>
      <c r="S525" s="1233"/>
      <c r="T525" s="1233"/>
      <c r="V525" s="1425">
        <v>44470</v>
      </c>
      <c r="W525" s="1">
        <v>12.577999999999999</v>
      </c>
      <c r="X525" s="1">
        <v>1.3900999999999999</v>
      </c>
      <c r="Y525" s="1">
        <v>10.0954</v>
      </c>
      <c r="Z525" s="1">
        <v>0.97667000000000004</v>
      </c>
      <c r="AB525" s="1425">
        <v>44453</v>
      </c>
      <c r="AC525" s="1">
        <v>8.6372</v>
      </c>
      <c r="AD525" s="1502">
        <v>1.5908</v>
      </c>
      <c r="AE525" s="1">
        <v>5.1394000000000002</v>
      </c>
      <c r="AF525" s="1">
        <v>4.1090000000000002E-2</v>
      </c>
      <c r="AH525" s="1425">
        <v>44453</v>
      </c>
      <c r="AI525" s="1">
        <v>15.0031</v>
      </c>
      <c r="AJ525" s="1">
        <v>2.7240000000000002</v>
      </c>
      <c r="AK525" s="1">
        <v>7.2243000000000004</v>
      </c>
      <c r="AL525" s="1">
        <v>3.9329999999999997E-2</v>
      </c>
      <c r="AN525" s="1425">
        <v>44453</v>
      </c>
      <c r="AO525" s="1">
        <v>10.196099999999999</v>
      </c>
      <c r="AP525" s="1">
        <v>1.3305</v>
      </c>
      <c r="AQ525" s="1">
        <v>7.4588999999999999</v>
      </c>
      <c r="AR525" s="1">
        <v>0.31669000000000003</v>
      </c>
      <c r="AT525" s="1425">
        <v>44453</v>
      </c>
      <c r="AU525" s="1">
        <v>7.2438000000000002</v>
      </c>
      <c r="AV525" s="1">
        <v>0.56889999999999996</v>
      </c>
      <c r="AW525" s="1">
        <v>5.1254</v>
      </c>
      <c r="AX525" s="1">
        <v>0.15472</v>
      </c>
      <c r="BA525" s="1425">
        <v>44447</v>
      </c>
      <c r="BB525" s="1">
        <v>16.739999999999998</v>
      </c>
      <c r="BC525" s="1">
        <v>4.1513999999999998</v>
      </c>
      <c r="BD525" s="1">
        <v>14.7638</v>
      </c>
      <c r="BE525" s="1">
        <v>1.0389699999999999</v>
      </c>
      <c r="BG525" s="1425">
        <v>44447</v>
      </c>
      <c r="BH525" s="1">
        <v>28.471800000000002</v>
      </c>
      <c r="BI525" s="1">
        <v>5.8749000000000002</v>
      </c>
      <c r="BJ525" s="1">
        <v>29.812899999999999</v>
      </c>
      <c r="BT525" s="1425">
        <v>44470</v>
      </c>
      <c r="BU525" s="1">
        <v>19.950800000000001</v>
      </c>
      <c r="BV525" s="1">
        <v>4.7869000000000002</v>
      </c>
      <c r="BW525" s="1">
        <v>12.2575</v>
      </c>
      <c r="BX525" s="1">
        <v>2.8083999999999998</v>
      </c>
      <c r="BZ525" s="1425">
        <v>44470</v>
      </c>
      <c r="CA525" s="1">
        <v>32.861800000000002</v>
      </c>
      <c r="CB525" s="1">
        <v>2.8302</v>
      </c>
      <c r="CC525" s="1">
        <v>62.537199999999999</v>
      </c>
      <c r="CD525" s="1">
        <v>1.15672</v>
      </c>
      <c r="CF525" s="1425">
        <v>44469</v>
      </c>
      <c r="CG525" s="1">
        <v>10.1136</v>
      </c>
      <c r="CH525" s="1">
        <v>2.1402000000000001</v>
      </c>
      <c r="CI525" s="1">
        <v>8.0292999999999992</v>
      </c>
      <c r="CL525" s="1425">
        <v>44483</v>
      </c>
      <c r="CM525" s="1">
        <v>26.5106</v>
      </c>
      <c r="CN525" s="1">
        <v>2.855</v>
      </c>
      <c r="CO525" s="1">
        <v>12.0092</v>
      </c>
    </row>
    <row r="526" spans="1:93">
      <c r="A526" s="1425">
        <v>44469</v>
      </c>
      <c r="B526" s="20">
        <f t="shared" si="82"/>
        <v>24.017700000000001</v>
      </c>
      <c r="C526" s="20">
        <f t="shared" si="84"/>
        <v>12.5312</v>
      </c>
      <c r="D526" s="20">
        <f t="shared" si="85"/>
        <v>15.8688</v>
      </c>
      <c r="E526" s="20">
        <f t="shared" si="86"/>
        <v>10.2239</v>
      </c>
      <c r="F526" s="20">
        <f t="shared" si="87"/>
        <v>18.7943</v>
      </c>
      <c r="G526" s="20">
        <f t="shared" si="88"/>
        <v>14.7521</v>
      </c>
      <c r="H526" s="1239">
        <f t="shared" si="89"/>
        <v>14.7521</v>
      </c>
      <c r="I526" s="1243">
        <f t="shared" si="83"/>
        <v>0.62808684865205633</v>
      </c>
      <c r="J526" s="1243">
        <f t="shared" si="90"/>
        <v>0.12093838824177333</v>
      </c>
      <c r="K526" s="1243">
        <f t="shared" si="91"/>
        <v>0.1</v>
      </c>
      <c r="L526" s="203"/>
      <c r="N526" s="1425">
        <v>44469</v>
      </c>
      <c r="O526" s="1502">
        <v>24.017700000000001</v>
      </c>
      <c r="P526" s="1502">
        <v>7.2107999999999999</v>
      </c>
      <c r="Q526" s="1502">
        <v>25.6389</v>
      </c>
      <c r="R526" s="1233">
        <f>'B. PE'!$U$23</f>
        <v>15.978235616082999</v>
      </c>
      <c r="S526" s="1233"/>
      <c r="T526" s="1233"/>
      <c r="V526" s="1425">
        <v>44469</v>
      </c>
      <c r="W526" s="1">
        <v>12.5312</v>
      </c>
      <c r="X526" s="1">
        <v>1.385</v>
      </c>
      <c r="Y526" s="1">
        <v>10.0663</v>
      </c>
      <c r="Z526" s="1">
        <v>0.96862999999999999</v>
      </c>
      <c r="AB526" s="1425">
        <v>44452</v>
      </c>
      <c r="AC526" s="1">
        <v>8.8644999999999996</v>
      </c>
      <c r="AD526" s="1502">
        <v>1.6327</v>
      </c>
      <c r="AE526" s="1">
        <v>5.2403000000000004</v>
      </c>
      <c r="AF526" s="1">
        <v>4.0340000000000001E-2</v>
      </c>
      <c r="AH526" s="1425">
        <v>44452</v>
      </c>
      <c r="AI526" s="1">
        <v>14.731299999999999</v>
      </c>
      <c r="AJ526" s="1">
        <v>2.6745999999999999</v>
      </c>
      <c r="AK526" s="1">
        <v>7.0792000000000002</v>
      </c>
      <c r="AL526" s="1">
        <v>3.9710000000000002E-2</v>
      </c>
      <c r="AN526" s="1425">
        <v>44452</v>
      </c>
      <c r="AO526" s="1">
        <v>10.2745</v>
      </c>
      <c r="AP526" s="1">
        <v>1.3408</v>
      </c>
      <c r="AQ526" s="1">
        <v>7.5205000000000002</v>
      </c>
      <c r="AR526" s="1">
        <v>0.31336999999999998</v>
      </c>
      <c r="AT526" s="1425">
        <v>44452</v>
      </c>
      <c r="AU526" s="1">
        <v>7.2438000000000002</v>
      </c>
      <c r="AV526" s="1">
        <v>0.56889999999999996</v>
      </c>
      <c r="AW526" s="1">
        <v>5.1254</v>
      </c>
      <c r="AX526" s="1">
        <v>0.15789</v>
      </c>
      <c r="BA526" s="1425">
        <v>44446</v>
      </c>
      <c r="BB526" s="1">
        <v>16.616</v>
      </c>
      <c r="BC526" s="1">
        <v>4.1205999999999996</v>
      </c>
      <c r="BD526" s="1">
        <v>14.670299999999999</v>
      </c>
      <c r="BE526" s="1">
        <v>1.03159</v>
      </c>
      <c r="BG526" s="1425">
        <v>44446</v>
      </c>
      <c r="BH526" s="1">
        <v>27.442699999999999</v>
      </c>
      <c r="BI526" s="1">
        <v>5.6626000000000003</v>
      </c>
      <c r="BJ526" s="1">
        <v>28.840499999999999</v>
      </c>
      <c r="BT526" s="1425">
        <v>44469</v>
      </c>
      <c r="BU526" s="1">
        <v>20.203700000000001</v>
      </c>
      <c r="BV526" s="1">
        <v>4.8475999999999999</v>
      </c>
      <c r="BW526" s="1">
        <v>12.4002</v>
      </c>
      <c r="BX526" s="1">
        <v>2.7824</v>
      </c>
      <c r="BZ526" s="1425">
        <v>44469</v>
      </c>
      <c r="CA526" s="1">
        <v>32.861800000000002</v>
      </c>
      <c r="CB526" s="1">
        <v>2.8302</v>
      </c>
      <c r="CC526" s="1">
        <v>62.537199999999999</v>
      </c>
      <c r="CD526" s="1">
        <v>1.14577</v>
      </c>
      <c r="CF526" s="1425">
        <v>44468</v>
      </c>
      <c r="CG526" s="1">
        <v>11.380800000000001</v>
      </c>
      <c r="CH526" s="1">
        <v>2.1774</v>
      </c>
      <c r="CI526" s="1">
        <v>9.2165999999999997</v>
      </c>
      <c r="CL526" s="1425">
        <v>44482</v>
      </c>
      <c r="CM526" s="1">
        <v>26.315100000000001</v>
      </c>
      <c r="CN526" s="1">
        <v>2.8338999999999999</v>
      </c>
      <c r="CO526" s="1">
        <v>11.9213</v>
      </c>
    </row>
    <row r="527" spans="1:93">
      <c r="A527" s="1425">
        <v>44468</v>
      </c>
      <c r="B527" s="20">
        <f t="shared" si="82"/>
        <v>24.5961</v>
      </c>
      <c r="C527" s="20">
        <f t="shared" si="84"/>
        <v>12.7866</v>
      </c>
      <c r="D527" s="20">
        <f t="shared" si="85"/>
        <v>15.8185</v>
      </c>
      <c r="E527" s="20">
        <f t="shared" si="86"/>
        <v>10.823499999999999</v>
      </c>
      <c r="F527" s="20">
        <f t="shared" si="87"/>
        <v>26.985299999999999</v>
      </c>
      <c r="G527" s="20">
        <f t="shared" si="88"/>
        <v>15.872</v>
      </c>
      <c r="H527" s="1239">
        <f t="shared" si="89"/>
        <v>15.8185</v>
      </c>
      <c r="I527" s="1243">
        <f t="shared" si="83"/>
        <v>0.55489458545374082</v>
      </c>
      <c r="J527" s="1243">
        <f t="shared" si="90"/>
        <v>0.12093838824177333</v>
      </c>
      <c r="K527" s="1243">
        <f t="shared" si="91"/>
        <v>0.1</v>
      </c>
      <c r="L527" s="203"/>
      <c r="N527" s="1425">
        <v>44468</v>
      </c>
      <c r="O527" s="1502">
        <v>24.5961</v>
      </c>
      <c r="P527" s="1502">
        <v>7.1879</v>
      </c>
      <c r="Q527" s="1502">
        <v>22.733699999999999</v>
      </c>
      <c r="R527" s="1233">
        <f>'B. PE'!$U$23</f>
        <v>15.978235616082999</v>
      </c>
      <c r="S527" s="1233"/>
      <c r="T527" s="1233"/>
      <c r="V527" s="1425">
        <v>44468</v>
      </c>
      <c r="W527" s="1">
        <v>12.7866</v>
      </c>
      <c r="X527" s="1">
        <v>1.4207000000000001</v>
      </c>
      <c r="Y527" s="1">
        <v>10.436500000000001</v>
      </c>
      <c r="Z527" s="1">
        <v>0.91144999999999998</v>
      </c>
      <c r="AB527" s="1425">
        <v>44449</v>
      </c>
      <c r="AC527" s="1">
        <v>8.8644999999999996</v>
      </c>
      <c r="AD527" s="1502">
        <v>1.6327</v>
      </c>
      <c r="AE527" s="1">
        <v>5.2403000000000004</v>
      </c>
      <c r="AF527" s="1">
        <v>4.0620000000000003E-2</v>
      </c>
      <c r="AH527" s="1425">
        <v>44449</v>
      </c>
      <c r="AI527" s="1">
        <v>15.220499999999999</v>
      </c>
      <c r="AJ527" s="1">
        <v>2.7633999999999999</v>
      </c>
      <c r="AK527" s="1">
        <v>7.3403999999999998</v>
      </c>
      <c r="AL527" s="1">
        <v>3.7539999999999997E-2</v>
      </c>
      <c r="AN527" s="1425">
        <v>44449</v>
      </c>
      <c r="AO527" s="1">
        <v>10.2745</v>
      </c>
      <c r="AP527" s="1">
        <v>1.3408</v>
      </c>
      <c r="AQ527" s="1">
        <v>7.5205000000000002</v>
      </c>
      <c r="AR527" s="1">
        <v>0.31791999999999998</v>
      </c>
      <c r="AT527" s="1425">
        <v>44449</v>
      </c>
      <c r="AU527" s="1">
        <v>7.5382999999999996</v>
      </c>
      <c r="AV527" s="1">
        <v>0.59199999999999997</v>
      </c>
      <c r="AW527" s="1">
        <v>5.2911000000000001</v>
      </c>
      <c r="AX527" s="1">
        <v>0.16016</v>
      </c>
      <c r="BA527" s="1425">
        <v>44445</v>
      </c>
      <c r="BB527" s="1">
        <v>16.739999999999998</v>
      </c>
      <c r="BC527" s="1">
        <v>4.1513999999999998</v>
      </c>
      <c r="BD527" s="1">
        <v>14.7638</v>
      </c>
      <c r="BE527" s="1">
        <v>1.0399</v>
      </c>
      <c r="BG527" s="1425">
        <v>44445</v>
      </c>
      <c r="BH527" s="1">
        <v>27.785699999999999</v>
      </c>
      <c r="BI527" s="1">
        <v>5.7333999999999996</v>
      </c>
      <c r="BJ527" s="1">
        <v>29.1646</v>
      </c>
      <c r="BT527" s="1425">
        <v>44468</v>
      </c>
      <c r="BU527" s="1">
        <v>19.883099999999999</v>
      </c>
      <c r="BV527" s="1">
        <v>4.9931999999999999</v>
      </c>
      <c r="BW527" s="1">
        <v>11.523899999999999</v>
      </c>
      <c r="BX527" s="1">
        <v>2.7673999999999999</v>
      </c>
      <c r="BZ527" s="1425">
        <v>44468</v>
      </c>
      <c r="CA527" s="1">
        <v>53.857300000000002</v>
      </c>
      <c r="CB527" s="1">
        <v>2.8129</v>
      </c>
      <c r="CC527" s="1">
        <v>106.0247</v>
      </c>
      <c r="CD527" s="1">
        <v>1.12046</v>
      </c>
      <c r="CF527" s="1425">
        <v>44467</v>
      </c>
      <c r="CG527" s="1">
        <v>11.582599999999999</v>
      </c>
      <c r="CH527" s="1">
        <v>2.2161</v>
      </c>
      <c r="CI527" s="1">
        <v>9.3590999999999998</v>
      </c>
      <c r="CL527" s="1425">
        <v>44481</v>
      </c>
      <c r="CM527" s="1">
        <v>24.643699999999999</v>
      </c>
      <c r="CN527" s="1">
        <v>2.6539999999999999</v>
      </c>
      <c r="CO527" s="1">
        <v>11.1698</v>
      </c>
    </row>
    <row r="528" spans="1:93">
      <c r="A528" s="1425">
        <v>44467</v>
      </c>
      <c r="B528" s="20">
        <f t="shared" si="82"/>
        <v>25.204499999999999</v>
      </c>
      <c r="C528" s="20">
        <f t="shared" si="84"/>
        <v>12.6897</v>
      </c>
      <c r="D528" s="20">
        <f t="shared" si="85"/>
        <v>15.7098</v>
      </c>
      <c r="E528" s="20">
        <f t="shared" si="86"/>
        <v>10.666700000000001</v>
      </c>
      <c r="F528" s="20">
        <f t="shared" si="87"/>
        <v>26.756599999999999</v>
      </c>
      <c r="G528" s="20">
        <f t="shared" si="88"/>
        <v>15.747999999999999</v>
      </c>
      <c r="H528" s="1239">
        <f t="shared" si="89"/>
        <v>15.7098</v>
      </c>
      <c r="I528" s="1243">
        <f t="shared" si="83"/>
        <v>0.60438070503761976</v>
      </c>
      <c r="J528" s="1243">
        <f t="shared" si="90"/>
        <v>0.12093838824177333</v>
      </c>
      <c r="K528" s="1243">
        <f t="shared" si="91"/>
        <v>0.1</v>
      </c>
      <c r="L528" s="203"/>
      <c r="N528" s="1425">
        <v>44467</v>
      </c>
      <c r="O528" s="1502">
        <v>25.204499999999999</v>
      </c>
      <c r="P528" s="1502">
        <v>7.3657000000000004</v>
      </c>
      <c r="Q528" s="1502">
        <v>23.3201</v>
      </c>
      <c r="R528" s="1233">
        <f>'B. PE'!$U$23</f>
        <v>15.978235616082999</v>
      </c>
      <c r="S528" s="1233"/>
      <c r="T528" s="1233"/>
      <c r="V528" s="1425">
        <v>44467</v>
      </c>
      <c r="W528" s="1">
        <v>12.6897</v>
      </c>
      <c r="X528" s="1">
        <v>1.4098999999999999</v>
      </c>
      <c r="Y528" s="1">
        <v>10.3797</v>
      </c>
      <c r="Z528" s="1">
        <v>0.97972999999999999</v>
      </c>
      <c r="AB528" s="1425">
        <v>44448</v>
      </c>
      <c r="AC528" s="1">
        <v>8.7128999999999994</v>
      </c>
      <c r="AD528" s="1502">
        <v>1.6048</v>
      </c>
      <c r="AE528" s="1">
        <v>5.173</v>
      </c>
      <c r="AF528" s="1">
        <v>4.1730000000000003E-2</v>
      </c>
      <c r="AH528" s="1425">
        <v>44448</v>
      </c>
      <c r="AI528" s="1">
        <v>15.383599999999999</v>
      </c>
      <c r="AJ528" s="1">
        <v>2.7930000000000001</v>
      </c>
      <c r="AK528" s="1">
        <v>7.4275000000000002</v>
      </c>
      <c r="AL528" s="1">
        <v>3.7170000000000002E-2</v>
      </c>
      <c r="AN528" s="1425">
        <v>44448</v>
      </c>
      <c r="AO528" s="1">
        <v>10.196099999999999</v>
      </c>
      <c r="AP528" s="1">
        <v>1.3305</v>
      </c>
      <c r="AQ528" s="1">
        <v>7.4588999999999999</v>
      </c>
      <c r="AR528" s="1">
        <v>0.32246000000000002</v>
      </c>
      <c r="AT528" s="1425">
        <v>44448</v>
      </c>
      <c r="AU528" s="1">
        <v>7.7149999999999999</v>
      </c>
      <c r="AV528" s="1">
        <v>0.60589999999999999</v>
      </c>
      <c r="AW528" s="1">
        <v>5.39</v>
      </c>
      <c r="AX528" s="1">
        <v>0.16364000000000001</v>
      </c>
      <c r="BA528" s="1425">
        <v>44442</v>
      </c>
      <c r="BB528" s="1">
        <v>16.616</v>
      </c>
      <c r="BC528" s="1">
        <v>4.1205999999999996</v>
      </c>
      <c r="BD528" s="1">
        <v>14.670299999999999</v>
      </c>
      <c r="BE528" s="1">
        <v>1.06864</v>
      </c>
      <c r="BG528" s="1425">
        <v>44442</v>
      </c>
      <c r="BH528" s="1">
        <v>27.900099999999998</v>
      </c>
      <c r="BI528" s="1">
        <v>5.7569999999999997</v>
      </c>
      <c r="BJ528" s="1">
        <v>29.2727</v>
      </c>
      <c r="BT528" s="1425">
        <v>44467</v>
      </c>
      <c r="BU528" s="1">
        <v>19.712</v>
      </c>
      <c r="BV528" s="1">
        <v>4.9501999999999997</v>
      </c>
      <c r="BW528" s="1">
        <v>11.4278</v>
      </c>
      <c r="BX528" s="1">
        <v>2.8658999999999999</v>
      </c>
      <c r="BZ528" s="1425">
        <v>44467</v>
      </c>
      <c r="CA528" s="1">
        <v>53.382800000000003</v>
      </c>
      <c r="CB528" s="1">
        <v>2.7881</v>
      </c>
      <c r="CC528" s="1">
        <v>105.48090000000001</v>
      </c>
      <c r="CD528" s="1">
        <v>1.1203099999999999</v>
      </c>
      <c r="CF528" s="1425">
        <v>44466</v>
      </c>
      <c r="CG528" s="1">
        <v>11.1387</v>
      </c>
      <c r="CH528" s="1">
        <v>2.1311</v>
      </c>
      <c r="CI528" s="1">
        <v>9.0456000000000003</v>
      </c>
      <c r="CL528" s="1425">
        <v>44480</v>
      </c>
      <c r="CM528" s="1">
        <v>24.750399999999999</v>
      </c>
      <c r="CN528" s="1">
        <v>2.6654</v>
      </c>
      <c r="CO528" s="1">
        <v>11.2178</v>
      </c>
    </row>
    <row r="529" spans="1:93">
      <c r="A529" s="1425">
        <v>44466</v>
      </c>
      <c r="B529" s="20">
        <f t="shared" si="82"/>
        <v>24.3354</v>
      </c>
      <c r="C529" s="20">
        <f t="shared" si="84"/>
        <v>11.939</v>
      </c>
      <c r="D529" s="20">
        <f t="shared" si="85"/>
        <v>15.764099999999999</v>
      </c>
      <c r="E529" s="20">
        <f t="shared" si="86"/>
        <v>10.823499999999999</v>
      </c>
      <c r="F529" s="20">
        <f t="shared" si="87"/>
        <v>26.870999999999999</v>
      </c>
      <c r="G529" s="20">
        <f t="shared" si="88"/>
        <v>15.747999999999999</v>
      </c>
      <c r="H529" s="1239">
        <f t="shared" si="89"/>
        <v>15.747999999999999</v>
      </c>
      <c r="I529" s="1243">
        <f t="shared" si="83"/>
        <v>0.54530099060198123</v>
      </c>
      <c r="J529" s="1243">
        <f t="shared" si="90"/>
        <v>0.12093838824177333</v>
      </c>
      <c r="K529" s="1243">
        <f t="shared" si="91"/>
        <v>0.1</v>
      </c>
      <c r="L529" s="203"/>
      <c r="N529" s="1425">
        <v>44466</v>
      </c>
      <c r="O529" s="1502">
        <v>24.3354</v>
      </c>
      <c r="P529" s="1502">
        <v>7.1116999999999999</v>
      </c>
      <c r="Q529" s="1502">
        <v>22.482399999999998</v>
      </c>
      <c r="R529" s="1233">
        <f>'B. PE'!$U$23</f>
        <v>15.978235616082999</v>
      </c>
      <c r="S529" s="1233"/>
      <c r="T529" s="1233"/>
      <c r="V529" s="1425">
        <v>44466</v>
      </c>
      <c r="W529" s="1">
        <v>11.939</v>
      </c>
      <c r="X529" s="1">
        <v>1.3265</v>
      </c>
      <c r="Y529" s="1">
        <v>9.9400999999999993</v>
      </c>
      <c r="Z529" s="1">
        <v>0.99829999999999997</v>
      </c>
      <c r="AB529" s="1425">
        <v>44447</v>
      </c>
      <c r="AC529" s="1">
        <v>8.7887000000000004</v>
      </c>
      <c r="AD529" s="1502">
        <v>1.6187</v>
      </c>
      <c r="AE529" s="1">
        <v>5.2066999999999997</v>
      </c>
      <c r="AF529" s="1">
        <v>4.2160000000000003E-2</v>
      </c>
      <c r="AH529" s="1425">
        <v>44447</v>
      </c>
      <c r="AI529" s="1">
        <v>14.568199999999999</v>
      </c>
      <c r="AJ529" s="1">
        <v>2.645</v>
      </c>
      <c r="AK529" s="1">
        <v>6.9922000000000004</v>
      </c>
      <c r="AL529" s="1">
        <v>3.5979999999999998E-2</v>
      </c>
      <c r="AN529" s="1425">
        <v>44447</v>
      </c>
      <c r="AO529" s="1">
        <v>10.3529</v>
      </c>
      <c r="AP529" s="1">
        <v>1.351</v>
      </c>
      <c r="AQ529" s="1">
        <v>7.5819999999999999</v>
      </c>
      <c r="AR529" s="1">
        <v>0.3231</v>
      </c>
      <c r="AT529" s="1425">
        <v>44447</v>
      </c>
      <c r="AU529" s="1">
        <v>7.8327</v>
      </c>
      <c r="AV529" s="1">
        <v>0.61509999999999998</v>
      </c>
      <c r="AW529" s="1">
        <v>5.4562999999999997</v>
      </c>
      <c r="AX529" s="1">
        <v>0.16395999999999999</v>
      </c>
      <c r="BA529" s="1425">
        <v>44441</v>
      </c>
      <c r="BB529" s="1">
        <v>16.739999999999998</v>
      </c>
      <c r="BC529" s="1">
        <v>4.1513999999999998</v>
      </c>
      <c r="BD529" s="1">
        <v>14.7638</v>
      </c>
      <c r="BE529" s="1">
        <v>1.0774900000000001</v>
      </c>
      <c r="BG529" s="1425">
        <v>44441</v>
      </c>
      <c r="BH529" s="1">
        <v>27.900099999999998</v>
      </c>
      <c r="BI529" s="1">
        <v>5.7569999999999997</v>
      </c>
      <c r="BJ529" s="1">
        <v>29.2727</v>
      </c>
      <c r="BT529" s="1425">
        <v>44466</v>
      </c>
      <c r="BU529" s="1">
        <v>19.603100000000001</v>
      </c>
      <c r="BV529" s="1">
        <v>4.9227999999999996</v>
      </c>
      <c r="BW529" s="1">
        <v>11.3667</v>
      </c>
      <c r="BX529" s="1">
        <v>2.8990999999999998</v>
      </c>
      <c r="BZ529" s="1425">
        <v>44466</v>
      </c>
      <c r="CA529" s="1">
        <v>52.1965</v>
      </c>
      <c r="CB529" s="1">
        <v>2.7262</v>
      </c>
      <c r="CC529" s="1">
        <v>104.1212</v>
      </c>
      <c r="CD529" s="1">
        <v>1.15988</v>
      </c>
      <c r="CF529" s="1425">
        <v>44463</v>
      </c>
      <c r="CG529" s="1">
        <v>11.7844</v>
      </c>
      <c r="CH529" s="1">
        <v>2.2547000000000001</v>
      </c>
      <c r="CI529" s="1">
        <v>9.5015999999999998</v>
      </c>
      <c r="CL529" s="1425">
        <v>44477</v>
      </c>
      <c r="CM529" s="1">
        <v>24.839300000000001</v>
      </c>
      <c r="CN529" s="1">
        <v>2.6749999999999998</v>
      </c>
      <c r="CO529" s="1">
        <v>11.2577</v>
      </c>
    </row>
    <row r="530" spans="1:93">
      <c r="A530" s="1425">
        <v>44463</v>
      </c>
      <c r="B530" s="20">
        <f t="shared" si="82"/>
        <v>25.247900000000001</v>
      </c>
      <c r="C530" s="20">
        <f t="shared" si="84"/>
        <v>12.835000000000001</v>
      </c>
      <c r="D530" s="20">
        <f t="shared" si="85"/>
        <v>15.764099999999999</v>
      </c>
      <c r="E530" s="20">
        <f t="shared" si="86"/>
        <v>10.666700000000001</v>
      </c>
      <c r="F530" s="20">
        <f t="shared" si="87"/>
        <v>26.870999999999999</v>
      </c>
      <c r="G530" s="20">
        <f t="shared" si="88"/>
        <v>15.747999999999999</v>
      </c>
      <c r="H530" s="1239">
        <f t="shared" si="89"/>
        <v>15.747999999999999</v>
      </c>
      <c r="I530" s="1243">
        <f t="shared" si="83"/>
        <v>0.60324485648971304</v>
      </c>
      <c r="J530" s="1243">
        <f t="shared" si="90"/>
        <v>0.12093838824177333</v>
      </c>
      <c r="K530" s="1243">
        <f t="shared" si="91"/>
        <v>0.1</v>
      </c>
      <c r="L530" s="203"/>
      <c r="N530" s="1425">
        <v>44463</v>
      </c>
      <c r="O530" s="1502">
        <v>25.247900000000001</v>
      </c>
      <c r="P530" s="1502">
        <v>7.3784000000000001</v>
      </c>
      <c r="Q530" s="1502">
        <v>23.361999999999998</v>
      </c>
      <c r="R530" s="1233">
        <f>'B. PE'!$U$23</f>
        <v>15.978235616082999</v>
      </c>
      <c r="S530" s="1233"/>
      <c r="T530" s="1233"/>
      <c r="V530" s="1425">
        <v>44463</v>
      </c>
      <c r="W530" s="1">
        <v>12.835000000000001</v>
      </c>
      <c r="X530" s="1">
        <v>1.4259999999999999</v>
      </c>
      <c r="Y530" s="1">
        <v>10.4648</v>
      </c>
      <c r="Z530" s="1">
        <v>1.02481</v>
      </c>
      <c r="AB530" s="1425">
        <v>44446</v>
      </c>
      <c r="AC530" s="1">
        <v>9.016</v>
      </c>
      <c r="AD530" s="1502">
        <v>1.6606000000000001</v>
      </c>
      <c r="AE530" s="1">
        <v>5.3075999999999999</v>
      </c>
      <c r="AF530" s="1">
        <v>4.138E-2</v>
      </c>
      <c r="AH530" s="1425">
        <v>44446</v>
      </c>
      <c r="AI530" s="1">
        <v>14.405200000000001</v>
      </c>
      <c r="AJ530" s="1">
        <v>2.6154000000000002</v>
      </c>
      <c r="AK530" s="1">
        <v>6.9051</v>
      </c>
      <c r="AL530" s="1">
        <v>3.5630000000000002E-2</v>
      </c>
      <c r="AN530" s="1425">
        <v>44446</v>
      </c>
      <c r="AO530" s="1">
        <v>10.5098</v>
      </c>
      <c r="AP530" s="1">
        <v>1.3714999999999999</v>
      </c>
      <c r="AQ530" s="1">
        <v>7.7050999999999998</v>
      </c>
      <c r="AR530" s="1">
        <v>0.32079999999999997</v>
      </c>
      <c r="AT530" s="1425">
        <v>44446</v>
      </c>
      <c r="AU530" s="1">
        <v>8.0093999999999994</v>
      </c>
      <c r="AV530" s="1">
        <v>0.629</v>
      </c>
      <c r="AW530" s="1">
        <v>5.5556999999999999</v>
      </c>
      <c r="AX530" s="1">
        <v>0.15798999999999999</v>
      </c>
      <c r="BA530" s="1425">
        <v>44440</v>
      </c>
      <c r="BB530" s="1">
        <v>17.111999999999998</v>
      </c>
      <c r="BC530" s="1">
        <v>4.2435999999999998</v>
      </c>
      <c r="BD530" s="1">
        <v>15.0443</v>
      </c>
      <c r="BE530" s="1">
        <v>1.0554699999999999</v>
      </c>
      <c r="BG530" s="1425">
        <v>44440</v>
      </c>
      <c r="BH530" s="1">
        <v>28.014399999999998</v>
      </c>
      <c r="BI530" s="1">
        <v>5.7805</v>
      </c>
      <c r="BJ530" s="1">
        <v>29.380700000000001</v>
      </c>
      <c r="BT530" s="1425">
        <v>44463</v>
      </c>
      <c r="BU530" s="1">
        <v>20.3032</v>
      </c>
      <c r="BV530" s="1">
        <v>5.0987</v>
      </c>
      <c r="BW530" s="1">
        <v>11.7597</v>
      </c>
      <c r="BX530" s="1">
        <v>2.7624</v>
      </c>
      <c r="BZ530" s="1425">
        <v>44463</v>
      </c>
      <c r="CA530" s="1">
        <v>52.1965</v>
      </c>
      <c r="CB530" s="1">
        <v>2.7262</v>
      </c>
      <c r="CC530" s="1">
        <v>104.1212</v>
      </c>
      <c r="CD530" s="1">
        <v>1.16951</v>
      </c>
      <c r="CF530" s="1425">
        <v>44462</v>
      </c>
      <c r="CG530" s="1">
        <v>11.9862</v>
      </c>
      <c r="CH530" s="1">
        <v>2.2932999999999999</v>
      </c>
      <c r="CI530" s="1">
        <v>9.6440999999999999</v>
      </c>
      <c r="CL530" s="1425">
        <v>44476</v>
      </c>
      <c r="CM530" s="1">
        <v>24.8215</v>
      </c>
      <c r="CN530" s="1">
        <v>2.6730999999999998</v>
      </c>
      <c r="CO530" s="1">
        <v>11.2498</v>
      </c>
    </row>
    <row r="531" spans="1:93">
      <c r="A531" s="1425">
        <v>44462</v>
      </c>
      <c r="B531" s="20">
        <f t="shared" si="82"/>
        <v>25.313099999999999</v>
      </c>
      <c r="C531" s="20">
        <f t="shared" si="84"/>
        <v>13.077199999999999</v>
      </c>
      <c r="D531" s="20">
        <f t="shared" si="85"/>
        <v>15.7098</v>
      </c>
      <c r="E531" s="20">
        <f t="shared" si="86"/>
        <v>10.117599999999999</v>
      </c>
      <c r="F531" s="20">
        <f t="shared" si="87"/>
        <v>27.785699999999999</v>
      </c>
      <c r="G531" s="20">
        <f t="shared" si="88"/>
        <v>16.492000000000001</v>
      </c>
      <c r="H531" s="1239">
        <f t="shared" si="89"/>
        <v>15.7098</v>
      </c>
      <c r="I531" s="1243">
        <f t="shared" si="83"/>
        <v>0.61129358744223339</v>
      </c>
      <c r="J531" s="1243">
        <f t="shared" si="90"/>
        <v>0.12093838824177333</v>
      </c>
      <c r="K531" s="1243">
        <f t="shared" si="91"/>
        <v>0.1</v>
      </c>
      <c r="L531" s="203"/>
      <c r="N531" s="1425">
        <v>44462</v>
      </c>
      <c r="O531" s="1502">
        <v>25.313099999999999</v>
      </c>
      <c r="P531" s="1502">
        <v>7.3975</v>
      </c>
      <c r="Q531" s="1502">
        <v>23.424800000000001</v>
      </c>
      <c r="R531" s="1233">
        <f>'B. PE'!$U$23</f>
        <v>15.978235616082999</v>
      </c>
      <c r="S531" s="1233"/>
      <c r="T531" s="1233"/>
      <c r="V531" s="1425">
        <v>44462</v>
      </c>
      <c r="W531" s="1">
        <v>13.077199999999999</v>
      </c>
      <c r="X531" s="1">
        <v>1.4530000000000001</v>
      </c>
      <c r="Y531" s="1">
        <v>10.6067</v>
      </c>
      <c r="Z531" s="1">
        <v>0.99807999999999997</v>
      </c>
      <c r="AB531" s="1425">
        <v>44445</v>
      </c>
      <c r="AC531" s="1">
        <v>9.0917999999999992</v>
      </c>
      <c r="AD531" s="1502">
        <v>1.6745000000000001</v>
      </c>
      <c r="AE531" s="1">
        <v>5.3413000000000004</v>
      </c>
      <c r="AF531" s="1">
        <v>4.0340000000000001E-2</v>
      </c>
      <c r="AH531" s="1425">
        <v>44445</v>
      </c>
      <c r="AI531" s="1">
        <v>13.915900000000001</v>
      </c>
      <c r="AJ531" s="1">
        <v>2.5266000000000002</v>
      </c>
      <c r="AK531" s="1">
        <v>6.6439000000000004</v>
      </c>
      <c r="AL531" s="1">
        <v>3.6060000000000002E-2</v>
      </c>
      <c r="AN531" s="1425">
        <v>44445</v>
      </c>
      <c r="AO531" s="1">
        <v>10.5098</v>
      </c>
      <c r="AP531" s="1">
        <v>1.3714999999999999</v>
      </c>
      <c r="AQ531" s="1">
        <v>7.7050999999999998</v>
      </c>
      <c r="AR531" s="1">
        <v>0.31979000000000002</v>
      </c>
      <c r="AT531" s="1425">
        <v>44445</v>
      </c>
      <c r="AU531" s="1">
        <v>8.0093999999999994</v>
      </c>
      <c r="AV531" s="1">
        <v>0.629</v>
      </c>
      <c r="AW531" s="1">
        <v>5.5556999999999999</v>
      </c>
      <c r="AX531" s="1">
        <v>0.1623</v>
      </c>
      <c r="BA531" s="1425">
        <v>44439</v>
      </c>
      <c r="BB531" s="1">
        <v>17.236000000000001</v>
      </c>
      <c r="BC531" s="1">
        <v>4.2744</v>
      </c>
      <c r="BD531" s="1">
        <v>15.1378</v>
      </c>
      <c r="BE531" s="1">
        <v>1.0755999999999999</v>
      </c>
      <c r="BG531" s="1425">
        <v>44439</v>
      </c>
      <c r="BH531" s="1">
        <v>29.4437</v>
      </c>
      <c r="BI531" s="1">
        <v>6.0754999999999999</v>
      </c>
      <c r="BJ531" s="1">
        <v>30.731300000000001</v>
      </c>
      <c r="BT531" s="1425">
        <v>44462</v>
      </c>
      <c r="BU531" s="1">
        <v>20.5366</v>
      </c>
      <c r="BV531" s="1">
        <v>5.1573000000000002</v>
      </c>
      <c r="BW531" s="1">
        <v>11.890700000000001</v>
      </c>
      <c r="BX531" s="1">
        <v>2.7183999999999999</v>
      </c>
      <c r="BZ531" s="1425">
        <v>44462</v>
      </c>
      <c r="CA531" s="1">
        <v>54.035200000000003</v>
      </c>
      <c r="CB531" s="1">
        <v>2.8222</v>
      </c>
      <c r="CC531" s="1">
        <v>106.2287</v>
      </c>
      <c r="CD531" s="1">
        <v>1.1825399999999999</v>
      </c>
      <c r="CF531" s="1425">
        <v>44461</v>
      </c>
      <c r="CG531" s="1">
        <v>12.0266</v>
      </c>
      <c r="CH531" s="1">
        <v>2.3010000000000002</v>
      </c>
      <c r="CI531" s="1">
        <v>9.6725999999999992</v>
      </c>
      <c r="CL531" s="1425">
        <v>44475</v>
      </c>
      <c r="CM531" s="1">
        <v>24.5548</v>
      </c>
      <c r="CN531" s="1">
        <v>2.6444000000000001</v>
      </c>
      <c r="CO531" s="1">
        <v>11.129799999999999</v>
      </c>
    </row>
    <row r="532" spans="1:93">
      <c r="A532" s="1425">
        <v>44461</v>
      </c>
      <c r="B532" s="20">
        <f t="shared" si="82"/>
        <v>25.639099999999999</v>
      </c>
      <c r="C532" s="20">
        <f t="shared" si="84"/>
        <v>13.4162</v>
      </c>
      <c r="D532" s="20">
        <f t="shared" si="85"/>
        <v>15.274900000000001</v>
      </c>
      <c r="E532" s="20">
        <f t="shared" si="86"/>
        <v>9.9608000000000008</v>
      </c>
      <c r="F532" s="20">
        <f t="shared" si="87"/>
        <v>27.785699999999999</v>
      </c>
      <c r="G532" s="20">
        <f t="shared" si="88"/>
        <v>16.739999999999998</v>
      </c>
      <c r="H532" s="1239">
        <f t="shared" si="89"/>
        <v>15.274900000000001</v>
      </c>
      <c r="I532" s="1243">
        <f t="shared" si="83"/>
        <v>0.67851180695127278</v>
      </c>
      <c r="J532" s="1243">
        <f t="shared" si="90"/>
        <v>0.12093838824177333</v>
      </c>
      <c r="K532" s="1243">
        <f t="shared" si="91"/>
        <v>0.1</v>
      </c>
      <c r="L532" s="203"/>
      <c r="N532" s="1425">
        <v>44461</v>
      </c>
      <c r="O532" s="1502">
        <v>25.639099999999999</v>
      </c>
      <c r="P532" s="1502">
        <v>7.4927000000000001</v>
      </c>
      <c r="Q532" s="1502">
        <v>23.739000000000001</v>
      </c>
      <c r="R532" s="1233">
        <f>'B. PE'!$U$23</f>
        <v>15.978235616082999</v>
      </c>
      <c r="S532" s="1233"/>
      <c r="T532" s="1233"/>
      <c r="V532" s="1425">
        <v>44461</v>
      </c>
      <c r="W532" s="1">
        <v>13.4162</v>
      </c>
      <c r="X532" s="1">
        <v>1.4905999999999999</v>
      </c>
      <c r="Y532" s="1">
        <v>10.805199999999999</v>
      </c>
      <c r="Z532" s="1">
        <v>1.01647</v>
      </c>
      <c r="AB532" s="1425">
        <v>44442</v>
      </c>
      <c r="AC532" s="1">
        <v>8.9402000000000008</v>
      </c>
      <c r="AD532" s="1502">
        <v>1.6466000000000001</v>
      </c>
      <c r="AE532" s="1">
        <v>5.274</v>
      </c>
      <c r="AF532" s="1">
        <v>4.1829999999999999E-2</v>
      </c>
      <c r="AH532" s="1425">
        <v>44442</v>
      </c>
      <c r="AI532" s="1">
        <v>13.8072</v>
      </c>
      <c r="AJ532" s="1">
        <v>2.5068000000000001</v>
      </c>
      <c r="AK532" s="1">
        <v>6.5858999999999996</v>
      </c>
      <c r="AL532" s="1">
        <v>3.6839999999999998E-2</v>
      </c>
      <c r="AN532" s="1425">
        <v>44442</v>
      </c>
      <c r="AO532" s="1">
        <v>10.4314</v>
      </c>
      <c r="AP532" s="1">
        <v>1.3612</v>
      </c>
      <c r="AQ532" s="1">
        <v>7.6435000000000004</v>
      </c>
      <c r="AR532" s="1">
        <v>0.32018999999999997</v>
      </c>
      <c r="AT532" s="1425">
        <v>44442</v>
      </c>
      <c r="AU532" s="1">
        <v>7.7149999999999999</v>
      </c>
      <c r="AV532" s="1">
        <v>0.60589999999999999</v>
      </c>
      <c r="AW532" s="1">
        <v>5.39</v>
      </c>
      <c r="AX532" s="1">
        <v>0.14806</v>
      </c>
      <c r="BA532" s="1425">
        <v>44438</v>
      </c>
      <c r="BB532" s="1">
        <v>16.988</v>
      </c>
      <c r="BC532" s="1">
        <v>4.2129000000000003</v>
      </c>
      <c r="BD532" s="1">
        <v>14.950799999999999</v>
      </c>
      <c r="BE532" s="1">
        <v>1.0534699999999999</v>
      </c>
      <c r="BG532" s="1425">
        <v>44438</v>
      </c>
      <c r="BH532" s="1">
        <v>28.243099999999998</v>
      </c>
      <c r="BI532" s="1">
        <v>5.8277000000000001</v>
      </c>
      <c r="BJ532" s="1">
        <v>29.596800000000002</v>
      </c>
      <c r="BT532" s="1425">
        <v>44461</v>
      </c>
      <c r="BU532" s="1">
        <v>19.5564</v>
      </c>
      <c r="BV532" s="1">
        <v>4.9111000000000002</v>
      </c>
      <c r="BW532" s="1">
        <v>11.3405</v>
      </c>
      <c r="BX532" s="1">
        <v>2.7006000000000001</v>
      </c>
      <c r="BZ532" s="1425">
        <v>44461</v>
      </c>
      <c r="CA532" s="1">
        <v>54.450400000000002</v>
      </c>
      <c r="CB532" s="1">
        <v>2.8439000000000001</v>
      </c>
      <c r="CC532" s="1">
        <v>106.7046</v>
      </c>
      <c r="CD532" s="1">
        <v>1.1455200000000001</v>
      </c>
      <c r="CF532" s="1425">
        <v>44460</v>
      </c>
      <c r="CG532" s="1">
        <v>11.9862</v>
      </c>
      <c r="CH532" s="1">
        <v>2.2932999999999999</v>
      </c>
      <c r="CI532" s="1">
        <v>9.6440999999999999</v>
      </c>
      <c r="CL532" s="1425">
        <v>44474</v>
      </c>
      <c r="CM532" s="1">
        <v>25.248200000000001</v>
      </c>
      <c r="CN532" s="1">
        <v>2.7191000000000001</v>
      </c>
      <c r="CO532" s="1">
        <v>11.441599999999999</v>
      </c>
    </row>
    <row r="533" spans="1:93">
      <c r="A533" s="1425">
        <v>44460</v>
      </c>
      <c r="B533" s="20">
        <f t="shared" si="82"/>
        <v>25.465199999999999</v>
      </c>
      <c r="C533" s="20">
        <f t="shared" si="84"/>
        <v>13.077199999999999</v>
      </c>
      <c r="D533" s="20">
        <f t="shared" si="85"/>
        <v>15.3293</v>
      </c>
      <c r="E533" s="20">
        <f t="shared" si="86"/>
        <v>9.7255000000000003</v>
      </c>
      <c r="F533" s="20">
        <f t="shared" si="87"/>
        <v>28.128799999999998</v>
      </c>
      <c r="G533" s="20">
        <f t="shared" si="88"/>
        <v>17.111999999999998</v>
      </c>
      <c r="H533" s="1239">
        <f t="shared" si="89"/>
        <v>15.3293</v>
      </c>
      <c r="I533" s="1243">
        <f t="shared" si="83"/>
        <v>0.66121088373245995</v>
      </c>
      <c r="J533" s="1243">
        <f t="shared" si="90"/>
        <v>0.12093838824177333</v>
      </c>
      <c r="K533" s="1243">
        <f t="shared" si="91"/>
        <v>0.1</v>
      </c>
      <c r="L533" s="203"/>
      <c r="N533" s="1425">
        <v>44460</v>
      </c>
      <c r="O533" s="1502">
        <v>25.465199999999999</v>
      </c>
      <c r="P533" s="1502">
        <v>7.4419000000000004</v>
      </c>
      <c r="Q533" s="1502">
        <v>23.571400000000001</v>
      </c>
      <c r="R533" s="1233">
        <f>'B. PE'!$U$23</f>
        <v>15.978235616082999</v>
      </c>
      <c r="S533" s="1233"/>
      <c r="T533" s="1233"/>
      <c r="V533" s="1425">
        <v>44460</v>
      </c>
      <c r="W533" s="1">
        <v>13.077199999999999</v>
      </c>
      <c r="X533" s="1">
        <v>1.4530000000000001</v>
      </c>
      <c r="Y533" s="1">
        <v>10.611800000000001</v>
      </c>
      <c r="Z533" s="1">
        <v>1.0443800000000001</v>
      </c>
      <c r="AB533" s="1425">
        <v>44441</v>
      </c>
      <c r="AC533" s="1">
        <v>8.7128999999999994</v>
      </c>
      <c r="AD533" s="1502">
        <v>1.6048</v>
      </c>
      <c r="AE533" s="1">
        <v>5.173</v>
      </c>
      <c r="AF533" s="1">
        <v>4.2540000000000001E-2</v>
      </c>
      <c r="AH533" s="1425">
        <v>44441</v>
      </c>
      <c r="AI533" s="1">
        <v>13.9703</v>
      </c>
      <c r="AJ533" s="1">
        <v>2.5364</v>
      </c>
      <c r="AK533" s="1">
        <v>6.6729000000000003</v>
      </c>
      <c r="AL533" s="1">
        <v>3.7400000000000003E-2</v>
      </c>
      <c r="AN533" s="1425">
        <v>44441</v>
      </c>
      <c r="AO533" s="1">
        <v>10.4314</v>
      </c>
      <c r="AP533" s="1">
        <v>1.3612</v>
      </c>
      <c r="AQ533" s="1">
        <v>7.6435000000000004</v>
      </c>
      <c r="AR533" s="1">
        <v>0.31773000000000001</v>
      </c>
      <c r="AT533" s="1425">
        <v>44441</v>
      </c>
      <c r="AU533" s="1">
        <v>7.9504999999999999</v>
      </c>
      <c r="AV533" s="1">
        <v>0.62439999999999996</v>
      </c>
      <c r="AW533" s="1">
        <v>5.5225</v>
      </c>
      <c r="AX533" s="1">
        <v>0.14080999999999999</v>
      </c>
      <c r="BA533" s="1425">
        <v>44435</v>
      </c>
      <c r="BB533" s="1">
        <v>17.36</v>
      </c>
      <c r="BC533" s="1">
        <v>4.3051000000000004</v>
      </c>
      <c r="BD533" s="1">
        <v>15.231299999999999</v>
      </c>
      <c r="BE533" s="1">
        <v>1.0668500000000001</v>
      </c>
      <c r="BG533" s="1425">
        <v>44435</v>
      </c>
      <c r="BH533" s="1">
        <v>28.128799999999998</v>
      </c>
      <c r="BI533" s="1">
        <v>5.8041</v>
      </c>
      <c r="BJ533" s="1">
        <v>29.488800000000001</v>
      </c>
      <c r="BT533" s="1425">
        <v>44460</v>
      </c>
      <c r="BU533" s="1">
        <v>19.2608</v>
      </c>
      <c r="BV533" s="1">
        <v>4.8369</v>
      </c>
      <c r="BW533" s="1">
        <v>11.1746</v>
      </c>
      <c r="BX533" s="1">
        <v>2.7010000000000001</v>
      </c>
      <c r="BZ533" s="1425">
        <v>44460</v>
      </c>
      <c r="CA533" s="1">
        <v>55.102899999999998</v>
      </c>
      <c r="CB533" s="1">
        <v>2.8780000000000001</v>
      </c>
      <c r="CC533" s="1">
        <v>107.4524</v>
      </c>
      <c r="CD533" s="1">
        <v>1.1966399999999999</v>
      </c>
      <c r="CF533" s="1425">
        <v>44459</v>
      </c>
      <c r="CG533" s="1">
        <v>11.7037</v>
      </c>
      <c r="CH533" s="1">
        <v>2.2391999999999999</v>
      </c>
      <c r="CI533" s="1">
        <v>9.4445999999999994</v>
      </c>
      <c r="CL533" s="1425">
        <v>44473</v>
      </c>
      <c r="CM533" s="1">
        <v>25.354900000000001</v>
      </c>
      <c r="CN533" s="1">
        <v>2.7305000000000001</v>
      </c>
      <c r="CO533" s="1">
        <v>11.489599999999999</v>
      </c>
    </row>
    <row r="534" spans="1:93">
      <c r="A534" s="1425">
        <v>44459</v>
      </c>
      <c r="B534" s="20">
        <f t="shared" si="82"/>
        <v>25.421800000000001</v>
      </c>
      <c r="C534" s="20">
        <f t="shared" si="84"/>
        <v>13.3194</v>
      </c>
      <c r="D534" s="20">
        <f t="shared" si="85"/>
        <v>15.4923</v>
      </c>
      <c r="E534" s="20">
        <f t="shared" si="86"/>
        <v>9.8824000000000005</v>
      </c>
      <c r="F534" s="20">
        <f t="shared" si="87"/>
        <v>27.900099999999998</v>
      </c>
      <c r="G534" s="20">
        <f t="shared" si="88"/>
        <v>16.739999999999998</v>
      </c>
      <c r="H534" s="1239">
        <f t="shared" si="89"/>
        <v>15.4923</v>
      </c>
      <c r="I534" s="1243">
        <f t="shared" si="83"/>
        <v>0.64093130135615772</v>
      </c>
      <c r="J534" s="1243">
        <f t="shared" si="90"/>
        <v>0.12093838824177333</v>
      </c>
      <c r="K534" s="1243">
        <f t="shared" si="91"/>
        <v>0.1</v>
      </c>
      <c r="L534" s="203"/>
      <c r="N534" s="1425">
        <v>44459</v>
      </c>
      <c r="O534" s="1502">
        <v>25.421800000000001</v>
      </c>
      <c r="P534" s="1502">
        <v>7.4291999999999998</v>
      </c>
      <c r="Q534" s="1502">
        <v>23.529499999999999</v>
      </c>
      <c r="R534" s="1233">
        <f>'B. PE'!$U$23</f>
        <v>15.978235616082999</v>
      </c>
      <c r="S534" s="1233"/>
      <c r="T534" s="1233"/>
      <c r="V534" s="1425">
        <v>44459</v>
      </c>
      <c r="W534" s="1">
        <v>13.3194</v>
      </c>
      <c r="X534" s="1">
        <v>1.4799</v>
      </c>
      <c r="Y534" s="1">
        <v>10.7537</v>
      </c>
      <c r="Z534" s="1">
        <v>1.05783</v>
      </c>
      <c r="AB534" s="1425">
        <v>44440</v>
      </c>
      <c r="AC534" s="1">
        <v>9.016</v>
      </c>
      <c r="AD534" s="1502">
        <v>1.6606000000000001</v>
      </c>
      <c r="AE534" s="1">
        <v>5.3075999999999999</v>
      </c>
      <c r="AF534" s="1">
        <v>4.1160000000000002E-2</v>
      </c>
      <c r="AH534" s="1425">
        <v>44440</v>
      </c>
      <c r="AI534" s="1">
        <v>14.242100000000001</v>
      </c>
      <c r="AJ534" s="1">
        <v>2.5857999999999999</v>
      </c>
      <c r="AK534" s="1">
        <v>6.8179999999999996</v>
      </c>
      <c r="AL534" s="1">
        <v>3.6549999999999999E-2</v>
      </c>
      <c r="AN534" s="1425">
        <v>44440</v>
      </c>
      <c r="AO534" s="1">
        <v>10.4314</v>
      </c>
      <c r="AP534" s="1">
        <v>1.3612</v>
      </c>
      <c r="AQ534" s="1">
        <v>7.6435000000000004</v>
      </c>
      <c r="AR534" s="1">
        <v>0.31977</v>
      </c>
      <c r="AT534" s="1425">
        <v>44440</v>
      </c>
      <c r="AU534" s="1">
        <v>7.2438000000000002</v>
      </c>
      <c r="AV534" s="1">
        <v>0.56889999999999996</v>
      </c>
      <c r="AW534" s="1">
        <v>5.1249000000000002</v>
      </c>
      <c r="AX534" s="1">
        <v>0.1396</v>
      </c>
      <c r="BA534" s="1425">
        <v>44434</v>
      </c>
      <c r="BB534" s="1">
        <v>17.111999999999998</v>
      </c>
      <c r="BC534" s="1">
        <v>4.2435999999999998</v>
      </c>
      <c r="BD534" s="1">
        <v>15.0443</v>
      </c>
      <c r="BE534" s="1">
        <v>1.05646</v>
      </c>
      <c r="BG534" s="1425">
        <v>44434</v>
      </c>
      <c r="BH534" s="1">
        <v>27.213999999999999</v>
      </c>
      <c r="BI534" s="1">
        <v>5.6154000000000002</v>
      </c>
      <c r="BJ534" s="1">
        <v>28.624400000000001</v>
      </c>
      <c r="BT534" s="1425">
        <v>44459</v>
      </c>
      <c r="BU534" s="1">
        <v>19.136299999999999</v>
      </c>
      <c r="BV534" s="1">
        <v>4.8056000000000001</v>
      </c>
      <c r="BW534" s="1">
        <v>11.104699999999999</v>
      </c>
      <c r="BX534" s="1">
        <v>2.7155</v>
      </c>
      <c r="BZ534" s="1425">
        <v>44459</v>
      </c>
      <c r="CA534" s="1">
        <v>53.382800000000003</v>
      </c>
      <c r="CB534" s="1">
        <v>2.7881</v>
      </c>
      <c r="CC534" s="1">
        <v>105.48090000000001</v>
      </c>
      <c r="CD534" s="1">
        <v>1.16665</v>
      </c>
      <c r="CF534" s="1425">
        <v>44456</v>
      </c>
      <c r="CG534" s="1">
        <v>12.470499999999999</v>
      </c>
      <c r="CH534" s="1">
        <v>2.3858999999999999</v>
      </c>
      <c r="CI534" s="1">
        <v>9.9860000000000007</v>
      </c>
      <c r="CL534" s="1425">
        <v>44470</v>
      </c>
      <c r="CM534" s="1">
        <v>25.9239</v>
      </c>
      <c r="CN534" s="1">
        <v>2.7917999999999998</v>
      </c>
      <c r="CO534" s="1">
        <v>11.7454</v>
      </c>
    </row>
    <row r="535" spans="1:93">
      <c r="A535" s="1425">
        <v>44456</v>
      </c>
      <c r="B535" s="20">
        <f t="shared" si="82"/>
        <v>24.987200000000001</v>
      </c>
      <c r="C535" s="20">
        <f t="shared" si="84"/>
        <v>13.682600000000001</v>
      </c>
      <c r="D535" s="20">
        <f t="shared" si="85"/>
        <v>15.8185</v>
      </c>
      <c r="E535" s="20">
        <f t="shared" si="86"/>
        <v>10.117599999999999</v>
      </c>
      <c r="F535" s="20">
        <f t="shared" si="87"/>
        <v>28.586200000000002</v>
      </c>
      <c r="G535" s="20">
        <f t="shared" si="88"/>
        <v>17.111999999999998</v>
      </c>
      <c r="H535" s="1239">
        <f t="shared" si="89"/>
        <v>15.8185</v>
      </c>
      <c r="I535" s="1243">
        <f t="shared" si="83"/>
        <v>0.57961880077124883</v>
      </c>
      <c r="J535" s="1243">
        <f t="shared" si="90"/>
        <v>0.12093838824177333</v>
      </c>
      <c r="K535" s="1243">
        <f t="shared" si="91"/>
        <v>0.1</v>
      </c>
      <c r="L535" s="203"/>
      <c r="N535" s="1425">
        <v>44456</v>
      </c>
      <c r="O535" s="1502">
        <v>24.987200000000001</v>
      </c>
      <c r="P535" s="1502">
        <v>7.3022</v>
      </c>
      <c r="Q535" s="1502">
        <v>23.110700000000001</v>
      </c>
      <c r="R535" s="1233">
        <f>'B. PE'!$U$23</f>
        <v>15.978235616082999</v>
      </c>
      <c r="S535" s="1233"/>
      <c r="T535" s="1233"/>
      <c r="V535" s="1425">
        <v>44456</v>
      </c>
      <c r="W535" s="1">
        <v>13.682600000000001</v>
      </c>
      <c r="X535" s="1">
        <v>1.5202</v>
      </c>
      <c r="Y535" s="1">
        <v>10.9666</v>
      </c>
      <c r="Z535" s="1">
        <v>1.06148</v>
      </c>
      <c r="AB535" s="1425">
        <v>44439</v>
      </c>
      <c r="AC535" s="1">
        <v>9.1675000000000004</v>
      </c>
      <c r="AD535" s="1502">
        <v>1.6884999999999999</v>
      </c>
      <c r="AE535" s="1">
        <v>5.3749000000000002</v>
      </c>
      <c r="AF535" s="1">
        <v>3.8640000000000001E-2</v>
      </c>
      <c r="AH535" s="1425">
        <v>44439</v>
      </c>
      <c r="AI535" s="1">
        <v>14.4595</v>
      </c>
      <c r="AJ535" s="1">
        <v>2.6253000000000002</v>
      </c>
      <c r="AK535" s="1">
        <v>6.9340999999999999</v>
      </c>
      <c r="AL535" s="1">
        <v>3.6060000000000002E-2</v>
      </c>
      <c r="AN535" s="1425">
        <v>44438</v>
      </c>
      <c r="AO535" s="1">
        <v>10.3529</v>
      </c>
      <c r="AP535" s="1">
        <v>1.351</v>
      </c>
      <c r="AQ535" s="1">
        <v>7.5819999999999999</v>
      </c>
      <c r="AR535" s="1">
        <v>0.32189000000000001</v>
      </c>
      <c r="AT535" s="1425">
        <v>44438</v>
      </c>
      <c r="AU535" s="1">
        <v>6.8905000000000003</v>
      </c>
      <c r="AV535" s="1">
        <v>0.54110000000000003</v>
      </c>
      <c r="AW535" s="1">
        <v>4.9260000000000002</v>
      </c>
      <c r="AX535" s="1">
        <v>0.13947999999999999</v>
      </c>
      <c r="BA535" s="1425">
        <v>44433</v>
      </c>
      <c r="BB535" s="1">
        <v>17.36</v>
      </c>
      <c r="BC535" s="1">
        <v>4.3051000000000004</v>
      </c>
      <c r="BD535" s="1">
        <v>15.231299999999999</v>
      </c>
      <c r="BE535" s="1">
        <v>1.0448900000000001</v>
      </c>
      <c r="BG535" s="1425">
        <v>44433</v>
      </c>
      <c r="BH535" s="1">
        <v>27.213999999999999</v>
      </c>
      <c r="BI535" s="1">
        <v>5.6154000000000002</v>
      </c>
      <c r="BJ535" s="1">
        <v>28.624400000000001</v>
      </c>
      <c r="BT535" s="1425">
        <v>44456</v>
      </c>
      <c r="BU535" s="1">
        <v>19.136299999999999</v>
      </c>
      <c r="BV535" s="1">
        <v>4.8056000000000001</v>
      </c>
      <c r="BW535" s="1">
        <v>11.104699999999999</v>
      </c>
      <c r="BX535" s="1">
        <v>2.7374000000000001</v>
      </c>
      <c r="BZ535" s="1425">
        <v>44456</v>
      </c>
      <c r="CA535" s="1">
        <v>55.755299999999998</v>
      </c>
      <c r="CB535" s="1">
        <v>2.9119999999999999</v>
      </c>
      <c r="CC535" s="1">
        <v>108.2002</v>
      </c>
      <c r="CD535" s="1">
        <v>1.1640600000000001</v>
      </c>
      <c r="CF535" s="1425">
        <v>44455</v>
      </c>
      <c r="CG535" s="1">
        <v>11.7844</v>
      </c>
      <c r="CH535" s="1">
        <v>2.2547000000000001</v>
      </c>
      <c r="CI535" s="1">
        <v>9.5015999999999998</v>
      </c>
      <c r="CL535" s="1425">
        <v>44469</v>
      </c>
      <c r="CM535" s="1">
        <v>26.048300000000001</v>
      </c>
      <c r="CN535" s="1">
        <v>2.8052000000000001</v>
      </c>
      <c r="CO535" s="1">
        <v>11.801399999999999</v>
      </c>
    </row>
    <row r="536" spans="1:93">
      <c r="A536" s="1425">
        <v>44455</v>
      </c>
      <c r="B536" s="20">
        <f t="shared" si="82"/>
        <v>23.835599999999999</v>
      </c>
      <c r="C536" s="20">
        <f t="shared" si="84"/>
        <v>13.8521</v>
      </c>
      <c r="D536" s="20">
        <f t="shared" si="85"/>
        <v>14.894399999999999</v>
      </c>
      <c r="E536" s="20">
        <f t="shared" si="86"/>
        <v>10.117599999999999</v>
      </c>
      <c r="F536" s="20">
        <f t="shared" si="87"/>
        <v>28.014399999999998</v>
      </c>
      <c r="G536" s="20">
        <f t="shared" si="88"/>
        <v>17.111999999999998</v>
      </c>
      <c r="H536" s="1239">
        <f t="shared" si="89"/>
        <v>14.894399999999999</v>
      </c>
      <c r="I536" s="1243">
        <f t="shared" si="83"/>
        <v>0.60030615533354825</v>
      </c>
      <c r="J536" s="1243">
        <f t="shared" si="90"/>
        <v>0.12093838824177333</v>
      </c>
      <c r="K536" s="1243">
        <f t="shared" si="91"/>
        <v>0.1</v>
      </c>
      <c r="L536" s="203"/>
      <c r="N536" s="1425">
        <v>44455</v>
      </c>
      <c r="O536" s="1502">
        <v>23.835599999999999</v>
      </c>
      <c r="P536" s="1502">
        <v>6.9657</v>
      </c>
      <c r="Q536" s="1502">
        <v>22.000699999999998</v>
      </c>
      <c r="R536" s="1233">
        <f>'B. PE'!$U$23</f>
        <v>15.978235616082999</v>
      </c>
      <c r="S536" s="1233"/>
      <c r="T536" s="1233"/>
      <c r="V536" s="1425">
        <v>44455</v>
      </c>
      <c r="W536" s="1">
        <v>13.8521</v>
      </c>
      <c r="X536" s="1">
        <v>1.5390999999999999</v>
      </c>
      <c r="Y536" s="1">
        <v>11.065899999999999</v>
      </c>
      <c r="Z536" s="1">
        <v>1.05385</v>
      </c>
      <c r="AB536" s="1425">
        <v>44438</v>
      </c>
      <c r="AC536" s="1">
        <v>8.9402000000000008</v>
      </c>
      <c r="AD536" s="1502">
        <v>1.6466000000000001</v>
      </c>
      <c r="AE536" s="1">
        <v>5.274</v>
      </c>
      <c r="AF536" s="1">
        <v>3.9820000000000001E-2</v>
      </c>
      <c r="AH536" s="1425">
        <v>44438</v>
      </c>
      <c r="AI536" s="1">
        <v>14.242100000000001</v>
      </c>
      <c r="AJ536" s="1">
        <v>2.5857999999999999</v>
      </c>
      <c r="AK536" s="1">
        <v>6.8179999999999996</v>
      </c>
      <c r="AL536" s="1">
        <v>3.6150000000000002E-2</v>
      </c>
      <c r="AN536" s="1425">
        <v>44435</v>
      </c>
      <c r="AO536" s="1">
        <v>10.5098</v>
      </c>
      <c r="AP536" s="1">
        <v>1.3714999999999999</v>
      </c>
      <c r="AQ536" s="1">
        <v>7.7050999999999998</v>
      </c>
      <c r="AR536" s="1">
        <v>0.31879999999999997</v>
      </c>
      <c r="AT536" s="1425">
        <v>44435</v>
      </c>
      <c r="AU536" s="1">
        <v>6.8905000000000003</v>
      </c>
      <c r="AV536" s="1">
        <v>0.54110000000000003</v>
      </c>
      <c r="AW536" s="1">
        <v>4.9260000000000002</v>
      </c>
      <c r="AX536" s="1">
        <v>0.1368</v>
      </c>
      <c r="BA536" s="1425">
        <v>44432</v>
      </c>
      <c r="BB536" s="1">
        <v>17.236000000000001</v>
      </c>
      <c r="BC536" s="1">
        <v>4.2744</v>
      </c>
      <c r="BD536" s="1">
        <v>15.1378</v>
      </c>
      <c r="BE536" s="1">
        <v>1.0343599999999999</v>
      </c>
      <c r="BG536" s="1425">
        <v>44432</v>
      </c>
      <c r="BH536" s="1">
        <v>27.213999999999999</v>
      </c>
      <c r="BI536" s="1">
        <v>5.6154000000000002</v>
      </c>
      <c r="BJ536" s="1">
        <v>28.624400000000001</v>
      </c>
      <c r="BT536" s="1425">
        <v>44455</v>
      </c>
      <c r="BU536" s="1">
        <v>19.229700000000001</v>
      </c>
      <c r="BV536" s="1">
        <v>4.8291000000000004</v>
      </c>
      <c r="BW536" s="1">
        <v>11.1571</v>
      </c>
      <c r="BX536" s="1">
        <v>2.7345999999999999</v>
      </c>
      <c r="BZ536" s="1425">
        <v>44455</v>
      </c>
      <c r="CA536" s="1">
        <v>54.331800000000001</v>
      </c>
      <c r="CB536" s="1">
        <v>2.8376999999999999</v>
      </c>
      <c r="CC536" s="1">
        <v>106.5686</v>
      </c>
      <c r="CD536" s="1">
        <v>1.1612499999999999</v>
      </c>
      <c r="CF536" s="1425">
        <v>44454</v>
      </c>
      <c r="CG536" s="1">
        <v>12.0669</v>
      </c>
      <c r="CH536" s="1">
        <v>2.3087</v>
      </c>
      <c r="CI536" s="1">
        <v>9.7011000000000003</v>
      </c>
      <c r="CL536" s="1425">
        <v>44468</v>
      </c>
      <c r="CM536" s="1">
        <v>26.1372</v>
      </c>
      <c r="CN536" s="1">
        <v>2.8148</v>
      </c>
      <c r="CO536" s="1">
        <v>11.8413</v>
      </c>
    </row>
    <row r="537" spans="1:93">
      <c r="A537" s="1425">
        <v>44454</v>
      </c>
      <c r="B537" s="20">
        <f t="shared" si="82"/>
        <v>25.5304</v>
      </c>
      <c r="C537" s="20">
        <f t="shared" si="84"/>
        <v>13.900600000000001</v>
      </c>
      <c r="D537" s="20">
        <f t="shared" si="85"/>
        <v>15.274900000000001</v>
      </c>
      <c r="E537" s="20">
        <f t="shared" si="86"/>
        <v>10.196099999999999</v>
      </c>
      <c r="F537" s="20">
        <f t="shared" si="87"/>
        <v>28.357500000000002</v>
      </c>
      <c r="G537" s="20">
        <f t="shared" si="88"/>
        <v>17.111999999999998</v>
      </c>
      <c r="H537" s="1239">
        <f t="shared" si="89"/>
        <v>15.274900000000001</v>
      </c>
      <c r="I537" s="1243">
        <f t="shared" si="83"/>
        <v>0.67139555741772439</v>
      </c>
      <c r="J537" s="1243">
        <f t="shared" si="90"/>
        <v>0.12093838824177333</v>
      </c>
      <c r="K537" s="1243">
        <f t="shared" si="91"/>
        <v>0.1</v>
      </c>
      <c r="L537" s="203"/>
      <c r="N537" s="1425">
        <v>44454</v>
      </c>
      <c r="O537" s="1502">
        <v>25.5304</v>
      </c>
      <c r="P537" s="1502">
        <v>7.4610000000000003</v>
      </c>
      <c r="Q537" s="1502">
        <v>23.6343</v>
      </c>
      <c r="R537" s="1233">
        <f>'B. PE'!$U$23</f>
        <v>15.978235616082999</v>
      </c>
      <c r="S537" s="1233"/>
      <c r="T537" s="1233"/>
      <c r="V537" s="1425">
        <v>44454</v>
      </c>
      <c r="W537" s="1">
        <v>13.900600000000001</v>
      </c>
      <c r="X537" s="1">
        <v>1.5444</v>
      </c>
      <c r="Y537" s="1">
        <v>11.0943</v>
      </c>
      <c r="Z537" s="1">
        <v>1.0854299999999999</v>
      </c>
      <c r="AB537" s="1425">
        <v>44435</v>
      </c>
      <c r="AC537" s="1">
        <v>8.4099000000000004</v>
      </c>
      <c r="AD537" s="1502">
        <v>1.5488999999999999</v>
      </c>
      <c r="AE537" s="1">
        <v>5.0384000000000002</v>
      </c>
      <c r="AF537" s="1">
        <v>4.0230000000000002E-2</v>
      </c>
      <c r="AH537" s="1425">
        <v>44435</v>
      </c>
      <c r="AI537" s="1">
        <v>14.079000000000001</v>
      </c>
      <c r="AJ537" s="1">
        <v>2.5562</v>
      </c>
      <c r="AK537" s="1">
        <v>6.7309999999999999</v>
      </c>
      <c r="AL537" s="1">
        <v>3.6900000000000002E-2</v>
      </c>
      <c r="AN537" s="1425">
        <v>44434</v>
      </c>
      <c r="AO537" s="1">
        <v>10.588200000000001</v>
      </c>
      <c r="AP537" s="1">
        <v>1.3816999999999999</v>
      </c>
      <c r="AQ537" s="1">
        <v>7.7666000000000004</v>
      </c>
      <c r="AR537" s="1">
        <v>0.32246999999999998</v>
      </c>
      <c r="AT537" s="1425">
        <v>44434</v>
      </c>
      <c r="AU537" s="1">
        <v>6.8905000000000003</v>
      </c>
      <c r="AV537" s="1">
        <v>0.54110000000000003</v>
      </c>
      <c r="AW537" s="1">
        <v>4.9260000000000002</v>
      </c>
      <c r="AX537" s="1">
        <v>0.13397000000000001</v>
      </c>
      <c r="BA537" s="1425">
        <v>44431</v>
      </c>
      <c r="BB537" s="1">
        <v>17.236000000000001</v>
      </c>
      <c r="BC537" s="1">
        <v>4.2744</v>
      </c>
      <c r="BD537" s="1">
        <v>15.1378</v>
      </c>
      <c r="BE537" s="1">
        <v>1.0497300000000001</v>
      </c>
      <c r="BG537" s="1425">
        <v>44431</v>
      </c>
      <c r="BH537" s="1">
        <v>27.557099999999998</v>
      </c>
      <c r="BI537" s="1">
        <v>5.6862000000000004</v>
      </c>
      <c r="BJ537" s="1">
        <v>28.948499999999999</v>
      </c>
      <c r="BT537" s="1425">
        <v>44454</v>
      </c>
      <c r="BU537" s="1">
        <v>19.385300000000001</v>
      </c>
      <c r="BV537" s="1">
        <v>4.8681000000000001</v>
      </c>
      <c r="BW537" s="1">
        <v>11.244400000000001</v>
      </c>
      <c r="BX537" s="1">
        <v>2.7458999999999998</v>
      </c>
      <c r="BZ537" s="1425">
        <v>44454</v>
      </c>
      <c r="CA537" s="1">
        <v>54.213200000000001</v>
      </c>
      <c r="CB537" s="1">
        <v>2.8315000000000001</v>
      </c>
      <c r="CC537" s="1">
        <v>106.43259999999999</v>
      </c>
      <c r="CD537" s="1">
        <v>1.1130100000000001</v>
      </c>
      <c r="CF537" s="1425">
        <v>44453</v>
      </c>
      <c r="CG537" s="1">
        <v>12.268700000000001</v>
      </c>
      <c r="CH537" s="1">
        <v>2.3473000000000002</v>
      </c>
      <c r="CI537" s="1">
        <v>9.8435000000000006</v>
      </c>
      <c r="CL537" s="1425">
        <v>44467</v>
      </c>
      <c r="CM537" s="1">
        <v>26.172799999999999</v>
      </c>
      <c r="CN537" s="1">
        <v>2.8186</v>
      </c>
      <c r="CO537" s="1">
        <v>11.8573</v>
      </c>
    </row>
    <row r="538" spans="1:93">
      <c r="A538" s="1425">
        <v>44453</v>
      </c>
      <c r="B538" s="20">
        <f t="shared" si="82"/>
        <v>25.3566</v>
      </c>
      <c r="C538" s="20">
        <f t="shared" si="84"/>
        <v>13.803699999999999</v>
      </c>
      <c r="D538" s="20">
        <f t="shared" si="85"/>
        <v>15.0031</v>
      </c>
      <c r="E538" s="20">
        <f t="shared" si="86"/>
        <v>10.196099999999999</v>
      </c>
      <c r="F538" s="20">
        <f t="shared" si="87"/>
        <v>30.015499999999999</v>
      </c>
      <c r="G538" s="20">
        <f t="shared" si="88"/>
        <v>17.236000000000001</v>
      </c>
      <c r="H538" s="1239">
        <f t="shared" si="89"/>
        <v>15.0031</v>
      </c>
      <c r="I538" s="1243">
        <f t="shared" si="83"/>
        <v>0.6900907145856523</v>
      </c>
      <c r="J538" s="1243">
        <f t="shared" si="90"/>
        <v>0.12093838824177333</v>
      </c>
      <c r="K538" s="1243">
        <f t="shared" si="91"/>
        <v>0.1</v>
      </c>
      <c r="L538" s="203"/>
      <c r="N538" s="1425">
        <v>44453</v>
      </c>
      <c r="O538" s="1502">
        <v>25.3566</v>
      </c>
      <c r="P538" s="1502">
        <v>7.4101999999999997</v>
      </c>
      <c r="Q538" s="1502">
        <v>23.466699999999999</v>
      </c>
      <c r="R538" s="1233">
        <f>'B. PE'!$U$23</f>
        <v>15.978235616082999</v>
      </c>
      <c r="S538" s="1233"/>
      <c r="T538" s="1233"/>
      <c r="V538" s="1425">
        <v>44453</v>
      </c>
      <c r="W538" s="1">
        <v>13.803699999999999</v>
      </c>
      <c r="X538" s="1">
        <v>1.5337000000000001</v>
      </c>
      <c r="Y538" s="1">
        <v>11.0375</v>
      </c>
      <c r="Z538" s="1">
        <v>1.01692</v>
      </c>
      <c r="AB538" s="1425">
        <v>44434</v>
      </c>
      <c r="AC538" s="1">
        <v>8.7128999999999994</v>
      </c>
      <c r="AD538" s="1502">
        <v>1.6048</v>
      </c>
      <c r="AE538" s="1">
        <v>5.173</v>
      </c>
      <c r="AF538" s="1">
        <v>4.095E-2</v>
      </c>
      <c r="AH538" s="1425">
        <v>44434</v>
      </c>
      <c r="AI538" s="1">
        <v>14.1877</v>
      </c>
      <c r="AJ538" s="1">
        <v>2.5758999999999999</v>
      </c>
      <c r="AK538" s="1">
        <v>6.7889999999999997</v>
      </c>
      <c r="AL538" s="1">
        <v>3.6790000000000003E-2</v>
      </c>
      <c r="AN538" s="1425">
        <v>44433</v>
      </c>
      <c r="AO538" s="1">
        <v>10.5098</v>
      </c>
      <c r="AP538" s="1">
        <v>1.3714999999999999</v>
      </c>
      <c r="AQ538" s="1">
        <v>7.7050999999999998</v>
      </c>
      <c r="AR538" s="1">
        <v>0.33128000000000002</v>
      </c>
      <c r="AT538" s="1425">
        <v>44433</v>
      </c>
      <c r="AU538" s="1">
        <v>6.7727000000000004</v>
      </c>
      <c r="AV538" s="1">
        <v>0.53190000000000004</v>
      </c>
      <c r="AW538" s="1">
        <v>4.8597999999999999</v>
      </c>
      <c r="BA538" s="1425">
        <v>44428</v>
      </c>
      <c r="BB538" s="1">
        <v>17.111999999999998</v>
      </c>
      <c r="BC538" s="1">
        <v>4.2435999999999998</v>
      </c>
      <c r="BD538" s="1">
        <v>15.0443</v>
      </c>
      <c r="BE538" s="1">
        <v>1.0801400000000001</v>
      </c>
      <c r="BG538" s="1425">
        <v>44428</v>
      </c>
      <c r="BH538" s="1">
        <v>28.014399999999998</v>
      </c>
      <c r="BI538" s="1">
        <v>5.7805</v>
      </c>
      <c r="BJ538" s="1">
        <v>29.380700000000001</v>
      </c>
      <c r="BT538" s="1425">
        <v>44453</v>
      </c>
      <c r="BU538" s="1">
        <v>19.369700000000002</v>
      </c>
      <c r="BV538" s="1">
        <v>4.8642000000000003</v>
      </c>
      <c r="BW538" s="1">
        <v>11.2357</v>
      </c>
      <c r="BX538" s="1">
        <v>2.6116999999999999</v>
      </c>
      <c r="BZ538" s="1425">
        <v>44453</v>
      </c>
      <c r="CA538" s="1">
        <v>54.094499999999996</v>
      </c>
      <c r="CB538" s="1">
        <v>2.8252999999999999</v>
      </c>
      <c r="CC538" s="1">
        <v>106.2967</v>
      </c>
      <c r="CD538" s="1">
        <v>1.04034</v>
      </c>
      <c r="CF538" s="1425">
        <v>44452</v>
      </c>
      <c r="CG538" s="1">
        <v>11.461499999999999</v>
      </c>
      <c r="CH538" s="1">
        <v>2.1928999999999998</v>
      </c>
      <c r="CI538" s="1">
        <v>9.2736000000000001</v>
      </c>
      <c r="CL538" s="1425">
        <v>44466</v>
      </c>
      <c r="CM538" s="1">
        <v>26.546199999999999</v>
      </c>
      <c r="CN538" s="1">
        <v>2.8588</v>
      </c>
      <c r="CO538" s="1">
        <v>12.0252</v>
      </c>
    </row>
    <row r="539" spans="1:93">
      <c r="A539" s="1425">
        <v>44452</v>
      </c>
      <c r="B539" s="20">
        <f t="shared" si="82"/>
        <v>23.705300000000001</v>
      </c>
      <c r="C539" s="20">
        <f t="shared" si="84"/>
        <v>14.215400000000001</v>
      </c>
      <c r="D539" s="20">
        <f t="shared" si="85"/>
        <v>14.731299999999999</v>
      </c>
      <c r="E539" s="20">
        <f t="shared" si="86"/>
        <v>10.2745</v>
      </c>
      <c r="F539" s="20">
        <f t="shared" si="87"/>
        <v>30.015499999999999</v>
      </c>
      <c r="G539" s="20">
        <f t="shared" si="88"/>
        <v>17.236000000000001</v>
      </c>
      <c r="H539" s="1239">
        <f t="shared" si="89"/>
        <v>14.731299999999999</v>
      </c>
      <c r="I539" s="1243">
        <f t="shared" si="83"/>
        <v>0.60917909485245714</v>
      </c>
      <c r="J539" s="1243">
        <f t="shared" si="90"/>
        <v>0.12093838824177333</v>
      </c>
      <c r="K539" s="1243">
        <f t="shared" si="91"/>
        <v>0.1</v>
      </c>
      <c r="L539" s="203"/>
      <c r="N539" s="1425">
        <v>44452</v>
      </c>
      <c r="O539" s="1502">
        <v>23.705300000000001</v>
      </c>
      <c r="P539" s="1502">
        <v>6.9276</v>
      </c>
      <c r="Q539" s="1502">
        <v>21.8751</v>
      </c>
      <c r="R539" s="1233">
        <f>'B. PE'!$U$23</f>
        <v>15.978235616082999</v>
      </c>
      <c r="S539" s="1233"/>
      <c r="T539" s="1233"/>
      <c r="V539" s="1425">
        <v>44452</v>
      </c>
      <c r="W539" s="1">
        <v>14.215400000000001</v>
      </c>
      <c r="X539" s="1">
        <v>1.5793999999999999</v>
      </c>
      <c r="Y539" s="1">
        <v>11.2788</v>
      </c>
      <c r="Z539" s="1">
        <v>1.0225599999999999</v>
      </c>
      <c r="AB539" s="1425">
        <v>44433</v>
      </c>
      <c r="AC539" s="1">
        <v>8.7887000000000004</v>
      </c>
      <c r="AD539" s="1502">
        <v>1.6187</v>
      </c>
      <c r="AE539" s="1">
        <v>5.2066999999999997</v>
      </c>
      <c r="AF539" s="1">
        <v>4.206E-2</v>
      </c>
      <c r="AH539" s="1425">
        <v>44433</v>
      </c>
      <c r="AI539" s="1">
        <v>14.4595</v>
      </c>
      <c r="AJ539" s="1">
        <v>2.6253000000000002</v>
      </c>
      <c r="AK539" s="1">
        <v>6.9340999999999999</v>
      </c>
      <c r="AL539" s="1">
        <v>3.6569999999999998E-2</v>
      </c>
      <c r="AN539" s="1425">
        <v>44432</v>
      </c>
      <c r="AO539" s="1">
        <v>10.666700000000001</v>
      </c>
      <c r="AP539" s="1">
        <v>1.3918999999999999</v>
      </c>
      <c r="AQ539" s="1">
        <v>7.8281999999999998</v>
      </c>
      <c r="AR539" s="1">
        <v>0.33500000000000002</v>
      </c>
      <c r="AT539" s="1425">
        <v>44432</v>
      </c>
      <c r="AU539" s="1">
        <v>6.6548999999999996</v>
      </c>
      <c r="AV539" s="1">
        <v>0.52259999999999995</v>
      </c>
      <c r="AW539" s="1">
        <v>4.7934999999999999</v>
      </c>
      <c r="BA539" s="1425">
        <v>44427</v>
      </c>
      <c r="BB539" s="1">
        <v>17.36</v>
      </c>
      <c r="BC539" s="1">
        <v>4.3051000000000004</v>
      </c>
      <c r="BD539" s="1">
        <v>15.231299999999999</v>
      </c>
      <c r="BE539" s="1">
        <v>1.06463</v>
      </c>
      <c r="BG539" s="1425">
        <v>44427</v>
      </c>
      <c r="BH539" s="1">
        <v>28.471800000000002</v>
      </c>
      <c r="BI539" s="1">
        <v>5.8749000000000002</v>
      </c>
      <c r="BJ539" s="1">
        <v>29.812899999999999</v>
      </c>
      <c r="BT539" s="1425">
        <v>44452</v>
      </c>
      <c r="BU539" s="1">
        <v>19.447500000000002</v>
      </c>
      <c r="BV539" s="1">
        <v>4.8837999999999999</v>
      </c>
      <c r="BW539" s="1">
        <v>11.279400000000001</v>
      </c>
      <c r="BX539" s="1">
        <v>2.6118999999999999</v>
      </c>
      <c r="BZ539" s="1425">
        <v>44452</v>
      </c>
      <c r="CA539" s="1">
        <v>51.840600000000002</v>
      </c>
      <c r="CB539" s="1">
        <v>2.7075999999999998</v>
      </c>
      <c r="CC539" s="1">
        <v>103.7133</v>
      </c>
      <c r="CD539" s="1">
        <v>1.04297</v>
      </c>
      <c r="CF539" s="1425">
        <v>44449</v>
      </c>
      <c r="CG539" s="1">
        <v>10.4526</v>
      </c>
      <c r="CH539" s="1">
        <v>1.9999</v>
      </c>
      <c r="CI539" s="1">
        <v>8.5610999999999997</v>
      </c>
      <c r="CL539" s="1425">
        <v>44463</v>
      </c>
      <c r="CM539" s="1">
        <v>27.026299999999999</v>
      </c>
      <c r="CN539" s="1">
        <v>2.9104999999999999</v>
      </c>
      <c r="CO539" s="1">
        <v>12.241099999999999</v>
      </c>
    </row>
    <row r="540" spans="1:93">
      <c r="A540" s="1425">
        <v>44449</v>
      </c>
      <c r="B540" s="20">
        <f t="shared" si="82"/>
        <v>22.162600000000001</v>
      </c>
      <c r="C540" s="20">
        <f t="shared" si="84"/>
        <v>13.3194</v>
      </c>
      <c r="D540" s="20">
        <f t="shared" si="85"/>
        <v>15.220499999999999</v>
      </c>
      <c r="E540" s="20">
        <f t="shared" si="86"/>
        <v>10.2745</v>
      </c>
      <c r="F540" s="20">
        <f t="shared" si="87"/>
        <v>30.587199999999999</v>
      </c>
      <c r="G540" s="20">
        <f t="shared" si="88"/>
        <v>17.111999999999998</v>
      </c>
      <c r="H540" s="1239">
        <f t="shared" si="89"/>
        <v>15.220499999999999</v>
      </c>
      <c r="I540" s="1243">
        <f t="shared" si="83"/>
        <v>0.45610196774087597</v>
      </c>
      <c r="J540" s="1243">
        <f t="shared" si="90"/>
        <v>0.12093838824177333</v>
      </c>
      <c r="K540" s="1243">
        <f t="shared" si="91"/>
        <v>0.1</v>
      </c>
      <c r="L540" s="203"/>
      <c r="N540" s="1425">
        <v>44449</v>
      </c>
      <c r="O540" s="1502">
        <v>22.162600000000001</v>
      </c>
      <c r="P540" s="1502">
        <v>6.4767999999999999</v>
      </c>
      <c r="Q540" s="1502">
        <v>20.388100000000001</v>
      </c>
      <c r="R540" s="1233">
        <f>'B. PE'!$U$23</f>
        <v>15.978235616082999</v>
      </c>
      <c r="S540" s="1233"/>
      <c r="T540" s="1233"/>
      <c r="V540" s="1425">
        <v>44449</v>
      </c>
      <c r="W540" s="1">
        <v>13.3194</v>
      </c>
      <c r="X540" s="1">
        <v>1.4799</v>
      </c>
      <c r="Y540" s="1">
        <v>10.7537</v>
      </c>
      <c r="Z540" s="1">
        <v>0.99151</v>
      </c>
      <c r="AB540" s="1425">
        <v>44432</v>
      </c>
      <c r="AC540" s="1">
        <v>8.9402000000000008</v>
      </c>
      <c r="AD540" s="1502">
        <v>1.6466000000000001</v>
      </c>
      <c r="AE540" s="1">
        <v>5.274</v>
      </c>
      <c r="AF540" s="1">
        <v>4.1610000000000001E-2</v>
      </c>
      <c r="AH540" s="1425">
        <v>44432</v>
      </c>
      <c r="AI540" s="1">
        <v>14.405200000000001</v>
      </c>
      <c r="AJ540" s="1">
        <v>2.6154000000000002</v>
      </c>
      <c r="AK540" s="1">
        <v>6.9051</v>
      </c>
      <c r="AL540" s="1">
        <v>3.44E-2</v>
      </c>
      <c r="AN540" s="1425">
        <v>44431</v>
      </c>
      <c r="AO540" s="1">
        <v>10.980399999999999</v>
      </c>
      <c r="AP540" s="1">
        <v>1.4329000000000001</v>
      </c>
      <c r="AQ540" s="1">
        <v>8.0742999999999991</v>
      </c>
      <c r="AR540" s="1">
        <v>0.32797999999999999</v>
      </c>
      <c r="AT540" s="1425">
        <v>44431</v>
      </c>
      <c r="AW540" s="1">
        <v>4.8929</v>
      </c>
      <c r="BA540" s="1425">
        <v>44426</v>
      </c>
      <c r="BB540" s="1">
        <v>17.856000000000002</v>
      </c>
      <c r="BC540" s="1">
        <v>4.4280999999999997</v>
      </c>
      <c r="BD540" s="1">
        <v>15.6052</v>
      </c>
      <c r="BE540" s="1">
        <v>1.03312</v>
      </c>
      <c r="BG540" s="1425">
        <v>44426</v>
      </c>
      <c r="BH540" s="1">
        <v>28.357500000000002</v>
      </c>
      <c r="BI540" s="1">
        <v>5.8513000000000002</v>
      </c>
      <c r="BJ540" s="1">
        <v>29.704899999999999</v>
      </c>
      <c r="BT540" s="1425">
        <v>44449</v>
      </c>
      <c r="BU540" s="1">
        <v>18.4985</v>
      </c>
      <c r="BV540" s="1">
        <v>4.6454000000000004</v>
      </c>
      <c r="BW540" s="1">
        <v>10.746600000000001</v>
      </c>
      <c r="BX540" s="1">
        <v>2.4481000000000002</v>
      </c>
      <c r="BZ540" s="1425">
        <v>44449</v>
      </c>
      <c r="CA540" s="1">
        <v>48.459699999999998</v>
      </c>
      <c r="CB540" s="1">
        <v>2.5310000000000001</v>
      </c>
      <c r="CC540" s="1">
        <v>99.838300000000004</v>
      </c>
      <c r="CD540" s="1">
        <v>1.0166299999999999</v>
      </c>
      <c r="CF540" s="1425">
        <v>44448</v>
      </c>
      <c r="CG540" s="1">
        <v>9.8069000000000006</v>
      </c>
      <c r="CH540" s="1">
        <v>1.8763000000000001</v>
      </c>
      <c r="CI540" s="1">
        <v>8.1052</v>
      </c>
      <c r="CL540" s="1425">
        <v>44462</v>
      </c>
      <c r="CM540" s="1">
        <v>27.435199999999998</v>
      </c>
      <c r="CN540" s="1">
        <v>2.9546000000000001</v>
      </c>
      <c r="CO540" s="1">
        <v>12.424899999999999</v>
      </c>
    </row>
    <row r="541" spans="1:93">
      <c r="A541" s="1425">
        <v>44448</v>
      </c>
      <c r="B541" s="20">
        <f t="shared" si="82"/>
        <v>20.793700000000001</v>
      </c>
      <c r="C541" s="20">
        <f t="shared" si="84"/>
        <v>13.391999999999999</v>
      </c>
      <c r="D541" s="20">
        <f t="shared" si="85"/>
        <v>15.383599999999999</v>
      </c>
      <c r="E541" s="20">
        <f t="shared" si="86"/>
        <v>10.196099999999999</v>
      </c>
      <c r="F541" s="20">
        <f t="shared" si="87"/>
        <v>29.157900000000001</v>
      </c>
      <c r="G541" s="20">
        <f t="shared" si="88"/>
        <v>16.864000000000001</v>
      </c>
      <c r="H541" s="1239">
        <f t="shared" si="89"/>
        <v>15.383599999999999</v>
      </c>
      <c r="I541" s="1243">
        <f t="shared" si="83"/>
        <v>0.35167971086091687</v>
      </c>
      <c r="J541" s="1243">
        <f t="shared" si="90"/>
        <v>0.12093838824177333</v>
      </c>
      <c r="K541" s="1243">
        <f t="shared" si="91"/>
        <v>0.1</v>
      </c>
      <c r="L541" s="203"/>
      <c r="N541" s="1425">
        <v>44448</v>
      </c>
      <c r="O541" s="1502">
        <v>20.793700000000001</v>
      </c>
      <c r="P541" s="1502">
        <v>6.0766999999999998</v>
      </c>
      <c r="Q541" s="1502">
        <v>19.0687</v>
      </c>
      <c r="R541" s="1233">
        <f>'B. PE'!$U$23</f>
        <v>15.978235616082999</v>
      </c>
      <c r="S541" s="1233"/>
      <c r="T541" s="1233"/>
      <c r="V541" s="1425">
        <v>44448</v>
      </c>
      <c r="W541" s="1">
        <v>13.391999999999999</v>
      </c>
      <c r="X541" s="1">
        <v>1.4879</v>
      </c>
      <c r="Y541" s="1">
        <v>10.7963</v>
      </c>
      <c r="Z541" s="1">
        <v>0.99890999999999996</v>
      </c>
      <c r="AB541" s="1425">
        <v>44431</v>
      </c>
      <c r="AC541" s="1">
        <v>9.1675000000000004</v>
      </c>
      <c r="AD541" s="1502">
        <v>1.6884999999999999</v>
      </c>
      <c r="AE541" s="1">
        <v>5.3749000000000002</v>
      </c>
      <c r="AF541" s="1">
        <v>4.147E-2</v>
      </c>
      <c r="AH541" s="1425">
        <v>44431</v>
      </c>
      <c r="AI541" s="1">
        <v>14.2964</v>
      </c>
      <c r="AJ541" s="1">
        <v>2.5956999999999999</v>
      </c>
      <c r="AK541" s="1">
        <v>6.8471000000000002</v>
      </c>
      <c r="AL541" s="1">
        <v>3.3590000000000002E-2</v>
      </c>
      <c r="AN541" s="1425">
        <v>44428</v>
      </c>
      <c r="AO541" s="1">
        <v>11.1373</v>
      </c>
      <c r="AP541" s="1">
        <v>1.4533</v>
      </c>
      <c r="AQ541" s="1">
        <v>8.1974</v>
      </c>
      <c r="AR541" s="1">
        <v>0.32562999999999998</v>
      </c>
      <c r="AT541" s="1425">
        <v>44428</v>
      </c>
      <c r="AW541" s="1">
        <v>4.8929</v>
      </c>
      <c r="AX541" s="1">
        <v>0.13686000000000001</v>
      </c>
      <c r="BA541" s="1425">
        <v>44425</v>
      </c>
      <c r="BB541" s="1">
        <v>17.608000000000001</v>
      </c>
      <c r="BC541" s="1">
        <v>4.3666</v>
      </c>
      <c r="BD541" s="1">
        <v>15.418200000000001</v>
      </c>
      <c r="BE541" s="1">
        <v>0.99814000000000003</v>
      </c>
      <c r="BG541" s="1425">
        <v>44425</v>
      </c>
      <c r="BH541" s="1">
        <v>27.442699999999999</v>
      </c>
      <c r="BI541" s="1">
        <v>5.6626000000000003</v>
      </c>
      <c r="BJ541" s="1">
        <v>28.840499999999999</v>
      </c>
      <c r="BT541" s="1425">
        <v>44448</v>
      </c>
      <c r="BU541" s="1">
        <v>18.4985</v>
      </c>
      <c r="BV541" s="1">
        <v>4.6454000000000004</v>
      </c>
      <c r="BW541" s="1">
        <v>10.746600000000001</v>
      </c>
      <c r="BX541" s="1">
        <v>2.4239999999999999</v>
      </c>
      <c r="BZ541" s="1425">
        <v>44448</v>
      </c>
      <c r="CA541" s="1">
        <v>48.578299999999999</v>
      </c>
      <c r="CB541" s="1">
        <v>2.5371999999999999</v>
      </c>
      <c r="CC541" s="1">
        <v>99.974299999999999</v>
      </c>
      <c r="CD541" s="1">
        <v>1.0446599999999999</v>
      </c>
      <c r="CF541" s="1425">
        <v>44447</v>
      </c>
      <c r="CG541" s="1">
        <v>9.0805000000000007</v>
      </c>
      <c r="CH541" s="1">
        <v>1.7373000000000001</v>
      </c>
      <c r="CI541" s="1">
        <v>7.5922000000000001</v>
      </c>
      <c r="CL541" s="1425">
        <v>44461</v>
      </c>
      <c r="CM541" s="1">
        <v>27.150700000000001</v>
      </c>
      <c r="CN541" s="1">
        <v>2.9239000000000002</v>
      </c>
      <c r="CO541" s="1">
        <v>12.297000000000001</v>
      </c>
    </row>
    <row r="542" spans="1:93">
      <c r="A542" s="1425">
        <v>44447</v>
      </c>
      <c r="B542" s="20">
        <f t="shared" si="82"/>
        <v>20.207100000000001</v>
      </c>
      <c r="C542" s="20">
        <f t="shared" si="84"/>
        <v>12.9803</v>
      </c>
      <c r="D542" s="20">
        <f t="shared" si="85"/>
        <v>14.568199999999999</v>
      </c>
      <c r="E542" s="20">
        <f t="shared" si="86"/>
        <v>10.3529</v>
      </c>
      <c r="F542" s="20">
        <f t="shared" si="87"/>
        <v>28.471800000000002</v>
      </c>
      <c r="G542" s="20">
        <f t="shared" si="88"/>
        <v>16.739999999999998</v>
      </c>
      <c r="H542" s="1239">
        <f t="shared" si="89"/>
        <v>14.568199999999999</v>
      </c>
      <c r="I542" s="1243">
        <f t="shared" si="83"/>
        <v>0.38706909570159675</v>
      </c>
      <c r="J542" s="1243">
        <f t="shared" si="90"/>
        <v>0.12093838824177333</v>
      </c>
      <c r="K542" s="1243">
        <f t="shared" si="91"/>
        <v>0.1</v>
      </c>
      <c r="L542" s="203"/>
      <c r="N542" s="1425">
        <v>44447</v>
      </c>
      <c r="O542" s="1502">
        <v>20.207100000000001</v>
      </c>
      <c r="P542" s="1502">
        <v>5.9053000000000004</v>
      </c>
      <c r="Q542" s="1502">
        <v>18.503299999999999</v>
      </c>
      <c r="R542" s="1233">
        <f>'B. PE'!$U$23</f>
        <v>15.978235616082999</v>
      </c>
      <c r="S542" s="1233"/>
      <c r="T542" s="1233"/>
      <c r="V542" s="1425">
        <v>44447</v>
      </c>
      <c r="W542" s="1">
        <v>12.9803</v>
      </c>
      <c r="X542" s="1">
        <v>1.4421999999999999</v>
      </c>
      <c r="Y542" s="1">
        <v>10.555</v>
      </c>
      <c r="Z542" s="1">
        <v>1.0516799999999999</v>
      </c>
      <c r="AB542" s="1425">
        <v>44428</v>
      </c>
      <c r="AC542" s="1">
        <v>9.0917999999999992</v>
      </c>
      <c r="AD542" s="1502">
        <v>1.6745000000000001</v>
      </c>
      <c r="AE542" s="1">
        <v>5.3413000000000004</v>
      </c>
      <c r="AF542" s="1">
        <v>4.1360000000000001E-2</v>
      </c>
      <c r="AH542" s="1425">
        <v>44428</v>
      </c>
      <c r="AI542" s="1">
        <v>13.481</v>
      </c>
      <c r="AJ542" s="1">
        <v>2.4476</v>
      </c>
      <c r="AK542" s="1">
        <v>6.4118000000000004</v>
      </c>
      <c r="AL542" s="1">
        <v>3.4340000000000002E-2</v>
      </c>
      <c r="AN542" s="1425">
        <v>44427</v>
      </c>
      <c r="AO542" s="1">
        <v>10.901999999999999</v>
      </c>
      <c r="AP542" s="1">
        <v>1.4226000000000001</v>
      </c>
      <c r="AQ542" s="1">
        <v>8.0128000000000004</v>
      </c>
      <c r="AR542" s="1">
        <v>0.32807999999999998</v>
      </c>
      <c r="AT542" s="1425">
        <v>44427</v>
      </c>
      <c r="AW542" s="1">
        <v>4.8929</v>
      </c>
      <c r="AX542" s="1">
        <v>0.13572000000000001</v>
      </c>
      <c r="BA542" s="1425">
        <v>44424</v>
      </c>
      <c r="BB542" s="1">
        <v>17.111999999999998</v>
      </c>
      <c r="BC542" s="1">
        <v>4.2435999999999998</v>
      </c>
      <c r="BD542" s="1">
        <v>15.0443</v>
      </c>
      <c r="BE542" s="1">
        <v>1.0097700000000001</v>
      </c>
      <c r="BG542" s="1425">
        <v>44424</v>
      </c>
      <c r="BH542" s="1">
        <v>27.671399999999998</v>
      </c>
      <c r="BI542" s="1">
        <v>5.7098000000000004</v>
      </c>
      <c r="BJ542" s="1">
        <v>29.0566</v>
      </c>
      <c r="BT542" s="1425">
        <v>44447</v>
      </c>
      <c r="BU542" s="1">
        <v>17.331600000000002</v>
      </c>
      <c r="BV542" s="1">
        <v>4.3524000000000003</v>
      </c>
      <c r="BW542" s="1">
        <v>10.091699999999999</v>
      </c>
      <c r="BX542" s="1">
        <v>2.4373</v>
      </c>
      <c r="BZ542" s="1425">
        <v>44447</v>
      </c>
      <c r="CA542" s="1">
        <v>47.332700000000003</v>
      </c>
      <c r="CB542" s="1">
        <v>2.4721000000000002</v>
      </c>
      <c r="CC542" s="1">
        <v>98.546599999999998</v>
      </c>
      <c r="CD542" s="1">
        <v>1.0908899999999999</v>
      </c>
      <c r="CF542" s="1425">
        <v>44446</v>
      </c>
      <c r="CG542" s="1">
        <v>8.9594000000000005</v>
      </c>
      <c r="CH542" s="1">
        <v>1.7141999999999999</v>
      </c>
      <c r="CI542" s="1">
        <v>7.5067000000000004</v>
      </c>
      <c r="CL542" s="1425">
        <v>44460</v>
      </c>
      <c r="CM542" s="1">
        <v>26.172799999999999</v>
      </c>
      <c r="CN542" s="1">
        <v>2.8186</v>
      </c>
      <c r="CO542" s="1">
        <v>11.8573</v>
      </c>
    </row>
    <row r="543" spans="1:93">
      <c r="A543" s="1425">
        <v>44446</v>
      </c>
      <c r="B543" s="20">
        <f t="shared" si="82"/>
        <v>20.163599999999999</v>
      </c>
      <c r="C543" s="20">
        <f t="shared" si="84"/>
        <v>13.077199999999999</v>
      </c>
      <c r="D543" s="20">
        <f t="shared" si="85"/>
        <v>14.405200000000001</v>
      </c>
      <c r="E543" s="20">
        <f t="shared" si="86"/>
        <v>10.5098</v>
      </c>
      <c r="F543" s="20">
        <f t="shared" si="87"/>
        <v>27.442699999999999</v>
      </c>
      <c r="G543" s="20">
        <f t="shared" si="88"/>
        <v>16.616</v>
      </c>
      <c r="H543" s="1239">
        <f t="shared" si="89"/>
        <v>14.405200000000001</v>
      </c>
      <c r="I543" s="1243">
        <f t="shared" si="83"/>
        <v>0.39974453669508225</v>
      </c>
      <c r="J543" s="1243">
        <f t="shared" si="90"/>
        <v>0.12093838824177333</v>
      </c>
      <c r="K543" s="1243">
        <f t="shared" si="91"/>
        <v>0.1</v>
      </c>
      <c r="L543" s="203"/>
      <c r="N543" s="1425">
        <v>44446</v>
      </c>
      <c r="O543" s="1502">
        <v>20.163599999999999</v>
      </c>
      <c r="P543" s="1502">
        <v>5.8925999999999998</v>
      </c>
      <c r="Q543" s="1502">
        <v>18.461400000000001</v>
      </c>
      <c r="R543" s="1233">
        <f>'B. PE'!$U$23</f>
        <v>15.978235616082999</v>
      </c>
      <c r="S543" s="1233"/>
      <c r="T543" s="1233"/>
      <c r="V543" s="1425">
        <v>44446</v>
      </c>
      <c r="W543" s="1">
        <v>13.077199999999999</v>
      </c>
      <c r="X543" s="1">
        <v>1.4530000000000001</v>
      </c>
      <c r="Y543" s="1">
        <v>10.611800000000001</v>
      </c>
      <c r="Z543" s="1">
        <v>1.0258499999999999</v>
      </c>
      <c r="AB543" s="1425">
        <v>44427</v>
      </c>
      <c r="AC543" s="1">
        <v>9.0917999999999992</v>
      </c>
      <c r="AD543" s="1502">
        <v>1.6745000000000001</v>
      </c>
      <c r="AE543" s="1">
        <v>5.3413000000000004</v>
      </c>
      <c r="AF543" s="1">
        <v>4.4179999999999997E-2</v>
      </c>
      <c r="AH543" s="1425">
        <v>44427</v>
      </c>
      <c r="AI543" s="1">
        <v>13.209300000000001</v>
      </c>
      <c r="AJ543" s="1">
        <v>2.3982999999999999</v>
      </c>
      <c r="AK543" s="1">
        <v>6.2667000000000002</v>
      </c>
      <c r="AL543" s="1">
        <v>3.6179999999999997E-2</v>
      </c>
      <c r="AN543" s="1425">
        <v>44426</v>
      </c>
      <c r="AO543" s="1">
        <v>10.823499999999999</v>
      </c>
      <c r="AP543" s="1">
        <v>1.4124000000000001</v>
      </c>
      <c r="AQ543" s="1">
        <v>7.9512</v>
      </c>
      <c r="AR543" s="1">
        <v>0.32569999999999999</v>
      </c>
      <c r="AT543" s="1425">
        <v>44426</v>
      </c>
      <c r="AU543" s="1">
        <v>6.8315999999999999</v>
      </c>
      <c r="AV543" s="1">
        <v>0.53649999999999998</v>
      </c>
      <c r="AW543" s="1">
        <v>4.8929</v>
      </c>
      <c r="AX543" s="1">
        <v>0.13571</v>
      </c>
      <c r="BA543" s="1425">
        <v>44421</v>
      </c>
      <c r="BB543" s="1">
        <v>16.492000000000001</v>
      </c>
      <c r="BC543" s="1">
        <v>4.0899000000000001</v>
      </c>
      <c r="BD543" s="1">
        <v>14.5769</v>
      </c>
      <c r="BE543" s="1">
        <v>1.03087</v>
      </c>
      <c r="BG543" s="1425">
        <v>44421</v>
      </c>
      <c r="BH543" s="1">
        <v>27.213999999999999</v>
      </c>
      <c r="BI543" s="1">
        <v>5.6154000000000002</v>
      </c>
      <c r="BJ543" s="1">
        <v>28.624400000000001</v>
      </c>
      <c r="BT543" s="1425">
        <v>44446</v>
      </c>
      <c r="BU543" s="1">
        <v>17.160499999999999</v>
      </c>
      <c r="BV543" s="1">
        <v>4.3094000000000001</v>
      </c>
      <c r="BW543" s="1">
        <v>9.9955999999999996</v>
      </c>
      <c r="BX543" s="1">
        <v>2.4199000000000002</v>
      </c>
      <c r="BZ543" s="1425">
        <v>44446</v>
      </c>
      <c r="CA543" s="1">
        <v>48.637599999999999</v>
      </c>
      <c r="CB543" s="1">
        <v>2.5402999999999998</v>
      </c>
      <c r="CC543" s="1">
        <v>100.04219999999999</v>
      </c>
      <c r="CD543" s="1">
        <v>1.0769299999999999</v>
      </c>
      <c r="CF543" s="1425">
        <v>44445</v>
      </c>
      <c r="CG543" s="1">
        <v>8.6364999999999998</v>
      </c>
      <c r="CH543" s="1">
        <v>1.6524000000000001</v>
      </c>
      <c r="CI543" s="1">
        <v>7.2786999999999997</v>
      </c>
      <c r="CL543" s="1425">
        <v>44459</v>
      </c>
      <c r="CM543" s="1">
        <v>26.1372</v>
      </c>
      <c r="CN543" s="1">
        <v>2.8148</v>
      </c>
      <c r="CO543" s="1">
        <v>11.8413</v>
      </c>
    </row>
    <row r="544" spans="1:93">
      <c r="A544" s="1425">
        <v>44445</v>
      </c>
      <c r="B544" s="20">
        <f t="shared" si="82"/>
        <v>19.815899999999999</v>
      </c>
      <c r="C544" s="20">
        <f t="shared" si="84"/>
        <v>13.779500000000001</v>
      </c>
      <c r="D544" s="20">
        <f t="shared" si="85"/>
        <v>13.915900000000001</v>
      </c>
      <c r="E544" s="20">
        <f t="shared" si="86"/>
        <v>10.5098</v>
      </c>
      <c r="F544" s="20">
        <f t="shared" si="87"/>
        <v>27.785699999999999</v>
      </c>
      <c r="G544" s="20">
        <f t="shared" si="88"/>
        <v>16.739999999999998</v>
      </c>
      <c r="H544" s="1239">
        <f t="shared" si="89"/>
        <v>13.915900000000001</v>
      </c>
      <c r="I544" s="1243">
        <f t="shared" si="83"/>
        <v>0.42397545253990021</v>
      </c>
      <c r="J544" s="1243">
        <f t="shared" si="90"/>
        <v>0.12093838824177333</v>
      </c>
      <c r="K544" s="1243">
        <f t="shared" si="91"/>
        <v>0.1</v>
      </c>
      <c r="L544" s="203"/>
      <c r="N544" s="1425">
        <v>44445</v>
      </c>
      <c r="O544" s="1502">
        <v>19.815899999999999</v>
      </c>
      <c r="P544" s="1502">
        <v>5.7910000000000004</v>
      </c>
      <c r="Q544" s="1502">
        <v>18.126300000000001</v>
      </c>
      <c r="R544" s="1233">
        <f>'B. PE'!$U$23</f>
        <v>15.978235616082999</v>
      </c>
      <c r="S544" s="1233"/>
      <c r="T544" s="1233"/>
      <c r="V544" s="1425">
        <v>44445</v>
      </c>
      <c r="W544" s="1">
        <v>13.779500000000001</v>
      </c>
      <c r="X544" s="1">
        <v>1.5309999999999999</v>
      </c>
      <c r="Y544" s="1">
        <v>11.023300000000001</v>
      </c>
      <c r="Z544" s="1">
        <v>1.0159800000000001</v>
      </c>
      <c r="AB544" s="1425">
        <v>44426</v>
      </c>
      <c r="AC544" s="1">
        <v>9.016</v>
      </c>
      <c r="AD544" s="1502">
        <v>1.6606000000000001</v>
      </c>
      <c r="AE544" s="1">
        <v>5.3075999999999999</v>
      </c>
      <c r="AF544" s="1">
        <v>4.3540000000000002E-2</v>
      </c>
      <c r="AH544" s="1425">
        <v>44426</v>
      </c>
      <c r="AI544" s="1">
        <v>13.4267</v>
      </c>
      <c r="AJ544" s="1">
        <v>2.4378000000000002</v>
      </c>
      <c r="AK544" s="1">
        <v>6.3826999999999998</v>
      </c>
      <c r="AL544" s="1">
        <v>3.7479999999999999E-2</v>
      </c>
      <c r="AN544" s="1425">
        <v>44425</v>
      </c>
      <c r="AO544" s="1">
        <v>10.901999999999999</v>
      </c>
      <c r="AP544" s="1">
        <v>1.4226000000000001</v>
      </c>
      <c r="AQ544" s="1">
        <v>8.0128000000000004</v>
      </c>
      <c r="AR544" s="1">
        <v>0.32573999999999997</v>
      </c>
      <c r="AT544" s="1425">
        <v>44425</v>
      </c>
      <c r="AU544" s="1">
        <v>6.7727000000000004</v>
      </c>
      <c r="AV544" s="1">
        <v>0.53190000000000004</v>
      </c>
      <c r="AW544" s="1">
        <v>4.8597999999999999</v>
      </c>
      <c r="AX544" s="1">
        <v>0.13572999999999999</v>
      </c>
      <c r="BA544" s="1425">
        <v>44419</v>
      </c>
      <c r="BB544" s="1">
        <v>16.616</v>
      </c>
      <c r="BC544" s="1">
        <v>4.1205999999999996</v>
      </c>
      <c r="BD544" s="1">
        <v>14.670299999999999</v>
      </c>
      <c r="BE544" s="1">
        <v>1.0085500000000001</v>
      </c>
      <c r="BG544" s="1425">
        <v>44419</v>
      </c>
      <c r="BH544" s="1">
        <v>27.442699999999999</v>
      </c>
      <c r="BI544" s="1">
        <v>5.6626000000000003</v>
      </c>
      <c r="BJ544" s="1">
        <v>28.840499999999999</v>
      </c>
      <c r="BT544" s="1425">
        <v>44445</v>
      </c>
      <c r="BU544" s="1">
        <v>17.269400000000001</v>
      </c>
      <c r="BV544" s="1">
        <v>4.3368000000000002</v>
      </c>
      <c r="BW544" s="1">
        <v>10.056699999999999</v>
      </c>
      <c r="BX544" s="1">
        <v>2.4359000000000002</v>
      </c>
      <c r="BZ544" s="1425">
        <v>44445</v>
      </c>
      <c r="CA544" s="1">
        <v>50.832299999999996</v>
      </c>
      <c r="CB544" s="1">
        <v>2.6549</v>
      </c>
      <c r="CC544" s="1">
        <v>102.55759999999999</v>
      </c>
      <c r="CD544" s="1">
        <v>1.0482800000000001</v>
      </c>
      <c r="CF544" s="1425">
        <v>44440</v>
      </c>
      <c r="CG544" s="1">
        <v>7.8696999999999999</v>
      </c>
      <c r="CH544" s="1">
        <v>1.5057</v>
      </c>
      <c r="CI544" s="1">
        <v>6.7373000000000003</v>
      </c>
      <c r="CL544" s="1425">
        <v>44456</v>
      </c>
      <c r="CM544" s="1">
        <v>26.0839</v>
      </c>
      <c r="CN544" s="1">
        <v>2.8090999999999999</v>
      </c>
      <c r="CO544" s="1">
        <v>11.817399999999999</v>
      </c>
    </row>
    <row r="545" spans="1:93">
      <c r="A545" s="1425">
        <v>44440</v>
      </c>
      <c r="B545" s="20">
        <f t="shared" si="82"/>
        <v>18.533999999999999</v>
      </c>
      <c r="C545" s="20">
        <f t="shared" si="84"/>
        <v>13.4405</v>
      </c>
      <c r="D545" s="20">
        <f t="shared" si="85"/>
        <v>14.242100000000001</v>
      </c>
      <c r="E545" s="20">
        <f t="shared" si="86"/>
        <v>10.4314</v>
      </c>
      <c r="F545" s="20">
        <f t="shared" si="87"/>
        <v>28.014399999999998</v>
      </c>
      <c r="G545" s="20">
        <f t="shared" si="88"/>
        <v>17.111999999999998</v>
      </c>
      <c r="H545" s="1239">
        <f t="shared" si="89"/>
        <v>14.242100000000001</v>
      </c>
      <c r="I545" s="1243">
        <f t="shared" si="83"/>
        <v>0.30135303080304165</v>
      </c>
      <c r="J545" s="1243">
        <f t="shared" si="90"/>
        <v>0.12093838824177333</v>
      </c>
      <c r="K545" s="1243">
        <f t="shared" si="91"/>
        <v>0.1</v>
      </c>
      <c r="L545" s="203"/>
      <c r="N545" s="1425">
        <v>44440</v>
      </c>
      <c r="O545" s="1502">
        <v>18.533999999999999</v>
      </c>
      <c r="P545" s="1502">
        <v>5.4162999999999997</v>
      </c>
      <c r="Q545" s="1502">
        <v>16.890699999999999</v>
      </c>
      <c r="R545" s="1233">
        <f>'B. PE'!$U$23</f>
        <v>15.978235616082999</v>
      </c>
      <c r="S545" s="1233"/>
      <c r="T545" s="1233"/>
      <c r="V545" s="1425">
        <v>44440</v>
      </c>
      <c r="W545" s="1">
        <v>13.4405</v>
      </c>
      <c r="X545" s="1">
        <v>1.4933000000000001</v>
      </c>
      <c r="Y545" s="1">
        <v>10.8246</v>
      </c>
      <c r="Z545" s="1">
        <v>1.0178700000000001</v>
      </c>
      <c r="AB545" s="1425">
        <v>44424</v>
      </c>
      <c r="AC545" s="1">
        <v>9.6220999999999997</v>
      </c>
      <c r="AD545" s="1502">
        <v>1.7722</v>
      </c>
      <c r="AE545" s="1">
        <v>5.5768000000000004</v>
      </c>
      <c r="AF545" s="1">
        <v>4.5569999999999999E-2</v>
      </c>
      <c r="AH545" s="1425">
        <v>44424</v>
      </c>
      <c r="AI545" s="1">
        <v>14.1334</v>
      </c>
      <c r="AJ545" s="1">
        <v>2.5661</v>
      </c>
      <c r="AK545" s="1">
        <v>6.76</v>
      </c>
      <c r="AL545" s="1">
        <v>3.8269999999999998E-2</v>
      </c>
      <c r="AN545" s="1425">
        <v>44424</v>
      </c>
      <c r="AO545" s="1">
        <v>10.823499999999999</v>
      </c>
      <c r="AP545" s="1">
        <v>1.4124000000000001</v>
      </c>
      <c r="AQ545" s="1">
        <v>7.9512</v>
      </c>
      <c r="AR545" s="1">
        <v>0.33561999999999997</v>
      </c>
      <c r="AT545" s="1425">
        <v>44424</v>
      </c>
      <c r="AU545" s="1">
        <v>6.7727000000000004</v>
      </c>
      <c r="AV545" s="1">
        <v>0.53190000000000004</v>
      </c>
      <c r="AW545" s="1">
        <v>4.8597999999999999</v>
      </c>
      <c r="AX545" s="1">
        <v>0.13708000000000001</v>
      </c>
      <c r="BA545" s="1425">
        <v>44418</v>
      </c>
      <c r="BB545" s="1">
        <v>17.111999999999998</v>
      </c>
      <c r="BC545" s="1">
        <v>4.2435999999999998</v>
      </c>
      <c r="BD545" s="1">
        <v>15.0443</v>
      </c>
      <c r="BE545" s="1">
        <v>1.0092699999999999</v>
      </c>
      <c r="BG545" s="1425">
        <v>44418</v>
      </c>
      <c r="BH545" s="1">
        <v>27.442699999999999</v>
      </c>
      <c r="BI545" s="1">
        <v>5.6626000000000003</v>
      </c>
      <c r="BJ545" s="1">
        <v>28.840499999999999</v>
      </c>
      <c r="BT545" s="1425">
        <v>44440</v>
      </c>
      <c r="BU545" s="1">
        <v>17.1449</v>
      </c>
      <c r="BV545" s="1">
        <v>4.3055000000000003</v>
      </c>
      <c r="BW545" s="1">
        <v>9.9869000000000003</v>
      </c>
      <c r="BX545" s="1">
        <v>2.4272</v>
      </c>
      <c r="BZ545" s="1425">
        <v>44440</v>
      </c>
      <c r="CA545" s="1">
        <v>50.1798</v>
      </c>
      <c r="CB545" s="1">
        <v>2.6208</v>
      </c>
      <c r="CC545" s="1">
        <v>101.8098</v>
      </c>
      <c r="CD545" s="1">
        <v>1.05342</v>
      </c>
      <c r="CF545" s="1425">
        <v>44439</v>
      </c>
      <c r="CG545" s="1">
        <v>7.6276000000000002</v>
      </c>
      <c r="CH545" s="1">
        <v>1.4594</v>
      </c>
      <c r="CI545" s="1">
        <v>6.5663</v>
      </c>
      <c r="CL545" s="1425">
        <v>44455</v>
      </c>
      <c r="CM545" s="1">
        <v>25.852799999999998</v>
      </c>
      <c r="CN545" s="1">
        <v>2.7841999999999998</v>
      </c>
      <c r="CO545" s="1">
        <v>11.7134</v>
      </c>
    </row>
    <row r="546" spans="1:93">
      <c r="A546" s="1425">
        <v>44439</v>
      </c>
      <c r="B546" s="20">
        <f t="shared" si="82"/>
        <v>18.838200000000001</v>
      </c>
      <c r="C546" s="20">
        <f t="shared" si="84"/>
        <v>13.3194</v>
      </c>
      <c r="D546" s="20">
        <f t="shared" si="85"/>
        <v>14.4595</v>
      </c>
      <c r="E546" s="20">
        <f t="shared" si="86"/>
        <v>10.4314</v>
      </c>
      <c r="F546" s="20">
        <f t="shared" si="87"/>
        <v>29.4437</v>
      </c>
      <c r="G546" s="20">
        <f t="shared" si="88"/>
        <v>17.236000000000001</v>
      </c>
      <c r="H546" s="1239">
        <f t="shared" si="89"/>
        <v>14.4595</v>
      </c>
      <c r="I546" s="1243">
        <f t="shared" si="83"/>
        <v>0.30282513226598429</v>
      </c>
      <c r="J546" s="1243">
        <f t="shared" si="90"/>
        <v>0.12093838824177333</v>
      </c>
      <c r="K546" s="1243">
        <f t="shared" si="91"/>
        <v>0.1</v>
      </c>
      <c r="L546" s="203"/>
      <c r="N546" s="1425">
        <v>44439</v>
      </c>
      <c r="O546" s="1502">
        <v>18.838200000000001</v>
      </c>
      <c r="P546" s="1502">
        <v>5.5052000000000003</v>
      </c>
      <c r="Q546" s="1502">
        <v>17.183900000000001</v>
      </c>
      <c r="R546" s="1233">
        <f>'B. PE'!$U$23</f>
        <v>15.978235616082999</v>
      </c>
      <c r="S546" s="1233"/>
      <c r="T546" s="1233"/>
      <c r="V546" s="1425">
        <v>44439</v>
      </c>
      <c r="W546" s="1">
        <v>13.3194</v>
      </c>
      <c r="X546" s="1">
        <v>1.4799</v>
      </c>
      <c r="Y546" s="1">
        <v>10.7537</v>
      </c>
      <c r="Z546" s="1">
        <v>0.95304999999999995</v>
      </c>
      <c r="AB546" s="1425">
        <v>44421</v>
      </c>
      <c r="AC546" s="1">
        <v>9.4705999999999992</v>
      </c>
      <c r="AD546" s="1502">
        <v>1.7443</v>
      </c>
      <c r="AE546" s="1">
        <v>5.5095000000000001</v>
      </c>
      <c r="AF546" s="1">
        <v>4.3380000000000002E-2</v>
      </c>
      <c r="AH546" s="1425">
        <v>44421</v>
      </c>
      <c r="AI546" s="1">
        <v>14.6226</v>
      </c>
      <c r="AJ546" s="1">
        <v>2.6549</v>
      </c>
      <c r="AK546" s="1">
        <v>7.0212000000000003</v>
      </c>
      <c r="AL546" s="1">
        <v>3.637E-2</v>
      </c>
      <c r="AN546" s="1425">
        <v>44421</v>
      </c>
      <c r="AO546" s="1">
        <v>10.823499999999999</v>
      </c>
      <c r="AP546" s="1">
        <v>1.4124000000000001</v>
      </c>
      <c r="AQ546" s="1">
        <v>7.9512</v>
      </c>
      <c r="AR546" s="1">
        <v>0.33023000000000002</v>
      </c>
      <c r="AT546" s="1425">
        <v>44421</v>
      </c>
      <c r="AU546" s="1">
        <v>6.7727000000000004</v>
      </c>
      <c r="AV546" s="1">
        <v>0.53190000000000004</v>
      </c>
      <c r="AW546" s="1">
        <v>4.8597999999999999</v>
      </c>
      <c r="AX546" s="1">
        <v>0.13799</v>
      </c>
      <c r="BA546" s="1425">
        <v>44417</v>
      </c>
      <c r="BB546" s="1">
        <v>16.739999999999998</v>
      </c>
      <c r="BC546" s="1">
        <v>4.1513999999999998</v>
      </c>
      <c r="BD546" s="1">
        <v>14.7638</v>
      </c>
      <c r="BE546" s="1">
        <v>1.0524100000000001</v>
      </c>
      <c r="BG546" s="1425">
        <v>44417</v>
      </c>
      <c r="BH546" s="1">
        <v>26.870999999999999</v>
      </c>
      <c r="BI546" s="1">
        <v>5.5446</v>
      </c>
      <c r="BJ546" s="1">
        <v>28.3002</v>
      </c>
      <c r="BT546" s="1425">
        <v>44439</v>
      </c>
      <c r="BU546" s="1">
        <v>17.269400000000001</v>
      </c>
      <c r="BV546" s="1">
        <v>4.3368000000000002</v>
      </c>
      <c r="BW546" s="1">
        <v>10.056699999999999</v>
      </c>
      <c r="BX546" s="1">
        <v>2.4062999999999999</v>
      </c>
      <c r="BZ546" s="1425">
        <v>44439</v>
      </c>
      <c r="CA546" s="1">
        <v>48.874899999999997</v>
      </c>
      <c r="CB546" s="1">
        <v>2.5527000000000002</v>
      </c>
      <c r="CC546" s="1">
        <v>100.3142</v>
      </c>
      <c r="CD546" s="1">
        <v>1.04051</v>
      </c>
      <c r="CF546" s="1425">
        <v>44438</v>
      </c>
      <c r="CG546" s="1">
        <v>7.5872000000000002</v>
      </c>
      <c r="CH546" s="1">
        <v>1.4516</v>
      </c>
      <c r="CI546" s="1">
        <v>6.5377999999999998</v>
      </c>
      <c r="CL546" s="1425">
        <v>44454</v>
      </c>
      <c r="CM546" s="1">
        <v>25.728300000000001</v>
      </c>
      <c r="CN546" s="1">
        <v>2.7707999999999999</v>
      </c>
      <c r="CO546" s="1">
        <v>11.657500000000001</v>
      </c>
    </row>
    <row r="547" spans="1:93">
      <c r="A547" s="1425">
        <v>44438</v>
      </c>
      <c r="B547" s="20">
        <f t="shared" si="82"/>
        <v>18.533999999999999</v>
      </c>
      <c r="C547" s="20">
        <f t="shared" si="84"/>
        <v>13.3436</v>
      </c>
      <c r="D547" s="20">
        <f t="shared" si="85"/>
        <v>14.242100000000001</v>
      </c>
      <c r="E547" s="20">
        <f t="shared" si="86"/>
        <v>10.3529</v>
      </c>
      <c r="F547" s="20">
        <f t="shared" si="87"/>
        <v>28.243099999999998</v>
      </c>
      <c r="G547" s="20">
        <f t="shared" si="88"/>
        <v>16.988</v>
      </c>
      <c r="H547" s="1239">
        <f t="shared" si="89"/>
        <v>14.242100000000001</v>
      </c>
      <c r="I547" s="1243">
        <f t="shared" si="83"/>
        <v>0.30135303080304165</v>
      </c>
      <c r="J547" s="1243">
        <f t="shared" si="90"/>
        <v>0.12093838824177333</v>
      </c>
      <c r="K547" s="1243">
        <f t="shared" si="91"/>
        <v>0.1</v>
      </c>
      <c r="L547" s="203"/>
      <c r="N547" s="1425">
        <v>44438</v>
      </c>
      <c r="O547" s="1502">
        <v>18.533999999999999</v>
      </c>
      <c r="P547" s="1502">
        <v>5.4162999999999997</v>
      </c>
      <c r="Q547" s="1502">
        <v>16.890699999999999</v>
      </c>
      <c r="R547" s="1233">
        <f>'B. PE'!$U$23</f>
        <v>15.978235616082999</v>
      </c>
      <c r="S547" s="1233"/>
      <c r="T547" s="1233"/>
      <c r="V547" s="1425">
        <v>44438</v>
      </c>
      <c r="W547" s="1">
        <v>13.3436</v>
      </c>
      <c r="X547" s="1">
        <v>1.4825999999999999</v>
      </c>
      <c r="Y547" s="1">
        <v>10.767899999999999</v>
      </c>
      <c r="Z547" s="1">
        <v>0.91635</v>
      </c>
      <c r="AB547" s="1425">
        <v>44420</v>
      </c>
      <c r="AC547" s="1">
        <v>9.9252000000000002</v>
      </c>
      <c r="AD547" s="1502">
        <v>1.8280000000000001</v>
      </c>
      <c r="AE547" s="1">
        <v>5.7114000000000003</v>
      </c>
      <c r="AF547" s="1">
        <v>4.342E-2</v>
      </c>
      <c r="AH547" s="1425">
        <v>44420</v>
      </c>
      <c r="AI547" s="1">
        <v>14.948700000000001</v>
      </c>
      <c r="AJ547" s="1">
        <v>2.7141000000000002</v>
      </c>
      <c r="AK547" s="1">
        <v>7.1952999999999996</v>
      </c>
      <c r="AL547" s="1">
        <v>3.7789999999999997E-2</v>
      </c>
      <c r="AN547" s="1425">
        <v>44420</v>
      </c>
      <c r="AO547" s="1">
        <v>11.1373</v>
      </c>
      <c r="AP547" s="1">
        <v>1.4533</v>
      </c>
      <c r="AQ547" s="1">
        <v>8.1974</v>
      </c>
      <c r="AR547" s="1">
        <v>0.34770000000000001</v>
      </c>
      <c r="AT547" s="1425">
        <v>44420</v>
      </c>
      <c r="AU547" s="1">
        <v>6.8315999999999999</v>
      </c>
      <c r="AV547" s="1">
        <v>0.53649999999999998</v>
      </c>
      <c r="AW547" s="1">
        <v>4.8929</v>
      </c>
      <c r="AX547" s="1">
        <v>0.13600000000000001</v>
      </c>
      <c r="BA547" s="1425">
        <v>44414</v>
      </c>
      <c r="BB547" s="1">
        <v>16.739999999999998</v>
      </c>
      <c r="BC547" s="1">
        <v>4.1513999999999998</v>
      </c>
      <c r="BD547" s="1">
        <v>14.7638</v>
      </c>
      <c r="BE547" s="1">
        <v>1.0635699999999999</v>
      </c>
      <c r="BG547" s="1425">
        <v>44414</v>
      </c>
      <c r="BH547" s="1">
        <v>26.756599999999999</v>
      </c>
      <c r="BI547" s="1">
        <v>5.5209999999999999</v>
      </c>
      <c r="BJ547" s="1">
        <v>28.1922</v>
      </c>
      <c r="BT547" s="1425">
        <v>44438</v>
      </c>
      <c r="BU547" s="1">
        <v>17.2072</v>
      </c>
      <c r="BV547" s="1">
        <v>4.3212000000000002</v>
      </c>
      <c r="BW547" s="1">
        <v>10.021800000000001</v>
      </c>
      <c r="BX547" s="1">
        <v>2.3704000000000001</v>
      </c>
      <c r="BZ547" s="1425">
        <v>44438</v>
      </c>
      <c r="CA547" s="1">
        <v>49.112099999999998</v>
      </c>
      <c r="CB547" s="1">
        <v>2.5651000000000002</v>
      </c>
      <c r="CC547" s="1">
        <v>100.5861</v>
      </c>
      <c r="CD547" s="1">
        <v>1.0051600000000001</v>
      </c>
      <c r="CF547" s="1425">
        <v>44435</v>
      </c>
      <c r="CG547" s="1">
        <v>7.1836000000000002</v>
      </c>
      <c r="CH547" s="1">
        <v>1.3744000000000001</v>
      </c>
      <c r="CI547" s="1">
        <v>6.2527999999999997</v>
      </c>
      <c r="CL547" s="1425">
        <v>44453</v>
      </c>
      <c r="CM547" s="1">
        <v>25.728300000000001</v>
      </c>
      <c r="CN547" s="1">
        <v>2.7707999999999999</v>
      </c>
      <c r="CO547" s="1">
        <v>11.657500000000001</v>
      </c>
    </row>
    <row r="548" spans="1:93">
      <c r="A548" s="1425">
        <v>44435</v>
      </c>
      <c r="B548" s="20">
        <f t="shared" si="82"/>
        <v>18.533999999999999</v>
      </c>
      <c r="C548" s="20">
        <f t="shared" si="84"/>
        <v>12.496</v>
      </c>
      <c r="D548" s="20">
        <f t="shared" si="85"/>
        <v>14.079000000000001</v>
      </c>
      <c r="E548" s="20">
        <f t="shared" si="86"/>
        <v>10.5098</v>
      </c>
      <c r="F548" s="20">
        <f t="shared" si="87"/>
        <v>28.128799999999998</v>
      </c>
      <c r="G548" s="20">
        <f t="shared" si="88"/>
        <v>17.36</v>
      </c>
      <c r="H548" s="1239">
        <f t="shared" si="89"/>
        <v>14.079000000000001</v>
      </c>
      <c r="I548" s="1243">
        <f t="shared" si="83"/>
        <v>0.31642872363093955</v>
      </c>
      <c r="J548" s="1243">
        <f t="shared" si="90"/>
        <v>0.12093838824177333</v>
      </c>
      <c r="K548" s="1243">
        <f t="shared" si="91"/>
        <v>0.1</v>
      </c>
      <c r="L548" s="203"/>
      <c r="N548" s="1425">
        <v>44435</v>
      </c>
      <c r="O548" s="1502">
        <v>18.533999999999999</v>
      </c>
      <c r="P548" s="1502">
        <v>5.4162999999999997</v>
      </c>
      <c r="Q548" s="1502">
        <v>16.890699999999999</v>
      </c>
      <c r="R548" s="1233">
        <f>'B. PE'!$U$23</f>
        <v>15.978235616082999</v>
      </c>
      <c r="S548" s="1233"/>
      <c r="T548" s="1233"/>
      <c r="V548" s="1425">
        <v>44435</v>
      </c>
      <c r="W548" s="1">
        <v>12.496</v>
      </c>
      <c r="X548" s="1">
        <v>1.3884000000000001</v>
      </c>
      <c r="Y548" s="1">
        <v>10.2712</v>
      </c>
      <c r="Z548" s="1">
        <v>0.90230999999999995</v>
      </c>
      <c r="AB548" s="1425">
        <v>44418</v>
      </c>
      <c r="AC548" s="1">
        <v>9.4705999999999992</v>
      </c>
      <c r="AD548" s="1502">
        <v>1.7443</v>
      </c>
      <c r="AE548" s="1">
        <v>5.5095000000000001</v>
      </c>
      <c r="AF548" s="1">
        <v>4.4819999999999999E-2</v>
      </c>
      <c r="AH548" s="1425">
        <v>44418</v>
      </c>
      <c r="AI548" s="1">
        <v>14.242100000000001</v>
      </c>
      <c r="AJ548" s="1">
        <v>2.5857999999999999</v>
      </c>
      <c r="AK548" s="1">
        <v>6.8179999999999996</v>
      </c>
      <c r="AL548" s="1">
        <v>3.8350000000000002E-2</v>
      </c>
      <c r="AN548" s="1425">
        <v>44419</v>
      </c>
      <c r="AO548" s="1">
        <v>10.980399999999999</v>
      </c>
      <c r="AP548" s="1">
        <v>1.4329000000000001</v>
      </c>
      <c r="AQ548" s="1">
        <v>8.0742999999999991</v>
      </c>
      <c r="AR548" s="1">
        <v>0.33416000000000001</v>
      </c>
      <c r="AT548" s="1425">
        <v>44419</v>
      </c>
      <c r="AU548" s="1">
        <v>6.8905000000000003</v>
      </c>
      <c r="AV548" s="1">
        <v>0.54110000000000003</v>
      </c>
      <c r="AW548" s="1">
        <v>4.9260000000000002</v>
      </c>
      <c r="AX548" s="1">
        <v>0.13272</v>
      </c>
      <c r="BA548" s="1425">
        <v>44413</v>
      </c>
      <c r="BB548" s="1">
        <v>17.36</v>
      </c>
      <c r="BC548" s="1">
        <v>4.3051000000000004</v>
      </c>
      <c r="BD548" s="1">
        <v>15.231299999999999</v>
      </c>
      <c r="BE548" s="1">
        <v>1.0822499999999999</v>
      </c>
      <c r="BG548" s="1425">
        <v>44413</v>
      </c>
      <c r="BH548" s="1">
        <v>27.442699999999999</v>
      </c>
      <c r="BI548" s="1">
        <v>5.6626000000000003</v>
      </c>
      <c r="BJ548" s="1">
        <v>28.840499999999999</v>
      </c>
      <c r="BT548" s="1425">
        <v>44435</v>
      </c>
      <c r="BU548" s="1">
        <v>17.061900000000001</v>
      </c>
      <c r="BV548" s="1">
        <v>4.2847</v>
      </c>
      <c r="BW548" s="1">
        <v>9.9403000000000006</v>
      </c>
      <c r="BX548" s="1">
        <v>2.3601999999999999</v>
      </c>
      <c r="BZ548" s="1425">
        <v>44435</v>
      </c>
      <c r="CA548" s="1">
        <v>48.518999999999998</v>
      </c>
      <c r="CB548" s="1">
        <v>2.5341</v>
      </c>
      <c r="CC548" s="1">
        <v>99.906300000000002</v>
      </c>
      <c r="CD548" s="1">
        <v>0.99121999999999999</v>
      </c>
      <c r="CF548" s="1425">
        <v>44434</v>
      </c>
      <c r="CG548" s="1">
        <v>7.0625999999999998</v>
      </c>
      <c r="CH548" s="1">
        <v>1.3512999999999999</v>
      </c>
      <c r="CI548" s="1">
        <v>6.1673</v>
      </c>
      <c r="CL548" s="1425">
        <v>44452</v>
      </c>
      <c r="CM548" s="1">
        <v>25.692699999999999</v>
      </c>
      <c r="CN548" s="1">
        <v>2.7669000000000001</v>
      </c>
      <c r="CO548" s="1">
        <v>11.641500000000001</v>
      </c>
    </row>
    <row r="549" spans="1:93">
      <c r="A549" s="1425">
        <v>44434</v>
      </c>
      <c r="B549" s="20">
        <f t="shared" si="82"/>
        <v>18.6861</v>
      </c>
      <c r="C549" s="20">
        <f t="shared" si="84"/>
        <v>12.011699999999999</v>
      </c>
      <c r="D549" s="20">
        <f t="shared" si="85"/>
        <v>14.1877</v>
      </c>
      <c r="E549" s="20">
        <f t="shared" si="86"/>
        <v>10.588200000000001</v>
      </c>
      <c r="F549" s="20">
        <f t="shared" si="87"/>
        <v>27.213999999999999</v>
      </c>
      <c r="G549" s="20">
        <f t="shared" si="88"/>
        <v>17.111999999999998</v>
      </c>
      <c r="H549" s="1239">
        <f t="shared" si="89"/>
        <v>14.1877</v>
      </c>
      <c r="I549" s="1243">
        <f t="shared" si="83"/>
        <v>0.31706337179387778</v>
      </c>
      <c r="J549" s="1243">
        <f t="shared" si="90"/>
        <v>0.12093838824177333</v>
      </c>
      <c r="K549" s="1243">
        <f t="shared" si="91"/>
        <v>0.1</v>
      </c>
      <c r="L549" s="203"/>
      <c r="N549" s="1425">
        <v>44434</v>
      </c>
      <c r="O549" s="1502">
        <v>18.6861</v>
      </c>
      <c r="P549" s="1502">
        <v>5.4607999999999999</v>
      </c>
      <c r="Q549" s="1502">
        <v>17.037299999999998</v>
      </c>
      <c r="R549" s="1233">
        <f>'B. PE'!$U$23</f>
        <v>15.978235616082999</v>
      </c>
      <c r="S549" s="1233"/>
      <c r="T549" s="1233"/>
      <c r="V549" s="1425">
        <v>44434</v>
      </c>
      <c r="W549" s="1">
        <v>12.011699999999999</v>
      </c>
      <c r="X549" s="1">
        <v>1.3346</v>
      </c>
      <c r="Y549" s="1">
        <v>9.6812000000000005</v>
      </c>
      <c r="Z549" s="1">
        <v>0.89968000000000004</v>
      </c>
      <c r="AB549" s="1425">
        <v>44417</v>
      </c>
      <c r="AC549" s="1">
        <v>9.4705999999999992</v>
      </c>
      <c r="AD549" s="1502">
        <v>1.7443</v>
      </c>
      <c r="AE549" s="1">
        <v>5.5095000000000001</v>
      </c>
      <c r="AF549" s="1">
        <v>4.3569999999999998E-2</v>
      </c>
      <c r="AH549" s="1425">
        <v>44417</v>
      </c>
      <c r="AI549" s="1">
        <v>14.7857</v>
      </c>
      <c r="AJ549" s="1">
        <v>2.6844999999999999</v>
      </c>
      <c r="AK549" s="1">
        <v>7.1082999999999998</v>
      </c>
      <c r="AL549" s="1">
        <v>3.8620000000000002E-2</v>
      </c>
      <c r="AN549" s="1425">
        <v>44417</v>
      </c>
      <c r="AO549" s="1">
        <v>11.529400000000001</v>
      </c>
      <c r="AP549" s="1">
        <v>1.5044999999999999</v>
      </c>
      <c r="AQ549" s="1">
        <v>8.5051000000000005</v>
      </c>
      <c r="AR549" s="1">
        <v>0.33678999999999998</v>
      </c>
      <c r="AT549" s="1425">
        <v>44417</v>
      </c>
      <c r="AU549" s="1">
        <v>6.7727000000000004</v>
      </c>
      <c r="AV549" s="1">
        <v>0.53190000000000004</v>
      </c>
      <c r="AW549" s="1">
        <v>4.8597999999999999</v>
      </c>
      <c r="AX549" s="1">
        <v>0.13638</v>
      </c>
      <c r="BA549" s="1425">
        <v>44412</v>
      </c>
      <c r="BB549" s="1">
        <v>17.484000000000002</v>
      </c>
      <c r="BC549" s="1">
        <v>4.3358999999999996</v>
      </c>
      <c r="BD549" s="1">
        <v>15.3248</v>
      </c>
      <c r="BE549" s="1">
        <v>1.04704</v>
      </c>
      <c r="BG549" s="1425">
        <v>44412</v>
      </c>
      <c r="BH549" s="1">
        <v>27.671399999999998</v>
      </c>
      <c r="BI549" s="1">
        <v>5.7098000000000004</v>
      </c>
      <c r="BJ549" s="1">
        <v>29.0566</v>
      </c>
      <c r="BT549" s="1425">
        <v>44434</v>
      </c>
      <c r="BU549" s="1">
        <v>16.802600000000002</v>
      </c>
      <c r="BV549" s="1">
        <v>4.2195999999999998</v>
      </c>
      <c r="BW549" s="1">
        <v>9.7948000000000004</v>
      </c>
      <c r="BX549" s="1">
        <v>2.3435000000000001</v>
      </c>
      <c r="BZ549" s="1425">
        <v>44434</v>
      </c>
      <c r="CA549" s="1">
        <v>46.858199999999997</v>
      </c>
      <c r="CB549" s="1">
        <v>2.4474</v>
      </c>
      <c r="CC549" s="1">
        <v>98.002799999999993</v>
      </c>
      <c r="CD549" s="1">
        <v>1.00051</v>
      </c>
      <c r="CF549" s="1425">
        <v>44433</v>
      </c>
      <c r="CG549" s="1">
        <v>7.0221999999999998</v>
      </c>
      <c r="CH549" s="1">
        <v>1.3434999999999999</v>
      </c>
      <c r="CI549" s="1">
        <v>6.1387999999999998</v>
      </c>
      <c r="CL549" s="1425">
        <v>44449</v>
      </c>
      <c r="CM549" s="1">
        <v>25.390499999999999</v>
      </c>
      <c r="CN549" s="1">
        <v>2.7343999999999999</v>
      </c>
      <c r="CO549" s="1">
        <v>11.505599999999999</v>
      </c>
    </row>
    <row r="550" spans="1:93">
      <c r="A550" s="1425">
        <v>44433</v>
      </c>
      <c r="B550" s="20">
        <f t="shared" si="82"/>
        <v>18.468800000000002</v>
      </c>
      <c r="C550" s="20">
        <f t="shared" si="84"/>
        <v>11.8421</v>
      </c>
      <c r="D550" s="20">
        <f t="shared" si="85"/>
        <v>14.4595</v>
      </c>
      <c r="E550" s="20">
        <f t="shared" si="86"/>
        <v>10.5098</v>
      </c>
      <c r="F550" s="20">
        <f t="shared" si="87"/>
        <v>27.213999999999999</v>
      </c>
      <c r="G550" s="20">
        <f t="shared" si="88"/>
        <v>17.36</v>
      </c>
      <c r="H550" s="1239">
        <f t="shared" si="89"/>
        <v>14.4595</v>
      </c>
      <c r="I550" s="1243">
        <f t="shared" si="83"/>
        <v>0.27727791417407244</v>
      </c>
      <c r="J550" s="1243">
        <f t="shared" si="90"/>
        <v>0.12093838824177333</v>
      </c>
      <c r="K550" s="1243">
        <f t="shared" si="91"/>
        <v>0.1</v>
      </c>
      <c r="L550" s="203"/>
      <c r="N550" s="1425">
        <v>44433</v>
      </c>
      <c r="O550" s="1502">
        <v>18.468800000000002</v>
      </c>
      <c r="P550" s="1502">
        <v>5.3973000000000004</v>
      </c>
      <c r="Q550" s="1502">
        <v>16.8278</v>
      </c>
      <c r="R550" s="1233">
        <f>'B. PE'!$U$23</f>
        <v>15.978235616082999</v>
      </c>
      <c r="S550" s="1233"/>
      <c r="T550" s="1233"/>
      <c r="V550" s="1425">
        <v>44433</v>
      </c>
      <c r="W550" s="1">
        <v>11.8421</v>
      </c>
      <c r="X550" s="1">
        <v>1.3157000000000001</v>
      </c>
      <c r="Y550" s="1">
        <v>9.5861999999999998</v>
      </c>
      <c r="Z550" s="1">
        <v>0.87566999999999995</v>
      </c>
      <c r="AB550" s="1425">
        <v>44414</v>
      </c>
      <c r="AC550" s="1">
        <v>9.7736000000000001</v>
      </c>
      <c r="AD550" s="1502">
        <v>1.8001</v>
      </c>
      <c r="AE550" s="1">
        <v>5.6440999999999999</v>
      </c>
      <c r="AF550" s="1">
        <v>4.5699999999999998E-2</v>
      </c>
      <c r="AH550" s="1425">
        <v>44414</v>
      </c>
      <c r="AI550" s="1">
        <v>15.0031</v>
      </c>
      <c r="AJ550" s="1">
        <v>2.7240000000000002</v>
      </c>
      <c r="AK550" s="1">
        <v>7.2243000000000004</v>
      </c>
      <c r="AL550" s="1">
        <v>3.8789999999999998E-2</v>
      </c>
      <c r="AN550" s="1425">
        <v>44414</v>
      </c>
      <c r="AO550" s="1">
        <v>11.0588</v>
      </c>
      <c r="AP550" s="1">
        <v>1.4431</v>
      </c>
      <c r="AQ550" s="1">
        <v>8.1358999999999995</v>
      </c>
      <c r="AR550" s="1">
        <v>0.34582000000000002</v>
      </c>
      <c r="AT550" s="1425">
        <v>44414</v>
      </c>
      <c r="AU550" s="1">
        <v>6.5960000000000001</v>
      </c>
      <c r="AV550" s="1">
        <v>0.51800000000000002</v>
      </c>
      <c r="AW550" s="1">
        <v>4.7603999999999997</v>
      </c>
      <c r="AX550" s="1">
        <v>0.13738</v>
      </c>
      <c r="BA550" s="1425">
        <v>44411</v>
      </c>
      <c r="BB550" s="1">
        <v>17.731999999999999</v>
      </c>
      <c r="BC550" s="1">
        <v>4.3974000000000002</v>
      </c>
      <c r="BD550" s="1">
        <v>15.511699999999999</v>
      </c>
      <c r="BE550" s="1">
        <v>1.06325</v>
      </c>
      <c r="BG550" s="1425">
        <v>44411</v>
      </c>
      <c r="BH550" s="1">
        <v>27.442699999999999</v>
      </c>
      <c r="BI550" s="1">
        <v>5.6626000000000003</v>
      </c>
      <c r="BJ550" s="1">
        <v>28.840499999999999</v>
      </c>
      <c r="BT550" s="1425">
        <v>44433</v>
      </c>
      <c r="BU550" s="1">
        <v>16.750800000000002</v>
      </c>
      <c r="BV550" s="1">
        <v>4.2065999999999999</v>
      </c>
      <c r="BW550" s="1">
        <v>9.7655999999999992</v>
      </c>
      <c r="BX550" s="1">
        <v>2.3083999999999998</v>
      </c>
      <c r="BZ550" s="1425">
        <v>44433</v>
      </c>
      <c r="CA550" s="1">
        <v>46.265099999999997</v>
      </c>
      <c r="CB550" s="1">
        <v>2.4163999999999999</v>
      </c>
      <c r="CC550" s="1">
        <v>97.322900000000004</v>
      </c>
      <c r="CD550" s="1">
        <v>0.95984000000000003</v>
      </c>
      <c r="CF550" s="1425">
        <v>44432</v>
      </c>
      <c r="CG550" s="1">
        <v>6.9414999999999996</v>
      </c>
      <c r="CH550" s="1">
        <v>1.3281000000000001</v>
      </c>
      <c r="CI550" s="1">
        <v>6.0818000000000003</v>
      </c>
      <c r="CL550" s="1425">
        <v>44448</v>
      </c>
      <c r="CM550" s="1">
        <v>25.746099999999998</v>
      </c>
      <c r="CN550" s="1">
        <v>2.7726999999999999</v>
      </c>
      <c r="CO550" s="1">
        <v>11.6655</v>
      </c>
    </row>
    <row r="551" spans="1:93">
      <c r="A551" s="1425">
        <v>44432</v>
      </c>
      <c r="B551" s="20">
        <f t="shared" si="82"/>
        <v>18.8599</v>
      </c>
      <c r="C551" s="20">
        <f t="shared" si="84"/>
        <v>11.8179</v>
      </c>
      <c r="D551" s="20">
        <f t="shared" si="85"/>
        <v>14.405200000000001</v>
      </c>
      <c r="E551" s="20">
        <f t="shared" si="86"/>
        <v>10.666700000000001</v>
      </c>
      <c r="F551" s="20">
        <f t="shared" si="87"/>
        <v>27.213999999999999</v>
      </c>
      <c r="G551" s="20">
        <f t="shared" si="88"/>
        <v>17.236000000000001</v>
      </c>
      <c r="H551" s="1239">
        <f t="shared" si="89"/>
        <v>14.405200000000001</v>
      </c>
      <c r="I551" s="1243">
        <f t="shared" si="83"/>
        <v>0.30924249576541807</v>
      </c>
      <c r="J551" s="1243">
        <f t="shared" si="90"/>
        <v>0.12093838824177333</v>
      </c>
      <c r="K551" s="1243">
        <f t="shared" si="91"/>
        <v>0.1</v>
      </c>
      <c r="L551" s="203"/>
      <c r="N551" s="1425">
        <v>44432</v>
      </c>
      <c r="O551" s="1502">
        <v>18.8599</v>
      </c>
      <c r="P551" s="1502">
        <v>5.5115999999999996</v>
      </c>
      <c r="Q551" s="1502">
        <v>17.204799999999999</v>
      </c>
      <c r="R551" s="1233">
        <f>'B. PE'!$U$23</f>
        <v>15.978235616082999</v>
      </c>
      <c r="S551" s="1233"/>
      <c r="T551" s="1233"/>
      <c r="V551" s="1425">
        <v>44432</v>
      </c>
      <c r="W551" s="1">
        <v>11.8179</v>
      </c>
      <c r="X551" s="1">
        <v>1.3129999999999999</v>
      </c>
      <c r="Y551" s="1">
        <v>9.5725999999999996</v>
      </c>
      <c r="Z551" s="1">
        <v>0.94028</v>
      </c>
      <c r="AB551" s="1425">
        <v>44413</v>
      </c>
      <c r="AC551" s="1">
        <v>9.4705999999999992</v>
      </c>
      <c r="AD551" s="1502">
        <v>1.7443</v>
      </c>
      <c r="AE551" s="1">
        <v>5.5095000000000001</v>
      </c>
      <c r="AF551" s="1">
        <v>4.6089999999999999E-2</v>
      </c>
      <c r="AH551" s="1425">
        <v>44413</v>
      </c>
      <c r="AI551" s="1">
        <v>15.057499999999999</v>
      </c>
      <c r="AJ551" s="1">
        <v>2.7338</v>
      </c>
      <c r="AK551" s="1">
        <v>7.2534000000000001</v>
      </c>
      <c r="AL551" s="1">
        <v>4.1340000000000002E-2</v>
      </c>
      <c r="AN551" s="1425">
        <v>44413</v>
      </c>
      <c r="AO551" s="1">
        <v>11.1373</v>
      </c>
      <c r="AP551" s="1">
        <v>1.4533</v>
      </c>
      <c r="AQ551" s="1">
        <v>8.1974</v>
      </c>
      <c r="AR551" s="1">
        <v>0.34826000000000001</v>
      </c>
      <c r="AT551" s="1425">
        <v>44413</v>
      </c>
      <c r="AU551" s="1">
        <v>6.7727000000000004</v>
      </c>
      <c r="AV551" s="1">
        <v>0.53190000000000004</v>
      </c>
      <c r="AW551" s="1">
        <v>4.8597999999999999</v>
      </c>
      <c r="AX551" s="1">
        <v>0.13741</v>
      </c>
      <c r="BA551" s="1425">
        <v>44410</v>
      </c>
      <c r="BB551" s="1">
        <v>17.111999999999998</v>
      </c>
      <c r="BC551" s="1">
        <v>4.2435999999999998</v>
      </c>
      <c r="BD551" s="1">
        <v>15.0443</v>
      </c>
      <c r="BE551" s="1">
        <v>1.0957600000000001</v>
      </c>
      <c r="BG551" s="1425">
        <v>44410</v>
      </c>
      <c r="BH551" s="1">
        <v>27.442699999999999</v>
      </c>
      <c r="BI551" s="1">
        <v>5.6626000000000003</v>
      </c>
      <c r="BJ551" s="1">
        <v>28.840499999999999</v>
      </c>
      <c r="BT551" s="1425">
        <v>44432</v>
      </c>
      <c r="BU551" s="1">
        <v>16.647099999999998</v>
      </c>
      <c r="BV551" s="1">
        <v>4.1805000000000003</v>
      </c>
      <c r="BW551" s="1">
        <v>9.7073999999999998</v>
      </c>
      <c r="BX551" s="1">
        <v>2.3946999999999998</v>
      </c>
      <c r="BZ551" s="1425">
        <v>44432</v>
      </c>
      <c r="CA551" s="1">
        <v>46.739600000000003</v>
      </c>
      <c r="CB551" s="1">
        <v>2.4411999999999998</v>
      </c>
      <c r="CC551" s="1">
        <v>97.866799999999998</v>
      </c>
      <c r="CD551" s="1">
        <v>1.0145200000000001</v>
      </c>
      <c r="CF551" s="1425">
        <v>44431</v>
      </c>
      <c r="CG551" s="1">
        <v>6.9819000000000004</v>
      </c>
      <c r="CH551" s="1">
        <v>1.3358000000000001</v>
      </c>
      <c r="CI551" s="1">
        <v>6.1102999999999996</v>
      </c>
      <c r="CL551" s="1425">
        <v>44447</v>
      </c>
      <c r="CM551" s="1">
        <v>25.621600000000001</v>
      </c>
      <c r="CN551" s="1">
        <v>2.7593000000000001</v>
      </c>
      <c r="CO551" s="1">
        <v>11.609500000000001</v>
      </c>
    </row>
    <row r="552" spans="1:93">
      <c r="A552" s="1425">
        <v>44431</v>
      </c>
      <c r="B552" s="20">
        <f t="shared" si="82"/>
        <v>18.360199999999999</v>
      </c>
      <c r="C552" s="20">
        <f t="shared" si="84"/>
        <v>11.5031</v>
      </c>
      <c r="D552" s="20">
        <f t="shared" si="85"/>
        <v>14.2964</v>
      </c>
      <c r="E552" s="20">
        <f t="shared" si="86"/>
        <v>10.980399999999999</v>
      </c>
      <c r="F552" s="20">
        <f t="shared" si="87"/>
        <v>27.557099999999998</v>
      </c>
      <c r="G552" s="20">
        <f t="shared" si="88"/>
        <v>17.236000000000001</v>
      </c>
      <c r="H552" s="1239">
        <f t="shared" si="89"/>
        <v>14.2964</v>
      </c>
      <c r="I552" s="1243">
        <f t="shared" si="83"/>
        <v>0.28425337847290222</v>
      </c>
      <c r="J552" s="1243">
        <f t="shared" si="90"/>
        <v>0.12093838824177333</v>
      </c>
      <c r="K552" s="1243">
        <f t="shared" si="91"/>
        <v>0.1</v>
      </c>
      <c r="L552" s="203"/>
      <c r="N552" s="1425">
        <v>44431</v>
      </c>
      <c r="O552" s="1502">
        <v>18.360199999999999</v>
      </c>
      <c r="P552" s="1502">
        <v>5.3654999999999999</v>
      </c>
      <c r="Q552" s="1502">
        <v>16.723099999999999</v>
      </c>
      <c r="R552" s="1233">
        <f>'B. PE'!$U$23</f>
        <v>15.978235616082999</v>
      </c>
      <c r="S552" s="1233"/>
      <c r="T552" s="1233"/>
      <c r="V552" s="1425">
        <v>44431</v>
      </c>
      <c r="W552" s="1">
        <v>11.5031</v>
      </c>
      <c r="X552" s="1">
        <v>1.2781</v>
      </c>
      <c r="Y552" s="1">
        <v>9.2149000000000001</v>
      </c>
      <c r="Z552" s="1">
        <v>0.97960000000000003</v>
      </c>
      <c r="AB552" s="1425">
        <v>44412</v>
      </c>
      <c r="AC552" s="1">
        <v>9.9252000000000002</v>
      </c>
      <c r="AD552" s="1502">
        <v>1.8280000000000001</v>
      </c>
      <c r="AE552" s="1">
        <v>5.7114000000000003</v>
      </c>
      <c r="AF552" s="1">
        <v>4.6969999999999998E-2</v>
      </c>
      <c r="AH552" s="1425">
        <v>44412</v>
      </c>
      <c r="AI552" s="1">
        <v>15.111800000000001</v>
      </c>
      <c r="AJ552" s="1">
        <v>2.7437</v>
      </c>
      <c r="AK552" s="1">
        <v>7.2824</v>
      </c>
      <c r="AL552" s="1">
        <v>3.6880000000000003E-2</v>
      </c>
      <c r="AN552" s="1425">
        <v>44412</v>
      </c>
      <c r="AO552" s="1">
        <v>11.451000000000001</v>
      </c>
      <c r="AP552" s="1">
        <v>1.4943</v>
      </c>
      <c r="AQ552" s="1">
        <v>8.4436</v>
      </c>
      <c r="AR552" s="1">
        <v>0.32190999999999997</v>
      </c>
      <c r="AT552" s="1425">
        <v>44412</v>
      </c>
      <c r="AU552" s="1">
        <v>6.8315999999999999</v>
      </c>
      <c r="AV552" s="1">
        <v>0.53649999999999998</v>
      </c>
      <c r="AW552" s="1">
        <v>4.8929</v>
      </c>
      <c r="AX552" s="1">
        <v>0.14202000000000001</v>
      </c>
      <c r="BA552" s="1425">
        <v>44407</v>
      </c>
      <c r="BB552" s="1">
        <v>17.36</v>
      </c>
      <c r="BC552" s="1">
        <v>4.3051000000000004</v>
      </c>
      <c r="BD552" s="1">
        <v>15.231299999999999</v>
      </c>
      <c r="BE552" s="1">
        <v>1.1389499999999999</v>
      </c>
      <c r="BG552" s="1425">
        <v>44407</v>
      </c>
      <c r="BH552" s="1">
        <v>28.357500000000002</v>
      </c>
      <c r="BI552" s="1">
        <v>5.8513000000000002</v>
      </c>
      <c r="BJ552" s="1">
        <v>29.704899999999999</v>
      </c>
      <c r="BT552" s="1425">
        <v>44431</v>
      </c>
      <c r="BU552" s="1">
        <v>16.398099999999999</v>
      </c>
      <c r="BV552" s="1">
        <v>4.1180000000000003</v>
      </c>
      <c r="BW552" s="1">
        <v>9.5677000000000003</v>
      </c>
      <c r="BX552" s="1">
        <v>2.5204</v>
      </c>
      <c r="BZ552" s="1425">
        <v>44431</v>
      </c>
      <c r="CA552" s="1">
        <v>44.841500000000003</v>
      </c>
      <c r="CB552" s="1">
        <v>2.3420000000000001</v>
      </c>
      <c r="CC552" s="1">
        <v>95.691299999999998</v>
      </c>
      <c r="CD552" s="1">
        <v>1.0824800000000001</v>
      </c>
      <c r="CF552" s="1425">
        <v>44428</v>
      </c>
      <c r="CG552" s="1">
        <v>7.3047000000000004</v>
      </c>
      <c r="CH552" s="1">
        <v>1.3976</v>
      </c>
      <c r="CI552" s="1">
        <v>6.3383000000000003</v>
      </c>
      <c r="CL552" s="1425">
        <v>44446</v>
      </c>
      <c r="CM552" s="1">
        <v>25.746099999999998</v>
      </c>
      <c r="CN552" s="1">
        <v>2.7726999999999999</v>
      </c>
      <c r="CO552" s="1">
        <v>11.6655</v>
      </c>
    </row>
    <row r="553" spans="1:93">
      <c r="A553" s="1425">
        <v>44428</v>
      </c>
      <c r="B553" s="20">
        <f t="shared" si="82"/>
        <v>18.208100000000002</v>
      </c>
      <c r="C553" s="20">
        <f t="shared" si="84"/>
        <v>12.3507</v>
      </c>
      <c r="D553" s="20">
        <f t="shared" si="85"/>
        <v>13.481</v>
      </c>
      <c r="E553" s="20">
        <f t="shared" si="86"/>
        <v>11.1373</v>
      </c>
      <c r="F553" s="20">
        <f t="shared" si="87"/>
        <v>28.014399999999998</v>
      </c>
      <c r="G553" s="20">
        <f t="shared" si="88"/>
        <v>17.111999999999998</v>
      </c>
      <c r="H553" s="1239">
        <f t="shared" si="89"/>
        <v>13.481</v>
      </c>
      <c r="I553" s="1243">
        <f t="shared" si="83"/>
        <v>0.35064906164231147</v>
      </c>
      <c r="J553" s="1243">
        <f t="shared" si="90"/>
        <v>0.12093838824177333</v>
      </c>
      <c r="K553" s="1243">
        <f t="shared" si="91"/>
        <v>0.1</v>
      </c>
      <c r="L553" s="203"/>
      <c r="N553" s="1425">
        <v>44428</v>
      </c>
      <c r="O553" s="1502">
        <v>18.208100000000002</v>
      </c>
      <c r="P553" s="1502">
        <v>5.3211000000000004</v>
      </c>
      <c r="Q553" s="1502">
        <v>16.576499999999999</v>
      </c>
      <c r="R553" s="1233">
        <f>'B. PE'!$U$23</f>
        <v>15.978235616082999</v>
      </c>
      <c r="S553" s="1233"/>
      <c r="T553" s="1233"/>
      <c r="V553" s="1425">
        <v>44428</v>
      </c>
      <c r="W553" s="1">
        <v>12.3507</v>
      </c>
      <c r="X553" s="1">
        <v>1.3722000000000001</v>
      </c>
      <c r="Y553" s="1">
        <v>9.6766000000000005</v>
      </c>
      <c r="Z553" s="1">
        <v>0.96660000000000001</v>
      </c>
      <c r="AB553" s="1425">
        <v>44411</v>
      </c>
      <c r="AC553" s="1">
        <v>10.0009</v>
      </c>
      <c r="AD553" s="1502">
        <v>1.8420000000000001</v>
      </c>
      <c r="AE553" s="1">
        <v>5.7450999999999999</v>
      </c>
      <c r="AF553" s="1">
        <v>4.5670000000000002E-2</v>
      </c>
      <c r="AH553" s="1425">
        <v>44411</v>
      </c>
      <c r="AI553" s="1">
        <v>16.090299999999999</v>
      </c>
      <c r="AJ553" s="1">
        <v>2.9214000000000002</v>
      </c>
      <c r="AK553" s="1">
        <v>7.8048000000000002</v>
      </c>
      <c r="AL553" s="1">
        <v>3.6400000000000002E-2</v>
      </c>
      <c r="AN553" s="1425">
        <v>44411</v>
      </c>
      <c r="AO553" s="1">
        <v>11.529400000000001</v>
      </c>
      <c r="AP553" s="1">
        <v>1.5044999999999999</v>
      </c>
      <c r="AQ553" s="1">
        <v>8.5051000000000005</v>
      </c>
      <c r="AR553" s="1">
        <v>0.32108999999999999</v>
      </c>
      <c r="AT553" s="1425">
        <v>44411</v>
      </c>
      <c r="AU553" s="1">
        <v>6.8315999999999999</v>
      </c>
      <c r="AV553" s="1">
        <v>0.53649999999999998</v>
      </c>
      <c r="AW553" s="1">
        <v>4.8929</v>
      </c>
      <c r="AX553" s="1">
        <v>0.14099999999999999</v>
      </c>
      <c r="BA553" s="1425">
        <v>44406</v>
      </c>
      <c r="BB553" s="1">
        <v>17.856000000000002</v>
      </c>
      <c r="BC553" s="1">
        <v>4.4280999999999997</v>
      </c>
      <c r="BD553" s="1">
        <v>15.6052</v>
      </c>
      <c r="BE553" s="1">
        <v>1.1229499999999999</v>
      </c>
      <c r="BG553" s="1425">
        <v>44406</v>
      </c>
      <c r="BH553" s="1">
        <v>27.671399999999998</v>
      </c>
      <c r="BI553" s="1">
        <v>5.7098000000000004</v>
      </c>
      <c r="BJ553" s="1">
        <v>29.0566</v>
      </c>
      <c r="BT553" s="1425">
        <v>44428</v>
      </c>
      <c r="BU553" s="1">
        <v>17.010100000000001</v>
      </c>
      <c r="BV553" s="1">
        <v>4.2717000000000001</v>
      </c>
      <c r="BW553" s="1">
        <v>9.9111999999999991</v>
      </c>
      <c r="BX553" s="1">
        <v>2.5202</v>
      </c>
      <c r="BZ553" s="1425">
        <v>44428</v>
      </c>
      <c r="CA553" s="1">
        <v>47.392000000000003</v>
      </c>
      <c r="CB553" s="1">
        <v>2.4752000000000001</v>
      </c>
      <c r="CC553" s="1">
        <v>98.614599999999996</v>
      </c>
      <c r="CD553" s="1">
        <v>1.0925499999999999</v>
      </c>
      <c r="CF553" s="1425">
        <v>44427</v>
      </c>
      <c r="CG553" s="1">
        <v>7.3451000000000004</v>
      </c>
      <c r="CH553" s="1">
        <v>1.4053</v>
      </c>
      <c r="CI553" s="1">
        <v>6.3667999999999996</v>
      </c>
      <c r="CL553" s="1425">
        <v>44445</v>
      </c>
      <c r="CM553" s="1">
        <v>25.7105</v>
      </c>
      <c r="CN553" s="1">
        <v>2.7688000000000001</v>
      </c>
      <c r="CO553" s="1">
        <v>11.6495</v>
      </c>
    </row>
    <row r="554" spans="1:93">
      <c r="A554" s="1425">
        <v>44427</v>
      </c>
      <c r="B554" s="20">
        <f t="shared" si="82"/>
        <v>17.817</v>
      </c>
      <c r="C554" s="20">
        <f t="shared" si="84"/>
        <v>12.8592</v>
      </c>
      <c r="D554" s="20">
        <f t="shared" si="85"/>
        <v>13.209300000000001</v>
      </c>
      <c r="E554" s="20">
        <f t="shared" si="86"/>
        <v>10.901999999999999</v>
      </c>
      <c r="F554" s="20">
        <f t="shared" si="87"/>
        <v>28.471800000000002</v>
      </c>
      <c r="G554" s="20">
        <f t="shared" si="88"/>
        <v>17.36</v>
      </c>
      <c r="H554" s="1239">
        <f t="shared" si="89"/>
        <v>13.209300000000001</v>
      </c>
      <c r="I554" s="1243">
        <f t="shared" si="83"/>
        <v>0.3488224205673276</v>
      </c>
      <c r="J554" s="1243">
        <f t="shared" si="90"/>
        <v>0.12093838824177333</v>
      </c>
      <c r="K554" s="1243">
        <f t="shared" si="91"/>
        <v>0.1</v>
      </c>
      <c r="L554" s="203"/>
      <c r="N554" s="1425">
        <v>44427</v>
      </c>
      <c r="O554" s="1502">
        <v>17.817</v>
      </c>
      <c r="P554" s="1502">
        <v>5.2068000000000003</v>
      </c>
      <c r="Q554" s="1502">
        <v>16.1995</v>
      </c>
      <c r="R554" s="1233">
        <f>'B. PE'!$U$23</f>
        <v>15.978235616082999</v>
      </c>
      <c r="S554" s="1233"/>
      <c r="T554" s="1233"/>
      <c r="V554" s="1425">
        <v>44427</v>
      </c>
      <c r="W554" s="1">
        <v>12.8592</v>
      </c>
      <c r="X554" s="1">
        <v>1.4287000000000001</v>
      </c>
      <c r="Y554" s="1">
        <v>9.9536999999999995</v>
      </c>
      <c r="Z554" s="1">
        <v>0.95523999999999998</v>
      </c>
      <c r="AB554" s="1425">
        <v>44410</v>
      </c>
      <c r="AC554" s="1">
        <v>10.228199999999999</v>
      </c>
      <c r="AD554" s="1502">
        <v>1.8837999999999999</v>
      </c>
      <c r="AE554" s="1">
        <v>5.8460000000000001</v>
      </c>
      <c r="AF554" s="1">
        <v>4.58E-2</v>
      </c>
      <c r="AH554" s="1425">
        <v>44410</v>
      </c>
      <c r="AI554" s="1">
        <v>14.405200000000001</v>
      </c>
      <c r="AJ554" s="1">
        <v>2.6154000000000002</v>
      </c>
      <c r="AK554" s="1">
        <v>6.9051</v>
      </c>
      <c r="AL554" s="1">
        <v>3.8580000000000003E-2</v>
      </c>
      <c r="AN554" s="1425">
        <v>44410</v>
      </c>
      <c r="AO554" s="1">
        <v>10.666700000000001</v>
      </c>
      <c r="AP554" s="1">
        <v>1.3918999999999999</v>
      </c>
      <c r="AQ554" s="1">
        <v>7.8281999999999998</v>
      </c>
      <c r="AR554" s="1">
        <v>0.32528000000000001</v>
      </c>
      <c r="AT554" s="1425">
        <v>44410</v>
      </c>
      <c r="AU554" s="1">
        <v>7.0670999999999999</v>
      </c>
      <c r="AV554" s="1">
        <v>0.55500000000000005</v>
      </c>
      <c r="AW554" s="1">
        <v>5.0255000000000001</v>
      </c>
      <c r="AX554" s="1">
        <v>0.14143</v>
      </c>
      <c r="BA554" s="1425">
        <v>44404</v>
      </c>
      <c r="BB554" s="1">
        <v>18.600000000000001</v>
      </c>
      <c r="BC554" s="1">
        <v>4.6125999999999996</v>
      </c>
      <c r="BD554" s="1">
        <v>16.1661</v>
      </c>
      <c r="BE554" s="1">
        <v>1.1250599999999999</v>
      </c>
      <c r="BG554" s="1425">
        <v>44404</v>
      </c>
      <c r="BH554" s="1">
        <v>28.357500000000002</v>
      </c>
      <c r="BI554" s="1">
        <v>5.8513000000000002</v>
      </c>
      <c r="BJ554" s="1">
        <v>29.704899999999999</v>
      </c>
      <c r="BT554" s="1425">
        <v>44427</v>
      </c>
      <c r="BU554" s="1">
        <v>17.8917</v>
      </c>
      <c r="BV554" s="1">
        <v>4.4931000000000001</v>
      </c>
      <c r="BW554" s="1">
        <v>10.4061</v>
      </c>
      <c r="BX554" s="1">
        <v>2.4813999999999998</v>
      </c>
      <c r="BZ554" s="1425">
        <v>44427</v>
      </c>
      <c r="CA554" s="1">
        <v>50.535699999999999</v>
      </c>
      <c r="CB554" s="1">
        <v>2.6394000000000002</v>
      </c>
      <c r="CC554" s="1">
        <v>102.21769999999999</v>
      </c>
      <c r="CD554" s="1">
        <v>1.1023700000000001</v>
      </c>
      <c r="CF554" s="1425">
        <v>44426</v>
      </c>
      <c r="CG554" s="1">
        <v>7.2644000000000002</v>
      </c>
      <c r="CH554" s="1">
        <v>1.3898999999999999</v>
      </c>
      <c r="CI554" s="1">
        <v>6.3098000000000001</v>
      </c>
      <c r="CL554" s="1425">
        <v>44442</v>
      </c>
      <c r="CM554" s="1">
        <v>25.106000000000002</v>
      </c>
      <c r="CN554" s="1">
        <v>2.7037</v>
      </c>
      <c r="CO554" s="1">
        <v>11.377700000000001</v>
      </c>
    </row>
    <row r="555" spans="1:93">
      <c r="A555" s="1425">
        <v>44426</v>
      </c>
      <c r="B555" s="20">
        <f t="shared" si="82"/>
        <v>17.817</v>
      </c>
      <c r="C555" s="20">
        <f t="shared" si="84"/>
        <v>12.6897</v>
      </c>
      <c r="D555" s="20">
        <f t="shared" si="85"/>
        <v>13.4267</v>
      </c>
      <c r="E555" s="20">
        <f t="shared" si="86"/>
        <v>10.823499999999999</v>
      </c>
      <c r="F555" s="20">
        <f t="shared" si="87"/>
        <v>28.357500000000002</v>
      </c>
      <c r="G555" s="20">
        <f t="shared" si="88"/>
        <v>17.856000000000002</v>
      </c>
      <c r="H555" s="1239">
        <f t="shared" si="89"/>
        <v>13.4267</v>
      </c>
      <c r="I555" s="1243">
        <f t="shared" si="83"/>
        <v>0.32698280292253501</v>
      </c>
      <c r="J555" s="1243">
        <f t="shared" si="90"/>
        <v>0.12093838824177333</v>
      </c>
      <c r="K555" s="1243">
        <f t="shared" si="91"/>
        <v>0.1</v>
      </c>
      <c r="L555" s="203"/>
      <c r="N555" s="1425">
        <v>44426</v>
      </c>
      <c r="O555" s="1502">
        <v>17.817</v>
      </c>
      <c r="P555" s="1502">
        <v>5.2068000000000003</v>
      </c>
      <c r="Q555" s="1502">
        <v>16.1995</v>
      </c>
      <c r="R555" s="1233">
        <f>'B. PE'!$U$23</f>
        <v>15.978235616082999</v>
      </c>
      <c r="S555" s="1233"/>
      <c r="T555" s="1233"/>
      <c r="V555" s="1425">
        <v>44426</v>
      </c>
      <c r="W555" s="1">
        <v>12.6897</v>
      </c>
      <c r="X555" s="1">
        <v>1.4098999999999999</v>
      </c>
      <c r="Y555" s="1">
        <v>9.8613</v>
      </c>
      <c r="Z555" s="1">
        <v>0.97333999999999998</v>
      </c>
      <c r="AB555" s="1425">
        <v>44407</v>
      </c>
      <c r="AC555" s="1">
        <v>10.0009</v>
      </c>
      <c r="AD555" s="1502">
        <v>1.8420000000000001</v>
      </c>
      <c r="AE555" s="1">
        <v>5.7450999999999999</v>
      </c>
      <c r="AF555" s="1">
        <v>4.5179999999999998E-2</v>
      </c>
      <c r="AH555" s="1425">
        <v>44407</v>
      </c>
      <c r="AI555" s="1">
        <v>14.2964</v>
      </c>
      <c r="AJ555" s="1">
        <v>2.5956999999999999</v>
      </c>
      <c r="AK555" s="1">
        <v>6.8471000000000002</v>
      </c>
      <c r="AL555" s="1">
        <v>4.1110000000000001E-2</v>
      </c>
      <c r="AN555" s="1425">
        <v>44407</v>
      </c>
      <c r="AO555" s="1">
        <v>10.6275</v>
      </c>
      <c r="AP555" s="1">
        <v>1.3868</v>
      </c>
      <c r="AQ555" s="1">
        <v>7.7973999999999997</v>
      </c>
      <c r="AR555" s="1">
        <v>0.32826</v>
      </c>
      <c r="AT555" s="1425">
        <v>44407</v>
      </c>
      <c r="AU555" s="1">
        <v>7.0082000000000004</v>
      </c>
      <c r="AV555" s="1">
        <v>0.5504</v>
      </c>
      <c r="AW555" s="1">
        <v>4.9923000000000002</v>
      </c>
      <c r="BA555" s="1425">
        <v>44400</v>
      </c>
      <c r="BB555" s="1">
        <v>18.352</v>
      </c>
      <c r="BC555" s="1">
        <v>4.5510999999999999</v>
      </c>
      <c r="BD555" s="1">
        <v>15.979200000000001</v>
      </c>
      <c r="BE555" s="1">
        <v>1.1190599999999999</v>
      </c>
      <c r="BG555" s="1425">
        <v>44400</v>
      </c>
      <c r="BH555" s="1">
        <v>28.586200000000002</v>
      </c>
      <c r="BI555" s="1">
        <v>5.8985000000000003</v>
      </c>
      <c r="BJ555" s="1">
        <v>29.920999999999999</v>
      </c>
      <c r="BT555" s="1425">
        <v>44426</v>
      </c>
      <c r="BU555" s="1">
        <v>17.8917</v>
      </c>
      <c r="BV555" s="1">
        <v>4.4931000000000001</v>
      </c>
      <c r="BW555" s="1">
        <v>10.4061</v>
      </c>
      <c r="BX555" s="1">
        <v>2.4834999999999998</v>
      </c>
      <c r="BZ555" s="1425">
        <v>44426</v>
      </c>
      <c r="CA555" s="1">
        <v>51.010199999999998</v>
      </c>
      <c r="CB555" s="1">
        <v>2.6642000000000001</v>
      </c>
      <c r="CC555" s="1">
        <v>102.7616</v>
      </c>
      <c r="CD555" s="1">
        <v>1.0664400000000001</v>
      </c>
      <c r="CF555" s="1425">
        <v>44425</v>
      </c>
      <c r="CG555" s="1">
        <v>7.2240000000000002</v>
      </c>
      <c r="CH555" s="1">
        <v>1.3821000000000001</v>
      </c>
      <c r="CI555" s="1">
        <v>6.2812999999999999</v>
      </c>
      <c r="CL555" s="1425">
        <v>44441</v>
      </c>
      <c r="CM555" s="1">
        <v>25.3371</v>
      </c>
      <c r="CN555" s="1">
        <v>2.7286000000000001</v>
      </c>
      <c r="CO555" s="1">
        <v>11.4816</v>
      </c>
    </row>
    <row r="556" spans="1:93">
      <c r="A556" s="1425">
        <v>44425</v>
      </c>
      <c r="B556" s="20">
        <f t="shared" si="82"/>
        <v>17.860399999999998</v>
      </c>
      <c r="C556" s="20">
        <f t="shared" si="84"/>
        <v>12.5444</v>
      </c>
      <c r="D556" s="20">
        <f t="shared" si="85"/>
        <v>13.4267</v>
      </c>
      <c r="E556" s="20">
        <f t="shared" si="86"/>
        <v>10.901999999999999</v>
      </c>
      <c r="F556" s="20">
        <f t="shared" si="87"/>
        <v>27.442699999999999</v>
      </c>
      <c r="G556" s="20">
        <f t="shared" si="88"/>
        <v>17.608000000000001</v>
      </c>
      <c r="H556" s="1239">
        <f t="shared" si="89"/>
        <v>13.4267</v>
      </c>
      <c r="I556" s="1243">
        <f t="shared" si="83"/>
        <v>0.33021516828409059</v>
      </c>
      <c r="J556" s="1243">
        <f t="shared" si="90"/>
        <v>0.12093838824177333</v>
      </c>
      <c r="K556" s="1243">
        <f t="shared" si="91"/>
        <v>0.1</v>
      </c>
      <c r="L556" s="203"/>
      <c r="N556" s="1425">
        <v>44425</v>
      </c>
      <c r="O556" s="1502">
        <v>17.860399999999998</v>
      </c>
      <c r="P556" s="1502">
        <v>5.2195</v>
      </c>
      <c r="Q556" s="1502">
        <v>16.241399999999999</v>
      </c>
      <c r="R556" s="1233">
        <f>'B. PE'!$U$23</f>
        <v>15.978235616082999</v>
      </c>
      <c r="S556" s="1233"/>
      <c r="T556" s="1233"/>
      <c r="V556" s="1425">
        <v>44425</v>
      </c>
      <c r="W556" s="1">
        <v>12.5444</v>
      </c>
      <c r="X556" s="1">
        <v>1.3937999999999999</v>
      </c>
      <c r="Y556" s="1">
        <v>9.7821999999999996</v>
      </c>
      <c r="Z556" s="1">
        <v>0.97741</v>
      </c>
      <c r="AB556" s="1425">
        <v>44406</v>
      </c>
      <c r="AC556" s="1">
        <v>10.0009</v>
      </c>
      <c r="AD556" s="1502">
        <v>1.8420000000000001</v>
      </c>
      <c r="AE556" s="1">
        <v>5.7450999999999999</v>
      </c>
      <c r="AF556" s="1">
        <v>4.1709999999999997E-2</v>
      </c>
      <c r="AH556" s="1425">
        <v>44406</v>
      </c>
      <c r="AI556" s="1">
        <v>15.111800000000001</v>
      </c>
      <c r="AJ556" s="1">
        <v>2.7437</v>
      </c>
      <c r="AK556" s="1">
        <v>7.2824</v>
      </c>
      <c r="AL556" s="1">
        <v>4.4119999999999999E-2</v>
      </c>
      <c r="AN556" s="1425">
        <v>44406</v>
      </c>
      <c r="AO556" s="1">
        <v>10.823499999999999</v>
      </c>
      <c r="AP556" s="1">
        <v>1.4124000000000001</v>
      </c>
      <c r="AQ556" s="1">
        <v>7.9512</v>
      </c>
      <c r="AR556" s="1">
        <v>0.32124999999999998</v>
      </c>
      <c r="AT556" s="1425">
        <v>44406</v>
      </c>
      <c r="AU556" s="1">
        <v>7.0670999999999999</v>
      </c>
      <c r="AV556" s="1">
        <v>0.55500000000000005</v>
      </c>
      <c r="AW556" s="1">
        <v>5.0255000000000001</v>
      </c>
      <c r="AX556" s="1">
        <v>0.13700000000000001</v>
      </c>
      <c r="BA556" s="1425">
        <v>44399</v>
      </c>
      <c r="BB556" s="1">
        <v>18.352</v>
      </c>
      <c r="BC556" s="1">
        <v>4.5510999999999999</v>
      </c>
      <c r="BD556" s="1">
        <v>15.979200000000001</v>
      </c>
      <c r="BE556" s="1">
        <v>1.1272200000000001</v>
      </c>
      <c r="BG556" s="1425">
        <v>44399</v>
      </c>
      <c r="BH556" s="1">
        <v>28.586200000000002</v>
      </c>
      <c r="BI556" s="1">
        <v>5.8985000000000003</v>
      </c>
      <c r="BJ556" s="1">
        <v>29.920999999999999</v>
      </c>
      <c r="BT556" s="1425">
        <v>44425</v>
      </c>
      <c r="BU556" s="1">
        <v>17.622</v>
      </c>
      <c r="BV556" s="1">
        <v>4.4253999999999998</v>
      </c>
      <c r="BW556" s="1">
        <v>10.2547</v>
      </c>
      <c r="BX556" s="1">
        <v>2.4975999999999998</v>
      </c>
      <c r="BZ556" s="1425">
        <v>44425</v>
      </c>
      <c r="CA556" s="1">
        <v>51.484699999999997</v>
      </c>
      <c r="CB556" s="1">
        <v>2.6890000000000001</v>
      </c>
      <c r="CC556" s="1">
        <v>103.30540000000001</v>
      </c>
      <c r="CD556" s="1">
        <v>1.0668599999999999</v>
      </c>
      <c r="CF556" s="1425">
        <v>44424</v>
      </c>
      <c r="CG556" s="1">
        <v>7.4661</v>
      </c>
      <c r="CH556" s="1">
        <v>1.4285000000000001</v>
      </c>
      <c r="CI556" s="1">
        <v>6.4523000000000001</v>
      </c>
      <c r="CL556" s="1425">
        <v>44440</v>
      </c>
      <c r="CM556" s="1">
        <v>25.354900000000001</v>
      </c>
      <c r="CN556" s="1">
        <v>2.7305000000000001</v>
      </c>
      <c r="CO556" s="1">
        <v>11.489599999999999</v>
      </c>
    </row>
    <row r="557" spans="1:93">
      <c r="A557" s="1425">
        <v>44424</v>
      </c>
      <c r="B557" s="20">
        <f t="shared" si="82"/>
        <v>17.708300000000001</v>
      </c>
      <c r="C557" s="20">
        <f t="shared" si="84"/>
        <v>12.7866</v>
      </c>
      <c r="D557" s="20">
        <f t="shared" si="85"/>
        <v>14.1334</v>
      </c>
      <c r="E557" s="20">
        <f t="shared" si="86"/>
        <v>10.823499999999999</v>
      </c>
      <c r="F557" s="20">
        <f t="shared" si="87"/>
        <v>27.671399999999998</v>
      </c>
      <c r="G557" s="20">
        <f t="shared" si="88"/>
        <v>17.111999999999998</v>
      </c>
      <c r="H557" s="1239">
        <f t="shared" si="89"/>
        <v>14.1334</v>
      </c>
      <c r="I557" s="1243">
        <f t="shared" si="83"/>
        <v>0.2529398446233746</v>
      </c>
      <c r="J557" s="1243">
        <f t="shared" si="90"/>
        <v>0.12093838824177333</v>
      </c>
      <c r="K557" s="1243">
        <f t="shared" si="91"/>
        <v>0.1</v>
      </c>
      <c r="L557" s="203"/>
      <c r="N557" s="1425">
        <v>44424</v>
      </c>
      <c r="O557" s="1502">
        <v>17.708300000000001</v>
      </c>
      <c r="P557" s="1502">
        <v>5.1750999999999996</v>
      </c>
      <c r="Q557" s="1502">
        <v>16.094799999999999</v>
      </c>
      <c r="R557" s="1233">
        <f>'B. PE'!$U$23</f>
        <v>15.978235616082999</v>
      </c>
      <c r="S557" s="1233"/>
      <c r="T557" s="1233"/>
      <c r="V557" s="1425">
        <v>44424</v>
      </c>
      <c r="W557" s="1">
        <v>12.7866</v>
      </c>
      <c r="X557" s="1">
        <v>1.4207000000000001</v>
      </c>
      <c r="Y557" s="1">
        <v>9.9140999999999995</v>
      </c>
      <c r="Z557" s="1">
        <v>0.95582</v>
      </c>
      <c r="AB557" s="1425">
        <v>44405</v>
      </c>
      <c r="AC557" s="1">
        <v>9.9252000000000002</v>
      </c>
      <c r="AD557" s="1502">
        <v>1.8280000000000001</v>
      </c>
      <c r="AE557" s="1">
        <v>5.7114000000000003</v>
      </c>
      <c r="AF557" s="1">
        <v>4.0419999999999998E-2</v>
      </c>
      <c r="AH557" s="1425">
        <v>44405</v>
      </c>
      <c r="AI557" s="1">
        <v>16.199000000000002</v>
      </c>
      <c r="AJ557" s="1">
        <v>2.9411</v>
      </c>
      <c r="AK557" s="1">
        <v>7.8628</v>
      </c>
      <c r="AL557" s="1">
        <v>3.5369999999999999E-2</v>
      </c>
      <c r="AN557" s="1425">
        <v>44405</v>
      </c>
      <c r="AO557" s="1">
        <v>10.901999999999999</v>
      </c>
      <c r="AP557" s="1">
        <v>1.4226000000000001</v>
      </c>
      <c r="AQ557" s="1">
        <v>8.0128000000000004</v>
      </c>
      <c r="AR557" s="1">
        <v>0.32618000000000003</v>
      </c>
      <c r="AT557" s="1425">
        <v>44405</v>
      </c>
      <c r="AW557" s="1">
        <v>4.8929</v>
      </c>
      <c r="AX557" s="1">
        <v>0.13827</v>
      </c>
      <c r="BA557" s="1425">
        <v>44398</v>
      </c>
      <c r="BB557" s="1">
        <v>18.228000000000002</v>
      </c>
      <c r="BC557" s="1">
        <v>4.5204000000000004</v>
      </c>
      <c r="BD557" s="1">
        <v>15.8857</v>
      </c>
      <c r="BE557" s="1">
        <v>1.1263000000000001</v>
      </c>
      <c r="BG557" s="1425">
        <v>44398</v>
      </c>
      <c r="BH557" s="1">
        <v>29.157900000000001</v>
      </c>
      <c r="BI557" s="1">
        <v>6.0164999999999997</v>
      </c>
      <c r="BJ557" s="1">
        <v>30.461200000000002</v>
      </c>
      <c r="BT557" s="1425">
        <v>44424</v>
      </c>
      <c r="BU557" s="1">
        <v>17.642800000000001</v>
      </c>
      <c r="BV557" s="1">
        <v>4.4306000000000001</v>
      </c>
      <c r="BW557" s="1">
        <v>10.266299999999999</v>
      </c>
      <c r="BX557" s="1">
        <v>2.4843999999999999</v>
      </c>
      <c r="BZ557" s="1425">
        <v>44424</v>
      </c>
      <c r="CA557" s="1">
        <v>49.823900000000002</v>
      </c>
      <c r="CB557" s="1">
        <v>2.6023000000000001</v>
      </c>
      <c r="CC557" s="1">
        <v>101.4019</v>
      </c>
      <c r="CD557" s="1">
        <v>1.0369699999999999</v>
      </c>
      <c r="CF557" s="1425">
        <v>44421</v>
      </c>
      <c r="CG557" s="1">
        <v>7.5872000000000002</v>
      </c>
      <c r="CH557" s="1">
        <v>1.4516</v>
      </c>
      <c r="CI557" s="1">
        <v>6.5377999999999998</v>
      </c>
      <c r="CL557" s="1425">
        <v>44439</v>
      </c>
      <c r="CM557" s="1">
        <v>25.372699999999998</v>
      </c>
      <c r="CN557" s="1">
        <v>2.7324999999999999</v>
      </c>
      <c r="CO557" s="1">
        <v>11.4976</v>
      </c>
    </row>
    <row r="558" spans="1:93">
      <c r="A558" s="1425">
        <v>44421</v>
      </c>
      <c r="B558" s="20">
        <f t="shared" si="82"/>
        <v>17.349799999999998</v>
      </c>
      <c r="C558" s="20">
        <f t="shared" si="84"/>
        <v>12.835000000000001</v>
      </c>
      <c r="D558" s="20">
        <f t="shared" si="85"/>
        <v>14.6226</v>
      </c>
      <c r="E558" s="20">
        <f t="shared" si="86"/>
        <v>10.823499999999999</v>
      </c>
      <c r="F558" s="20">
        <f t="shared" si="87"/>
        <v>27.213999999999999</v>
      </c>
      <c r="G558" s="20">
        <f t="shared" si="88"/>
        <v>16.492000000000001</v>
      </c>
      <c r="H558" s="1239">
        <f t="shared" si="89"/>
        <v>14.6226</v>
      </c>
      <c r="I558" s="1243">
        <f t="shared" si="83"/>
        <v>0.18650581975845593</v>
      </c>
      <c r="J558" s="1243">
        <f t="shared" si="90"/>
        <v>0.12093838824177333</v>
      </c>
      <c r="K558" s="1243">
        <f t="shared" si="91"/>
        <v>0.1</v>
      </c>
      <c r="L558" s="203"/>
      <c r="N558" s="1425">
        <v>44421</v>
      </c>
      <c r="O558" s="1502">
        <v>17.349799999999998</v>
      </c>
      <c r="P558" s="1502">
        <v>5.0702999999999996</v>
      </c>
      <c r="Q558" s="1502">
        <v>15.7493</v>
      </c>
      <c r="R558" s="1233">
        <f>'B. PE'!$U$23</f>
        <v>15.978235616082999</v>
      </c>
      <c r="S558" s="1233"/>
      <c r="T558" s="1233"/>
      <c r="V558" s="1425">
        <v>44421</v>
      </c>
      <c r="W558" s="1">
        <v>12.835000000000001</v>
      </c>
      <c r="X558" s="1">
        <v>1.4259999999999999</v>
      </c>
      <c r="Y558" s="1">
        <v>9.9405000000000001</v>
      </c>
      <c r="Z558" s="1">
        <v>0.89210999999999996</v>
      </c>
      <c r="AB558" s="1425">
        <v>44404</v>
      </c>
      <c r="AC558" s="1">
        <v>9.1675000000000004</v>
      </c>
      <c r="AD558" s="1502">
        <v>1.6884999999999999</v>
      </c>
      <c r="AE558" s="1">
        <v>5.3749000000000002</v>
      </c>
      <c r="AF558" s="1">
        <v>4.0750000000000001E-2</v>
      </c>
      <c r="AH558" s="1425">
        <v>44404</v>
      </c>
      <c r="AI558" s="1">
        <v>17.3949</v>
      </c>
      <c r="AJ558" s="1">
        <v>3.1581999999999999</v>
      </c>
      <c r="AK558" s="1">
        <v>8.5013000000000005</v>
      </c>
      <c r="AL558" s="1">
        <v>3.4810000000000001E-2</v>
      </c>
      <c r="AN558" s="1425">
        <v>44404</v>
      </c>
      <c r="AO558" s="1">
        <v>10.666700000000001</v>
      </c>
      <c r="AP558" s="1">
        <v>1.3918999999999999</v>
      </c>
      <c r="AQ558" s="1">
        <v>7.8281999999999998</v>
      </c>
      <c r="AR558" s="1">
        <v>0.33362999999999998</v>
      </c>
      <c r="AT558" s="1425">
        <v>44404</v>
      </c>
      <c r="AU558" s="1">
        <v>6.8315999999999999</v>
      </c>
      <c r="AV558" s="1">
        <v>0.53649999999999998</v>
      </c>
      <c r="AW558" s="1">
        <v>4.8929</v>
      </c>
      <c r="AX558" s="1">
        <v>0.13605</v>
      </c>
      <c r="BA558" s="1425">
        <v>44397</v>
      </c>
      <c r="BB558" s="1">
        <v>18.352</v>
      </c>
      <c r="BC558" s="1">
        <v>4.5510999999999999</v>
      </c>
      <c r="BD558" s="1">
        <v>15.979200000000001</v>
      </c>
      <c r="BE558" s="1">
        <v>1.1587499999999999</v>
      </c>
      <c r="BG558" s="1425">
        <v>44397</v>
      </c>
      <c r="BH558" s="1">
        <v>28.872</v>
      </c>
      <c r="BI558" s="1">
        <v>5.9574999999999996</v>
      </c>
      <c r="BJ558" s="1">
        <v>30.191099999999999</v>
      </c>
      <c r="BT558" s="1425">
        <v>44421</v>
      </c>
      <c r="BU558" s="1">
        <v>17.7361</v>
      </c>
      <c r="BV558" s="1">
        <v>4.4539999999999997</v>
      </c>
      <c r="BW558" s="1">
        <v>10.3187</v>
      </c>
      <c r="BX558" s="1">
        <v>2.5493999999999999</v>
      </c>
      <c r="BZ558" s="1425">
        <v>44421</v>
      </c>
      <c r="CA558" s="1">
        <v>49.823900000000002</v>
      </c>
      <c r="CB558" s="1">
        <v>2.6023000000000001</v>
      </c>
      <c r="CC558" s="1">
        <v>101.4019</v>
      </c>
      <c r="CD558" s="1">
        <v>1.0514399999999999</v>
      </c>
      <c r="CF558" s="1425">
        <v>44420</v>
      </c>
      <c r="CG558" s="1">
        <v>7.7889999999999997</v>
      </c>
      <c r="CH558" s="1">
        <v>1.4902</v>
      </c>
      <c r="CI558" s="1">
        <v>6.6802999999999999</v>
      </c>
      <c r="CL558" s="1425">
        <v>44438</v>
      </c>
      <c r="CM558" s="1">
        <v>25.177099999999999</v>
      </c>
      <c r="CN558" s="1">
        <v>2.7113999999999998</v>
      </c>
      <c r="CO558" s="1">
        <v>11.409599999999999</v>
      </c>
    </row>
    <row r="559" spans="1:93">
      <c r="A559" s="1425">
        <v>44420</v>
      </c>
      <c r="B559" s="20">
        <f t="shared" si="82"/>
        <v>17.338999999999999</v>
      </c>
      <c r="C559" s="20">
        <f t="shared" si="84"/>
        <v>12.5444</v>
      </c>
      <c r="D559" s="20">
        <f t="shared" si="85"/>
        <v>14.948700000000001</v>
      </c>
      <c r="E559" s="20">
        <f t="shared" si="86"/>
        <v>11.1373</v>
      </c>
      <c r="F559" s="20">
        <f t="shared" si="87"/>
        <v>27.213999999999999</v>
      </c>
      <c r="G559" s="20">
        <f t="shared" si="88"/>
        <v>16.492000000000001</v>
      </c>
      <c r="H559" s="1239">
        <f t="shared" si="89"/>
        <v>14.948700000000001</v>
      </c>
      <c r="I559" s="1243">
        <f t="shared" si="83"/>
        <v>0.15990019198993877</v>
      </c>
      <c r="J559" s="1243">
        <f t="shared" si="90"/>
        <v>0.12093838824177333</v>
      </c>
      <c r="K559" s="1243">
        <f t="shared" si="91"/>
        <v>0.1</v>
      </c>
      <c r="L559" s="203"/>
      <c r="N559" s="1425">
        <v>44420</v>
      </c>
      <c r="O559" s="1502">
        <v>17.338999999999999</v>
      </c>
      <c r="P559" s="1502">
        <v>5.0670999999999999</v>
      </c>
      <c r="Q559" s="1502">
        <v>15.738799999999999</v>
      </c>
      <c r="R559" s="1233">
        <f>'B. PE'!$U$23</f>
        <v>15.978235616082999</v>
      </c>
      <c r="S559" s="1233"/>
      <c r="T559" s="1233"/>
      <c r="V559" s="1425">
        <v>44420</v>
      </c>
      <c r="W559" s="1">
        <v>12.5444</v>
      </c>
      <c r="X559" s="1">
        <v>1.3937999999999999</v>
      </c>
      <c r="Y559" s="1">
        <v>9.7821999999999996</v>
      </c>
      <c r="Z559" s="1">
        <v>0.88339999999999996</v>
      </c>
      <c r="AB559" s="1425">
        <v>44403</v>
      </c>
      <c r="AC559" s="1">
        <v>8.8644999999999996</v>
      </c>
      <c r="AD559" s="1502">
        <v>1.6327</v>
      </c>
      <c r="AE559" s="1">
        <v>5.2403000000000004</v>
      </c>
      <c r="AF559" s="1">
        <v>4.0649999999999999E-2</v>
      </c>
      <c r="AH559" s="1425">
        <v>44403</v>
      </c>
      <c r="AI559" s="1">
        <v>13.915900000000001</v>
      </c>
      <c r="AJ559" s="1">
        <v>2.5266000000000002</v>
      </c>
      <c r="AK559" s="1">
        <v>6.6439000000000004</v>
      </c>
      <c r="AL559" s="1">
        <v>3.431E-2</v>
      </c>
      <c r="AN559" s="1425">
        <v>44403</v>
      </c>
      <c r="AO559" s="1">
        <v>10.823499999999999</v>
      </c>
      <c r="AP559" s="1">
        <v>1.4124000000000001</v>
      </c>
      <c r="AQ559" s="1">
        <v>7.9512</v>
      </c>
      <c r="AR559" s="1">
        <v>0.32667000000000002</v>
      </c>
      <c r="AT559" s="1425">
        <v>44403</v>
      </c>
      <c r="AU559" s="1">
        <v>6.8905000000000003</v>
      </c>
      <c r="AV559" s="1">
        <v>0.54110000000000003</v>
      </c>
      <c r="AW559" s="1">
        <v>4.9260000000000002</v>
      </c>
      <c r="AX559" s="1">
        <v>0.13492999999999999</v>
      </c>
      <c r="BA559" s="1425">
        <v>44396</v>
      </c>
      <c r="BB559" s="1">
        <v>18.352</v>
      </c>
      <c r="BC559" s="1">
        <v>4.5510999999999999</v>
      </c>
      <c r="BD559" s="1">
        <v>15.979200000000001</v>
      </c>
      <c r="BE559" s="1">
        <v>1.1702600000000001</v>
      </c>
      <c r="BG559" s="1425">
        <v>44396</v>
      </c>
      <c r="BH559" s="1">
        <v>29.4437</v>
      </c>
      <c r="BI559" s="1">
        <v>6.0754999999999999</v>
      </c>
      <c r="BJ559" s="1">
        <v>30.731300000000001</v>
      </c>
      <c r="BT559" s="1425">
        <v>44420</v>
      </c>
      <c r="BU559" s="1">
        <v>17.632400000000001</v>
      </c>
      <c r="BV559" s="1">
        <v>4.4279999999999999</v>
      </c>
      <c r="BW559" s="1">
        <v>10.2605</v>
      </c>
      <c r="BX559" s="1">
        <v>2.5295000000000001</v>
      </c>
      <c r="BZ559" s="1425">
        <v>44420</v>
      </c>
      <c r="CA559" s="1">
        <v>48.400399999999998</v>
      </c>
      <c r="CB559" s="1">
        <v>2.5278999999999998</v>
      </c>
      <c r="CC559" s="1">
        <v>99.770300000000006</v>
      </c>
      <c r="CD559" s="1">
        <v>1.0321199999999999</v>
      </c>
      <c r="CF559" s="1425">
        <v>44419</v>
      </c>
      <c r="CG559" s="1">
        <v>7.6276000000000002</v>
      </c>
      <c r="CH559" s="1">
        <v>1.4594</v>
      </c>
      <c r="CI559" s="1">
        <v>6.5663</v>
      </c>
      <c r="CL559" s="1425">
        <v>44435</v>
      </c>
      <c r="CM559" s="1">
        <v>24.999300000000002</v>
      </c>
      <c r="CN559" s="1">
        <v>2.6922999999999999</v>
      </c>
      <c r="CO559" s="1">
        <v>11.329700000000001</v>
      </c>
    </row>
    <row r="560" spans="1:93">
      <c r="A560" s="1425">
        <v>44419</v>
      </c>
      <c r="B560" s="20">
        <f t="shared" si="82"/>
        <v>17.817</v>
      </c>
      <c r="C560" s="20">
        <f t="shared" si="84"/>
        <v>11.7453</v>
      </c>
      <c r="D560" s="20">
        <f t="shared" si="85"/>
        <v>14.948700000000001</v>
      </c>
      <c r="E560" s="20">
        <f t="shared" si="86"/>
        <v>10.980399999999999</v>
      </c>
      <c r="F560" s="20">
        <f t="shared" si="87"/>
        <v>27.442699999999999</v>
      </c>
      <c r="G560" s="20">
        <f t="shared" si="88"/>
        <v>16.616</v>
      </c>
      <c r="H560" s="1239">
        <f t="shared" si="89"/>
        <v>14.948700000000001</v>
      </c>
      <c r="I560" s="1243">
        <f t="shared" si="83"/>
        <v>0.19187621666098043</v>
      </c>
      <c r="J560" s="1243">
        <f t="shared" si="90"/>
        <v>0.12093838824177333</v>
      </c>
      <c r="K560" s="1243">
        <f t="shared" si="91"/>
        <v>0.1</v>
      </c>
      <c r="L560" s="203"/>
      <c r="N560" s="1425">
        <v>44419</v>
      </c>
      <c r="O560" s="1502">
        <v>17.817</v>
      </c>
      <c r="P560" s="1502">
        <v>5.2068000000000003</v>
      </c>
      <c r="Q560" s="1502">
        <v>16.1995</v>
      </c>
      <c r="R560" s="1233">
        <f>'B. PE'!$U$23</f>
        <v>15.978235616082999</v>
      </c>
      <c r="S560" s="1233"/>
      <c r="T560" s="1233"/>
      <c r="V560" s="1425">
        <v>44419</v>
      </c>
      <c r="W560" s="1">
        <v>11.7453</v>
      </c>
      <c r="X560" s="1">
        <v>1.3049999999999999</v>
      </c>
      <c r="Y560" s="1">
        <v>9.3468</v>
      </c>
      <c r="Z560" s="1">
        <v>0.82625000000000004</v>
      </c>
      <c r="AB560" s="1425">
        <v>44400</v>
      </c>
      <c r="AC560" s="1">
        <v>8.9402000000000008</v>
      </c>
      <c r="AD560" s="1502">
        <v>1.6466000000000001</v>
      </c>
      <c r="AE560" s="1">
        <v>5.274</v>
      </c>
      <c r="AF560" s="1">
        <v>4.07E-2</v>
      </c>
      <c r="AH560" s="1425">
        <v>44400</v>
      </c>
      <c r="AI560" s="1">
        <v>13.698499999999999</v>
      </c>
      <c r="AJ560" s="1">
        <v>2.4870999999999999</v>
      </c>
      <c r="AK560" s="1">
        <v>6.5278</v>
      </c>
      <c r="AL560" s="1">
        <v>3.2009999999999997E-2</v>
      </c>
      <c r="AN560" s="1425">
        <v>44400</v>
      </c>
      <c r="AO560" s="1">
        <v>11.0588</v>
      </c>
      <c r="AP560" s="1">
        <v>1.4431</v>
      </c>
      <c r="AQ560" s="1">
        <v>8.1358999999999995</v>
      </c>
      <c r="AR560" s="1">
        <v>0.31415999999999999</v>
      </c>
      <c r="AT560" s="1425">
        <v>44400</v>
      </c>
      <c r="AU560" s="1">
        <v>6.7727000000000004</v>
      </c>
      <c r="AV560" s="1">
        <v>0.53190000000000004</v>
      </c>
      <c r="AW560" s="1">
        <v>4.8597999999999999</v>
      </c>
      <c r="AX560" s="1">
        <v>0.13464000000000001</v>
      </c>
      <c r="BA560" s="1425">
        <v>44393</v>
      </c>
      <c r="BB560" s="1">
        <v>18.847999999999999</v>
      </c>
      <c r="BC560" s="1">
        <v>4.6741000000000001</v>
      </c>
      <c r="BD560" s="1">
        <v>16.353100000000001</v>
      </c>
      <c r="BE560" s="1">
        <v>1.14131</v>
      </c>
      <c r="BG560" s="1425">
        <v>44393</v>
      </c>
      <c r="BH560" s="1">
        <v>30.015499999999999</v>
      </c>
      <c r="BI560" s="1">
        <v>6.1933999999999996</v>
      </c>
      <c r="BJ560" s="1">
        <v>31.271599999999999</v>
      </c>
      <c r="BT560" s="1425">
        <v>44419</v>
      </c>
      <c r="BU560" s="1">
        <v>18.151</v>
      </c>
      <c r="BV560" s="1">
        <v>4.5582000000000003</v>
      </c>
      <c r="BW560" s="1">
        <v>10.551600000000001</v>
      </c>
      <c r="BX560" s="1">
        <v>2.5274000000000001</v>
      </c>
      <c r="BZ560" s="1425">
        <v>44419</v>
      </c>
      <c r="CA560" s="1">
        <v>49.230800000000002</v>
      </c>
      <c r="CB560" s="1">
        <v>2.5712999999999999</v>
      </c>
      <c r="CC560" s="1">
        <v>100.7221</v>
      </c>
      <c r="CD560" s="1">
        <v>0.99392000000000003</v>
      </c>
      <c r="CF560" s="1425">
        <v>44418</v>
      </c>
      <c r="CG560" s="1">
        <v>7.4257999999999997</v>
      </c>
      <c r="CH560" s="1">
        <v>1.4207000000000001</v>
      </c>
      <c r="CI560" s="1">
        <v>6.4238</v>
      </c>
      <c r="CL560" s="1425">
        <v>44434</v>
      </c>
      <c r="CM560" s="1">
        <v>25.301600000000001</v>
      </c>
      <c r="CN560" s="1">
        <v>2.7248000000000001</v>
      </c>
      <c r="CO560" s="1">
        <v>11.4656</v>
      </c>
    </row>
    <row r="561" spans="1:93">
      <c r="A561" s="1425">
        <v>44418</v>
      </c>
      <c r="B561" s="20">
        <f t="shared" si="82"/>
        <v>17.697500000000002</v>
      </c>
      <c r="C561" s="20">
        <f t="shared" si="84"/>
        <v>11.648400000000001</v>
      </c>
      <c r="D561" s="20">
        <f t="shared" si="85"/>
        <v>14.242100000000001</v>
      </c>
      <c r="E561" s="20">
        <f t="shared" si="86"/>
        <v>10.980399999999999</v>
      </c>
      <c r="F561" s="20">
        <f t="shared" si="87"/>
        <v>27.442699999999999</v>
      </c>
      <c r="G561" s="20">
        <f t="shared" si="88"/>
        <v>17.111999999999998</v>
      </c>
      <c r="H561" s="1239">
        <f t="shared" si="89"/>
        <v>14.242100000000001</v>
      </c>
      <c r="I561" s="1243">
        <f t="shared" si="83"/>
        <v>0.24261871493670184</v>
      </c>
      <c r="J561" s="1243">
        <f t="shared" si="90"/>
        <v>0.12093838824177333</v>
      </c>
      <c r="K561" s="1243">
        <f t="shared" si="91"/>
        <v>0.1</v>
      </c>
      <c r="L561" s="203"/>
      <c r="N561" s="1425">
        <v>44418</v>
      </c>
      <c r="O561" s="1502">
        <v>17.697500000000002</v>
      </c>
      <c r="P561" s="1502">
        <v>5.1718999999999999</v>
      </c>
      <c r="Q561" s="1502">
        <v>16.084399999999999</v>
      </c>
      <c r="R561" s="1233">
        <f>'B. PE'!$U$23</f>
        <v>15.978235616082999</v>
      </c>
      <c r="S561" s="1233"/>
      <c r="T561" s="1233"/>
      <c r="V561" s="1425">
        <v>44418</v>
      </c>
      <c r="W561" s="1">
        <v>11.648400000000001</v>
      </c>
      <c r="X561" s="1">
        <v>1.2942</v>
      </c>
      <c r="Y561" s="1">
        <v>9.2940000000000005</v>
      </c>
      <c r="Z561" s="1">
        <v>0.82023999999999997</v>
      </c>
      <c r="AB561" s="1425">
        <v>44399</v>
      </c>
      <c r="AC561" s="1">
        <v>8.9402000000000008</v>
      </c>
      <c r="AD561" s="1502">
        <v>1.6466000000000001</v>
      </c>
      <c r="AE561" s="1">
        <v>5.274</v>
      </c>
      <c r="AF561" s="1">
        <v>3.9750000000000001E-2</v>
      </c>
      <c r="AH561" s="1425">
        <v>44399</v>
      </c>
      <c r="AI561" s="1">
        <v>13.535399999999999</v>
      </c>
      <c r="AJ561" s="1">
        <v>2.4575</v>
      </c>
      <c r="AK561" s="1">
        <v>6.4408000000000003</v>
      </c>
      <c r="AL561" s="1">
        <v>3.1940000000000003E-2</v>
      </c>
      <c r="AN561" s="1425">
        <v>44399</v>
      </c>
      <c r="AO561" s="1">
        <v>10.823499999999999</v>
      </c>
      <c r="AP561" s="1">
        <v>1.4124000000000001</v>
      </c>
      <c r="AQ561" s="1">
        <v>7.9512</v>
      </c>
      <c r="AR561" s="1">
        <v>0.31239</v>
      </c>
      <c r="AT561" s="1425">
        <v>44399</v>
      </c>
      <c r="AU561" s="1">
        <v>6.7138</v>
      </c>
      <c r="AV561" s="1">
        <v>0.52729999999999999</v>
      </c>
      <c r="AW561" s="1">
        <v>4.8266</v>
      </c>
      <c r="BA561" s="1425">
        <v>44392</v>
      </c>
      <c r="BB561" s="1">
        <v>18.972000000000001</v>
      </c>
      <c r="BC561" s="1">
        <v>4.7049000000000003</v>
      </c>
      <c r="BD561" s="1">
        <v>16.4466</v>
      </c>
      <c r="BE561" s="1">
        <v>1.10341</v>
      </c>
      <c r="BG561" s="1425">
        <v>44392</v>
      </c>
      <c r="BH561" s="1">
        <v>30.015499999999999</v>
      </c>
      <c r="BI561" s="1">
        <v>6.1933999999999996</v>
      </c>
      <c r="BJ561" s="1">
        <v>31.271599999999999</v>
      </c>
      <c r="BT561" s="1425">
        <v>44418</v>
      </c>
      <c r="BU561" s="1">
        <v>18.036899999999999</v>
      </c>
      <c r="BV561" s="1">
        <v>4.5294999999999996</v>
      </c>
      <c r="BW561" s="1">
        <v>10.4876</v>
      </c>
      <c r="BX561" s="1">
        <v>2.4923999999999999</v>
      </c>
      <c r="BZ561" s="1425">
        <v>44418</v>
      </c>
      <c r="CA561" s="1">
        <v>48.400399999999998</v>
      </c>
      <c r="CB561" s="1">
        <v>2.5278999999999998</v>
      </c>
      <c r="CC561" s="1">
        <v>99.770300000000006</v>
      </c>
      <c r="CD561" s="1">
        <v>0.98319999999999996</v>
      </c>
      <c r="CF561" s="1425">
        <v>44417</v>
      </c>
      <c r="CG561" s="1">
        <v>6.7801</v>
      </c>
      <c r="CH561" s="1">
        <v>1.2971999999999999</v>
      </c>
      <c r="CI561" s="1">
        <v>5.9678000000000004</v>
      </c>
      <c r="CL561" s="1425">
        <v>44433</v>
      </c>
      <c r="CM561" s="1">
        <v>25.194900000000001</v>
      </c>
      <c r="CN561" s="1">
        <v>2.7132999999999998</v>
      </c>
      <c r="CO561" s="1">
        <v>11.4176</v>
      </c>
    </row>
    <row r="562" spans="1:93">
      <c r="A562" s="1425">
        <v>44417</v>
      </c>
      <c r="B562" s="20">
        <f t="shared" si="82"/>
        <v>17.338999999999999</v>
      </c>
      <c r="C562" s="20">
        <f t="shared" si="84"/>
        <v>10.8977</v>
      </c>
      <c r="D562" s="20">
        <f t="shared" si="85"/>
        <v>14.7857</v>
      </c>
      <c r="E562" s="20">
        <f t="shared" si="86"/>
        <v>11.529400000000001</v>
      </c>
      <c r="F562" s="20">
        <f t="shared" si="87"/>
        <v>26.870999999999999</v>
      </c>
      <c r="G562" s="20">
        <f t="shared" si="88"/>
        <v>16.739999999999998</v>
      </c>
      <c r="H562" s="1239">
        <f t="shared" si="89"/>
        <v>14.7857</v>
      </c>
      <c r="I562" s="1243">
        <f t="shared" si="83"/>
        <v>0.17268712336920111</v>
      </c>
      <c r="J562" s="1243">
        <f t="shared" si="90"/>
        <v>0.12093838824177333</v>
      </c>
      <c r="K562" s="1243">
        <f t="shared" si="91"/>
        <v>0.1</v>
      </c>
      <c r="L562" s="203"/>
      <c r="N562" s="1425">
        <v>44417</v>
      </c>
      <c r="O562" s="1502">
        <v>17.338999999999999</v>
      </c>
      <c r="P562" s="1502">
        <v>5.0670999999999999</v>
      </c>
      <c r="Q562" s="1502">
        <v>15.738799999999999</v>
      </c>
      <c r="R562" s="1233">
        <f>'B. PE'!$U$23</f>
        <v>15.978235616082999</v>
      </c>
      <c r="S562" s="1233"/>
      <c r="T562" s="1233"/>
      <c r="V562" s="1425">
        <v>44417</v>
      </c>
      <c r="W562" s="1">
        <v>10.8977</v>
      </c>
      <c r="X562" s="1">
        <v>1.2108000000000001</v>
      </c>
      <c r="Y562" s="1">
        <v>8.8850999999999996</v>
      </c>
      <c r="Z562" s="1">
        <v>0.80878000000000005</v>
      </c>
      <c r="AB562" s="1425">
        <v>44398</v>
      </c>
      <c r="AC562" s="1">
        <v>8.9402000000000008</v>
      </c>
      <c r="AD562" s="1502">
        <v>1.6466000000000001</v>
      </c>
      <c r="AE562" s="1">
        <v>5.274</v>
      </c>
      <c r="AF562" s="1">
        <v>4.0039999999999999E-2</v>
      </c>
      <c r="AH562" s="1425">
        <v>44398</v>
      </c>
      <c r="AI562" s="1">
        <v>12.6113</v>
      </c>
      <c r="AJ562" s="1">
        <v>2.2896999999999998</v>
      </c>
      <c r="AK562" s="1">
        <v>5.9474</v>
      </c>
      <c r="AL562" s="1">
        <v>3.0099999999999998E-2</v>
      </c>
      <c r="AN562" s="1425">
        <v>44398</v>
      </c>
      <c r="AO562" s="1">
        <v>10.4314</v>
      </c>
      <c r="AP562" s="1">
        <v>1.3612</v>
      </c>
      <c r="AQ562" s="1">
        <v>7.6435000000000004</v>
      </c>
      <c r="AR562" s="1">
        <v>0.3115</v>
      </c>
      <c r="AT562" s="1425">
        <v>44398</v>
      </c>
      <c r="AU562" s="1">
        <v>6.7138</v>
      </c>
      <c r="AV562" s="1">
        <v>0.52729999999999999</v>
      </c>
      <c r="AW562" s="1">
        <v>4.8266</v>
      </c>
      <c r="BA562" s="1425">
        <v>44391</v>
      </c>
      <c r="BB562" s="1">
        <v>18.475999999999999</v>
      </c>
      <c r="BC562" s="1">
        <v>4.5819000000000001</v>
      </c>
      <c r="BD562" s="1">
        <v>16.072700000000001</v>
      </c>
      <c r="BE562" s="1">
        <v>1.1396999999999999</v>
      </c>
      <c r="BG562" s="1425">
        <v>44391</v>
      </c>
      <c r="BH562" s="1">
        <v>30.587199999999999</v>
      </c>
      <c r="BI562" s="1">
        <v>6.3113999999999999</v>
      </c>
      <c r="BJ562" s="1">
        <v>31.811800000000002</v>
      </c>
      <c r="BT562" s="1425">
        <v>44417</v>
      </c>
      <c r="BU562" s="1">
        <v>18.026499999999999</v>
      </c>
      <c r="BV562" s="1">
        <v>4.5269000000000004</v>
      </c>
      <c r="BW562" s="1">
        <v>10.4818</v>
      </c>
      <c r="BX562" s="1">
        <v>2.5127999999999999</v>
      </c>
      <c r="BZ562" s="1425">
        <v>44417</v>
      </c>
      <c r="CA562" s="1">
        <v>46.621000000000002</v>
      </c>
      <c r="CB562" s="1">
        <v>2.4350000000000001</v>
      </c>
      <c r="CC562" s="1">
        <v>97.730800000000002</v>
      </c>
      <c r="CD562" s="1">
        <v>0.94349000000000005</v>
      </c>
      <c r="CF562" s="1425">
        <v>44414</v>
      </c>
      <c r="CG562" s="1">
        <v>6.7397</v>
      </c>
      <c r="CH562" s="1">
        <v>1.2895000000000001</v>
      </c>
      <c r="CI562" s="1">
        <v>5.9393000000000002</v>
      </c>
      <c r="CL562" s="1425">
        <v>44432</v>
      </c>
      <c r="CM562" s="1">
        <v>26.1372</v>
      </c>
      <c r="CN562" s="1">
        <v>2.8148</v>
      </c>
      <c r="CO562" s="1">
        <v>11.8413</v>
      </c>
    </row>
    <row r="563" spans="1:93">
      <c r="A563" s="1425">
        <v>44414</v>
      </c>
      <c r="B563" s="20">
        <f t="shared" si="82"/>
        <v>16.839200000000002</v>
      </c>
      <c r="C563" s="20">
        <f t="shared" si="84"/>
        <v>10.824999999999999</v>
      </c>
      <c r="D563" s="20">
        <f t="shared" si="85"/>
        <v>15.0031</v>
      </c>
      <c r="E563" s="20">
        <f t="shared" si="86"/>
        <v>11.0588</v>
      </c>
      <c r="F563" s="20">
        <f t="shared" si="87"/>
        <v>26.756599999999999</v>
      </c>
      <c r="G563" s="20">
        <f t="shared" si="88"/>
        <v>16.739999999999998</v>
      </c>
      <c r="H563" s="1239">
        <f t="shared" si="89"/>
        <v>15.0031</v>
      </c>
      <c r="I563" s="1243">
        <f t="shared" si="83"/>
        <v>0.12238137451593345</v>
      </c>
      <c r="J563" s="1243">
        <f t="shared" si="90"/>
        <v>0.12093838824177333</v>
      </c>
      <c r="K563" s="1243">
        <f t="shared" si="91"/>
        <v>0.1</v>
      </c>
      <c r="L563" s="203"/>
      <c r="N563" s="1425">
        <v>44414</v>
      </c>
      <c r="O563" s="1502">
        <v>16.839200000000002</v>
      </c>
      <c r="P563" s="1502">
        <v>4.9211</v>
      </c>
      <c r="Q563" s="1502">
        <v>15.257099999999999</v>
      </c>
      <c r="R563" s="1233">
        <f>'B. PE'!$U$23</f>
        <v>15.978235616082999</v>
      </c>
      <c r="S563" s="1233"/>
      <c r="T563" s="1233"/>
      <c r="V563" s="1425">
        <v>44414</v>
      </c>
      <c r="W563" s="1">
        <v>10.824999999999999</v>
      </c>
      <c r="X563" s="1">
        <v>1.2027000000000001</v>
      </c>
      <c r="Y563" s="1">
        <v>8.8454999999999995</v>
      </c>
      <c r="Z563" s="1">
        <v>0.80691000000000002</v>
      </c>
      <c r="AB563" s="1425">
        <v>44396</v>
      </c>
      <c r="AC563" s="1">
        <v>8.7887000000000004</v>
      </c>
      <c r="AD563" s="1502">
        <v>1.6187</v>
      </c>
      <c r="AE563" s="1">
        <v>5.2066999999999997</v>
      </c>
      <c r="AF563" s="1">
        <v>4.1619999999999997E-2</v>
      </c>
      <c r="AH563" s="1425">
        <v>44396</v>
      </c>
      <c r="AI563" s="1">
        <v>12.665699999999999</v>
      </c>
      <c r="AJ563" s="1">
        <v>2.2995999999999999</v>
      </c>
      <c r="AK563" s="1">
        <v>5.9763999999999999</v>
      </c>
      <c r="AL563" s="1">
        <v>2.903E-2</v>
      </c>
      <c r="AN563" s="1425">
        <v>44396</v>
      </c>
      <c r="AO563" s="1">
        <v>10.3529</v>
      </c>
      <c r="AP563" s="1">
        <v>1.351</v>
      </c>
      <c r="AQ563" s="1">
        <v>7.5819999999999999</v>
      </c>
      <c r="AR563" s="1">
        <v>0.31191000000000002</v>
      </c>
      <c r="AT563" s="1425">
        <v>44396</v>
      </c>
      <c r="AW563" s="1">
        <v>4.8597999999999999</v>
      </c>
      <c r="AX563" s="1">
        <v>0.13691</v>
      </c>
      <c r="BA563" s="1425">
        <v>44390</v>
      </c>
      <c r="BB563" s="1">
        <v>17.856000000000002</v>
      </c>
      <c r="BC563" s="1">
        <v>4.4280999999999997</v>
      </c>
      <c r="BD563" s="1">
        <v>15.6052</v>
      </c>
      <c r="BE563" s="1">
        <v>1.0839099999999999</v>
      </c>
      <c r="BG563" s="1425">
        <v>44390</v>
      </c>
      <c r="BH563" s="1">
        <v>30.301300000000001</v>
      </c>
      <c r="BI563" s="1">
        <v>6.2523999999999997</v>
      </c>
      <c r="BJ563" s="1">
        <v>31.541699999999999</v>
      </c>
      <c r="BT563" s="1425">
        <v>44414</v>
      </c>
      <c r="BU563" s="1">
        <v>17.788</v>
      </c>
      <c r="BV563" s="1">
        <v>4.4669999999999996</v>
      </c>
      <c r="BW563" s="1">
        <v>10.347899999999999</v>
      </c>
      <c r="BX563" s="1">
        <v>2.4691000000000001</v>
      </c>
      <c r="BZ563" s="1425">
        <v>44414</v>
      </c>
      <c r="CA563" s="1">
        <v>46.1464</v>
      </c>
      <c r="CB563" s="1">
        <v>2.4102000000000001</v>
      </c>
      <c r="CC563" s="1">
        <v>97.186999999999998</v>
      </c>
      <c r="CD563" s="1">
        <v>0.95103000000000004</v>
      </c>
      <c r="CF563" s="1425">
        <v>44413</v>
      </c>
      <c r="CG563" s="1">
        <v>6.9010999999999996</v>
      </c>
      <c r="CH563" s="1">
        <v>1.3204</v>
      </c>
      <c r="CI563" s="1">
        <v>6.0533000000000001</v>
      </c>
      <c r="CL563" s="1425">
        <v>44431</v>
      </c>
      <c r="CM563" s="1">
        <v>26.279499999999999</v>
      </c>
      <c r="CN563" s="1">
        <v>2.8300999999999998</v>
      </c>
      <c r="CO563" s="1">
        <v>11.9053</v>
      </c>
    </row>
    <row r="564" spans="1:93">
      <c r="A564" s="1425">
        <v>44413</v>
      </c>
      <c r="B564" s="20">
        <f t="shared" si="82"/>
        <v>16.839200000000002</v>
      </c>
      <c r="C564" s="20">
        <f t="shared" si="84"/>
        <v>10.6797</v>
      </c>
      <c r="D564" s="20">
        <f t="shared" si="85"/>
        <v>15.057499999999999</v>
      </c>
      <c r="E564" s="20">
        <f t="shared" si="86"/>
        <v>11.1373</v>
      </c>
      <c r="F564" s="20">
        <f t="shared" si="87"/>
        <v>27.442699999999999</v>
      </c>
      <c r="G564" s="20">
        <f t="shared" si="88"/>
        <v>17.36</v>
      </c>
      <c r="H564" s="1239">
        <f t="shared" si="89"/>
        <v>15.057499999999999</v>
      </c>
      <c r="I564" s="1243">
        <f t="shared" si="83"/>
        <v>0.11832641540760425</v>
      </c>
      <c r="J564" s="1243">
        <f t="shared" si="90"/>
        <v>0.12093838824177333</v>
      </c>
      <c r="K564" s="1243">
        <f t="shared" si="91"/>
        <v>0.1</v>
      </c>
      <c r="L564" s="203"/>
      <c r="N564" s="1425">
        <v>44413</v>
      </c>
      <c r="O564" s="1502">
        <v>16.839200000000002</v>
      </c>
      <c r="P564" s="1502">
        <v>4.9211</v>
      </c>
      <c r="Q564" s="1502">
        <v>15.257099999999999</v>
      </c>
      <c r="R564" s="1233">
        <f>'B. PE'!$U$23</f>
        <v>15.978235616082999</v>
      </c>
      <c r="S564" s="1233"/>
      <c r="T564" s="1233"/>
      <c r="V564" s="1425">
        <v>44413</v>
      </c>
      <c r="W564" s="1">
        <v>10.6797</v>
      </c>
      <c r="X564" s="1">
        <v>1.1866000000000001</v>
      </c>
      <c r="Y564" s="1">
        <v>8.7662999999999993</v>
      </c>
      <c r="Z564" s="1">
        <v>0.79088000000000003</v>
      </c>
      <c r="AB564" s="1425">
        <v>44393</v>
      </c>
      <c r="AC564" s="1">
        <v>8.7887000000000004</v>
      </c>
      <c r="AD564" s="1502">
        <v>1.6187</v>
      </c>
      <c r="AE564" s="1">
        <v>5.2066999999999997</v>
      </c>
      <c r="AF564" s="1">
        <v>3.9660000000000001E-2</v>
      </c>
      <c r="AH564" s="1425">
        <v>44393</v>
      </c>
      <c r="AI564" s="1">
        <v>11.850300000000001</v>
      </c>
      <c r="AJ564" s="1">
        <v>2.1515</v>
      </c>
      <c r="AK564" s="1">
        <v>5.5411000000000001</v>
      </c>
      <c r="AL564" s="1">
        <v>2.938E-2</v>
      </c>
      <c r="AN564" s="1425">
        <v>44393</v>
      </c>
      <c r="AO564" s="1">
        <v>10.2745</v>
      </c>
      <c r="AP564" s="1">
        <v>1.3408</v>
      </c>
      <c r="AQ564" s="1">
        <v>7.5205000000000002</v>
      </c>
      <c r="AR564" s="1">
        <v>0.30821999999999999</v>
      </c>
      <c r="AT564" s="1425">
        <v>44393</v>
      </c>
      <c r="AW564" s="1">
        <v>4.8597999999999999</v>
      </c>
      <c r="AX564" s="1">
        <v>0.1321</v>
      </c>
      <c r="BA564" s="1425">
        <v>44389</v>
      </c>
      <c r="BB564" s="1">
        <v>18.475999999999999</v>
      </c>
      <c r="BC564" s="1">
        <v>4.5819000000000001</v>
      </c>
      <c r="BD564" s="1">
        <v>16.072700000000001</v>
      </c>
      <c r="BE564" s="1">
        <v>1.07603</v>
      </c>
      <c r="BG564" s="1425">
        <v>44389</v>
      </c>
      <c r="BH564" s="1">
        <v>31.444800000000001</v>
      </c>
      <c r="BI564" s="1">
        <v>6.4884000000000004</v>
      </c>
      <c r="BJ564" s="1">
        <v>32.622199999999999</v>
      </c>
      <c r="BT564" s="1425">
        <v>44413</v>
      </c>
      <c r="BU564" s="1">
        <v>17.9436</v>
      </c>
      <c r="BV564" s="1">
        <v>4.5061</v>
      </c>
      <c r="BW564" s="1">
        <v>10.4352</v>
      </c>
      <c r="BX564" s="1">
        <v>2.4691999999999998</v>
      </c>
      <c r="BZ564" s="1425">
        <v>44413</v>
      </c>
      <c r="CA564" s="1">
        <v>44.307699999999997</v>
      </c>
      <c r="CB564" s="1">
        <v>2.3140999999999998</v>
      </c>
      <c r="CC564" s="1">
        <v>95.079499999999996</v>
      </c>
      <c r="CD564" s="1">
        <v>0.95792999999999995</v>
      </c>
      <c r="CF564" s="1425">
        <v>44412</v>
      </c>
      <c r="CG564" s="1">
        <v>6.6993999999999998</v>
      </c>
      <c r="CH564" s="1">
        <v>1.2818000000000001</v>
      </c>
      <c r="CI564" s="1">
        <v>5.9108000000000001</v>
      </c>
      <c r="CL564" s="1425">
        <v>44428</v>
      </c>
      <c r="CM564" s="1">
        <v>26.066099999999999</v>
      </c>
      <c r="CN564" s="1">
        <v>2.8071000000000002</v>
      </c>
      <c r="CO564" s="1">
        <v>11.8094</v>
      </c>
    </row>
    <row r="565" spans="1:93">
      <c r="A565" s="1425">
        <v>44412</v>
      </c>
      <c r="B565" s="20">
        <f t="shared" si="82"/>
        <v>17.121700000000001</v>
      </c>
      <c r="C565" s="20">
        <f t="shared" si="84"/>
        <v>10.6555</v>
      </c>
      <c r="D565" s="20">
        <f t="shared" si="85"/>
        <v>15.111800000000001</v>
      </c>
      <c r="E565" s="20">
        <f t="shared" si="86"/>
        <v>11.451000000000001</v>
      </c>
      <c r="F565" s="20">
        <f t="shared" si="87"/>
        <v>27.671399999999998</v>
      </c>
      <c r="G565" s="20">
        <f t="shared" si="88"/>
        <v>17.484000000000002</v>
      </c>
      <c r="H565" s="1239">
        <f t="shared" si="89"/>
        <v>15.111800000000001</v>
      </c>
      <c r="I565" s="1243">
        <f t="shared" si="83"/>
        <v>0.13300202490768798</v>
      </c>
      <c r="J565" s="1243">
        <f t="shared" si="90"/>
        <v>0.12093838824177333</v>
      </c>
      <c r="K565" s="1243">
        <f t="shared" si="91"/>
        <v>0.1</v>
      </c>
      <c r="L565" s="203"/>
      <c r="N565" s="1425">
        <v>44412</v>
      </c>
      <c r="O565" s="1502">
        <v>17.121700000000001</v>
      </c>
      <c r="P565" s="1502">
        <v>5.0035999999999996</v>
      </c>
      <c r="Q565" s="1502">
        <v>15.529400000000001</v>
      </c>
      <c r="R565" s="1233">
        <f>'B. PE'!$U$23</f>
        <v>15.978235616082999</v>
      </c>
      <c r="S565" s="1233"/>
      <c r="T565" s="1233"/>
      <c r="V565" s="1425">
        <v>44412</v>
      </c>
      <c r="W565" s="1">
        <v>10.6555</v>
      </c>
      <c r="X565" s="1">
        <v>1.1839</v>
      </c>
      <c r="Y565" s="1">
        <v>8.7530999999999999</v>
      </c>
      <c r="Z565" s="1">
        <v>0.78652999999999995</v>
      </c>
      <c r="AB565" s="1425">
        <v>44392</v>
      </c>
      <c r="AC565" s="1">
        <v>9.1675000000000004</v>
      </c>
      <c r="AD565" s="1502">
        <v>1.6884999999999999</v>
      </c>
      <c r="AE565" s="1">
        <v>5.3749000000000002</v>
      </c>
      <c r="AF565" s="1">
        <v>4.0710000000000003E-2</v>
      </c>
      <c r="AH565" s="1425">
        <v>44392</v>
      </c>
      <c r="AI565" s="1">
        <v>11.469799999999999</v>
      </c>
      <c r="AJ565" s="1">
        <v>2.0825</v>
      </c>
      <c r="AK565" s="1">
        <v>5.3380000000000001</v>
      </c>
      <c r="AL565" s="1">
        <v>2.9250000000000002E-2</v>
      </c>
      <c r="AN565" s="1425">
        <v>44392</v>
      </c>
      <c r="AO565" s="1">
        <v>10.2745</v>
      </c>
      <c r="AP565" s="1">
        <v>1.3408</v>
      </c>
      <c r="AQ565" s="1">
        <v>7.5205000000000002</v>
      </c>
      <c r="AR565" s="1">
        <v>0.31131999999999999</v>
      </c>
      <c r="AT565" s="1425">
        <v>44392</v>
      </c>
      <c r="AU565" s="1">
        <v>6.7727000000000004</v>
      </c>
      <c r="AV565" s="1">
        <v>0.53190000000000004</v>
      </c>
      <c r="AW565" s="1">
        <v>4.8597999999999999</v>
      </c>
      <c r="AX565" s="1">
        <v>0.13239999999999999</v>
      </c>
      <c r="BA565" s="1425">
        <v>44386</v>
      </c>
      <c r="BB565" s="1">
        <v>17.484000000000002</v>
      </c>
      <c r="BC565" s="1">
        <v>4.3358999999999996</v>
      </c>
      <c r="BD565" s="1">
        <v>15.3248</v>
      </c>
      <c r="BE565" s="1">
        <v>1.0748899999999999</v>
      </c>
      <c r="BG565" s="1425">
        <v>44386</v>
      </c>
      <c r="BH565" s="1">
        <v>30.301300000000001</v>
      </c>
      <c r="BI565" s="1">
        <v>6.2523999999999997</v>
      </c>
      <c r="BJ565" s="1">
        <v>31.541699999999999</v>
      </c>
      <c r="BT565" s="1425">
        <v>44412</v>
      </c>
      <c r="BU565" s="1">
        <v>17.632400000000001</v>
      </c>
      <c r="BV565" s="1">
        <v>4.4279999999999999</v>
      </c>
      <c r="BW565" s="1">
        <v>10.2605</v>
      </c>
      <c r="BX565" s="1">
        <v>2.4670000000000001</v>
      </c>
      <c r="BZ565" s="1425">
        <v>44412</v>
      </c>
      <c r="CA565" s="1">
        <v>44.663600000000002</v>
      </c>
      <c r="CB565" s="1">
        <v>2.3327</v>
      </c>
      <c r="CC565" s="1">
        <v>95.487399999999994</v>
      </c>
      <c r="CD565" s="1">
        <v>0.95457000000000003</v>
      </c>
      <c r="CF565" s="1425">
        <v>44411</v>
      </c>
      <c r="CG565" s="1">
        <v>6.6185999999999998</v>
      </c>
      <c r="CH565" s="1">
        <v>1.2663</v>
      </c>
      <c r="CI565" s="1">
        <v>5.8537999999999997</v>
      </c>
      <c r="CL565" s="1425">
        <v>44427</v>
      </c>
      <c r="CM565" s="1">
        <v>26.048300000000001</v>
      </c>
      <c r="CN565" s="1">
        <v>2.8052000000000001</v>
      </c>
      <c r="CO565" s="1">
        <v>11.801399999999999</v>
      </c>
    </row>
    <row r="566" spans="1:93">
      <c r="A566" s="1425">
        <v>44411</v>
      </c>
      <c r="B566" s="20">
        <f t="shared" si="82"/>
        <v>17.0565</v>
      </c>
      <c r="C566" s="20">
        <f t="shared" si="84"/>
        <v>10.4375</v>
      </c>
      <c r="D566" s="20">
        <f t="shared" si="85"/>
        <v>16.090299999999999</v>
      </c>
      <c r="E566" s="20">
        <f t="shared" si="86"/>
        <v>11.529400000000001</v>
      </c>
      <c r="F566" s="20">
        <f t="shared" si="87"/>
        <v>27.442699999999999</v>
      </c>
      <c r="G566" s="20">
        <f t="shared" si="88"/>
        <v>17.731999999999999</v>
      </c>
      <c r="H566" s="1239">
        <f t="shared" si="89"/>
        <v>16.090299999999999</v>
      </c>
      <c r="I566" s="1243">
        <f t="shared" si="83"/>
        <v>6.0048600709744493E-2</v>
      </c>
      <c r="J566" s="1243">
        <f t="shared" si="90"/>
        <v>0.12093838824177333</v>
      </c>
      <c r="K566" s="1243">
        <f t="shared" si="91"/>
        <v>0.1</v>
      </c>
      <c r="L566" s="203"/>
      <c r="N566" s="1425">
        <v>44411</v>
      </c>
      <c r="O566" s="1502">
        <v>17.0565</v>
      </c>
      <c r="P566" s="1502">
        <v>4.9846000000000004</v>
      </c>
      <c r="Q566" s="1502">
        <v>15.4665</v>
      </c>
      <c r="R566" s="1233">
        <f>'B. PE'!$U$23</f>
        <v>15.978235616082999</v>
      </c>
      <c r="S566" s="1233"/>
      <c r="T566" s="1233"/>
      <c r="V566" s="1425">
        <v>44411</v>
      </c>
      <c r="W566" s="1">
        <v>10.4375</v>
      </c>
      <c r="X566" s="1">
        <v>1.1597</v>
      </c>
      <c r="Y566" s="1">
        <v>8.6343999999999994</v>
      </c>
      <c r="Z566" s="1">
        <v>0.78317000000000003</v>
      </c>
      <c r="AB566" s="1425">
        <v>44391</v>
      </c>
      <c r="AC566" s="1">
        <v>8.7128999999999994</v>
      </c>
      <c r="AD566" s="1502">
        <v>1.6048</v>
      </c>
      <c r="AE566" s="1">
        <v>5.173</v>
      </c>
      <c r="AF566" s="1">
        <v>4.1700000000000001E-2</v>
      </c>
      <c r="AH566" s="1425">
        <v>44391</v>
      </c>
      <c r="AI566" s="1">
        <v>11.5785</v>
      </c>
      <c r="AJ566" s="1">
        <v>2.1021999999999998</v>
      </c>
      <c r="AK566" s="1">
        <v>5.3959999999999999</v>
      </c>
      <c r="AL566" s="1">
        <v>3.0329999999999999E-2</v>
      </c>
      <c r="AN566" s="1425">
        <v>44391</v>
      </c>
      <c r="AO566" s="1">
        <v>10.1569</v>
      </c>
      <c r="AP566" s="1">
        <v>1.3253999999999999</v>
      </c>
      <c r="AQ566" s="1">
        <v>7.4280999999999997</v>
      </c>
      <c r="AR566" s="1">
        <v>0.31008000000000002</v>
      </c>
      <c r="AT566" s="1425">
        <v>44391</v>
      </c>
      <c r="AU566" s="1">
        <v>6.5370999999999997</v>
      </c>
      <c r="AV566" s="1">
        <v>0.51339999999999997</v>
      </c>
      <c r="AW566" s="1">
        <v>4.7271999999999998</v>
      </c>
      <c r="AX566" s="1">
        <v>0.13238</v>
      </c>
      <c r="BA566" s="1425">
        <v>44385</v>
      </c>
      <c r="BB566" s="1">
        <v>17.36</v>
      </c>
      <c r="BC566" s="1">
        <v>4.3051000000000004</v>
      </c>
      <c r="BD566" s="1">
        <v>15.231299999999999</v>
      </c>
      <c r="BE566" s="1">
        <v>1.1772</v>
      </c>
      <c r="BG566" s="1425">
        <v>44385</v>
      </c>
      <c r="BH566" s="1">
        <v>30.015499999999999</v>
      </c>
      <c r="BI566" s="1">
        <v>6.1933999999999996</v>
      </c>
      <c r="BJ566" s="1">
        <v>31.271599999999999</v>
      </c>
      <c r="BT566" s="1425">
        <v>44411</v>
      </c>
      <c r="BU566" s="1">
        <v>17.622</v>
      </c>
      <c r="BV566" s="1">
        <v>4.4253999999999998</v>
      </c>
      <c r="BW566" s="1">
        <v>10.2555</v>
      </c>
      <c r="BX566" s="1">
        <v>2.3837999999999999</v>
      </c>
      <c r="BZ566" s="1425">
        <v>44411</v>
      </c>
      <c r="CA566" s="1">
        <v>44.9602</v>
      </c>
      <c r="CB566" s="1">
        <v>2.3481999999999998</v>
      </c>
      <c r="CC566" s="1">
        <v>95.827299999999994</v>
      </c>
      <c r="CD566" s="1">
        <v>0.94610000000000005</v>
      </c>
      <c r="CF566" s="1425">
        <v>44410</v>
      </c>
      <c r="CG566" s="1">
        <v>6.6993999999999998</v>
      </c>
      <c r="CH566" s="1">
        <v>1.2818000000000001</v>
      </c>
      <c r="CI566" s="1">
        <v>5.9108000000000001</v>
      </c>
      <c r="CL566" s="1425">
        <v>44426</v>
      </c>
      <c r="CM566" s="1">
        <v>26.2439</v>
      </c>
      <c r="CN566" s="1">
        <v>2.8262999999999998</v>
      </c>
      <c r="CO566" s="1">
        <v>11.8893</v>
      </c>
    </row>
    <row r="567" spans="1:93">
      <c r="A567" s="1425">
        <v>44410</v>
      </c>
      <c r="B567" s="20">
        <f t="shared" si="82"/>
        <v>16.241700000000002</v>
      </c>
      <c r="C567" s="20">
        <f t="shared" si="84"/>
        <v>10.389099999999999</v>
      </c>
      <c r="D567" s="20">
        <f t="shared" si="85"/>
        <v>14.405200000000001</v>
      </c>
      <c r="E567" s="20">
        <f t="shared" si="86"/>
        <v>10.666700000000001</v>
      </c>
      <c r="F567" s="20">
        <f t="shared" si="87"/>
        <v>27.442699999999999</v>
      </c>
      <c r="G567" s="20">
        <f t="shared" si="88"/>
        <v>17.111999999999998</v>
      </c>
      <c r="H567" s="1239">
        <f t="shared" si="89"/>
        <v>14.405200000000001</v>
      </c>
      <c r="I567" s="1243">
        <f t="shared" si="83"/>
        <v>0.12748868464165719</v>
      </c>
      <c r="J567" s="1243">
        <f t="shared" si="90"/>
        <v>0.12093838824177333</v>
      </c>
      <c r="K567" s="1243">
        <f t="shared" si="91"/>
        <v>0.1</v>
      </c>
      <c r="L567" s="203"/>
      <c r="N567" s="1425">
        <v>44410</v>
      </c>
      <c r="O567" s="1502">
        <v>16.241700000000002</v>
      </c>
      <c r="P567" s="1502">
        <v>4.7464000000000004</v>
      </c>
      <c r="Q567" s="1502">
        <v>14.6812</v>
      </c>
      <c r="R567" s="1233">
        <f>'B. PE'!$U$23</f>
        <v>15.978235616082999</v>
      </c>
      <c r="S567" s="1233"/>
      <c r="T567" s="1233"/>
      <c r="V567" s="1425">
        <v>44410</v>
      </c>
      <c r="W567" s="1">
        <v>10.389099999999999</v>
      </c>
      <c r="X567" s="1">
        <v>1.1543000000000001</v>
      </c>
      <c r="Y567" s="1">
        <v>8.6080000000000005</v>
      </c>
      <c r="Z567" s="1">
        <v>0.78054999999999997</v>
      </c>
      <c r="AB567" s="1425">
        <v>44390</v>
      </c>
      <c r="AC567" s="1">
        <v>8.9402000000000008</v>
      </c>
      <c r="AD567" s="1502">
        <v>1.6466000000000001</v>
      </c>
      <c r="AE567" s="1">
        <v>5.274</v>
      </c>
      <c r="AF567" s="1">
        <v>4.3490000000000001E-2</v>
      </c>
      <c r="AH567" s="1425">
        <v>44390</v>
      </c>
      <c r="AI567" s="1">
        <v>11.524100000000001</v>
      </c>
      <c r="AJ567" s="1">
        <v>2.0922999999999998</v>
      </c>
      <c r="AK567" s="1">
        <v>5.367</v>
      </c>
      <c r="AL567" s="1">
        <v>3.107E-2</v>
      </c>
      <c r="AN567" s="1425">
        <v>44390</v>
      </c>
      <c r="AO567" s="1">
        <v>10.235300000000001</v>
      </c>
      <c r="AP567" s="1">
        <v>1.3355999999999999</v>
      </c>
      <c r="AQ567" s="1">
        <v>7.4897</v>
      </c>
      <c r="AR567" s="1">
        <v>0.31491999999999998</v>
      </c>
      <c r="AT567" s="1425">
        <v>44390</v>
      </c>
      <c r="AU567" s="1">
        <v>6.5370999999999997</v>
      </c>
      <c r="AV567" s="1">
        <v>0.51339999999999997</v>
      </c>
      <c r="AW567" s="1">
        <v>4.7271999999999998</v>
      </c>
      <c r="AX567" s="1">
        <v>0.13003000000000001</v>
      </c>
      <c r="BA567" s="1425">
        <v>44384</v>
      </c>
      <c r="BB567" s="1">
        <v>17.236000000000001</v>
      </c>
      <c r="BC567" s="1">
        <v>4.2744</v>
      </c>
      <c r="BD567" s="1">
        <v>15.1378</v>
      </c>
      <c r="BE567" s="1">
        <v>1.1291100000000001</v>
      </c>
      <c r="BG567" s="1425">
        <v>44384</v>
      </c>
      <c r="BH567" s="1">
        <v>29.729600000000001</v>
      </c>
      <c r="BI567" s="1">
        <v>6.1345000000000001</v>
      </c>
      <c r="BJ567" s="1">
        <v>31.0014</v>
      </c>
      <c r="BT567" s="1425">
        <v>44410</v>
      </c>
      <c r="BU567" s="1">
        <v>17.622</v>
      </c>
      <c r="BV567" s="1">
        <v>4.4253999999999998</v>
      </c>
      <c r="BW567" s="1">
        <v>10.2555</v>
      </c>
      <c r="BX567" s="1">
        <v>2.3624999999999998</v>
      </c>
      <c r="BZ567" s="1425">
        <v>44410</v>
      </c>
      <c r="CA567" s="1">
        <v>44.841500000000003</v>
      </c>
      <c r="CB567" s="1">
        <v>2.3420000000000001</v>
      </c>
      <c r="CC567" s="1">
        <v>95.691299999999998</v>
      </c>
      <c r="CD567" s="1">
        <v>0.94515000000000005</v>
      </c>
      <c r="CF567" s="1425">
        <v>44407</v>
      </c>
      <c r="CG567" s="1">
        <v>6.6185999999999998</v>
      </c>
      <c r="CH567" s="1">
        <v>1.2663</v>
      </c>
      <c r="CI567" s="1">
        <v>5.8537999999999997</v>
      </c>
      <c r="CL567" s="1425">
        <v>44425</v>
      </c>
      <c r="CM567" s="1">
        <v>25.995000000000001</v>
      </c>
      <c r="CN567" s="1">
        <v>2.7995000000000001</v>
      </c>
      <c r="CO567" s="1">
        <v>11.7774</v>
      </c>
    </row>
    <row r="568" spans="1:93">
      <c r="A568" s="1425">
        <v>44407</v>
      </c>
      <c r="B568" s="20">
        <f t="shared" si="82"/>
        <v>16.165600000000001</v>
      </c>
      <c r="C568" s="20">
        <f t="shared" si="84"/>
        <v>10.3407</v>
      </c>
      <c r="D568" s="20">
        <f t="shared" si="85"/>
        <v>14.2964</v>
      </c>
      <c r="E568" s="20">
        <f t="shared" si="86"/>
        <v>10.6275</v>
      </c>
      <c r="F568" s="20">
        <f t="shared" si="87"/>
        <v>28.357500000000002</v>
      </c>
      <c r="G568" s="20">
        <f t="shared" si="88"/>
        <v>17.36</v>
      </c>
      <c r="H568" s="1239">
        <f t="shared" si="89"/>
        <v>14.2964</v>
      </c>
      <c r="I568" s="1243">
        <f t="shared" si="83"/>
        <v>0.13074620184102304</v>
      </c>
      <c r="J568" s="1243">
        <f t="shared" si="90"/>
        <v>0.12093838824177333</v>
      </c>
      <c r="K568" s="1243">
        <f t="shared" si="91"/>
        <v>0.1</v>
      </c>
      <c r="L568" s="203"/>
      <c r="N568" s="1425">
        <v>44407</v>
      </c>
      <c r="O568" s="1502">
        <v>16.165600000000001</v>
      </c>
      <c r="P568" s="1502">
        <v>4.7241999999999997</v>
      </c>
      <c r="Q568" s="1502">
        <v>14.607900000000001</v>
      </c>
      <c r="R568" s="1233">
        <f>'B. PE'!$U$23</f>
        <v>15.978235616082999</v>
      </c>
      <c r="S568" s="1233"/>
      <c r="T568" s="1233"/>
      <c r="V568" s="1425">
        <v>44407</v>
      </c>
      <c r="W568" s="1">
        <v>10.3407</v>
      </c>
      <c r="X568" s="1">
        <v>1.1489</v>
      </c>
      <c r="Y568" s="1">
        <v>8.5815999999999999</v>
      </c>
      <c r="Z568" s="1">
        <v>0.76149999999999995</v>
      </c>
      <c r="AB568" s="1425">
        <v>44389</v>
      </c>
      <c r="AC568" s="1">
        <v>9.1675000000000004</v>
      </c>
      <c r="AD568" s="1502">
        <v>1.6884999999999999</v>
      </c>
      <c r="AE568" s="1">
        <v>5.3749000000000002</v>
      </c>
      <c r="AF568" s="1">
        <v>4.2959999999999998E-2</v>
      </c>
      <c r="AH568" s="1425">
        <v>44389</v>
      </c>
      <c r="AI568" s="1">
        <v>11.959</v>
      </c>
      <c r="AJ568" s="1">
        <v>2.1713</v>
      </c>
      <c r="AK568" s="1">
        <v>5.5991999999999997</v>
      </c>
      <c r="AL568" s="1">
        <v>3.1620000000000002E-2</v>
      </c>
      <c r="AN568" s="1425">
        <v>44389</v>
      </c>
      <c r="AO568" s="1">
        <v>10.196099999999999</v>
      </c>
      <c r="AP568" s="1">
        <v>1.3305</v>
      </c>
      <c r="AQ568" s="1">
        <v>7.4588999999999999</v>
      </c>
      <c r="AR568" s="1">
        <v>0.31309999999999999</v>
      </c>
      <c r="AT568" s="1425">
        <v>44389</v>
      </c>
      <c r="AU568" s="1">
        <v>6.5370999999999997</v>
      </c>
      <c r="AV568" s="1">
        <v>0.51339999999999997</v>
      </c>
      <c r="AW568" s="1">
        <v>4.7271999999999998</v>
      </c>
      <c r="AX568" s="1">
        <v>0.13503999999999999</v>
      </c>
      <c r="BA568" s="1425">
        <v>44383</v>
      </c>
      <c r="BB568" s="1">
        <v>18.847999999999999</v>
      </c>
      <c r="BC568" s="1">
        <v>4.6741000000000001</v>
      </c>
      <c r="BD568" s="1">
        <v>16.353100000000001</v>
      </c>
      <c r="BE568" s="1">
        <v>1.14486</v>
      </c>
      <c r="BG568" s="1425">
        <v>44383</v>
      </c>
      <c r="BH568" s="1">
        <v>30.015499999999999</v>
      </c>
      <c r="BI568" s="1">
        <v>6.1933999999999996</v>
      </c>
      <c r="BJ568" s="1">
        <v>31.271599999999999</v>
      </c>
      <c r="BT568" s="1425">
        <v>44407</v>
      </c>
      <c r="BU568" s="1">
        <v>17.020499999999998</v>
      </c>
      <c r="BV568" s="1">
        <v>4.2743000000000002</v>
      </c>
      <c r="BW568" s="1">
        <v>9.9177999999999997</v>
      </c>
      <c r="BX568" s="1">
        <v>2.2776000000000001</v>
      </c>
      <c r="BZ568" s="1425">
        <v>44407</v>
      </c>
      <c r="CA568" s="1">
        <v>44.426299999999998</v>
      </c>
      <c r="CB568" s="1">
        <v>2.3203</v>
      </c>
      <c r="CC568" s="1">
        <v>95.215500000000006</v>
      </c>
      <c r="CD568" s="1">
        <v>0.88246999999999998</v>
      </c>
      <c r="CF568" s="1425">
        <v>44406</v>
      </c>
      <c r="CG568" s="1">
        <v>6.6993999999999998</v>
      </c>
      <c r="CH568" s="1">
        <v>1.2818000000000001</v>
      </c>
      <c r="CI568" s="1">
        <v>5.9108000000000001</v>
      </c>
      <c r="CL568" s="1425">
        <v>44424</v>
      </c>
      <c r="CM568" s="1">
        <v>25.9772</v>
      </c>
      <c r="CN568" s="1">
        <v>2.7976000000000001</v>
      </c>
      <c r="CO568" s="1">
        <v>11.769399999999999</v>
      </c>
    </row>
    <row r="569" spans="1:93">
      <c r="A569" s="1425">
        <v>44406</v>
      </c>
      <c r="B569" s="20">
        <f t="shared" si="82"/>
        <v>15.9918</v>
      </c>
      <c r="C569" s="20">
        <f t="shared" si="84"/>
        <v>10.3165</v>
      </c>
      <c r="D569" s="20">
        <f t="shared" si="85"/>
        <v>15.111800000000001</v>
      </c>
      <c r="E569" s="20">
        <f t="shared" si="86"/>
        <v>10.823499999999999</v>
      </c>
      <c r="F569" s="20">
        <f t="shared" si="87"/>
        <v>27.671399999999998</v>
      </c>
      <c r="G569" s="20">
        <f t="shared" si="88"/>
        <v>17.856000000000002</v>
      </c>
      <c r="H569" s="1239">
        <f t="shared" si="89"/>
        <v>15.111800000000001</v>
      </c>
      <c r="I569" s="1243">
        <f t="shared" si="83"/>
        <v>5.8232639394380392E-2</v>
      </c>
      <c r="J569" s="1243">
        <f t="shared" si="90"/>
        <v>0.12093838824177333</v>
      </c>
      <c r="K569" s="1243">
        <f t="shared" si="91"/>
        <v>0.1</v>
      </c>
      <c r="L569" s="203"/>
      <c r="N569" s="1425">
        <v>44406</v>
      </c>
      <c r="O569" s="1502">
        <v>15.9918</v>
      </c>
      <c r="P569" s="1502">
        <v>4.6734</v>
      </c>
      <c r="Q569" s="1502">
        <v>14.440300000000001</v>
      </c>
      <c r="R569" s="1233">
        <f>'B. PE'!$U$23</f>
        <v>15.978235616082999</v>
      </c>
      <c r="S569" s="1233"/>
      <c r="T569" s="1233"/>
      <c r="V569" s="1425">
        <v>44406</v>
      </c>
      <c r="W569" s="1">
        <v>10.3165</v>
      </c>
      <c r="X569" s="1">
        <v>1.1462000000000001</v>
      </c>
      <c r="Y569" s="1">
        <v>8.5684000000000005</v>
      </c>
      <c r="Z569" s="1">
        <v>0.77371000000000001</v>
      </c>
      <c r="AB569" s="1425">
        <v>44386</v>
      </c>
      <c r="AC569" s="1">
        <v>9.5463000000000005</v>
      </c>
      <c r="AD569" s="1502">
        <v>1.7583</v>
      </c>
      <c r="AE569" s="1">
        <v>5.5431999999999997</v>
      </c>
      <c r="AF569" s="1">
        <v>4.4049999999999999E-2</v>
      </c>
      <c r="AH569" s="1425">
        <v>44386</v>
      </c>
      <c r="AI569" s="1">
        <v>12.2308</v>
      </c>
      <c r="AJ569" s="1">
        <v>2.2206000000000001</v>
      </c>
      <c r="AK569" s="1">
        <v>5.7443</v>
      </c>
      <c r="AL569" s="1">
        <v>2.8910000000000002E-2</v>
      </c>
      <c r="AN569" s="1425">
        <v>44386</v>
      </c>
      <c r="AO569" s="1">
        <v>10.3529</v>
      </c>
      <c r="AP569" s="1">
        <v>1.351</v>
      </c>
      <c r="AQ569" s="1">
        <v>7.5819999999999999</v>
      </c>
      <c r="AR569" s="1">
        <v>0.3196</v>
      </c>
      <c r="AT569" s="1425">
        <v>44386</v>
      </c>
      <c r="AU569" s="1">
        <v>6.4192999999999998</v>
      </c>
      <c r="AV569" s="1">
        <v>0.50409999999999999</v>
      </c>
      <c r="AW569" s="1">
        <v>4.6608999999999998</v>
      </c>
      <c r="AX569" s="1">
        <v>0.13577</v>
      </c>
      <c r="BA569" s="1425">
        <v>44382</v>
      </c>
      <c r="BB569" s="1">
        <v>17.98</v>
      </c>
      <c r="BC569" s="1">
        <v>4.4588999999999999</v>
      </c>
      <c r="BD569" s="1">
        <v>15.698700000000001</v>
      </c>
      <c r="BE569" s="1">
        <v>1.1532899999999999</v>
      </c>
      <c r="BG569" s="1425">
        <v>44382</v>
      </c>
      <c r="BH569" s="1">
        <v>29.4437</v>
      </c>
      <c r="BI569" s="1">
        <v>6.0754999999999999</v>
      </c>
      <c r="BJ569" s="1">
        <v>30.731300000000001</v>
      </c>
      <c r="BT569" s="1425">
        <v>44406</v>
      </c>
      <c r="BU569" s="1">
        <v>16.8856</v>
      </c>
      <c r="BV569" s="1">
        <v>4.2404000000000002</v>
      </c>
      <c r="BW569" s="1">
        <v>9.8421000000000003</v>
      </c>
      <c r="BX569" s="1">
        <v>2.2888999999999999</v>
      </c>
      <c r="BZ569" s="1425">
        <v>44406</v>
      </c>
      <c r="CA569" s="1">
        <v>44.426299999999998</v>
      </c>
      <c r="CB569" s="1">
        <v>2.3203</v>
      </c>
      <c r="CC569" s="1">
        <v>95.215500000000006</v>
      </c>
      <c r="CD569" s="1">
        <v>0.91076000000000001</v>
      </c>
      <c r="CF569" s="1425">
        <v>44405</v>
      </c>
      <c r="CG569" s="1">
        <v>6.5782999999999996</v>
      </c>
      <c r="CH569" s="1">
        <v>1.2585999999999999</v>
      </c>
      <c r="CI569" s="1">
        <v>5.8253000000000004</v>
      </c>
      <c r="CL569" s="1425">
        <v>44421</v>
      </c>
      <c r="CM569" s="1">
        <v>26.101700000000001</v>
      </c>
      <c r="CN569" s="1">
        <v>2.8109999999999999</v>
      </c>
      <c r="CO569" s="1">
        <v>11.8254</v>
      </c>
    </row>
    <row r="570" spans="1:93">
      <c r="A570" s="1425">
        <v>44405</v>
      </c>
      <c r="B570" s="20">
        <f t="shared" si="82"/>
        <v>15.2639</v>
      </c>
      <c r="C570" s="20">
        <f t="shared" si="84"/>
        <v>10.074299999999999</v>
      </c>
      <c r="D570" s="20">
        <f t="shared" si="85"/>
        <v>16.199000000000002</v>
      </c>
      <c r="E570" s="20">
        <f t="shared" si="86"/>
        <v>10.901999999999999</v>
      </c>
      <c r="F570" s="20">
        <f t="shared" si="87"/>
        <v>27.671399999999998</v>
      </c>
      <c r="G570" s="20">
        <f t="shared" si="88"/>
        <v>17.856000000000002</v>
      </c>
      <c r="H570" s="1239">
        <f t="shared" si="89"/>
        <v>16.199000000000002</v>
      </c>
      <c r="I570" s="1243">
        <f t="shared" si="83"/>
        <v>-5.7725785542317554E-2</v>
      </c>
      <c r="J570" s="1243">
        <f t="shared" si="90"/>
        <v>0.12093838824177333</v>
      </c>
      <c r="K570" s="1243">
        <f t="shared" si="91"/>
        <v>0.1</v>
      </c>
      <c r="L570" s="203"/>
      <c r="N570" s="1425">
        <v>44405</v>
      </c>
      <c r="O570" s="1502">
        <v>15.2639</v>
      </c>
      <c r="P570" s="1502">
        <v>4.4607000000000001</v>
      </c>
      <c r="Q570" s="1502">
        <v>13.738799999999999</v>
      </c>
      <c r="R570" s="1233">
        <f>'B. PE'!$U$23</f>
        <v>15.978235616082999</v>
      </c>
      <c r="S570" s="1233"/>
      <c r="T570" s="1233"/>
      <c r="V570" s="1425">
        <v>44405</v>
      </c>
      <c r="W570" s="1">
        <v>10.074299999999999</v>
      </c>
      <c r="X570" s="1">
        <v>1.1193</v>
      </c>
      <c r="Y570" s="1">
        <v>8.4365000000000006</v>
      </c>
      <c r="Z570" s="1">
        <v>0.75717999999999996</v>
      </c>
      <c r="AB570" s="1425">
        <v>44385</v>
      </c>
      <c r="AC570" s="1">
        <v>9.4705999999999992</v>
      </c>
      <c r="AD570" s="1502">
        <v>1.7443</v>
      </c>
      <c r="AE570" s="1">
        <v>5.5095000000000001</v>
      </c>
      <c r="AF570" s="1">
        <v>4.5109999999999997E-2</v>
      </c>
      <c r="AH570" s="1425">
        <v>44385</v>
      </c>
      <c r="AI570" s="1">
        <v>12.502599999999999</v>
      </c>
      <c r="AJ570" s="1">
        <v>2.27</v>
      </c>
      <c r="AK570" s="1">
        <v>5.8894000000000002</v>
      </c>
      <c r="AL570" s="1">
        <v>2.8649999999999998E-2</v>
      </c>
      <c r="AN570" s="1425">
        <v>44385</v>
      </c>
      <c r="AO570" s="1">
        <v>10.2745</v>
      </c>
      <c r="AP570" s="1">
        <v>1.3408</v>
      </c>
      <c r="AQ570" s="1">
        <v>7.5205000000000002</v>
      </c>
      <c r="AR570" s="1">
        <v>0.31280000000000002</v>
      </c>
      <c r="AT570" s="1425">
        <v>44385</v>
      </c>
      <c r="AU570" s="1">
        <v>6.6548999999999996</v>
      </c>
      <c r="AV570" s="1">
        <v>0.52259999999999995</v>
      </c>
      <c r="AW570" s="1">
        <v>4.7934999999999999</v>
      </c>
      <c r="AX570" s="1">
        <v>0.13594999999999999</v>
      </c>
      <c r="BA570" s="1425">
        <v>44379</v>
      </c>
      <c r="BB570" s="1">
        <v>18.228000000000002</v>
      </c>
      <c r="BC570" s="1">
        <v>4.5204000000000004</v>
      </c>
      <c r="BD570" s="1">
        <v>15.8857</v>
      </c>
      <c r="BE570" s="1">
        <v>1.1937800000000001</v>
      </c>
      <c r="BG570" s="1425">
        <v>44379</v>
      </c>
      <c r="BH570" s="1">
        <v>29.729600000000001</v>
      </c>
      <c r="BI570" s="1">
        <v>6.1345000000000001</v>
      </c>
      <c r="BJ570" s="1">
        <v>31.0014</v>
      </c>
      <c r="BT570" s="1425">
        <v>44405</v>
      </c>
      <c r="BU570" s="1">
        <v>16.2944</v>
      </c>
      <c r="BV570" s="1">
        <v>4.0919999999999996</v>
      </c>
      <c r="BW570" s="1">
        <v>9.5101999999999993</v>
      </c>
      <c r="BX570" s="1">
        <v>2.3220000000000001</v>
      </c>
      <c r="BZ570" s="1425">
        <v>44405</v>
      </c>
      <c r="CA570" s="1">
        <v>41.5199</v>
      </c>
      <c r="CB570" s="1">
        <v>2.1684999999999999</v>
      </c>
      <c r="CC570" s="1">
        <v>91.884299999999996</v>
      </c>
      <c r="CD570" s="1">
        <v>0.91068000000000005</v>
      </c>
      <c r="CF570" s="1425">
        <v>44404</v>
      </c>
      <c r="CG570" s="1">
        <v>6.5782999999999996</v>
      </c>
      <c r="CH570" s="1">
        <v>1.2585999999999999</v>
      </c>
      <c r="CI570" s="1">
        <v>5.8253000000000004</v>
      </c>
      <c r="CL570" s="1425">
        <v>44420</v>
      </c>
      <c r="CM570" s="1">
        <v>26.155000000000001</v>
      </c>
      <c r="CN570" s="1">
        <v>2.8167</v>
      </c>
      <c r="CO570" s="1">
        <v>11.849299999999999</v>
      </c>
    </row>
    <row r="571" spans="1:93">
      <c r="A571" s="1425">
        <v>44404</v>
      </c>
      <c r="B571" s="20">
        <f t="shared" si="82"/>
        <v>15.8614</v>
      </c>
      <c r="C571" s="20">
        <f t="shared" si="84"/>
        <v>10.2438</v>
      </c>
      <c r="D571" s="20">
        <f t="shared" si="85"/>
        <v>17.3949</v>
      </c>
      <c r="E571" s="20">
        <f t="shared" si="86"/>
        <v>10.666700000000001</v>
      </c>
      <c r="F571" s="20">
        <f t="shared" si="87"/>
        <v>28.357500000000002</v>
      </c>
      <c r="G571" s="20">
        <f t="shared" si="88"/>
        <v>18.600000000000001</v>
      </c>
      <c r="H571" s="1239">
        <f t="shared" si="89"/>
        <v>17.3949</v>
      </c>
      <c r="I571" s="1243">
        <f t="shared" si="83"/>
        <v>-8.8158023328676838E-2</v>
      </c>
      <c r="J571" s="1243">
        <f t="shared" si="90"/>
        <v>0.12093838824177333</v>
      </c>
      <c r="K571" s="1243">
        <f t="shared" si="91"/>
        <v>0.1</v>
      </c>
      <c r="L571" s="203"/>
      <c r="N571" s="1425">
        <v>44404</v>
      </c>
      <c r="O571" s="1502">
        <v>15.8614</v>
      </c>
      <c r="P571" s="1502">
        <v>4.6353</v>
      </c>
      <c r="Q571" s="1502">
        <v>14.3147</v>
      </c>
      <c r="R571" s="1233">
        <f>'B. PE'!$U$23</f>
        <v>15.978235616082999</v>
      </c>
      <c r="S571" s="1233"/>
      <c r="T571" s="1233"/>
      <c r="V571" s="1425">
        <v>44404</v>
      </c>
      <c r="W571" s="1">
        <v>10.2438</v>
      </c>
      <c r="X571" s="1">
        <v>1.1380999999999999</v>
      </c>
      <c r="Y571" s="1">
        <v>8.5289000000000001</v>
      </c>
      <c r="Z571" s="1">
        <v>0.72101000000000004</v>
      </c>
      <c r="AB571" s="1425">
        <v>44384</v>
      </c>
      <c r="AC571" s="1">
        <v>9.6979000000000006</v>
      </c>
      <c r="AD571" s="1502">
        <v>1.7862</v>
      </c>
      <c r="AE571" s="1">
        <v>5.6105</v>
      </c>
      <c r="AF571" s="1">
        <v>4.4200000000000003E-2</v>
      </c>
      <c r="AH571" s="1425">
        <v>44384</v>
      </c>
      <c r="AI571" s="1">
        <v>11.4154</v>
      </c>
      <c r="AJ571" s="1">
        <v>2.0726</v>
      </c>
      <c r="AK571" s="1">
        <v>5.3090000000000002</v>
      </c>
      <c r="AL571" s="1">
        <v>2.9010000000000001E-2</v>
      </c>
      <c r="AN571" s="1425">
        <v>44384</v>
      </c>
      <c r="AO571" s="1">
        <v>10.4314</v>
      </c>
      <c r="AP571" s="1">
        <v>1.3612</v>
      </c>
      <c r="AQ571" s="1">
        <v>7.6435000000000004</v>
      </c>
      <c r="AR571" s="1">
        <v>0.31032999999999999</v>
      </c>
      <c r="AT571" s="1425">
        <v>44384</v>
      </c>
      <c r="AU571" s="1">
        <v>6.6548999999999996</v>
      </c>
      <c r="AV571" s="1">
        <v>0.52259999999999995</v>
      </c>
      <c r="AW571" s="1">
        <v>4.7934999999999999</v>
      </c>
      <c r="AX571" s="1">
        <v>0.14072999999999999</v>
      </c>
      <c r="BA571" s="1425">
        <v>44378</v>
      </c>
      <c r="BB571" s="1">
        <v>18.352</v>
      </c>
      <c r="BC571" s="1">
        <v>4.5510999999999999</v>
      </c>
      <c r="BD571" s="1">
        <v>15.979200000000001</v>
      </c>
      <c r="BE571" s="1">
        <v>1.21529</v>
      </c>
      <c r="BG571" s="1425">
        <v>44378</v>
      </c>
      <c r="BH571" s="1">
        <v>30.301300000000001</v>
      </c>
      <c r="BI571" s="1">
        <v>6.2523999999999997</v>
      </c>
      <c r="BJ571" s="1">
        <v>31.541699999999999</v>
      </c>
      <c r="BT571" s="1425">
        <v>44404</v>
      </c>
      <c r="BU571" s="1">
        <v>16.387799999999999</v>
      </c>
      <c r="BV571" s="1">
        <v>4.1154000000000002</v>
      </c>
      <c r="BW571" s="1">
        <v>9.5625999999999998</v>
      </c>
      <c r="BX571" s="1">
        <v>2.3435999999999999</v>
      </c>
      <c r="BZ571" s="1425">
        <v>44404</v>
      </c>
      <c r="CA571" s="1">
        <v>42.8842</v>
      </c>
      <c r="CB571" s="1">
        <v>2.2397999999999998</v>
      </c>
      <c r="CC571" s="1">
        <v>93.447900000000004</v>
      </c>
      <c r="CD571" s="1">
        <v>0.85196000000000005</v>
      </c>
      <c r="CF571" s="1425">
        <v>44403</v>
      </c>
      <c r="CG571" s="1">
        <v>6.5378999999999996</v>
      </c>
      <c r="CH571" s="1">
        <v>1.2508999999999999</v>
      </c>
      <c r="CI571" s="1">
        <v>5.7968000000000002</v>
      </c>
      <c r="CL571" s="1425">
        <v>44419</v>
      </c>
      <c r="CM571" s="1">
        <v>25.959399999999999</v>
      </c>
      <c r="CN571" s="1">
        <v>2.7957000000000001</v>
      </c>
      <c r="CO571" s="1">
        <v>11.7614</v>
      </c>
    </row>
    <row r="572" spans="1:93">
      <c r="A572" s="1425">
        <v>44403</v>
      </c>
      <c r="B572" s="20">
        <f t="shared" si="82"/>
        <v>15.894</v>
      </c>
      <c r="C572" s="20">
        <f t="shared" si="84"/>
        <v>10.0259</v>
      </c>
      <c r="D572" s="20">
        <f t="shared" si="85"/>
        <v>13.915900000000001</v>
      </c>
      <c r="E572" s="20">
        <f t="shared" si="86"/>
        <v>10.823499999999999</v>
      </c>
      <c r="F572" s="20">
        <f t="shared" si="87"/>
        <v>28.357500000000002</v>
      </c>
      <c r="G572" s="20">
        <f t="shared" si="88"/>
        <v>18.600000000000001</v>
      </c>
      <c r="H572" s="1239">
        <f t="shared" si="89"/>
        <v>13.915900000000001</v>
      </c>
      <c r="I572" s="1243">
        <f t="shared" si="83"/>
        <v>0.14214675299477575</v>
      </c>
      <c r="J572" s="1243">
        <f t="shared" si="90"/>
        <v>0.12093838824177333</v>
      </c>
      <c r="K572" s="1243">
        <f t="shared" si="91"/>
        <v>0.1</v>
      </c>
      <c r="L572" s="203"/>
      <c r="N572" s="1425">
        <v>44403</v>
      </c>
      <c r="O572" s="1502">
        <v>15.894</v>
      </c>
      <c r="P572" s="1502">
        <v>4.6448999999999998</v>
      </c>
      <c r="Q572" s="1502">
        <v>14.3461</v>
      </c>
      <c r="R572" s="1233">
        <f>'B. PE'!$U$23</f>
        <v>15.978235616082999</v>
      </c>
      <c r="S572" s="1233"/>
      <c r="T572" s="1233"/>
      <c r="V572" s="1425">
        <v>44403</v>
      </c>
      <c r="W572" s="1">
        <v>10.0259</v>
      </c>
      <c r="X572" s="1">
        <v>1.1138999999999999</v>
      </c>
      <c r="Y572" s="1">
        <v>8.4100999999999999</v>
      </c>
      <c r="Z572" s="1">
        <v>0.73965999999999998</v>
      </c>
      <c r="AB572" s="1425">
        <v>44383</v>
      </c>
      <c r="AC572" s="1">
        <v>9.9252000000000002</v>
      </c>
      <c r="AD572" s="1502">
        <v>1.8280000000000001</v>
      </c>
      <c r="AE572" s="1">
        <v>5.7114000000000003</v>
      </c>
      <c r="AF572" s="1">
        <v>4.5190000000000001E-2</v>
      </c>
      <c r="AH572" s="1425">
        <v>44383</v>
      </c>
      <c r="AI572" s="1">
        <v>11.306699999999999</v>
      </c>
      <c r="AJ572" s="1">
        <v>2.0528</v>
      </c>
      <c r="AK572" s="1">
        <v>5.2508999999999997</v>
      </c>
      <c r="AL572" s="1">
        <v>2.9389999999999999E-2</v>
      </c>
      <c r="AN572" s="1425">
        <v>44383</v>
      </c>
      <c r="AO572" s="1">
        <v>10.196099999999999</v>
      </c>
      <c r="AP572" s="1">
        <v>1.3305</v>
      </c>
      <c r="AQ572" s="1">
        <v>7.4588999999999999</v>
      </c>
      <c r="AR572" s="1">
        <v>0.31351000000000001</v>
      </c>
      <c r="AT572" s="1425">
        <v>44383</v>
      </c>
      <c r="AU572" s="1">
        <v>6.6548999999999996</v>
      </c>
      <c r="AV572" s="1">
        <v>0.52259999999999995</v>
      </c>
      <c r="AW572" s="1">
        <v>4.7934999999999999</v>
      </c>
      <c r="BA572" s="1425">
        <v>44377</v>
      </c>
      <c r="BB572" s="1">
        <v>18.972000000000001</v>
      </c>
      <c r="BC572" s="1">
        <v>4.7049000000000003</v>
      </c>
      <c r="BD572" s="1">
        <v>16.4466</v>
      </c>
      <c r="BE572" s="1">
        <v>1.2295199999999999</v>
      </c>
      <c r="BG572" s="1425">
        <v>44377</v>
      </c>
      <c r="BH572" s="1">
        <v>30.015499999999999</v>
      </c>
      <c r="BI572" s="1">
        <v>6.1933999999999996</v>
      </c>
      <c r="BJ572" s="1">
        <v>31.271599999999999</v>
      </c>
      <c r="BT572" s="1425">
        <v>44403</v>
      </c>
      <c r="BU572" s="1">
        <v>16.626300000000001</v>
      </c>
      <c r="BV572" s="1">
        <v>4.1753</v>
      </c>
      <c r="BW572" s="1">
        <v>9.6965000000000003</v>
      </c>
      <c r="BX572" s="1">
        <v>2.3895</v>
      </c>
      <c r="BZ572" s="1425">
        <v>44403</v>
      </c>
      <c r="CA572" s="1">
        <v>42.8842</v>
      </c>
      <c r="CB572" s="1">
        <v>2.2397999999999998</v>
      </c>
      <c r="CC572" s="1">
        <v>93.447900000000004</v>
      </c>
      <c r="CD572" s="1">
        <v>0.84270999999999996</v>
      </c>
      <c r="CF572" s="1425">
        <v>44400</v>
      </c>
      <c r="CG572" s="1">
        <v>6.5378999999999996</v>
      </c>
      <c r="CH572" s="1">
        <v>1.2508999999999999</v>
      </c>
      <c r="CI572" s="1">
        <v>5.7968000000000002</v>
      </c>
      <c r="CL572" s="1425">
        <v>44418</v>
      </c>
      <c r="CM572" s="1">
        <v>26.0839</v>
      </c>
      <c r="CN572" s="1">
        <v>2.8090999999999999</v>
      </c>
      <c r="CO572" s="1">
        <v>11.817399999999999</v>
      </c>
    </row>
    <row r="573" spans="1:93">
      <c r="A573" s="1425">
        <v>44400</v>
      </c>
      <c r="B573" s="20">
        <f t="shared" si="82"/>
        <v>14.9923</v>
      </c>
      <c r="C573" s="20">
        <f t="shared" si="84"/>
        <v>9.5414999999999992</v>
      </c>
      <c r="D573" s="20">
        <f t="shared" si="85"/>
        <v>13.698499999999999</v>
      </c>
      <c r="E573" s="20">
        <f t="shared" si="86"/>
        <v>11.0588</v>
      </c>
      <c r="F573" s="20">
        <f t="shared" si="87"/>
        <v>28.586200000000002</v>
      </c>
      <c r="G573" s="20">
        <f t="shared" si="88"/>
        <v>18.352</v>
      </c>
      <c r="H573" s="1239">
        <f t="shared" si="89"/>
        <v>13.698499999999999</v>
      </c>
      <c r="I573" s="1243">
        <f t="shared" si="83"/>
        <v>9.4448297258824088E-2</v>
      </c>
      <c r="J573" s="1243">
        <f t="shared" si="90"/>
        <v>0.12093838824177333</v>
      </c>
      <c r="K573" s="1243">
        <f t="shared" si="91"/>
        <v>0.1</v>
      </c>
      <c r="L573" s="203"/>
      <c r="N573" s="1425">
        <v>44400</v>
      </c>
      <c r="O573" s="1502">
        <v>14.9923</v>
      </c>
      <c r="P573" s="1502">
        <v>4.3813000000000004</v>
      </c>
      <c r="Q573" s="1502">
        <v>13.477</v>
      </c>
      <c r="R573" s="1233">
        <f>'B. PE'!$U$23</f>
        <v>15.978235616082999</v>
      </c>
      <c r="S573" s="1233"/>
      <c r="T573" s="1233"/>
      <c r="V573" s="1425">
        <v>44400</v>
      </c>
      <c r="W573" s="1">
        <v>9.5414999999999992</v>
      </c>
      <c r="X573" s="1">
        <v>1.0601</v>
      </c>
      <c r="Y573" s="1">
        <v>8.1463000000000001</v>
      </c>
      <c r="Z573" s="1">
        <v>0.71294999999999997</v>
      </c>
      <c r="AB573" s="1425">
        <v>44382</v>
      </c>
      <c r="AC573" s="1">
        <v>9.6979000000000006</v>
      </c>
      <c r="AD573" s="1502">
        <v>1.7862</v>
      </c>
      <c r="AE573" s="1">
        <v>5.6105</v>
      </c>
      <c r="AF573" s="1">
        <v>4.5949999999999998E-2</v>
      </c>
      <c r="AH573" s="1425">
        <v>44382</v>
      </c>
      <c r="AI573" s="1">
        <v>11.4154</v>
      </c>
      <c r="AJ573" s="1">
        <v>2.0726</v>
      </c>
      <c r="AK573" s="1">
        <v>5.3090000000000002</v>
      </c>
      <c r="AL573" s="1">
        <v>2.9219999999999999E-2</v>
      </c>
      <c r="AN573" s="1425">
        <v>44382</v>
      </c>
      <c r="AO573" s="1">
        <v>10.117599999999999</v>
      </c>
      <c r="AP573" s="1">
        <v>1.3203</v>
      </c>
      <c r="AQ573" s="1">
        <v>7.3974000000000002</v>
      </c>
      <c r="AR573" s="1">
        <v>0.31258000000000002</v>
      </c>
      <c r="AT573" s="1425">
        <v>44382</v>
      </c>
      <c r="AU573" s="1">
        <v>6.8905000000000003</v>
      </c>
      <c r="AV573" s="1">
        <v>0.54110000000000003</v>
      </c>
      <c r="AW573" s="1">
        <v>4.9260000000000002</v>
      </c>
      <c r="AX573" s="1">
        <v>0.13825000000000001</v>
      </c>
      <c r="BA573" s="1425">
        <v>44376</v>
      </c>
      <c r="BB573" s="1">
        <v>20.787500000000001</v>
      </c>
      <c r="BC573" s="1">
        <v>4.5528000000000004</v>
      </c>
      <c r="BD573" s="1">
        <v>17.042100000000001</v>
      </c>
      <c r="BE573" s="1">
        <v>1.14859</v>
      </c>
      <c r="BG573" s="1425">
        <v>44376</v>
      </c>
      <c r="BH573" s="1">
        <v>33.048400000000001</v>
      </c>
      <c r="BI573" s="1">
        <v>6.2723000000000004</v>
      </c>
      <c r="BJ573" s="1">
        <v>32.1173</v>
      </c>
      <c r="BT573" s="1425">
        <v>44400</v>
      </c>
      <c r="BU573" s="1">
        <v>16.7715</v>
      </c>
      <c r="BV573" s="1">
        <v>4.2118000000000002</v>
      </c>
      <c r="BW573" s="1">
        <v>9.7781000000000002</v>
      </c>
      <c r="BX573" s="1">
        <v>2.3658000000000001</v>
      </c>
      <c r="BZ573" s="1425">
        <v>44400</v>
      </c>
      <c r="CA573" s="1">
        <v>40.096400000000003</v>
      </c>
      <c r="CB573" s="1">
        <v>2.0941999999999998</v>
      </c>
      <c r="CC573" s="1">
        <v>90.252700000000004</v>
      </c>
      <c r="CD573" s="1">
        <v>0.80952000000000002</v>
      </c>
      <c r="CF573" s="1425">
        <v>44399</v>
      </c>
      <c r="CG573" s="1">
        <v>6.6185999999999998</v>
      </c>
      <c r="CH573" s="1">
        <v>1.2663</v>
      </c>
      <c r="CI573" s="1">
        <v>5.8537999999999997</v>
      </c>
      <c r="CL573" s="1425">
        <v>44417</v>
      </c>
      <c r="CM573" s="1">
        <v>26.172799999999999</v>
      </c>
      <c r="CN573" s="1">
        <v>2.8186</v>
      </c>
      <c r="CO573" s="1">
        <v>11.8573</v>
      </c>
    </row>
    <row r="574" spans="1:93">
      <c r="A574" s="1425">
        <v>44399</v>
      </c>
      <c r="B574" s="20">
        <f t="shared" si="82"/>
        <v>15.361700000000001</v>
      </c>
      <c r="C574" s="20">
        <f t="shared" si="84"/>
        <v>9.8079000000000001</v>
      </c>
      <c r="D574" s="20">
        <f t="shared" si="85"/>
        <v>13.535399999999999</v>
      </c>
      <c r="E574" s="20">
        <f t="shared" si="86"/>
        <v>10.823499999999999</v>
      </c>
      <c r="F574" s="20">
        <f t="shared" si="87"/>
        <v>28.586200000000002</v>
      </c>
      <c r="G574" s="20">
        <f t="shared" si="88"/>
        <v>18.352</v>
      </c>
      <c r="H574" s="1239">
        <f t="shared" si="89"/>
        <v>13.535399999999999</v>
      </c>
      <c r="I574" s="1243">
        <f t="shared" si="83"/>
        <v>0.13492767114381565</v>
      </c>
      <c r="J574" s="1243">
        <f t="shared" si="90"/>
        <v>0.12093838824177333</v>
      </c>
      <c r="K574" s="1243">
        <f t="shared" si="91"/>
        <v>0.1</v>
      </c>
      <c r="L574" s="203"/>
      <c r="N574" s="1425">
        <v>44399</v>
      </c>
      <c r="O574" s="1502">
        <v>15.361700000000001</v>
      </c>
      <c r="P574" s="1502">
        <v>4.4893000000000001</v>
      </c>
      <c r="Q574" s="1502">
        <v>13.833</v>
      </c>
      <c r="R574" s="1233">
        <f>'B. PE'!$U$23</f>
        <v>15.978235616082999</v>
      </c>
      <c r="S574" s="1233"/>
      <c r="T574" s="1233"/>
      <c r="V574" s="1425">
        <v>44399</v>
      </c>
      <c r="W574" s="1">
        <v>9.8079000000000001</v>
      </c>
      <c r="X574" s="1">
        <v>1.0896999999999999</v>
      </c>
      <c r="Y574" s="1">
        <v>8.2913999999999994</v>
      </c>
      <c r="Z574" s="1">
        <v>0.70765</v>
      </c>
      <c r="AB574" s="1425">
        <v>44379</v>
      </c>
      <c r="AC574" s="1">
        <v>9.9252000000000002</v>
      </c>
      <c r="AD574" s="1502">
        <v>1.8280000000000001</v>
      </c>
      <c r="AE574" s="1">
        <v>5.7114000000000003</v>
      </c>
      <c r="AF574" s="1">
        <v>4.7399999999999998E-2</v>
      </c>
      <c r="AH574" s="1425">
        <v>44379</v>
      </c>
      <c r="AI574" s="1">
        <v>11.5785</v>
      </c>
      <c r="AJ574" s="1">
        <v>2.1021999999999998</v>
      </c>
      <c r="AK574" s="1">
        <v>5.3959999999999999</v>
      </c>
      <c r="AL574" s="1">
        <v>3.0089999999999999E-2</v>
      </c>
      <c r="AN574" s="1425">
        <v>44379</v>
      </c>
      <c r="AO574" s="1">
        <v>10.235300000000001</v>
      </c>
      <c r="AP574" s="1">
        <v>1.3355999999999999</v>
      </c>
      <c r="AQ574" s="1">
        <v>7.4897</v>
      </c>
      <c r="AR574" s="1">
        <v>0.31569999999999998</v>
      </c>
      <c r="AT574" s="1425">
        <v>44379</v>
      </c>
      <c r="AW574" s="1">
        <v>4.8597999999999999</v>
      </c>
      <c r="AX574" s="1">
        <v>0.13616</v>
      </c>
      <c r="BA574" s="1425">
        <v>44375</v>
      </c>
      <c r="BB574" s="1">
        <v>20.9208</v>
      </c>
      <c r="BC574" s="1">
        <v>4.5819999999999999</v>
      </c>
      <c r="BD574" s="1">
        <v>17.1327</v>
      </c>
      <c r="BE574" s="1">
        <v>1.1674199999999999</v>
      </c>
      <c r="BG574" s="1425">
        <v>44375</v>
      </c>
      <c r="BH574" s="1">
        <v>31.229199999999999</v>
      </c>
      <c r="BI574" s="1">
        <v>5.9269999999999996</v>
      </c>
      <c r="BJ574" s="1">
        <v>30.442699999999999</v>
      </c>
      <c r="BT574" s="1425">
        <v>44399</v>
      </c>
      <c r="BU574" s="1">
        <v>17.134599999999999</v>
      </c>
      <c r="BV574" s="1">
        <v>4.3029000000000002</v>
      </c>
      <c r="BW574" s="1">
        <v>9.9818999999999996</v>
      </c>
      <c r="BX574" s="1">
        <v>2.3837000000000002</v>
      </c>
      <c r="BZ574" s="1425">
        <v>44399</v>
      </c>
      <c r="CA574" s="1">
        <v>39.740499999999997</v>
      </c>
      <c r="CB574" s="1">
        <v>2.0756000000000001</v>
      </c>
      <c r="CC574" s="1">
        <v>89.844800000000006</v>
      </c>
      <c r="CD574" s="1">
        <v>0.76439999999999997</v>
      </c>
      <c r="CF574" s="1425">
        <v>44398</v>
      </c>
      <c r="CG574" s="1">
        <v>6.5378999999999996</v>
      </c>
      <c r="CH574" s="1">
        <v>1.2508999999999999</v>
      </c>
      <c r="CI574" s="1">
        <v>5.7968000000000002</v>
      </c>
      <c r="CL574" s="1425">
        <v>44414</v>
      </c>
      <c r="CM574" s="1">
        <v>26.172799999999999</v>
      </c>
      <c r="CN574" s="1">
        <v>2.8186</v>
      </c>
      <c r="CO574" s="1">
        <v>11.8573</v>
      </c>
    </row>
    <row r="575" spans="1:93">
      <c r="A575" s="1425">
        <v>44398</v>
      </c>
      <c r="B575" s="20">
        <f t="shared" si="82"/>
        <v>14.622999999999999</v>
      </c>
      <c r="C575" s="20">
        <f t="shared" si="84"/>
        <v>9.4445999999999994</v>
      </c>
      <c r="D575" s="20">
        <f t="shared" si="85"/>
        <v>12.6113</v>
      </c>
      <c r="E575" s="20">
        <f t="shared" si="86"/>
        <v>10.4314</v>
      </c>
      <c r="F575" s="20">
        <f t="shared" si="87"/>
        <v>29.157900000000001</v>
      </c>
      <c r="G575" s="20">
        <f t="shared" si="88"/>
        <v>18.228000000000002</v>
      </c>
      <c r="H575" s="1239">
        <f t="shared" si="89"/>
        <v>12.6113</v>
      </c>
      <c r="I575" s="1243">
        <f t="shared" si="83"/>
        <v>0.1595156724524831</v>
      </c>
      <c r="J575" s="1243">
        <f t="shared" si="90"/>
        <v>0.12093838824177333</v>
      </c>
      <c r="K575" s="1243">
        <f t="shared" si="91"/>
        <v>0.1</v>
      </c>
      <c r="L575" s="203"/>
      <c r="N575" s="1425">
        <v>44398</v>
      </c>
      <c r="O575" s="1502">
        <v>14.622999999999999</v>
      </c>
      <c r="P575" s="1502">
        <v>4.2733999999999996</v>
      </c>
      <c r="Q575" s="1502">
        <v>13.120900000000001</v>
      </c>
      <c r="R575" s="1233">
        <f>'B. PE'!$U$23</f>
        <v>15.978235616082999</v>
      </c>
      <c r="S575" s="1233"/>
      <c r="T575" s="1233"/>
      <c r="V575" s="1425">
        <v>44398</v>
      </c>
      <c r="W575" s="1">
        <v>9.4445999999999994</v>
      </c>
      <c r="X575" s="1">
        <v>1.0494000000000001</v>
      </c>
      <c r="Y575" s="1">
        <v>8.0935000000000006</v>
      </c>
      <c r="Z575" s="1">
        <v>0.69118999999999997</v>
      </c>
      <c r="AB575" s="1425">
        <v>44378</v>
      </c>
      <c r="AC575" s="1">
        <v>10.1525</v>
      </c>
      <c r="AD575" s="1502">
        <v>1.8698999999999999</v>
      </c>
      <c r="AE575" s="1">
        <v>5.8124000000000002</v>
      </c>
      <c r="AF575" s="1">
        <v>4.6359999999999998E-2</v>
      </c>
      <c r="AH575" s="1425">
        <v>44378</v>
      </c>
      <c r="AI575" s="1">
        <v>11.5785</v>
      </c>
      <c r="AJ575" s="1">
        <v>2.1021999999999998</v>
      </c>
      <c r="AK575" s="1">
        <v>5.3959999999999999</v>
      </c>
      <c r="AL575" s="1">
        <v>2.8160000000000001E-2</v>
      </c>
      <c r="AN575" s="1425">
        <v>44378</v>
      </c>
      <c r="AO575" s="1">
        <v>10.196099999999999</v>
      </c>
      <c r="AP575" s="1">
        <v>1.3305</v>
      </c>
      <c r="AQ575" s="1">
        <v>7.4588999999999999</v>
      </c>
      <c r="AR575" s="1">
        <v>0.31664999999999999</v>
      </c>
      <c r="AT575" s="1425">
        <v>44378</v>
      </c>
      <c r="AU575" s="1">
        <v>6.7727000000000004</v>
      </c>
      <c r="AV575" s="1">
        <v>0.53190000000000004</v>
      </c>
      <c r="AW575" s="1">
        <v>4.8597999999999999</v>
      </c>
      <c r="AX575" s="1">
        <v>0.13605</v>
      </c>
      <c r="BA575" s="1425">
        <v>44372</v>
      </c>
      <c r="BB575" s="1">
        <v>19.454999999999998</v>
      </c>
      <c r="BC575" s="1">
        <v>4.2609000000000004</v>
      </c>
      <c r="BD575" s="1">
        <v>16.135200000000001</v>
      </c>
      <c r="BE575" s="1">
        <v>1.1626099999999999</v>
      </c>
      <c r="BG575" s="1425">
        <v>44372</v>
      </c>
      <c r="BH575" s="1">
        <v>31.835599999999999</v>
      </c>
      <c r="BI575" s="1">
        <v>6.0420999999999996</v>
      </c>
      <c r="BJ575" s="1">
        <v>31.000900000000001</v>
      </c>
      <c r="BT575" s="1425">
        <v>44398</v>
      </c>
      <c r="BU575" s="1">
        <v>16.947900000000001</v>
      </c>
      <c r="BV575" s="1">
        <v>4.2560000000000002</v>
      </c>
      <c r="BW575" s="1">
        <v>9.8770000000000007</v>
      </c>
      <c r="BX575" s="1">
        <v>2.2664</v>
      </c>
      <c r="BZ575" s="1425">
        <v>44398</v>
      </c>
      <c r="CA575" s="1">
        <v>38.139000000000003</v>
      </c>
      <c r="CB575" s="1">
        <v>1.992</v>
      </c>
      <c r="CC575" s="1">
        <v>88.009299999999996</v>
      </c>
      <c r="CD575" s="1">
        <v>0.77322000000000002</v>
      </c>
      <c r="CF575" s="1425">
        <v>44397</v>
      </c>
      <c r="CG575" s="1">
        <v>6.6185999999999998</v>
      </c>
      <c r="CH575" s="1">
        <v>1.2663</v>
      </c>
      <c r="CI575" s="1">
        <v>5.8537999999999997</v>
      </c>
      <c r="CL575" s="1425">
        <v>44413</v>
      </c>
      <c r="CM575" s="1">
        <v>26.564</v>
      </c>
      <c r="CN575" s="1">
        <v>2.8607999999999998</v>
      </c>
      <c r="CO575" s="1">
        <v>12.033200000000001</v>
      </c>
    </row>
    <row r="576" spans="1:93">
      <c r="A576" s="1425">
        <v>44397</v>
      </c>
      <c r="B576" s="20">
        <f t="shared" si="82"/>
        <v>13.6669</v>
      </c>
      <c r="C576" s="20">
        <f t="shared" si="84"/>
        <v>9.3719999999999999</v>
      </c>
      <c r="D576" s="20">
        <f t="shared" si="85"/>
        <v>12.6113</v>
      </c>
      <c r="E576" s="20">
        <f t="shared" si="86"/>
        <v>10.4314</v>
      </c>
      <c r="F576" s="20">
        <f t="shared" si="87"/>
        <v>28.872</v>
      </c>
      <c r="G576" s="20">
        <f t="shared" si="88"/>
        <v>18.352</v>
      </c>
      <c r="H576" s="1239">
        <f t="shared" si="89"/>
        <v>12.6113</v>
      </c>
      <c r="I576" s="1243">
        <f t="shared" si="83"/>
        <v>8.3702711060715362E-2</v>
      </c>
      <c r="J576" s="1243">
        <f t="shared" si="90"/>
        <v>0.12093838824177333</v>
      </c>
      <c r="K576" s="1243">
        <f t="shared" si="91"/>
        <v>0.1</v>
      </c>
      <c r="L576" s="203"/>
      <c r="N576" s="1425">
        <v>44397</v>
      </c>
      <c r="O576" s="1502">
        <v>13.6669</v>
      </c>
      <c r="P576" s="1502">
        <v>3.9940000000000002</v>
      </c>
      <c r="Q576" s="1502">
        <v>12.1995</v>
      </c>
      <c r="R576" s="1233">
        <f>'B. PE'!$U$23</f>
        <v>15.978235616082999</v>
      </c>
      <c r="S576" s="1233"/>
      <c r="T576" s="1233"/>
      <c r="V576" s="1425">
        <v>44397</v>
      </c>
      <c r="W576" s="1">
        <v>9.3719999999999999</v>
      </c>
      <c r="X576" s="1">
        <v>1.0412999999999999</v>
      </c>
      <c r="Y576" s="1">
        <v>8.0539000000000005</v>
      </c>
      <c r="Z576" s="1">
        <v>0.74260999999999999</v>
      </c>
      <c r="AB576" s="1425">
        <v>44377</v>
      </c>
      <c r="AC576" s="1">
        <v>10.455500000000001</v>
      </c>
      <c r="AD576" s="1502">
        <v>1.9257</v>
      </c>
      <c r="AE576" s="1">
        <v>5.9470000000000001</v>
      </c>
      <c r="AF576" s="1">
        <v>4.6580000000000003E-2</v>
      </c>
      <c r="AH576" s="1425">
        <v>44377</v>
      </c>
      <c r="AI576" s="1">
        <v>11.9046</v>
      </c>
      <c r="AJ576" s="1">
        <v>2.1614</v>
      </c>
      <c r="AK576" s="1">
        <v>5.5701999999999998</v>
      </c>
      <c r="AL576" s="1">
        <v>2.9680000000000002E-2</v>
      </c>
      <c r="AN576" s="1425">
        <v>44377</v>
      </c>
      <c r="AO576" s="1">
        <v>10.2745</v>
      </c>
      <c r="AP576" s="1">
        <v>1.3408</v>
      </c>
      <c r="AQ576" s="1">
        <v>7.5205000000000002</v>
      </c>
      <c r="AR576" s="1">
        <v>0.31102999999999997</v>
      </c>
      <c r="AT576" s="1425">
        <v>44377</v>
      </c>
      <c r="AU576" s="1">
        <v>6.6548999999999996</v>
      </c>
      <c r="AV576" s="1">
        <v>0.52259999999999995</v>
      </c>
      <c r="AW576" s="1">
        <v>4.7934999999999999</v>
      </c>
      <c r="AX576" s="1">
        <v>0.13743</v>
      </c>
      <c r="BA576" s="1425">
        <v>44371</v>
      </c>
      <c r="BB576" s="1">
        <v>19.854800000000001</v>
      </c>
      <c r="BC576" s="1">
        <v>4.3484999999999996</v>
      </c>
      <c r="BD576" s="1">
        <v>16.407299999999999</v>
      </c>
      <c r="BE576" s="1">
        <v>1.06433</v>
      </c>
      <c r="BG576" s="1425">
        <v>44371</v>
      </c>
      <c r="BH576" s="1">
        <v>31.532399999999999</v>
      </c>
      <c r="BI576" s="1">
        <v>5.9844999999999997</v>
      </c>
      <c r="BJ576" s="1">
        <v>30.721800000000002</v>
      </c>
      <c r="BT576" s="1425">
        <v>44397</v>
      </c>
      <c r="BU576" s="1">
        <v>17.072299999999998</v>
      </c>
      <c r="BV576" s="1">
        <v>4.2873000000000001</v>
      </c>
      <c r="BW576" s="1">
        <v>9.9468999999999994</v>
      </c>
      <c r="BX576" s="1">
        <v>2.4352</v>
      </c>
      <c r="BZ576" s="1425">
        <v>44397</v>
      </c>
      <c r="CA576" s="1">
        <v>36.003700000000002</v>
      </c>
      <c r="CB576" s="1">
        <v>1.8804000000000001</v>
      </c>
      <c r="CC576" s="1">
        <v>85.561899999999994</v>
      </c>
      <c r="CD576" s="1">
        <v>0.76588999999999996</v>
      </c>
      <c r="CF576" s="1425">
        <v>44396</v>
      </c>
      <c r="CG576" s="1">
        <v>6.6185999999999998</v>
      </c>
      <c r="CH576" s="1">
        <v>1.2663</v>
      </c>
      <c r="CI576" s="1">
        <v>5.8537999999999997</v>
      </c>
      <c r="CL576" s="1425">
        <v>44412</v>
      </c>
      <c r="CM576" s="1">
        <v>26.6707</v>
      </c>
      <c r="CN576" s="1">
        <v>2.8721999999999999</v>
      </c>
      <c r="CO576" s="1">
        <v>12.081200000000001</v>
      </c>
    </row>
    <row r="577" spans="1:93">
      <c r="A577" s="1425">
        <v>44396</v>
      </c>
      <c r="B577" s="20">
        <f t="shared" si="82"/>
        <v>13.471399999999999</v>
      </c>
      <c r="C577" s="20">
        <f t="shared" si="84"/>
        <v>9.1539999999999999</v>
      </c>
      <c r="D577" s="20">
        <f t="shared" si="85"/>
        <v>12.665699999999999</v>
      </c>
      <c r="E577" s="20">
        <f t="shared" si="86"/>
        <v>10.3529</v>
      </c>
      <c r="F577" s="20">
        <f t="shared" si="87"/>
        <v>29.4437</v>
      </c>
      <c r="G577" s="20">
        <f t="shared" si="88"/>
        <v>18.352</v>
      </c>
      <c r="H577" s="1239">
        <f t="shared" si="89"/>
        <v>12.665699999999999</v>
      </c>
      <c r="I577" s="1243">
        <f t="shared" si="83"/>
        <v>6.3612749394032608E-2</v>
      </c>
      <c r="J577" s="1243">
        <f t="shared" si="90"/>
        <v>0.12093838824177333</v>
      </c>
      <c r="K577" s="1243">
        <f t="shared" si="91"/>
        <v>0.1</v>
      </c>
      <c r="L577" s="203"/>
      <c r="N577" s="1425">
        <v>44396</v>
      </c>
      <c r="O577" s="1502">
        <v>13.471399999999999</v>
      </c>
      <c r="P577" s="1502">
        <v>3.9369000000000001</v>
      </c>
      <c r="Q577" s="1502">
        <v>12.010999999999999</v>
      </c>
      <c r="R577" s="1233">
        <f>'B. PE'!$U$23</f>
        <v>15.978235616082999</v>
      </c>
      <c r="S577" s="1233"/>
      <c r="T577" s="1233"/>
      <c r="V577" s="1425">
        <v>44396</v>
      </c>
      <c r="W577" s="1">
        <v>9.1539999999999999</v>
      </c>
      <c r="X577" s="1">
        <v>1.0170999999999999</v>
      </c>
      <c r="Y577" s="1">
        <v>7.9352</v>
      </c>
      <c r="Z577" s="1">
        <v>0.74428000000000005</v>
      </c>
      <c r="AB577" s="1425">
        <v>44376</v>
      </c>
      <c r="AC577" s="1">
        <v>13.7658</v>
      </c>
      <c r="AD577" s="1502">
        <v>1.9039999999999999</v>
      </c>
      <c r="AE577" s="1">
        <v>6.8227000000000002</v>
      </c>
      <c r="AF577" s="1">
        <v>4.6719999999999998E-2</v>
      </c>
      <c r="AH577" s="1425">
        <v>44376</v>
      </c>
      <c r="AI577" s="1">
        <v>12.8315</v>
      </c>
      <c r="AJ577" s="1">
        <v>2.0482</v>
      </c>
      <c r="AK577" s="1">
        <v>5.2887000000000004</v>
      </c>
      <c r="AL577" s="1">
        <v>2.7830000000000001E-2</v>
      </c>
      <c r="AN577" s="1425">
        <v>44376</v>
      </c>
      <c r="AO577" s="1">
        <v>11.004200000000001</v>
      </c>
      <c r="AP577" s="1">
        <v>1.3531</v>
      </c>
      <c r="AQ577" s="1">
        <v>6.1210000000000004</v>
      </c>
      <c r="AR577" s="1">
        <v>0.31153999999999998</v>
      </c>
      <c r="AT577" s="1425">
        <v>44376</v>
      </c>
      <c r="AU577" s="1">
        <v>7.4833999999999996</v>
      </c>
      <c r="AV577" s="1">
        <v>0.51849999999999996</v>
      </c>
      <c r="AW577" s="1">
        <v>4.9875999999999996</v>
      </c>
      <c r="AX577" s="1">
        <v>0.13833000000000001</v>
      </c>
      <c r="BA577" s="1425">
        <v>44370</v>
      </c>
      <c r="BB577" s="1">
        <v>19.721499999999999</v>
      </c>
      <c r="BC577" s="1">
        <v>4.3193000000000001</v>
      </c>
      <c r="BD577" s="1">
        <v>16.316600000000001</v>
      </c>
      <c r="BE577" s="1">
        <v>1.02627</v>
      </c>
      <c r="BG577" s="1425">
        <v>44370</v>
      </c>
      <c r="BH577" s="1">
        <v>31.229199999999999</v>
      </c>
      <c r="BI577" s="1">
        <v>5.9269999999999996</v>
      </c>
      <c r="BJ577" s="1">
        <v>30.442699999999999</v>
      </c>
      <c r="BT577" s="1425">
        <v>44396</v>
      </c>
      <c r="BU577" s="1">
        <v>16.232199999999999</v>
      </c>
      <c r="BV577" s="1">
        <v>4.0762999999999998</v>
      </c>
      <c r="BW577" s="1">
        <v>9.4753000000000007</v>
      </c>
      <c r="BX577" s="1">
        <v>2.4201999999999999</v>
      </c>
      <c r="BZ577" s="1425">
        <v>44396</v>
      </c>
      <c r="CA577" s="1">
        <v>36.418900000000001</v>
      </c>
      <c r="CB577" s="1">
        <v>1.9020999999999999</v>
      </c>
      <c r="CC577" s="1">
        <v>86.037800000000004</v>
      </c>
      <c r="CD577" s="1">
        <v>0.74306000000000005</v>
      </c>
      <c r="CF577" s="1425">
        <v>44393</v>
      </c>
      <c r="CG577" s="1">
        <v>6.4572000000000003</v>
      </c>
      <c r="CH577" s="1">
        <v>1.2354000000000001</v>
      </c>
      <c r="CI577" s="1">
        <v>5.7397999999999998</v>
      </c>
      <c r="CL577" s="1425">
        <v>44411</v>
      </c>
      <c r="CM577" s="1">
        <v>27.079599999999999</v>
      </c>
      <c r="CN577" s="1">
        <v>2.9163000000000001</v>
      </c>
      <c r="CO577" s="1">
        <v>12.265000000000001</v>
      </c>
    </row>
    <row r="578" spans="1:93">
      <c r="A578" s="1425">
        <v>44393</v>
      </c>
      <c r="B578" s="20">
        <f t="shared" si="82"/>
        <v>14.1449</v>
      </c>
      <c r="C578" s="20">
        <f t="shared" si="84"/>
        <v>9.8321000000000005</v>
      </c>
      <c r="D578" s="20">
        <f t="shared" si="85"/>
        <v>11.850300000000001</v>
      </c>
      <c r="E578" s="20">
        <f t="shared" si="86"/>
        <v>10.2745</v>
      </c>
      <c r="F578" s="20">
        <f t="shared" si="87"/>
        <v>30.015499999999999</v>
      </c>
      <c r="G578" s="20">
        <f t="shared" si="88"/>
        <v>18.847999999999999</v>
      </c>
      <c r="H578" s="1239">
        <f t="shared" si="89"/>
        <v>11.850300000000001</v>
      </c>
      <c r="I578" s="1243">
        <f t="shared" si="83"/>
        <v>0.1936322287199479</v>
      </c>
      <c r="J578" s="1243">
        <f t="shared" si="90"/>
        <v>0.12093838824177333</v>
      </c>
      <c r="K578" s="1243">
        <f t="shared" si="91"/>
        <v>0.1</v>
      </c>
      <c r="L578" s="203"/>
      <c r="N578" s="1425">
        <v>44393</v>
      </c>
      <c r="O578" s="1502">
        <v>14.1449</v>
      </c>
      <c r="P578" s="1502">
        <v>4.1337000000000002</v>
      </c>
      <c r="Q578" s="1502">
        <v>12.6602</v>
      </c>
      <c r="R578" s="1233">
        <f>'B. PE'!$U$23</f>
        <v>15.978235616082999</v>
      </c>
      <c r="S578" s="1233"/>
      <c r="T578" s="1233"/>
      <c r="V578" s="1425">
        <v>44393</v>
      </c>
      <c r="W578" s="1">
        <v>9.8321000000000005</v>
      </c>
      <c r="X578" s="1">
        <v>1.0924</v>
      </c>
      <c r="Y578" s="1">
        <v>8.3046000000000006</v>
      </c>
      <c r="Z578" s="1">
        <v>0.70947000000000005</v>
      </c>
      <c r="AB578" s="1425">
        <v>44375</v>
      </c>
      <c r="AC578" s="1">
        <v>13.7658</v>
      </c>
      <c r="AD578" s="1502">
        <v>1.9039999999999999</v>
      </c>
      <c r="AE578" s="1">
        <v>6.8227000000000002</v>
      </c>
      <c r="AF578" s="1">
        <v>4.6640000000000001E-2</v>
      </c>
      <c r="AH578" s="1425">
        <v>44375</v>
      </c>
      <c r="AI578" s="1">
        <v>13.4574</v>
      </c>
      <c r="AJ578" s="1">
        <v>2.1480999999999999</v>
      </c>
      <c r="AK578" s="1">
        <v>5.6070000000000002</v>
      </c>
      <c r="AL578" s="1">
        <v>2.8879999999999999E-2</v>
      </c>
      <c r="AN578" s="1425">
        <v>44375</v>
      </c>
      <c r="AO578" s="1">
        <v>10.795</v>
      </c>
      <c r="AP578" s="1">
        <v>1.3273999999999999</v>
      </c>
      <c r="AQ578" s="1">
        <v>5.9564000000000004</v>
      </c>
      <c r="AR578" s="1">
        <v>0.31744</v>
      </c>
      <c r="AT578" s="1425">
        <v>44375</v>
      </c>
      <c r="AU578" s="1">
        <v>7.5496999999999996</v>
      </c>
      <c r="AV578" s="1">
        <v>0.52310000000000001</v>
      </c>
      <c r="AW578" s="1">
        <v>5.0236000000000001</v>
      </c>
      <c r="AX578" s="1">
        <v>0.13827999999999999</v>
      </c>
      <c r="BA578" s="1425">
        <v>44369</v>
      </c>
      <c r="BB578" s="1">
        <v>17.9892</v>
      </c>
      <c r="BC578" s="1">
        <v>3.9399000000000002</v>
      </c>
      <c r="BD578" s="1">
        <v>15.137700000000001</v>
      </c>
      <c r="BE578" s="1">
        <v>1.0638000000000001</v>
      </c>
      <c r="BG578" s="1425">
        <v>44369</v>
      </c>
      <c r="BH578" s="1">
        <v>30.319600000000001</v>
      </c>
      <c r="BI578" s="1">
        <v>5.7544000000000004</v>
      </c>
      <c r="BJ578" s="1">
        <v>29.605399999999999</v>
      </c>
      <c r="BT578" s="1425">
        <v>44393</v>
      </c>
      <c r="BU578" s="1">
        <v>17.435300000000002</v>
      </c>
      <c r="BV578" s="1">
        <v>4.3784999999999998</v>
      </c>
      <c r="BW578" s="1">
        <v>10.150700000000001</v>
      </c>
      <c r="BX578" s="1">
        <v>2.4113000000000002</v>
      </c>
      <c r="BZ578" s="1425">
        <v>44393</v>
      </c>
      <c r="CA578" s="1">
        <v>36.063000000000002</v>
      </c>
      <c r="CB578" s="1">
        <v>1.8835</v>
      </c>
      <c r="CC578" s="1">
        <v>85.629900000000006</v>
      </c>
      <c r="CD578" s="1">
        <v>0.74299000000000004</v>
      </c>
      <c r="CF578" s="1425">
        <v>44392</v>
      </c>
      <c r="CG578" s="1">
        <v>6.2553999999999998</v>
      </c>
      <c r="CH578" s="1">
        <v>1.1968000000000001</v>
      </c>
      <c r="CI578" s="1">
        <v>5.5972999999999997</v>
      </c>
      <c r="CL578" s="1425">
        <v>44410</v>
      </c>
      <c r="CM578" s="1">
        <v>27.168500000000002</v>
      </c>
      <c r="CN578" s="1">
        <v>2.9258999999999999</v>
      </c>
      <c r="CO578" s="1">
        <v>12.305</v>
      </c>
    </row>
    <row r="579" spans="1:93">
      <c r="A579" s="1425">
        <v>44392</v>
      </c>
      <c r="B579" s="20">
        <f t="shared" si="82"/>
        <v>14.3948</v>
      </c>
      <c r="C579" s="20">
        <f t="shared" si="84"/>
        <v>9.8562999999999992</v>
      </c>
      <c r="D579" s="20">
        <f t="shared" si="85"/>
        <v>11.469799999999999</v>
      </c>
      <c r="E579" s="20">
        <f t="shared" si="86"/>
        <v>10.2745</v>
      </c>
      <c r="F579" s="20">
        <f t="shared" si="87"/>
        <v>30.015499999999999</v>
      </c>
      <c r="G579" s="20">
        <f t="shared" si="88"/>
        <v>18.972000000000001</v>
      </c>
      <c r="H579" s="1239">
        <f t="shared" si="89"/>
        <v>11.469799999999999</v>
      </c>
      <c r="I579" s="1243">
        <f t="shared" si="83"/>
        <v>0.25501752428115587</v>
      </c>
      <c r="J579" s="1243">
        <f t="shared" si="90"/>
        <v>0.12093838824177333</v>
      </c>
      <c r="K579" s="1243">
        <f t="shared" si="91"/>
        <v>0.1</v>
      </c>
      <c r="L579" s="203"/>
      <c r="N579" s="1425">
        <v>44392</v>
      </c>
      <c r="O579" s="1502">
        <v>14.3948</v>
      </c>
      <c r="P579" s="1502">
        <v>4.2066999999999997</v>
      </c>
      <c r="Q579" s="1502">
        <v>12.901</v>
      </c>
      <c r="R579" s="1233">
        <f>'B. PE'!$U$23</f>
        <v>15.978235616082999</v>
      </c>
      <c r="S579" s="1233"/>
      <c r="T579" s="1233"/>
      <c r="V579" s="1425">
        <v>44392</v>
      </c>
      <c r="W579" s="1">
        <v>9.8562999999999992</v>
      </c>
      <c r="X579" s="1">
        <v>1.0951</v>
      </c>
      <c r="Y579" s="1">
        <v>8.3178000000000001</v>
      </c>
      <c r="Z579" s="1">
        <v>0.73875999999999997</v>
      </c>
      <c r="AB579" s="1425">
        <v>44372</v>
      </c>
      <c r="AC579" s="1">
        <v>13.7658</v>
      </c>
      <c r="AD579" s="1502">
        <v>1.9039999999999999</v>
      </c>
      <c r="AE579" s="1">
        <v>6.8227000000000002</v>
      </c>
      <c r="AF579" s="1">
        <v>4.7059999999999998E-2</v>
      </c>
      <c r="AH579" s="1425">
        <v>44372</v>
      </c>
      <c r="AI579" s="1">
        <v>12.581099999999999</v>
      </c>
      <c r="AJ579" s="1">
        <v>2.0083000000000002</v>
      </c>
      <c r="AK579" s="1">
        <v>5.1612999999999998</v>
      </c>
      <c r="AL579" s="1">
        <v>3.0169999999999999E-2</v>
      </c>
      <c r="AN579" s="1425">
        <v>44372</v>
      </c>
      <c r="AO579" s="1">
        <v>10.8368</v>
      </c>
      <c r="AP579" s="1">
        <v>1.3325</v>
      </c>
      <c r="AQ579" s="1">
        <v>5.9893999999999998</v>
      </c>
      <c r="AR579" s="1">
        <v>0.33168999999999998</v>
      </c>
      <c r="AT579" s="1425">
        <v>44372</v>
      </c>
      <c r="AU579" s="1">
        <v>7.6158999999999999</v>
      </c>
      <c r="AV579" s="1">
        <v>0.52769999999999995</v>
      </c>
      <c r="AW579" s="1">
        <v>5.0597000000000003</v>
      </c>
      <c r="AX579" s="1">
        <v>0.13941000000000001</v>
      </c>
      <c r="BA579" s="1425">
        <v>44368</v>
      </c>
      <c r="BB579" s="1">
        <v>17.322900000000001</v>
      </c>
      <c r="BC579" s="1">
        <v>3.794</v>
      </c>
      <c r="BD579" s="1">
        <v>14.684200000000001</v>
      </c>
      <c r="BE579" s="1">
        <v>1.03339</v>
      </c>
      <c r="BG579" s="1425">
        <v>44368</v>
      </c>
      <c r="BH579" s="1">
        <v>29.9558</v>
      </c>
      <c r="BI579" s="1">
        <v>5.6852999999999998</v>
      </c>
      <c r="BJ579" s="1">
        <v>29.270499999999998</v>
      </c>
      <c r="BT579" s="1425">
        <v>44392</v>
      </c>
      <c r="BU579" s="1">
        <v>17.331600000000002</v>
      </c>
      <c r="BV579" s="1">
        <v>4.3524000000000003</v>
      </c>
      <c r="BW579" s="1">
        <v>10.092499999999999</v>
      </c>
      <c r="BX579" s="1">
        <v>2.5345</v>
      </c>
      <c r="BZ579" s="1425">
        <v>44392</v>
      </c>
      <c r="CA579" s="1">
        <v>34.995399999999997</v>
      </c>
      <c r="CB579" s="1">
        <v>1.8278000000000001</v>
      </c>
      <c r="CC579" s="1">
        <v>84.406199999999998</v>
      </c>
      <c r="CD579" s="1">
        <v>0.77954999999999997</v>
      </c>
      <c r="CF579" s="1425">
        <v>44391</v>
      </c>
      <c r="CG579" s="1">
        <v>6.2553999999999998</v>
      </c>
      <c r="CH579" s="1">
        <v>1.1968000000000001</v>
      </c>
      <c r="CI579" s="1">
        <v>5.5972999999999997</v>
      </c>
      <c r="CL579" s="1425">
        <v>44407</v>
      </c>
      <c r="CM579" s="1">
        <v>27.239599999999999</v>
      </c>
      <c r="CN579" s="1">
        <v>2.9335</v>
      </c>
      <c r="CO579" s="1">
        <v>12.337</v>
      </c>
    </row>
    <row r="580" spans="1:93">
      <c r="A580" s="1425">
        <v>44391</v>
      </c>
      <c r="B580" s="20">
        <f t="shared" si="82"/>
        <v>14.068899999999999</v>
      </c>
      <c r="C580" s="20">
        <f t="shared" si="84"/>
        <v>9.3962000000000003</v>
      </c>
      <c r="D580" s="20">
        <f t="shared" si="85"/>
        <v>11.5785</v>
      </c>
      <c r="E580" s="20">
        <f t="shared" si="86"/>
        <v>10.1569</v>
      </c>
      <c r="F580" s="20">
        <f t="shared" si="87"/>
        <v>30.587199999999999</v>
      </c>
      <c r="G580" s="20">
        <f t="shared" si="88"/>
        <v>18.475999999999999</v>
      </c>
      <c r="H580" s="1239">
        <f t="shared" si="89"/>
        <v>11.5785</v>
      </c>
      <c r="I580" s="1243">
        <f t="shared" si="83"/>
        <v>0.21508831023016795</v>
      </c>
      <c r="J580" s="1243">
        <f t="shared" si="90"/>
        <v>0.12093838824177333</v>
      </c>
      <c r="K580" s="1243">
        <f t="shared" si="91"/>
        <v>0.1</v>
      </c>
      <c r="L580" s="203"/>
      <c r="N580" s="1425">
        <v>44391</v>
      </c>
      <c r="O580" s="1502">
        <v>14.068899999999999</v>
      </c>
      <c r="P580" s="1502">
        <v>4.1115000000000004</v>
      </c>
      <c r="Q580" s="1502">
        <v>12.5869</v>
      </c>
      <c r="R580" s="1233">
        <f>'B. PE'!$U$23</f>
        <v>15.978235616082999</v>
      </c>
      <c r="S580" s="1233"/>
      <c r="T580" s="1233"/>
      <c r="V580" s="1425">
        <v>44391</v>
      </c>
      <c r="W580" s="1">
        <v>9.3962000000000003</v>
      </c>
      <c r="X580" s="1">
        <v>1.044</v>
      </c>
      <c r="Y580" s="1">
        <v>8.0670999999999999</v>
      </c>
      <c r="Z580" s="1">
        <v>0.77007999999999999</v>
      </c>
      <c r="AB580" s="1425">
        <v>44371</v>
      </c>
      <c r="AC580" s="1">
        <v>13.7658</v>
      </c>
      <c r="AD580" s="1502">
        <v>1.9039999999999999</v>
      </c>
      <c r="AE580" s="1">
        <v>6.8227000000000002</v>
      </c>
      <c r="AF580" s="1">
        <v>4.7019999999999999E-2</v>
      </c>
      <c r="AH580" s="1425">
        <v>44371</v>
      </c>
      <c r="AI580" s="1">
        <v>13.081899999999999</v>
      </c>
      <c r="AJ580" s="1">
        <v>2.0882000000000001</v>
      </c>
      <c r="AK580" s="1">
        <v>5.4160000000000004</v>
      </c>
      <c r="AL580" s="1">
        <v>2.9319999999999999E-2</v>
      </c>
      <c r="AN580" s="1425">
        <v>44371</v>
      </c>
      <c r="AO580" s="1">
        <v>11.045999999999999</v>
      </c>
      <c r="AP580" s="1">
        <v>1.3582000000000001</v>
      </c>
      <c r="AQ580" s="1">
        <v>6.1539999999999999</v>
      </c>
      <c r="AR580" s="1">
        <v>0.33538000000000001</v>
      </c>
      <c r="AT580" s="1425">
        <v>44371</v>
      </c>
      <c r="AU580" s="1">
        <v>7.6158999999999999</v>
      </c>
      <c r="AV580" s="1">
        <v>0.52769999999999995</v>
      </c>
      <c r="AW580" s="1">
        <v>5.0597000000000003</v>
      </c>
      <c r="BA580" s="1425">
        <v>44365</v>
      </c>
      <c r="BB580" s="1">
        <v>17.856000000000002</v>
      </c>
      <c r="BC580" s="1">
        <v>3.9106999999999998</v>
      </c>
      <c r="BD580" s="1">
        <v>15.047000000000001</v>
      </c>
      <c r="BE580" s="1">
        <v>1.0346500000000001</v>
      </c>
      <c r="BG580" s="1425">
        <v>44365</v>
      </c>
      <c r="BH580" s="1">
        <v>30.319600000000001</v>
      </c>
      <c r="BI580" s="1">
        <v>5.7544000000000004</v>
      </c>
      <c r="BJ580" s="1">
        <v>29.605399999999999</v>
      </c>
      <c r="BT580" s="1425">
        <v>44391</v>
      </c>
      <c r="BU580" s="1">
        <v>17.269400000000001</v>
      </c>
      <c r="BV580" s="1">
        <v>4.3368000000000002</v>
      </c>
      <c r="BW580" s="1">
        <v>10.057499999999999</v>
      </c>
      <c r="BX580" s="1">
        <v>2.5583999999999998</v>
      </c>
      <c r="BZ580" s="1425">
        <v>44391</v>
      </c>
      <c r="CA580" s="1">
        <v>34.995399999999997</v>
      </c>
      <c r="CB580" s="1">
        <v>1.8278000000000001</v>
      </c>
      <c r="CC580" s="1">
        <v>84.406199999999998</v>
      </c>
      <c r="CD580" s="1">
        <v>0.75963000000000003</v>
      </c>
      <c r="CF580" s="1425">
        <v>44390</v>
      </c>
      <c r="CG580" s="1">
        <v>6.2553999999999998</v>
      </c>
      <c r="CH580" s="1">
        <v>1.1968000000000001</v>
      </c>
      <c r="CI580" s="1">
        <v>5.5972999999999997</v>
      </c>
      <c r="CL580" s="1425">
        <v>44406</v>
      </c>
      <c r="CM580" s="1">
        <v>27.3108</v>
      </c>
      <c r="CN580" s="1">
        <v>2.9411999999999998</v>
      </c>
      <c r="CO580" s="1">
        <v>12.369</v>
      </c>
    </row>
    <row r="581" spans="1:93">
      <c r="A581" s="1425">
        <v>44390</v>
      </c>
      <c r="B581" s="20">
        <f t="shared" ref="B581:B644" si="92">O581</f>
        <v>14.633800000000001</v>
      </c>
      <c r="C581" s="20">
        <f t="shared" si="84"/>
        <v>9.7836999999999996</v>
      </c>
      <c r="D581" s="20">
        <f t="shared" si="85"/>
        <v>11.524100000000001</v>
      </c>
      <c r="E581" s="20">
        <f t="shared" si="86"/>
        <v>10.235300000000001</v>
      </c>
      <c r="F581" s="20">
        <f t="shared" si="87"/>
        <v>30.301300000000001</v>
      </c>
      <c r="G581" s="20">
        <f t="shared" si="88"/>
        <v>17.856000000000002</v>
      </c>
      <c r="H581" s="1239">
        <f t="shared" si="89"/>
        <v>11.524100000000001</v>
      </c>
      <c r="I581" s="1243">
        <f t="shared" ref="I581:I644" si="93">B581/H581-1</f>
        <v>0.26984319816731883</v>
      </c>
      <c r="J581" s="1243">
        <f t="shared" si="90"/>
        <v>0.12093838824177333</v>
      </c>
      <c r="K581" s="1243">
        <f t="shared" si="91"/>
        <v>0.1</v>
      </c>
      <c r="L581" s="203"/>
      <c r="N581" s="1425">
        <v>44390</v>
      </c>
      <c r="O581" s="1502">
        <v>14.633800000000001</v>
      </c>
      <c r="P581" s="1502">
        <v>4.2766000000000002</v>
      </c>
      <c r="Q581" s="1502">
        <v>13.131399999999999</v>
      </c>
      <c r="R581" s="1233">
        <f>'B. PE'!$U$23</f>
        <v>15.978235616082999</v>
      </c>
      <c r="S581" s="1233"/>
      <c r="T581" s="1233"/>
      <c r="V581" s="1425">
        <v>44390</v>
      </c>
      <c r="W581" s="1">
        <v>9.7836999999999996</v>
      </c>
      <c r="X581" s="1">
        <v>1.087</v>
      </c>
      <c r="Y581" s="1">
        <v>8.2782</v>
      </c>
      <c r="Z581" s="1">
        <v>0.82740000000000002</v>
      </c>
      <c r="AB581" s="1425">
        <v>44370</v>
      </c>
      <c r="AC581" s="1">
        <v>13.867800000000001</v>
      </c>
      <c r="AD581" s="1502">
        <v>1.9180999999999999</v>
      </c>
      <c r="AE581" s="1">
        <v>6.8623000000000003</v>
      </c>
      <c r="AF581" s="1">
        <v>4.9939999999999998E-2</v>
      </c>
      <c r="AH581" s="1425">
        <v>44370</v>
      </c>
      <c r="AI581" s="1">
        <v>13.645200000000001</v>
      </c>
      <c r="AJ581" s="1">
        <v>2.1781000000000001</v>
      </c>
      <c r="AK581" s="1">
        <v>5.7024999999999997</v>
      </c>
      <c r="AL581" s="1">
        <v>2.358E-2</v>
      </c>
      <c r="AN581" s="1425">
        <v>44370</v>
      </c>
      <c r="AO581" s="1">
        <v>11.5481</v>
      </c>
      <c r="AP581" s="1">
        <v>1.42</v>
      </c>
      <c r="AQ581" s="1">
        <v>6.5490000000000004</v>
      </c>
      <c r="AR581" s="1">
        <v>0.33755000000000002</v>
      </c>
      <c r="AT581" s="1425">
        <v>44370</v>
      </c>
      <c r="AU581" s="1">
        <v>7.6821000000000002</v>
      </c>
      <c r="AV581" s="1">
        <v>0.53220000000000001</v>
      </c>
      <c r="AW581" s="1">
        <v>5.0956999999999999</v>
      </c>
      <c r="AX581" s="1">
        <v>0.14224999999999999</v>
      </c>
      <c r="BA581" s="1425">
        <v>44364</v>
      </c>
      <c r="BB581" s="1">
        <v>17.322900000000001</v>
      </c>
      <c r="BC581" s="1">
        <v>3.794</v>
      </c>
      <c r="BD581" s="1">
        <v>14.684200000000001</v>
      </c>
      <c r="BE581" s="1">
        <v>1.0263599999999999</v>
      </c>
      <c r="BG581" s="1425">
        <v>44364</v>
      </c>
      <c r="BH581" s="1">
        <v>29.713200000000001</v>
      </c>
      <c r="BI581" s="1">
        <v>5.6393000000000004</v>
      </c>
      <c r="BJ581" s="1">
        <v>29.0472</v>
      </c>
      <c r="BT581" s="1425">
        <v>44390</v>
      </c>
      <c r="BU581" s="1">
        <v>18.151</v>
      </c>
      <c r="BV581" s="1">
        <v>4.5582000000000003</v>
      </c>
      <c r="BW581" s="1">
        <v>10.5525</v>
      </c>
      <c r="BX581" s="1">
        <v>2.5589</v>
      </c>
      <c r="BZ581" s="1425">
        <v>44390</v>
      </c>
      <c r="CA581" s="1">
        <v>36.715499999999999</v>
      </c>
      <c r="CB581" s="1">
        <v>1.9176</v>
      </c>
      <c r="CC581" s="1">
        <v>86.377700000000004</v>
      </c>
      <c r="CD581" s="1">
        <v>0.73370999999999997</v>
      </c>
      <c r="CF581" s="1425">
        <v>44389</v>
      </c>
      <c r="CG581" s="1">
        <v>6.2553999999999998</v>
      </c>
      <c r="CH581" s="1">
        <v>1.1968000000000001</v>
      </c>
      <c r="CI581" s="1">
        <v>5.5972999999999997</v>
      </c>
      <c r="CL581" s="1425">
        <v>44405</v>
      </c>
      <c r="CM581" s="1">
        <v>27.026299999999999</v>
      </c>
      <c r="CN581" s="1">
        <v>2.9104999999999999</v>
      </c>
      <c r="CO581" s="1">
        <v>12.241099999999999</v>
      </c>
    </row>
    <row r="582" spans="1:93">
      <c r="A582" s="1425">
        <v>44389</v>
      </c>
      <c r="B582" s="20">
        <f t="shared" si="92"/>
        <v>14.9923</v>
      </c>
      <c r="C582" s="20">
        <f t="shared" ref="C582:C645" si="94">IF(W582=0,W581,W582)</f>
        <v>10.195399999999999</v>
      </c>
      <c r="D582" s="20">
        <f t="shared" ref="D582:D645" si="95">IFERROR(          IF(VLOOKUP(A582,$AH$5:$AI$1301,2,)=0,D581,VLOOKUP(A582,$AH$5:$AI$1301,2,)),D581)</f>
        <v>11.959</v>
      </c>
      <c r="E582" s="20">
        <f t="shared" ref="E582:E645" si="96">IFERROR(IF(VLOOKUP(A582,$AN$5:$AO$1301,2,)=0, E581, VLOOKUP(A582,$AN$5:$AO$1301,2,)),E581)</f>
        <v>10.196099999999999</v>
      </c>
      <c r="F582" s="20">
        <f t="shared" ref="F582:F645" si="97">IFERROR(IF(VLOOKUP(A582,$BG$5:$BH$1301,2,)=0,F581,VLOOKUP(A582,$BG$5:$BH$1301,2,)),F581)</f>
        <v>31.444800000000001</v>
      </c>
      <c r="G582" s="20">
        <f t="shared" ref="G582:G645" si="98">IFERROR(IF(VLOOKUP(A582,$BA$5:$BB$1301,2,)=0,G581,VLOOKUP(A582,$BA$5:$BB$1301,2,)),G581)</f>
        <v>18.475999999999999</v>
      </c>
      <c r="H582" s="1239">
        <f t="shared" ref="H582:H645" si="99">MEDIAN(C582:G582)</f>
        <v>11.959</v>
      </c>
      <c r="I582" s="1243">
        <f t="shared" si="93"/>
        <v>0.25364160883016984</v>
      </c>
      <c r="J582" s="1243">
        <f t="shared" ref="J582:J645" si="100">$I$3</f>
        <v>0.12093838824177333</v>
      </c>
      <c r="K582" s="1243">
        <f t="shared" si="91"/>
        <v>0.1</v>
      </c>
      <c r="L582" s="203"/>
      <c r="N582" s="1425">
        <v>44389</v>
      </c>
      <c r="O582" s="1502">
        <v>14.9923</v>
      </c>
      <c r="P582" s="1502">
        <v>4.3813000000000004</v>
      </c>
      <c r="Q582" s="1502">
        <v>13.477</v>
      </c>
      <c r="R582" s="1233">
        <f>'B. PE'!$U$23</f>
        <v>15.978235616082999</v>
      </c>
      <c r="S582" s="1233"/>
      <c r="T582" s="1233"/>
      <c r="V582" s="1425">
        <v>44389</v>
      </c>
      <c r="W582" s="1">
        <v>10.195399999999999</v>
      </c>
      <c r="X582" s="1">
        <v>1.1328</v>
      </c>
      <c r="Y582" s="1">
        <v>8.5024999999999995</v>
      </c>
      <c r="Z582" s="1">
        <v>0.82847000000000004</v>
      </c>
      <c r="AB582" s="1425">
        <v>44369</v>
      </c>
      <c r="AC582" s="1">
        <v>13.867800000000001</v>
      </c>
      <c r="AD582" s="1502">
        <v>1.9180999999999999</v>
      </c>
      <c r="AE582" s="1">
        <v>6.8623000000000003</v>
      </c>
      <c r="AF582" s="1">
        <v>4.5519999999999998E-2</v>
      </c>
      <c r="AH582" s="1425">
        <v>44369</v>
      </c>
      <c r="AI582" s="1">
        <v>13.269600000000001</v>
      </c>
      <c r="AJ582" s="1">
        <v>2.1181999999999999</v>
      </c>
      <c r="AK582" s="1">
        <v>5.5114999999999998</v>
      </c>
      <c r="AL582" s="1">
        <v>2.3869999999999999E-2</v>
      </c>
      <c r="AN582" s="1425">
        <v>44369</v>
      </c>
      <c r="AO582" s="1">
        <v>11.6736</v>
      </c>
      <c r="AP582" s="1">
        <v>1.4354</v>
      </c>
      <c r="AQ582" s="1">
        <v>6.6477000000000004</v>
      </c>
      <c r="AR582" s="1">
        <v>0.34300000000000003</v>
      </c>
      <c r="AT582" s="1425">
        <v>44369</v>
      </c>
      <c r="AW582" s="1">
        <v>5.1677999999999997</v>
      </c>
      <c r="AX582" s="1">
        <v>0.14371999999999999</v>
      </c>
      <c r="BA582" s="1425">
        <v>44363</v>
      </c>
      <c r="BB582" s="1">
        <v>17.189699999999998</v>
      </c>
      <c r="BC582" s="1">
        <v>3.7648000000000001</v>
      </c>
      <c r="BD582" s="1">
        <v>14.5936</v>
      </c>
      <c r="BE582" s="1">
        <v>1.02824</v>
      </c>
      <c r="BG582" s="1425">
        <v>44363</v>
      </c>
      <c r="BH582" s="1">
        <v>29.9558</v>
      </c>
      <c r="BI582" s="1">
        <v>5.6852999999999998</v>
      </c>
      <c r="BJ582" s="1">
        <v>29.270499999999998</v>
      </c>
      <c r="BT582" s="1425">
        <v>44389</v>
      </c>
      <c r="BU582" s="1">
        <v>18.317</v>
      </c>
      <c r="BV582" s="1">
        <v>4.5998999999999999</v>
      </c>
      <c r="BW582" s="1">
        <v>10.6456</v>
      </c>
      <c r="BX582" s="1">
        <v>2.4986000000000002</v>
      </c>
      <c r="BZ582" s="1425">
        <v>44389</v>
      </c>
      <c r="CA582" s="1">
        <v>35.766500000000001</v>
      </c>
      <c r="CB582" s="1">
        <v>1.8680000000000001</v>
      </c>
      <c r="CC582" s="1">
        <v>85.289900000000003</v>
      </c>
      <c r="CD582" s="1">
        <v>0.72801000000000005</v>
      </c>
      <c r="CF582" s="1425">
        <v>44386</v>
      </c>
      <c r="CG582" s="1">
        <v>6.4976000000000003</v>
      </c>
      <c r="CH582" s="1">
        <v>1.2432000000000001</v>
      </c>
      <c r="CI582" s="1">
        <v>5.7683</v>
      </c>
      <c r="CL582" s="1425">
        <v>44404</v>
      </c>
      <c r="CM582" s="1">
        <v>26.475100000000001</v>
      </c>
      <c r="CN582" s="1">
        <v>2.8512</v>
      </c>
      <c r="CO582" s="1">
        <v>11.9932</v>
      </c>
    </row>
    <row r="583" spans="1:93">
      <c r="A583" s="1425">
        <v>44386</v>
      </c>
      <c r="B583" s="20">
        <f t="shared" si="92"/>
        <v>15.741899999999999</v>
      </c>
      <c r="C583" s="20">
        <f t="shared" si="94"/>
        <v>10.946099999999999</v>
      </c>
      <c r="D583" s="20">
        <f t="shared" si="95"/>
        <v>12.2308</v>
      </c>
      <c r="E583" s="20">
        <f t="shared" si="96"/>
        <v>10.3529</v>
      </c>
      <c r="F583" s="20">
        <f t="shared" si="97"/>
        <v>30.301300000000001</v>
      </c>
      <c r="G583" s="20">
        <f t="shared" si="98"/>
        <v>17.484000000000002</v>
      </c>
      <c r="H583" s="1239">
        <f t="shared" si="99"/>
        <v>12.2308</v>
      </c>
      <c r="I583" s="1243">
        <f t="shared" si="93"/>
        <v>0.28707034699283773</v>
      </c>
      <c r="J583" s="1243">
        <f t="shared" si="100"/>
        <v>0.12093838824177333</v>
      </c>
      <c r="K583" s="1243">
        <f t="shared" ref="K583:K646" si="101">K582</f>
        <v>0.1</v>
      </c>
      <c r="L583" s="203"/>
      <c r="N583" s="1425">
        <v>44386</v>
      </c>
      <c r="O583" s="1502">
        <v>15.741899999999999</v>
      </c>
      <c r="P583" s="1502">
        <v>4.6003999999999996</v>
      </c>
      <c r="Q583" s="1502">
        <v>14.1995</v>
      </c>
      <c r="R583" s="1233">
        <f>'B. PE'!$U$23</f>
        <v>15.978235616082999</v>
      </c>
      <c r="S583" s="1233"/>
      <c r="T583" s="1233"/>
      <c r="V583" s="1425">
        <v>44386</v>
      </c>
      <c r="W583" s="1">
        <v>10.946099999999999</v>
      </c>
      <c r="X583" s="1">
        <v>1.2161999999999999</v>
      </c>
      <c r="Y583" s="1">
        <v>8.9114000000000004</v>
      </c>
      <c r="Z583" s="1">
        <v>0.81018000000000001</v>
      </c>
      <c r="AB583" s="1425">
        <v>44368</v>
      </c>
      <c r="AC583" s="1">
        <v>14.6835</v>
      </c>
      <c r="AD583" s="1502">
        <v>2.0310000000000001</v>
      </c>
      <c r="AE583" s="1">
        <v>7.1784999999999997</v>
      </c>
      <c r="AF583" s="1">
        <v>4.7260000000000003E-2</v>
      </c>
      <c r="AH583" s="1425">
        <v>44368</v>
      </c>
      <c r="AI583" s="1">
        <v>10.640700000000001</v>
      </c>
      <c r="AJ583" s="1">
        <v>1.6984999999999999</v>
      </c>
      <c r="AK583" s="1">
        <v>4.1745000000000001</v>
      </c>
      <c r="AL583" s="1">
        <v>2.4150000000000001E-2</v>
      </c>
      <c r="AN583" s="1425">
        <v>44368</v>
      </c>
      <c r="AO583" s="1">
        <v>11.7155</v>
      </c>
      <c r="AP583" s="1">
        <v>1.4404999999999999</v>
      </c>
      <c r="AQ583" s="1">
        <v>6.6806999999999999</v>
      </c>
      <c r="AR583" s="1">
        <v>0.34300000000000003</v>
      </c>
      <c r="AT583" s="1425">
        <v>44368</v>
      </c>
      <c r="AU583" s="1">
        <v>7.8146000000000004</v>
      </c>
      <c r="AV583" s="1">
        <v>0.54139999999999999</v>
      </c>
      <c r="AW583" s="1">
        <v>5.1677999999999997</v>
      </c>
      <c r="AX583" s="1">
        <v>0.14371999999999999</v>
      </c>
      <c r="BA583" s="1425">
        <v>44362</v>
      </c>
      <c r="BB583" s="1">
        <v>17.0564</v>
      </c>
      <c r="BC583" s="1">
        <v>3.7355999999999998</v>
      </c>
      <c r="BD583" s="1">
        <v>14.5029</v>
      </c>
      <c r="BE583" s="1">
        <v>1.0534300000000001</v>
      </c>
      <c r="BG583" s="1425">
        <v>44362</v>
      </c>
      <c r="BH583" s="1">
        <v>30.319600000000001</v>
      </c>
      <c r="BI583" s="1">
        <v>5.7544000000000004</v>
      </c>
      <c r="BJ583" s="1">
        <v>29.605399999999999</v>
      </c>
      <c r="BT583" s="1425">
        <v>44386</v>
      </c>
      <c r="BU583" s="1">
        <v>18.3066</v>
      </c>
      <c r="BV583" s="1">
        <v>4.5972999999999997</v>
      </c>
      <c r="BW583" s="1">
        <v>10.639799999999999</v>
      </c>
      <c r="BX583" s="1">
        <v>2.4015</v>
      </c>
      <c r="BZ583" s="1425">
        <v>44386</v>
      </c>
      <c r="CA583" s="1">
        <v>34.520899999999997</v>
      </c>
      <c r="CB583" s="1">
        <v>1.8029999999999999</v>
      </c>
      <c r="CC583" s="1">
        <v>83.862300000000005</v>
      </c>
      <c r="CD583" s="1">
        <v>0.73682000000000003</v>
      </c>
      <c r="CF583" s="1425">
        <v>44385</v>
      </c>
      <c r="CG583" s="1">
        <v>6.4976000000000003</v>
      </c>
      <c r="CH583" s="1">
        <v>1.2432000000000001</v>
      </c>
      <c r="CI583" s="1">
        <v>5.7683</v>
      </c>
      <c r="CL583" s="1425">
        <v>44403</v>
      </c>
      <c r="CM583" s="1">
        <v>26.759599999999999</v>
      </c>
      <c r="CN583" s="1">
        <v>2.8818000000000001</v>
      </c>
      <c r="CO583" s="1">
        <v>12.1211</v>
      </c>
    </row>
    <row r="584" spans="1:93">
      <c r="A584" s="1425">
        <v>44385</v>
      </c>
      <c r="B584" s="20">
        <f t="shared" si="92"/>
        <v>15.5898</v>
      </c>
      <c r="C584" s="20">
        <f t="shared" si="94"/>
        <v>10.9703</v>
      </c>
      <c r="D584" s="20">
        <f t="shared" si="95"/>
        <v>12.502599999999999</v>
      </c>
      <c r="E584" s="20">
        <f t="shared" si="96"/>
        <v>10.2745</v>
      </c>
      <c r="F584" s="20">
        <f t="shared" si="97"/>
        <v>30.015499999999999</v>
      </c>
      <c r="G584" s="20">
        <f t="shared" si="98"/>
        <v>17.36</v>
      </c>
      <c r="H584" s="1239">
        <f t="shared" si="99"/>
        <v>12.502599999999999</v>
      </c>
      <c r="I584" s="1243">
        <f t="shared" si="93"/>
        <v>0.2469246396749476</v>
      </c>
      <c r="J584" s="1243">
        <f t="shared" si="100"/>
        <v>0.12093838824177333</v>
      </c>
      <c r="K584" s="1243">
        <f t="shared" si="101"/>
        <v>0.1</v>
      </c>
      <c r="L584" s="203"/>
      <c r="N584" s="1425">
        <v>44385</v>
      </c>
      <c r="O584" s="1502">
        <v>15.5898</v>
      </c>
      <c r="P584" s="1502">
        <v>4.556</v>
      </c>
      <c r="Q584" s="1502">
        <v>14.052899999999999</v>
      </c>
      <c r="R584" s="1233">
        <f>'B. PE'!$U$23</f>
        <v>15.978235616082999</v>
      </c>
      <c r="S584" s="1233"/>
      <c r="T584" s="1233"/>
      <c r="V584" s="1425">
        <v>44385</v>
      </c>
      <c r="W584" s="1">
        <v>10.9703</v>
      </c>
      <c r="X584" s="1">
        <v>1.2189000000000001</v>
      </c>
      <c r="Y584" s="1">
        <v>8.9245999999999999</v>
      </c>
      <c r="Z584" s="1">
        <v>0.80479999999999996</v>
      </c>
      <c r="AB584" s="1425">
        <v>44365</v>
      </c>
      <c r="AC584" s="1">
        <v>13.459899999999999</v>
      </c>
      <c r="AD584" s="1502">
        <v>1.8616999999999999</v>
      </c>
      <c r="AE584" s="1">
        <v>6.7041000000000004</v>
      </c>
      <c r="AF584" s="1">
        <v>4.8050000000000002E-2</v>
      </c>
      <c r="AH584" s="1425">
        <v>44365</v>
      </c>
      <c r="AI584" s="1">
        <v>10.8285</v>
      </c>
      <c r="AJ584" s="1">
        <v>1.7284999999999999</v>
      </c>
      <c r="AK584" s="1">
        <v>4.2699999999999996</v>
      </c>
      <c r="AL584" s="1">
        <v>2.4479999999999998E-2</v>
      </c>
      <c r="AN584" s="1425">
        <v>44365</v>
      </c>
      <c r="AO584" s="1">
        <v>11.8828</v>
      </c>
      <c r="AP584" s="1">
        <v>1.4611000000000001</v>
      </c>
      <c r="AQ584" s="1">
        <v>6.8122999999999996</v>
      </c>
      <c r="AR584" s="1">
        <v>0.34616999999999998</v>
      </c>
      <c r="AT584" s="1425">
        <v>44365</v>
      </c>
      <c r="AU584" s="1">
        <v>7.8807999999999998</v>
      </c>
      <c r="AV584" s="1">
        <v>0.54600000000000004</v>
      </c>
      <c r="AW584" s="1">
        <v>5.2039</v>
      </c>
      <c r="AX584" s="1">
        <v>0.14333000000000001</v>
      </c>
      <c r="BA584" s="1425">
        <v>44361</v>
      </c>
      <c r="BB584" s="1">
        <v>17.0564</v>
      </c>
      <c r="BC584" s="1">
        <v>3.7355999999999998</v>
      </c>
      <c r="BD584" s="1">
        <v>14.5029</v>
      </c>
      <c r="BE584" s="1">
        <v>1.0192600000000001</v>
      </c>
      <c r="BG584" s="1425">
        <v>44361</v>
      </c>
      <c r="BH584" s="1">
        <v>29.713200000000001</v>
      </c>
      <c r="BI584" s="1">
        <v>5.6393000000000004</v>
      </c>
      <c r="BJ584" s="1">
        <v>29.0472</v>
      </c>
      <c r="BT584" s="1425">
        <v>44385</v>
      </c>
      <c r="BU584" s="1">
        <v>17.8917</v>
      </c>
      <c r="BV584" s="1">
        <v>4.4931000000000001</v>
      </c>
      <c r="BW584" s="1">
        <v>10.4069</v>
      </c>
      <c r="BX584" s="1">
        <v>2.2454000000000001</v>
      </c>
      <c r="BZ584" s="1425">
        <v>44385</v>
      </c>
      <c r="CA584" s="1">
        <v>34.2836</v>
      </c>
      <c r="CB584" s="1">
        <v>1.7906</v>
      </c>
      <c r="CC584" s="1">
        <v>83.590400000000002</v>
      </c>
      <c r="CD584" s="1">
        <v>0.68905000000000005</v>
      </c>
      <c r="CF584" s="1425">
        <v>44384</v>
      </c>
      <c r="CG584" s="1">
        <v>6.5378999999999996</v>
      </c>
      <c r="CH584" s="1">
        <v>1.2508999999999999</v>
      </c>
      <c r="CI584" s="1">
        <v>5.7968000000000002</v>
      </c>
      <c r="CL584" s="1425">
        <v>44400</v>
      </c>
      <c r="CM584" s="1">
        <v>27.186299999999999</v>
      </c>
      <c r="CN584" s="1">
        <v>2.9278</v>
      </c>
      <c r="CO584" s="1">
        <v>12.313000000000001</v>
      </c>
    </row>
    <row r="585" spans="1:93">
      <c r="A585" s="1425">
        <v>44384</v>
      </c>
      <c r="B585" s="20">
        <f t="shared" si="92"/>
        <v>14.6121</v>
      </c>
      <c r="C585" s="20">
        <f t="shared" si="94"/>
        <v>10.7281</v>
      </c>
      <c r="D585" s="20">
        <f t="shared" si="95"/>
        <v>11.4154</v>
      </c>
      <c r="E585" s="20">
        <f t="shared" si="96"/>
        <v>10.4314</v>
      </c>
      <c r="F585" s="20">
        <f t="shared" si="97"/>
        <v>29.729600000000001</v>
      </c>
      <c r="G585" s="20">
        <f t="shared" si="98"/>
        <v>17.236000000000001</v>
      </c>
      <c r="H585" s="1239">
        <f t="shared" si="99"/>
        <v>11.4154</v>
      </c>
      <c r="I585" s="1243">
        <f t="shared" si="93"/>
        <v>0.28003398917252142</v>
      </c>
      <c r="J585" s="1243">
        <f t="shared" si="100"/>
        <v>0.12093838824177333</v>
      </c>
      <c r="K585" s="1243">
        <f t="shared" si="101"/>
        <v>0.1</v>
      </c>
      <c r="L585" s="203"/>
      <c r="N585" s="1425">
        <v>44384</v>
      </c>
      <c r="O585" s="1502">
        <v>14.6121</v>
      </c>
      <c r="P585" s="1502">
        <v>4.2702</v>
      </c>
      <c r="Q585" s="1502">
        <v>13.1105</v>
      </c>
      <c r="R585" s="1233">
        <f>'B. PE'!$U$23</f>
        <v>15.978235616082999</v>
      </c>
      <c r="S585" s="1233"/>
      <c r="T585" s="1233"/>
      <c r="V585" s="1425">
        <v>44384</v>
      </c>
      <c r="W585" s="1">
        <v>10.7281</v>
      </c>
      <c r="X585" s="1">
        <v>1.1919999999999999</v>
      </c>
      <c r="Y585" s="1">
        <v>8.7927</v>
      </c>
      <c r="Z585" s="1">
        <v>0.85501000000000005</v>
      </c>
      <c r="AB585" s="1425">
        <v>44364</v>
      </c>
      <c r="AC585" s="1">
        <v>13.9697</v>
      </c>
      <c r="AD585" s="1502">
        <v>1.9322999999999999</v>
      </c>
      <c r="AE585" s="1">
        <v>6.9017999999999997</v>
      </c>
      <c r="AF585" s="1">
        <v>4.7370000000000002E-2</v>
      </c>
      <c r="AH585" s="1425">
        <v>44364</v>
      </c>
      <c r="AI585" s="1">
        <v>10.9537</v>
      </c>
      <c r="AJ585" s="1">
        <v>1.7484999999999999</v>
      </c>
      <c r="AK585" s="1">
        <v>4.3337000000000003</v>
      </c>
      <c r="AL585" s="1">
        <v>2.4490000000000001E-2</v>
      </c>
      <c r="AN585" s="1425">
        <v>44364</v>
      </c>
      <c r="AO585" s="1">
        <v>11.8828</v>
      </c>
      <c r="AP585" s="1">
        <v>1.4611000000000001</v>
      </c>
      <c r="AQ585" s="1">
        <v>6.8122999999999996</v>
      </c>
      <c r="AR585" s="1">
        <v>0.34974</v>
      </c>
      <c r="AT585" s="1425">
        <v>44364</v>
      </c>
      <c r="AU585" s="1">
        <v>7.8807999999999998</v>
      </c>
      <c r="AV585" s="1">
        <v>0.54600000000000004</v>
      </c>
      <c r="AW585" s="1">
        <v>5.2039</v>
      </c>
      <c r="AX585" s="1">
        <v>0.14451</v>
      </c>
      <c r="BA585" s="1425">
        <v>44358</v>
      </c>
      <c r="BB585" s="1">
        <v>17.456199999999999</v>
      </c>
      <c r="BC585" s="1">
        <v>3.8231999999999999</v>
      </c>
      <c r="BD585" s="1">
        <v>14.774900000000001</v>
      </c>
      <c r="BE585" s="1">
        <v>1.00315</v>
      </c>
      <c r="BG585" s="1425">
        <v>44358</v>
      </c>
      <c r="BH585" s="1">
        <v>30.1983</v>
      </c>
      <c r="BI585" s="1">
        <v>5.7313999999999998</v>
      </c>
      <c r="BJ585" s="1">
        <v>29.4938</v>
      </c>
      <c r="BT585" s="1425">
        <v>44384</v>
      </c>
      <c r="BU585" s="1">
        <v>17.1968</v>
      </c>
      <c r="BV585" s="1">
        <v>4.3186</v>
      </c>
      <c r="BW585" s="1">
        <v>10.0168</v>
      </c>
      <c r="BX585" s="1">
        <v>2.4142999999999999</v>
      </c>
      <c r="BZ585" s="1425">
        <v>44384</v>
      </c>
      <c r="CA585" s="1">
        <v>34.698799999999999</v>
      </c>
      <c r="CB585" s="1">
        <v>1.8123</v>
      </c>
      <c r="CC585" s="1">
        <v>84.066299999999998</v>
      </c>
      <c r="CD585" s="1">
        <v>0.74141000000000001</v>
      </c>
      <c r="CF585" s="1425">
        <v>44383</v>
      </c>
      <c r="CG585" s="1">
        <v>6.5378999999999996</v>
      </c>
      <c r="CH585" s="1">
        <v>1.2508999999999999</v>
      </c>
      <c r="CI585" s="1">
        <v>5.7968000000000002</v>
      </c>
      <c r="CL585" s="1425">
        <v>44399</v>
      </c>
      <c r="CM585" s="1">
        <v>27.257400000000001</v>
      </c>
      <c r="CN585" s="1">
        <v>2.9354</v>
      </c>
      <c r="CO585" s="1">
        <v>12.345000000000001</v>
      </c>
    </row>
    <row r="586" spans="1:93">
      <c r="A586" s="1425">
        <v>44383</v>
      </c>
      <c r="B586" s="20">
        <f t="shared" si="92"/>
        <v>13.851599999999999</v>
      </c>
      <c r="C586" s="20">
        <f t="shared" si="94"/>
        <v>10.6555</v>
      </c>
      <c r="D586" s="20">
        <f t="shared" si="95"/>
        <v>11.306699999999999</v>
      </c>
      <c r="E586" s="20">
        <f t="shared" si="96"/>
        <v>10.196099999999999</v>
      </c>
      <c r="F586" s="20">
        <f t="shared" si="97"/>
        <v>30.015499999999999</v>
      </c>
      <c r="G586" s="20">
        <f t="shared" si="98"/>
        <v>18.847999999999999</v>
      </c>
      <c r="H586" s="1239">
        <f t="shared" si="99"/>
        <v>11.306699999999999</v>
      </c>
      <c r="I586" s="1243">
        <f t="shared" si="93"/>
        <v>0.22507893549842128</v>
      </c>
      <c r="J586" s="1243">
        <f t="shared" si="100"/>
        <v>0.12093838824177333</v>
      </c>
      <c r="K586" s="1243">
        <f t="shared" si="101"/>
        <v>0.1</v>
      </c>
      <c r="L586" s="203"/>
      <c r="N586" s="1425">
        <v>44383</v>
      </c>
      <c r="O586" s="1502">
        <v>13.851599999999999</v>
      </c>
      <c r="P586" s="1502">
        <v>4.048</v>
      </c>
      <c r="Q586" s="1502">
        <v>12.3775</v>
      </c>
      <c r="R586" s="1233">
        <f>'B. PE'!$U$23</f>
        <v>15.978235616082999</v>
      </c>
      <c r="S586" s="1233"/>
      <c r="T586" s="1233"/>
      <c r="V586" s="1425">
        <v>44383</v>
      </c>
      <c r="W586" s="1">
        <v>10.6555</v>
      </c>
      <c r="X586" s="1">
        <v>1.1839</v>
      </c>
      <c r="Y586" s="1">
        <v>8.7530999999999999</v>
      </c>
      <c r="Z586" s="1">
        <v>0.84552000000000005</v>
      </c>
      <c r="AB586" s="1425">
        <v>44363</v>
      </c>
      <c r="AC586" s="1">
        <v>13.9697</v>
      </c>
      <c r="AD586" s="1502">
        <v>1.9322999999999999</v>
      </c>
      <c r="AE586" s="1">
        <v>6.9017999999999997</v>
      </c>
      <c r="AF586" s="1">
        <v>4.8050000000000002E-2</v>
      </c>
      <c r="AH586" s="1425">
        <v>44363</v>
      </c>
      <c r="AI586" s="1">
        <v>10.9224</v>
      </c>
      <c r="AJ586" s="1">
        <v>1.7435</v>
      </c>
      <c r="AK586" s="1">
        <v>4.3177000000000003</v>
      </c>
      <c r="AL586" s="1">
        <v>2.4549999999999999E-2</v>
      </c>
      <c r="AN586" s="1425">
        <v>44363</v>
      </c>
      <c r="AO586" s="1">
        <v>11.9247</v>
      </c>
      <c r="AP586" s="1">
        <v>1.4662999999999999</v>
      </c>
      <c r="AQ586" s="1">
        <v>6.8452999999999999</v>
      </c>
      <c r="AR586" s="1">
        <v>0.34271000000000001</v>
      </c>
      <c r="AT586" s="1425">
        <v>44363</v>
      </c>
      <c r="AU586" s="1">
        <v>7.8146000000000004</v>
      </c>
      <c r="AV586" s="1">
        <v>0.54139999999999999</v>
      </c>
      <c r="AW586" s="1">
        <v>5.1677999999999997</v>
      </c>
      <c r="AX586" s="1">
        <v>0.14582999999999999</v>
      </c>
      <c r="BA586" s="1425">
        <v>44357</v>
      </c>
      <c r="BB586" s="1">
        <v>16.923200000000001</v>
      </c>
      <c r="BC586" s="1">
        <v>3.7063999999999999</v>
      </c>
      <c r="BD586" s="1">
        <v>14.4122</v>
      </c>
      <c r="BE586" s="1">
        <v>0.99334</v>
      </c>
      <c r="BG586" s="1425">
        <v>44357</v>
      </c>
      <c r="BH586" s="1">
        <v>30.622800000000002</v>
      </c>
      <c r="BI586" s="1">
        <v>5.8118999999999996</v>
      </c>
      <c r="BJ586" s="1">
        <v>29.884499999999999</v>
      </c>
      <c r="BT586" s="1425">
        <v>44383</v>
      </c>
      <c r="BU586" s="1">
        <v>16.076599999999999</v>
      </c>
      <c r="BV586" s="1">
        <v>4.0373000000000001</v>
      </c>
      <c r="BW586" s="1">
        <v>9.3879999999999999</v>
      </c>
      <c r="BX586" s="1">
        <v>2.2728000000000002</v>
      </c>
      <c r="BZ586" s="1425">
        <v>44383</v>
      </c>
      <c r="CA586" s="1">
        <v>32.444899999999997</v>
      </c>
      <c r="CB586" s="1">
        <v>1.6946000000000001</v>
      </c>
      <c r="CC586" s="1">
        <v>81.482900000000001</v>
      </c>
      <c r="CD586" s="1">
        <v>0.69321999999999995</v>
      </c>
      <c r="CF586" s="1425">
        <v>44382</v>
      </c>
      <c r="CG586" s="1">
        <v>6.7397</v>
      </c>
      <c r="CH586" s="1">
        <v>1.2895000000000001</v>
      </c>
      <c r="CI586" s="1">
        <v>5.9393000000000002</v>
      </c>
      <c r="CL586" s="1425">
        <v>44398</v>
      </c>
      <c r="CM586" s="1">
        <v>27.257400000000001</v>
      </c>
      <c r="CN586" s="1">
        <v>2.9354</v>
      </c>
      <c r="CO586" s="1">
        <v>12.345000000000001</v>
      </c>
    </row>
    <row r="587" spans="1:93">
      <c r="A587" s="1425">
        <v>44382</v>
      </c>
      <c r="B587" s="20">
        <f t="shared" si="92"/>
        <v>14.883699999999999</v>
      </c>
      <c r="C587" s="20">
        <f t="shared" si="94"/>
        <v>11.3094</v>
      </c>
      <c r="D587" s="20">
        <f t="shared" si="95"/>
        <v>11.4154</v>
      </c>
      <c r="E587" s="20">
        <f t="shared" si="96"/>
        <v>10.117599999999999</v>
      </c>
      <c r="F587" s="20">
        <f t="shared" si="97"/>
        <v>29.4437</v>
      </c>
      <c r="G587" s="20">
        <f t="shared" si="98"/>
        <v>17.98</v>
      </c>
      <c r="H587" s="1239">
        <f t="shared" si="99"/>
        <v>11.4154</v>
      </c>
      <c r="I587" s="1243">
        <f t="shared" si="93"/>
        <v>0.3038264099374528</v>
      </c>
      <c r="J587" s="1243">
        <f t="shared" si="100"/>
        <v>0.12093838824177333</v>
      </c>
      <c r="K587" s="1243">
        <f t="shared" si="101"/>
        <v>0.1</v>
      </c>
      <c r="L587" s="203"/>
      <c r="N587" s="1425">
        <v>44382</v>
      </c>
      <c r="O587" s="1502">
        <v>14.883699999999999</v>
      </c>
      <c r="P587" s="1502">
        <v>4.3495999999999997</v>
      </c>
      <c r="Q587" s="1502">
        <v>13.372299999999999</v>
      </c>
      <c r="R587" s="1233">
        <f>'B. PE'!$U$23</f>
        <v>15.978235616082999</v>
      </c>
      <c r="S587" s="1233"/>
      <c r="T587" s="1233"/>
      <c r="V587" s="1425">
        <v>44382</v>
      </c>
      <c r="W587" s="1">
        <v>11.3094</v>
      </c>
      <c r="X587" s="1">
        <v>1.2565</v>
      </c>
      <c r="Y587" s="1">
        <v>9.1092999999999993</v>
      </c>
      <c r="Z587" s="1">
        <v>0.81186999999999998</v>
      </c>
      <c r="AB587" s="1425">
        <v>44362</v>
      </c>
      <c r="AC587" s="1">
        <v>13.7658</v>
      </c>
      <c r="AD587" s="1502">
        <v>1.9039999999999999</v>
      </c>
      <c r="AE587" s="1">
        <v>6.8227000000000002</v>
      </c>
      <c r="AF587" s="1">
        <v>4.7469999999999998E-2</v>
      </c>
      <c r="AH587" s="1425">
        <v>44362</v>
      </c>
      <c r="AI587" s="1">
        <v>10.9224</v>
      </c>
      <c r="AJ587" s="1">
        <v>1.7435</v>
      </c>
      <c r="AK587" s="1">
        <v>4.3177000000000003</v>
      </c>
      <c r="AL587" s="1">
        <v>2.4400000000000002E-2</v>
      </c>
      <c r="AN587" s="1425">
        <v>44362</v>
      </c>
      <c r="AO587" s="1">
        <v>12.0502</v>
      </c>
      <c r="AP587" s="1">
        <v>1.4817</v>
      </c>
      <c r="AQ587" s="1">
        <v>6.944</v>
      </c>
      <c r="AR587" s="1">
        <v>0.34433999999999998</v>
      </c>
      <c r="AT587" s="1425">
        <v>44362</v>
      </c>
      <c r="AU587" s="1">
        <v>7.8807999999999998</v>
      </c>
      <c r="AV587" s="1">
        <v>0.54600000000000004</v>
      </c>
      <c r="AW587" s="1">
        <v>5.2039</v>
      </c>
      <c r="AX587" s="1">
        <v>0.14479</v>
      </c>
      <c r="BA587" s="1425">
        <v>44356</v>
      </c>
      <c r="BB587" s="1">
        <v>16.656700000000001</v>
      </c>
      <c r="BC587" s="1">
        <v>3.6480999999999999</v>
      </c>
      <c r="BD587" s="1">
        <v>14.2308</v>
      </c>
      <c r="BE587" s="1">
        <v>1.01769</v>
      </c>
      <c r="BG587" s="1425">
        <v>44356</v>
      </c>
      <c r="BH587" s="1">
        <v>30.1983</v>
      </c>
      <c r="BI587" s="1">
        <v>5.7313999999999998</v>
      </c>
      <c r="BJ587" s="1">
        <v>29.4938</v>
      </c>
      <c r="BT587" s="1425">
        <v>44382</v>
      </c>
      <c r="BU587" s="1">
        <v>17.269400000000001</v>
      </c>
      <c r="BV587" s="1">
        <v>4.3368000000000002</v>
      </c>
      <c r="BW587" s="1">
        <v>10.057499999999999</v>
      </c>
      <c r="BX587" s="1">
        <v>2.1882000000000001</v>
      </c>
      <c r="BZ587" s="1425">
        <v>44382</v>
      </c>
      <c r="CA587" s="1">
        <v>34.8767</v>
      </c>
      <c r="CB587" s="1">
        <v>1.8216000000000001</v>
      </c>
      <c r="CC587" s="1">
        <v>84.270200000000003</v>
      </c>
      <c r="CD587" s="1">
        <v>0.69388000000000005</v>
      </c>
      <c r="CF587" s="1425">
        <v>44379</v>
      </c>
      <c r="CG587" s="1">
        <v>6.7397</v>
      </c>
      <c r="CH587" s="1">
        <v>1.2895000000000001</v>
      </c>
      <c r="CI587" s="1">
        <v>5.9393000000000002</v>
      </c>
      <c r="CL587" s="1425">
        <v>44397</v>
      </c>
      <c r="CM587" s="1">
        <v>27.008500000000002</v>
      </c>
      <c r="CN587" s="1">
        <v>2.9085999999999999</v>
      </c>
      <c r="CO587" s="1">
        <v>12.2331</v>
      </c>
    </row>
    <row r="588" spans="1:93">
      <c r="A588" s="1425">
        <v>44379</v>
      </c>
      <c r="B588" s="20">
        <f t="shared" si="92"/>
        <v>14.329599999999999</v>
      </c>
      <c r="C588" s="20">
        <f t="shared" si="94"/>
        <v>11.1883</v>
      </c>
      <c r="D588" s="20">
        <f t="shared" si="95"/>
        <v>11.5785</v>
      </c>
      <c r="E588" s="20">
        <f t="shared" si="96"/>
        <v>10.235300000000001</v>
      </c>
      <c r="F588" s="20">
        <f t="shared" si="97"/>
        <v>29.729600000000001</v>
      </c>
      <c r="G588" s="20">
        <f t="shared" si="98"/>
        <v>18.228000000000002</v>
      </c>
      <c r="H588" s="1239">
        <f t="shared" si="99"/>
        <v>11.5785</v>
      </c>
      <c r="I588" s="1243">
        <f t="shared" si="93"/>
        <v>0.23760418016150608</v>
      </c>
      <c r="J588" s="1243">
        <f t="shared" si="100"/>
        <v>0.12093838824177333</v>
      </c>
      <c r="K588" s="1243">
        <f t="shared" si="101"/>
        <v>0.1</v>
      </c>
      <c r="L588" s="203"/>
      <c r="N588" s="1425">
        <v>44379</v>
      </c>
      <c r="O588" s="1502">
        <v>14.329599999999999</v>
      </c>
      <c r="P588" s="1502">
        <v>4.1877000000000004</v>
      </c>
      <c r="Q588" s="1502">
        <v>12.838200000000001</v>
      </c>
      <c r="R588" s="1233">
        <f>'B. PE'!$U$23</f>
        <v>15.978235616082999</v>
      </c>
      <c r="S588" s="1233"/>
      <c r="T588" s="1233"/>
      <c r="V588" s="1425">
        <v>44379</v>
      </c>
      <c r="W588" s="1">
        <v>11.1883</v>
      </c>
      <c r="X588" s="1">
        <v>1.2431000000000001</v>
      </c>
      <c r="Y588" s="1">
        <v>9.0434000000000001</v>
      </c>
      <c r="Z588" s="1">
        <v>0.79900000000000004</v>
      </c>
      <c r="AB588" s="1425">
        <v>44361</v>
      </c>
      <c r="AC588" s="1">
        <v>13.9697</v>
      </c>
      <c r="AD588" s="1502">
        <v>1.9322999999999999</v>
      </c>
      <c r="AE588" s="1">
        <v>6.9017999999999997</v>
      </c>
      <c r="AF588" s="1">
        <v>4.5240000000000002E-2</v>
      </c>
      <c r="AH588" s="1425">
        <v>44361</v>
      </c>
      <c r="AI588" s="1">
        <v>10.9537</v>
      </c>
      <c r="AJ588" s="1">
        <v>1.7484999999999999</v>
      </c>
      <c r="AK588" s="1">
        <v>4.3337000000000003</v>
      </c>
      <c r="AL588" s="1">
        <v>2.3990000000000001E-2</v>
      </c>
      <c r="AN588" s="1425">
        <v>44361</v>
      </c>
      <c r="AO588" s="1">
        <v>11.799200000000001</v>
      </c>
      <c r="AP588" s="1">
        <v>1.4508000000000001</v>
      </c>
      <c r="AQ588" s="1">
        <v>6.7465000000000002</v>
      </c>
      <c r="AR588" s="1">
        <v>0.34344999999999998</v>
      </c>
      <c r="AT588" s="1425">
        <v>44361</v>
      </c>
      <c r="AU588" s="1">
        <v>7.9470000000000001</v>
      </c>
      <c r="AV588" s="1">
        <v>0.55059999999999998</v>
      </c>
      <c r="AW588" s="1">
        <v>5.2398999999999996</v>
      </c>
      <c r="AX588" s="1">
        <v>0.14563000000000001</v>
      </c>
      <c r="BA588" s="1425">
        <v>44355</v>
      </c>
      <c r="BB588" s="1">
        <v>16.523399999999999</v>
      </c>
      <c r="BC588" s="1">
        <v>3.6189</v>
      </c>
      <c r="BD588" s="1">
        <v>14.1401</v>
      </c>
      <c r="BE588" s="1">
        <v>1.0271600000000001</v>
      </c>
      <c r="BG588" s="1425">
        <v>44355</v>
      </c>
      <c r="BH588" s="1">
        <v>31.229199999999999</v>
      </c>
      <c r="BI588" s="1">
        <v>5.9269999999999996</v>
      </c>
      <c r="BJ588" s="1">
        <v>30.442699999999999</v>
      </c>
      <c r="BT588" s="1425">
        <v>44379</v>
      </c>
      <c r="BU588" s="1">
        <v>16.263300000000001</v>
      </c>
      <c r="BV588" s="1">
        <v>4.0841000000000003</v>
      </c>
      <c r="BW588" s="1">
        <v>9.4928000000000008</v>
      </c>
      <c r="BX588" s="1">
        <v>2.2010999999999998</v>
      </c>
      <c r="BZ588" s="1425">
        <v>44379</v>
      </c>
      <c r="CA588" s="1">
        <v>32.622799999999998</v>
      </c>
      <c r="CB588" s="1">
        <v>1.7039</v>
      </c>
      <c r="CC588" s="1">
        <v>81.686899999999994</v>
      </c>
      <c r="CD588" s="1">
        <v>0.68249000000000004</v>
      </c>
      <c r="CF588" s="1425">
        <v>44378</v>
      </c>
      <c r="CG588" s="1">
        <v>6.7397</v>
      </c>
      <c r="CH588" s="1">
        <v>1.2895000000000001</v>
      </c>
      <c r="CI588" s="1">
        <v>5.9393000000000002</v>
      </c>
      <c r="CL588" s="1425">
        <v>44396</v>
      </c>
      <c r="CM588" s="1">
        <v>26.475100000000001</v>
      </c>
      <c r="CN588" s="1">
        <v>2.8512</v>
      </c>
      <c r="CO588" s="1">
        <v>11.9932</v>
      </c>
    </row>
    <row r="589" spans="1:93">
      <c r="A589" s="1425">
        <v>44378</v>
      </c>
      <c r="B589" s="20">
        <f t="shared" si="92"/>
        <v>14.1015</v>
      </c>
      <c r="C589" s="20">
        <f t="shared" si="94"/>
        <v>10.7524</v>
      </c>
      <c r="D589" s="20">
        <f t="shared" si="95"/>
        <v>11.5785</v>
      </c>
      <c r="E589" s="20">
        <f t="shared" si="96"/>
        <v>10.196099999999999</v>
      </c>
      <c r="F589" s="20">
        <f t="shared" si="97"/>
        <v>30.301300000000001</v>
      </c>
      <c r="G589" s="20">
        <f t="shared" si="98"/>
        <v>18.352</v>
      </c>
      <c r="H589" s="1239">
        <f t="shared" si="99"/>
        <v>11.5785</v>
      </c>
      <c r="I589" s="1243">
        <f t="shared" si="93"/>
        <v>0.21790387355875107</v>
      </c>
      <c r="J589" s="1243">
        <f t="shared" si="100"/>
        <v>0.12093838824177333</v>
      </c>
      <c r="K589" s="1243">
        <f t="shared" si="101"/>
        <v>0.1</v>
      </c>
      <c r="L589" s="203"/>
      <c r="N589" s="1425">
        <v>44378</v>
      </c>
      <c r="O589" s="1502">
        <v>14.1015</v>
      </c>
      <c r="P589" s="1502">
        <v>4.1210000000000004</v>
      </c>
      <c r="Q589" s="1502">
        <v>12.6183</v>
      </c>
      <c r="R589" s="1233">
        <f>'B. PE'!$U$23</f>
        <v>15.978235616082999</v>
      </c>
      <c r="S589" s="1233"/>
      <c r="T589" s="1233"/>
      <c r="V589" s="1425">
        <v>44378</v>
      </c>
      <c r="W589" s="1">
        <v>10.7524</v>
      </c>
      <c r="X589" s="1">
        <v>1.1947000000000001</v>
      </c>
      <c r="Y589" s="1">
        <v>8.8058999999999994</v>
      </c>
      <c r="Z589" s="1">
        <v>0.79703999999999997</v>
      </c>
      <c r="AB589" s="1425">
        <v>44358</v>
      </c>
      <c r="AC589" s="1">
        <v>13.7658</v>
      </c>
      <c r="AD589" s="1502">
        <v>1.9039999999999999</v>
      </c>
      <c r="AE589" s="1">
        <v>6.8227000000000002</v>
      </c>
      <c r="AF589" s="1">
        <v>4.206E-2</v>
      </c>
      <c r="AH589" s="1425">
        <v>44358</v>
      </c>
      <c r="AI589" s="1">
        <v>10.8598</v>
      </c>
      <c r="AJ589" s="1">
        <v>1.7335</v>
      </c>
      <c r="AK589" s="1">
        <v>4.2858999999999998</v>
      </c>
      <c r="AL589" s="1">
        <v>2.3900000000000001E-2</v>
      </c>
      <c r="AN589" s="1425">
        <v>44358</v>
      </c>
      <c r="AO589" s="1">
        <v>11.840999999999999</v>
      </c>
      <c r="AP589" s="1">
        <v>1.456</v>
      </c>
      <c r="AQ589" s="1">
        <v>6.7793999999999999</v>
      </c>
      <c r="AR589" s="1">
        <v>0.34614</v>
      </c>
      <c r="AT589" s="1425">
        <v>44358</v>
      </c>
      <c r="AU589" s="1">
        <v>7.8807999999999998</v>
      </c>
      <c r="AV589" s="1">
        <v>0.54600000000000004</v>
      </c>
      <c r="AW589" s="1">
        <v>5.2039</v>
      </c>
      <c r="AX589" s="1">
        <v>0.14452999999999999</v>
      </c>
      <c r="BA589" s="1425">
        <v>44354</v>
      </c>
      <c r="BB589" s="1">
        <v>16.923200000000001</v>
      </c>
      <c r="BC589" s="1">
        <v>3.7063999999999999</v>
      </c>
      <c r="BD589" s="1">
        <v>14.4122</v>
      </c>
      <c r="BE589" s="1">
        <v>1.0524800000000001</v>
      </c>
      <c r="BG589" s="1425">
        <v>44354</v>
      </c>
      <c r="BH589" s="1">
        <v>30.925999999999998</v>
      </c>
      <c r="BI589" s="1">
        <v>5.8695000000000004</v>
      </c>
      <c r="BJ589" s="1">
        <v>30.163599999999999</v>
      </c>
      <c r="BT589" s="1425">
        <v>44378</v>
      </c>
      <c r="BU589" s="1">
        <v>15.6721</v>
      </c>
      <c r="BV589" s="1">
        <v>3.9357000000000002</v>
      </c>
      <c r="BW589" s="1">
        <v>9.1608999999999998</v>
      </c>
      <c r="BX589" s="1">
        <v>2.1282999999999999</v>
      </c>
      <c r="BZ589" s="1425">
        <v>44378</v>
      </c>
      <c r="CA589" s="1">
        <v>32.682099999999998</v>
      </c>
      <c r="CB589" s="1">
        <v>1.7070000000000001</v>
      </c>
      <c r="CC589" s="1">
        <v>81.754800000000003</v>
      </c>
      <c r="CD589" s="1">
        <v>0.69244000000000006</v>
      </c>
      <c r="CF589" s="1425">
        <v>44377</v>
      </c>
      <c r="CG589" s="1">
        <v>6.7397</v>
      </c>
      <c r="CH589" s="1">
        <v>1.2895000000000001</v>
      </c>
      <c r="CI589" s="1">
        <v>5.9393000000000002</v>
      </c>
      <c r="CL589" s="1425">
        <v>44393</v>
      </c>
      <c r="CM589" s="1">
        <v>26.9374</v>
      </c>
      <c r="CN589" s="1">
        <v>2.9009999999999998</v>
      </c>
      <c r="CO589" s="1">
        <v>12.2011</v>
      </c>
    </row>
    <row r="590" spans="1:93">
      <c r="A590" s="1425">
        <v>44377</v>
      </c>
      <c r="B590" s="20">
        <f t="shared" si="92"/>
        <v>14.079800000000001</v>
      </c>
      <c r="C590" s="20">
        <f t="shared" si="94"/>
        <v>10.582800000000001</v>
      </c>
      <c r="D590" s="20">
        <f t="shared" si="95"/>
        <v>11.9046</v>
      </c>
      <c r="E590" s="20">
        <f t="shared" si="96"/>
        <v>10.2745</v>
      </c>
      <c r="F590" s="20">
        <f t="shared" si="97"/>
        <v>30.015499999999999</v>
      </c>
      <c r="G590" s="20">
        <f t="shared" si="98"/>
        <v>18.972000000000001</v>
      </c>
      <c r="H590" s="1239">
        <f t="shared" si="99"/>
        <v>11.9046</v>
      </c>
      <c r="I590" s="1243">
        <f t="shared" si="93"/>
        <v>0.18271928498227585</v>
      </c>
      <c r="J590" s="1243">
        <f t="shared" si="100"/>
        <v>0.12093838824177333</v>
      </c>
      <c r="K590" s="1243">
        <f t="shared" si="101"/>
        <v>0.1</v>
      </c>
      <c r="L590" s="203"/>
      <c r="N590" s="1425">
        <v>44377</v>
      </c>
      <c r="O590" s="1502">
        <v>14.079800000000001</v>
      </c>
      <c r="P590" s="1502">
        <v>4.1146000000000003</v>
      </c>
      <c r="Q590" s="1502">
        <v>12.5974</v>
      </c>
      <c r="R590" s="1233">
        <f>'B. PE'!$U$23</f>
        <v>15.978235616082999</v>
      </c>
      <c r="S590" s="1233"/>
      <c r="T590" s="1233"/>
      <c r="V590" s="1425">
        <v>44377</v>
      </c>
      <c r="W590" s="1">
        <v>10.582800000000001</v>
      </c>
      <c r="X590" s="1">
        <v>1.1758</v>
      </c>
      <c r="Y590" s="1">
        <v>8.7135999999999996</v>
      </c>
      <c r="Z590" s="1">
        <v>0.81376999999999999</v>
      </c>
      <c r="AB590" s="1425">
        <v>44357</v>
      </c>
      <c r="AC590" s="1">
        <v>13.154</v>
      </c>
      <c r="AD590" s="1502">
        <v>1.8193999999999999</v>
      </c>
      <c r="AE590" s="1">
        <v>6.5854999999999997</v>
      </c>
      <c r="AF590" s="1">
        <v>4.2020000000000002E-2</v>
      </c>
      <c r="AH590" s="1425">
        <v>44357</v>
      </c>
      <c r="AI590" s="1">
        <v>10.7033</v>
      </c>
      <c r="AJ590" s="1">
        <v>1.7084999999999999</v>
      </c>
      <c r="AK590" s="1">
        <v>4.2062999999999997</v>
      </c>
      <c r="AL590" s="1">
        <v>2.3879999999999998E-2</v>
      </c>
      <c r="AN590" s="1425">
        <v>44357</v>
      </c>
      <c r="AO590" s="1">
        <v>11.840999999999999</v>
      </c>
      <c r="AP590" s="1">
        <v>1.456</v>
      </c>
      <c r="AQ590" s="1">
        <v>6.7793999999999999</v>
      </c>
      <c r="AR590" s="1">
        <v>0.34204000000000001</v>
      </c>
      <c r="AT590" s="1425">
        <v>44357</v>
      </c>
      <c r="AU590" s="1">
        <v>7.9470000000000001</v>
      </c>
      <c r="AV590" s="1">
        <v>0.55059999999999998</v>
      </c>
      <c r="AW590" s="1">
        <v>5.2398999999999996</v>
      </c>
      <c r="AX590" s="1">
        <v>0.14434</v>
      </c>
      <c r="BA590" s="1425">
        <v>44351</v>
      </c>
      <c r="BB590" s="1">
        <v>17.0564</v>
      </c>
      <c r="BC590" s="1">
        <v>3.7355999999999998</v>
      </c>
      <c r="BD590" s="1">
        <v>14.5029</v>
      </c>
      <c r="BE590" s="1">
        <v>1.07423</v>
      </c>
      <c r="BG590" s="1425">
        <v>44351</v>
      </c>
      <c r="BH590" s="1">
        <v>30.925999999999998</v>
      </c>
      <c r="BI590" s="1">
        <v>5.8695000000000004</v>
      </c>
      <c r="BJ590" s="1">
        <v>30.163599999999999</v>
      </c>
      <c r="BT590" s="1425">
        <v>44377</v>
      </c>
      <c r="BU590" s="1">
        <v>15.7654</v>
      </c>
      <c r="BV590" s="1">
        <v>3.9590999999999998</v>
      </c>
      <c r="BW590" s="1">
        <v>9.2155000000000005</v>
      </c>
      <c r="BX590" s="1">
        <v>2.1073</v>
      </c>
      <c r="BZ590" s="1425">
        <v>44377</v>
      </c>
      <c r="CA590" s="1">
        <v>32.148299999999999</v>
      </c>
      <c r="CB590" s="1">
        <v>1.6791</v>
      </c>
      <c r="CC590" s="1">
        <v>81.143000000000001</v>
      </c>
      <c r="CD590" s="1">
        <v>0.69645999999999997</v>
      </c>
      <c r="CF590" s="1425">
        <v>44376</v>
      </c>
      <c r="CG590" s="1">
        <v>8.0579999999999998</v>
      </c>
      <c r="CH590" s="1">
        <v>1.3907</v>
      </c>
      <c r="CI590" s="1">
        <v>4.4638999999999998</v>
      </c>
      <c r="CL590" s="1425">
        <v>44392</v>
      </c>
      <c r="CM590" s="1">
        <v>25.675000000000001</v>
      </c>
      <c r="CN590" s="1">
        <v>2.7650000000000001</v>
      </c>
      <c r="CO590" s="1">
        <v>11.6335</v>
      </c>
    </row>
    <row r="591" spans="1:93">
      <c r="A591" s="1425">
        <v>44376</v>
      </c>
      <c r="B591" s="20">
        <f t="shared" si="92"/>
        <v>16.1251</v>
      </c>
      <c r="C591" s="20">
        <f t="shared" si="94"/>
        <v>12.2448</v>
      </c>
      <c r="D591" s="20">
        <f t="shared" si="95"/>
        <v>12.8315</v>
      </c>
      <c r="E591" s="20">
        <f t="shared" si="96"/>
        <v>11.004200000000001</v>
      </c>
      <c r="F591" s="20">
        <f t="shared" si="97"/>
        <v>33.048400000000001</v>
      </c>
      <c r="G591" s="20">
        <f t="shared" si="98"/>
        <v>20.787500000000001</v>
      </c>
      <c r="H591" s="1239">
        <f t="shared" si="99"/>
        <v>12.8315</v>
      </c>
      <c r="I591" s="1243">
        <f t="shared" si="93"/>
        <v>0.25668082453337493</v>
      </c>
      <c r="J591" s="1243">
        <f t="shared" si="100"/>
        <v>0.12093838824177333</v>
      </c>
      <c r="K591" s="1243">
        <f t="shared" si="101"/>
        <v>0.1</v>
      </c>
      <c r="L591" s="203"/>
      <c r="N591" s="1425">
        <v>44376</v>
      </c>
      <c r="O591" s="1502">
        <v>16.1251</v>
      </c>
      <c r="P591" s="1502">
        <v>4.1988000000000003</v>
      </c>
      <c r="Q591" s="1502">
        <v>15.1371</v>
      </c>
      <c r="R591" s="1233">
        <f>'B. PE'!$U$23</f>
        <v>15.978235616082999</v>
      </c>
      <c r="S591" s="1233"/>
      <c r="T591" s="1233"/>
      <c r="V591" s="1425">
        <v>44376</v>
      </c>
      <c r="W591" s="1">
        <v>12.2448</v>
      </c>
      <c r="X591" s="1">
        <v>1.1468</v>
      </c>
      <c r="Y591" s="1">
        <v>9.6183999999999994</v>
      </c>
      <c r="Z591" s="1">
        <v>0.78278999999999999</v>
      </c>
      <c r="AB591" s="1425">
        <v>44356</v>
      </c>
      <c r="AC591" s="1">
        <v>12.2363</v>
      </c>
      <c r="AD591" s="1502">
        <v>1.6924999999999999</v>
      </c>
      <c r="AE591" s="1">
        <v>6.2298</v>
      </c>
      <c r="AF591" s="1">
        <v>4.2110000000000002E-2</v>
      </c>
      <c r="AH591" s="1425">
        <v>44356</v>
      </c>
      <c r="AI591" s="1">
        <v>10.672000000000001</v>
      </c>
      <c r="AJ591" s="1">
        <v>1.7035</v>
      </c>
      <c r="AK591" s="1">
        <v>4.1904000000000003</v>
      </c>
      <c r="AL591" s="1">
        <v>2.3859999999999999E-2</v>
      </c>
      <c r="AN591" s="1425">
        <v>44356</v>
      </c>
      <c r="AO591" s="1">
        <v>11.9247</v>
      </c>
      <c r="AP591" s="1">
        <v>1.4662999999999999</v>
      </c>
      <c r="AQ591" s="1">
        <v>6.8452999999999999</v>
      </c>
      <c r="AR591" s="1">
        <v>0.34036</v>
      </c>
      <c r="AT591" s="1425">
        <v>44356</v>
      </c>
      <c r="AU591" s="1">
        <v>7.8807999999999998</v>
      </c>
      <c r="AV591" s="1">
        <v>0.54600000000000004</v>
      </c>
      <c r="AW591" s="1">
        <v>5.2039</v>
      </c>
      <c r="AX591" s="1">
        <v>0.14293</v>
      </c>
      <c r="BA591" s="1425">
        <v>44349</v>
      </c>
      <c r="BB591" s="1">
        <v>17.456199999999999</v>
      </c>
      <c r="BC591" s="1">
        <v>3.8231999999999999</v>
      </c>
      <c r="BD591" s="1">
        <v>14.774900000000001</v>
      </c>
      <c r="BE591" s="1">
        <v>1.0416700000000001</v>
      </c>
      <c r="BG591" s="1425">
        <v>44349</v>
      </c>
      <c r="BH591" s="1">
        <v>32.442</v>
      </c>
      <c r="BI591" s="1">
        <v>6.1571999999999996</v>
      </c>
      <c r="BJ591" s="1">
        <v>31.559100000000001</v>
      </c>
      <c r="BT591" s="1425">
        <v>44376</v>
      </c>
      <c r="BU591" s="1">
        <v>16.244599999999998</v>
      </c>
      <c r="BV591" s="1">
        <v>4.0437000000000003</v>
      </c>
      <c r="BW591" s="1">
        <v>9.5772999999999993</v>
      </c>
      <c r="BX591" s="1">
        <v>2.0815000000000001</v>
      </c>
      <c r="BZ591" s="1425">
        <v>44376</v>
      </c>
      <c r="CA591" s="1">
        <v>115.56140000000001</v>
      </c>
      <c r="CB591" s="1">
        <v>1.7451000000000001</v>
      </c>
      <c r="CC591" s="1">
        <v>105.27209999999999</v>
      </c>
      <c r="CD591" s="1">
        <v>0.67766000000000004</v>
      </c>
      <c r="CF591" s="1425">
        <v>44375</v>
      </c>
      <c r="CG591" s="1">
        <v>8.1057000000000006</v>
      </c>
      <c r="CH591" s="1">
        <v>1.3989</v>
      </c>
      <c r="CI591" s="1">
        <v>4.4946999999999999</v>
      </c>
      <c r="CL591" s="1425">
        <v>44391</v>
      </c>
      <c r="CM591" s="1">
        <v>24.7682</v>
      </c>
      <c r="CN591" s="1">
        <v>2.6674000000000002</v>
      </c>
      <c r="CO591" s="1">
        <v>11.2258</v>
      </c>
    </row>
    <row r="592" spans="1:93">
      <c r="A592" s="1425">
        <v>44375</v>
      </c>
      <c r="B592" s="20">
        <f t="shared" si="92"/>
        <v>16.164300000000001</v>
      </c>
      <c r="C592" s="20">
        <f t="shared" si="94"/>
        <v>12.4976</v>
      </c>
      <c r="D592" s="20">
        <f t="shared" si="95"/>
        <v>13.4574</v>
      </c>
      <c r="E592" s="20">
        <f t="shared" si="96"/>
        <v>10.795</v>
      </c>
      <c r="F592" s="20">
        <f t="shared" si="97"/>
        <v>31.229199999999999</v>
      </c>
      <c r="G592" s="20">
        <f t="shared" si="98"/>
        <v>20.9208</v>
      </c>
      <c r="H592" s="1239">
        <f t="shared" si="99"/>
        <v>13.4574</v>
      </c>
      <c r="I592" s="1243">
        <f t="shared" si="93"/>
        <v>0.20114583797761831</v>
      </c>
      <c r="J592" s="1243">
        <f t="shared" si="100"/>
        <v>0.12093838824177333</v>
      </c>
      <c r="K592" s="1243">
        <f t="shared" si="101"/>
        <v>0.1</v>
      </c>
      <c r="L592" s="203"/>
      <c r="N592" s="1425">
        <v>44375</v>
      </c>
      <c r="O592" s="1502">
        <v>16.164300000000001</v>
      </c>
      <c r="P592" s="1502">
        <v>4.2089999999999996</v>
      </c>
      <c r="Q592" s="1502">
        <v>15.174899999999999</v>
      </c>
      <c r="R592" s="1233">
        <f>'B. PE'!$U$23</f>
        <v>15.978235616082999</v>
      </c>
      <c r="S592" s="1233"/>
      <c r="T592" s="1233"/>
      <c r="V592" s="1425">
        <v>44375</v>
      </c>
      <c r="W592" s="1">
        <v>12.4976</v>
      </c>
      <c r="X592" s="1">
        <v>1.1705000000000001</v>
      </c>
      <c r="Y592" s="1">
        <v>9.7536000000000005</v>
      </c>
      <c r="Z592" s="1">
        <v>0.78285000000000005</v>
      </c>
      <c r="AB592" s="1425">
        <v>44355</v>
      </c>
      <c r="AC592" s="1">
        <v>12.2363</v>
      </c>
      <c r="AD592" s="1502">
        <v>1.6924999999999999</v>
      </c>
      <c r="AE592" s="1">
        <v>6.2298</v>
      </c>
      <c r="AF592" s="1">
        <v>4.2430000000000002E-2</v>
      </c>
      <c r="AH592" s="1425">
        <v>44355</v>
      </c>
      <c r="AI592" s="1">
        <v>10.672000000000001</v>
      </c>
      <c r="AJ592" s="1">
        <v>1.7035</v>
      </c>
      <c r="AK592" s="1">
        <v>4.1904000000000003</v>
      </c>
      <c r="AL592" s="1">
        <v>2.3910000000000001E-2</v>
      </c>
      <c r="AN592" s="1425">
        <v>44355</v>
      </c>
      <c r="AO592" s="1">
        <v>11.799200000000001</v>
      </c>
      <c r="AP592" s="1">
        <v>1.4508000000000001</v>
      </c>
      <c r="AQ592" s="1">
        <v>6.7465000000000002</v>
      </c>
      <c r="AR592" s="1">
        <v>0.34915000000000002</v>
      </c>
      <c r="AT592" s="1425">
        <v>44355</v>
      </c>
      <c r="AU592" s="1">
        <v>7.8807999999999998</v>
      </c>
      <c r="AV592" s="1">
        <v>0.54600000000000004</v>
      </c>
      <c r="AW592" s="1">
        <v>5.2039</v>
      </c>
      <c r="AX592" s="1">
        <v>0.14063000000000001</v>
      </c>
      <c r="BA592" s="1425">
        <v>44348</v>
      </c>
      <c r="BB592" s="1">
        <v>17.856000000000002</v>
      </c>
      <c r="BC592" s="1">
        <v>3.9106999999999998</v>
      </c>
      <c r="BD592" s="1">
        <v>15.047000000000001</v>
      </c>
      <c r="BE592" s="1">
        <v>1.05637</v>
      </c>
      <c r="BG592" s="1425">
        <v>44348</v>
      </c>
      <c r="BH592" s="1">
        <v>32.745199999999997</v>
      </c>
      <c r="BI592" s="1">
        <v>6.2146999999999997</v>
      </c>
      <c r="BJ592" s="1">
        <v>31.838200000000001</v>
      </c>
      <c r="BT592" s="1425">
        <v>44375</v>
      </c>
      <c r="BU592" s="1">
        <v>16.078800000000001</v>
      </c>
      <c r="BV592" s="1">
        <v>4.0023999999999997</v>
      </c>
      <c r="BW592" s="1">
        <v>9.4845000000000006</v>
      </c>
      <c r="BX592" s="1">
        <v>2.0859999999999999</v>
      </c>
      <c r="BZ592" s="1425">
        <v>44375</v>
      </c>
      <c r="CA592" s="1">
        <v>116.1918</v>
      </c>
      <c r="CB592" s="1">
        <v>1.7545999999999999</v>
      </c>
      <c r="CC592" s="1">
        <v>105.5622</v>
      </c>
      <c r="CD592" s="1">
        <v>0.67142000000000002</v>
      </c>
      <c r="CF592" s="1425">
        <v>44372</v>
      </c>
      <c r="CG592" s="1">
        <v>8.0103000000000009</v>
      </c>
      <c r="CH592" s="1">
        <v>1.3824000000000001</v>
      </c>
      <c r="CI592" s="1">
        <v>4.4330999999999996</v>
      </c>
      <c r="CL592" s="1425">
        <v>44390</v>
      </c>
      <c r="CM592" s="1">
        <v>24.999300000000002</v>
      </c>
      <c r="CN592" s="1">
        <v>2.6922999999999999</v>
      </c>
      <c r="CO592" s="1">
        <v>11.329700000000001</v>
      </c>
    </row>
    <row r="593" spans="1:93">
      <c r="A593" s="1425">
        <v>44372</v>
      </c>
      <c r="B593" s="20">
        <f t="shared" si="92"/>
        <v>16.3995</v>
      </c>
      <c r="C593" s="20">
        <f t="shared" si="94"/>
        <v>12.020099999999999</v>
      </c>
      <c r="D593" s="20">
        <f t="shared" si="95"/>
        <v>12.581099999999999</v>
      </c>
      <c r="E593" s="20">
        <f t="shared" si="96"/>
        <v>10.8368</v>
      </c>
      <c r="F593" s="20">
        <f t="shared" si="97"/>
        <v>31.835599999999999</v>
      </c>
      <c r="G593" s="20">
        <f t="shared" si="98"/>
        <v>19.454999999999998</v>
      </c>
      <c r="H593" s="1239">
        <f t="shared" si="99"/>
        <v>12.581099999999999</v>
      </c>
      <c r="I593" s="1243">
        <f t="shared" si="93"/>
        <v>0.30350287335765569</v>
      </c>
      <c r="J593" s="1243">
        <f t="shared" si="100"/>
        <v>0.12093838824177333</v>
      </c>
      <c r="K593" s="1243">
        <f t="shared" si="101"/>
        <v>0.1</v>
      </c>
      <c r="L593" s="203"/>
      <c r="N593" s="1425">
        <v>44372</v>
      </c>
      <c r="O593" s="1502">
        <v>16.3995</v>
      </c>
      <c r="P593" s="1502">
        <v>4.2702999999999998</v>
      </c>
      <c r="Q593" s="1502">
        <v>15.4018</v>
      </c>
      <c r="R593" s="1233">
        <f>'B. PE'!$U$23</f>
        <v>15.978235616082999</v>
      </c>
      <c r="S593" s="1233"/>
      <c r="T593" s="1233"/>
      <c r="V593" s="1425">
        <v>44372</v>
      </c>
      <c r="W593" s="1">
        <v>12.020099999999999</v>
      </c>
      <c r="X593" s="1">
        <v>1.1257999999999999</v>
      </c>
      <c r="Y593" s="1">
        <v>9.4982000000000006</v>
      </c>
      <c r="Z593" s="1">
        <v>0.79323999999999995</v>
      </c>
      <c r="AB593" s="1425">
        <v>44354</v>
      </c>
      <c r="AC593" s="1">
        <v>12.2363</v>
      </c>
      <c r="AD593" s="1502">
        <v>1.6924999999999999</v>
      </c>
      <c r="AE593" s="1">
        <v>6.2298</v>
      </c>
      <c r="AF593" s="1">
        <v>4.3279999999999999E-2</v>
      </c>
      <c r="AH593" s="1425">
        <v>44354</v>
      </c>
      <c r="AI593" s="1">
        <v>10.640700000000001</v>
      </c>
      <c r="AJ593" s="1">
        <v>1.6984999999999999</v>
      </c>
      <c r="AK593" s="1">
        <v>4.1745000000000001</v>
      </c>
      <c r="AL593" s="1">
        <v>2.3810000000000001E-2</v>
      </c>
      <c r="AN593" s="1425">
        <v>44351</v>
      </c>
      <c r="AO593" s="1">
        <v>11.757300000000001</v>
      </c>
      <c r="AP593" s="1">
        <v>1.4457</v>
      </c>
      <c r="AQ593" s="1">
        <v>6.7135999999999996</v>
      </c>
      <c r="AR593" s="1">
        <v>0.35155999999999998</v>
      </c>
      <c r="AT593" s="1425">
        <v>44351</v>
      </c>
      <c r="AU593" s="1">
        <v>7.8146000000000004</v>
      </c>
      <c r="AV593" s="1">
        <v>0.54139999999999999</v>
      </c>
      <c r="AW593" s="1">
        <v>5.1677999999999997</v>
      </c>
      <c r="AX593" s="1">
        <v>0.14061999999999999</v>
      </c>
      <c r="BA593" s="1425">
        <v>44347</v>
      </c>
      <c r="BB593" s="1">
        <v>17.322900000000001</v>
      </c>
      <c r="BC593" s="1">
        <v>3.794</v>
      </c>
      <c r="BD593" s="1">
        <v>14.684200000000001</v>
      </c>
      <c r="BE593" s="1">
        <v>1.09453</v>
      </c>
      <c r="BG593" s="1425">
        <v>44347</v>
      </c>
      <c r="BH593" s="1">
        <v>32.138800000000003</v>
      </c>
      <c r="BI593" s="1">
        <v>6.0995999999999997</v>
      </c>
      <c r="BJ593" s="1">
        <v>31.28</v>
      </c>
      <c r="BT593" s="1425">
        <v>44372</v>
      </c>
      <c r="BU593" s="1">
        <v>15.879899999999999</v>
      </c>
      <c r="BV593" s="1">
        <v>3.9529000000000001</v>
      </c>
      <c r="BW593" s="1">
        <v>9.3733000000000004</v>
      </c>
      <c r="BX593" s="1">
        <v>2.0844999999999998</v>
      </c>
      <c r="BZ593" s="1425">
        <v>44372</v>
      </c>
      <c r="CA593" s="1">
        <v>113.0401</v>
      </c>
      <c r="CB593" s="1">
        <v>1.7070000000000001</v>
      </c>
      <c r="CC593" s="1">
        <v>104.1118</v>
      </c>
      <c r="CD593" s="1">
        <v>0.68476999999999999</v>
      </c>
      <c r="CF593" s="1425">
        <v>44371</v>
      </c>
      <c r="CG593" s="1">
        <v>8.0579999999999998</v>
      </c>
      <c r="CH593" s="1">
        <v>1.3907</v>
      </c>
      <c r="CI593" s="1">
        <v>4.4638999999999998</v>
      </c>
      <c r="CL593" s="1425">
        <v>44389</v>
      </c>
      <c r="CM593" s="1">
        <v>24.9282</v>
      </c>
      <c r="CN593" s="1">
        <v>2.6846000000000001</v>
      </c>
      <c r="CO593" s="1">
        <v>11.297700000000001</v>
      </c>
    </row>
    <row r="594" spans="1:93">
      <c r="A594" s="1425">
        <v>44371</v>
      </c>
      <c r="B594" s="20">
        <f t="shared" si="92"/>
        <v>15.9291</v>
      </c>
      <c r="C594" s="20">
        <f t="shared" si="94"/>
        <v>12.020099999999999</v>
      </c>
      <c r="D594" s="20">
        <f t="shared" si="95"/>
        <v>13.081899999999999</v>
      </c>
      <c r="E594" s="20">
        <f t="shared" si="96"/>
        <v>11.045999999999999</v>
      </c>
      <c r="F594" s="20">
        <f t="shared" si="97"/>
        <v>31.532399999999999</v>
      </c>
      <c r="G594" s="20">
        <f t="shared" si="98"/>
        <v>19.854800000000001</v>
      </c>
      <c r="H594" s="1239">
        <f t="shared" si="99"/>
        <v>13.081899999999999</v>
      </c>
      <c r="I594" s="1243">
        <f t="shared" si="93"/>
        <v>0.21764422599163735</v>
      </c>
      <c r="J594" s="1243">
        <f t="shared" si="100"/>
        <v>0.12093838824177333</v>
      </c>
      <c r="K594" s="1243">
        <f t="shared" si="101"/>
        <v>0.1</v>
      </c>
      <c r="L594" s="203"/>
      <c r="N594" s="1425">
        <v>44371</v>
      </c>
      <c r="O594" s="1502">
        <v>15.9291</v>
      </c>
      <c r="P594" s="1502">
        <v>4.1478000000000002</v>
      </c>
      <c r="Q594" s="1502">
        <v>14.948</v>
      </c>
      <c r="R594" s="1233">
        <f>'B. PE'!$U$23</f>
        <v>15.978235616082999</v>
      </c>
      <c r="S594" s="1233"/>
      <c r="T594" s="1233"/>
      <c r="V594" s="1425">
        <v>44371</v>
      </c>
      <c r="W594" s="1">
        <v>12.020099999999999</v>
      </c>
      <c r="X594" s="1">
        <v>1.1257999999999999</v>
      </c>
      <c r="Y594" s="1">
        <v>9.4982000000000006</v>
      </c>
      <c r="Z594" s="1">
        <v>0.81552999999999998</v>
      </c>
      <c r="AB594" s="1425">
        <v>44351</v>
      </c>
      <c r="AC594" s="1">
        <v>12.338200000000001</v>
      </c>
      <c r="AD594" s="1502">
        <v>1.7065999999999999</v>
      </c>
      <c r="AE594" s="1">
        <v>6.2693000000000003</v>
      </c>
      <c r="AF594" s="1">
        <v>4.2759999999999999E-2</v>
      </c>
      <c r="AH594" s="1425">
        <v>44351</v>
      </c>
      <c r="AI594" s="1">
        <v>10.672000000000001</v>
      </c>
      <c r="AJ594" s="1">
        <v>1.7035</v>
      </c>
      <c r="AK594" s="1">
        <v>4.1904000000000003</v>
      </c>
      <c r="AL594" s="1">
        <v>2.3970000000000002E-2</v>
      </c>
      <c r="AN594" s="1425">
        <v>44350</v>
      </c>
      <c r="AO594" s="1">
        <v>12.0502</v>
      </c>
      <c r="AP594" s="1">
        <v>1.4817</v>
      </c>
      <c r="AQ594" s="1">
        <v>6.944</v>
      </c>
      <c r="AR594" s="1">
        <v>0.33693000000000001</v>
      </c>
      <c r="AT594" s="1425">
        <v>44350</v>
      </c>
      <c r="AU594" s="1">
        <v>7.6821000000000002</v>
      </c>
      <c r="AV594" s="1">
        <v>0.53220000000000001</v>
      </c>
      <c r="AW594" s="1">
        <v>5.0956999999999999</v>
      </c>
      <c r="AX594" s="1">
        <v>0.13816999999999999</v>
      </c>
      <c r="BA594" s="1425">
        <v>44344</v>
      </c>
      <c r="BB594" s="1">
        <v>17.589500000000001</v>
      </c>
      <c r="BC594" s="1">
        <v>3.8523999999999998</v>
      </c>
      <c r="BD594" s="1">
        <v>14.865600000000001</v>
      </c>
      <c r="BE594" s="1">
        <v>1.08484</v>
      </c>
      <c r="BG594" s="1425">
        <v>44344</v>
      </c>
      <c r="BH594" s="1">
        <v>33.048400000000001</v>
      </c>
      <c r="BI594" s="1">
        <v>6.2723000000000004</v>
      </c>
      <c r="BJ594" s="1">
        <v>32.1173</v>
      </c>
      <c r="BT594" s="1425">
        <v>44371</v>
      </c>
      <c r="BU594" s="1">
        <v>15.9131</v>
      </c>
      <c r="BV594" s="1">
        <v>3.9611999999999998</v>
      </c>
      <c r="BW594" s="1">
        <v>9.3917999999999999</v>
      </c>
      <c r="BX594" s="1">
        <v>2.1143999999999998</v>
      </c>
      <c r="BZ594" s="1425">
        <v>44371</v>
      </c>
      <c r="CA594" s="1">
        <v>111.98950000000001</v>
      </c>
      <c r="CB594" s="1">
        <v>1.6911</v>
      </c>
      <c r="CC594" s="1">
        <v>103.6284</v>
      </c>
      <c r="CD594" s="1">
        <v>0.70269000000000004</v>
      </c>
      <c r="CF594" s="1425">
        <v>44370</v>
      </c>
      <c r="CG594" s="1">
        <v>8.0579999999999998</v>
      </c>
      <c r="CH594" s="1">
        <v>1.3907</v>
      </c>
      <c r="CI594" s="1">
        <v>4.4638999999999998</v>
      </c>
      <c r="CL594" s="1425">
        <v>44386</v>
      </c>
      <c r="CM594" s="1">
        <v>24.572600000000001</v>
      </c>
      <c r="CN594" s="1">
        <v>2.6463000000000001</v>
      </c>
      <c r="CO594" s="1">
        <v>11.1378</v>
      </c>
    </row>
    <row r="595" spans="1:93">
      <c r="A595" s="1425">
        <v>44370</v>
      </c>
      <c r="B595" s="20">
        <f t="shared" si="92"/>
        <v>15.6808</v>
      </c>
      <c r="C595" s="20">
        <f t="shared" si="94"/>
        <v>12.188599999999999</v>
      </c>
      <c r="D595" s="20">
        <f t="shared" si="95"/>
        <v>13.645200000000001</v>
      </c>
      <c r="E595" s="20">
        <f t="shared" si="96"/>
        <v>11.5481</v>
      </c>
      <c r="F595" s="20">
        <f t="shared" si="97"/>
        <v>31.229199999999999</v>
      </c>
      <c r="G595" s="20">
        <f t="shared" si="98"/>
        <v>19.721499999999999</v>
      </c>
      <c r="H595" s="1239">
        <f t="shared" si="99"/>
        <v>13.645200000000001</v>
      </c>
      <c r="I595" s="1243">
        <f t="shared" si="93"/>
        <v>0.14918066426289078</v>
      </c>
      <c r="J595" s="1243">
        <f t="shared" si="100"/>
        <v>0.12093838824177333</v>
      </c>
      <c r="K595" s="1243">
        <f t="shared" si="101"/>
        <v>0.1</v>
      </c>
      <c r="L595" s="203"/>
      <c r="N595" s="1425">
        <v>44370</v>
      </c>
      <c r="O595" s="1502">
        <v>15.6808</v>
      </c>
      <c r="P595" s="1502">
        <v>4.0831</v>
      </c>
      <c r="Q595" s="1502">
        <v>14.708500000000001</v>
      </c>
      <c r="R595" s="1233">
        <f>'B. PE'!$U$23</f>
        <v>15.978235616082999</v>
      </c>
      <c r="S595" s="1233"/>
      <c r="T595" s="1233"/>
      <c r="V595" s="1425">
        <v>44370</v>
      </c>
      <c r="W595" s="1">
        <v>12.188599999999999</v>
      </c>
      <c r="X595" s="1">
        <v>1.1415</v>
      </c>
      <c r="Y595" s="1">
        <v>9.5883000000000003</v>
      </c>
      <c r="Z595" s="1">
        <v>0.82287999999999994</v>
      </c>
      <c r="AB595" s="1425">
        <v>44350</v>
      </c>
      <c r="AC595" s="1">
        <v>12.6441</v>
      </c>
      <c r="AD595" s="1502">
        <v>1.7488999999999999</v>
      </c>
      <c r="AE595" s="1">
        <v>6.3879000000000001</v>
      </c>
      <c r="AF595" s="1">
        <v>4.206E-2</v>
      </c>
      <c r="AH595" s="1425">
        <v>44350</v>
      </c>
      <c r="AI595" s="1">
        <v>10.672000000000001</v>
      </c>
      <c r="AJ595" s="1">
        <v>1.7035</v>
      </c>
      <c r="AK595" s="1">
        <v>4.1904000000000003</v>
      </c>
      <c r="AL595" s="1">
        <v>2.383E-2</v>
      </c>
      <c r="AN595" s="1425">
        <v>44349</v>
      </c>
      <c r="AO595" s="1">
        <v>12.133900000000001</v>
      </c>
      <c r="AP595" s="1">
        <v>1.492</v>
      </c>
      <c r="AQ595" s="1">
        <v>7.0098000000000003</v>
      </c>
      <c r="AR595" s="1">
        <v>0.33343</v>
      </c>
      <c r="AT595" s="1425">
        <v>44349</v>
      </c>
      <c r="AU595" s="1">
        <v>7.6821000000000002</v>
      </c>
      <c r="AV595" s="1">
        <v>0.53220000000000001</v>
      </c>
      <c r="AW595" s="1">
        <v>5.0956999999999999</v>
      </c>
      <c r="AX595" s="1">
        <v>0.13943</v>
      </c>
      <c r="BA595" s="1425">
        <v>44343</v>
      </c>
      <c r="BB595" s="1">
        <v>18.255700000000001</v>
      </c>
      <c r="BC595" s="1">
        <v>3.9983</v>
      </c>
      <c r="BD595" s="1">
        <v>15.319000000000001</v>
      </c>
      <c r="BE595" s="1">
        <v>1.0453600000000001</v>
      </c>
      <c r="BG595" s="1425">
        <v>44343</v>
      </c>
      <c r="BH595" s="1">
        <v>34.261200000000002</v>
      </c>
      <c r="BI595" s="1">
        <v>6.5023999999999997</v>
      </c>
      <c r="BJ595" s="1">
        <v>33.233699999999999</v>
      </c>
      <c r="BT595" s="1425">
        <v>44370</v>
      </c>
      <c r="BU595" s="1">
        <v>15.9131</v>
      </c>
      <c r="BV595" s="1">
        <v>3.9611999999999998</v>
      </c>
      <c r="BW595" s="1">
        <v>9.3917999999999999</v>
      </c>
      <c r="BX595" s="1">
        <v>2.1116000000000001</v>
      </c>
      <c r="BZ595" s="1425">
        <v>44370</v>
      </c>
      <c r="CA595" s="1">
        <v>114.3008</v>
      </c>
      <c r="CB595" s="1">
        <v>1.726</v>
      </c>
      <c r="CC595" s="1">
        <v>104.69199999999999</v>
      </c>
      <c r="CD595" s="1">
        <v>0.70523999999999998</v>
      </c>
      <c r="CF595" s="1425">
        <v>44369</v>
      </c>
      <c r="CG595" s="1">
        <v>8.2010000000000005</v>
      </c>
      <c r="CH595" s="1">
        <v>1.4154</v>
      </c>
      <c r="CI595" s="1">
        <v>4.5563000000000002</v>
      </c>
      <c r="CL595" s="1425">
        <v>44385</v>
      </c>
      <c r="CM595" s="1">
        <v>24.679300000000001</v>
      </c>
      <c r="CN595" s="1">
        <v>2.6577999999999999</v>
      </c>
      <c r="CO595" s="1">
        <v>11.1858</v>
      </c>
    </row>
    <row r="596" spans="1:93">
      <c r="A596" s="1425">
        <v>44369</v>
      </c>
      <c r="B596" s="20">
        <f t="shared" si="92"/>
        <v>16.203499999999998</v>
      </c>
      <c r="C596" s="20">
        <f t="shared" si="94"/>
        <v>12.525600000000001</v>
      </c>
      <c r="D596" s="20">
        <f t="shared" si="95"/>
        <v>13.269600000000001</v>
      </c>
      <c r="E596" s="20">
        <f t="shared" si="96"/>
        <v>11.6736</v>
      </c>
      <c r="F596" s="20">
        <f t="shared" si="97"/>
        <v>30.319600000000001</v>
      </c>
      <c r="G596" s="20">
        <f t="shared" si="98"/>
        <v>17.9892</v>
      </c>
      <c r="H596" s="1239">
        <f t="shared" si="99"/>
        <v>13.269600000000001</v>
      </c>
      <c r="I596" s="1243">
        <f t="shared" si="93"/>
        <v>0.22109935491650079</v>
      </c>
      <c r="J596" s="1243">
        <f t="shared" si="100"/>
        <v>0.12093838824177333</v>
      </c>
      <c r="K596" s="1243">
        <f t="shared" si="101"/>
        <v>0.1</v>
      </c>
      <c r="L596" s="203"/>
      <c r="N596" s="1425">
        <v>44369</v>
      </c>
      <c r="O596" s="1502">
        <v>16.203499999999998</v>
      </c>
      <c r="P596" s="1502">
        <v>4.2192999999999996</v>
      </c>
      <c r="Q596" s="1502">
        <v>15.2127</v>
      </c>
      <c r="R596" s="1233">
        <f>'B. PE'!$U$23</f>
        <v>15.978235616082999</v>
      </c>
      <c r="S596" s="1233"/>
      <c r="T596" s="1233"/>
      <c r="V596" s="1425">
        <v>44369</v>
      </c>
      <c r="W596" s="1">
        <v>12.525600000000001</v>
      </c>
      <c r="X596" s="1">
        <v>1.1731</v>
      </c>
      <c r="Y596" s="1">
        <v>9.7685999999999993</v>
      </c>
      <c r="Z596" s="1">
        <v>0.81577999999999995</v>
      </c>
      <c r="AB596" s="1425">
        <v>44349</v>
      </c>
      <c r="AC596" s="1">
        <v>12.440200000000001</v>
      </c>
      <c r="AD596" s="1502">
        <v>1.7206999999999999</v>
      </c>
      <c r="AE596" s="1">
        <v>6.3087999999999997</v>
      </c>
      <c r="AF596" s="1">
        <v>4.1259999999999998E-2</v>
      </c>
      <c r="AH596" s="1425">
        <v>44349</v>
      </c>
      <c r="AI596" s="1">
        <v>10.7033</v>
      </c>
      <c r="AJ596" s="1">
        <v>1.7084999999999999</v>
      </c>
      <c r="AK596" s="1">
        <v>4.2062999999999997</v>
      </c>
      <c r="AL596" s="1">
        <v>2.385E-2</v>
      </c>
      <c r="AN596" s="1425">
        <v>44348</v>
      </c>
      <c r="AO596" s="1">
        <v>11.6318</v>
      </c>
      <c r="AP596" s="1">
        <v>1.4301999999999999</v>
      </c>
      <c r="AQ596" s="1">
        <v>6.6147999999999998</v>
      </c>
      <c r="AR596" s="1">
        <v>0.33761000000000002</v>
      </c>
      <c r="AT596" s="1425">
        <v>44348</v>
      </c>
      <c r="AU596" s="1">
        <v>7.5496999999999996</v>
      </c>
      <c r="AV596" s="1">
        <v>0.52310000000000001</v>
      </c>
      <c r="AW596" s="1">
        <v>5.0236000000000001</v>
      </c>
      <c r="AX596" s="1">
        <v>0.14158000000000001</v>
      </c>
      <c r="BA596" s="1425">
        <v>44341</v>
      </c>
      <c r="BB596" s="1">
        <v>18.122499999999999</v>
      </c>
      <c r="BC596" s="1">
        <v>3.9691000000000001</v>
      </c>
      <c r="BD596" s="1">
        <v>15.228300000000001</v>
      </c>
      <c r="BE596" s="1">
        <v>1.04356</v>
      </c>
      <c r="BG596" s="1425">
        <v>44341</v>
      </c>
      <c r="BH596" s="1">
        <v>33.351599999999998</v>
      </c>
      <c r="BI596" s="1">
        <v>6.3297999999999996</v>
      </c>
      <c r="BJ596" s="1">
        <v>32.3964</v>
      </c>
      <c r="BT596" s="1425">
        <v>44369</v>
      </c>
      <c r="BU596" s="1">
        <v>16.1341</v>
      </c>
      <c r="BV596" s="1">
        <v>4.0162000000000004</v>
      </c>
      <c r="BW596" s="1">
        <v>9.5153999999999996</v>
      </c>
      <c r="BX596" s="1">
        <v>2.0426000000000002</v>
      </c>
      <c r="BZ596" s="1425">
        <v>44369</v>
      </c>
      <c r="CA596" s="1">
        <v>117.2423</v>
      </c>
      <c r="CB596" s="1">
        <v>1.7704</v>
      </c>
      <c r="CC596" s="1">
        <v>106.04559999999999</v>
      </c>
      <c r="CD596" s="1">
        <v>0.72053999999999996</v>
      </c>
      <c r="CF596" s="1425">
        <v>44368</v>
      </c>
      <c r="CG596" s="1">
        <v>8.2486999999999995</v>
      </c>
      <c r="CH596" s="1">
        <v>1.4236</v>
      </c>
      <c r="CI596" s="1">
        <v>4.5869999999999997</v>
      </c>
      <c r="CL596" s="1425">
        <v>44384</v>
      </c>
      <c r="CM596" s="1">
        <v>24.910399999999999</v>
      </c>
      <c r="CN596" s="1">
        <v>2.6827000000000001</v>
      </c>
      <c r="CO596" s="1">
        <v>11.2897</v>
      </c>
    </row>
    <row r="597" spans="1:93">
      <c r="A597" s="1425">
        <v>44368</v>
      </c>
      <c r="B597" s="20">
        <f t="shared" si="92"/>
        <v>16.4649</v>
      </c>
      <c r="C597" s="20">
        <f t="shared" si="94"/>
        <v>12.638</v>
      </c>
      <c r="D597" s="20">
        <f t="shared" si="95"/>
        <v>10.640700000000001</v>
      </c>
      <c r="E597" s="20">
        <f t="shared" si="96"/>
        <v>11.7155</v>
      </c>
      <c r="F597" s="20">
        <f t="shared" si="97"/>
        <v>29.9558</v>
      </c>
      <c r="G597" s="20">
        <f t="shared" si="98"/>
        <v>17.322900000000001</v>
      </c>
      <c r="H597" s="1239">
        <f t="shared" si="99"/>
        <v>12.638</v>
      </c>
      <c r="I597" s="1243">
        <f t="shared" si="93"/>
        <v>0.30280898876404505</v>
      </c>
      <c r="J597" s="1243">
        <f t="shared" si="100"/>
        <v>0.12093838824177333</v>
      </c>
      <c r="K597" s="1243">
        <f t="shared" si="101"/>
        <v>0.1</v>
      </c>
      <c r="L597" s="203"/>
      <c r="N597" s="1425">
        <v>44368</v>
      </c>
      <c r="O597" s="1502">
        <v>16.4649</v>
      </c>
      <c r="P597" s="1502">
        <v>4.2873000000000001</v>
      </c>
      <c r="Q597" s="1502">
        <v>15.4648</v>
      </c>
      <c r="R597" s="1233">
        <f>'B. PE'!$U$23</f>
        <v>15.978235616082999</v>
      </c>
      <c r="S597" s="1233"/>
      <c r="T597" s="1233"/>
      <c r="V597" s="1425">
        <v>44368</v>
      </c>
      <c r="W597" s="1">
        <v>12.638</v>
      </c>
      <c r="X597" s="1">
        <v>1.1836</v>
      </c>
      <c r="Y597" s="1">
        <v>9.8286999999999995</v>
      </c>
      <c r="Z597" s="1">
        <v>0.78259000000000001</v>
      </c>
      <c r="AB597" s="1425">
        <v>44347</v>
      </c>
      <c r="AC597" s="1">
        <v>12.2363</v>
      </c>
      <c r="AD597" s="1502">
        <v>1.6924999999999999</v>
      </c>
      <c r="AE597" s="1">
        <v>6.2298</v>
      </c>
      <c r="AF597" s="1">
        <v>4.1919999999999999E-2</v>
      </c>
      <c r="AH597" s="1425">
        <v>44347</v>
      </c>
      <c r="AI597" s="1">
        <v>10.640700000000001</v>
      </c>
      <c r="AJ597" s="1">
        <v>1.6984999999999999</v>
      </c>
      <c r="AK597" s="1">
        <v>4.1745000000000001</v>
      </c>
      <c r="AL597" s="1">
        <v>2.375E-2</v>
      </c>
      <c r="AN597" s="1425">
        <v>44347</v>
      </c>
      <c r="AO597" s="1">
        <v>11.5063</v>
      </c>
      <c r="AP597" s="1">
        <v>1.4148000000000001</v>
      </c>
      <c r="AQ597" s="1">
        <v>6.5160999999999998</v>
      </c>
      <c r="AR597" s="1">
        <v>0.33695999999999998</v>
      </c>
      <c r="AT597" s="1425">
        <v>44347</v>
      </c>
      <c r="AU597" s="1">
        <v>7.6158999999999999</v>
      </c>
      <c r="AV597" s="1">
        <v>0.52769999999999995</v>
      </c>
      <c r="AW597" s="1">
        <v>5.0579999999999998</v>
      </c>
      <c r="AX597" s="1">
        <v>0.14371999999999999</v>
      </c>
      <c r="BA597" s="1425">
        <v>44340</v>
      </c>
      <c r="BB597" s="1">
        <v>17.456199999999999</v>
      </c>
      <c r="BC597" s="1">
        <v>3.8231999999999999</v>
      </c>
      <c r="BD597" s="1">
        <v>14.774900000000001</v>
      </c>
      <c r="BE597" s="1">
        <v>1.0360499999999999</v>
      </c>
      <c r="BG597" s="1425">
        <v>44340</v>
      </c>
      <c r="BH597" s="1">
        <v>31.835599999999999</v>
      </c>
      <c r="BI597" s="1">
        <v>6.0420999999999996</v>
      </c>
      <c r="BJ597" s="1">
        <v>31.000900000000001</v>
      </c>
      <c r="BT597" s="1425">
        <v>44368</v>
      </c>
      <c r="BU597" s="1">
        <v>16.111999999999998</v>
      </c>
      <c r="BV597" s="1">
        <v>4.0106999999999999</v>
      </c>
      <c r="BW597" s="1">
        <v>9.5030999999999999</v>
      </c>
      <c r="BX597" s="1">
        <v>2.0177</v>
      </c>
      <c r="BZ597" s="1425">
        <v>44368</v>
      </c>
      <c r="CA597" s="1">
        <v>117.6626</v>
      </c>
      <c r="CB597" s="1">
        <v>1.7767999999999999</v>
      </c>
      <c r="CC597" s="1">
        <v>106.239</v>
      </c>
      <c r="CD597" s="1">
        <v>0.70179000000000002</v>
      </c>
      <c r="CF597" s="1425">
        <v>44365</v>
      </c>
      <c r="CG597" s="1">
        <v>8.2010000000000005</v>
      </c>
      <c r="CH597" s="1">
        <v>1.4154</v>
      </c>
      <c r="CI597" s="1">
        <v>4.5563000000000002</v>
      </c>
      <c r="CL597" s="1425">
        <v>44383</v>
      </c>
      <c r="CM597" s="1">
        <v>24.6081</v>
      </c>
      <c r="CN597" s="1">
        <v>2.6501000000000001</v>
      </c>
      <c r="CO597" s="1">
        <v>11.1538</v>
      </c>
    </row>
    <row r="598" spans="1:93">
      <c r="A598" s="1425">
        <v>44365</v>
      </c>
      <c r="B598" s="20">
        <f t="shared" si="92"/>
        <v>16.843800000000002</v>
      </c>
      <c r="C598" s="20">
        <f t="shared" si="94"/>
        <v>12.525600000000001</v>
      </c>
      <c r="D598" s="20">
        <f t="shared" si="95"/>
        <v>10.8285</v>
      </c>
      <c r="E598" s="20">
        <f t="shared" si="96"/>
        <v>11.8828</v>
      </c>
      <c r="F598" s="20">
        <f t="shared" si="97"/>
        <v>30.319600000000001</v>
      </c>
      <c r="G598" s="20">
        <f t="shared" si="98"/>
        <v>17.856000000000002</v>
      </c>
      <c r="H598" s="1239">
        <f t="shared" si="99"/>
        <v>12.525600000000001</v>
      </c>
      <c r="I598" s="1243">
        <f t="shared" si="93"/>
        <v>0.34474995209810322</v>
      </c>
      <c r="J598" s="1243">
        <f t="shared" si="100"/>
        <v>0.12093838824177333</v>
      </c>
      <c r="K598" s="1243">
        <f t="shared" si="101"/>
        <v>0.1</v>
      </c>
      <c r="L598" s="203"/>
      <c r="N598" s="1425">
        <v>44365</v>
      </c>
      <c r="O598" s="1502">
        <v>16.843800000000002</v>
      </c>
      <c r="P598" s="1502">
        <v>4.3860000000000001</v>
      </c>
      <c r="Q598" s="1502">
        <v>15.830299999999999</v>
      </c>
      <c r="R598" s="1233">
        <f>'B. PE'!$U$23</f>
        <v>15.978235616082999</v>
      </c>
      <c r="S598" s="1233"/>
      <c r="T598" s="1233"/>
      <c r="V598" s="1425">
        <v>44365</v>
      </c>
      <c r="W598" s="1">
        <v>12.525600000000001</v>
      </c>
      <c r="X598" s="1">
        <v>1.1731</v>
      </c>
      <c r="Y598" s="1">
        <v>9.7685999999999993</v>
      </c>
      <c r="Z598" s="1">
        <v>0.77895999999999999</v>
      </c>
      <c r="AB598" s="1425">
        <v>44344</v>
      </c>
      <c r="AC598" s="1">
        <v>12.032299999999999</v>
      </c>
      <c r="AD598" s="1502">
        <v>1.6642999999999999</v>
      </c>
      <c r="AE598" s="1">
        <v>6.1506999999999996</v>
      </c>
      <c r="AF598" s="1">
        <v>4.2189999999999998E-2</v>
      </c>
      <c r="AH598" s="1425">
        <v>44344</v>
      </c>
      <c r="AI598" s="1">
        <v>10.672000000000001</v>
      </c>
      <c r="AJ598" s="1">
        <v>1.7035</v>
      </c>
      <c r="AK598" s="1">
        <v>4.1904000000000003</v>
      </c>
      <c r="AL598" s="1">
        <v>2.3779999999999999E-2</v>
      </c>
      <c r="AN598" s="1425">
        <v>44344</v>
      </c>
      <c r="AO598" s="1">
        <v>11.6736</v>
      </c>
      <c r="AP598" s="1">
        <v>1.4354</v>
      </c>
      <c r="AQ598" s="1">
        <v>6.6477000000000004</v>
      </c>
      <c r="AR598" s="1">
        <v>0.32584999999999997</v>
      </c>
      <c r="AT598" s="1425">
        <v>44344</v>
      </c>
      <c r="AU598" s="1">
        <v>7.7483000000000004</v>
      </c>
      <c r="AV598" s="1">
        <v>0.53680000000000005</v>
      </c>
      <c r="AW598" s="1">
        <v>5.1300999999999997</v>
      </c>
      <c r="AX598" s="1">
        <v>0.14482</v>
      </c>
      <c r="BA598" s="1425">
        <v>44337</v>
      </c>
      <c r="BB598" s="1">
        <v>17.456199999999999</v>
      </c>
      <c r="BC598" s="1">
        <v>3.8231999999999999</v>
      </c>
      <c r="BD598" s="1">
        <v>14.774900000000001</v>
      </c>
      <c r="BE598" s="1">
        <v>1.05193</v>
      </c>
      <c r="BG598" s="1425">
        <v>44337</v>
      </c>
      <c r="BH598" s="1">
        <v>31.835599999999999</v>
      </c>
      <c r="BI598" s="1">
        <v>6.0420999999999996</v>
      </c>
      <c r="BJ598" s="1">
        <v>31.000900000000001</v>
      </c>
      <c r="BT598" s="1425">
        <v>44365</v>
      </c>
      <c r="BU598" s="1">
        <v>15.5815</v>
      </c>
      <c r="BV598" s="1">
        <v>3.8786999999999998</v>
      </c>
      <c r="BW598" s="1">
        <v>9.2064000000000004</v>
      </c>
      <c r="BX598" s="1">
        <v>1.9886999999999999</v>
      </c>
      <c r="BZ598" s="1425">
        <v>44365</v>
      </c>
      <c r="CA598" s="1">
        <v>120.18389999999999</v>
      </c>
      <c r="CB598" s="1">
        <v>1.8149</v>
      </c>
      <c r="CC598" s="1">
        <v>107.3993</v>
      </c>
      <c r="CD598" s="1">
        <v>0.69172</v>
      </c>
      <c r="CF598" s="1425">
        <v>44364</v>
      </c>
      <c r="CG598" s="1">
        <v>8.0579999999999998</v>
      </c>
      <c r="CH598" s="1">
        <v>1.3907</v>
      </c>
      <c r="CI598" s="1">
        <v>4.4638999999999998</v>
      </c>
      <c r="CL598" s="1425">
        <v>44382</v>
      </c>
      <c r="CM598" s="1">
        <v>24.625900000000001</v>
      </c>
      <c r="CN598" s="1">
        <v>2.6520000000000001</v>
      </c>
      <c r="CO598" s="1">
        <v>11.161799999999999</v>
      </c>
    </row>
    <row r="599" spans="1:93">
      <c r="A599" s="1425">
        <v>44364</v>
      </c>
      <c r="B599" s="20">
        <f t="shared" si="92"/>
        <v>16.5825</v>
      </c>
      <c r="C599" s="20">
        <f t="shared" si="94"/>
        <v>11.992000000000001</v>
      </c>
      <c r="D599" s="20">
        <f t="shared" si="95"/>
        <v>10.9537</v>
      </c>
      <c r="E599" s="20">
        <f t="shared" si="96"/>
        <v>11.8828</v>
      </c>
      <c r="F599" s="20">
        <f t="shared" si="97"/>
        <v>29.713200000000001</v>
      </c>
      <c r="G599" s="20">
        <f t="shared" si="98"/>
        <v>17.322900000000001</v>
      </c>
      <c r="H599" s="1239">
        <f t="shared" si="99"/>
        <v>11.992000000000001</v>
      </c>
      <c r="I599" s="1243">
        <f t="shared" si="93"/>
        <v>0.38279686457638418</v>
      </c>
      <c r="J599" s="1243">
        <f t="shared" si="100"/>
        <v>0.12093838824177333</v>
      </c>
      <c r="K599" s="1243">
        <f t="shared" si="101"/>
        <v>0.1</v>
      </c>
      <c r="L599" s="203"/>
      <c r="N599" s="1425">
        <v>44364</v>
      </c>
      <c r="O599" s="1502">
        <v>16.5825</v>
      </c>
      <c r="P599" s="1502">
        <v>4.3178999999999998</v>
      </c>
      <c r="Q599" s="1502">
        <v>15.578200000000001</v>
      </c>
      <c r="R599" s="1233">
        <f>'B. PE'!$U$23</f>
        <v>15.978235616082999</v>
      </c>
      <c r="S599" s="1233"/>
      <c r="T599" s="1233"/>
      <c r="V599" s="1425">
        <v>44364</v>
      </c>
      <c r="W599" s="1">
        <v>11.992000000000001</v>
      </c>
      <c r="X599" s="1">
        <v>1.1231</v>
      </c>
      <c r="Y599" s="1">
        <v>9.4832000000000001</v>
      </c>
      <c r="Z599" s="1">
        <v>0.78303</v>
      </c>
      <c r="AB599" s="1425">
        <v>44343</v>
      </c>
      <c r="AC599" s="1">
        <v>12.2363</v>
      </c>
      <c r="AD599" s="1502">
        <v>1.6924999999999999</v>
      </c>
      <c r="AE599" s="1">
        <v>6.2298</v>
      </c>
      <c r="AF599" s="1">
        <v>4.3580000000000001E-2</v>
      </c>
      <c r="AH599" s="1425">
        <v>44343</v>
      </c>
      <c r="AI599" s="1">
        <v>10.640700000000001</v>
      </c>
      <c r="AJ599" s="1">
        <v>1.6984999999999999</v>
      </c>
      <c r="AK599" s="1">
        <v>4.1745000000000001</v>
      </c>
      <c r="AL599" s="1">
        <v>2.3709999999999998E-2</v>
      </c>
      <c r="AN599" s="1425">
        <v>44343</v>
      </c>
      <c r="AO599" s="1">
        <v>11.6736</v>
      </c>
      <c r="AP599" s="1">
        <v>1.4354</v>
      </c>
      <c r="AQ599" s="1">
        <v>6.6477000000000004</v>
      </c>
      <c r="AR599" s="1">
        <v>0.31363000000000002</v>
      </c>
      <c r="AT599" s="1425">
        <v>44343</v>
      </c>
      <c r="AU599" s="1">
        <v>7.8807999999999998</v>
      </c>
      <c r="AV599" s="1">
        <v>0.54600000000000004</v>
      </c>
      <c r="AW599" s="1">
        <v>5.2020999999999997</v>
      </c>
      <c r="AX599" s="1">
        <v>0.13993</v>
      </c>
      <c r="BA599" s="1425">
        <v>44336</v>
      </c>
      <c r="BB599" s="1">
        <v>17.322900000000001</v>
      </c>
      <c r="BC599" s="1">
        <v>3.794</v>
      </c>
      <c r="BD599" s="1">
        <v>14.684200000000001</v>
      </c>
      <c r="BE599" s="1">
        <v>1.0902400000000001</v>
      </c>
      <c r="BG599" s="1425">
        <v>44336</v>
      </c>
      <c r="BH599" s="1">
        <v>31.532399999999999</v>
      </c>
      <c r="BI599" s="1">
        <v>5.9844999999999997</v>
      </c>
      <c r="BJ599" s="1">
        <v>30.721800000000002</v>
      </c>
      <c r="BT599" s="1425">
        <v>44364</v>
      </c>
      <c r="BU599" s="1">
        <v>15.3605</v>
      </c>
      <c r="BV599" s="1">
        <v>3.8235999999999999</v>
      </c>
      <c r="BW599" s="1">
        <v>9.0827000000000009</v>
      </c>
      <c r="BX599" s="1">
        <v>2.0028000000000001</v>
      </c>
      <c r="BZ599" s="1425">
        <v>44364</v>
      </c>
      <c r="CA599" s="1">
        <v>116.82210000000001</v>
      </c>
      <c r="CB599" s="1">
        <v>1.7641</v>
      </c>
      <c r="CC599" s="1">
        <v>105.8523</v>
      </c>
      <c r="CD599" s="1">
        <v>0.70723999999999998</v>
      </c>
      <c r="CF599" s="1425">
        <v>44363</v>
      </c>
      <c r="CG599" s="1">
        <v>8.0579999999999998</v>
      </c>
      <c r="CH599" s="1">
        <v>1.3907</v>
      </c>
      <c r="CI599" s="1">
        <v>4.4638999999999998</v>
      </c>
      <c r="CL599" s="1425">
        <v>44379</v>
      </c>
      <c r="CM599" s="1">
        <v>24.803699999999999</v>
      </c>
      <c r="CN599" s="1">
        <v>2.6711999999999998</v>
      </c>
      <c r="CO599" s="1">
        <v>11.2418</v>
      </c>
    </row>
    <row r="600" spans="1:93">
      <c r="A600" s="1425">
        <v>44363</v>
      </c>
      <c r="B600" s="20">
        <f t="shared" si="92"/>
        <v>16.4649</v>
      </c>
      <c r="C600" s="20">
        <f t="shared" si="94"/>
        <v>11.9359</v>
      </c>
      <c r="D600" s="20">
        <f t="shared" si="95"/>
        <v>10.9224</v>
      </c>
      <c r="E600" s="20">
        <f t="shared" si="96"/>
        <v>11.9247</v>
      </c>
      <c r="F600" s="20">
        <f t="shared" si="97"/>
        <v>29.9558</v>
      </c>
      <c r="G600" s="20">
        <f t="shared" si="98"/>
        <v>17.189699999999998</v>
      </c>
      <c r="H600" s="1239">
        <f t="shared" si="99"/>
        <v>11.9359</v>
      </c>
      <c r="I600" s="1243">
        <f t="shared" si="93"/>
        <v>0.37944352750944632</v>
      </c>
      <c r="J600" s="1243">
        <f t="shared" si="100"/>
        <v>0.12093838824177333</v>
      </c>
      <c r="K600" s="1243">
        <f t="shared" si="101"/>
        <v>0.1</v>
      </c>
      <c r="L600" s="203"/>
      <c r="N600" s="1425">
        <v>44363</v>
      </c>
      <c r="O600" s="1502">
        <v>16.4649</v>
      </c>
      <c r="P600" s="1502">
        <v>4.2873000000000001</v>
      </c>
      <c r="Q600" s="1502">
        <v>15.4648</v>
      </c>
      <c r="R600" s="1233">
        <f>'B. PE'!$U$23</f>
        <v>15.978235616082999</v>
      </c>
      <c r="S600" s="1233"/>
      <c r="T600" s="1233"/>
      <c r="V600" s="1425">
        <v>44363</v>
      </c>
      <c r="W600" s="1">
        <v>11.9359</v>
      </c>
      <c r="X600" s="1">
        <v>1.1178999999999999</v>
      </c>
      <c r="Y600" s="1">
        <v>9.4530999999999992</v>
      </c>
      <c r="Z600" s="1">
        <v>0.79240999999999995</v>
      </c>
      <c r="AB600" s="1425">
        <v>44341</v>
      </c>
      <c r="AC600" s="1">
        <v>12.338200000000001</v>
      </c>
      <c r="AD600" s="1502">
        <v>1.7065999999999999</v>
      </c>
      <c r="AE600" s="1">
        <v>6.2693000000000003</v>
      </c>
      <c r="AF600" s="1">
        <v>4.1099999999999998E-2</v>
      </c>
      <c r="AH600" s="1425">
        <v>44341</v>
      </c>
      <c r="AI600" s="1">
        <v>10.672000000000001</v>
      </c>
      <c r="AJ600" s="1">
        <v>1.7035</v>
      </c>
      <c r="AK600" s="1">
        <v>4.1904000000000003</v>
      </c>
      <c r="AL600" s="1">
        <v>2.3959999999999999E-2</v>
      </c>
      <c r="AN600" s="1425">
        <v>44341</v>
      </c>
      <c r="AO600" s="1">
        <v>11.2971</v>
      </c>
      <c r="AP600" s="1">
        <v>1.3891</v>
      </c>
      <c r="AQ600" s="1">
        <v>6.3514999999999997</v>
      </c>
      <c r="AR600" s="1">
        <v>0.30429</v>
      </c>
      <c r="AT600" s="1425">
        <v>44341</v>
      </c>
      <c r="AU600" s="1">
        <v>7.9470000000000001</v>
      </c>
      <c r="AV600" s="1">
        <v>0.55059999999999998</v>
      </c>
      <c r="AW600" s="1">
        <v>5.2381000000000002</v>
      </c>
      <c r="AX600" s="1">
        <v>0.14007</v>
      </c>
      <c r="BA600" s="1425">
        <v>44335</v>
      </c>
      <c r="BB600" s="1">
        <v>17.589500000000001</v>
      </c>
      <c r="BC600" s="1">
        <v>3.8523999999999998</v>
      </c>
      <c r="BD600" s="1">
        <v>14.865600000000001</v>
      </c>
      <c r="BE600" s="1">
        <v>1.0635300000000001</v>
      </c>
      <c r="BG600" s="1425">
        <v>44335</v>
      </c>
      <c r="BH600" s="1">
        <v>33.351599999999998</v>
      </c>
      <c r="BI600" s="1">
        <v>6.3297999999999996</v>
      </c>
      <c r="BJ600" s="1">
        <v>32.3964</v>
      </c>
      <c r="BT600" s="1425">
        <v>44363</v>
      </c>
      <c r="BU600" s="1">
        <v>15.1395</v>
      </c>
      <c r="BV600" s="1">
        <v>3.7686000000000002</v>
      </c>
      <c r="BW600" s="1">
        <v>8.9590999999999994</v>
      </c>
      <c r="BX600" s="1">
        <v>2.0015999999999998</v>
      </c>
      <c r="BZ600" s="1425">
        <v>44363</v>
      </c>
      <c r="CA600" s="1">
        <v>115.1412</v>
      </c>
      <c r="CB600" s="1">
        <v>1.7386999999999999</v>
      </c>
      <c r="CC600" s="1">
        <v>105.0787</v>
      </c>
      <c r="CD600" s="1">
        <v>0.68310999999999999</v>
      </c>
      <c r="CF600" s="1425">
        <v>44362</v>
      </c>
      <c r="CG600" s="1">
        <v>8.0579999999999998</v>
      </c>
      <c r="CH600" s="1">
        <v>1.3907</v>
      </c>
      <c r="CI600" s="1">
        <v>4.4638999999999998</v>
      </c>
      <c r="CL600" s="1425">
        <v>44378</v>
      </c>
      <c r="CM600" s="1">
        <v>25.070399999999999</v>
      </c>
      <c r="CN600" s="1">
        <v>2.6999</v>
      </c>
      <c r="CO600" s="1">
        <v>11.361700000000001</v>
      </c>
    </row>
    <row r="601" spans="1:93">
      <c r="A601" s="1425">
        <v>44362</v>
      </c>
      <c r="B601" s="20">
        <f t="shared" si="92"/>
        <v>16.334199999999999</v>
      </c>
      <c r="C601" s="20">
        <f t="shared" si="94"/>
        <v>11.992000000000001</v>
      </c>
      <c r="D601" s="20">
        <f t="shared" si="95"/>
        <v>10.9224</v>
      </c>
      <c r="E601" s="20">
        <f t="shared" si="96"/>
        <v>12.0502</v>
      </c>
      <c r="F601" s="20">
        <f t="shared" si="97"/>
        <v>30.319600000000001</v>
      </c>
      <c r="G601" s="20">
        <f t="shared" si="98"/>
        <v>17.0564</v>
      </c>
      <c r="H601" s="1239">
        <f t="shared" si="99"/>
        <v>12.0502</v>
      </c>
      <c r="I601" s="1243">
        <f t="shared" si="93"/>
        <v>0.35551277157225591</v>
      </c>
      <c r="J601" s="1243">
        <f t="shared" si="100"/>
        <v>0.12093838824177333</v>
      </c>
      <c r="K601" s="1243">
        <f t="shared" si="101"/>
        <v>0.1</v>
      </c>
      <c r="L601" s="203"/>
      <c r="N601" s="1425">
        <v>44362</v>
      </c>
      <c r="O601" s="1502">
        <v>16.334199999999999</v>
      </c>
      <c r="P601" s="1502">
        <v>4.2533000000000003</v>
      </c>
      <c r="Q601" s="1502">
        <v>15.338699999999999</v>
      </c>
      <c r="R601" s="1233">
        <f>'B. PE'!$U$23</f>
        <v>15.978235616082999</v>
      </c>
      <c r="S601" s="1233"/>
      <c r="T601" s="1233"/>
      <c r="V601" s="1425">
        <v>44362</v>
      </c>
      <c r="W601" s="1">
        <v>11.992000000000001</v>
      </c>
      <c r="X601" s="1">
        <v>1.1231</v>
      </c>
      <c r="Y601" s="1">
        <v>9.4832000000000001</v>
      </c>
      <c r="Z601" s="1">
        <v>0.78856999999999999</v>
      </c>
      <c r="AB601" s="1425">
        <v>44340</v>
      </c>
      <c r="AC601" s="1">
        <v>12.7461</v>
      </c>
      <c r="AD601" s="1502">
        <v>1.7629999999999999</v>
      </c>
      <c r="AE601" s="1">
        <v>6.4273999999999996</v>
      </c>
      <c r="AF601" s="1">
        <v>4.2450000000000002E-2</v>
      </c>
      <c r="AH601" s="1425">
        <v>44340</v>
      </c>
      <c r="AI601" s="1">
        <v>10.640700000000001</v>
      </c>
      <c r="AJ601" s="1">
        <v>1.6984999999999999</v>
      </c>
      <c r="AK601" s="1">
        <v>4.1745000000000001</v>
      </c>
      <c r="AL601" s="1">
        <v>2.3939999999999999E-2</v>
      </c>
      <c r="AN601" s="1425">
        <v>44340</v>
      </c>
      <c r="AO601" s="1">
        <v>10.8787</v>
      </c>
      <c r="AP601" s="1">
        <v>1.3375999999999999</v>
      </c>
      <c r="AQ601" s="1">
        <v>6.0223000000000004</v>
      </c>
      <c r="AR601" s="1">
        <v>0.30753000000000003</v>
      </c>
      <c r="AT601" s="1425">
        <v>44340</v>
      </c>
      <c r="AU601" s="1">
        <v>7.6821000000000002</v>
      </c>
      <c r="AV601" s="1">
        <v>0.53220000000000001</v>
      </c>
      <c r="AW601" s="1">
        <v>5.0940000000000003</v>
      </c>
      <c r="AX601" s="1">
        <v>0.14351</v>
      </c>
      <c r="BA601" s="1425">
        <v>44334</v>
      </c>
      <c r="BB601" s="1">
        <v>18.255700000000001</v>
      </c>
      <c r="BC601" s="1">
        <v>3.9983</v>
      </c>
      <c r="BD601" s="1">
        <v>15.319000000000001</v>
      </c>
      <c r="BE601" s="1">
        <v>1.06044</v>
      </c>
      <c r="BG601" s="1425">
        <v>44334</v>
      </c>
      <c r="BH601" s="1">
        <v>33.654800000000002</v>
      </c>
      <c r="BI601" s="1">
        <v>6.3874000000000004</v>
      </c>
      <c r="BJ601" s="1">
        <v>32.6755</v>
      </c>
      <c r="BT601" s="1425">
        <v>44362</v>
      </c>
      <c r="BU601" s="1">
        <v>15.239000000000001</v>
      </c>
      <c r="BV601" s="1">
        <v>3.7934000000000001</v>
      </c>
      <c r="BW601" s="1">
        <v>9.0146999999999995</v>
      </c>
      <c r="BX601" s="1">
        <v>1.9898</v>
      </c>
      <c r="BZ601" s="1425">
        <v>44362</v>
      </c>
      <c r="CA601" s="1">
        <v>117.6626</v>
      </c>
      <c r="CB601" s="1">
        <v>1.7767999999999999</v>
      </c>
      <c r="CC601" s="1">
        <v>106.239</v>
      </c>
      <c r="CD601" s="1">
        <v>0.66180000000000005</v>
      </c>
      <c r="CF601" s="1425">
        <v>44361</v>
      </c>
      <c r="CG601" s="1">
        <v>8.0103000000000009</v>
      </c>
      <c r="CH601" s="1">
        <v>1.3824000000000001</v>
      </c>
      <c r="CI601" s="1">
        <v>4.4330999999999996</v>
      </c>
      <c r="CL601" s="1425">
        <v>44377</v>
      </c>
      <c r="CM601" s="1">
        <v>25.177099999999999</v>
      </c>
      <c r="CN601" s="1">
        <v>2.7113999999999998</v>
      </c>
      <c r="CO601" s="1">
        <v>11.409599999999999</v>
      </c>
    </row>
    <row r="602" spans="1:93">
      <c r="A602" s="1425">
        <v>44361</v>
      </c>
      <c r="B602" s="20">
        <f t="shared" si="92"/>
        <v>16.321100000000001</v>
      </c>
      <c r="C602" s="20">
        <f t="shared" si="94"/>
        <v>12.160500000000001</v>
      </c>
      <c r="D602" s="20">
        <f t="shared" si="95"/>
        <v>10.9537</v>
      </c>
      <c r="E602" s="20">
        <f t="shared" si="96"/>
        <v>11.799200000000001</v>
      </c>
      <c r="F602" s="20">
        <f t="shared" si="97"/>
        <v>29.713200000000001</v>
      </c>
      <c r="G602" s="20">
        <f t="shared" si="98"/>
        <v>17.0564</v>
      </c>
      <c r="H602" s="1239">
        <f t="shared" si="99"/>
        <v>12.160500000000001</v>
      </c>
      <c r="I602" s="1243">
        <f t="shared" si="93"/>
        <v>0.34214053698449898</v>
      </c>
      <c r="J602" s="1243">
        <f t="shared" si="100"/>
        <v>0.12093838824177333</v>
      </c>
      <c r="K602" s="1243">
        <f t="shared" si="101"/>
        <v>0.1</v>
      </c>
      <c r="L602" s="203"/>
      <c r="N602" s="1425">
        <v>44361</v>
      </c>
      <c r="O602" s="1502">
        <v>16.321100000000001</v>
      </c>
      <c r="P602" s="1502">
        <v>4.2499000000000002</v>
      </c>
      <c r="Q602" s="1502">
        <v>15.3261</v>
      </c>
      <c r="R602" s="1233">
        <f>'B. PE'!$U$23</f>
        <v>15.978235616082999</v>
      </c>
      <c r="S602" s="1233"/>
      <c r="T602" s="1233"/>
      <c r="V602" s="1425">
        <v>44361</v>
      </c>
      <c r="W602" s="1">
        <v>12.160500000000001</v>
      </c>
      <c r="X602" s="1">
        <v>1.1389</v>
      </c>
      <c r="Y602" s="1">
        <v>9.5732999999999997</v>
      </c>
      <c r="Z602" s="1">
        <v>0.76390000000000002</v>
      </c>
      <c r="AB602" s="1425">
        <v>44337</v>
      </c>
      <c r="AC602" s="1">
        <v>12.032299999999999</v>
      </c>
      <c r="AD602" s="1502">
        <v>1.6642999999999999</v>
      </c>
      <c r="AE602" s="1">
        <v>6.1506999999999996</v>
      </c>
      <c r="AF602" s="1">
        <v>4.0710000000000003E-2</v>
      </c>
      <c r="AH602" s="1425">
        <v>44337</v>
      </c>
      <c r="AI602" s="1">
        <v>10.7659</v>
      </c>
      <c r="AJ602" s="1">
        <v>1.7184999999999999</v>
      </c>
      <c r="AK602" s="1">
        <v>4.2382</v>
      </c>
      <c r="AL602" s="1">
        <v>2.366E-2</v>
      </c>
      <c r="AN602" s="1425">
        <v>44337</v>
      </c>
      <c r="AO602" s="1">
        <v>10.543900000000001</v>
      </c>
      <c r="AP602" s="1">
        <v>1.2965</v>
      </c>
      <c r="AQ602" s="1">
        <v>5.7588999999999997</v>
      </c>
      <c r="AR602" s="1">
        <v>0.30797000000000002</v>
      </c>
      <c r="AT602" s="1425">
        <v>44337</v>
      </c>
      <c r="AU602" s="1">
        <v>7.6821000000000002</v>
      </c>
      <c r="AV602" s="1">
        <v>0.53220000000000001</v>
      </c>
      <c r="AW602" s="1">
        <v>5.0940000000000003</v>
      </c>
      <c r="AX602" s="1">
        <v>0.14371999999999999</v>
      </c>
      <c r="BA602" s="1425">
        <v>44333</v>
      </c>
      <c r="BB602" s="1">
        <v>17.856000000000002</v>
      </c>
      <c r="BC602" s="1">
        <v>3.9106999999999998</v>
      </c>
      <c r="BD602" s="1">
        <v>15.047000000000001</v>
      </c>
      <c r="BE602" s="1">
        <v>1.0855699999999999</v>
      </c>
      <c r="BG602" s="1425">
        <v>44333</v>
      </c>
      <c r="BH602" s="1">
        <v>33.351599999999998</v>
      </c>
      <c r="BI602" s="1">
        <v>6.3297999999999996</v>
      </c>
      <c r="BJ602" s="1">
        <v>32.3964</v>
      </c>
      <c r="BT602" s="1425">
        <v>44361</v>
      </c>
      <c r="BU602" s="1">
        <v>15.261100000000001</v>
      </c>
      <c r="BV602" s="1">
        <v>3.7989000000000002</v>
      </c>
      <c r="BW602" s="1">
        <v>9.0271000000000008</v>
      </c>
      <c r="BX602" s="1">
        <v>1.9630000000000001</v>
      </c>
      <c r="BZ602" s="1425">
        <v>44361</v>
      </c>
      <c r="CA602" s="1">
        <v>113.8806</v>
      </c>
      <c r="CB602" s="1">
        <v>1.7197</v>
      </c>
      <c r="CC602" s="1">
        <v>104.4986</v>
      </c>
      <c r="CD602" s="1">
        <v>0.65098999999999996</v>
      </c>
      <c r="CF602" s="1425">
        <v>44358</v>
      </c>
      <c r="CG602" s="1">
        <v>8.0579999999999998</v>
      </c>
      <c r="CH602" s="1">
        <v>1.3907</v>
      </c>
      <c r="CI602" s="1">
        <v>4.4638999999999998</v>
      </c>
      <c r="CL602" s="1425">
        <v>44376</v>
      </c>
      <c r="CM602" s="1">
        <v>29.269400000000001</v>
      </c>
      <c r="CN602" s="1">
        <v>2.6415000000000002</v>
      </c>
      <c r="CO602" s="1">
        <v>11.6839</v>
      </c>
    </row>
    <row r="603" spans="1:93">
      <c r="A603" s="1425">
        <v>44358</v>
      </c>
      <c r="B603" s="20">
        <f t="shared" si="92"/>
        <v>16.334199999999999</v>
      </c>
      <c r="C603" s="20">
        <f t="shared" si="94"/>
        <v>12.0763</v>
      </c>
      <c r="D603" s="20">
        <f t="shared" si="95"/>
        <v>10.8598</v>
      </c>
      <c r="E603" s="20">
        <f t="shared" si="96"/>
        <v>11.840999999999999</v>
      </c>
      <c r="F603" s="20">
        <f t="shared" si="97"/>
        <v>30.1983</v>
      </c>
      <c r="G603" s="20">
        <f t="shared" si="98"/>
        <v>17.456199999999999</v>
      </c>
      <c r="H603" s="1239">
        <f t="shared" si="99"/>
        <v>12.0763</v>
      </c>
      <c r="I603" s="1243">
        <f t="shared" si="93"/>
        <v>0.35258315874895452</v>
      </c>
      <c r="J603" s="1243">
        <f t="shared" si="100"/>
        <v>0.12093838824177333</v>
      </c>
      <c r="K603" s="1243">
        <f t="shared" si="101"/>
        <v>0.1</v>
      </c>
      <c r="L603" s="203"/>
      <c r="N603" s="1425">
        <v>44358</v>
      </c>
      <c r="O603" s="1502">
        <v>16.334199999999999</v>
      </c>
      <c r="P603" s="1502">
        <v>4.2533000000000003</v>
      </c>
      <c r="Q603" s="1502">
        <v>15.338699999999999</v>
      </c>
      <c r="R603" s="1233">
        <f>'B. PE'!$U$23</f>
        <v>15.978235616082999</v>
      </c>
      <c r="S603" s="1233"/>
      <c r="T603" s="1233"/>
      <c r="V603" s="1425">
        <v>44358</v>
      </c>
      <c r="W603" s="1">
        <v>12.0763</v>
      </c>
      <c r="X603" s="1">
        <v>1.131</v>
      </c>
      <c r="Y603" s="1">
        <v>9.5282</v>
      </c>
      <c r="Z603" s="1">
        <v>0.80181000000000002</v>
      </c>
      <c r="AB603" s="1425">
        <v>44336</v>
      </c>
      <c r="AC603" s="1">
        <v>12.440200000000001</v>
      </c>
      <c r="AD603" s="1502">
        <v>1.7206999999999999</v>
      </c>
      <c r="AE603" s="1">
        <v>6.3087999999999997</v>
      </c>
      <c r="AF603" s="1">
        <v>4.052E-2</v>
      </c>
      <c r="AH603" s="1425">
        <v>44336</v>
      </c>
      <c r="AI603" s="1">
        <v>10.7659</v>
      </c>
      <c r="AJ603" s="1">
        <v>1.7184999999999999</v>
      </c>
      <c r="AK603" s="1">
        <v>4.2382</v>
      </c>
      <c r="AL603" s="1">
        <v>2.375E-2</v>
      </c>
      <c r="AN603" s="1425">
        <v>44336</v>
      </c>
      <c r="AO603" s="1">
        <v>10.669499999999999</v>
      </c>
      <c r="AP603" s="1">
        <v>1.3119000000000001</v>
      </c>
      <c r="AQ603" s="1">
        <v>5.8577000000000004</v>
      </c>
      <c r="AR603" s="1">
        <v>0.30787999999999999</v>
      </c>
      <c r="AT603" s="1425">
        <v>44336</v>
      </c>
      <c r="AU603" s="1">
        <v>7.8807999999999998</v>
      </c>
      <c r="AV603" s="1">
        <v>0.54600000000000004</v>
      </c>
      <c r="AW603" s="1">
        <v>5.2020999999999997</v>
      </c>
      <c r="AX603" s="1">
        <v>0.14788000000000001</v>
      </c>
      <c r="BA603" s="1425">
        <v>44330</v>
      </c>
      <c r="BB603" s="1">
        <v>17.7227</v>
      </c>
      <c r="BC603" s="1">
        <v>3.8815</v>
      </c>
      <c r="BD603" s="1">
        <v>14.956300000000001</v>
      </c>
      <c r="BE603" s="1">
        <v>1.14192</v>
      </c>
      <c r="BG603" s="1425">
        <v>44330</v>
      </c>
      <c r="BH603" s="1">
        <v>35.170699999999997</v>
      </c>
      <c r="BI603" s="1">
        <v>6.6750999999999996</v>
      </c>
      <c r="BJ603" s="1">
        <v>34.070900000000002</v>
      </c>
      <c r="BT603" s="1425">
        <v>44358</v>
      </c>
      <c r="BU603" s="1">
        <v>15.1395</v>
      </c>
      <c r="BV603" s="1">
        <v>3.7686000000000002</v>
      </c>
      <c r="BW603" s="1">
        <v>8.9590999999999994</v>
      </c>
      <c r="BX603" s="1">
        <v>1.9776</v>
      </c>
      <c r="BZ603" s="1425">
        <v>44358</v>
      </c>
      <c r="CA603" s="1">
        <v>110.0985</v>
      </c>
      <c r="CB603" s="1">
        <v>1.6626000000000001</v>
      </c>
      <c r="CC603" s="1">
        <v>102.7582</v>
      </c>
      <c r="CD603" s="1">
        <v>0.65054000000000001</v>
      </c>
      <c r="CF603" s="1425">
        <v>44357</v>
      </c>
      <c r="CG603" s="1">
        <v>7.8673000000000002</v>
      </c>
      <c r="CH603" s="1">
        <v>1.3577999999999999</v>
      </c>
      <c r="CI603" s="1">
        <v>4.3407</v>
      </c>
      <c r="CL603" s="1425">
        <v>44375</v>
      </c>
      <c r="CM603" s="1">
        <v>28.9377</v>
      </c>
      <c r="CN603" s="1">
        <v>2.6116000000000001</v>
      </c>
      <c r="CO603" s="1">
        <v>11.549899999999999</v>
      </c>
    </row>
    <row r="604" spans="1:93">
      <c r="A604" s="1425">
        <v>44357</v>
      </c>
      <c r="B604" s="20">
        <f t="shared" si="92"/>
        <v>15.6808</v>
      </c>
      <c r="C604" s="20">
        <f t="shared" si="94"/>
        <v>11.7112</v>
      </c>
      <c r="D604" s="20">
        <f t="shared" si="95"/>
        <v>10.7033</v>
      </c>
      <c r="E604" s="20">
        <f t="shared" si="96"/>
        <v>11.840999999999999</v>
      </c>
      <c r="F604" s="20">
        <f t="shared" si="97"/>
        <v>30.622800000000002</v>
      </c>
      <c r="G604" s="20">
        <f t="shared" si="98"/>
        <v>16.923200000000001</v>
      </c>
      <c r="H604" s="1239">
        <f t="shared" si="99"/>
        <v>11.840999999999999</v>
      </c>
      <c r="I604" s="1243">
        <f t="shared" si="93"/>
        <v>0.32428004391520981</v>
      </c>
      <c r="J604" s="1243">
        <f t="shared" si="100"/>
        <v>0.12093838824177333</v>
      </c>
      <c r="K604" s="1243">
        <f t="shared" si="101"/>
        <v>0.1</v>
      </c>
      <c r="L604" s="203"/>
      <c r="N604" s="1425">
        <v>44357</v>
      </c>
      <c r="O604" s="1502">
        <v>15.6808</v>
      </c>
      <c r="P604" s="1502">
        <v>4.0831</v>
      </c>
      <c r="Q604" s="1502">
        <v>14.708500000000001</v>
      </c>
      <c r="R604" s="1233">
        <f>'B. PE'!$U$23</f>
        <v>15.978235616082999</v>
      </c>
      <c r="S604" s="1233"/>
      <c r="T604" s="1233"/>
      <c r="V604" s="1425">
        <v>44357</v>
      </c>
      <c r="W604" s="1">
        <v>11.7112</v>
      </c>
      <c r="X604" s="1">
        <v>1.0968</v>
      </c>
      <c r="Y604" s="1">
        <v>9.3329000000000004</v>
      </c>
      <c r="Z604" s="1">
        <v>0.84494000000000002</v>
      </c>
      <c r="AB604" s="1425">
        <v>44335</v>
      </c>
      <c r="AC604" s="1">
        <v>11.930300000000001</v>
      </c>
      <c r="AD604" s="1502">
        <v>1.6501999999999999</v>
      </c>
      <c r="AE604" s="1">
        <v>6.1112000000000002</v>
      </c>
      <c r="AF604" s="1">
        <v>4.045E-2</v>
      </c>
      <c r="AH604" s="1425">
        <v>44335</v>
      </c>
      <c r="AI604" s="1">
        <v>10.640700000000001</v>
      </c>
      <c r="AJ604" s="1">
        <v>1.6984999999999999</v>
      </c>
      <c r="AK604" s="1">
        <v>4.1745000000000001</v>
      </c>
      <c r="AL604" s="1">
        <v>2.3570000000000001E-2</v>
      </c>
      <c r="AN604" s="1425">
        <v>44335</v>
      </c>
      <c r="AO604" s="1">
        <v>10.669499999999999</v>
      </c>
      <c r="AP604" s="1">
        <v>1.3119000000000001</v>
      </c>
      <c r="AQ604" s="1">
        <v>5.8577000000000004</v>
      </c>
      <c r="AR604" s="1">
        <v>0.29547000000000001</v>
      </c>
      <c r="AT604" s="1425">
        <v>44335</v>
      </c>
      <c r="AU604" s="1">
        <v>7.8807999999999998</v>
      </c>
      <c r="AV604" s="1">
        <v>0.54600000000000004</v>
      </c>
      <c r="AW604" s="1">
        <v>5.2020999999999997</v>
      </c>
      <c r="AX604" s="1">
        <v>0.14410000000000001</v>
      </c>
      <c r="BA604" s="1425">
        <v>44329</v>
      </c>
      <c r="BB604" s="1">
        <v>18.122499999999999</v>
      </c>
      <c r="BC604" s="1">
        <v>3.9691000000000001</v>
      </c>
      <c r="BD604" s="1">
        <v>15.228300000000001</v>
      </c>
      <c r="BE604" s="1">
        <v>1.1384000000000001</v>
      </c>
      <c r="BG604" s="1425">
        <v>44329</v>
      </c>
      <c r="BH604" s="1">
        <v>33.048400000000001</v>
      </c>
      <c r="BI604" s="1">
        <v>6.2723000000000004</v>
      </c>
      <c r="BJ604" s="1">
        <v>32.1173</v>
      </c>
      <c r="BT604" s="1425">
        <v>44357</v>
      </c>
      <c r="BU604" s="1">
        <v>14.951599999999999</v>
      </c>
      <c r="BV604" s="1">
        <v>3.7219000000000002</v>
      </c>
      <c r="BW604" s="1">
        <v>8.8539999999999992</v>
      </c>
      <c r="BX604" s="1">
        <v>1.9742</v>
      </c>
      <c r="BZ604" s="1425">
        <v>44357</v>
      </c>
      <c r="CA604" s="1">
        <v>108.41759999999999</v>
      </c>
      <c r="CB604" s="1">
        <v>1.6372</v>
      </c>
      <c r="CC604" s="1">
        <v>101.9846</v>
      </c>
      <c r="CD604" s="1">
        <v>0.65386</v>
      </c>
      <c r="CF604" s="1425">
        <v>44356</v>
      </c>
      <c r="CG604" s="1">
        <v>8.1057000000000006</v>
      </c>
      <c r="CH604" s="1">
        <v>1.3989</v>
      </c>
      <c r="CI604" s="1">
        <v>4.4946999999999999</v>
      </c>
      <c r="CL604" s="1425">
        <v>44372</v>
      </c>
      <c r="CM604" s="1">
        <v>29.0413</v>
      </c>
      <c r="CN604" s="1">
        <v>2.6208999999999998</v>
      </c>
      <c r="CO604" s="1">
        <v>11.591799999999999</v>
      </c>
    </row>
    <row r="605" spans="1:93">
      <c r="A605" s="1425">
        <v>44356</v>
      </c>
      <c r="B605" s="20">
        <f t="shared" si="92"/>
        <v>14.9099</v>
      </c>
      <c r="C605" s="20">
        <f t="shared" si="94"/>
        <v>12.301</v>
      </c>
      <c r="D605" s="20">
        <f t="shared" si="95"/>
        <v>10.672000000000001</v>
      </c>
      <c r="E605" s="20">
        <f t="shared" si="96"/>
        <v>11.9247</v>
      </c>
      <c r="F605" s="20">
        <f t="shared" si="97"/>
        <v>30.1983</v>
      </c>
      <c r="G605" s="20">
        <f t="shared" si="98"/>
        <v>16.656700000000001</v>
      </c>
      <c r="H605" s="1239">
        <f t="shared" si="99"/>
        <v>12.301</v>
      </c>
      <c r="I605" s="1243">
        <f t="shared" si="93"/>
        <v>0.21208844809365091</v>
      </c>
      <c r="J605" s="1243">
        <f t="shared" si="100"/>
        <v>0.12093838824177333</v>
      </c>
      <c r="K605" s="1243">
        <f t="shared" si="101"/>
        <v>0.1</v>
      </c>
      <c r="L605" s="203"/>
      <c r="N605" s="1425">
        <v>44356</v>
      </c>
      <c r="O605" s="1502">
        <v>14.9099</v>
      </c>
      <c r="P605" s="1502">
        <v>3.8824000000000001</v>
      </c>
      <c r="Q605" s="1502">
        <v>13.9648</v>
      </c>
      <c r="R605" s="1233">
        <f>'B. PE'!$U$23</f>
        <v>15.978235616082999</v>
      </c>
      <c r="S605" s="1233"/>
      <c r="T605" s="1233"/>
      <c r="V605" s="1425">
        <v>44356</v>
      </c>
      <c r="W605" s="1">
        <v>12.301</v>
      </c>
      <c r="X605" s="1">
        <v>1.1520999999999999</v>
      </c>
      <c r="Y605" s="1">
        <v>9.6484000000000005</v>
      </c>
      <c r="Z605" s="1">
        <v>0.90422000000000002</v>
      </c>
      <c r="AB605" s="1425">
        <v>44334</v>
      </c>
      <c r="AC605" s="1">
        <v>11.8284</v>
      </c>
      <c r="AD605" s="1502">
        <v>1.6361000000000001</v>
      </c>
      <c r="AE605" s="1">
        <v>6.0716000000000001</v>
      </c>
      <c r="AF605" s="1">
        <v>4.1939999999999998E-2</v>
      </c>
      <c r="AH605" s="1425">
        <v>44334</v>
      </c>
      <c r="AI605" s="1">
        <v>10.640700000000001</v>
      </c>
      <c r="AJ605" s="1">
        <v>1.6984999999999999</v>
      </c>
      <c r="AK605" s="1">
        <v>4.1745000000000001</v>
      </c>
      <c r="AL605" s="1">
        <v>2.383E-2</v>
      </c>
      <c r="AN605" s="1425">
        <v>44334</v>
      </c>
      <c r="AO605" s="1">
        <v>10.627599999999999</v>
      </c>
      <c r="AP605" s="1">
        <v>1.3068</v>
      </c>
      <c r="AQ605" s="1">
        <v>5.8247999999999998</v>
      </c>
      <c r="AR605" s="1">
        <v>0.30303000000000002</v>
      </c>
      <c r="AT605" s="1425">
        <v>44334</v>
      </c>
      <c r="AU605" s="1">
        <v>8.0794999999999995</v>
      </c>
      <c r="AV605" s="1">
        <v>0.55979999999999996</v>
      </c>
      <c r="AW605" s="1">
        <v>5.3102</v>
      </c>
      <c r="AX605" s="1">
        <v>0.14909</v>
      </c>
      <c r="BA605" s="1425">
        <v>44328</v>
      </c>
      <c r="BB605" s="1">
        <v>19.055199999999999</v>
      </c>
      <c r="BC605" s="1">
        <v>4.1734</v>
      </c>
      <c r="BD605" s="1">
        <v>15.863099999999999</v>
      </c>
      <c r="BE605" s="1">
        <v>1.1824699999999999</v>
      </c>
      <c r="BG605" s="1425">
        <v>44328</v>
      </c>
      <c r="BH605" s="1">
        <v>33.654800000000002</v>
      </c>
      <c r="BI605" s="1">
        <v>6.3874000000000004</v>
      </c>
      <c r="BJ605" s="1">
        <v>32.6755</v>
      </c>
      <c r="BT605" s="1425">
        <v>44356</v>
      </c>
      <c r="BU605" s="1">
        <v>15.0732</v>
      </c>
      <c r="BV605" s="1">
        <v>3.7521</v>
      </c>
      <c r="BW605" s="1">
        <v>8.9220000000000006</v>
      </c>
      <c r="BX605" s="1">
        <v>1.9690000000000001</v>
      </c>
      <c r="BZ605" s="1425">
        <v>44356</v>
      </c>
      <c r="CA605" s="1">
        <v>108.41759999999999</v>
      </c>
      <c r="CB605" s="1">
        <v>1.6372</v>
      </c>
      <c r="CC605" s="1">
        <v>101.9846</v>
      </c>
      <c r="CD605" s="1">
        <v>0.65166999999999997</v>
      </c>
      <c r="CF605" s="1425">
        <v>44355</v>
      </c>
      <c r="CG605" s="1">
        <v>8.1057000000000006</v>
      </c>
      <c r="CH605" s="1">
        <v>1.3989</v>
      </c>
      <c r="CI605" s="1">
        <v>4.4946999999999999</v>
      </c>
      <c r="CL605" s="1425">
        <v>44371</v>
      </c>
      <c r="CM605" s="1">
        <v>29.476600000000001</v>
      </c>
      <c r="CN605" s="1">
        <v>2.6602000000000001</v>
      </c>
      <c r="CO605" s="1">
        <v>11.7676</v>
      </c>
    </row>
    <row r="606" spans="1:93">
      <c r="A606" s="1425">
        <v>44355</v>
      </c>
      <c r="B606" s="20">
        <f t="shared" si="92"/>
        <v>14.870699999999999</v>
      </c>
      <c r="C606" s="20">
        <f t="shared" si="94"/>
        <v>12.946899999999999</v>
      </c>
      <c r="D606" s="20">
        <f t="shared" si="95"/>
        <v>10.672000000000001</v>
      </c>
      <c r="E606" s="20">
        <f t="shared" si="96"/>
        <v>11.799200000000001</v>
      </c>
      <c r="F606" s="20">
        <f t="shared" si="97"/>
        <v>31.229199999999999</v>
      </c>
      <c r="G606" s="20">
        <f t="shared" si="98"/>
        <v>16.523399999999999</v>
      </c>
      <c r="H606" s="1239">
        <f t="shared" si="99"/>
        <v>12.946899999999999</v>
      </c>
      <c r="I606" s="1243">
        <f t="shared" si="93"/>
        <v>0.14859155473511043</v>
      </c>
      <c r="J606" s="1243">
        <f t="shared" si="100"/>
        <v>0.12093838824177333</v>
      </c>
      <c r="K606" s="1243">
        <f t="shared" si="101"/>
        <v>0.1</v>
      </c>
      <c r="L606" s="203"/>
      <c r="N606" s="1425">
        <v>44355</v>
      </c>
      <c r="O606" s="1502">
        <v>14.870699999999999</v>
      </c>
      <c r="P606" s="1502">
        <v>3.8721999999999999</v>
      </c>
      <c r="Q606" s="1502">
        <v>13.927</v>
      </c>
      <c r="R606" s="1233">
        <f>'B. PE'!$U$23</f>
        <v>15.978235616082999</v>
      </c>
      <c r="S606" s="1233"/>
      <c r="T606" s="1233"/>
      <c r="V606" s="1425">
        <v>44355</v>
      </c>
      <c r="W606" s="1">
        <v>12.946899999999999</v>
      </c>
      <c r="X606" s="1">
        <v>1.2125999999999999</v>
      </c>
      <c r="Y606" s="1">
        <v>9.9939999999999998</v>
      </c>
      <c r="Z606" s="1">
        <v>0.91344000000000003</v>
      </c>
      <c r="AB606" s="1425">
        <v>44333</v>
      </c>
      <c r="AC606" s="1">
        <v>11.8284</v>
      </c>
      <c r="AD606" s="1502">
        <v>1.6361000000000001</v>
      </c>
      <c r="AE606" s="1">
        <v>6.0716000000000001</v>
      </c>
      <c r="AF606" s="1">
        <v>4.274E-2</v>
      </c>
      <c r="AH606" s="1425">
        <v>44333</v>
      </c>
      <c r="AI606" s="1">
        <v>10.578200000000001</v>
      </c>
      <c r="AJ606" s="1">
        <v>1.6884999999999999</v>
      </c>
      <c r="AK606" s="1">
        <v>4.1426999999999996</v>
      </c>
      <c r="AL606" s="1">
        <v>2.3949999999999999E-2</v>
      </c>
      <c r="AN606" s="1425">
        <v>44333</v>
      </c>
      <c r="AO606" s="1">
        <v>10.209199999999999</v>
      </c>
      <c r="AP606" s="1">
        <v>1.2553000000000001</v>
      </c>
      <c r="AQ606" s="1">
        <v>5.4955999999999996</v>
      </c>
      <c r="AR606" s="1">
        <v>0.29984</v>
      </c>
      <c r="AT606" s="1425">
        <v>44333</v>
      </c>
      <c r="AU606" s="1">
        <v>7.8807999999999998</v>
      </c>
      <c r="AV606" s="1">
        <v>0.54600000000000004</v>
      </c>
      <c r="AW606" s="1">
        <v>5.2011000000000003</v>
      </c>
      <c r="AX606" s="1">
        <v>0.14932000000000001</v>
      </c>
      <c r="BA606" s="1425">
        <v>44327</v>
      </c>
      <c r="BB606" s="1">
        <v>18.922000000000001</v>
      </c>
      <c r="BC606" s="1">
        <v>4.1441999999999997</v>
      </c>
      <c r="BD606" s="1">
        <v>15.772500000000001</v>
      </c>
      <c r="BE606" s="1">
        <v>1.1741999999999999</v>
      </c>
      <c r="BG606" s="1425">
        <v>44327</v>
      </c>
      <c r="BH606" s="1">
        <v>33.957999999999998</v>
      </c>
      <c r="BI606" s="1">
        <v>6.4448999999999996</v>
      </c>
      <c r="BJ606" s="1">
        <v>32.954599999999999</v>
      </c>
      <c r="BT606" s="1425">
        <v>44355</v>
      </c>
      <c r="BU606" s="1">
        <v>15.029</v>
      </c>
      <c r="BV606" s="1">
        <v>3.7410999999999999</v>
      </c>
      <c r="BW606" s="1">
        <v>8.8972999999999995</v>
      </c>
      <c r="BX606" s="1">
        <v>1.9895</v>
      </c>
      <c r="BZ606" s="1425">
        <v>44355</v>
      </c>
      <c r="CA606" s="1">
        <v>108.8379</v>
      </c>
      <c r="CB606" s="1">
        <v>1.6435</v>
      </c>
      <c r="CC606" s="1">
        <v>102.178</v>
      </c>
      <c r="CD606" s="1">
        <v>0.65424000000000004</v>
      </c>
      <c r="CF606" s="1425">
        <v>44354</v>
      </c>
      <c r="CG606" s="1">
        <v>8.6777999999999995</v>
      </c>
      <c r="CH606" s="1">
        <v>1.4977</v>
      </c>
      <c r="CI606" s="1">
        <v>4.8642000000000003</v>
      </c>
      <c r="CL606" s="1425">
        <v>44370</v>
      </c>
      <c r="CM606" s="1">
        <v>29.020600000000002</v>
      </c>
      <c r="CN606" s="1">
        <v>2.6191</v>
      </c>
      <c r="CO606" s="1">
        <v>11.583399999999999</v>
      </c>
    </row>
    <row r="607" spans="1:93">
      <c r="A607" s="1425">
        <v>44354</v>
      </c>
      <c r="B607" s="20">
        <f t="shared" si="92"/>
        <v>15.275700000000001</v>
      </c>
      <c r="C607" s="20">
        <f t="shared" si="94"/>
        <v>13.9018</v>
      </c>
      <c r="D607" s="20">
        <f t="shared" si="95"/>
        <v>10.640700000000001</v>
      </c>
      <c r="E607" s="20">
        <f t="shared" si="96"/>
        <v>11.799200000000001</v>
      </c>
      <c r="F607" s="20">
        <f t="shared" si="97"/>
        <v>30.925999999999998</v>
      </c>
      <c r="G607" s="20">
        <f t="shared" si="98"/>
        <v>16.923200000000001</v>
      </c>
      <c r="H607" s="1239">
        <f t="shared" si="99"/>
        <v>13.9018</v>
      </c>
      <c r="I607" s="1243">
        <f t="shared" si="93"/>
        <v>9.8828928627947565E-2</v>
      </c>
      <c r="J607" s="1243">
        <f t="shared" si="100"/>
        <v>0.12093838824177333</v>
      </c>
      <c r="K607" s="1243">
        <f t="shared" si="101"/>
        <v>0.1</v>
      </c>
      <c r="L607" s="203"/>
      <c r="N607" s="1425">
        <v>44354</v>
      </c>
      <c r="O607" s="1502">
        <v>15.275700000000001</v>
      </c>
      <c r="P607" s="1502">
        <v>3.9777</v>
      </c>
      <c r="Q607" s="1502">
        <v>14.3178</v>
      </c>
      <c r="R607" s="1233">
        <f>'B. PE'!$U$23</f>
        <v>15.978235616082999</v>
      </c>
      <c r="S607" s="1233"/>
      <c r="T607" s="1233"/>
      <c r="V607" s="1425">
        <v>44354</v>
      </c>
      <c r="W607" s="1">
        <v>13.9018</v>
      </c>
      <c r="X607" s="1">
        <v>1.302</v>
      </c>
      <c r="Y607" s="1">
        <v>10.504799999999999</v>
      </c>
      <c r="Z607" s="1">
        <v>0.86970999999999998</v>
      </c>
      <c r="AB607" s="1425">
        <v>44327</v>
      </c>
      <c r="AC607" s="1">
        <v>12.1343</v>
      </c>
      <c r="AD607" s="1502">
        <v>1.6783999999999999</v>
      </c>
      <c r="AE607" s="1">
        <v>6.1901999999999999</v>
      </c>
      <c r="AF607" s="1">
        <v>4.2139999999999997E-2</v>
      </c>
      <c r="AH607" s="1425">
        <v>44327</v>
      </c>
      <c r="AI607" s="1">
        <v>10.578200000000001</v>
      </c>
      <c r="AJ607" s="1">
        <v>1.6884999999999999</v>
      </c>
      <c r="AK607" s="1">
        <v>4.1426999999999996</v>
      </c>
      <c r="AL607" s="1">
        <v>2.3800000000000002E-2</v>
      </c>
      <c r="AN607" s="1425">
        <v>44328</v>
      </c>
      <c r="AO607" s="1">
        <v>10.4603</v>
      </c>
      <c r="AP607" s="1">
        <v>1.2862</v>
      </c>
      <c r="AQ607" s="1">
        <v>5.6931000000000003</v>
      </c>
      <c r="AR607" s="1">
        <v>0.30081999999999998</v>
      </c>
      <c r="AT607" s="1425">
        <v>44328</v>
      </c>
      <c r="AU607" s="1">
        <v>8.1456999999999997</v>
      </c>
      <c r="AV607" s="1">
        <v>0.56440000000000001</v>
      </c>
      <c r="AW607" s="1">
        <v>5.3413000000000004</v>
      </c>
      <c r="AX607" s="1">
        <v>0.15345</v>
      </c>
      <c r="BA607" s="1425">
        <v>44326</v>
      </c>
      <c r="BB607" s="1">
        <v>19.5883</v>
      </c>
      <c r="BC607" s="1">
        <v>4.2900999999999998</v>
      </c>
      <c r="BD607" s="1">
        <v>16.225899999999999</v>
      </c>
      <c r="BE607" s="1">
        <v>1.2642800000000001</v>
      </c>
      <c r="BG607" s="1425">
        <v>44326</v>
      </c>
      <c r="BH607" s="1">
        <v>35.4739</v>
      </c>
      <c r="BI607" s="1">
        <v>6.7325999999999997</v>
      </c>
      <c r="BJ607" s="1">
        <v>34.35</v>
      </c>
      <c r="BT607" s="1425">
        <v>44354</v>
      </c>
      <c r="BU607" s="1">
        <v>15.040100000000001</v>
      </c>
      <c r="BV607" s="1">
        <v>3.7439</v>
      </c>
      <c r="BW607" s="1">
        <v>8.9034999999999993</v>
      </c>
      <c r="BX607" s="1">
        <v>2.0114000000000001</v>
      </c>
      <c r="BZ607" s="1425">
        <v>44354</v>
      </c>
      <c r="CA607" s="1">
        <v>108.8379</v>
      </c>
      <c r="CB607" s="1">
        <v>1.6435</v>
      </c>
      <c r="CC607" s="1">
        <v>102.178</v>
      </c>
      <c r="CD607" s="1">
        <v>0.64678000000000002</v>
      </c>
      <c r="CF607" s="1425">
        <v>44351</v>
      </c>
      <c r="CG607" s="1">
        <v>8.4393999999999991</v>
      </c>
      <c r="CH607" s="1">
        <v>1.4564999999999999</v>
      </c>
      <c r="CI607" s="1">
        <v>4.7102000000000004</v>
      </c>
      <c r="CL607" s="1425">
        <v>44369</v>
      </c>
      <c r="CM607" s="1">
        <v>29.290099999999999</v>
      </c>
      <c r="CN607" s="1">
        <v>2.6434000000000002</v>
      </c>
      <c r="CO607" s="1">
        <v>11.692299999999999</v>
      </c>
    </row>
    <row r="608" spans="1:93">
      <c r="A608" s="1425">
        <v>44351</v>
      </c>
      <c r="B608" s="20">
        <f t="shared" si="92"/>
        <v>15.5632</v>
      </c>
      <c r="C608" s="20">
        <f t="shared" si="94"/>
        <v>14.042199999999999</v>
      </c>
      <c r="D608" s="20">
        <f t="shared" si="95"/>
        <v>10.672000000000001</v>
      </c>
      <c r="E608" s="20">
        <f t="shared" si="96"/>
        <v>11.757300000000001</v>
      </c>
      <c r="F608" s="20">
        <f t="shared" si="97"/>
        <v>30.925999999999998</v>
      </c>
      <c r="G608" s="20">
        <f t="shared" si="98"/>
        <v>17.0564</v>
      </c>
      <c r="H608" s="1239">
        <f t="shared" si="99"/>
        <v>14.042199999999999</v>
      </c>
      <c r="I608" s="1243">
        <f t="shared" si="93"/>
        <v>0.10831636068422323</v>
      </c>
      <c r="J608" s="1243">
        <f t="shared" si="100"/>
        <v>0.12093838824177333</v>
      </c>
      <c r="K608" s="1243">
        <f t="shared" si="101"/>
        <v>0.1</v>
      </c>
      <c r="L608" s="203"/>
      <c r="N608" s="1425">
        <v>44351</v>
      </c>
      <c r="O608" s="1502">
        <v>15.5632</v>
      </c>
      <c r="P608" s="1502">
        <v>4.0525000000000002</v>
      </c>
      <c r="Q608" s="1502">
        <v>14.5951</v>
      </c>
      <c r="R608" s="1233">
        <f>'B. PE'!$U$23</f>
        <v>15.978235616082999</v>
      </c>
      <c r="S608" s="1233"/>
      <c r="T608" s="1233"/>
      <c r="V608" s="1425">
        <v>44351</v>
      </c>
      <c r="W608" s="1">
        <v>14.042199999999999</v>
      </c>
      <c r="X608" s="1">
        <v>1.3150999999999999</v>
      </c>
      <c r="Y608" s="1">
        <v>10.5799</v>
      </c>
      <c r="Z608" s="1">
        <v>0.84550999999999998</v>
      </c>
      <c r="AB608" s="1425">
        <v>44326</v>
      </c>
      <c r="AC608" s="1">
        <v>12.338200000000001</v>
      </c>
      <c r="AD608" s="1502">
        <v>1.7065999999999999</v>
      </c>
      <c r="AE608" s="1">
        <v>6.2693000000000003</v>
      </c>
      <c r="AF608" s="1">
        <v>4.2709999999999998E-2</v>
      </c>
      <c r="AH608" s="1425">
        <v>44326</v>
      </c>
      <c r="AI608" s="1">
        <v>10.609400000000001</v>
      </c>
      <c r="AJ608" s="1">
        <v>1.6935</v>
      </c>
      <c r="AK608" s="1">
        <v>4.1585999999999999</v>
      </c>
      <c r="AL608" s="1">
        <v>2.3740000000000001E-2</v>
      </c>
      <c r="AN608" s="1425">
        <v>44327</v>
      </c>
      <c r="AO608" s="1">
        <v>10.3347</v>
      </c>
      <c r="AP608" s="1">
        <v>1.2707999999999999</v>
      </c>
      <c r="AQ608" s="1">
        <v>5.5942999999999996</v>
      </c>
      <c r="AR608" s="1">
        <v>0.30637999999999999</v>
      </c>
      <c r="AT608" s="1425">
        <v>44327</v>
      </c>
      <c r="AU608" s="1">
        <v>8.1456999999999997</v>
      </c>
      <c r="AV608" s="1">
        <v>0.56440000000000001</v>
      </c>
      <c r="AW608" s="1">
        <v>5.3413000000000004</v>
      </c>
      <c r="AX608" s="1">
        <v>0.15684000000000001</v>
      </c>
      <c r="BA608" s="1425">
        <v>44323</v>
      </c>
      <c r="BB608" s="1">
        <v>19.454999999999998</v>
      </c>
      <c r="BC608" s="1">
        <v>4.2609000000000004</v>
      </c>
      <c r="BD608" s="1">
        <v>16.135200000000001</v>
      </c>
      <c r="BE608" s="1">
        <v>1.01189</v>
      </c>
      <c r="BG608" s="1425">
        <v>44323</v>
      </c>
      <c r="BH608" s="1">
        <v>34.8675</v>
      </c>
      <c r="BI608" s="1">
        <v>6.6174999999999997</v>
      </c>
      <c r="BJ608" s="1">
        <v>33.791899999999998</v>
      </c>
      <c r="BT608" s="1425">
        <v>44351</v>
      </c>
      <c r="BU608" s="1">
        <v>15.194800000000001</v>
      </c>
      <c r="BV608" s="1">
        <v>3.7824</v>
      </c>
      <c r="BW608" s="1">
        <v>8.99</v>
      </c>
      <c r="BX608" s="1">
        <v>2.0074999999999998</v>
      </c>
      <c r="BZ608" s="1425">
        <v>44351</v>
      </c>
      <c r="CA608" s="1">
        <v>109.2581</v>
      </c>
      <c r="CB608" s="1">
        <v>1.6498999999999999</v>
      </c>
      <c r="CC608" s="1">
        <v>102.37139999999999</v>
      </c>
      <c r="CD608" s="1">
        <v>0.63009000000000004</v>
      </c>
      <c r="CF608" s="1425">
        <v>44350</v>
      </c>
      <c r="CG608" s="1">
        <v>8.0579999999999998</v>
      </c>
      <c r="CH608" s="1">
        <v>1.3907</v>
      </c>
      <c r="CI608" s="1">
        <v>4.4638999999999998</v>
      </c>
      <c r="CL608" s="1425">
        <v>44368</v>
      </c>
      <c r="CM608" s="1">
        <v>29.538799999999998</v>
      </c>
      <c r="CN608" s="1">
        <v>2.6657999999999999</v>
      </c>
      <c r="CO608" s="1">
        <v>11.7928</v>
      </c>
    </row>
    <row r="609" spans="1:93">
      <c r="A609" s="1425">
        <v>44350</v>
      </c>
      <c r="B609" s="20">
        <f t="shared" si="92"/>
        <v>15.9422</v>
      </c>
      <c r="C609" s="20">
        <f t="shared" si="94"/>
        <v>13.3682</v>
      </c>
      <c r="D609" s="20">
        <f t="shared" si="95"/>
        <v>10.672000000000001</v>
      </c>
      <c r="E609" s="20">
        <f t="shared" si="96"/>
        <v>12.0502</v>
      </c>
      <c r="F609" s="20">
        <f t="shared" si="97"/>
        <v>30.925999999999998</v>
      </c>
      <c r="G609" s="20">
        <f t="shared" si="98"/>
        <v>17.0564</v>
      </c>
      <c r="H609" s="1239">
        <f t="shared" si="99"/>
        <v>13.3682</v>
      </c>
      <c r="I609" s="1243">
        <f t="shared" si="93"/>
        <v>0.192546490926228</v>
      </c>
      <c r="J609" s="1243">
        <f t="shared" si="100"/>
        <v>0.12093838824177333</v>
      </c>
      <c r="K609" s="1243">
        <f t="shared" si="101"/>
        <v>0.1</v>
      </c>
      <c r="L609" s="203"/>
      <c r="N609" s="1425">
        <v>44350</v>
      </c>
      <c r="O609" s="1502">
        <v>15.9422</v>
      </c>
      <c r="P609" s="1502">
        <v>4.1512000000000002</v>
      </c>
      <c r="Q609" s="1502">
        <v>14.960599999999999</v>
      </c>
      <c r="R609" s="1233">
        <f>'B. PE'!$U$23</f>
        <v>15.978235616082999</v>
      </c>
      <c r="S609" s="1233"/>
      <c r="T609" s="1233"/>
      <c r="V609" s="1425">
        <v>44350</v>
      </c>
      <c r="W609" s="1">
        <v>13.3682</v>
      </c>
      <c r="X609" s="1">
        <v>1.252</v>
      </c>
      <c r="Y609" s="1">
        <v>10.2194</v>
      </c>
      <c r="Z609" s="1">
        <v>0.84006999999999998</v>
      </c>
      <c r="AB609" s="1425">
        <v>44323</v>
      </c>
      <c r="AC609" s="1">
        <v>12.1343</v>
      </c>
      <c r="AD609" s="1502">
        <v>1.6783999999999999</v>
      </c>
      <c r="AE609" s="1">
        <v>6.1901999999999999</v>
      </c>
      <c r="AF609" s="1">
        <v>4.1279999999999997E-2</v>
      </c>
      <c r="AH609" s="1425">
        <v>44323</v>
      </c>
      <c r="AI609" s="1">
        <v>10.515599999999999</v>
      </c>
      <c r="AJ609" s="1">
        <v>1.6785000000000001</v>
      </c>
      <c r="AK609" s="1">
        <v>4.1108000000000002</v>
      </c>
      <c r="AL609" s="1">
        <v>2.3380000000000001E-2</v>
      </c>
      <c r="AN609" s="1425">
        <v>44326</v>
      </c>
      <c r="AO609" s="1">
        <v>10.3347</v>
      </c>
      <c r="AP609" s="1">
        <v>1.2707999999999999</v>
      </c>
      <c r="AQ609" s="1">
        <v>5.5942999999999996</v>
      </c>
      <c r="AR609" s="1">
        <v>0.30575000000000002</v>
      </c>
      <c r="AT609" s="1425">
        <v>44326</v>
      </c>
      <c r="AU609" s="1">
        <v>8.3444000000000003</v>
      </c>
      <c r="AV609" s="1">
        <v>0.57809999999999995</v>
      </c>
      <c r="AW609" s="1">
        <v>5.4493</v>
      </c>
      <c r="AX609" s="1">
        <v>0.15045</v>
      </c>
      <c r="BA609" s="1425">
        <v>44322</v>
      </c>
      <c r="BB609" s="1">
        <v>21.053999999999998</v>
      </c>
      <c r="BC609" s="1">
        <v>4.6112000000000002</v>
      </c>
      <c r="BD609" s="1">
        <v>17.223400000000002</v>
      </c>
      <c r="BE609" s="1">
        <v>1.0263</v>
      </c>
      <c r="BG609" s="1425">
        <v>44322</v>
      </c>
      <c r="BH609" s="1">
        <v>36.080300000000001</v>
      </c>
      <c r="BI609" s="1">
        <v>6.8476999999999997</v>
      </c>
      <c r="BJ609" s="1">
        <v>34.908200000000001</v>
      </c>
      <c r="BT609" s="1425">
        <v>44350</v>
      </c>
      <c r="BU609" s="1">
        <v>15.3605</v>
      </c>
      <c r="BV609" s="1">
        <v>3.8235999999999999</v>
      </c>
      <c r="BW609" s="1">
        <v>9.0827000000000009</v>
      </c>
      <c r="BX609" s="1">
        <v>1.9742999999999999</v>
      </c>
      <c r="BZ609" s="1425">
        <v>44350</v>
      </c>
      <c r="CA609" s="1">
        <v>107.9974</v>
      </c>
      <c r="CB609" s="1">
        <v>1.6308</v>
      </c>
      <c r="CC609" s="1">
        <v>101.79130000000001</v>
      </c>
      <c r="CD609" s="1">
        <v>0.61880000000000002</v>
      </c>
      <c r="CF609" s="1425">
        <v>44349</v>
      </c>
      <c r="CG609" s="1">
        <v>8.0103000000000009</v>
      </c>
      <c r="CH609" s="1">
        <v>1.3824000000000001</v>
      </c>
      <c r="CI609" s="1">
        <v>4.4330999999999996</v>
      </c>
      <c r="CL609" s="1425">
        <v>44365</v>
      </c>
      <c r="CM609" s="1">
        <v>29.746099999999998</v>
      </c>
      <c r="CN609" s="1">
        <v>2.6846000000000001</v>
      </c>
      <c r="CO609" s="1">
        <v>11.8765</v>
      </c>
    </row>
    <row r="610" spans="1:93">
      <c r="A610" s="1425">
        <v>44349</v>
      </c>
      <c r="B610" s="20">
        <f t="shared" si="92"/>
        <v>16.138200000000001</v>
      </c>
      <c r="C610" s="20">
        <f t="shared" si="94"/>
        <v>13.0031</v>
      </c>
      <c r="D610" s="20">
        <f t="shared" si="95"/>
        <v>10.7033</v>
      </c>
      <c r="E610" s="20">
        <f t="shared" si="96"/>
        <v>12.133900000000001</v>
      </c>
      <c r="F610" s="20">
        <f t="shared" si="97"/>
        <v>32.442</v>
      </c>
      <c r="G610" s="20">
        <f t="shared" si="98"/>
        <v>17.456199999999999</v>
      </c>
      <c r="H610" s="1239">
        <f t="shared" si="99"/>
        <v>13.0031</v>
      </c>
      <c r="I610" s="1243">
        <f t="shared" si="93"/>
        <v>0.24110404442017686</v>
      </c>
      <c r="J610" s="1243">
        <f t="shared" si="100"/>
        <v>0.12093838824177333</v>
      </c>
      <c r="K610" s="1243">
        <f t="shared" si="101"/>
        <v>0.1</v>
      </c>
      <c r="L610" s="203"/>
      <c r="N610" s="1425">
        <v>44349</v>
      </c>
      <c r="O610" s="1502">
        <v>16.138200000000001</v>
      </c>
      <c r="P610" s="1502">
        <v>4.2022000000000004</v>
      </c>
      <c r="Q610" s="1502">
        <v>15.149699999999999</v>
      </c>
      <c r="R610" s="1233">
        <f>'B. PE'!$U$23</f>
        <v>15.978235616082999</v>
      </c>
      <c r="S610" s="1233"/>
      <c r="T610" s="1233"/>
      <c r="V610" s="1425">
        <v>44349</v>
      </c>
      <c r="W610" s="1">
        <v>13.0031</v>
      </c>
      <c r="X610" s="1">
        <v>1.2178</v>
      </c>
      <c r="Y610" s="1">
        <v>10.023999999999999</v>
      </c>
      <c r="Z610" s="1">
        <v>0.83087</v>
      </c>
      <c r="AB610" s="1425">
        <v>44322</v>
      </c>
      <c r="AC610" s="1">
        <v>12.440200000000001</v>
      </c>
      <c r="AD610" s="1502">
        <v>1.7206999999999999</v>
      </c>
      <c r="AE610" s="1">
        <v>6.3087999999999997</v>
      </c>
      <c r="AF610" s="1">
        <v>4.0469999999999999E-2</v>
      </c>
      <c r="AH610" s="1425">
        <v>44322</v>
      </c>
      <c r="AI610" s="1">
        <v>10.609400000000001</v>
      </c>
      <c r="AJ610" s="1">
        <v>1.6935</v>
      </c>
      <c r="AK610" s="1">
        <v>4.1585999999999999</v>
      </c>
      <c r="AL610" s="1">
        <v>2.3519999999999999E-2</v>
      </c>
      <c r="AN610" s="1425">
        <v>44323</v>
      </c>
      <c r="AO610" s="1">
        <v>10.543900000000001</v>
      </c>
      <c r="AP610" s="1">
        <v>1.2965</v>
      </c>
      <c r="AQ610" s="1">
        <v>5.7588999999999997</v>
      </c>
      <c r="AR610" s="1">
        <v>0.31181999999999999</v>
      </c>
      <c r="AT610" s="1425">
        <v>44323</v>
      </c>
      <c r="AU610" s="1">
        <v>8.5429999999999993</v>
      </c>
      <c r="AV610" s="1">
        <v>0.59189999999999998</v>
      </c>
      <c r="AW610" s="1">
        <v>5.5544000000000002</v>
      </c>
      <c r="AX610" s="1">
        <v>0.15045</v>
      </c>
      <c r="BA610" s="1425">
        <v>44321</v>
      </c>
      <c r="BB610" s="1">
        <v>16.789899999999999</v>
      </c>
      <c r="BC610" s="1">
        <v>3.6772999999999998</v>
      </c>
      <c r="BD610" s="1">
        <v>14.3215</v>
      </c>
      <c r="BE610" s="1">
        <v>1.05725</v>
      </c>
      <c r="BG610" s="1425">
        <v>44321</v>
      </c>
      <c r="BH610" s="1">
        <v>33.351599999999998</v>
      </c>
      <c r="BI610" s="1">
        <v>6.3297999999999996</v>
      </c>
      <c r="BJ610" s="1">
        <v>32.3964</v>
      </c>
      <c r="BT610" s="1425">
        <v>44349</v>
      </c>
      <c r="BU610" s="1">
        <v>15.3384</v>
      </c>
      <c r="BV610" s="1">
        <v>3.8180999999999998</v>
      </c>
      <c r="BW610" s="1">
        <v>9.0703999999999994</v>
      </c>
      <c r="BX610" s="1">
        <v>2.0030999999999999</v>
      </c>
      <c r="BZ610" s="1425">
        <v>44349</v>
      </c>
      <c r="CA610" s="1">
        <v>105.26600000000001</v>
      </c>
      <c r="CB610" s="1">
        <v>1.5895999999999999</v>
      </c>
      <c r="CC610" s="1">
        <v>100.5343</v>
      </c>
      <c r="CD610" s="1">
        <v>0.62629000000000001</v>
      </c>
      <c r="CF610" s="1425">
        <v>44348</v>
      </c>
      <c r="CG610" s="1">
        <v>8.1057000000000006</v>
      </c>
      <c r="CH610" s="1">
        <v>1.3989</v>
      </c>
      <c r="CI610" s="1">
        <v>4.4946999999999999</v>
      </c>
      <c r="CL610" s="1425">
        <v>44364</v>
      </c>
      <c r="CM610" s="1">
        <v>29.5181</v>
      </c>
      <c r="CN610" s="1">
        <v>2.6640000000000001</v>
      </c>
      <c r="CO610" s="1">
        <v>11.7844</v>
      </c>
    </row>
    <row r="611" spans="1:93">
      <c r="A611" s="1425">
        <v>44348</v>
      </c>
      <c r="B611" s="20">
        <f t="shared" si="92"/>
        <v>16.334199999999999</v>
      </c>
      <c r="C611" s="20">
        <f t="shared" si="94"/>
        <v>12.918799999999999</v>
      </c>
      <c r="D611" s="20">
        <f t="shared" si="95"/>
        <v>10.7033</v>
      </c>
      <c r="E611" s="20">
        <f t="shared" si="96"/>
        <v>11.6318</v>
      </c>
      <c r="F611" s="20">
        <f t="shared" si="97"/>
        <v>32.745199999999997</v>
      </c>
      <c r="G611" s="20">
        <f t="shared" si="98"/>
        <v>17.856000000000002</v>
      </c>
      <c r="H611" s="1239">
        <f t="shared" si="99"/>
        <v>12.918799999999999</v>
      </c>
      <c r="I611" s="1243">
        <f t="shared" si="93"/>
        <v>0.26437440009908042</v>
      </c>
      <c r="J611" s="1243">
        <f t="shared" si="100"/>
        <v>0.12093838824177333</v>
      </c>
      <c r="K611" s="1243">
        <f t="shared" si="101"/>
        <v>0.1</v>
      </c>
      <c r="L611" s="203"/>
      <c r="N611" s="1425">
        <v>44348</v>
      </c>
      <c r="O611" s="1502">
        <v>16.334199999999999</v>
      </c>
      <c r="P611" s="1502">
        <v>4.2533000000000003</v>
      </c>
      <c r="Q611" s="1502">
        <v>15.338699999999999</v>
      </c>
      <c r="R611" s="1233">
        <f>'B. PE'!$U$23</f>
        <v>15.978235616082999</v>
      </c>
      <c r="S611" s="1233"/>
      <c r="T611" s="1233"/>
      <c r="V611" s="1425">
        <v>44348</v>
      </c>
      <c r="W611" s="1">
        <v>12.918799999999999</v>
      </c>
      <c r="X611" s="1">
        <v>1.2099</v>
      </c>
      <c r="Y611" s="1">
        <v>9.9789999999999992</v>
      </c>
      <c r="Z611" s="1">
        <v>0.77820999999999996</v>
      </c>
      <c r="AB611" s="1425">
        <v>44321</v>
      </c>
      <c r="AC611" s="1">
        <v>12.1343</v>
      </c>
      <c r="AD611" s="1502">
        <v>1.6783999999999999</v>
      </c>
      <c r="AE611" s="1">
        <v>6.1901999999999999</v>
      </c>
      <c r="AF611" s="1">
        <v>4.0960000000000003E-2</v>
      </c>
      <c r="AH611" s="1425">
        <v>44321</v>
      </c>
      <c r="AI611" s="1">
        <v>10.546900000000001</v>
      </c>
      <c r="AJ611" s="1">
        <v>1.6835</v>
      </c>
      <c r="AK611" s="1">
        <v>4.1266999999999996</v>
      </c>
      <c r="AL611" s="1">
        <v>2.3599999999999999E-2</v>
      </c>
      <c r="AN611" s="1425">
        <v>44322</v>
      </c>
      <c r="AO611" s="1">
        <v>10.543900000000001</v>
      </c>
      <c r="AP611" s="1">
        <v>1.2965</v>
      </c>
      <c r="AQ611" s="1">
        <v>5.7588999999999997</v>
      </c>
      <c r="AR611" s="1">
        <v>0.31909999999999999</v>
      </c>
      <c r="AT611" s="1425">
        <v>44322</v>
      </c>
      <c r="AU611" s="1">
        <v>8.2119</v>
      </c>
      <c r="AV611" s="1">
        <v>0.56889999999999996</v>
      </c>
      <c r="AW611" s="1">
        <v>5.3746</v>
      </c>
      <c r="AX611" s="1">
        <v>0.14802000000000001</v>
      </c>
      <c r="BA611" s="1425">
        <v>44316</v>
      </c>
      <c r="BB611" s="1">
        <v>17.0564</v>
      </c>
      <c r="BC611" s="1">
        <v>3.7355999999999998</v>
      </c>
      <c r="BD611" s="1">
        <v>14.5029</v>
      </c>
      <c r="BE611" s="1">
        <v>1.05196</v>
      </c>
      <c r="BG611" s="1425">
        <v>44316</v>
      </c>
      <c r="BH611" s="1">
        <v>34.8675</v>
      </c>
      <c r="BI611" s="1">
        <v>6.6174999999999997</v>
      </c>
      <c r="BJ611" s="1">
        <v>33.791899999999998</v>
      </c>
      <c r="BT611" s="1425">
        <v>44348</v>
      </c>
      <c r="BU611" s="1">
        <v>15.084300000000001</v>
      </c>
      <c r="BV611" s="1">
        <v>3.7549000000000001</v>
      </c>
      <c r="BW611" s="1">
        <v>8.9282000000000004</v>
      </c>
      <c r="BX611" s="1">
        <v>2.0646</v>
      </c>
      <c r="BZ611" s="1425">
        <v>44348</v>
      </c>
      <c r="CA611" s="1">
        <v>103.375</v>
      </c>
      <c r="CB611" s="1">
        <v>1.5609999999999999</v>
      </c>
      <c r="CC611" s="1">
        <v>99.664100000000005</v>
      </c>
      <c r="CD611" s="1">
        <v>0.63156999999999996</v>
      </c>
      <c r="CF611" s="1425">
        <v>44347</v>
      </c>
      <c r="CG611" s="1">
        <v>8.2010000000000005</v>
      </c>
      <c r="CH611" s="1">
        <v>1.4154</v>
      </c>
      <c r="CI611" s="1">
        <v>4.5563000000000002</v>
      </c>
      <c r="CL611" s="1425">
        <v>44363</v>
      </c>
      <c r="CM611" s="1">
        <v>29.621700000000001</v>
      </c>
      <c r="CN611" s="1">
        <v>2.6732999999999998</v>
      </c>
      <c r="CO611" s="1">
        <v>11.8263</v>
      </c>
    </row>
    <row r="612" spans="1:93">
      <c r="A612" s="1425">
        <v>44347</v>
      </c>
      <c r="B612" s="20">
        <f t="shared" si="92"/>
        <v>15.811500000000001</v>
      </c>
      <c r="C612" s="20">
        <f t="shared" si="94"/>
        <v>12.7784</v>
      </c>
      <c r="D612" s="20">
        <f t="shared" si="95"/>
        <v>10.640700000000001</v>
      </c>
      <c r="E612" s="20">
        <f t="shared" si="96"/>
        <v>11.5063</v>
      </c>
      <c r="F612" s="20">
        <f t="shared" si="97"/>
        <v>32.138800000000003</v>
      </c>
      <c r="G612" s="20">
        <f t="shared" si="98"/>
        <v>17.322900000000001</v>
      </c>
      <c r="H612" s="1239">
        <f t="shared" si="99"/>
        <v>12.7784</v>
      </c>
      <c r="I612" s="1243">
        <f t="shared" si="93"/>
        <v>0.23736148500594756</v>
      </c>
      <c r="J612" s="1243">
        <f t="shared" si="100"/>
        <v>0.12093838824177333</v>
      </c>
      <c r="K612" s="1243">
        <f t="shared" si="101"/>
        <v>0.1</v>
      </c>
      <c r="L612" s="203"/>
      <c r="N612" s="1425">
        <v>44347</v>
      </c>
      <c r="O612" s="1502">
        <v>15.811500000000001</v>
      </c>
      <c r="P612" s="1502">
        <v>4.1172000000000004</v>
      </c>
      <c r="Q612" s="1502">
        <v>14.420500000000001</v>
      </c>
      <c r="R612" s="1233">
        <f>'B. PE'!$U$23</f>
        <v>15.978235616082999</v>
      </c>
      <c r="S612" s="1233"/>
      <c r="T612" s="1233"/>
      <c r="V612" s="1425">
        <v>44347</v>
      </c>
      <c r="W612" s="1">
        <v>12.7784</v>
      </c>
      <c r="X612" s="1">
        <v>1.1968000000000001</v>
      </c>
      <c r="Y612" s="1">
        <v>9.9038000000000004</v>
      </c>
      <c r="Z612" s="1">
        <v>0.75590000000000002</v>
      </c>
      <c r="AB612" s="1425">
        <v>44320</v>
      </c>
      <c r="AC612" s="1">
        <v>11.930300000000001</v>
      </c>
      <c r="AD612" s="1502">
        <v>1.6501999999999999</v>
      </c>
      <c r="AE612" s="1">
        <v>6.1112000000000002</v>
      </c>
      <c r="AF612" s="1">
        <v>4.2279999999999998E-2</v>
      </c>
      <c r="AH612" s="1425">
        <v>44320</v>
      </c>
      <c r="AI612" s="1">
        <v>10.640700000000001</v>
      </c>
      <c r="AJ612" s="1">
        <v>1.6984999999999999</v>
      </c>
      <c r="AK612" s="1">
        <v>4.1745000000000001</v>
      </c>
      <c r="AL612" s="1">
        <v>2.2870000000000001E-2</v>
      </c>
      <c r="AN612" s="1425">
        <v>44321</v>
      </c>
      <c r="AO612" s="1">
        <v>10.7531</v>
      </c>
      <c r="AP612" s="1">
        <v>1.3222</v>
      </c>
      <c r="AQ612" s="1">
        <v>5.9234999999999998</v>
      </c>
      <c r="AR612" s="1">
        <v>0.32396999999999998</v>
      </c>
      <c r="AT612" s="1425">
        <v>44321</v>
      </c>
      <c r="AU612" s="1">
        <v>8.2119</v>
      </c>
      <c r="AV612" s="1">
        <v>0.56889999999999996</v>
      </c>
      <c r="AW612" s="1">
        <v>5.3746</v>
      </c>
      <c r="AX612" s="1">
        <v>0.14615</v>
      </c>
      <c r="BA612" s="1425">
        <v>44315</v>
      </c>
      <c r="BB612" s="1">
        <v>17.589500000000001</v>
      </c>
      <c r="BC612" s="1">
        <v>3.8523999999999998</v>
      </c>
      <c r="BD612" s="1">
        <v>14.865600000000001</v>
      </c>
      <c r="BE612" s="1">
        <v>0.86148999999999998</v>
      </c>
      <c r="BG612" s="1425">
        <v>44315</v>
      </c>
      <c r="BH612" s="1">
        <v>35.777099999999997</v>
      </c>
      <c r="BI612" s="1">
        <v>6.7901999999999996</v>
      </c>
      <c r="BJ612" s="1">
        <v>34.629100000000001</v>
      </c>
      <c r="BT612" s="1425">
        <v>44347</v>
      </c>
      <c r="BU612" s="1">
        <v>15.305300000000001</v>
      </c>
      <c r="BV612" s="1">
        <v>3.8098999999999998</v>
      </c>
      <c r="BW612" s="1">
        <v>9.0518000000000001</v>
      </c>
      <c r="BX612" s="1">
        <v>2.0592000000000001</v>
      </c>
      <c r="BZ612" s="1425">
        <v>44347</v>
      </c>
      <c r="CA612" s="1">
        <v>104.6356</v>
      </c>
      <c r="CB612" s="1">
        <v>1.5801000000000001</v>
      </c>
      <c r="CC612" s="1">
        <v>100.24420000000001</v>
      </c>
      <c r="CD612" s="1">
        <v>0.63124000000000002</v>
      </c>
      <c r="CF612" s="1425">
        <v>44344</v>
      </c>
      <c r="CG612" s="1">
        <v>7.915</v>
      </c>
      <c r="CH612" s="1">
        <v>1.3660000000000001</v>
      </c>
      <c r="CI612" s="1">
        <v>4.3715000000000002</v>
      </c>
      <c r="CL612" s="1425">
        <v>44362</v>
      </c>
      <c r="CM612" s="1">
        <v>29.704699999999999</v>
      </c>
      <c r="CN612" s="1">
        <v>2.6808000000000001</v>
      </c>
      <c r="CO612" s="1">
        <v>11.8598</v>
      </c>
    </row>
    <row r="613" spans="1:93">
      <c r="A613" s="1425">
        <v>44344</v>
      </c>
      <c r="B613" s="20">
        <f t="shared" si="92"/>
        <v>16.595500000000001</v>
      </c>
      <c r="C613" s="20">
        <f t="shared" si="94"/>
        <v>11.963900000000001</v>
      </c>
      <c r="D613" s="20">
        <f t="shared" si="95"/>
        <v>10.672000000000001</v>
      </c>
      <c r="E613" s="20">
        <f t="shared" si="96"/>
        <v>11.6736</v>
      </c>
      <c r="F613" s="20">
        <f t="shared" si="97"/>
        <v>33.048400000000001</v>
      </c>
      <c r="G613" s="20">
        <f t="shared" si="98"/>
        <v>17.589500000000001</v>
      </c>
      <c r="H613" s="1239">
        <f t="shared" si="99"/>
        <v>11.963900000000001</v>
      </c>
      <c r="I613" s="1243">
        <f t="shared" si="93"/>
        <v>0.3871312866205836</v>
      </c>
      <c r="J613" s="1243">
        <f t="shared" si="100"/>
        <v>0.12093838824177333</v>
      </c>
      <c r="K613" s="1243">
        <f t="shared" si="101"/>
        <v>0.1</v>
      </c>
      <c r="L613" s="203"/>
      <c r="N613" s="1425">
        <v>44344</v>
      </c>
      <c r="O613" s="1502">
        <v>16.595500000000001</v>
      </c>
      <c r="P613" s="1502">
        <v>4.3212999999999999</v>
      </c>
      <c r="Q613" s="1502">
        <v>15.1562</v>
      </c>
      <c r="R613" s="1233">
        <f>'B. PE'!$U$23</f>
        <v>15.978235616082999</v>
      </c>
      <c r="S613" s="1233"/>
      <c r="T613" s="1233"/>
      <c r="V613" s="1425">
        <v>44344</v>
      </c>
      <c r="W613" s="1">
        <v>11.963900000000001</v>
      </c>
      <c r="X613" s="1">
        <v>1.1205000000000001</v>
      </c>
      <c r="Y613" s="1">
        <v>9.4681999999999995</v>
      </c>
      <c r="Z613" s="1">
        <v>0.77432999999999996</v>
      </c>
      <c r="AB613" s="1425">
        <v>44319</v>
      </c>
      <c r="AC613" s="1">
        <v>12.032299999999999</v>
      </c>
      <c r="AD613" s="1502">
        <v>1.6642999999999999</v>
      </c>
      <c r="AE613" s="1">
        <v>6.1506999999999996</v>
      </c>
      <c r="AF613" s="1">
        <v>4.3319999999999997E-2</v>
      </c>
      <c r="AH613" s="1425">
        <v>44319</v>
      </c>
      <c r="AI613" s="1">
        <v>10.640700000000001</v>
      </c>
      <c r="AJ613" s="1">
        <v>1.6984999999999999</v>
      </c>
      <c r="AK613" s="1">
        <v>4.1745000000000001</v>
      </c>
      <c r="AL613" s="1">
        <v>2.2870000000000001E-2</v>
      </c>
      <c r="AN613" s="1425">
        <v>44320</v>
      </c>
      <c r="AO613" s="1">
        <v>11.004200000000001</v>
      </c>
      <c r="AP613" s="1">
        <v>1.3531</v>
      </c>
      <c r="AQ613" s="1">
        <v>6.1210000000000004</v>
      </c>
      <c r="AR613" s="1">
        <v>0.32525999999999999</v>
      </c>
      <c r="AT613" s="1425">
        <v>44320</v>
      </c>
      <c r="AU613" s="1">
        <v>8.0794999999999995</v>
      </c>
      <c r="AV613" s="1">
        <v>0.55979999999999996</v>
      </c>
      <c r="AW613" s="1">
        <v>5.3026</v>
      </c>
      <c r="AX613" s="1">
        <v>0.14796000000000001</v>
      </c>
      <c r="BA613" s="1425">
        <v>44314</v>
      </c>
      <c r="BB613" s="1">
        <v>17.589500000000001</v>
      </c>
      <c r="BC613" s="1">
        <v>3.8523999999999998</v>
      </c>
      <c r="BD613" s="1">
        <v>14.865600000000001</v>
      </c>
      <c r="BE613" s="1">
        <v>0.85104000000000002</v>
      </c>
      <c r="BG613" s="1425">
        <v>44314</v>
      </c>
      <c r="BH613" s="1">
        <v>35.170699999999997</v>
      </c>
      <c r="BI613" s="1">
        <v>6.6750999999999996</v>
      </c>
      <c r="BJ613" s="1">
        <v>34.070900000000002</v>
      </c>
      <c r="BT613" s="1425">
        <v>44344</v>
      </c>
      <c r="BU613" s="1">
        <v>15.769399999999999</v>
      </c>
      <c r="BV613" s="1">
        <v>3.9253999999999998</v>
      </c>
      <c r="BW613" s="1">
        <v>9.3114000000000008</v>
      </c>
      <c r="BX613" s="1">
        <v>2.0958000000000001</v>
      </c>
      <c r="BZ613" s="1425">
        <v>44344</v>
      </c>
      <c r="CA613" s="1">
        <v>105.4761</v>
      </c>
      <c r="CB613" s="1">
        <v>1.5928</v>
      </c>
      <c r="CC613" s="1">
        <v>100.631</v>
      </c>
      <c r="CD613" s="1">
        <v>0.64773000000000003</v>
      </c>
      <c r="CF613" s="1425">
        <v>44343</v>
      </c>
      <c r="CG613" s="1">
        <v>7.6288999999999998</v>
      </c>
      <c r="CH613" s="1">
        <v>1.3166</v>
      </c>
      <c r="CI613" s="1">
        <v>4.1867999999999999</v>
      </c>
      <c r="CL613" s="1425">
        <v>44361</v>
      </c>
      <c r="CM613" s="1">
        <v>29.476600000000001</v>
      </c>
      <c r="CN613" s="1">
        <v>2.6602000000000001</v>
      </c>
      <c r="CO613" s="1">
        <v>11.7676</v>
      </c>
    </row>
    <row r="614" spans="1:93">
      <c r="A614" s="1425">
        <v>44343</v>
      </c>
      <c r="B614" s="20">
        <f t="shared" si="92"/>
        <v>17.3796</v>
      </c>
      <c r="C614" s="20">
        <f t="shared" si="94"/>
        <v>11.626899999999999</v>
      </c>
      <c r="D614" s="20">
        <f t="shared" si="95"/>
        <v>10.640700000000001</v>
      </c>
      <c r="E614" s="20">
        <f t="shared" si="96"/>
        <v>11.6736</v>
      </c>
      <c r="F614" s="20">
        <f t="shared" si="97"/>
        <v>34.261200000000002</v>
      </c>
      <c r="G614" s="20">
        <f t="shared" si="98"/>
        <v>18.255700000000001</v>
      </c>
      <c r="H614" s="1239">
        <f t="shared" si="99"/>
        <v>11.6736</v>
      </c>
      <c r="I614" s="1243">
        <f t="shared" si="93"/>
        <v>0.48879523026315774</v>
      </c>
      <c r="J614" s="1243">
        <f t="shared" si="100"/>
        <v>0.12093838824177333</v>
      </c>
      <c r="K614" s="1243">
        <f t="shared" si="101"/>
        <v>0.1</v>
      </c>
      <c r="L614" s="203"/>
      <c r="N614" s="1425">
        <v>44343</v>
      </c>
      <c r="O614" s="1502">
        <v>17.3796</v>
      </c>
      <c r="P614" s="1502">
        <v>4.5255000000000001</v>
      </c>
      <c r="Q614" s="1502">
        <v>15.891999999999999</v>
      </c>
      <c r="R614" s="1233">
        <f>'B. PE'!$U$23</f>
        <v>15.978235616082999</v>
      </c>
      <c r="S614" s="1233"/>
      <c r="T614" s="1233"/>
      <c r="V614" s="1425">
        <v>44343</v>
      </c>
      <c r="W614" s="1">
        <v>11.626899999999999</v>
      </c>
      <c r="X614" s="1">
        <v>1.0889</v>
      </c>
      <c r="Y614" s="1">
        <v>9.2879000000000005</v>
      </c>
      <c r="Z614" s="1">
        <v>0.78493999999999997</v>
      </c>
      <c r="AB614" s="1425">
        <v>44316</v>
      </c>
      <c r="AC614" s="1">
        <v>12.440200000000001</v>
      </c>
      <c r="AD614" s="1502">
        <v>1.7206999999999999</v>
      </c>
      <c r="AE614" s="1">
        <v>6.3087999999999997</v>
      </c>
      <c r="AF614" s="1">
        <v>4.1340000000000002E-2</v>
      </c>
      <c r="AH614" s="1425">
        <v>44316</v>
      </c>
      <c r="AI614" s="1">
        <v>10.3278</v>
      </c>
      <c r="AJ614" s="1">
        <v>1.6486000000000001</v>
      </c>
      <c r="AK614" s="1">
        <v>4.0152999999999999</v>
      </c>
      <c r="AL614" s="1">
        <v>2.274E-2</v>
      </c>
      <c r="AN614" s="1425">
        <v>44319</v>
      </c>
      <c r="AO614" s="1">
        <v>11.1297</v>
      </c>
      <c r="AP614" s="1">
        <v>1.3685</v>
      </c>
      <c r="AQ614" s="1">
        <v>6.2198000000000002</v>
      </c>
      <c r="AR614" s="1">
        <v>0.31928000000000001</v>
      </c>
      <c r="AT614" s="1425">
        <v>44319</v>
      </c>
      <c r="AU614" s="1">
        <v>7.9470000000000001</v>
      </c>
      <c r="AV614" s="1">
        <v>0.55059999999999998</v>
      </c>
      <c r="AW614" s="1">
        <v>5.2306999999999997</v>
      </c>
      <c r="AX614" s="1">
        <v>0.14502000000000001</v>
      </c>
      <c r="BA614" s="1425">
        <v>44313</v>
      </c>
      <c r="BB614" s="1">
        <v>14.391400000000001</v>
      </c>
      <c r="BC614" s="1">
        <v>3.1518999999999999</v>
      </c>
      <c r="BD614" s="1">
        <v>12.6892</v>
      </c>
      <c r="BE614" s="1">
        <v>0.83518999999999999</v>
      </c>
      <c r="BG614" s="1425">
        <v>44313</v>
      </c>
      <c r="BH614" s="1">
        <v>32.138800000000003</v>
      </c>
      <c r="BI614" s="1">
        <v>6.0995999999999997</v>
      </c>
      <c r="BJ614" s="1">
        <v>31.28</v>
      </c>
      <c r="BT614" s="1425">
        <v>44343</v>
      </c>
      <c r="BU614" s="1">
        <v>15.7362</v>
      </c>
      <c r="BV614" s="1">
        <v>3.9171999999999998</v>
      </c>
      <c r="BW614" s="1">
        <v>9.2928999999999995</v>
      </c>
      <c r="BX614" s="1">
        <v>2.1107999999999998</v>
      </c>
      <c r="BZ614" s="1425">
        <v>44343</v>
      </c>
      <c r="CA614" s="1">
        <v>105.4761</v>
      </c>
      <c r="CB614" s="1">
        <v>1.5928</v>
      </c>
      <c r="CC614" s="1">
        <v>100.631</v>
      </c>
      <c r="CD614" s="1">
        <v>0.65373000000000003</v>
      </c>
      <c r="CF614" s="1425">
        <v>44342</v>
      </c>
      <c r="CG614" s="1">
        <v>7.6288999999999998</v>
      </c>
      <c r="CH614" s="1">
        <v>1.3166</v>
      </c>
      <c r="CI614" s="1">
        <v>4.1867999999999999</v>
      </c>
      <c r="CL614" s="1425">
        <v>44358</v>
      </c>
      <c r="CM614" s="1">
        <v>29.580300000000001</v>
      </c>
      <c r="CN614" s="1">
        <v>2.6696</v>
      </c>
      <c r="CO614" s="1">
        <v>11.8095</v>
      </c>
    </row>
    <row r="615" spans="1:93">
      <c r="A615" s="1425">
        <v>44342</v>
      </c>
      <c r="B615" s="20">
        <f t="shared" si="92"/>
        <v>18.0199</v>
      </c>
      <c r="C615" s="20">
        <f t="shared" si="94"/>
        <v>11.9078</v>
      </c>
      <c r="D615" s="20">
        <f t="shared" si="95"/>
        <v>10.640700000000001</v>
      </c>
      <c r="E615" s="20">
        <f t="shared" si="96"/>
        <v>11.6736</v>
      </c>
      <c r="F615" s="20">
        <f t="shared" si="97"/>
        <v>34.261200000000002</v>
      </c>
      <c r="G615" s="20">
        <f t="shared" si="98"/>
        <v>18.255700000000001</v>
      </c>
      <c r="H615" s="1239">
        <f t="shared" si="99"/>
        <v>11.9078</v>
      </c>
      <c r="I615" s="1243">
        <f t="shared" si="93"/>
        <v>0.51328540956347934</v>
      </c>
      <c r="J615" s="1243">
        <f t="shared" si="100"/>
        <v>0.12093838824177333</v>
      </c>
      <c r="K615" s="1243">
        <f t="shared" si="101"/>
        <v>0.1</v>
      </c>
      <c r="L615" s="203"/>
      <c r="N615" s="1425">
        <v>44342</v>
      </c>
      <c r="O615" s="1502">
        <v>18.0199</v>
      </c>
      <c r="P615" s="1502">
        <v>4.6921999999999997</v>
      </c>
      <c r="Q615" s="1502">
        <v>16.492899999999999</v>
      </c>
      <c r="R615" s="1233">
        <f>'B. PE'!$U$23</f>
        <v>15.978235616082999</v>
      </c>
      <c r="S615" s="1233"/>
      <c r="T615" s="1233"/>
      <c r="V615" s="1425">
        <v>44342</v>
      </c>
      <c r="W615" s="1">
        <v>11.9078</v>
      </c>
      <c r="X615" s="1">
        <v>1.1152</v>
      </c>
      <c r="Y615" s="1">
        <v>9.4381000000000004</v>
      </c>
      <c r="Z615" s="1">
        <v>0.76668999999999998</v>
      </c>
      <c r="AB615" s="1425">
        <v>44315</v>
      </c>
      <c r="AC615" s="1">
        <v>12.7461</v>
      </c>
      <c r="AD615" s="1502">
        <v>1.7629999999999999</v>
      </c>
      <c r="AE615" s="1">
        <v>6.4273999999999996</v>
      </c>
      <c r="AF615" s="1">
        <v>4.1700000000000001E-2</v>
      </c>
      <c r="AH615" s="1425">
        <v>44315</v>
      </c>
      <c r="AI615" s="1">
        <v>10.3278</v>
      </c>
      <c r="AJ615" s="1">
        <v>1.6486000000000001</v>
      </c>
      <c r="AK615" s="1">
        <v>4.0152999999999999</v>
      </c>
      <c r="AL615" s="1">
        <v>2.274E-2</v>
      </c>
      <c r="AN615" s="1425">
        <v>44316</v>
      </c>
      <c r="AO615" s="1">
        <v>11.1297</v>
      </c>
      <c r="AP615" s="1">
        <v>1.3685</v>
      </c>
      <c r="AQ615" s="1">
        <v>6.2198000000000002</v>
      </c>
      <c r="AR615" s="1">
        <v>0.31972</v>
      </c>
      <c r="AT615" s="1425">
        <v>44316</v>
      </c>
      <c r="AU615" s="1">
        <v>8.0131999999999994</v>
      </c>
      <c r="AV615" s="1">
        <v>0.55520000000000003</v>
      </c>
      <c r="AW615" s="1">
        <v>5.2667000000000002</v>
      </c>
      <c r="AX615" s="1">
        <v>0.14521999999999999</v>
      </c>
      <c r="BA615" s="1425">
        <v>44312</v>
      </c>
      <c r="BB615" s="1">
        <v>14.258100000000001</v>
      </c>
      <c r="BC615" s="1">
        <v>3.1227</v>
      </c>
      <c r="BD615" s="1">
        <v>12.5985</v>
      </c>
      <c r="BE615" s="1">
        <v>0.87582000000000004</v>
      </c>
      <c r="BG615" s="1425">
        <v>44312</v>
      </c>
      <c r="BH615" s="1">
        <v>31.835599999999999</v>
      </c>
      <c r="BI615" s="1">
        <v>6.0420999999999996</v>
      </c>
      <c r="BJ615" s="1">
        <v>31.000900000000001</v>
      </c>
      <c r="BT615" s="1425">
        <v>44342</v>
      </c>
      <c r="BU615" s="1">
        <v>16.012499999999999</v>
      </c>
      <c r="BV615" s="1">
        <v>3.9859</v>
      </c>
      <c r="BW615" s="1">
        <v>9.4474</v>
      </c>
      <c r="BX615" s="1">
        <v>2.1107999999999998</v>
      </c>
      <c r="BZ615" s="1425">
        <v>44342</v>
      </c>
      <c r="CA615" s="1">
        <v>108.2075</v>
      </c>
      <c r="CB615" s="1">
        <v>1.6339999999999999</v>
      </c>
      <c r="CC615" s="1">
        <v>101.8879</v>
      </c>
      <c r="CD615" s="1">
        <v>0.64995999999999998</v>
      </c>
      <c r="CF615" s="1425">
        <v>44341</v>
      </c>
      <c r="CG615" s="1">
        <v>7.6288999999999998</v>
      </c>
      <c r="CH615" s="1">
        <v>1.3166</v>
      </c>
      <c r="CI615" s="1">
        <v>4.1867999999999999</v>
      </c>
      <c r="CL615" s="1425">
        <v>44357</v>
      </c>
      <c r="CM615" s="1">
        <v>29.746099999999998</v>
      </c>
      <c r="CN615" s="1">
        <v>2.6846000000000001</v>
      </c>
      <c r="CO615" s="1">
        <v>11.8765</v>
      </c>
    </row>
    <row r="616" spans="1:93">
      <c r="A616" s="1425">
        <v>44341</v>
      </c>
      <c r="B616" s="20">
        <f t="shared" si="92"/>
        <v>18.163599999999999</v>
      </c>
      <c r="C616" s="20">
        <f t="shared" si="94"/>
        <v>12.0763</v>
      </c>
      <c r="D616" s="20">
        <f t="shared" si="95"/>
        <v>10.672000000000001</v>
      </c>
      <c r="E616" s="20">
        <f t="shared" si="96"/>
        <v>11.2971</v>
      </c>
      <c r="F616" s="20">
        <f t="shared" si="97"/>
        <v>33.351599999999998</v>
      </c>
      <c r="G616" s="20">
        <f t="shared" si="98"/>
        <v>18.122499999999999</v>
      </c>
      <c r="H616" s="1239">
        <f t="shared" si="99"/>
        <v>12.0763</v>
      </c>
      <c r="I616" s="1243">
        <f t="shared" si="93"/>
        <v>0.50406995520151043</v>
      </c>
      <c r="J616" s="1243">
        <f t="shared" si="100"/>
        <v>0.12093838824177333</v>
      </c>
      <c r="K616" s="1243">
        <f t="shared" si="101"/>
        <v>0.1</v>
      </c>
      <c r="L616" s="203"/>
      <c r="N616" s="1425">
        <v>44341</v>
      </c>
      <c r="O616" s="1502">
        <v>18.163599999999999</v>
      </c>
      <c r="P616" s="1502">
        <v>4.7295999999999996</v>
      </c>
      <c r="Q616" s="1502">
        <v>16.627700000000001</v>
      </c>
      <c r="R616" s="1233">
        <f>'B. PE'!$U$23</f>
        <v>15.978235616082999</v>
      </c>
      <c r="S616" s="1233"/>
      <c r="T616" s="1233"/>
      <c r="V616" s="1425">
        <v>44341</v>
      </c>
      <c r="W616" s="1">
        <v>12.0763</v>
      </c>
      <c r="X616" s="1">
        <v>1.131</v>
      </c>
      <c r="Y616" s="1">
        <v>9.5282</v>
      </c>
      <c r="Z616" s="1">
        <v>0.73577999999999999</v>
      </c>
      <c r="AB616" s="1425">
        <v>44314</v>
      </c>
      <c r="AC616" s="1">
        <v>12.2363</v>
      </c>
      <c r="AD616" s="1502">
        <v>1.6924999999999999</v>
      </c>
      <c r="AE616" s="1">
        <v>6.2298</v>
      </c>
      <c r="AF616" s="1">
        <v>4.2849999999999999E-2</v>
      </c>
      <c r="AH616" s="1425">
        <v>44314</v>
      </c>
      <c r="AI616" s="1">
        <v>10.3278</v>
      </c>
      <c r="AJ616" s="1">
        <v>1.6486000000000001</v>
      </c>
      <c r="AK616" s="1">
        <v>4.0152999999999999</v>
      </c>
      <c r="AL616" s="1">
        <v>2.281E-2</v>
      </c>
      <c r="AN616" s="1425">
        <v>44314</v>
      </c>
      <c r="AO616" s="1">
        <v>10.962300000000001</v>
      </c>
      <c r="AP616" s="1">
        <v>1.3479000000000001</v>
      </c>
      <c r="AQ616" s="1">
        <v>6.0880999999999998</v>
      </c>
      <c r="AR616" s="1">
        <v>0.33555000000000001</v>
      </c>
      <c r="AT616" s="1425">
        <v>44314</v>
      </c>
      <c r="AU616" s="1">
        <v>7.8807999999999998</v>
      </c>
      <c r="AV616" s="1">
        <v>0.54600000000000004</v>
      </c>
      <c r="AW616" s="1">
        <v>5.1947000000000001</v>
      </c>
      <c r="AX616" s="1">
        <v>0.1452</v>
      </c>
      <c r="BA616" s="1425">
        <v>44309</v>
      </c>
      <c r="BB616" s="1">
        <v>13.9916</v>
      </c>
      <c r="BC616" s="1">
        <v>3.0644</v>
      </c>
      <c r="BD616" s="1">
        <v>12.4171</v>
      </c>
      <c r="BE616" s="1">
        <v>0.87829000000000002</v>
      </c>
      <c r="BG616" s="1425">
        <v>44309</v>
      </c>
      <c r="BH616" s="1">
        <v>31.229199999999999</v>
      </c>
      <c r="BI616" s="1">
        <v>5.9269999999999996</v>
      </c>
      <c r="BJ616" s="1">
        <v>30.442699999999999</v>
      </c>
      <c r="BT616" s="1425">
        <v>44341</v>
      </c>
      <c r="BU616" s="1">
        <v>16.1341</v>
      </c>
      <c r="BV616" s="1">
        <v>4.0162000000000004</v>
      </c>
      <c r="BW616" s="1">
        <v>9.5153999999999996</v>
      </c>
      <c r="BX616" s="1">
        <v>2.1025</v>
      </c>
      <c r="BZ616" s="1425">
        <v>44341</v>
      </c>
      <c r="CA616" s="1">
        <v>109.2581</v>
      </c>
      <c r="CB616" s="1">
        <v>1.6498999999999999</v>
      </c>
      <c r="CC616" s="1">
        <v>102.37139999999999</v>
      </c>
      <c r="CD616" s="1">
        <v>0.64881999999999995</v>
      </c>
      <c r="CF616" s="1425">
        <v>44340</v>
      </c>
      <c r="CG616" s="1">
        <v>7.7241999999999997</v>
      </c>
      <c r="CH616" s="1">
        <v>1.3331</v>
      </c>
      <c r="CI616" s="1">
        <v>4.2483000000000004</v>
      </c>
      <c r="CL616" s="1425">
        <v>44356</v>
      </c>
      <c r="CM616" s="1">
        <v>30.0778</v>
      </c>
      <c r="CN616" s="1">
        <v>2.7145000000000001</v>
      </c>
      <c r="CO616" s="1">
        <v>12.0105</v>
      </c>
    </row>
    <row r="617" spans="1:93">
      <c r="A617" s="1425">
        <v>44340</v>
      </c>
      <c r="B617" s="20">
        <f t="shared" si="92"/>
        <v>18.150600000000001</v>
      </c>
      <c r="C617" s="20">
        <f t="shared" si="94"/>
        <v>11.795400000000001</v>
      </c>
      <c r="D617" s="20">
        <f t="shared" si="95"/>
        <v>10.640700000000001</v>
      </c>
      <c r="E617" s="20">
        <f t="shared" si="96"/>
        <v>10.8787</v>
      </c>
      <c r="F617" s="20">
        <f t="shared" si="97"/>
        <v>31.835599999999999</v>
      </c>
      <c r="G617" s="20">
        <f t="shared" si="98"/>
        <v>17.456199999999999</v>
      </c>
      <c r="H617" s="1239">
        <f t="shared" si="99"/>
        <v>11.795400000000001</v>
      </c>
      <c r="I617" s="1243">
        <f t="shared" si="93"/>
        <v>0.53878630652627302</v>
      </c>
      <c r="J617" s="1243">
        <f t="shared" si="100"/>
        <v>0.12093838824177333</v>
      </c>
      <c r="K617" s="1243">
        <f t="shared" si="101"/>
        <v>0.1</v>
      </c>
      <c r="L617" s="203"/>
      <c r="N617" s="1425">
        <v>44340</v>
      </c>
      <c r="O617" s="1502">
        <v>18.150600000000001</v>
      </c>
      <c r="P617" s="1502">
        <v>4.7262000000000004</v>
      </c>
      <c r="Q617" s="1502">
        <v>16.615500000000001</v>
      </c>
      <c r="R617" s="1233">
        <f>'B. PE'!$U$23</f>
        <v>15.978235616082999</v>
      </c>
      <c r="S617" s="1233"/>
      <c r="T617" s="1233"/>
      <c r="V617" s="1425">
        <v>44340</v>
      </c>
      <c r="W617" s="1">
        <v>11.795400000000001</v>
      </c>
      <c r="X617" s="1">
        <v>1.1047</v>
      </c>
      <c r="Y617" s="1">
        <v>9.3780000000000001</v>
      </c>
      <c r="Z617" s="1">
        <v>0.72313000000000005</v>
      </c>
      <c r="AB617" s="1425">
        <v>44313</v>
      </c>
      <c r="AC617" s="1">
        <v>12.338200000000001</v>
      </c>
      <c r="AD617" s="1502">
        <v>1.7065999999999999</v>
      </c>
      <c r="AE617" s="1">
        <v>6.2693000000000003</v>
      </c>
      <c r="AF617" s="1">
        <v>4.2020000000000002E-2</v>
      </c>
      <c r="AH617" s="1425">
        <v>44313</v>
      </c>
      <c r="AI617" s="1">
        <v>10.3278</v>
      </c>
      <c r="AJ617" s="1">
        <v>1.6486000000000001</v>
      </c>
      <c r="AK617" s="1">
        <v>4.0152999999999999</v>
      </c>
      <c r="AL617" s="1">
        <v>2.2800000000000001E-2</v>
      </c>
      <c r="AN617" s="1425">
        <v>44313</v>
      </c>
      <c r="AO617" s="1">
        <v>10.962300000000001</v>
      </c>
      <c r="AP617" s="1">
        <v>1.3479000000000001</v>
      </c>
      <c r="AQ617" s="1">
        <v>6.0880999999999998</v>
      </c>
      <c r="AR617" s="1">
        <v>0.32740999999999998</v>
      </c>
      <c r="AT617" s="1425">
        <v>44313</v>
      </c>
      <c r="AU617" s="1">
        <v>7.8807999999999998</v>
      </c>
      <c r="AV617" s="1">
        <v>0.54600000000000004</v>
      </c>
      <c r="AW617" s="1">
        <v>5.1947000000000001</v>
      </c>
      <c r="AX617" s="1">
        <v>0.14119000000000001</v>
      </c>
      <c r="BA617" s="1425">
        <v>44308</v>
      </c>
      <c r="BB617" s="1">
        <v>14.6579</v>
      </c>
      <c r="BC617" s="1">
        <v>3.2103000000000002</v>
      </c>
      <c r="BD617" s="1">
        <v>12.8705</v>
      </c>
      <c r="BE617" s="1">
        <v>0.87089000000000005</v>
      </c>
      <c r="BG617" s="1425">
        <v>44308</v>
      </c>
      <c r="BH617" s="1">
        <v>31.229199999999999</v>
      </c>
      <c r="BI617" s="1">
        <v>5.9269999999999996</v>
      </c>
      <c r="BJ617" s="1">
        <v>30.442699999999999</v>
      </c>
      <c r="BT617" s="1425">
        <v>44340</v>
      </c>
      <c r="BU617" s="1">
        <v>16.1341</v>
      </c>
      <c r="BV617" s="1">
        <v>4.0162000000000004</v>
      </c>
      <c r="BW617" s="1">
        <v>9.5153999999999996</v>
      </c>
      <c r="BX617" s="1">
        <v>2.1694</v>
      </c>
      <c r="BZ617" s="1425">
        <v>44340</v>
      </c>
      <c r="CA617" s="1">
        <v>108.62779999999999</v>
      </c>
      <c r="CB617" s="1">
        <v>1.6404000000000001</v>
      </c>
      <c r="CC617" s="1">
        <v>102.0813</v>
      </c>
      <c r="CD617" s="1">
        <v>0.61119999999999997</v>
      </c>
      <c r="CF617" s="1425">
        <v>44337</v>
      </c>
      <c r="CG617" s="1">
        <v>7.5335000000000001</v>
      </c>
      <c r="CH617" s="1">
        <v>1.3002</v>
      </c>
      <c r="CI617" s="1">
        <v>4.1252000000000004</v>
      </c>
      <c r="CL617" s="1425">
        <v>44355</v>
      </c>
      <c r="CM617" s="1">
        <v>29.849799999999998</v>
      </c>
      <c r="CN617" s="1">
        <v>2.6939000000000002</v>
      </c>
      <c r="CO617" s="1">
        <v>11.9184</v>
      </c>
    </row>
    <row r="618" spans="1:93">
      <c r="A618" s="1425">
        <v>44337</v>
      </c>
      <c r="B618" s="20">
        <f t="shared" si="92"/>
        <v>17.457999999999998</v>
      </c>
      <c r="C618" s="20">
        <f t="shared" si="94"/>
        <v>11.318</v>
      </c>
      <c r="D618" s="20">
        <f t="shared" si="95"/>
        <v>10.7659</v>
      </c>
      <c r="E618" s="20">
        <f t="shared" si="96"/>
        <v>10.543900000000001</v>
      </c>
      <c r="F618" s="20">
        <f t="shared" si="97"/>
        <v>31.835599999999999</v>
      </c>
      <c r="G618" s="20">
        <f t="shared" si="98"/>
        <v>17.456199999999999</v>
      </c>
      <c r="H618" s="1239">
        <f t="shared" si="99"/>
        <v>11.318</v>
      </c>
      <c r="I618" s="1243">
        <f t="shared" si="93"/>
        <v>0.54249867467750468</v>
      </c>
      <c r="J618" s="1243">
        <f t="shared" si="100"/>
        <v>0.12093838824177333</v>
      </c>
      <c r="K618" s="1243">
        <f t="shared" si="101"/>
        <v>0.1</v>
      </c>
      <c r="L618" s="203"/>
      <c r="N618" s="1425">
        <v>44337</v>
      </c>
      <c r="O618" s="1502">
        <v>17.457999999999998</v>
      </c>
      <c r="P618" s="1502">
        <v>4.5458999999999996</v>
      </c>
      <c r="Q618" s="1502">
        <v>15.9656</v>
      </c>
      <c r="R618" s="1233">
        <f>'B. PE'!$U$23</f>
        <v>15.978235616082999</v>
      </c>
      <c r="S618" s="1233"/>
      <c r="T618" s="1233"/>
      <c r="V618" s="1425">
        <v>44337</v>
      </c>
      <c r="W618" s="1">
        <v>11.318</v>
      </c>
      <c r="X618" s="1">
        <v>1.06</v>
      </c>
      <c r="Y618" s="1">
        <v>9.1226000000000003</v>
      </c>
      <c r="Z618" s="1">
        <v>0.73411999999999999</v>
      </c>
      <c r="AB618" s="1425">
        <v>44312</v>
      </c>
      <c r="AC618" s="1">
        <v>12.6441</v>
      </c>
      <c r="AD618" s="1502">
        <v>1.7488999999999999</v>
      </c>
      <c r="AE618" s="1">
        <v>6.3879000000000001</v>
      </c>
      <c r="AF618" s="1">
        <v>4.1959999999999997E-2</v>
      </c>
      <c r="AH618" s="1425">
        <v>44312</v>
      </c>
      <c r="AI618" s="1">
        <v>10.3278</v>
      </c>
      <c r="AJ618" s="1">
        <v>1.6486000000000001</v>
      </c>
      <c r="AK618" s="1">
        <v>4.0152999999999999</v>
      </c>
      <c r="AL618" s="1">
        <v>2.298E-2</v>
      </c>
      <c r="AN618" s="1425">
        <v>44312</v>
      </c>
      <c r="AO618" s="1">
        <v>11.5063</v>
      </c>
      <c r="AP618" s="1">
        <v>1.4148000000000001</v>
      </c>
      <c r="AQ618" s="1">
        <v>6.5160999999999998</v>
      </c>
      <c r="AR618" s="1">
        <v>0.32224000000000003</v>
      </c>
      <c r="AT618" s="1425">
        <v>44312</v>
      </c>
      <c r="AU618" s="1">
        <v>7.8807999999999998</v>
      </c>
      <c r="AV618" s="1">
        <v>0.54600000000000004</v>
      </c>
      <c r="AW618" s="1">
        <v>5.1947000000000001</v>
      </c>
      <c r="AX618" s="1">
        <v>0.14105999999999999</v>
      </c>
      <c r="BA618" s="1425">
        <v>44307</v>
      </c>
      <c r="BB618" s="1">
        <v>14.6579</v>
      </c>
      <c r="BC618" s="1">
        <v>3.2103000000000002</v>
      </c>
      <c r="BD618" s="1">
        <v>12.8705</v>
      </c>
      <c r="BE618" s="1">
        <v>0.90522000000000002</v>
      </c>
      <c r="BG618" s="1425">
        <v>44307</v>
      </c>
      <c r="BH618" s="1">
        <v>31.835599999999999</v>
      </c>
      <c r="BI618" s="1">
        <v>6.0420999999999996</v>
      </c>
      <c r="BJ618" s="1">
        <v>31.000900000000001</v>
      </c>
      <c r="BT618" s="1425">
        <v>44337</v>
      </c>
      <c r="BU618" s="1">
        <v>16.067799999999998</v>
      </c>
      <c r="BV618" s="1">
        <v>3.9996999999999998</v>
      </c>
      <c r="BW618" s="1">
        <v>9.4783000000000008</v>
      </c>
      <c r="BX618" s="1">
        <v>2.0493999999999999</v>
      </c>
      <c r="BZ618" s="1425">
        <v>44337</v>
      </c>
      <c r="CA618" s="1">
        <v>108.41759999999999</v>
      </c>
      <c r="CB618" s="1">
        <v>1.6372</v>
      </c>
      <c r="CC618" s="1">
        <v>101.9846</v>
      </c>
      <c r="CD618" s="1">
        <v>0.63261000000000001</v>
      </c>
      <c r="CF618" s="1425">
        <v>44336</v>
      </c>
      <c r="CG618" s="1">
        <v>7.4381000000000004</v>
      </c>
      <c r="CH618" s="1">
        <v>1.2837000000000001</v>
      </c>
      <c r="CI618" s="1">
        <v>4.0636000000000001</v>
      </c>
      <c r="CL618" s="1425">
        <v>44354</v>
      </c>
      <c r="CM618" s="1">
        <v>29.849799999999998</v>
      </c>
      <c r="CN618" s="1">
        <v>2.6939000000000002</v>
      </c>
      <c r="CO618" s="1">
        <v>11.9184</v>
      </c>
    </row>
    <row r="619" spans="1:93">
      <c r="A619" s="1425">
        <v>44336</v>
      </c>
      <c r="B619" s="20">
        <f t="shared" si="92"/>
        <v>18.098299999999998</v>
      </c>
      <c r="C619" s="20">
        <f t="shared" si="94"/>
        <v>11.1214</v>
      </c>
      <c r="D619" s="20">
        <f t="shared" si="95"/>
        <v>10.7659</v>
      </c>
      <c r="E619" s="20">
        <f t="shared" si="96"/>
        <v>10.669499999999999</v>
      </c>
      <c r="F619" s="20">
        <f t="shared" si="97"/>
        <v>31.532399999999999</v>
      </c>
      <c r="G619" s="20">
        <f t="shared" si="98"/>
        <v>17.322900000000001</v>
      </c>
      <c r="H619" s="1239">
        <f t="shared" si="99"/>
        <v>11.1214</v>
      </c>
      <c r="I619" s="1243">
        <f t="shared" si="93"/>
        <v>0.6273400830830651</v>
      </c>
      <c r="J619" s="1243">
        <f t="shared" si="100"/>
        <v>0.12093838824177333</v>
      </c>
      <c r="K619" s="1243">
        <f t="shared" si="101"/>
        <v>0.1</v>
      </c>
      <c r="L619" s="203"/>
      <c r="N619" s="1425">
        <v>44336</v>
      </c>
      <c r="O619" s="1502">
        <v>18.098299999999998</v>
      </c>
      <c r="P619" s="1502">
        <v>4.7126000000000001</v>
      </c>
      <c r="Q619" s="1502">
        <v>16.566400000000002</v>
      </c>
      <c r="R619" s="1233">
        <f>'B. PE'!$U$23</f>
        <v>15.978235616082999</v>
      </c>
      <c r="S619" s="1233"/>
      <c r="T619" s="1233"/>
      <c r="V619" s="1425">
        <v>44336</v>
      </c>
      <c r="W619" s="1">
        <v>11.1214</v>
      </c>
      <c r="X619" s="1">
        <v>1.0416000000000001</v>
      </c>
      <c r="Y619" s="1">
        <v>9.0174000000000003</v>
      </c>
      <c r="Z619" s="1">
        <v>0.73777000000000004</v>
      </c>
      <c r="AB619" s="1425">
        <v>44309</v>
      </c>
      <c r="AC619" s="1">
        <v>12.440200000000001</v>
      </c>
      <c r="AD619" s="1502">
        <v>1.7206999999999999</v>
      </c>
      <c r="AE619" s="1">
        <v>6.3087999999999997</v>
      </c>
      <c r="AF619" s="1">
        <v>4.301E-2</v>
      </c>
      <c r="AH619" s="1425">
        <v>44309</v>
      </c>
      <c r="AI619" s="1">
        <v>10.3591</v>
      </c>
      <c r="AJ619" s="1">
        <v>1.6536</v>
      </c>
      <c r="AK619" s="1">
        <v>4.0312000000000001</v>
      </c>
      <c r="AL619" s="1">
        <v>2.291E-2</v>
      </c>
      <c r="AN619" s="1425">
        <v>44309</v>
      </c>
      <c r="AO619" s="1">
        <v>11.2552</v>
      </c>
      <c r="AP619" s="1">
        <v>1.3838999999999999</v>
      </c>
      <c r="AQ619" s="1">
        <v>6.3185000000000002</v>
      </c>
      <c r="AR619" s="1">
        <v>0.32285000000000003</v>
      </c>
      <c r="AT619" s="1425">
        <v>44309</v>
      </c>
      <c r="AU619" s="1">
        <v>7.6821000000000002</v>
      </c>
      <c r="AV619" s="1">
        <v>0.53220000000000001</v>
      </c>
      <c r="AW619" s="1">
        <v>5.0868000000000002</v>
      </c>
      <c r="AX619" s="1">
        <v>0.13836999999999999</v>
      </c>
      <c r="BA619" s="1425">
        <v>44306</v>
      </c>
      <c r="BB619" s="1">
        <v>14.5246</v>
      </c>
      <c r="BC619" s="1">
        <v>3.1810999999999998</v>
      </c>
      <c r="BD619" s="1">
        <v>12.7798</v>
      </c>
      <c r="BE619" s="1">
        <v>0.85019999999999996</v>
      </c>
      <c r="BG619" s="1425">
        <v>44306</v>
      </c>
      <c r="BH619" s="1">
        <v>31.229199999999999</v>
      </c>
      <c r="BI619" s="1">
        <v>5.9269999999999996</v>
      </c>
      <c r="BJ619" s="1">
        <v>30.442699999999999</v>
      </c>
      <c r="BT619" s="1425">
        <v>44336</v>
      </c>
      <c r="BU619" s="1">
        <v>16.5761</v>
      </c>
      <c r="BV619" s="1">
        <v>4.1261999999999999</v>
      </c>
      <c r="BW619" s="1">
        <v>9.7627000000000006</v>
      </c>
      <c r="BX619" s="1">
        <v>2.0493999999999999</v>
      </c>
      <c r="BZ619" s="1425">
        <v>44336</v>
      </c>
      <c r="CA619" s="1">
        <v>102.1143</v>
      </c>
      <c r="CB619" s="1">
        <v>1.542</v>
      </c>
      <c r="CC619" s="1">
        <v>99.0839</v>
      </c>
      <c r="CD619" s="1">
        <v>0.65146999999999999</v>
      </c>
      <c r="CF619" s="1425">
        <v>44335</v>
      </c>
      <c r="CG619" s="1">
        <v>7.5335000000000001</v>
      </c>
      <c r="CH619" s="1">
        <v>1.3002</v>
      </c>
      <c r="CI619" s="1">
        <v>4.1252000000000004</v>
      </c>
      <c r="CL619" s="1425">
        <v>44351</v>
      </c>
      <c r="CM619" s="1">
        <v>30.057099999999998</v>
      </c>
      <c r="CN619" s="1">
        <v>2.7126000000000001</v>
      </c>
      <c r="CO619" s="1">
        <v>12.0021</v>
      </c>
    </row>
    <row r="620" spans="1:93">
      <c r="A620" s="1425">
        <v>44335</v>
      </c>
      <c r="B620" s="20">
        <f t="shared" si="92"/>
        <v>17.706299999999999</v>
      </c>
      <c r="C620" s="20">
        <f t="shared" si="94"/>
        <v>11.289899999999999</v>
      </c>
      <c r="D620" s="20">
        <f t="shared" si="95"/>
        <v>10.640700000000001</v>
      </c>
      <c r="E620" s="20">
        <f t="shared" si="96"/>
        <v>10.669499999999999</v>
      </c>
      <c r="F620" s="20">
        <f t="shared" si="97"/>
        <v>33.351599999999998</v>
      </c>
      <c r="G620" s="20">
        <f t="shared" si="98"/>
        <v>17.589500000000001</v>
      </c>
      <c r="H620" s="1239">
        <f t="shared" si="99"/>
        <v>11.289899999999999</v>
      </c>
      <c r="I620" s="1243">
        <f t="shared" si="93"/>
        <v>0.56833098610262267</v>
      </c>
      <c r="J620" s="1243">
        <f t="shared" si="100"/>
        <v>0.12093838824177333</v>
      </c>
      <c r="K620" s="1243">
        <f t="shared" si="101"/>
        <v>0.1</v>
      </c>
      <c r="L620" s="203"/>
      <c r="N620" s="1425">
        <v>44335</v>
      </c>
      <c r="O620" s="1502">
        <v>17.706299999999999</v>
      </c>
      <c r="P620" s="1502">
        <v>4.6105999999999998</v>
      </c>
      <c r="Q620" s="1502">
        <v>16.198599999999999</v>
      </c>
      <c r="R620" s="1233">
        <f>'B. PE'!$U$23</f>
        <v>15.978235616082999</v>
      </c>
      <c r="S620" s="1233"/>
      <c r="T620" s="1233"/>
      <c r="V620" s="1425">
        <v>44335</v>
      </c>
      <c r="W620" s="1">
        <v>11.289899999999999</v>
      </c>
      <c r="X620" s="1">
        <v>1.0573999999999999</v>
      </c>
      <c r="Y620" s="1">
        <v>9.1075999999999997</v>
      </c>
      <c r="Z620" s="1">
        <v>0.74148999999999998</v>
      </c>
      <c r="AB620" s="1425">
        <v>44308</v>
      </c>
      <c r="AC620" s="1">
        <v>12.440200000000001</v>
      </c>
      <c r="AD620" s="1502">
        <v>1.7206999999999999</v>
      </c>
      <c r="AE620" s="1">
        <v>6.3087999999999997</v>
      </c>
      <c r="AF620" s="1">
        <v>4.2659999999999997E-2</v>
      </c>
      <c r="AH620" s="1425">
        <v>44308</v>
      </c>
      <c r="AI620" s="1">
        <v>10.452999999999999</v>
      </c>
      <c r="AJ620" s="1">
        <v>1.6685000000000001</v>
      </c>
      <c r="AK620" s="1">
        <v>4.0789999999999997</v>
      </c>
      <c r="AL620" s="1">
        <v>2.298E-2</v>
      </c>
      <c r="AN620" s="1425">
        <v>44308</v>
      </c>
      <c r="AO620" s="1">
        <v>11.087899999999999</v>
      </c>
      <c r="AP620" s="1">
        <v>1.3633999999999999</v>
      </c>
      <c r="AQ620" s="1">
        <v>6.1868999999999996</v>
      </c>
      <c r="AR620" s="1">
        <v>0.32557000000000003</v>
      </c>
      <c r="AT620" s="1425">
        <v>44308</v>
      </c>
      <c r="AU620" s="1">
        <v>7.6821000000000002</v>
      </c>
      <c r="AV620" s="1">
        <v>0.53220000000000001</v>
      </c>
      <c r="AW620" s="1">
        <v>5.0868000000000002</v>
      </c>
      <c r="AX620" s="1">
        <v>0.13971</v>
      </c>
      <c r="BA620" s="1425">
        <v>44305</v>
      </c>
      <c r="BB620" s="1">
        <v>15.057600000000001</v>
      </c>
      <c r="BC620" s="1">
        <v>3.2978999999999998</v>
      </c>
      <c r="BD620" s="1">
        <v>13.1426</v>
      </c>
      <c r="BE620" s="1">
        <v>0.80983000000000005</v>
      </c>
      <c r="BG620" s="1425">
        <v>44305</v>
      </c>
      <c r="BH620" s="1">
        <v>32.745199999999997</v>
      </c>
      <c r="BI620" s="1">
        <v>6.2146999999999997</v>
      </c>
      <c r="BJ620" s="1">
        <v>31.838200000000001</v>
      </c>
      <c r="BT620" s="1425">
        <v>44335</v>
      </c>
      <c r="BU620" s="1">
        <v>15.658899999999999</v>
      </c>
      <c r="BV620" s="1">
        <v>3.8978999999999999</v>
      </c>
      <c r="BW620" s="1">
        <v>9.2495999999999992</v>
      </c>
      <c r="BX620" s="1">
        <v>2.0467</v>
      </c>
      <c r="BZ620" s="1425">
        <v>44335</v>
      </c>
      <c r="CA620" s="1">
        <v>105.6862</v>
      </c>
      <c r="CB620" s="1">
        <v>1.5959000000000001</v>
      </c>
      <c r="CC620" s="1">
        <v>100.7277</v>
      </c>
      <c r="CD620" s="1">
        <v>0.66788000000000003</v>
      </c>
      <c r="CF620" s="1425">
        <v>44334</v>
      </c>
      <c r="CG620" s="1">
        <v>7.5811999999999999</v>
      </c>
      <c r="CH620" s="1">
        <v>1.3084</v>
      </c>
      <c r="CI620" s="1">
        <v>4.1559999999999997</v>
      </c>
      <c r="CL620" s="1425">
        <v>44350</v>
      </c>
      <c r="CM620" s="1">
        <v>30.222899999999999</v>
      </c>
      <c r="CN620" s="1">
        <v>2.7275999999999998</v>
      </c>
      <c r="CO620" s="1">
        <v>12.069100000000001</v>
      </c>
    </row>
    <row r="621" spans="1:93">
      <c r="A621" s="1425">
        <v>44334</v>
      </c>
      <c r="B621" s="20">
        <f t="shared" si="92"/>
        <v>17.523299999999999</v>
      </c>
      <c r="C621" s="20">
        <f t="shared" si="94"/>
        <v>11.3461</v>
      </c>
      <c r="D621" s="20">
        <f t="shared" si="95"/>
        <v>10.640700000000001</v>
      </c>
      <c r="E621" s="20">
        <f t="shared" si="96"/>
        <v>10.627599999999999</v>
      </c>
      <c r="F621" s="20">
        <f t="shared" si="97"/>
        <v>33.654800000000002</v>
      </c>
      <c r="G621" s="20">
        <f t="shared" si="98"/>
        <v>18.255700000000001</v>
      </c>
      <c r="H621" s="1239">
        <f t="shared" si="99"/>
        <v>11.3461</v>
      </c>
      <c r="I621" s="1243">
        <f t="shared" si="93"/>
        <v>0.5444337701941635</v>
      </c>
      <c r="J621" s="1243">
        <f t="shared" si="100"/>
        <v>0.12093838824177333</v>
      </c>
      <c r="K621" s="1243">
        <f t="shared" si="101"/>
        <v>0.1</v>
      </c>
      <c r="L621" s="203"/>
      <c r="N621" s="1425">
        <v>44334</v>
      </c>
      <c r="O621" s="1502">
        <v>17.523299999999999</v>
      </c>
      <c r="P621" s="1502">
        <v>4.5629</v>
      </c>
      <c r="Q621" s="1502">
        <v>16.026900000000001</v>
      </c>
      <c r="R621" s="1233">
        <f>'B. PE'!$U$23</f>
        <v>15.978235616082999</v>
      </c>
      <c r="S621" s="1233"/>
      <c r="T621" s="1233"/>
      <c r="V621" s="1425">
        <v>44334</v>
      </c>
      <c r="W621" s="1">
        <v>11.3461</v>
      </c>
      <c r="X621" s="1">
        <v>1.0626</v>
      </c>
      <c r="Y621" s="1">
        <v>9.1376000000000008</v>
      </c>
      <c r="Z621" s="1">
        <v>0.78910999999999998</v>
      </c>
      <c r="AB621" s="1425">
        <v>44307</v>
      </c>
      <c r="AC621" s="1">
        <v>12.7461</v>
      </c>
      <c r="AD621" s="1502">
        <v>1.7629999999999999</v>
      </c>
      <c r="AE621" s="1">
        <v>6.4273999999999996</v>
      </c>
      <c r="AF621" s="1">
        <v>4.2320000000000003E-2</v>
      </c>
      <c r="AH621" s="1425">
        <v>44307</v>
      </c>
      <c r="AI621" s="1">
        <v>10.4217</v>
      </c>
      <c r="AJ621" s="1">
        <v>1.6636</v>
      </c>
      <c r="AK621" s="1">
        <v>4.0631000000000004</v>
      </c>
      <c r="AL621" s="1">
        <v>2.2839999999999999E-2</v>
      </c>
      <c r="AN621" s="1425">
        <v>44307</v>
      </c>
      <c r="AO621" s="1">
        <v>11.1297</v>
      </c>
      <c r="AP621" s="1">
        <v>1.3685</v>
      </c>
      <c r="AQ621" s="1">
        <v>6.2198000000000002</v>
      </c>
      <c r="AR621" s="1">
        <v>0.32374999999999998</v>
      </c>
      <c r="AT621" s="1425">
        <v>44307</v>
      </c>
      <c r="AU621" s="1">
        <v>7.5496999999999996</v>
      </c>
      <c r="AV621" s="1">
        <v>0.52310000000000001</v>
      </c>
      <c r="AW621" s="1">
        <v>5.0148999999999999</v>
      </c>
      <c r="AX621" s="1">
        <v>0.13944000000000001</v>
      </c>
      <c r="BA621" s="1425">
        <v>44302</v>
      </c>
      <c r="BB621" s="1">
        <v>14.1249</v>
      </c>
      <c r="BC621" s="1">
        <v>3.0935999999999999</v>
      </c>
      <c r="BD621" s="1">
        <v>12.5078</v>
      </c>
      <c r="BE621" s="1">
        <v>0.85829</v>
      </c>
      <c r="BG621" s="1425">
        <v>44302</v>
      </c>
      <c r="BH621" s="1">
        <v>29.591899999999999</v>
      </c>
      <c r="BI621" s="1">
        <v>5.6162999999999998</v>
      </c>
      <c r="BJ621" s="1">
        <v>28.935600000000001</v>
      </c>
      <c r="BT621" s="1425">
        <v>44334</v>
      </c>
      <c r="BU621" s="1">
        <v>15.658899999999999</v>
      </c>
      <c r="BV621" s="1">
        <v>3.8978999999999999</v>
      </c>
      <c r="BW621" s="1">
        <v>9.2495999999999992</v>
      </c>
      <c r="BX621" s="1">
        <v>2.0615000000000001</v>
      </c>
      <c r="BZ621" s="1425">
        <v>44334</v>
      </c>
      <c r="CA621" s="1">
        <v>108.8379</v>
      </c>
      <c r="CB621" s="1">
        <v>1.6435</v>
      </c>
      <c r="CC621" s="1">
        <v>102.178</v>
      </c>
      <c r="CD621" s="1">
        <v>0.67806</v>
      </c>
      <c r="CF621" s="1425">
        <v>44333</v>
      </c>
      <c r="CG621" s="1">
        <v>7.6765999999999996</v>
      </c>
      <c r="CH621" s="1">
        <v>1.3248</v>
      </c>
      <c r="CI621" s="1">
        <v>4.2176</v>
      </c>
      <c r="CL621" s="1425">
        <v>44349</v>
      </c>
      <c r="CM621" s="1">
        <v>30.2851</v>
      </c>
      <c r="CN621" s="1">
        <v>2.7332000000000001</v>
      </c>
      <c r="CO621" s="1">
        <v>12.094200000000001</v>
      </c>
    </row>
    <row r="622" spans="1:93">
      <c r="A622" s="1425">
        <v>44333</v>
      </c>
      <c r="B622" s="20">
        <f t="shared" si="92"/>
        <v>16.8308</v>
      </c>
      <c r="C622" s="20">
        <f t="shared" si="94"/>
        <v>11.4023</v>
      </c>
      <c r="D622" s="20">
        <f t="shared" si="95"/>
        <v>10.578200000000001</v>
      </c>
      <c r="E622" s="20">
        <f t="shared" si="96"/>
        <v>10.209199999999999</v>
      </c>
      <c r="F622" s="20">
        <f t="shared" si="97"/>
        <v>33.351599999999998</v>
      </c>
      <c r="G622" s="20">
        <f t="shared" si="98"/>
        <v>17.856000000000002</v>
      </c>
      <c r="H622" s="1239">
        <f t="shared" si="99"/>
        <v>11.4023</v>
      </c>
      <c r="I622" s="1243">
        <f t="shared" si="93"/>
        <v>0.47608815765240342</v>
      </c>
      <c r="J622" s="1243">
        <f t="shared" si="100"/>
        <v>0.12093838824177333</v>
      </c>
      <c r="K622" s="1243">
        <f t="shared" si="101"/>
        <v>0.1</v>
      </c>
      <c r="L622" s="203"/>
      <c r="N622" s="1425">
        <v>44333</v>
      </c>
      <c r="O622" s="1502">
        <v>16.8308</v>
      </c>
      <c r="P622" s="1502">
        <v>4.3826000000000001</v>
      </c>
      <c r="Q622" s="1502">
        <v>15.377000000000001</v>
      </c>
      <c r="R622" s="1233">
        <f>'B. PE'!$U$23</f>
        <v>15.978235616082999</v>
      </c>
      <c r="S622" s="1233"/>
      <c r="T622" s="1233"/>
      <c r="V622" s="1425">
        <v>44333</v>
      </c>
      <c r="W622" s="1">
        <v>11.4023</v>
      </c>
      <c r="X622" s="1">
        <v>1.0679000000000001</v>
      </c>
      <c r="Y622" s="1">
        <v>9.1677</v>
      </c>
      <c r="Z622" s="1">
        <v>0.80362</v>
      </c>
      <c r="AB622" s="1425">
        <v>44306</v>
      </c>
      <c r="AC622" s="1">
        <v>12.6441</v>
      </c>
      <c r="AD622" s="1502">
        <v>1.7488999999999999</v>
      </c>
      <c r="AE622" s="1">
        <v>6.3879000000000001</v>
      </c>
      <c r="AF622" s="1">
        <v>4.4049999999999999E-2</v>
      </c>
      <c r="AH622" s="1425">
        <v>44306</v>
      </c>
      <c r="AI622" s="1">
        <v>10.452999999999999</v>
      </c>
      <c r="AJ622" s="1">
        <v>1.6685000000000001</v>
      </c>
      <c r="AK622" s="1">
        <v>4.0789999999999997</v>
      </c>
      <c r="AL622" s="1">
        <v>2.2710000000000001E-2</v>
      </c>
      <c r="AN622" s="1425">
        <v>44306</v>
      </c>
      <c r="AO622" s="1">
        <v>11.2134</v>
      </c>
      <c r="AP622" s="1">
        <v>1.3788</v>
      </c>
      <c r="AQ622" s="1">
        <v>6.2855999999999996</v>
      </c>
      <c r="AR622" s="1">
        <v>0.32707000000000003</v>
      </c>
      <c r="AT622" s="1425">
        <v>44306</v>
      </c>
      <c r="AU622" s="1">
        <v>7.6158999999999999</v>
      </c>
      <c r="AV622" s="1">
        <v>0.52769999999999995</v>
      </c>
      <c r="AW622" s="1">
        <v>5.0507999999999997</v>
      </c>
      <c r="AX622" s="1">
        <v>0.14172999999999999</v>
      </c>
      <c r="BA622" s="1425">
        <v>44298</v>
      </c>
      <c r="BB622" s="1">
        <v>13.591900000000001</v>
      </c>
      <c r="BC622" s="1">
        <v>2.9767999999999999</v>
      </c>
      <c r="BD622" s="1">
        <v>12.145</v>
      </c>
      <c r="BE622" s="1">
        <v>0.81984999999999997</v>
      </c>
      <c r="BG622" s="1425">
        <v>44298</v>
      </c>
      <c r="BH622" s="1">
        <v>29.1068</v>
      </c>
      <c r="BI622" s="1">
        <v>5.5242000000000004</v>
      </c>
      <c r="BJ622" s="1">
        <v>28.489000000000001</v>
      </c>
      <c r="BT622" s="1425">
        <v>44333</v>
      </c>
      <c r="BU622" s="1">
        <v>15.636799999999999</v>
      </c>
      <c r="BV622" s="1">
        <v>3.8923999999999999</v>
      </c>
      <c r="BW622" s="1">
        <v>9.2372999999999994</v>
      </c>
      <c r="BX622" s="1">
        <v>2.0251000000000001</v>
      </c>
      <c r="BZ622" s="1425">
        <v>44333</v>
      </c>
      <c r="CA622" s="1">
        <v>111.5693</v>
      </c>
      <c r="CB622" s="1">
        <v>1.6848000000000001</v>
      </c>
      <c r="CC622" s="1">
        <v>103.435</v>
      </c>
      <c r="CD622" s="1">
        <v>0.67545999999999995</v>
      </c>
      <c r="CF622" s="1425">
        <v>44330</v>
      </c>
      <c r="CG622" s="1">
        <v>7.8196000000000003</v>
      </c>
      <c r="CH622" s="1">
        <v>1.3494999999999999</v>
      </c>
      <c r="CI622" s="1">
        <v>4.3098999999999998</v>
      </c>
      <c r="CL622" s="1425">
        <v>44348</v>
      </c>
      <c r="CM622" s="1">
        <v>30.2851</v>
      </c>
      <c r="CN622" s="1">
        <v>2.7332000000000001</v>
      </c>
      <c r="CO622" s="1">
        <v>12.094200000000001</v>
      </c>
    </row>
    <row r="623" spans="1:93">
      <c r="A623" s="1425">
        <v>44330</v>
      </c>
      <c r="B623" s="20">
        <f t="shared" si="92"/>
        <v>17.118200000000002</v>
      </c>
      <c r="C623" s="20">
        <f t="shared" si="94"/>
        <v>12.1325</v>
      </c>
      <c r="D623" s="20">
        <f t="shared" si="95"/>
        <v>10.578200000000001</v>
      </c>
      <c r="E623" s="20">
        <f t="shared" si="96"/>
        <v>10.209199999999999</v>
      </c>
      <c r="F623" s="20">
        <f t="shared" si="97"/>
        <v>35.170699999999997</v>
      </c>
      <c r="G623" s="20">
        <f t="shared" si="98"/>
        <v>17.7227</v>
      </c>
      <c r="H623" s="1239">
        <f t="shared" si="99"/>
        <v>12.1325</v>
      </c>
      <c r="I623" s="1243">
        <f t="shared" si="93"/>
        <v>0.41093756439315898</v>
      </c>
      <c r="J623" s="1243">
        <f t="shared" si="100"/>
        <v>0.12093838824177333</v>
      </c>
      <c r="K623" s="1243">
        <f t="shared" si="101"/>
        <v>0.1</v>
      </c>
      <c r="L623" s="203"/>
      <c r="N623" s="1425">
        <v>44330</v>
      </c>
      <c r="O623" s="1502">
        <v>17.118200000000002</v>
      </c>
      <c r="P623" s="1502">
        <v>4.4573999999999998</v>
      </c>
      <c r="Q623" s="1502">
        <v>15.646699999999999</v>
      </c>
      <c r="R623" s="1233">
        <f>'B. PE'!$U$23</f>
        <v>15.978235616082999</v>
      </c>
      <c r="S623" s="1233"/>
      <c r="T623" s="1233"/>
      <c r="V623" s="1425">
        <v>44330</v>
      </c>
      <c r="W623" s="1">
        <v>12.1325</v>
      </c>
      <c r="X623" s="1">
        <v>1.1363000000000001</v>
      </c>
      <c r="Y623" s="1">
        <v>9.5582999999999991</v>
      </c>
      <c r="Z623" s="1">
        <v>0.82142000000000004</v>
      </c>
      <c r="AB623" s="1425">
        <v>44305</v>
      </c>
      <c r="AC623" s="1">
        <v>12.542199999999999</v>
      </c>
      <c r="AD623" s="1502">
        <v>1.7347999999999999</v>
      </c>
      <c r="AE623" s="1">
        <v>6.3483999999999998</v>
      </c>
      <c r="AF623" s="1">
        <v>4.0129999999999999E-2</v>
      </c>
      <c r="AH623" s="1425">
        <v>44305</v>
      </c>
      <c r="AI623" s="1">
        <v>10.3904</v>
      </c>
      <c r="AJ623" s="1">
        <v>1.6586000000000001</v>
      </c>
      <c r="AK623" s="1">
        <v>4.0472000000000001</v>
      </c>
      <c r="AL623" s="1">
        <v>2.2429999999999999E-2</v>
      </c>
      <c r="AN623" s="1425">
        <v>44305</v>
      </c>
      <c r="AO623" s="1">
        <v>11.1715</v>
      </c>
      <c r="AP623" s="1">
        <v>1.3736999999999999</v>
      </c>
      <c r="AQ623" s="1">
        <v>6.2526999999999999</v>
      </c>
      <c r="AR623" s="1">
        <v>0.31879000000000002</v>
      </c>
      <c r="AT623" s="1425">
        <v>44305</v>
      </c>
      <c r="AU623" s="1">
        <v>7.6158999999999999</v>
      </c>
      <c r="AV623" s="1">
        <v>0.52769999999999995</v>
      </c>
      <c r="AW623" s="1">
        <v>5.0507999999999997</v>
      </c>
      <c r="AX623" s="1">
        <v>0.14182</v>
      </c>
      <c r="BA623" s="1425">
        <v>44295</v>
      </c>
      <c r="BB623" s="1">
        <v>14.391400000000001</v>
      </c>
      <c r="BC623" s="1">
        <v>3.1518999999999999</v>
      </c>
      <c r="BD623" s="1">
        <v>12.6892</v>
      </c>
      <c r="BE623" s="1">
        <v>0.80469999999999997</v>
      </c>
      <c r="BG623" s="1425">
        <v>44295</v>
      </c>
      <c r="BH623" s="1">
        <v>30.319600000000001</v>
      </c>
      <c r="BI623" s="1">
        <v>5.7544000000000004</v>
      </c>
      <c r="BJ623" s="1">
        <v>29.605399999999999</v>
      </c>
      <c r="BT623" s="1425">
        <v>44330</v>
      </c>
      <c r="BU623" s="1">
        <v>15.747299999999999</v>
      </c>
      <c r="BV623" s="1">
        <v>3.9199000000000002</v>
      </c>
      <c r="BW623" s="1">
        <v>9.2990999999999993</v>
      </c>
      <c r="BX623" s="1">
        <v>2.0167000000000002</v>
      </c>
      <c r="BZ623" s="1425">
        <v>44330</v>
      </c>
      <c r="CA623" s="1">
        <v>113.25020000000001</v>
      </c>
      <c r="CB623" s="1">
        <v>1.7101999999999999</v>
      </c>
      <c r="CC623" s="1">
        <v>104.2085</v>
      </c>
      <c r="CD623" s="1">
        <v>0.68638999999999994</v>
      </c>
      <c r="CF623" s="1425">
        <v>44329</v>
      </c>
      <c r="CG623" s="1">
        <v>7.8673000000000002</v>
      </c>
      <c r="CH623" s="1">
        <v>1.3577999999999999</v>
      </c>
      <c r="CI623" s="1">
        <v>4.3407</v>
      </c>
      <c r="CL623" s="1425">
        <v>44347</v>
      </c>
      <c r="CM623" s="1">
        <v>30.367999999999999</v>
      </c>
      <c r="CN623" s="1">
        <v>2.7406999999999999</v>
      </c>
      <c r="CO623" s="1">
        <v>12.127700000000001</v>
      </c>
    </row>
    <row r="624" spans="1:93">
      <c r="A624" s="1425">
        <v>44329</v>
      </c>
      <c r="B624" s="20">
        <f t="shared" si="92"/>
        <v>16.072900000000001</v>
      </c>
      <c r="C624" s="20">
        <f t="shared" si="94"/>
        <v>12.357100000000001</v>
      </c>
      <c r="D624" s="20">
        <f t="shared" si="95"/>
        <v>10.578200000000001</v>
      </c>
      <c r="E624" s="20">
        <f t="shared" si="96"/>
        <v>10.209199999999999</v>
      </c>
      <c r="F624" s="20">
        <f t="shared" si="97"/>
        <v>33.048400000000001</v>
      </c>
      <c r="G624" s="20">
        <f t="shared" si="98"/>
        <v>18.122499999999999</v>
      </c>
      <c r="H624" s="1239">
        <f t="shared" si="99"/>
        <v>12.357100000000001</v>
      </c>
      <c r="I624" s="1243">
        <f t="shared" si="93"/>
        <v>0.30070162093047714</v>
      </c>
      <c r="J624" s="1243">
        <f t="shared" si="100"/>
        <v>0.12093838824177333</v>
      </c>
      <c r="K624" s="1243">
        <f t="shared" si="101"/>
        <v>0.1</v>
      </c>
      <c r="L624" s="203"/>
      <c r="N624" s="1425">
        <v>44329</v>
      </c>
      <c r="O624" s="1502">
        <v>16.072900000000001</v>
      </c>
      <c r="P624" s="1502">
        <v>4.1852</v>
      </c>
      <c r="Q624" s="1502">
        <v>14.665699999999999</v>
      </c>
      <c r="R624" s="1233">
        <f>'B. PE'!$U$23</f>
        <v>15.978235616082999</v>
      </c>
      <c r="S624" s="1233"/>
      <c r="T624" s="1233"/>
      <c r="V624" s="1425">
        <v>44329</v>
      </c>
      <c r="W624" s="1">
        <v>12.357100000000001</v>
      </c>
      <c r="X624" s="1">
        <v>1.1573</v>
      </c>
      <c r="Y624" s="1">
        <v>9.6784999999999997</v>
      </c>
      <c r="Z624" s="1">
        <v>0.79974999999999996</v>
      </c>
      <c r="AB624" s="1425">
        <v>44302</v>
      </c>
      <c r="AC624" s="1">
        <v>13.052</v>
      </c>
      <c r="AD624" s="1502">
        <v>1.8052999999999999</v>
      </c>
      <c r="AE624" s="1">
        <v>6.5460000000000003</v>
      </c>
      <c r="AF624" s="1">
        <v>3.9660000000000001E-2</v>
      </c>
      <c r="AH624" s="1425">
        <v>44302</v>
      </c>
      <c r="AI624" s="1">
        <v>10.3278</v>
      </c>
      <c r="AJ624" s="1">
        <v>1.6486000000000001</v>
      </c>
      <c r="AK624" s="1">
        <v>4.0152999999999999</v>
      </c>
      <c r="AL624" s="1">
        <v>2.2499999999999999E-2</v>
      </c>
      <c r="AN624" s="1425">
        <v>44302</v>
      </c>
      <c r="AO624" s="1">
        <v>11.2971</v>
      </c>
      <c r="AP624" s="1">
        <v>1.3891</v>
      </c>
      <c r="AQ624" s="1">
        <v>6.3514999999999997</v>
      </c>
      <c r="AR624" s="1">
        <v>0.32591999999999999</v>
      </c>
      <c r="AT624" s="1425">
        <v>44302</v>
      </c>
      <c r="AU624" s="1">
        <v>7.7483000000000004</v>
      </c>
      <c r="AV624" s="1">
        <v>0.53680000000000005</v>
      </c>
      <c r="AW624" s="1">
        <v>5.1227999999999998</v>
      </c>
      <c r="AX624" s="1">
        <v>0.14418</v>
      </c>
      <c r="BA624" s="1425">
        <v>44294</v>
      </c>
      <c r="BB624" s="1">
        <v>13.725099999999999</v>
      </c>
      <c r="BC624" s="1">
        <v>3.0059999999999998</v>
      </c>
      <c r="BD624" s="1">
        <v>12.2357</v>
      </c>
      <c r="BE624" s="1">
        <v>0.81381000000000003</v>
      </c>
      <c r="BG624" s="1425">
        <v>44294</v>
      </c>
      <c r="BH624" s="1">
        <v>29.470700000000001</v>
      </c>
      <c r="BI624" s="1">
        <v>5.5933000000000002</v>
      </c>
      <c r="BJ624" s="1">
        <v>28.823899999999998</v>
      </c>
      <c r="BT624" s="1425">
        <v>44329</v>
      </c>
      <c r="BU624" s="1">
        <v>15.471</v>
      </c>
      <c r="BV624" s="1">
        <v>3.8511000000000002</v>
      </c>
      <c r="BW624" s="1">
        <v>9.1445000000000007</v>
      </c>
      <c r="BX624" s="1">
        <v>1.9883999999999999</v>
      </c>
      <c r="BZ624" s="1425">
        <v>44329</v>
      </c>
      <c r="CA624" s="1">
        <v>112.83</v>
      </c>
      <c r="CB624" s="1">
        <v>1.7038</v>
      </c>
      <c r="CC624" s="1">
        <v>104.0151</v>
      </c>
      <c r="CD624" s="1">
        <v>0.67905000000000004</v>
      </c>
      <c r="CF624" s="1425">
        <v>44328</v>
      </c>
      <c r="CG624" s="1">
        <v>7.8673000000000002</v>
      </c>
      <c r="CH624" s="1">
        <v>1.3577999999999999</v>
      </c>
      <c r="CI624" s="1">
        <v>4.3407</v>
      </c>
      <c r="CL624" s="1425">
        <v>44344</v>
      </c>
      <c r="CM624" s="1">
        <v>30.430199999999999</v>
      </c>
      <c r="CN624" s="1">
        <v>2.7463000000000002</v>
      </c>
      <c r="CO624" s="1">
        <v>12.152799999999999</v>
      </c>
    </row>
    <row r="625" spans="1:93">
      <c r="A625" s="1425">
        <v>44328</v>
      </c>
      <c r="B625" s="20">
        <f t="shared" si="92"/>
        <v>16.425699999999999</v>
      </c>
      <c r="C625" s="20">
        <f t="shared" si="94"/>
        <v>12.638</v>
      </c>
      <c r="D625" s="20">
        <f t="shared" si="95"/>
        <v>10.578200000000001</v>
      </c>
      <c r="E625" s="20">
        <f t="shared" si="96"/>
        <v>10.4603</v>
      </c>
      <c r="F625" s="20">
        <f t="shared" si="97"/>
        <v>33.654800000000002</v>
      </c>
      <c r="G625" s="20">
        <f t="shared" si="98"/>
        <v>19.055199999999999</v>
      </c>
      <c r="H625" s="1239">
        <f t="shared" si="99"/>
        <v>12.638</v>
      </c>
      <c r="I625" s="1243">
        <f t="shared" si="93"/>
        <v>0.29970723215698669</v>
      </c>
      <c r="J625" s="1243">
        <f t="shared" si="100"/>
        <v>0.12093838824177333</v>
      </c>
      <c r="K625" s="1243">
        <f t="shared" si="101"/>
        <v>0.1</v>
      </c>
      <c r="L625" s="203"/>
      <c r="N625" s="1425">
        <v>44328</v>
      </c>
      <c r="O625" s="1502">
        <v>16.425699999999999</v>
      </c>
      <c r="P625" s="1502">
        <v>4.2770999999999999</v>
      </c>
      <c r="Q625" s="1502">
        <v>14.9968</v>
      </c>
      <c r="R625" s="1233">
        <f>'B. PE'!$U$23</f>
        <v>15.978235616082999</v>
      </c>
      <c r="S625" s="1233"/>
      <c r="T625" s="1233"/>
      <c r="V625" s="1425">
        <v>44328</v>
      </c>
      <c r="W625" s="1">
        <v>12.638</v>
      </c>
      <c r="X625" s="1">
        <v>1.1836</v>
      </c>
      <c r="Y625" s="1">
        <v>9.8286999999999995</v>
      </c>
      <c r="Z625" s="1">
        <v>0.77381999999999995</v>
      </c>
      <c r="AB625" s="1425">
        <v>44301</v>
      </c>
      <c r="AC625" s="1">
        <v>11.930300000000001</v>
      </c>
      <c r="AD625" s="1502">
        <v>1.6501999999999999</v>
      </c>
      <c r="AE625" s="1">
        <v>6.1112000000000002</v>
      </c>
      <c r="AF625" s="1">
        <v>3.5860000000000003E-2</v>
      </c>
      <c r="AH625" s="1425">
        <v>44301</v>
      </c>
      <c r="AI625" s="1">
        <v>10.2339</v>
      </c>
      <c r="AJ625" s="1">
        <v>1.6335999999999999</v>
      </c>
      <c r="AK625" s="1">
        <v>3.9676</v>
      </c>
      <c r="AL625" s="1">
        <v>2.24E-2</v>
      </c>
      <c r="AN625" s="1425">
        <v>44301</v>
      </c>
      <c r="AO625" s="1">
        <v>11.004200000000001</v>
      </c>
      <c r="AP625" s="1">
        <v>1.3531</v>
      </c>
      <c r="AQ625" s="1">
        <v>6.1210000000000004</v>
      </c>
      <c r="AR625" s="1">
        <v>0.32645999999999997</v>
      </c>
      <c r="AT625" s="1425">
        <v>44301</v>
      </c>
      <c r="AU625" s="1">
        <v>7.7483000000000004</v>
      </c>
      <c r="AV625" s="1">
        <v>0.53680000000000005</v>
      </c>
      <c r="AW625" s="1">
        <v>5.1227999999999998</v>
      </c>
      <c r="AX625" s="1">
        <v>0.14266999999999999</v>
      </c>
      <c r="BA625" s="1425">
        <v>44293</v>
      </c>
      <c r="BB625" s="1">
        <v>13.458600000000001</v>
      </c>
      <c r="BC625" s="1">
        <v>2.9476</v>
      </c>
      <c r="BD625" s="1">
        <v>12.054399999999999</v>
      </c>
      <c r="BE625" s="1">
        <v>0.83787999999999996</v>
      </c>
      <c r="BG625" s="1425">
        <v>44293</v>
      </c>
      <c r="BH625" s="1">
        <v>28.621700000000001</v>
      </c>
      <c r="BI625" s="1">
        <v>5.4321000000000002</v>
      </c>
      <c r="BJ625" s="1">
        <v>28.0425</v>
      </c>
      <c r="BT625" s="1425">
        <v>44328</v>
      </c>
      <c r="BU625" s="1">
        <v>15.415800000000001</v>
      </c>
      <c r="BV625" s="1">
        <v>3.8374000000000001</v>
      </c>
      <c r="BW625" s="1">
        <v>9.1135999999999999</v>
      </c>
      <c r="BX625" s="1">
        <v>1.9962</v>
      </c>
      <c r="BZ625" s="1425">
        <v>44328</v>
      </c>
      <c r="CA625" s="1">
        <v>114.721</v>
      </c>
      <c r="CB625" s="1">
        <v>1.7323999999999999</v>
      </c>
      <c r="CC625" s="1">
        <v>104.8854</v>
      </c>
      <c r="CD625" s="1">
        <v>0.66993000000000003</v>
      </c>
      <c r="CF625" s="1425">
        <v>44327</v>
      </c>
      <c r="CG625" s="1">
        <v>7.7241999999999997</v>
      </c>
      <c r="CH625" s="1">
        <v>1.3331</v>
      </c>
      <c r="CI625" s="1">
        <v>4.2483000000000004</v>
      </c>
      <c r="CL625" s="1425">
        <v>44343</v>
      </c>
      <c r="CM625" s="1">
        <v>30.596</v>
      </c>
      <c r="CN625" s="1">
        <v>2.7612999999999999</v>
      </c>
      <c r="CO625" s="1">
        <v>12.219799999999999</v>
      </c>
    </row>
    <row r="626" spans="1:93">
      <c r="A626" s="1425">
        <v>44327</v>
      </c>
      <c r="B626" s="20">
        <f t="shared" si="92"/>
        <v>16.203499999999998</v>
      </c>
      <c r="C626" s="20">
        <f t="shared" si="94"/>
        <v>12.301</v>
      </c>
      <c r="D626" s="20">
        <f t="shared" si="95"/>
        <v>10.578200000000001</v>
      </c>
      <c r="E626" s="20">
        <f t="shared" si="96"/>
        <v>10.3347</v>
      </c>
      <c r="F626" s="20">
        <f t="shared" si="97"/>
        <v>33.957999999999998</v>
      </c>
      <c r="G626" s="20">
        <f t="shared" si="98"/>
        <v>18.922000000000001</v>
      </c>
      <c r="H626" s="1239">
        <f t="shared" si="99"/>
        <v>12.301</v>
      </c>
      <c r="I626" s="1243">
        <f t="shared" si="93"/>
        <v>0.31725063003007881</v>
      </c>
      <c r="J626" s="1243">
        <f t="shared" si="100"/>
        <v>0.12093838824177333</v>
      </c>
      <c r="K626" s="1243">
        <f t="shared" si="101"/>
        <v>0.1</v>
      </c>
      <c r="L626" s="203"/>
      <c r="N626" s="1425">
        <v>44327</v>
      </c>
      <c r="O626" s="1502">
        <v>16.203499999999998</v>
      </c>
      <c r="P626" s="1502">
        <v>4.2192999999999996</v>
      </c>
      <c r="Q626" s="1502">
        <v>14.788399999999999</v>
      </c>
      <c r="R626" s="1233">
        <f>'B. PE'!$U$23</f>
        <v>15.978235616082999</v>
      </c>
      <c r="S626" s="1233"/>
      <c r="T626" s="1233"/>
      <c r="V626" s="1425">
        <v>44327</v>
      </c>
      <c r="W626" s="1">
        <v>12.301</v>
      </c>
      <c r="X626" s="1">
        <v>1.1520999999999999</v>
      </c>
      <c r="Y626" s="1">
        <v>9.6484000000000005</v>
      </c>
      <c r="Z626" s="1">
        <v>0.75544</v>
      </c>
      <c r="AB626" s="1425">
        <v>44300</v>
      </c>
      <c r="AC626" s="1">
        <v>11.8284</v>
      </c>
      <c r="AD626" s="1502">
        <v>1.6361000000000001</v>
      </c>
      <c r="AE626" s="1">
        <v>6.0716000000000001</v>
      </c>
      <c r="AF626" s="1">
        <v>3.4540000000000001E-2</v>
      </c>
      <c r="AH626" s="1425">
        <v>44300</v>
      </c>
      <c r="AI626" s="1">
        <v>10.2965</v>
      </c>
      <c r="AJ626" s="1">
        <v>1.6435999999999999</v>
      </c>
      <c r="AK626" s="1">
        <v>3.9994000000000001</v>
      </c>
      <c r="AL626" s="1">
        <v>2.223E-2</v>
      </c>
      <c r="AN626" s="1425">
        <v>44300</v>
      </c>
      <c r="AO626" s="1">
        <v>11.2552</v>
      </c>
      <c r="AP626" s="1">
        <v>1.3838999999999999</v>
      </c>
      <c r="AQ626" s="1">
        <v>6.3185000000000002</v>
      </c>
      <c r="AR626" s="1">
        <v>0.31820999999999999</v>
      </c>
      <c r="AT626" s="1425">
        <v>44300</v>
      </c>
      <c r="AU626" s="1">
        <v>7.8807999999999998</v>
      </c>
      <c r="AV626" s="1">
        <v>0.54600000000000004</v>
      </c>
      <c r="AW626" s="1">
        <v>5.1947000000000001</v>
      </c>
      <c r="AX626" s="1">
        <v>0.14155999999999999</v>
      </c>
      <c r="BA626" s="1425">
        <v>44291</v>
      </c>
      <c r="BB626" s="1">
        <v>13.591900000000001</v>
      </c>
      <c r="BC626" s="1">
        <v>2.9767999999999999</v>
      </c>
      <c r="BD626" s="1">
        <v>12.145</v>
      </c>
      <c r="BE626" s="1">
        <v>0.84065000000000001</v>
      </c>
      <c r="BG626" s="1425">
        <v>44291</v>
      </c>
      <c r="BH626" s="1">
        <v>28.742999999999999</v>
      </c>
      <c r="BI626" s="1">
        <v>5.4550999999999998</v>
      </c>
      <c r="BJ626" s="1">
        <v>28.1541</v>
      </c>
      <c r="BT626" s="1425">
        <v>44327</v>
      </c>
      <c r="BU626" s="1">
        <v>15.194800000000001</v>
      </c>
      <c r="BV626" s="1">
        <v>3.7824</v>
      </c>
      <c r="BW626" s="1">
        <v>8.99</v>
      </c>
      <c r="BX626" s="1">
        <v>2.0261999999999998</v>
      </c>
      <c r="BZ626" s="1425">
        <v>44327</v>
      </c>
      <c r="CA626" s="1">
        <v>113.4603</v>
      </c>
      <c r="CB626" s="1">
        <v>1.7133</v>
      </c>
      <c r="CC626" s="1">
        <v>104.3052</v>
      </c>
      <c r="CD626" s="1">
        <v>0.68111999999999995</v>
      </c>
      <c r="CF626" s="1425">
        <v>44326</v>
      </c>
      <c r="CG626" s="1">
        <v>7.6288999999999998</v>
      </c>
      <c r="CH626" s="1">
        <v>1.3166</v>
      </c>
      <c r="CI626" s="1">
        <v>4.1867999999999999</v>
      </c>
      <c r="CL626" s="1425">
        <v>44342</v>
      </c>
      <c r="CM626" s="1">
        <v>30.326499999999999</v>
      </c>
      <c r="CN626" s="1">
        <v>2.7368999999999999</v>
      </c>
      <c r="CO626" s="1">
        <v>12.110900000000001</v>
      </c>
    </row>
    <row r="627" spans="1:93">
      <c r="A627" s="1425">
        <v>44326</v>
      </c>
      <c r="B627" s="20">
        <f t="shared" si="92"/>
        <v>15.419499999999999</v>
      </c>
      <c r="C627" s="20">
        <f t="shared" si="94"/>
        <v>11.9078</v>
      </c>
      <c r="D627" s="20">
        <f t="shared" si="95"/>
        <v>10.609400000000001</v>
      </c>
      <c r="E627" s="20">
        <f t="shared" si="96"/>
        <v>10.3347</v>
      </c>
      <c r="F627" s="20">
        <f t="shared" si="97"/>
        <v>35.4739</v>
      </c>
      <c r="G627" s="20">
        <f t="shared" si="98"/>
        <v>19.5883</v>
      </c>
      <c r="H627" s="1239">
        <f t="shared" si="99"/>
        <v>11.9078</v>
      </c>
      <c r="I627" s="1243">
        <f t="shared" si="93"/>
        <v>0.29490753959589511</v>
      </c>
      <c r="J627" s="1243">
        <f t="shared" si="100"/>
        <v>0.12093838824177333</v>
      </c>
      <c r="K627" s="1243">
        <f t="shared" si="101"/>
        <v>0.1</v>
      </c>
      <c r="L627" s="203"/>
      <c r="N627" s="1425">
        <v>44326</v>
      </c>
      <c r="O627" s="1502">
        <v>15.419499999999999</v>
      </c>
      <c r="P627" s="1502">
        <v>4.0151000000000003</v>
      </c>
      <c r="Q627" s="1502">
        <v>14.0526</v>
      </c>
      <c r="R627" s="1233">
        <f>'B. PE'!$U$23</f>
        <v>15.978235616082999</v>
      </c>
      <c r="S627" s="1233"/>
      <c r="T627" s="1233"/>
      <c r="V627" s="1425">
        <v>44326</v>
      </c>
      <c r="W627" s="1">
        <v>11.9078</v>
      </c>
      <c r="X627" s="1">
        <v>1.1152</v>
      </c>
      <c r="Y627" s="1">
        <v>9.4381000000000004</v>
      </c>
      <c r="Z627" s="1">
        <v>0.76844999999999997</v>
      </c>
      <c r="AB627" s="1425">
        <v>44299</v>
      </c>
      <c r="AC627" s="1">
        <v>10.7067</v>
      </c>
      <c r="AD627" s="1502">
        <v>1.4809000000000001</v>
      </c>
      <c r="AE627" s="1">
        <v>5.6368</v>
      </c>
      <c r="AF627" s="1">
        <v>3.4590000000000003E-2</v>
      </c>
      <c r="AH627" s="1425">
        <v>44299</v>
      </c>
      <c r="AI627" s="1">
        <v>10.2652</v>
      </c>
      <c r="AJ627" s="1">
        <v>1.6386000000000001</v>
      </c>
      <c r="AK627" s="1">
        <v>3.9834999999999998</v>
      </c>
      <c r="AL627" s="1">
        <v>2.2190000000000001E-2</v>
      </c>
      <c r="AN627" s="1425">
        <v>44299</v>
      </c>
      <c r="AO627" s="1">
        <v>11.2971</v>
      </c>
      <c r="AP627" s="1">
        <v>1.3891</v>
      </c>
      <c r="AQ627" s="1">
        <v>6.3514999999999997</v>
      </c>
      <c r="AR627" s="1">
        <v>0.31325999999999998</v>
      </c>
      <c r="AT627" s="1425">
        <v>44299</v>
      </c>
      <c r="AU627" s="1">
        <v>7.8146000000000004</v>
      </c>
      <c r="AV627" s="1">
        <v>0.54139999999999999</v>
      </c>
      <c r="AW627" s="1">
        <v>5.1588000000000003</v>
      </c>
      <c r="AX627" s="1">
        <v>0.13908999999999999</v>
      </c>
      <c r="BA627" s="1425">
        <v>44288</v>
      </c>
      <c r="BB627" s="1">
        <v>13.9916</v>
      </c>
      <c r="BC627" s="1">
        <v>3.0644</v>
      </c>
      <c r="BD627" s="1">
        <v>12.4171</v>
      </c>
      <c r="BE627" s="1">
        <v>0.83208000000000004</v>
      </c>
      <c r="BG627" s="1425">
        <v>44288</v>
      </c>
      <c r="BH627" s="1">
        <v>28.500399999999999</v>
      </c>
      <c r="BI627" s="1">
        <v>5.4090999999999996</v>
      </c>
      <c r="BJ627" s="1">
        <v>27.930800000000001</v>
      </c>
      <c r="BT627" s="1425">
        <v>44326</v>
      </c>
      <c r="BU627" s="1">
        <v>15.261100000000001</v>
      </c>
      <c r="BV627" s="1">
        <v>3.7989000000000002</v>
      </c>
      <c r="BW627" s="1">
        <v>9.0271000000000008</v>
      </c>
      <c r="BX627" s="1">
        <v>2.0528</v>
      </c>
      <c r="BZ627" s="1425">
        <v>44326</v>
      </c>
      <c r="CA627" s="1">
        <v>111.98950000000001</v>
      </c>
      <c r="CB627" s="1">
        <v>1.6911</v>
      </c>
      <c r="CC627" s="1">
        <v>103.6284</v>
      </c>
      <c r="CD627" s="1">
        <v>0.69389999999999996</v>
      </c>
      <c r="CF627" s="1425">
        <v>44323</v>
      </c>
      <c r="CG627" s="1">
        <v>7.7718999999999996</v>
      </c>
      <c r="CH627" s="1">
        <v>1.3412999999999999</v>
      </c>
      <c r="CI627" s="1">
        <v>4.2790999999999997</v>
      </c>
      <c r="CL627" s="1425">
        <v>44341</v>
      </c>
      <c r="CM627" s="1">
        <v>29.953399999999998</v>
      </c>
      <c r="CN627" s="1">
        <v>2.7033</v>
      </c>
      <c r="CO627" s="1">
        <v>11.9602</v>
      </c>
    </row>
    <row r="628" spans="1:93">
      <c r="A628" s="1425">
        <v>44323</v>
      </c>
      <c r="B628" s="20">
        <f t="shared" si="92"/>
        <v>15.5502</v>
      </c>
      <c r="C628" s="20">
        <f t="shared" si="94"/>
        <v>11.626899999999999</v>
      </c>
      <c r="D628" s="20">
        <f t="shared" si="95"/>
        <v>10.515599999999999</v>
      </c>
      <c r="E628" s="20">
        <f t="shared" si="96"/>
        <v>10.543900000000001</v>
      </c>
      <c r="F628" s="20">
        <f t="shared" si="97"/>
        <v>34.8675</v>
      </c>
      <c r="G628" s="20">
        <f t="shared" si="98"/>
        <v>19.454999999999998</v>
      </c>
      <c r="H628" s="1239">
        <f t="shared" si="99"/>
        <v>11.626899999999999</v>
      </c>
      <c r="I628" s="1243">
        <f t="shared" si="93"/>
        <v>0.33743302169967926</v>
      </c>
      <c r="J628" s="1243">
        <f t="shared" si="100"/>
        <v>0.12093838824177333</v>
      </c>
      <c r="K628" s="1243">
        <f t="shared" si="101"/>
        <v>0.1</v>
      </c>
      <c r="L628" s="203"/>
      <c r="N628" s="1425">
        <v>44323</v>
      </c>
      <c r="O628" s="1502">
        <v>15.5502</v>
      </c>
      <c r="P628" s="1502">
        <v>4.0491000000000001</v>
      </c>
      <c r="Q628" s="1502">
        <v>14.1752</v>
      </c>
      <c r="R628" s="1233">
        <f>'B. PE'!$U$23</f>
        <v>15.978235616082999</v>
      </c>
      <c r="S628" s="1233"/>
      <c r="T628" s="1233"/>
      <c r="V628" s="1425">
        <v>44323</v>
      </c>
      <c r="W628" s="1">
        <v>11.626899999999999</v>
      </c>
      <c r="X628" s="1">
        <v>1.0889</v>
      </c>
      <c r="Y628" s="1">
        <v>9.2879000000000005</v>
      </c>
      <c r="Z628" s="1">
        <v>0.78108999999999995</v>
      </c>
      <c r="AB628" s="1425">
        <v>44298</v>
      </c>
      <c r="AC628" s="1">
        <v>10.2988</v>
      </c>
      <c r="AD628" s="1502">
        <v>1.4245000000000001</v>
      </c>
      <c r="AE628" s="1">
        <v>5.4786999999999999</v>
      </c>
      <c r="AF628" s="1">
        <v>3.5270000000000003E-2</v>
      </c>
      <c r="AH628" s="1425">
        <v>44298</v>
      </c>
      <c r="AI628" s="1">
        <v>10.1713</v>
      </c>
      <c r="AJ628" s="1">
        <v>1.6235999999999999</v>
      </c>
      <c r="AK628" s="1">
        <v>3.9357000000000002</v>
      </c>
      <c r="AL628" s="1">
        <v>2.1909999999999999E-2</v>
      </c>
      <c r="AN628" s="1425">
        <v>44298</v>
      </c>
      <c r="AO628" s="1">
        <v>11.004200000000001</v>
      </c>
      <c r="AP628" s="1">
        <v>1.3531</v>
      </c>
      <c r="AQ628" s="1">
        <v>6.1210000000000004</v>
      </c>
      <c r="AR628" s="1">
        <v>0.31186000000000003</v>
      </c>
      <c r="AT628" s="1425">
        <v>44298</v>
      </c>
      <c r="AU628" s="1">
        <v>7.7483000000000004</v>
      </c>
      <c r="AV628" s="1">
        <v>0.53680000000000005</v>
      </c>
      <c r="AW628" s="1">
        <v>5.1227999999999998</v>
      </c>
      <c r="AX628" s="1">
        <v>0.13780000000000001</v>
      </c>
      <c r="BA628" s="1425">
        <v>44287</v>
      </c>
      <c r="BB628" s="1">
        <v>13.9916</v>
      </c>
      <c r="BC628" s="1">
        <v>3.0644</v>
      </c>
      <c r="BD628" s="1">
        <v>12.4171</v>
      </c>
      <c r="BE628" s="1">
        <v>0.81449000000000005</v>
      </c>
      <c r="BG628" s="1425">
        <v>44287</v>
      </c>
      <c r="BH628" s="1">
        <v>28.8643</v>
      </c>
      <c r="BI628" s="1">
        <v>5.4782000000000002</v>
      </c>
      <c r="BJ628" s="1">
        <v>28.265699999999999</v>
      </c>
      <c r="BT628" s="1425">
        <v>44323</v>
      </c>
      <c r="BU628" s="1">
        <v>15.4931</v>
      </c>
      <c r="BV628" s="1">
        <v>3.8565999999999998</v>
      </c>
      <c r="BW628" s="1">
        <v>9.1569000000000003</v>
      </c>
      <c r="BX628" s="1">
        <v>2.0365000000000002</v>
      </c>
      <c r="BZ628" s="1425">
        <v>44323</v>
      </c>
      <c r="CA628" s="1">
        <v>113.8806</v>
      </c>
      <c r="CB628" s="1">
        <v>1.7197</v>
      </c>
      <c r="CC628" s="1">
        <v>104.4986</v>
      </c>
      <c r="CD628" s="1">
        <v>0.70508999999999999</v>
      </c>
      <c r="CF628" s="1425">
        <v>44322</v>
      </c>
      <c r="CG628" s="1">
        <v>7.6765999999999996</v>
      </c>
      <c r="CH628" s="1">
        <v>1.3248</v>
      </c>
      <c r="CI628" s="1">
        <v>4.2176</v>
      </c>
      <c r="CL628" s="1425">
        <v>44337</v>
      </c>
      <c r="CM628" s="1">
        <v>29.911999999999999</v>
      </c>
      <c r="CN628" s="1">
        <v>2.6995</v>
      </c>
      <c r="CO628" s="1">
        <v>11.9435</v>
      </c>
    </row>
    <row r="629" spans="1:93">
      <c r="A629" s="1425">
        <v>44322</v>
      </c>
      <c r="B629" s="20">
        <f t="shared" si="92"/>
        <v>15.341100000000001</v>
      </c>
      <c r="C629" s="20">
        <f t="shared" si="94"/>
        <v>11.823499999999999</v>
      </c>
      <c r="D629" s="20">
        <f t="shared" si="95"/>
        <v>10.609400000000001</v>
      </c>
      <c r="E629" s="20">
        <f t="shared" si="96"/>
        <v>10.543900000000001</v>
      </c>
      <c r="F629" s="20">
        <f t="shared" si="97"/>
        <v>36.080300000000001</v>
      </c>
      <c r="G629" s="20">
        <f t="shared" si="98"/>
        <v>21.053999999999998</v>
      </c>
      <c r="H629" s="1239">
        <f t="shared" si="99"/>
        <v>11.823499999999999</v>
      </c>
      <c r="I629" s="1243">
        <f t="shared" si="93"/>
        <v>0.29750919778407425</v>
      </c>
      <c r="J629" s="1243">
        <f t="shared" si="100"/>
        <v>0.12093838824177333</v>
      </c>
      <c r="K629" s="1243">
        <f t="shared" si="101"/>
        <v>0.1</v>
      </c>
      <c r="L629" s="203"/>
      <c r="N629" s="1425">
        <v>44322</v>
      </c>
      <c r="O629" s="1502">
        <v>15.341100000000001</v>
      </c>
      <c r="P629" s="1502">
        <v>3.9946999999999999</v>
      </c>
      <c r="Q629" s="1502">
        <v>13.978999999999999</v>
      </c>
      <c r="R629" s="1233">
        <f>'B. PE'!$U$23</f>
        <v>15.978235616082999</v>
      </c>
      <c r="S629" s="1233"/>
      <c r="T629" s="1233"/>
      <c r="V629" s="1425">
        <v>44322</v>
      </c>
      <c r="W629" s="1">
        <v>11.823499999999999</v>
      </c>
      <c r="X629" s="1">
        <v>1.1073999999999999</v>
      </c>
      <c r="Y629" s="1">
        <v>9.3930000000000007</v>
      </c>
      <c r="Z629" s="1">
        <v>0.74843000000000004</v>
      </c>
      <c r="AB629" s="1425">
        <v>44295</v>
      </c>
      <c r="AC629" s="1">
        <v>10.2988</v>
      </c>
      <c r="AD629" s="1502">
        <v>1.4245000000000001</v>
      </c>
      <c r="AE629" s="1">
        <v>5.4786999999999999</v>
      </c>
      <c r="AF629" s="1">
        <v>3.4209999999999997E-2</v>
      </c>
      <c r="AH629" s="1425">
        <v>44295</v>
      </c>
      <c r="AI629" s="1">
        <v>10.14</v>
      </c>
      <c r="AJ629" s="1">
        <v>1.6186</v>
      </c>
      <c r="AK629" s="1">
        <v>3.9198</v>
      </c>
      <c r="AL629" s="1">
        <v>2.2190000000000001E-2</v>
      </c>
      <c r="AN629" s="1425">
        <v>44295</v>
      </c>
      <c r="AO629" s="1">
        <v>10.8368</v>
      </c>
      <c r="AP629" s="1">
        <v>1.3325</v>
      </c>
      <c r="AQ629" s="1">
        <v>5.9893999999999998</v>
      </c>
      <c r="AR629" s="1">
        <v>0.31474999999999997</v>
      </c>
      <c r="AT629" s="1425">
        <v>44295</v>
      </c>
      <c r="AU629" s="1">
        <v>7.6158999999999999</v>
      </c>
      <c r="AV629" s="1">
        <v>0.52769999999999995</v>
      </c>
      <c r="AW629" s="1">
        <v>5.0507999999999997</v>
      </c>
      <c r="AX629" s="1">
        <v>0.13800000000000001</v>
      </c>
      <c r="BA629" s="1425">
        <v>44286</v>
      </c>
      <c r="BB629" s="1">
        <v>13.8584</v>
      </c>
      <c r="BC629" s="1">
        <v>3.0352000000000001</v>
      </c>
      <c r="BD629" s="1">
        <v>12.3264</v>
      </c>
      <c r="BE629" s="1">
        <v>0.81671000000000005</v>
      </c>
      <c r="BG629" s="1425">
        <v>44286</v>
      </c>
      <c r="BH629" s="1">
        <v>28.8643</v>
      </c>
      <c r="BI629" s="1">
        <v>5.4782000000000002</v>
      </c>
      <c r="BJ629" s="1">
        <v>28.265699999999999</v>
      </c>
      <c r="BT629" s="1425">
        <v>44322</v>
      </c>
      <c r="BU629" s="1">
        <v>15.692</v>
      </c>
      <c r="BV629" s="1">
        <v>3.9062000000000001</v>
      </c>
      <c r="BW629" s="1">
        <v>9.2682000000000002</v>
      </c>
      <c r="BX629" s="1">
        <v>2.0154000000000001</v>
      </c>
      <c r="BZ629" s="1425">
        <v>44322</v>
      </c>
      <c r="CA629" s="1">
        <v>115.9817</v>
      </c>
      <c r="CB629" s="1">
        <v>1.7514000000000001</v>
      </c>
      <c r="CC629" s="1">
        <v>105.46550000000001</v>
      </c>
      <c r="CD629" s="1">
        <v>0.67635999999999996</v>
      </c>
      <c r="CF629" s="1425">
        <v>44321</v>
      </c>
      <c r="CG629" s="1">
        <v>7.8673000000000002</v>
      </c>
      <c r="CH629" s="1">
        <v>1.3577999999999999</v>
      </c>
      <c r="CI629" s="1">
        <v>4.3407</v>
      </c>
      <c r="CL629" s="1425">
        <v>44336</v>
      </c>
      <c r="CM629" s="1">
        <v>30.1814</v>
      </c>
      <c r="CN629" s="1">
        <v>2.7238000000000002</v>
      </c>
      <c r="CO629" s="1">
        <v>12.052300000000001</v>
      </c>
    </row>
    <row r="630" spans="1:93">
      <c r="A630" s="1425">
        <v>44321</v>
      </c>
      <c r="B630" s="20">
        <f t="shared" si="92"/>
        <v>15.3149</v>
      </c>
      <c r="C630" s="20">
        <f t="shared" si="94"/>
        <v>12.020099999999999</v>
      </c>
      <c r="D630" s="20">
        <f t="shared" si="95"/>
        <v>10.546900000000001</v>
      </c>
      <c r="E630" s="20">
        <f t="shared" si="96"/>
        <v>10.7531</v>
      </c>
      <c r="F630" s="20">
        <f t="shared" si="97"/>
        <v>33.351599999999998</v>
      </c>
      <c r="G630" s="20">
        <f t="shared" si="98"/>
        <v>16.789899999999999</v>
      </c>
      <c r="H630" s="1239">
        <f t="shared" si="99"/>
        <v>12.020099999999999</v>
      </c>
      <c r="I630" s="1243">
        <f t="shared" si="93"/>
        <v>0.27410753654295728</v>
      </c>
      <c r="J630" s="1243">
        <f t="shared" si="100"/>
        <v>0.12093838824177333</v>
      </c>
      <c r="K630" s="1243">
        <f t="shared" si="101"/>
        <v>0.1</v>
      </c>
      <c r="L630" s="203"/>
      <c r="N630" s="1425">
        <v>44321</v>
      </c>
      <c r="O630" s="1502">
        <v>15.3149</v>
      </c>
      <c r="P630" s="1502">
        <v>3.9878999999999998</v>
      </c>
      <c r="Q630" s="1502">
        <v>13.954499999999999</v>
      </c>
      <c r="R630" s="1233">
        <f>'B. PE'!$U$23</f>
        <v>15.978235616082999</v>
      </c>
      <c r="S630" s="1233"/>
      <c r="T630" s="1233"/>
      <c r="V630" s="1425">
        <v>44321</v>
      </c>
      <c r="W630" s="1">
        <v>12.020099999999999</v>
      </c>
      <c r="X630" s="1">
        <v>1.1257999999999999</v>
      </c>
      <c r="Y630" s="1">
        <v>9.4982000000000006</v>
      </c>
      <c r="Z630" s="1">
        <v>0.73026999999999997</v>
      </c>
      <c r="AB630" s="1425">
        <v>44294</v>
      </c>
      <c r="AC630" s="1">
        <v>10.502800000000001</v>
      </c>
      <c r="AD630" s="1502">
        <v>1.4527000000000001</v>
      </c>
      <c r="AE630" s="1">
        <v>5.5576999999999996</v>
      </c>
      <c r="AF630" s="1">
        <v>3.4889999999999997E-2</v>
      </c>
      <c r="AH630" s="1425">
        <v>44294</v>
      </c>
      <c r="AI630" s="1">
        <v>10.014799999999999</v>
      </c>
      <c r="AJ630" s="1">
        <v>1.5986</v>
      </c>
      <c r="AK630" s="1">
        <v>3.8561999999999999</v>
      </c>
      <c r="AL630" s="1">
        <v>2.2519999999999998E-2</v>
      </c>
      <c r="AN630" s="1425">
        <v>44294</v>
      </c>
      <c r="AO630" s="1">
        <v>10.795</v>
      </c>
      <c r="AP630" s="1">
        <v>1.3273999999999999</v>
      </c>
      <c r="AQ630" s="1">
        <v>5.9564000000000004</v>
      </c>
      <c r="AR630" s="1">
        <v>0.31567000000000001</v>
      </c>
      <c r="AT630" s="1425">
        <v>44294</v>
      </c>
      <c r="AU630" s="1">
        <v>7.5496999999999996</v>
      </c>
      <c r="AV630" s="1">
        <v>0.52310000000000001</v>
      </c>
      <c r="AW630" s="1">
        <v>5.0148999999999999</v>
      </c>
      <c r="AX630" s="1">
        <v>0.13667000000000001</v>
      </c>
      <c r="BA630" s="1425">
        <v>44285</v>
      </c>
      <c r="BB630" s="1">
        <v>14.946199999999999</v>
      </c>
      <c r="BC630" s="1">
        <v>3.1789999999999998</v>
      </c>
      <c r="BD630" s="1">
        <v>11.6393</v>
      </c>
      <c r="BE630" s="1">
        <v>0.81886000000000003</v>
      </c>
      <c r="BG630" s="1425">
        <v>44285</v>
      </c>
      <c r="BH630" s="1">
        <v>30.083100000000002</v>
      </c>
      <c r="BI630" s="1">
        <v>5.6153000000000004</v>
      </c>
      <c r="BJ630" s="1">
        <v>30.780200000000001</v>
      </c>
      <c r="BT630" s="1425">
        <v>44321</v>
      </c>
      <c r="BU630" s="1">
        <v>15.570499999999999</v>
      </c>
      <c r="BV630" s="1">
        <v>3.8759000000000001</v>
      </c>
      <c r="BW630" s="1">
        <v>9.2002000000000006</v>
      </c>
      <c r="BX630" s="1">
        <v>2.0373000000000001</v>
      </c>
      <c r="BZ630" s="1425">
        <v>44321</v>
      </c>
      <c r="CA630" s="1">
        <v>117.87269999999999</v>
      </c>
      <c r="CB630" s="1">
        <v>1.78</v>
      </c>
      <c r="CC630" s="1">
        <v>106.3357</v>
      </c>
      <c r="CD630" s="1">
        <v>0.67896000000000001</v>
      </c>
      <c r="CF630" s="1425">
        <v>44320</v>
      </c>
      <c r="CG630" s="1">
        <v>7.915</v>
      </c>
      <c r="CH630" s="1">
        <v>1.3660000000000001</v>
      </c>
      <c r="CI630" s="1">
        <v>4.3715000000000002</v>
      </c>
      <c r="CL630" s="1425">
        <v>44335</v>
      </c>
      <c r="CM630" s="1">
        <v>30.057099999999998</v>
      </c>
      <c r="CN630" s="1">
        <v>2.7126000000000001</v>
      </c>
      <c r="CO630" s="1">
        <v>12.0021</v>
      </c>
    </row>
    <row r="631" spans="1:93">
      <c r="A631" s="1425">
        <v>44320</v>
      </c>
      <c r="B631" s="20">
        <f t="shared" si="92"/>
        <v>15.5502</v>
      </c>
      <c r="C631" s="20">
        <f t="shared" si="94"/>
        <v>11.5146</v>
      </c>
      <c r="D631" s="20">
        <f t="shared" si="95"/>
        <v>10.640700000000001</v>
      </c>
      <c r="E631" s="20">
        <f t="shared" si="96"/>
        <v>11.004200000000001</v>
      </c>
      <c r="F631" s="20">
        <f t="shared" si="97"/>
        <v>33.351599999999998</v>
      </c>
      <c r="G631" s="20">
        <f t="shared" si="98"/>
        <v>16.789899999999999</v>
      </c>
      <c r="H631" s="1239">
        <f t="shared" si="99"/>
        <v>11.5146</v>
      </c>
      <c r="I631" s="1243">
        <f t="shared" si="93"/>
        <v>0.35047678599343457</v>
      </c>
      <c r="J631" s="1243">
        <f t="shared" si="100"/>
        <v>0.12093838824177333</v>
      </c>
      <c r="K631" s="1243">
        <f t="shared" si="101"/>
        <v>0.1</v>
      </c>
      <c r="L631" s="203"/>
      <c r="N631" s="1425">
        <v>44320</v>
      </c>
      <c r="O631" s="1502">
        <v>15.5502</v>
      </c>
      <c r="P631" s="1502">
        <v>4.0491000000000001</v>
      </c>
      <c r="Q631" s="1502">
        <v>14.1752</v>
      </c>
      <c r="R631" s="1233">
        <f>'B. PE'!$U$23</f>
        <v>15.978235616082999</v>
      </c>
      <c r="S631" s="1233"/>
      <c r="T631" s="1233"/>
      <c r="V631" s="1425">
        <v>44320</v>
      </c>
      <c r="W631" s="1">
        <v>11.5146</v>
      </c>
      <c r="X631" s="1">
        <v>1.0784</v>
      </c>
      <c r="Y631" s="1">
        <v>9.2278000000000002</v>
      </c>
      <c r="Z631" s="1">
        <v>0.73046</v>
      </c>
      <c r="AB631" s="1425">
        <v>44293</v>
      </c>
      <c r="AC631" s="1">
        <v>10.1561</v>
      </c>
      <c r="AD631" s="1502">
        <v>1.4048</v>
      </c>
      <c r="AE631" s="1">
        <v>5.4233000000000002</v>
      </c>
      <c r="AF631" s="1">
        <v>3.5249999999999997E-2</v>
      </c>
      <c r="AH631" s="1425">
        <v>44293</v>
      </c>
      <c r="AI631" s="1">
        <v>10.108700000000001</v>
      </c>
      <c r="AJ631" s="1">
        <v>1.6135999999999999</v>
      </c>
      <c r="AK631" s="1">
        <v>3.9039000000000001</v>
      </c>
      <c r="AL631" s="1">
        <v>2.239E-2</v>
      </c>
      <c r="AN631" s="1425">
        <v>44293</v>
      </c>
      <c r="AO631" s="1">
        <v>10.8787</v>
      </c>
      <c r="AP631" s="1">
        <v>1.3375999999999999</v>
      </c>
      <c r="AQ631" s="1">
        <v>6.0223000000000004</v>
      </c>
      <c r="AR631" s="1">
        <v>0.31156</v>
      </c>
      <c r="AT631" s="1425">
        <v>44293</v>
      </c>
      <c r="AU631" s="1">
        <v>7.5496999999999996</v>
      </c>
      <c r="AV631" s="1">
        <v>0.52310000000000001</v>
      </c>
      <c r="AW631" s="1">
        <v>5.0148999999999999</v>
      </c>
      <c r="AX631" s="1">
        <v>0.13525000000000001</v>
      </c>
      <c r="BA631" s="1425">
        <v>44284</v>
      </c>
      <c r="BB631" s="1">
        <v>14.946199999999999</v>
      </c>
      <c r="BC631" s="1">
        <v>3.1789999999999998</v>
      </c>
      <c r="BD631" s="1">
        <v>11.6393</v>
      </c>
      <c r="BE631" s="1">
        <v>0.83453999999999995</v>
      </c>
      <c r="BG631" s="1425">
        <v>44284</v>
      </c>
      <c r="BH631" s="1">
        <v>30.3447</v>
      </c>
      <c r="BI631" s="1">
        <v>5.6641000000000004</v>
      </c>
      <c r="BJ631" s="1">
        <v>31.025200000000002</v>
      </c>
      <c r="BT631" s="1425">
        <v>44320</v>
      </c>
      <c r="BU631" s="1">
        <v>15.4047</v>
      </c>
      <c r="BV631" s="1">
        <v>3.8346</v>
      </c>
      <c r="BW631" s="1">
        <v>9.1074000000000002</v>
      </c>
      <c r="BX631" s="1">
        <v>2.0247999999999999</v>
      </c>
      <c r="BZ631" s="1425">
        <v>44320</v>
      </c>
      <c r="CA631" s="1">
        <v>113.0401</v>
      </c>
      <c r="CB631" s="1">
        <v>1.7070000000000001</v>
      </c>
      <c r="CC631" s="1">
        <v>104.1118</v>
      </c>
      <c r="CD631" s="1">
        <v>0.68542999999999998</v>
      </c>
      <c r="CF631" s="1425">
        <v>44315</v>
      </c>
      <c r="CG631" s="1">
        <v>7.9626000000000001</v>
      </c>
      <c r="CH631" s="1">
        <v>1.3742000000000001</v>
      </c>
      <c r="CI631" s="1">
        <v>4.4023000000000003</v>
      </c>
      <c r="CL631" s="1425">
        <v>44334</v>
      </c>
      <c r="CM631" s="1">
        <v>30.243600000000001</v>
      </c>
      <c r="CN631" s="1">
        <v>2.7294999999999998</v>
      </c>
      <c r="CO631" s="1">
        <v>12.077500000000001</v>
      </c>
    </row>
    <row r="632" spans="1:93">
      <c r="A632" s="1425">
        <v>44315</v>
      </c>
      <c r="B632" s="20">
        <f t="shared" si="92"/>
        <v>14.5701</v>
      </c>
      <c r="C632" s="20">
        <f t="shared" si="94"/>
        <v>11.2338</v>
      </c>
      <c r="D632" s="20">
        <f t="shared" si="95"/>
        <v>10.3278</v>
      </c>
      <c r="E632" s="20">
        <f t="shared" si="96"/>
        <v>11.004200000000001</v>
      </c>
      <c r="F632" s="20">
        <f t="shared" si="97"/>
        <v>35.777099999999997</v>
      </c>
      <c r="G632" s="20">
        <f t="shared" si="98"/>
        <v>17.589500000000001</v>
      </c>
      <c r="H632" s="1239">
        <f t="shared" si="99"/>
        <v>11.2338</v>
      </c>
      <c r="I632" s="1243">
        <f t="shared" si="93"/>
        <v>0.29698766223361628</v>
      </c>
      <c r="J632" s="1243">
        <f t="shared" si="100"/>
        <v>0.12093838824177333</v>
      </c>
      <c r="K632" s="1243">
        <f t="shared" si="101"/>
        <v>0.1</v>
      </c>
      <c r="L632" s="203"/>
      <c r="N632" s="1425">
        <v>44315</v>
      </c>
      <c r="O632" s="1502">
        <v>14.5701</v>
      </c>
      <c r="P632" s="1502">
        <v>3.7938999999999998</v>
      </c>
      <c r="Q632" s="1502">
        <v>13.2555</v>
      </c>
      <c r="R632" s="1233">
        <f>'B. PE'!$U$23</f>
        <v>15.978235616082999</v>
      </c>
      <c r="S632" s="1233"/>
      <c r="T632" s="1233"/>
      <c r="V632" s="1425">
        <v>44315</v>
      </c>
      <c r="W632" s="1">
        <v>11.2338</v>
      </c>
      <c r="X632" s="1">
        <v>1.0521</v>
      </c>
      <c r="Y632" s="1">
        <v>9.0775000000000006</v>
      </c>
      <c r="Z632" s="1">
        <v>0.72499000000000002</v>
      </c>
      <c r="AB632" s="1425">
        <v>44292</v>
      </c>
      <c r="AC632" s="1">
        <v>10.2988</v>
      </c>
      <c r="AD632" s="1502">
        <v>1.4245000000000001</v>
      </c>
      <c r="AE632" s="1">
        <v>5.4786999999999999</v>
      </c>
      <c r="AF632" s="1">
        <v>3.4790000000000001E-2</v>
      </c>
      <c r="AH632" s="1425">
        <v>44292</v>
      </c>
      <c r="AI632" s="1">
        <v>10.2026</v>
      </c>
      <c r="AJ632" s="1">
        <v>1.6286</v>
      </c>
      <c r="AK632" s="1">
        <v>3.9517000000000002</v>
      </c>
      <c r="AL632" s="1">
        <v>2.239E-2</v>
      </c>
      <c r="AN632" s="1425">
        <v>44292</v>
      </c>
      <c r="AO632" s="1">
        <v>10.920500000000001</v>
      </c>
      <c r="AP632" s="1">
        <v>1.3428</v>
      </c>
      <c r="AQ632" s="1">
        <v>6.0552000000000001</v>
      </c>
      <c r="AR632" s="1">
        <v>0.30318000000000001</v>
      </c>
      <c r="AT632" s="1425">
        <v>44292</v>
      </c>
      <c r="AU632" s="1">
        <v>7.4833999999999996</v>
      </c>
      <c r="AV632" s="1">
        <v>0.51849999999999996</v>
      </c>
      <c r="AW632" s="1">
        <v>4.9789000000000003</v>
      </c>
      <c r="AX632" s="1">
        <v>0.13649</v>
      </c>
      <c r="BA632" s="1425">
        <v>44281</v>
      </c>
      <c r="BB632" s="1">
        <v>14.946199999999999</v>
      </c>
      <c r="BC632" s="1">
        <v>3.1789999999999998</v>
      </c>
      <c r="BD632" s="1">
        <v>11.6393</v>
      </c>
      <c r="BE632" s="1">
        <v>0.85484000000000004</v>
      </c>
      <c r="BG632" s="1425">
        <v>44281</v>
      </c>
      <c r="BH632" s="1">
        <v>30.737100000000002</v>
      </c>
      <c r="BI632" s="1">
        <v>5.7374000000000001</v>
      </c>
      <c r="BJ632" s="1">
        <v>31.392700000000001</v>
      </c>
      <c r="BT632" s="1425">
        <v>44315</v>
      </c>
      <c r="BU632" s="1">
        <v>15.570499999999999</v>
      </c>
      <c r="BV632" s="1">
        <v>3.8759000000000001</v>
      </c>
      <c r="BW632" s="1">
        <v>9.2002000000000006</v>
      </c>
      <c r="BX632" s="1">
        <v>2.0522999999999998</v>
      </c>
      <c r="BZ632" s="1425">
        <v>44315</v>
      </c>
      <c r="CA632" s="1">
        <v>113.4603</v>
      </c>
      <c r="CB632" s="1">
        <v>1.7133</v>
      </c>
      <c r="CC632" s="1">
        <v>104.3052</v>
      </c>
      <c r="CD632" s="1">
        <v>0.67410999999999999</v>
      </c>
      <c r="CF632" s="1425">
        <v>44314</v>
      </c>
      <c r="CG632" s="1">
        <v>8.0103000000000009</v>
      </c>
      <c r="CH632" s="1">
        <v>1.3824000000000001</v>
      </c>
      <c r="CI632" s="1">
        <v>4.4330999999999996</v>
      </c>
      <c r="CL632" s="1425">
        <v>44333</v>
      </c>
      <c r="CM632" s="1">
        <v>30.057099999999998</v>
      </c>
      <c r="CN632" s="1">
        <v>2.7126000000000001</v>
      </c>
      <c r="CO632" s="1">
        <v>12.0021</v>
      </c>
    </row>
    <row r="633" spans="1:93">
      <c r="A633" s="1425">
        <v>44314</v>
      </c>
      <c r="B633" s="20">
        <f t="shared" si="92"/>
        <v>14.164999999999999</v>
      </c>
      <c r="C633" s="20">
        <f t="shared" si="94"/>
        <v>11.2338</v>
      </c>
      <c r="D633" s="20">
        <f t="shared" si="95"/>
        <v>10.3278</v>
      </c>
      <c r="E633" s="20">
        <f t="shared" si="96"/>
        <v>10.962300000000001</v>
      </c>
      <c r="F633" s="20">
        <f t="shared" si="97"/>
        <v>35.170699999999997</v>
      </c>
      <c r="G633" s="20">
        <f t="shared" si="98"/>
        <v>17.589500000000001</v>
      </c>
      <c r="H633" s="1239">
        <f t="shared" si="99"/>
        <v>11.2338</v>
      </c>
      <c r="I633" s="1243">
        <f t="shared" si="93"/>
        <v>0.26092684576901837</v>
      </c>
      <c r="J633" s="1243">
        <f t="shared" si="100"/>
        <v>0.12093838824177333</v>
      </c>
      <c r="K633" s="1243">
        <f t="shared" si="101"/>
        <v>0.1</v>
      </c>
      <c r="L633" s="203"/>
      <c r="N633" s="1425">
        <v>44314</v>
      </c>
      <c r="O633" s="1502">
        <v>14.164999999999999</v>
      </c>
      <c r="P633" s="1502">
        <v>3.6884000000000001</v>
      </c>
      <c r="Q633" s="1502">
        <v>12.875400000000001</v>
      </c>
      <c r="R633" s="1233">
        <f>'B. PE'!$U$23</f>
        <v>15.978235616082999</v>
      </c>
      <c r="S633" s="1233"/>
      <c r="T633" s="1233"/>
      <c r="V633" s="1425">
        <v>44314</v>
      </c>
      <c r="W633" s="1">
        <v>11.2338</v>
      </c>
      <c r="X633" s="1">
        <v>1.0521</v>
      </c>
      <c r="Y633" s="1">
        <v>9.0775000000000006</v>
      </c>
      <c r="Z633" s="1">
        <v>0.71755999999999998</v>
      </c>
      <c r="AB633" s="1425">
        <v>44291</v>
      </c>
      <c r="AC633" s="1">
        <v>10.4008</v>
      </c>
      <c r="AD633" s="1502">
        <v>1.4386000000000001</v>
      </c>
      <c r="AE633" s="1">
        <v>5.5182000000000002</v>
      </c>
      <c r="AF633" s="1">
        <v>3.4680000000000002E-2</v>
      </c>
      <c r="AH633" s="1425">
        <v>44291</v>
      </c>
      <c r="AI633" s="1">
        <v>10.14</v>
      </c>
      <c r="AJ633" s="1">
        <v>1.6186</v>
      </c>
      <c r="AK633" s="1">
        <v>3.9198</v>
      </c>
      <c r="AL633" s="1">
        <v>2.2179999999999998E-2</v>
      </c>
      <c r="AN633" s="1425">
        <v>44291</v>
      </c>
      <c r="AO633" s="1">
        <v>10.795</v>
      </c>
      <c r="AP633" s="1">
        <v>1.3273999999999999</v>
      </c>
      <c r="AQ633" s="1">
        <v>5.9564000000000004</v>
      </c>
      <c r="AR633" s="1">
        <v>0.29533999999999999</v>
      </c>
      <c r="AT633" s="1425">
        <v>44291</v>
      </c>
      <c r="AU633" s="1">
        <v>7.4172000000000002</v>
      </c>
      <c r="AV633" s="1">
        <v>0.51390000000000002</v>
      </c>
      <c r="AW633" s="1">
        <v>4.9428999999999998</v>
      </c>
      <c r="AX633" s="1">
        <v>0.13741999999999999</v>
      </c>
      <c r="BA633" s="1425">
        <v>44280</v>
      </c>
      <c r="BB633" s="1">
        <v>15.2392</v>
      </c>
      <c r="BC633" s="1">
        <v>3.2412999999999998</v>
      </c>
      <c r="BD633" s="1">
        <v>11.8346</v>
      </c>
      <c r="BE633" s="1">
        <v>0.86285000000000001</v>
      </c>
      <c r="BG633" s="1425">
        <v>44280</v>
      </c>
      <c r="BH633" s="1">
        <v>31.1295</v>
      </c>
      <c r="BI633" s="1">
        <v>5.8106</v>
      </c>
      <c r="BJ633" s="1">
        <v>31.760100000000001</v>
      </c>
      <c r="BT633" s="1425">
        <v>44314</v>
      </c>
      <c r="BU633" s="1">
        <v>15.471</v>
      </c>
      <c r="BV633" s="1">
        <v>3.8511000000000002</v>
      </c>
      <c r="BW633" s="1">
        <v>9.1445000000000007</v>
      </c>
      <c r="BX633" s="1">
        <v>2.0606</v>
      </c>
      <c r="BZ633" s="1425">
        <v>44314</v>
      </c>
      <c r="CA633" s="1">
        <v>114.51090000000001</v>
      </c>
      <c r="CB633" s="1">
        <v>1.7292000000000001</v>
      </c>
      <c r="CC633" s="1">
        <v>104.78870000000001</v>
      </c>
      <c r="CD633" s="1">
        <v>0.67398999999999998</v>
      </c>
      <c r="CF633" s="1425">
        <v>44313</v>
      </c>
      <c r="CG633" s="1">
        <v>8.1533999999999995</v>
      </c>
      <c r="CH633" s="1">
        <v>1.4071</v>
      </c>
      <c r="CI633" s="1">
        <v>4.5255000000000001</v>
      </c>
      <c r="CL633" s="1425">
        <v>44330</v>
      </c>
      <c r="CM633" s="1">
        <v>29.7669</v>
      </c>
      <c r="CN633" s="1">
        <v>2.6863999999999999</v>
      </c>
      <c r="CO633" s="1">
        <v>11.8849</v>
      </c>
    </row>
    <row r="634" spans="1:93">
      <c r="A634" s="1425">
        <v>44313</v>
      </c>
      <c r="B634" s="20">
        <f t="shared" si="92"/>
        <v>13.8775</v>
      </c>
      <c r="C634" s="20">
        <f t="shared" si="94"/>
        <v>11.1495</v>
      </c>
      <c r="D634" s="20">
        <f t="shared" si="95"/>
        <v>10.3278</v>
      </c>
      <c r="E634" s="20">
        <f t="shared" si="96"/>
        <v>10.962300000000001</v>
      </c>
      <c r="F634" s="20">
        <f t="shared" si="97"/>
        <v>32.138800000000003</v>
      </c>
      <c r="G634" s="20">
        <f t="shared" si="98"/>
        <v>14.391400000000001</v>
      </c>
      <c r="H634" s="1239">
        <f t="shared" si="99"/>
        <v>11.1495</v>
      </c>
      <c r="I634" s="1243">
        <f t="shared" si="93"/>
        <v>0.244674649087403</v>
      </c>
      <c r="J634" s="1243">
        <f t="shared" si="100"/>
        <v>0.12093838824177333</v>
      </c>
      <c r="K634" s="1243">
        <f t="shared" si="101"/>
        <v>0.1</v>
      </c>
      <c r="L634" s="203"/>
      <c r="N634" s="1425">
        <v>44313</v>
      </c>
      <c r="O634" s="1502">
        <v>13.8775</v>
      </c>
      <c r="P634" s="1502">
        <v>3.6135999999999999</v>
      </c>
      <c r="Q634" s="1502">
        <v>12.605600000000001</v>
      </c>
      <c r="R634" s="1233">
        <f>'B. PE'!$U$23</f>
        <v>15.978235616082999</v>
      </c>
      <c r="S634" s="1233"/>
      <c r="T634" s="1233"/>
      <c r="V634" s="1425">
        <v>44313</v>
      </c>
      <c r="W634" s="1">
        <v>11.1495</v>
      </c>
      <c r="X634" s="1">
        <v>1.0442</v>
      </c>
      <c r="Y634" s="1">
        <v>9.0325000000000006</v>
      </c>
      <c r="Z634" s="1">
        <v>0.74826999999999999</v>
      </c>
      <c r="AB634" s="1425">
        <v>44287</v>
      </c>
      <c r="AC634" s="1">
        <v>10.2988</v>
      </c>
      <c r="AD634" s="1502">
        <v>1.4245000000000001</v>
      </c>
      <c r="AE634" s="1">
        <v>5.4786999999999999</v>
      </c>
      <c r="AF634" s="1">
        <v>3.5909999999999997E-2</v>
      </c>
      <c r="AH634" s="1425">
        <v>44287</v>
      </c>
      <c r="AI634" s="1">
        <v>10.1713</v>
      </c>
      <c r="AJ634" s="1">
        <v>1.6235999999999999</v>
      </c>
      <c r="AK634" s="1">
        <v>3.9357000000000002</v>
      </c>
      <c r="AL634" s="1">
        <v>2.215E-2</v>
      </c>
      <c r="AN634" s="1425">
        <v>44288</v>
      </c>
      <c r="AO634" s="1">
        <v>10.5021</v>
      </c>
      <c r="AP634" s="1">
        <v>1.2912999999999999</v>
      </c>
      <c r="AQ634" s="1">
        <v>5.726</v>
      </c>
      <c r="AR634" s="1">
        <v>0.28943999999999998</v>
      </c>
      <c r="AT634" s="1425">
        <v>44288</v>
      </c>
      <c r="AU634" s="1">
        <v>7.4833999999999996</v>
      </c>
      <c r="AV634" s="1">
        <v>0.51849999999999996</v>
      </c>
      <c r="AW634" s="1">
        <v>4.9789000000000003</v>
      </c>
      <c r="AX634" s="1">
        <v>0.13507</v>
      </c>
      <c r="BA634" s="1425">
        <v>44279</v>
      </c>
      <c r="BB634" s="1">
        <v>15.532299999999999</v>
      </c>
      <c r="BC634" s="1">
        <v>3.3037000000000001</v>
      </c>
      <c r="BD634" s="1">
        <v>12.0299</v>
      </c>
      <c r="BE634" s="1">
        <v>0.84235000000000004</v>
      </c>
      <c r="BG634" s="1425">
        <v>44279</v>
      </c>
      <c r="BH634" s="1">
        <v>31.6526</v>
      </c>
      <c r="BI634" s="1">
        <v>5.9082999999999997</v>
      </c>
      <c r="BJ634" s="1">
        <v>32.250100000000003</v>
      </c>
      <c r="BT634" s="1425">
        <v>44313</v>
      </c>
      <c r="BU634" s="1">
        <v>15.680999999999999</v>
      </c>
      <c r="BV634" s="1">
        <v>3.9034</v>
      </c>
      <c r="BW634" s="1">
        <v>9.2620000000000005</v>
      </c>
      <c r="BX634" s="1">
        <v>2.1320000000000001</v>
      </c>
      <c r="BZ634" s="1425">
        <v>44313</v>
      </c>
      <c r="CA634" s="1">
        <v>112.6199</v>
      </c>
      <c r="CB634" s="1">
        <v>1.7005999999999999</v>
      </c>
      <c r="CC634" s="1">
        <v>103.91840000000001</v>
      </c>
      <c r="CD634" s="1">
        <v>0.71140999999999999</v>
      </c>
      <c r="CF634" s="1425">
        <v>44312</v>
      </c>
      <c r="CG634" s="1">
        <v>8.0579999999999998</v>
      </c>
      <c r="CH634" s="1">
        <v>1.3907</v>
      </c>
      <c r="CI634" s="1">
        <v>4.4638999999999998</v>
      </c>
      <c r="CL634" s="1425">
        <v>44328</v>
      </c>
      <c r="CM634" s="1">
        <v>29.227900000000002</v>
      </c>
      <c r="CN634" s="1">
        <v>2.6377999999999999</v>
      </c>
      <c r="CO634" s="1">
        <v>11.667199999999999</v>
      </c>
    </row>
    <row r="635" spans="1:93">
      <c r="A635" s="1425">
        <v>44312</v>
      </c>
      <c r="B635" s="20">
        <f t="shared" si="92"/>
        <v>14.4917</v>
      </c>
      <c r="C635" s="20">
        <f t="shared" si="94"/>
        <v>11.0372</v>
      </c>
      <c r="D635" s="20">
        <f t="shared" si="95"/>
        <v>10.3278</v>
      </c>
      <c r="E635" s="20">
        <f t="shared" si="96"/>
        <v>11.5063</v>
      </c>
      <c r="F635" s="20">
        <f t="shared" si="97"/>
        <v>31.835599999999999</v>
      </c>
      <c r="G635" s="20">
        <f t="shared" si="98"/>
        <v>14.258100000000001</v>
      </c>
      <c r="H635" s="1239">
        <f t="shared" si="99"/>
        <v>11.5063</v>
      </c>
      <c r="I635" s="1243">
        <f t="shared" si="93"/>
        <v>0.25945786221461287</v>
      </c>
      <c r="J635" s="1243">
        <f t="shared" si="100"/>
        <v>0.12093838824177333</v>
      </c>
      <c r="K635" s="1243">
        <f t="shared" si="101"/>
        <v>0.1</v>
      </c>
      <c r="L635" s="203"/>
      <c r="N635" s="1425">
        <v>44312</v>
      </c>
      <c r="O635" s="1502">
        <v>14.4917</v>
      </c>
      <c r="P635" s="1502">
        <v>3.7734999999999999</v>
      </c>
      <c r="Q635" s="1502">
        <v>13.182</v>
      </c>
      <c r="R635" s="1233">
        <f>'B. PE'!$U$23</f>
        <v>15.978235616082999</v>
      </c>
      <c r="S635" s="1233"/>
      <c r="T635" s="1233"/>
      <c r="V635" s="1425">
        <v>44312</v>
      </c>
      <c r="W635" s="1">
        <v>11.0372</v>
      </c>
      <c r="X635" s="1">
        <v>1.0337000000000001</v>
      </c>
      <c r="Y635" s="1">
        <v>8.9724000000000004</v>
      </c>
      <c r="Z635" s="1">
        <v>0.72816000000000003</v>
      </c>
      <c r="AB635" s="1425">
        <v>44286</v>
      </c>
      <c r="AC635" s="1">
        <v>10.2988</v>
      </c>
      <c r="AD635" s="1502">
        <v>1.4245000000000001</v>
      </c>
      <c r="AE635" s="1">
        <v>5.4786999999999999</v>
      </c>
      <c r="AF635" s="1">
        <v>3.85E-2</v>
      </c>
      <c r="AH635" s="1425">
        <v>44286</v>
      </c>
      <c r="AI635" s="1">
        <v>10.108700000000001</v>
      </c>
      <c r="AJ635" s="1">
        <v>1.6135999999999999</v>
      </c>
      <c r="AK635" s="1">
        <v>3.9039000000000001</v>
      </c>
      <c r="AL635" s="1">
        <v>2.257E-2</v>
      </c>
      <c r="AN635" s="1425">
        <v>44287</v>
      </c>
      <c r="AO635" s="1">
        <v>10.250999999999999</v>
      </c>
      <c r="AP635" s="1">
        <v>1.2605</v>
      </c>
      <c r="AQ635" s="1">
        <v>5.5285000000000002</v>
      </c>
      <c r="AR635" s="1">
        <v>0.29510999999999998</v>
      </c>
      <c r="AT635" s="1425">
        <v>44287</v>
      </c>
      <c r="AU635" s="1">
        <v>7.5496999999999996</v>
      </c>
      <c r="AV635" s="1">
        <v>0.52310000000000001</v>
      </c>
      <c r="AW635" s="1">
        <v>5.0148999999999999</v>
      </c>
      <c r="AX635" s="1">
        <v>0.13611000000000001</v>
      </c>
      <c r="BA635" s="1425">
        <v>44278</v>
      </c>
      <c r="BB635" s="1">
        <v>15.678800000000001</v>
      </c>
      <c r="BC635" s="1">
        <v>3.3348</v>
      </c>
      <c r="BD635" s="1">
        <v>12.127599999999999</v>
      </c>
      <c r="BE635" s="1">
        <v>0.86865000000000003</v>
      </c>
      <c r="BG635" s="1425">
        <v>44278</v>
      </c>
      <c r="BH635" s="1">
        <v>31.391100000000002</v>
      </c>
      <c r="BI635" s="1">
        <v>5.8594999999999997</v>
      </c>
      <c r="BJ635" s="1">
        <v>32.005099999999999</v>
      </c>
      <c r="BT635" s="1425">
        <v>44312</v>
      </c>
      <c r="BU635" s="1">
        <v>15.747299999999999</v>
      </c>
      <c r="BV635" s="1">
        <v>3.9199000000000002</v>
      </c>
      <c r="BW635" s="1">
        <v>9.2990999999999993</v>
      </c>
      <c r="BX635" s="1">
        <v>2.0596999999999999</v>
      </c>
      <c r="BZ635" s="1425">
        <v>44312</v>
      </c>
      <c r="CA635" s="1">
        <v>112.6199</v>
      </c>
      <c r="CB635" s="1">
        <v>1.7005999999999999</v>
      </c>
      <c r="CC635" s="1">
        <v>103.91840000000001</v>
      </c>
      <c r="CD635" s="1">
        <v>0.70384000000000002</v>
      </c>
      <c r="CF635" s="1425">
        <v>44309</v>
      </c>
      <c r="CG635" s="1">
        <v>8.3440999999999992</v>
      </c>
      <c r="CH635" s="1">
        <v>1.44</v>
      </c>
      <c r="CI635" s="1">
        <v>4.6486000000000001</v>
      </c>
      <c r="CL635" s="1425">
        <v>44327</v>
      </c>
      <c r="CM635" s="1">
        <v>29.331499999999998</v>
      </c>
      <c r="CN635" s="1">
        <v>2.6471</v>
      </c>
      <c r="CO635" s="1">
        <v>11.709</v>
      </c>
    </row>
    <row r="636" spans="1:93">
      <c r="A636" s="1425">
        <v>44309</v>
      </c>
      <c r="B636" s="20">
        <f t="shared" si="92"/>
        <v>14.896800000000001</v>
      </c>
      <c r="C636" s="20">
        <f t="shared" si="94"/>
        <v>11.5146</v>
      </c>
      <c r="D636" s="20">
        <f t="shared" si="95"/>
        <v>10.3591</v>
      </c>
      <c r="E636" s="20">
        <f t="shared" si="96"/>
        <v>11.2552</v>
      </c>
      <c r="F636" s="20">
        <f t="shared" si="97"/>
        <v>31.229199999999999</v>
      </c>
      <c r="G636" s="20">
        <f t="shared" si="98"/>
        <v>13.9916</v>
      </c>
      <c r="H636" s="1239">
        <f t="shared" si="99"/>
        <v>11.5146</v>
      </c>
      <c r="I636" s="1243">
        <f t="shared" si="93"/>
        <v>0.29373143661091139</v>
      </c>
      <c r="J636" s="1243">
        <f t="shared" si="100"/>
        <v>0.12093838824177333</v>
      </c>
      <c r="K636" s="1243">
        <f t="shared" si="101"/>
        <v>0.1</v>
      </c>
      <c r="L636" s="203"/>
      <c r="N636" s="1425">
        <v>44309</v>
      </c>
      <c r="O636" s="1502">
        <v>14.896800000000001</v>
      </c>
      <c r="P636" s="1502">
        <v>3.879</v>
      </c>
      <c r="Q636" s="1502">
        <v>13.562099999999999</v>
      </c>
      <c r="R636" s="1233">
        <f>'B. PE'!$U$23</f>
        <v>15.978235616082999</v>
      </c>
      <c r="S636" s="1233"/>
      <c r="T636" s="1233"/>
      <c r="V636" s="1425">
        <v>44309</v>
      </c>
      <c r="W636" s="1">
        <v>11.5146</v>
      </c>
      <c r="X636" s="1">
        <v>1.0784</v>
      </c>
      <c r="Y636" s="1">
        <v>9.2278000000000002</v>
      </c>
      <c r="Z636" s="1">
        <v>0.78078000000000003</v>
      </c>
      <c r="AB636" s="1425">
        <v>44285</v>
      </c>
      <c r="AC636" s="1">
        <v>13.5815</v>
      </c>
      <c r="AD636" s="1502">
        <v>1.5344</v>
      </c>
      <c r="AE636" s="1">
        <v>5.0646000000000004</v>
      </c>
      <c r="AF636" s="1">
        <v>3.8039999999999997E-2</v>
      </c>
      <c r="AH636" s="1425">
        <v>44285</v>
      </c>
      <c r="AI636" s="1">
        <v>10.8322</v>
      </c>
      <c r="AJ636" s="1">
        <v>1.6922999999999999</v>
      </c>
      <c r="AK636" s="1">
        <v>4.3563999999999998</v>
      </c>
      <c r="AL636" s="1">
        <v>2.2769999999999999E-2</v>
      </c>
      <c r="AN636" s="1425">
        <v>44286</v>
      </c>
      <c r="AO636" s="1">
        <v>10.0418</v>
      </c>
      <c r="AP636" s="1">
        <v>1.2346999999999999</v>
      </c>
      <c r="AQ636" s="1">
        <v>5.3639000000000001</v>
      </c>
      <c r="AR636" s="1">
        <v>0.29346</v>
      </c>
      <c r="AT636" s="1425">
        <v>44286</v>
      </c>
      <c r="AU636" s="1">
        <v>7.4172000000000002</v>
      </c>
      <c r="AV636" s="1">
        <v>0.51390000000000002</v>
      </c>
      <c r="AW636" s="1">
        <v>4.9428999999999998</v>
      </c>
      <c r="AX636" s="1">
        <v>0.13646</v>
      </c>
      <c r="BA636" s="1425">
        <v>44277</v>
      </c>
      <c r="BB636" s="1">
        <v>15.2392</v>
      </c>
      <c r="BC636" s="1">
        <v>3.2412999999999998</v>
      </c>
      <c r="BD636" s="1">
        <v>11.8346</v>
      </c>
      <c r="BE636" s="1">
        <v>0.85785999999999996</v>
      </c>
      <c r="BG636" s="1425">
        <v>44277</v>
      </c>
      <c r="BH636" s="1">
        <v>31.391100000000002</v>
      </c>
      <c r="BI636" s="1">
        <v>5.8594999999999997</v>
      </c>
      <c r="BJ636" s="1">
        <v>32.005099999999999</v>
      </c>
      <c r="BT636" s="1425">
        <v>44309</v>
      </c>
      <c r="BU636" s="1">
        <v>16.299800000000001</v>
      </c>
      <c r="BV636" s="1">
        <v>4.0575000000000001</v>
      </c>
      <c r="BW636" s="1">
        <v>9.6082000000000001</v>
      </c>
      <c r="BX636" s="1">
        <v>2.0589</v>
      </c>
      <c r="BZ636" s="1425">
        <v>44309</v>
      </c>
      <c r="CA636" s="1">
        <v>118.92319999999999</v>
      </c>
      <c r="CB636" s="1">
        <v>1.7958000000000001</v>
      </c>
      <c r="CC636" s="1">
        <v>106.8192</v>
      </c>
      <c r="CD636" s="1">
        <v>0.73873999999999995</v>
      </c>
      <c r="CF636" s="1425">
        <v>44308</v>
      </c>
      <c r="CG636" s="1">
        <v>8.2486999999999995</v>
      </c>
      <c r="CH636" s="1">
        <v>1.4236</v>
      </c>
      <c r="CI636" s="1">
        <v>4.5869999999999997</v>
      </c>
      <c r="CL636" s="1425">
        <v>44326</v>
      </c>
      <c r="CM636" s="1">
        <v>29.9741</v>
      </c>
      <c r="CN636" s="1">
        <v>2.7050999999999998</v>
      </c>
      <c r="CO636" s="1">
        <v>11.9686</v>
      </c>
    </row>
    <row r="637" spans="1:93">
      <c r="A637" s="1425">
        <v>44308</v>
      </c>
      <c r="B637" s="20">
        <f t="shared" si="92"/>
        <v>15.158099999999999</v>
      </c>
      <c r="C637" s="20">
        <f t="shared" si="94"/>
        <v>11.2057</v>
      </c>
      <c r="D637" s="20">
        <f t="shared" si="95"/>
        <v>10.452999999999999</v>
      </c>
      <c r="E637" s="20">
        <f t="shared" si="96"/>
        <v>11.087899999999999</v>
      </c>
      <c r="F637" s="20">
        <f t="shared" si="97"/>
        <v>31.229199999999999</v>
      </c>
      <c r="G637" s="20">
        <f t="shared" si="98"/>
        <v>14.6579</v>
      </c>
      <c r="H637" s="1239">
        <f t="shared" si="99"/>
        <v>11.2057</v>
      </c>
      <c r="I637" s="1243">
        <f t="shared" si="93"/>
        <v>0.35271335124088621</v>
      </c>
      <c r="J637" s="1243">
        <f t="shared" si="100"/>
        <v>0.12093838824177333</v>
      </c>
      <c r="K637" s="1243">
        <f t="shared" si="101"/>
        <v>0.1</v>
      </c>
      <c r="L637" s="203"/>
      <c r="N637" s="1425">
        <v>44308</v>
      </c>
      <c r="O637" s="1502">
        <v>15.158099999999999</v>
      </c>
      <c r="P637" s="1502">
        <v>3.9470000000000001</v>
      </c>
      <c r="Q637" s="1502">
        <v>13.807399999999999</v>
      </c>
      <c r="R637" s="1233">
        <f>'B. PE'!$U$23</f>
        <v>15.978235616082999</v>
      </c>
      <c r="S637" s="1233"/>
      <c r="T637" s="1233"/>
      <c r="V637" s="1425">
        <v>44308</v>
      </c>
      <c r="W637" s="1">
        <v>11.2057</v>
      </c>
      <c r="X637" s="1">
        <v>1.0495000000000001</v>
      </c>
      <c r="Y637" s="1">
        <v>9.0625</v>
      </c>
      <c r="Z637" s="1">
        <v>0.81025000000000003</v>
      </c>
      <c r="AB637" s="1425">
        <v>44284</v>
      </c>
      <c r="AC637" s="1">
        <v>14.466100000000001</v>
      </c>
      <c r="AD637" s="1502">
        <v>1.6343000000000001</v>
      </c>
      <c r="AE637" s="1">
        <v>5.3735999999999997</v>
      </c>
      <c r="AF637" s="1">
        <v>3.8870000000000002E-2</v>
      </c>
      <c r="AH637" s="1425">
        <v>44284</v>
      </c>
      <c r="AI637" s="1">
        <v>10.966799999999999</v>
      </c>
      <c r="AJ637" s="1">
        <v>1.7134</v>
      </c>
      <c r="AK637" s="1">
        <v>4.4233000000000002</v>
      </c>
      <c r="AL637" s="1">
        <v>2.2550000000000001E-2</v>
      </c>
      <c r="AN637" s="1425">
        <v>44285</v>
      </c>
      <c r="AO637" s="1">
        <v>11.8932</v>
      </c>
      <c r="AP637" s="1">
        <v>1.3194999999999999</v>
      </c>
      <c r="AQ637" s="1">
        <v>7.5720000000000001</v>
      </c>
      <c r="AR637" s="1">
        <v>0.29776999999999998</v>
      </c>
      <c r="AT637" s="1425">
        <v>44285</v>
      </c>
      <c r="AU637" s="1">
        <v>6.9409999999999998</v>
      </c>
      <c r="AV637" s="1">
        <v>0.53469999999999995</v>
      </c>
      <c r="AW637" s="1">
        <v>4.8868</v>
      </c>
      <c r="AX637" s="1">
        <v>0.13743</v>
      </c>
      <c r="BA637" s="1425">
        <v>44274</v>
      </c>
      <c r="BB637" s="1">
        <v>15.678800000000001</v>
      </c>
      <c r="BC637" s="1">
        <v>3.3348</v>
      </c>
      <c r="BD637" s="1">
        <v>12.127599999999999</v>
      </c>
      <c r="BE637" s="1">
        <v>0.87697000000000003</v>
      </c>
      <c r="BG637" s="1425">
        <v>44274</v>
      </c>
      <c r="BH637" s="1">
        <v>31.6526</v>
      </c>
      <c r="BI637" s="1">
        <v>5.9082999999999997</v>
      </c>
      <c r="BJ637" s="1">
        <v>32.250100000000003</v>
      </c>
      <c r="BT637" s="1425">
        <v>44308</v>
      </c>
      <c r="BU637" s="1">
        <v>15.747299999999999</v>
      </c>
      <c r="BV637" s="1">
        <v>3.9199000000000002</v>
      </c>
      <c r="BW637" s="1">
        <v>9.2990999999999993</v>
      </c>
      <c r="BX637" s="1">
        <v>1.9859</v>
      </c>
      <c r="BZ637" s="1425">
        <v>44308</v>
      </c>
      <c r="CA637" s="1">
        <v>117.6626</v>
      </c>
      <c r="CB637" s="1">
        <v>1.7767999999999999</v>
      </c>
      <c r="CC637" s="1">
        <v>106.239</v>
      </c>
      <c r="CD637" s="1">
        <v>0.73648000000000002</v>
      </c>
      <c r="CF637" s="1425">
        <v>44306</v>
      </c>
      <c r="CG637" s="1">
        <v>8.6302000000000003</v>
      </c>
      <c r="CH637" s="1">
        <v>1.4894000000000001</v>
      </c>
      <c r="CI637" s="1">
        <v>4.8334000000000001</v>
      </c>
      <c r="CL637" s="1425">
        <v>44323</v>
      </c>
      <c r="CM637" s="1">
        <v>30.3887</v>
      </c>
      <c r="CN637" s="1">
        <v>2.7425999999999999</v>
      </c>
      <c r="CO637" s="1">
        <v>12.136100000000001</v>
      </c>
    </row>
    <row r="638" spans="1:93">
      <c r="A638" s="1425">
        <v>44306</v>
      </c>
      <c r="B638" s="20">
        <f t="shared" si="92"/>
        <v>15.6416</v>
      </c>
      <c r="C638" s="20">
        <f t="shared" si="94"/>
        <v>12.020099999999999</v>
      </c>
      <c r="D638" s="20">
        <f t="shared" si="95"/>
        <v>10.452999999999999</v>
      </c>
      <c r="E638" s="20">
        <f t="shared" si="96"/>
        <v>11.2134</v>
      </c>
      <c r="F638" s="20">
        <f t="shared" si="97"/>
        <v>31.229199999999999</v>
      </c>
      <c r="G638" s="20">
        <f t="shared" si="98"/>
        <v>14.5246</v>
      </c>
      <c r="H638" s="1239">
        <f t="shared" si="99"/>
        <v>12.020099999999999</v>
      </c>
      <c r="I638" s="1243">
        <f t="shared" si="93"/>
        <v>0.30128701092337007</v>
      </c>
      <c r="J638" s="1243">
        <f t="shared" si="100"/>
        <v>0.12093838824177333</v>
      </c>
      <c r="K638" s="1243">
        <f t="shared" si="101"/>
        <v>0.1</v>
      </c>
      <c r="L638" s="203"/>
      <c r="N638" s="1425">
        <v>44306</v>
      </c>
      <c r="O638" s="1502">
        <v>15.6416</v>
      </c>
      <c r="P638" s="1502">
        <v>4.0728999999999997</v>
      </c>
      <c r="Q638" s="1502">
        <v>14.261100000000001</v>
      </c>
      <c r="R638" s="1233">
        <f>'B. PE'!$U$23</f>
        <v>15.978235616082999</v>
      </c>
      <c r="S638" s="1233"/>
      <c r="T638" s="1233"/>
      <c r="V638" s="1425">
        <v>44306</v>
      </c>
      <c r="W638" s="1">
        <v>12.020099999999999</v>
      </c>
      <c r="X638" s="1">
        <v>1.1257999999999999</v>
      </c>
      <c r="Y638" s="1">
        <v>9.4982000000000006</v>
      </c>
      <c r="Z638" s="1">
        <v>0.77014000000000005</v>
      </c>
      <c r="AB638" s="1425">
        <v>44281</v>
      </c>
      <c r="AC638" s="1">
        <v>14.257999999999999</v>
      </c>
      <c r="AD638" s="1502">
        <v>1.6108</v>
      </c>
      <c r="AE638" s="1">
        <v>5.3009000000000004</v>
      </c>
      <c r="AF638" s="1">
        <v>3.5959999999999999E-2</v>
      </c>
      <c r="AH638" s="1425">
        <v>44281</v>
      </c>
      <c r="AI638" s="1">
        <v>11.0341</v>
      </c>
      <c r="AJ638" s="1">
        <v>1.7239</v>
      </c>
      <c r="AK638" s="1">
        <v>4.4566999999999997</v>
      </c>
      <c r="AL638" s="1">
        <v>2.2200000000000001E-2</v>
      </c>
      <c r="AN638" s="1425">
        <v>44284</v>
      </c>
      <c r="AO638" s="1">
        <v>11.796099999999999</v>
      </c>
      <c r="AP638" s="1">
        <v>1.3087</v>
      </c>
      <c r="AQ638" s="1">
        <v>7.4935</v>
      </c>
      <c r="AR638" s="1">
        <v>0.29330000000000001</v>
      </c>
      <c r="AT638" s="1425">
        <v>44284</v>
      </c>
      <c r="AU638" s="1">
        <v>6.9409999999999998</v>
      </c>
      <c r="AV638" s="1">
        <v>0.53469999999999995</v>
      </c>
      <c r="AW638" s="1">
        <v>4.8868</v>
      </c>
      <c r="AX638" s="1">
        <v>0.1376</v>
      </c>
      <c r="BA638" s="1425">
        <v>44273</v>
      </c>
      <c r="BB638" s="1">
        <v>15.532299999999999</v>
      </c>
      <c r="BC638" s="1">
        <v>3.3037000000000001</v>
      </c>
      <c r="BD638" s="1">
        <v>12.0299</v>
      </c>
      <c r="BE638" s="1">
        <v>0.90185000000000004</v>
      </c>
      <c r="BG638" s="1425">
        <v>44273</v>
      </c>
      <c r="BH638" s="1">
        <v>31.521899999999999</v>
      </c>
      <c r="BI638" s="1">
        <v>5.8838999999999997</v>
      </c>
      <c r="BJ638" s="1">
        <v>32.127600000000001</v>
      </c>
      <c r="BT638" s="1425">
        <v>44306</v>
      </c>
      <c r="BU638" s="1">
        <v>15.747299999999999</v>
      </c>
      <c r="BV638" s="1">
        <v>3.9199000000000002</v>
      </c>
      <c r="BW638" s="1">
        <v>9.2990999999999993</v>
      </c>
      <c r="BX638" s="1">
        <v>1.9368000000000001</v>
      </c>
      <c r="BZ638" s="1425">
        <v>44306</v>
      </c>
      <c r="CA638" s="1">
        <v>123.5457</v>
      </c>
      <c r="CB638" s="1">
        <v>1.8655999999999999</v>
      </c>
      <c r="CC638" s="1">
        <v>108.9464</v>
      </c>
      <c r="CD638" s="1">
        <v>0.72018000000000004</v>
      </c>
      <c r="CF638" s="1425">
        <v>44305</v>
      </c>
      <c r="CG638" s="1">
        <v>8.6777999999999995</v>
      </c>
      <c r="CH638" s="1">
        <v>1.4977</v>
      </c>
      <c r="CI638" s="1">
        <v>4.8642000000000003</v>
      </c>
      <c r="CL638" s="1425">
        <v>44322</v>
      </c>
      <c r="CM638" s="1">
        <v>30.1814</v>
      </c>
      <c r="CN638" s="1">
        <v>2.7238000000000002</v>
      </c>
      <c r="CO638" s="1">
        <v>12.052300000000001</v>
      </c>
    </row>
    <row r="639" spans="1:93">
      <c r="A639" s="1425">
        <v>44305</v>
      </c>
      <c r="B639" s="20">
        <f t="shared" si="92"/>
        <v>15.6808</v>
      </c>
      <c r="C639" s="20">
        <f t="shared" si="94"/>
        <v>12.4695</v>
      </c>
      <c r="D639" s="20">
        <f t="shared" si="95"/>
        <v>10.3904</v>
      </c>
      <c r="E639" s="20">
        <f t="shared" si="96"/>
        <v>11.1715</v>
      </c>
      <c r="F639" s="20">
        <f t="shared" si="97"/>
        <v>32.745199999999997</v>
      </c>
      <c r="G639" s="20">
        <f t="shared" si="98"/>
        <v>15.057600000000001</v>
      </c>
      <c r="H639" s="1239">
        <f t="shared" si="99"/>
        <v>12.4695</v>
      </c>
      <c r="I639" s="1243">
        <f t="shared" si="93"/>
        <v>0.25753237900477166</v>
      </c>
      <c r="J639" s="1243">
        <f t="shared" si="100"/>
        <v>0.12093838824177333</v>
      </c>
      <c r="K639" s="1243">
        <f t="shared" si="101"/>
        <v>0.1</v>
      </c>
      <c r="L639" s="203"/>
      <c r="N639" s="1425">
        <v>44305</v>
      </c>
      <c r="O639" s="1502">
        <v>15.6808</v>
      </c>
      <c r="P639" s="1502">
        <v>4.0831</v>
      </c>
      <c r="Q639" s="1502">
        <v>14.2979</v>
      </c>
      <c r="R639" s="1233">
        <f>'B. PE'!$U$23</f>
        <v>15.978235616082999</v>
      </c>
      <c r="S639" s="1233"/>
      <c r="T639" s="1233"/>
      <c r="V639" s="1425">
        <v>44305</v>
      </c>
      <c r="W639" s="1">
        <v>12.4695</v>
      </c>
      <c r="X639" s="1">
        <v>1.1678999999999999</v>
      </c>
      <c r="Y639" s="1">
        <v>9.7385999999999999</v>
      </c>
      <c r="Z639" s="1">
        <v>0.80439000000000005</v>
      </c>
      <c r="AB639" s="1425">
        <v>44280</v>
      </c>
      <c r="AC639" s="1">
        <v>14.622199999999999</v>
      </c>
      <c r="AD639" s="1502">
        <v>1.6518999999999999</v>
      </c>
      <c r="AE639" s="1">
        <v>5.4280999999999997</v>
      </c>
      <c r="AF639" s="1">
        <v>3.5470000000000002E-2</v>
      </c>
      <c r="AH639" s="1425">
        <v>44280</v>
      </c>
      <c r="AI639" s="1">
        <v>10.966799999999999</v>
      </c>
      <c r="AJ639" s="1">
        <v>1.7134</v>
      </c>
      <c r="AK639" s="1">
        <v>4.4233000000000002</v>
      </c>
      <c r="AL639" s="1">
        <v>2.265E-2</v>
      </c>
      <c r="AN639" s="1425">
        <v>44281</v>
      </c>
      <c r="AO639" s="1">
        <v>11.9903</v>
      </c>
      <c r="AP639" s="1">
        <v>1.3302</v>
      </c>
      <c r="AQ639" s="1">
        <v>7.6505000000000001</v>
      </c>
      <c r="AR639" s="1">
        <v>0.29521999999999998</v>
      </c>
      <c r="AT639" s="1425">
        <v>44281</v>
      </c>
      <c r="AU639" s="1">
        <v>7.0025000000000004</v>
      </c>
      <c r="AV639" s="1">
        <v>0.53939999999999999</v>
      </c>
      <c r="AW639" s="1">
        <v>4.9207000000000001</v>
      </c>
      <c r="AX639" s="1">
        <v>0.13914000000000001</v>
      </c>
      <c r="BA639" s="1425">
        <v>44272</v>
      </c>
      <c r="BB639" s="1">
        <v>15.8253</v>
      </c>
      <c r="BC639" s="1">
        <v>3.3660000000000001</v>
      </c>
      <c r="BD639" s="1">
        <v>12.225300000000001</v>
      </c>
      <c r="BE639" s="1">
        <v>0.81301000000000001</v>
      </c>
      <c r="BG639" s="1425">
        <v>44272</v>
      </c>
      <c r="BH639" s="1">
        <v>31.6526</v>
      </c>
      <c r="BI639" s="1">
        <v>5.9082999999999997</v>
      </c>
      <c r="BJ639" s="1">
        <v>32.250100000000003</v>
      </c>
      <c r="BT639" s="1425">
        <v>44305</v>
      </c>
      <c r="BU639" s="1">
        <v>15.1837</v>
      </c>
      <c r="BV639" s="1">
        <v>3.7795999999999998</v>
      </c>
      <c r="BW639" s="1">
        <v>8.9838000000000005</v>
      </c>
      <c r="BX639" s="1">
        <v>1.9315</v>
      </c>
      <c r="BZ639" s="1425">
        <v>44305</v>
      </c>
      <c r="CA639" s="1">
        <v>123.1255</v>
      </c>
      <c r="CB639" s="1">
        <v>1.8593</v>
      </c>
      <c r="CC639" s="1">
        <v>108.753</v>
      </c>
      <c r="CD639" s="1">
        <v>0.74868999999999997</v>
      </c>
      <c r="CF639" s="1425">
        <v>44302</v>
      </c>
      <c r="CG639" s="1">
        <v>8.5824999999999996</v>
      </c>
      <c r="CH639" s="1">
        <v>1.4812000000000001</v>
      </c>
      <c r="CI639" s="1">
        <v>4.8026</v>
      </c>
      <c r="CL639" s="1425">
        <v>44321</v>
      </c>
      <c r="CM639" s="1">
        <v>30.1814</v>
      </c>
      <c r="CN639" s="1">
        <v>2.7238000000000002</v>
      </c>
      <c r="CO639" s="1">
        <v>12.052300000000001</v>
      </c>
    </row>
    <row r="640" spans="1:93">
      <c r="A640" s="1425">
        <v>44302</v>
      </c>
      <c r="B640" s="20">
        <f t="shared" si="92"/>
        <v>15.0928</v>
      </c>
      <c r="C640" s="20">
        <f t="shared" si="94"/>
        <v>11.851599999999999</v>
      </c>
      <c r="D640" s="20">
        <f t="shared" si="95"/>
        <v>10.3278</v>
      </c>
      <c r="E640" s="20">
        <f t="shared" si="96"/>
        <v>11.2971</v>
      </c>
      <c r="F640" s="20">
        <f t="shared" si="97"/>
        <v>29.591899999999999</v>
      </c>
      <c r="G640" s="20">
        <f t="shared" si="98"/>
        <v>14.1249</v>
      </c>
      <c r="H640" s="1239">
        <f t="shared" si="99"/>
        <v>11.851599999999999</v>
      </c>
      <c r="I640" s="1243">
        <f t="shared" si="93"/>
        <v>0.27348206149380694</v>
      </c>
      <c r="J640" s="1243">
        <f t="shared" si="100"/>
        <v>0.12093838824177333</v>
      </c>
      <c r="K640" s="1243">
        <f t="shared" si="101"/>
        <v>0.1</v>
      </c>
      <c r="L640" s="203"/>
      <c r="N640" s="1425">
        <v>44302</v>
      </c>
      <c r="O640" s="1502">
        <v>15.0928</v>
      </c>
      <c r="P640" s="1502">
        <v>3.93</v>
      </c>
      <c r="Q640" s="1502">
        <v>13.746</v>
      </c>
      <c r="R640" s="1233">
        <f>'B. PE'!$U$23</f>
        <v>15.978235616082999</v>
      </c>
      <c r="S640" s="1233"/>
      <c r="T640" s="1233"/>
      <c r="V640" s="1425">
        <v>44302</v>
      </c>
      <c r="W640" s="1">
        <v>11.851599999999999</v>
      </c>
      <c r="X640" s="1">
        <v>1.1100000000000001</v>
      </c>
      <c r="Y640" s="1">
        <v>9.4080999999999992</v>
      </c>
      <c r="Z640" s="1">
        <v>0.82979000000000003</v>
      </c>
      <c r="AB640" s="1425">
        <v>44279</v>
      </c>
      <c r="AC640" s="1">
        <v>13.529500000000001</v>
      </c>
      <c r="AD640" s="1502">
        <v>1.5285</v>
      </c>
      <c r="AE640" s="1">
        <v>5.0464000000000002</v>
      </c>
      <c r="AF640" s="1">
        <v>3.7310000000000003E-2</v>
      </c>
      <c r="AH640" s="1425">
        <v>44279</v>
      </c>
      <c r="AI640" s="1">
        <v>10.7986</v>
      </c>
      <c r="AJ640" s="1">
        <v>1.6871</v>
      </c>
      <c r="AK640" s="1">
        <v>4.3396999999999997</v>
      </c>
      <c r="AL640" s="1">
        <v>2.283E-2</v>
      </c>
      <c r="AN640" s="1425">
        <v>44280</v>
      </c>
      <c r="AO640" s="1">
        <v>11.796099999999999</v>
      </c>
      <c r="AP640" s="1">
        <v>1.3087</v>
      </c>
      <c r="AQ640" s="1">
        <v>7.4935</v>
      </c>
      <c r="AR640" s="1">
        <v>0.29096</v>
      </c>
      <c r="AT640" s="1425">
        <v>44280</v>
      </c>
      <c r="AU640" s="1">
        <v>7.0025000000000004</v>
      </c>
      <c r="AV640" s="1">
        <v>0.53939999999999999</v>
      </c>
      <c r="AW640" s="1">
        <v>4.9207000000000001</v>
      </c>
      <c r="AX640" s="1">
        <v>0.13941999999999999</v>
      </c>
      <c r="BA640" s="1425">
        <v>44271</v>
      </c>
      <c r="BB640" s="1">
        <v>16.264900000000001</v>
      </c>
      <c r="BC640" s="1">
        <v>3.4594999999999998</v>
      </c>
      <c r="BD640" s="1">
        <v>12.5182</v>
      </c>
      <c r="BE640" s="1">
        <v>0.77815000000000001</v>
      </c>
      <c r="BG640" s="1425">
        <v>44271</v>
      </c>
      <c r="BH640" s="1">
        <v>32.698999999999998</v>
      </c>
      <c r="BI640" s="1">
        <v>6.1036000000000001</v>
      </c>
      <c r="BJ640" s="1">
        <v>33.229999999999997</v>
      </c>
      <c r="BT640" s="1425">
        <v>44302</v>
      </c>
      <c r="BU640" s="1">
        <v>14.808</v>
      </c>
      <c r="BV640" s="1">
        <v>3.6861000000000002</v>
      </c>
      <c r="BW640" s="1">
        <v>8.7736000000000001</v>
      </c>
      <c r="BX640" s="1">
        <v>1.9557</v>
      </c>
      <c r="BZ640" s="1425">
        <v>44302</v>
      </c>
      <c r="CA640" s="1">
        <v>120.39400000000001</v>
      </c>
      <c r="CB640" s="1">
        <v>1.8180000000000001</v>
      </c>
      <c r="CC640" s="1">
        <v>107.496</v>
      </c>
      <c r="CD640" s="1">
        <v>0.77117000000000002</v>
      </c>
      <c r="CF640" s="1425">
        <v>44301</v>
      </c>
      <c r="CG640" s="1">
        <v>8.8209</v>
      </c>
      <c r="CH640" s="1">
        <v>1.5223</v>
      </c>
      <c r="CI640" s="1">
        <v>4.9565000000000001</v>
      </c>
      <c r="CL640" s="1425">
        <v>44320</v>
      </c>
      <c r="CM640" s="1">
        <v>29.269400000000001</v>
      </c>
      <c r="CN640" s="1">
        <v>2.6415000000000002</v>
      </c>
      <c r="CO640" s="1">
        <v>11.6839</v>
      </c>
    </row>
    <row r="641" spans="1:93">
      <c r="A641" s="1425">
        <v>44301</v>
      </c>
      <c r="B641" s="20">
        <f t="shared" si="92"/>
        <v>15.4064</v>
      </c>
      <c r="C641" s="20">
        <f t="shared" si="94"/>
        <v>12.385199999999999</v>
      </c>
      <c r="D641" s="20">
        <f t="shared" si="95"/>
        <v>10.2339</v>
      </c>
      <c r="E641" s="20">
        <f t="shared" si="96"/>
        <v>11.004200000000001</v>
      </c>
      <c r="F641" s="20">
        <f t="shared" si="97"/>
        <v>29.591899999999999</v>
      </c>
      <c r="G641" s="20">
        <f t="shared" si="98"/>
        <v>14.1249</v>
      </c>
      <c r="H641" s="1239">
        <f t="shared" si="99"/>
        <v>12.385199999999999</v>
      </c>
      <c r="I641" s="1243">
        <f t="shared" si="93"/>
        <v>0.24393631108096758</v>
      </c>
      <c r="J641" s="1243">
        <f t="shared" si="100"/>
        <v>0.12093838824177333</v>
      </c>
      <c r="K641" s="1243">
        <f t="shared" si="101"/>
        <v>0.1</v>
      </c>
      <c r="L641" s="203"/>
      <c r="N641" s="1425">
        <v>44301</v>
      </c>
      <c r="O641" s="1502">
        <v>15.4064</v>
      </c>
      <c r="P641" s="1502">
        <v>4.0117000000000003</v>
      </c>
      <c r="Q641" s="1502">
        <v>14.0403</v>
      </c>
      <c r="R641" s="1233">
        <f>'B. PE'!$U$23</f>
        <v>15.978235616082999</v>
      </c>
      <c r="S641" s="1233"/>
      <c r="T641" s="1233"/>
      <c r="V641" s="1425">
        <v>44301</v>
      </c>
      <c r="W641" s="1">
        <v>12.385199999999999</v>
      </c>
      <c r="X641" s="1">
        <v>1.1599999999999999</v>
      </c>
      <c r="Y641" s="1">
        <v>9.6935000000000002</v>
      </c>
      <c r="Z641" s="1">
        <v>0.82091999999999998</v>
      </c>
      <c r="AB641" s="1425">
        <v>44278</v>
      </c>
      <c r="AC641" s="1">
        <v>13.321300000000001</v>
      </c>
      <c r="AD641" s="1502">
        <v>1.5049999999999999</v>
      </c>
      <c r="AE641" s="1">
        <v>4.9737</v>
      </c>
      <c r="AF641" s="1">
        <v>3.8219999999999997E-2</v>
      </c>
      <c r="AH641" s="1425">
        <v>44278</v>
      </c>
      <c r="AI641" s="1">
        <v>11.000400000000001</v>
      </c>
      <c r="AJ641" s="1">
        <v>1.7185999999999999</v>
      </c>
      <c r="AK641" s="1">
        <v>4.4400000000000004</v>
      </c>
      <c r="AL641" s="1">
        <v>2.2790000000000001E-2</v>
      </c>
      <c r="AN641" s="1425">
        <v>44279</v>
      </c>
      <c r="AO641" s="1">
        <v>11.8447</v>
      </c>
      <c r="AP641" s="1">
        <v>1.3141</v>
      </c>
      <c r="AQ641" s="1">
        <v>7.5327999999999999</v>
      </c>
      <c r="AR641" s="1">
        <v>0.29530000000000001</v>
      </c>
      <c r="AT641" s="1425">
        <v>44279</v>
      </c>
      <c r="AU641" s="1">
        <v>7.0639000000000003</v>
      </c>
      <c r="AV641" s="1">
        <v>0.54410000000000003</v>
      </c>
      <c r="AW641" s="1">
        <v>4.9546000000000001</v>
      </c>
      <c r="AX641" s="1">
        <v>0.14218</v>
      </c>
      <c r="BA641" s="1425">
        <v>44270</v>
      </c>
      <c r="BB641" s="1">
        <v>14.6531</v>
      </c>
      <c r="BC641" s="1">
        <v>3.1166999999999998</v>
      </c>
      <c r="BD641" s="1">
        <v>11.444000000000001</v>
      </c>
      <c r="BE641" s="1">
        <v>0.79427000000000003</v>
      </c>
      <c r="BG641" s="1425">
        <v>44270</v>
      </c>
      <c r="BH641" s="1">
        <v>30.998699999999999</v>
      </c>
      <c r="BI641" s="1">
        <v>5.7862</v>
      </c>
      <c r="BJ641" s="1">
        <v>31.637599999999999</v>
      </c>
      <c r="BT641" s="1425">
        <v>44301</v>
      </c>
      <c r="BU641" s="1">
        <v>14.774800000000001</v>
      </c>
      <c r="BV641" s="1">
        <v>3.6778</v>
      </c>
      <c r="BW641" s="1">
        <v>8.7551000000000005</v>
      </c>
      <c r="BX641" s="1">
        <v>1.9491000000000001</v>
      </c>
      <c r="BZ641" s="1425">
        <v>44301</v>
      </c>
      <c r="CA641" s="1">
        <v>125.2266</v>
      </c>
      <c r="CB641" s="1">
        <v>1.891</v>
      </c>
      <c r="CC641" s="1">
        <v>109.7199</v>
      </c>
      <c r="CD641" s="1">
        <v>0.76637999999999995</v>
      </c>
      <c r="CF641" s="1425">
        <v>44300</v>
      </c>
      <c r="CG641" s="1">
        <v>9.0593000000000004</v>
      </c>
      <c r="CH641" s="1">
        <v>1.5634999999999999</v>
      </c>
      <c r="CI641" s="1">
        <v>5.1105</v>
      </c>
      <c r="CL641" s="1425">
        <v>44319</v>
      </c>
      <c r="CM641" s="1">
        <v>29.808299999999999</v>
      </c>
      <c r="CN641" s="1">
        <v>2.6901999999999999</v>
      </c>
      <c r="CO641" s="1">
        <v>11.9016</v>
      </c>
    </row>
    <row r="642" spans="1:93">
      <c r="A642" s="1425">
        <v>44300</v>
      </c>
      <c r="B642" s="20">
        <f t="shared" si="92"/>
        <v>15.602399999999999</v>
      </c>
      <c r="C642" s="20">
        <f t="shared" si="94"/>
        <v>12.7784</v>
      </c>
      <c r="D642" s="20">
        <f t="shared" si="95"/>
        <v>10.2965</v>
      </c>
      <c r="E642" s="20">
        <f t="shared" si="96"/>
        <v>11.2552</v>
      </c>
      <c r="F642" s="20">
        <f t="shared" si="97"/>
        <v>29.591899999999999</v>
      </c>
      <c r="G642" s="20">
        <f t="shared" si="98"/>
        <v>14.1249</v>
      </c>
      <c r="H642" s="1239">
        <f t="shared" si="99"/>
        <v>12.7784</v>
      </c>
      <c r="I642" s="1243">
        <f t="shared" si="93"/>
        <v>0.22099793401364809</v>
      </c>
      <c r="J642" s="1243">
        <f t="shared" si="100"/>
        <v>0.12093838824177333</v>
      </c>
      <c r="K642" s="1243">
        <f t="shared" si="101"/>
        <v>0.1</v>
      </c>
      <c r="L642" s="203"/>
      <c r="N642" s="1425">
        <v>44300</v>
      </c>
      <c r="O642" s="1502">
        <v>15.602399999999999</v>
      </c>
      <c r="P642" s="1502">
        <v>4.0627000000000004</v>
      </c>
      <c r="Q642" s="1502">
        <v>14.224299999999999</v>
      </c>
      <c r="R642" s="1233">
        <f>'B. PE'!$U$23</f>
        <v>15.978235616082999</v>
      </c>
      <c r="S642" s="1233"/>
      <c r="T642" s="1233"/>
      <c r="V642" s="1425">
        <v>44300</v>
      </c>
      <c r="W642" s="1">
        <v>12.7784</v>
      </c>
      <c r="X642" s="1">
        <v>1.1968000000000001</v>
      </c>
      <c r="Y642" s="1">
        <v>9.9038000000000004</v>
      </c>
      <c r="Z642" s="1">
        <v>0.85389999999999999</v>
      </c>
      <c r="AB642" s="1425">
        <v>44277</v>
      </c>
      <c r="AC642" s="1">
        <v>13.9458</v>
      </c>
      <c r="AD642" s="1502">
        <v>1.5754999999999999</v>
      </c>
      <c r="AE642" s="1">
        <v>5.1917999999999997</v>
      </c>
      <c r="AF642" s="1">
        <v>3.8370000000000001E-2</v>
      </c>
      <c r="AH642" s="1425">
        <v>44277</v>
      </c>
      <c r="AI642" s="1">
        <v>11.0341</v>
      </c>
      <c r="AJ642" s="1">
        <v>1.7239</v>
      </c>
      <c r="AK642" s="1">
        <v>4.4566999999999997</v>
      </c>
      <c r="AL642" s="1">
        <v>2.2579999999999999E-2</v>
      </c>
      <c r="AN642" s="1425">
        <v>44278</v>
      </c>
      <c r="AO642" s="1">
        <v>11.650499999999999</v>
      </c>
      <c r="AP642" s="1">
        <v>1.2926</v>
      </c>
      <c r="AQ642" s="1">
        <v>7.3757999999999999</v>
      </c>
      <c r="AR642" s="1">
        <v>0.29902000000000001</v>
      </c>
      <c r="AT642" s="1425">
        <v>44278</v>
      </c>
      <c r="AU642" s="1">
        <v>7.0639000000000003</v>
      </c>
      <c r="AV642" s="1">
        <v>0.54410000000000003</v>
      </c>
      <c r="AW642" s="1">
        <v>4.9546000000000001</v>
      </c>
      <c r="AX642" s="1">
        <v>0.14099999999999999</v>
      </c>
      <c r="BA642" s="1425">
        <v>44267</v>
      </c>
      <c r="BB642" s="1">
        <v>14.0084</v>
      </c>
      <c r="BC642" s="1">
        <v>2.9794999999999998</v>
      </c>
      <c r="BD642" s="1">
        <v>11.0143</v>
      </c>
      <c r="BE642" s="1">
        <v>0.74548999999999999</v>
      </c>
      <c r="BG642" s="1425">
        <v>44267</v>
      </c>
      <c r="BH642" s="1">
        <v>31.521899999999999</v>
      </c>
      <c r="BI642" s="1">
        <v>5.8838999999999997</v>
      </c>
      <c r="BJ642" s="1">
        <v>32.127600000000001</v>
      </c>
      <c r="BT642" s="1425">
        <v>44300</v>
      </c>
      <c r="BU642" s="1">
        <v>14.9627</v>
      </c>
      <c r="BV642" s="1">
        <v>3.7246000000000001</v>
      </c>
      <c r="BW642" s="1">
        <v>8.8602000000000007</v>
      </c>
      <c r="BX642" s="1">
        <v>1.9494</v>
      </c>
      <c r="BZ642" s="1425">
        <v>44300</v>
      </c>
      <c r="CA642" s="1">
        <v>129.0086</v>
      </c>
      <c r="CB642" s="1">
        <v>1.9480999999999999</v>
      </c>
      <c r="CC642" s="1">
        <v>111.4603</v>
      </c>
      <c r="CD642" s="1">
        <v>0.80169999999999997</v>
      </c>
      <c r="CF642" s="1425">
        <v>44299</v>
      </c>
      <c r="CG642" s="1">
        <v>8.8686000000000007</v>
      </c>
      <c r="CH642" s="1">
        <v>1.5306</v>
      </c>
      <c r="CI642" s="1">
        <v>4.9873000000000003</v>
      </c>
      <c r="CL642" s="1425">
        <v>44316</v>
      </c>
      <c r="CM642" s="1">
        <v>30.450900000000001</v>
      </c>
      <c r="CN642" s="1">
        <v>2.7482000000000002</v>
      </c>
      <c r="CO642" s="1">
        <v>12.161199999999999</v>
      </c>
    </row>
    <row r="643" spans="1:93">
      <c r="A643" s="1425">
        <v>44299</v>
      </c>
      <c r="B643" s="20">
        <f t="shared" si="92"/>
        <v>15.341100000000001</v>
      </c>
      <c r="C643" s="20">
        <f t="shared" si="94"/>
        <v>12.638</v>
      </c>
      <c r="D643" s="20">
        <f t="shared" si="95"/>
        <v>10.2652</v>
      </c>
      <c r="E643" s="20">
        <f t="shared" si="96"/>
        <v>11.2971</v>
      </c>
      <c r="F643" s="20">
        <f t="shared" si="97"/>
        <v>29.591899999999999</v>
      </c>
      <c r="G643" s="20">
        <f t="shared" si="98"/>
        <v>14.1249</v>
      </c>
      <c r="H643" s="1239">
        <f t="shared" si="99"/>
        <v>12.638</v>
      </c>
      <c r="I643" s="1243">
        <f t="shared" si="93"/>
        <v>0.21388669093210955</v>
      </c>
      <c r="J643" s="1243">
        <f t="shared" si="100"/>
        <v>0.12093838824177333</v>
      </c>
      <c r="K643" s="1243">
        <f t="shared" si="101"/>
        <v>0.1</v>
      </c>
      <c r="L643" s="203"/>
      <c r="N643" s="1425">
        <v>44299</v>
      </c>
      <c r="O643" s="1502">
        <v>15.341100000000001</v>
      </c>
      <c r="P643" s="1502">
        <v>3.9946999999999999</v>
      </c>
      <c r="Q643" s="1502">
        <v>13.978999999999999</v>
      </c>
      <c r="R643" s="1233">
        <f>'B. PE'!$U$23</f>
        <v>15.978235616082999</v>
      </c>
      <c r="S643" s="1233"/>
      <c r="T643" s="1233"/>
      <c r="V643" s="1425">
        <v>44299</v>
      </c>
      <c r="W643" s="1">
        <v>12.638</v>
      </c>
      <c r="X643" s="1">
        <v>1.1836</v>
      </c>
      <c r="Y643" s="1">
        <v>9.8286999999999995</v>
      </c>
      <c r="Z643" s="1">
        <v>0.85770000000000002</v>
      </c>
      <c r="AB643" s="1425">
        <v>44274</v>
      </c>
      <c r="AC643" s="1">
        <v>14.31</v>
      </c>
      <c r="AD643" s="1502">
        <v>1.6167</v>
      </c>
      <c r="AE643" s="1">
        <v>5.3190999999999997</v>
      </c>
      <c r="AF643" s="1">
        <v>3.9100000000000003E-2</v>
      </c>
      <c r="AH643" s="1425">
        <v>44274</v>
      </c>
      <c r="AI643" s="1">
        <v>11.0341</v>
      </c>
      <c r="AJ643" s="1">
        <v>1.7239</v>
      </c>
      <c r="AK643" s="1">
        <v>4.4566999999999997</v>
      </c>
      <c r="AL643" s="1">
        <v>2.2790000000000001E-2</v>
      </c>
      <c r="AN643" s="1425">
        <v>44277</v>
      </c>
      <c r="AO643" s="1">
        <v>11.796099999999999</v>
      </c>
      <c r="AP643" s="1">
        <v>1.3087</v>
      </c>
      <c r="AQ643" s="1">
        <v>7.4935</v>
      </c>
      <c r="AR643" s="1">
        <v>0.30406</v>
      </c>
      <c r="AT643" s="1425">
        <v>44277</v>
      </c>
      <c r="AU643" s="1">
        <v>7.1867000000000001</v>
      </c>
      <c r="AV643" s="1">
        <v>0.55359999999999998</v>
      </c>
      <c r="AW643" s="1">
        <v>5.0225</v>
      </c>
      <c r="AX643" s="1">
        <v>0.14108000000000001</v>
      </c>
      <c r="BA643" s="1425">
        <v>44266</v>
      </c>
      <c r="BB643" s="1">
        <v>14.242800000000001</v>
      </c>
      <c r="BC643" s="1">
        <v>3.0293999999999999</v>
      </c>
      <c r="BD643" s="1">
        <v>11.1706</v>
      </c>
      <c r="BE643" s="1">
        <v>0.77341000000000004</v>
      </c>
      <c r="BG643" s="1425">
        <v>44266</v>
      </c>
      <c r="BH643" s="1">
        <v>31.7834</v>
      </c>
      <c r="BI643" s="1">
        <v>5.9326999999999996</v>
      </c>
      <c r="BJ643" s="1">
        <v>32.372599999999998</v>
      </c>
      <c r="BT643" s="1425">
        <v>44299</v>
      </c>
      <c r="BU643" s="1">
        <v>14.907400000000001</v>
      </c>
      <c r="BV643" s="1">
        <v>3.7109000000000001</v>
      </c>
      <c r="BW643" s="1">
        <v>8.8292999999999999</v>
      </c>
      <c r="BX643" s="1">
        <v>1.9266000000000001</v>
      </c>
      <c r="BZ643" s="1425">
        <v>44299</v>
      </c>
      <c r="CA643" s="1">
        <v>128.16820000000001</v>
      </c>
      <c r="CB643" s="1">
        <v>1.9354</v>
      </c>
      <c r="CC643" s="1">
        <v>111.0736</v>
      </c>
      <c r="CD643" s="1">
        <v>0.81189</v>
      </c>
      <c r="CF643" s="1425">
        <v>44298</v>
      </c>
      <c r="CG643" s="1">
        <v>9.1069999999999993</v>
      </c>
      <c r="CH643" s="1">
        <v>1.5717000000000001</v>
      </c>
      <c r="CI643" s="1">
        <v>5.1413000000000002</v>
      </c>
      <c r="CL643" s="1425">
        <v>44315</v>
      </c>
      <c r="CM643" s="1">
        <v>30.409500000000001</v>
      </c>
      <c r="CN643" s="1">
        <v>2.7444000000000002</v>
      </c>
      <c r="CO643" s="1">
        <v>12.144399999999999</v>
      </c>
    </row>
    <row r="644" spans="1:93">
      <c r="A644" s="1425">
        <v>44298</v>
      </c>
      <c r="B644" s="20">
        <f t="shared" si="92"/>
        <v>15.510999999999999</v>
      </c>
      <c r="C644" s="20">
        <f t="shared" si="94"/>
        <v>13.1435</v>
      </c>
      <c r="D644" s="20">
        <f t="shared" si="95"/>
        <v>10.1713</v>
      </c>
      <c r="E644" s="20">
        <f t="shared" si="96"/>
        <v>11.004200000000001</v>
      </c>
      <c r="F644" s="20">
        <f t="shared" si="97"/>
        <v>29.1068</v>
      </c>
      <c r="G644" s="20">
        <f t="shared" si="98"/>
        <v>13.591900000000001</v>
      </c>
      <c r="H644" s="1239">
        <f t="shared" si="99"/>
        <v>13.1435</v>
      </c>
      <c r="I644" s="1243">
        <f t="shared" si="93"/>
        <v>0.18012705900254877</v>
      </c>
      <c r="J644" s="1243">
        <f t="shared" si="100"/>
        <v>0.12093838824177333</v>
      </c>
      <c r="K644" s="1243">
        <f t="shared" si="101"/>
        <v>0.1</v>
      </c>
      <c r="L644" s="203"/>
      <c r="N644" s="1425">
        <v>44298</v>
      </c>
      <c r="O644" s="1502">
        <v>15.510999999999999</v>
      </c>
      <c r="P644" s="1502">
        <v>4.0388999999999999</v>
      </c>
      <c r="Q644" s="1502">
        <v>14.138400000000001</v>
      </c>
      <c r="R644" s="1233">
        <f>'B. PE'!$U$23</f>
        <v>15.978235616082999</v>
      </c>
      <c r="S644" s="1233"/>
      <c r="T644" s="1233"/>
      <c r="V644" s="1425">
        <v>44298</v>
      </c>
      <c r="W644" s="1">
        <v>13.1435</v>
      </c>
      <c r="X644" s="1">
        <v>1.2310000000000001</v>
      </c>
      <c r="Y644" s="1">
        <v>10.0992</v>
      </c>
      <c r="Z644" s="1">
        <v>0.84582999999999997</v>
      </c>
      <c r="AB644" s="1425">
        <v>44273</v>
      </c>
      <c r="AC644" s="1">
        <v>14.414099999999999</v>
      </c>
      <c r="AD644" s="1502">
        <v>1.6284000000000001</v>
      </c>
      <c r="AE644" s="1">
        <v>5.3554000000000004</v>
      </c>
      <c r="AF644" s="1">
        <v>3.7609999999999998E-2</v>
      </c>
      <c r="AH644" s="1425">
        <v>44273</v>
      </c>
      <c r="AI644" s="1">
        <v>10.966799999999999</v>
      </c>
      <c r="AJ644" s="1">
        <v>1.7134</v>
      </c>
      <c r="AK644" s="1">
        <v>4.4233000000000002</v>
      </c>
      <c r="AL644" s="1">
        <v>2.2759999999999999E-2</v>
      </c>
      <c r="AN644" s="1425">
        <v>44274</v>
      </c>
      <c r="AO644" s="1">
        <v>11.941700000000001</v>
      </c>
      <c r="AP644" s="1">
        <v>1.3249</v>
      </c>
      <c r="AQ644" s="1">
        <v>7.6112000000000002</v>
      </c>
      <c r="AR644" s="1">
        <v>0.29116999999999998</v>
      </c>
      <c r="AT644" s="1425">
        <v>44274</v>
      </c>
      <c r="AU644" s="1">
        <v>7.1253000000000002</v>
      </c>
      <c r="AV644" s="1">
        <v>0.54890000000000005</v>
      </c>
      <c r="AW644" s="1">
        <v>4.9885999999999999</v>
      </c>
      <c r="AX644" s="1">
        <v>0.14194999999999999</v>
      </c>
      <c r="BA644" s="1425">
        <v>44265</v>
      </c>
      <c r="BB644" s="1">
        <v>13.4222</v>
      </c>
      <c r="BC644" s="1">
        <v>2.8549000000000002</v>
      </c>
      <c r="BD644" s="1">
        <v>10.623699999999999</v>
      </c>
      <c r="BE644" s="1">
        <v>0.72319999999999995</v>
      </c>
      <c r="BG644" s="1425">
        <v>44265</v>
      </c>
      <c r="BH644" s="1">
        <v>32.698999999999998</v>
      </c>
      <c r="BI644" s="1">
        <v>6.1036000000000001</v>
      </c>
      <c r="BJ644" s="1">
        <v>33.229999999999997</v>
      </c>
      <c r="BT644" s="1425">
        <v>44298</v>
      </c>
      <c r="BU644" s="1">
        <v>14.907400000000001</v>
      </c>
      <c r="BV644" s="1">
        <v>3.7109000000000001</v>
      </c>
      <c r="BW644" s="1">
        <v>8.8292999999999999</v>
      </c>
      <c r="BX644" s="1">
        <v>1.9346000000000001</v>
      </c>
      <c r="BZ644" s="1425">
        <v>44298</v>
      </c>
      <c r="CA644" s="1">
        <v>134.0513</v>
      </c>
      <c r="CB644" s="1">
        <v>2.0243000000000002</v>
      </c>
      <c r="CC644" s="1">
        <v>113.7809</v>
      </c>
      <c r="CD644" s="1">
        <v>0.81603000000000003</v>
      </c>
      <c r="CF644" s="1425">
        <v>44295</v>
      </c>
      <c r="CG644" s="1">
        <v>9.2977000000000007</v>
      </c>
      <c r="CH644" s="1">
        <v>1.6046</v>
      </c>
      <c r="CI644" s="1">
        <v>5.2644000000000002</v>
      </c>
      <c r="CL644" s="1425">
        <v>44314</v>
      </c>
      <c r="CM644" s="1">
        <v>30.575299999999999</v>
      </c>
      <c r="CN644" s="1">
        <v>2.7593999999999999</v>
      </c>
      <c r="CO644" s="1">
        <v>12.211399999999999</v>
      </c>
    </row>
    <row r="645" spans="1:93">
      <c r="A645" s="1425">
        <v>44295</v>
      </c>
      <c r="B645" s="20">
        <f t="shared" ref="B645:B708" si="102">O645</f>
        <v>15.811500000000001</v>
      </c>
      <c r="C645" s="20">
        <f t="shared" si="94"/>
        <v>13.1997</v>
      </c>
      <c r="D645" s="20">
        <f t="shared" si="95"/>
        <v>10.14</v>
      </c>
      <c r="E645" s="20">
        <f t="shared" si="96"/>
        <v>10.8368</v>
      </c>
      <c r="F645" s="20">
        <f t="shared" si="97"/>
        <v>30.319600000000001</v>
      </c>
      <c r="G645" s="20">
        <f t="shared" si="98"/>
        <v>14.391400000000001</v>
      </c>
      <c r="H645" s="1239">
        <f t="shared" si="99"/>
        <v>13.1997</v>
      </c>
      <c r="I645" s="1243">
        <f t="shared" ref="I645:I708" si="103">B645/H645-1</f>
        <v>0.19786813336666742</v>
      </c>
      <c r="J645" s="1243">
        <f t="shared" si="100"/>
        <v>0.12093838824177333</v>
      </c>
      <c r="K645" s="1243">
        <f t="shared" si="101"/>
        <v>0.1</v>
      </c>
      <c r="L645" s="203"/>
      <c r="N645" s="1425">
        <v>44295</v>
      </c>
      <c r="O645" s="1502">
        <v>15.811500000000001</v>
      </c>
      <c r="P645" s="1502">
        <v>4.1172000000000004</v>
      </c>
      <c r="Q645" s="1502">
        <v>14.420500000000001</v>
      </c>
      <c r="R645" s="1233">
        <f>'B. PE'!$U$23</f>
        <v>15.978235616082999</v>
      </c>
      <c r="S645" s="1233"/>
      <c r="T645" s="1233"/>
      <c r="V645" s="1425">
        <v>44295</v>
      </c>
      <c r="W645" s="1">
        <v>13.1997</v>
      </c>
      <c r="X645" s="1">
        <v>1.2362</v>
      </c>
      <c r="Y645" s="1">
        <v>10.129200000000001</v>
      </c>
      <c r="Z645" s="1">
        <v>0.85658999999999996</v>
      </c>
      <c r="AB645" s="1425">
        <v>44272</v>
      </c>
      <c r="AC645" s="1">
        <v>14.7263</v>
      </c>
      <c r="AD645" s="1502">
        <v>1.6637</v>
      </c>
      <c r="AE645" s="1">
        <v>5.4645000000000001</v>
      </c>
      <c r="AF645" s="1">
        <v>3.8339999999999999E-2</v>
      </c>
      <c r="AH645" s="1425">
        <v>44272</v>
      </c>
      <c r="AI645" s="1">
        <v>11.1014</v>
      </c>
      <c r="AJ645" s="1">
        <v>1.7343999999999999</v>
      </c>
      <c r="AK645" s="1">
        <v>4.4901</v>
      </c>
      <c r="AL645" s="1">
        <v>2.2579999999999999E-2</v>
      </c>
      <c r="AN645" s="1425">
        <v>44273</v>
      </c>
      <c r="AO645" s="1">
        <v>12.135899999999999</v>
      </c>
      <c r="AP645" s="1">
        <v>1.3464</v>
      </c>
      <c r="AQ645" s="1">
        <v>7.7682000000000002</v>
      </c>
      <c r="AR645" s="1">
        <v>0.28915000000000002</v>
      </c>
      <c r="AT645" s="1425">
        <v>44273</v>
      </c>
      <c r="AU645" s="1">
        <v>7.1253000000000002</v>
      </c>
      <c r="AV645" s="1">
        <v>0.54890000000000005</v>
      </c>
      <c r="AW645" s="1">
        <v>4.9885999999999999</v>
      </c>
      <c r="AX645" s="1">
        <v>0.14093</v>
      </c>
      <c r="BA645" s="1425">
        <v>44264</v>
      </c>
      <c r="BB645" s="1">
        <v>13.9497</v>
      </c>
      <c r="BC645" s="1">
        <v>2.9670999999999998</v>
      </c>
      <c r="BD645" s="1">
        <v>10.975300000000001</v>
      </c>
      <c r="BE645" s="1">
        <v>0.71730000000000005</v>
      </c>
      <c r="BG645" s="1425">
        <v>44264</v>
      </c>
      <c r="BH645" s="1">
        <v>33.68</v>
      </c>
      <c r="BI645" s="1">
        <v>6.2866999999999997</v>
      </c>
      <c r="BJ645" s="1">
        <v>34.148600000000002</v>
      </c>
      <c r="BT645" s="1425">
        <v>44295</v>
      </c>
      <c r="BU645" s="1">
        <v>14.730600000000001</v>
      </c>
      <c r="BV645" s="1">
        <v>3.6667999999999998</v>
      </c>
      <c r="BW645" s="1">
        <v>8.7303999999999995</v>
      </c>
      <c r="BX645" s="1">
        <v>1.9414</v>
      </c>
      <c r="BZ645" s="1425">
        <v>44295</v>
      </c>
      <c r="CA645" s="1">
        <v>135.73220000000001</v>
      </c>
      <c r="CB645" s="1">
        <v>2.0495999999999999</v>
      </c>
      <c r="CC645" s="1">
        <v>114.5544</v>
      </c>
      <c r="CD645" s="1">
        <v>0.81586000000000003</v>
      </c>
      <c r="CF645" s="1425">
        <v>44294</v>
      </c>
      <c r="CG645" s="1">
        <v>9.3453999999999997</v>
      </c>
      <c r="CH645" s="1">
        <v>1.6129</v>
      </c>
      <c r="CI645" s="1">
        <v>5.2952000000000004</v>
      </c>
      <c r="CL645" s="1425">
        <v>44313</v>
      </c>
      <c r="CM645" s="1">
        <v>30.367999999999999</v>
      </c>
      <c r="CN645" s="1">
        <v>2.7406999999999999</v>
      </c>
      <c r="CO645" s="1">
        <v>12.127700000000001</v>
      </c>
    </row>
    <row r="646" spans="1:93">
      <c r="A646" s="1425">
        <v>44294</v>
      </c>
      <c r="B646" s="20">
        <f t="shared" si="102"/>
        <v>15.889900000000001</v>
      </c>
      <c r="C646" s="20">
        <f t="shared" ref="C646:C709" si="104">IF(W646=0,W645,W646)</f>
        <v>13.0312</v>
      </c>
      <c r="D646" s="20">
        <f t="shared" ref="D646:D709" si="105">IFERROR(          IF(VLOOKUP(A646,$AH$5:$AI$1301,2,)=0,D645,VLOOKUP(A646,$AH$5:$AI$1301,2,)),D645)</f>
        <v>10.014799999999999</v>
      </c>
      <c r="E646" s="20">
        <f t="shared" ref="E646:E709" si="106">IFERROR(IF(VLOOKUP(A646,$AN$5:$AO$1301,2,)=0, E645, VLOOKUP(A646,$AN$5:$AO$1301,2,)),E645)</f>
        <v>10.795</v>
      </c>
      <c r="F646" s="20">
        <f t="shared" ref="F646:F709" si="107">IFERROR(IF(VLOOKUP(A646,$BG$5:$BH$1301,2,)=0,F645,VLOOKUP(A646,$BG$5:$BH$1301,2,)),F645)</f>
        <v>29.470700000000001</v>
      </c>
      <c r="G646" s="20">
        <f t="shared" ref="G646:G709" si="108">IFERROR(IF(VLOOKUP(A646,$BA$5:$BB$1301,2,)=0,G645,VLOOKUP(A646,$BA$5:$BB$1301,2,)),G645)</f>
        <v>13.725099999999999</v>
      </c>
      <c r="H646" s="1239">
        <f t="shared" ref="H646:H709" si="109">MEDIAN(C646:G646)</f>
        <v>13.0312</v>
      </c>
      <c r="I646" s="1243">
        <f t="shared" si="103"/>
        <v>0.21937350359138064</v>
      </c>
      <c r="J646" s="1243">
        <f t="shared" ref="J646:J709" si="110">$I$3</f>
        <v>0.12093838824177333</v>
      </c>
      <c r="K646" s="1243">
        <f t="shared" si="101"/>
        <v>0.1</v>
      </c>
      <c r="L646" s="203"/>
      <c r="N646" s="1425">
        <v>44294</v>
      </c>
      <c r="O646" s="1502">
        <v>15.889900000000001</v>
      </c>
      <c r="P646" s="1502">
        <v>4.1375999999999999</v>
      </c>
      <c r="Q646" s="1502">
        <v>14.4941</v>
      </c>
      <c r="R646" s="1233">
        <f>'B. PE'!$U$23</f>
        <v>15.978235616082999</v>
      </c>
      <c r="S646" s="1233"/>
      <c r="T646" s="1233"/>
      <c r="V646" s="1425">
        <v>44294</v>
      </c>
      <c r="W646" s="1">
        <v>13.0312</v>
      </c>
      <c r="X646" s="1">
        <v>1.2204999999999999</v>
      </c>
      <c r="Y646" s="1">
        <v>10.039099999999999</v>
      </c>
      <c r="Z646" s="1">
        <v>0.80198000000000003</v>
      </c>
      <c r="AB646" s="1425">
        <v>44271</v>
      </c>
      <c r="AC646" s="1">
        <v>14.101900000000001</v>
      </c>
      <c r="AD646" s="1502">
        <v>1.5931</v>
      </c>
      <c r="AE646" s="1">
        <v>5.2464000000000004</v>
      </c>
      <c r="AF646" s="1">
        <v>3.8300000000000001E-2</v>
      </c>
      <c r="AH646" s="1425">
        <v>44271</v>
      </c>
      <c r="AI646" s="1">
        <v>11.0341</v>
      </c>
      <c r="AJ646" s="1">
        <v>1.7239</v>
      </c>
      <c r="AK646" s="1">
        <v>4.4566999999999997</v>
      </c>
      <c r="AL646" s="1">
        <v>2.3050000000000001E-2</v>
      </c>
      <c r="AN646" s="1425">
        <v>44272</v>
      </c>
      <c r="AO646" s="1">
        <v>11.650499999999999</v>
      </c>
      <c r="AP646" s="1">
        <v>1.2926</v>
      </c>
      <c r="AQ646" s="1">
        <v>7.3757999999999999</v>
      </c>
      <c r="AR646" s="1">
        <v>0.29197000000000001</v>
      </c>
      <c r="AT646" s="1425">
        <v>44272</v>
      </c>
      <c r="AU646" s="1">
        <v>7.1867000000000001</v>
      </c>
      <c r="AV646" s="1">
        <v>0.55359999999999998</v>
      </c>
      <c r="AW646" s="1">
        <v>5.0225</v>
      </c>
      <c r="AX646" s="1">
        <v>0.14112</v>
      </c>
      <c r="BA646" s="1425">
        <v>44263</v>
      </c>
      <c r="BB646" s="1">
        <v>13.070600000000001</v>
      </c>
      <c r="BC646" s="1">
        <v>2.7801</v>
      </c>
      <c r="BD646" s="1">
        <v>10.3893</v>
      </c>
      <c r="BE646" s="1">
        <v>0.71031999999999995</v>
      </c>
      <c r="BG646" s="1425">
        <v>44263</v>
      </c>
      <c r="BH646" s="1">
        <v>29.559899999999999</v>
      </c>
      <c r="BI646" s="1">
        <v>5.5176999999999996</v>
      </c>
      <c r="BJ646" s="1">
        <v>30.290299999999998</v>
      </c>
      <c r="BT646" s="1425">
        <v>44294</v>
      </c>
      <c r="BU646" s="1">
        <v>14.808</v>
      </c>
      <c r="BV646" s="1">
        <v>3.6861000000000002</v>
      </c>
      <c r="BW646" s="1">
        <v>8.7736000000000001</v>
      </c>
      <c r="BX646" s="1">
        <v>1.9242999999999999</v>
      </c>
      <c r="BZ646" s="1425">
        <v>44294</v>
      </c>
      <c r="CA646" s="1">
        <v>136.57259999999999</v>
      </c>
      <c r="CB646" s="1">
        <v>2.0623</v>
      </c>
      <c r="CC646" s="1">
        <v>114.94119999999999</v>
      </c>
      <c r="CD646" s="1">
        <v>0.78705999999999998</v>
      </c>
      <c r="CF646" s="1425">
        <v>44293</v>
      </c>
      <c r="CG646" s="1">
        <v>9.4406999999999996</v>
      </c>
      <c r="CH646" s="1">
        <v>1.6293</v>
      </c>
      <c r="CI646" s="1">
        <v>5.3567999999999998</v>
      </c>
      <c r="CL646" s="1425">
        <v>44312</v>
      </c>
      <c r="CM646" s="1">
        <v>30.6997</v>
      </c>
      <c r="CN646" s="1">
        <v>2.7706</v>
      </c>
      <c r="CO646" s="1">
        <v>12.261699999999999</v>
      </c>
    </row>
    <row r="647" spans="1:93">
      <c r="A647" s="1425">
        <v>44293</v>
      </c>
      <c r="B647" s="20">
        <f t="shared" si="102"/>
        <v>16.334199999999999</v>
      </c>
      <c r="C647" s="20">
        <f t="shared" si="104"/>
        <v>13.1997</v>
      </c>
      <c r="D647" s="20">
        <f t="shared" si="105"/>
        <v>10.108700000000001</v>
      </c>
      <c r="E647" s="20">
        <f t="shared" si="106"/>
        <v>10.8787</v>
      </c>
      <c r="F647" s="20">
        <f t="shared" si="107"/>
        <v>28.621700000000001</v>
      </c>
      <c r="G647" s="20">
        <f t="shared" si="108"/>
        <v>13.458600000000001</v>
      </c>
      <c r="H647" s="1239">
        <f t="shared" si="109"/>
        <v>13.1997</v>
      </c>
      <c r="I647" s="1243">
        <f t="shared" si="103"/>
        <v>0.23746751820117118</v>
      </c>
      <c r="J647" s="1243">
        <f t="shared" si="110"/>
        <v>0.12093838824177333</v>
      </c>
      <c r="K647" s="1243">
        <f t="shared" ref="K647:K710" si="111">K646</f>
        <v>0.1</v>
      </c>
      <c r="L647" s="203"/>
      <c r="N647" s="1425">
        <v>44293</v>
      </c>
      <c r="O647" s="1502">
        <v>16.334199999999999</v>
      </c>
      <c r="P647" s="1502">
        <v>4.2533000000000003</v>
      </c>
      <c r="Q647" s="1502">
        <v>14.911</v>
      </c>
      <c r="R647" s="1233">
        <f>'B. PE'!$U$23</f>
        <v>15.978235616082999</v>
      </c>
      <c r="S647" s="1233"/>
      <c r="T647" s="1233"/>
      <c r="V647" s="1425">
        <v>44293</v>
      </c>
      <c r="W647" s="1">
        <v>13.1997</v>
      </c>
      <c r="X647" s="1">
        <v>1.2362</v>
      </c>
      <c r="Y647" s="1">
        <v>10.129200000000001</v>
      </c>
      <c r="Z647" s="1">
        <v>0.80979999999999996</v>
      </c>
      <c r="AB647" s="1425">
        <v>44270</v>
      </c>
      <c r="AC647" s="1">
        <v>14.3621</v>
      </c>
      <c r="AD647" s="1502">
        <v>1.6225000000000001</v>
      </c>
      <c r="AE647" s="1">
        <v>5.3372000000000002</v>
      </c>
      <c r="AF647" s="1">
        <v>3.7170000000000002E-2</v>
      </c>
      <c r="AH647" s="1425">
        <v>44270</v>
      </c>
      <c r="AI647" s="1">
        <v>10.933199999999999</v>
      </c>
      <c r="AJ647" s="1">
        <v>1.7081</v>
      </c>
      <c r="AK647" s="1">
        <v>4.4065000000000003</v>
      </c>
      <c r="AL647" s="1">
        <v>2.274E-2</v>
      </c>
      <c r="AN647" s="1425">
        <v>44271</v>
      </c>
      <c r="AO647" s="1">
        <v>11.5534</v>
      </c>
      <c r="AP647" s="1">
        <v>1.2818000000000001</v>
      </c>
      <c r="AQ647" s="1">
        <v>7.2972999999999999</v>
      </c>
      <c r="AR647" s="1">
        <v>0.29621999999999998</v>
      </c>
      <c r="AT647" s="1425">
        <v>44271</v>
      </c>
      <c r="AU647" s="1">
        <v>7.1253000000000002</v>
      </c>
      <c r="AV647" s="1">
        <v>0.54890000000000005</v>
      </c>
      <c r="AW647" s="1">
        <v>4.9885999999999999</v>
      </c>
      <c r="AX647" s="1">
        <v>0.14083000000000001</v>
      </c>
      <c r="BA647" s="1425">
        <v>44260</v>
      </c>
      <c r="BB647" s="1">
        <v>12.8361</v>
      </c>
      <c r="BC647" s="1">
        <v>2.7302</v>
      </c>
      <c r="BD647" s="1">
        <v>10.2331</v>
      </c>
      <c r="BE647" s="1">
        <v>0.75436000000000003</v>
      </c>
      <c r="BG647" s="1425">
        <v>44260</v>
      </c>
      <c r="BH647" s="1">
        <v>29.1675</v>
      </c>
      <c r="BI647" s="1">
        <v>5.4443999999999999</v>
      </c>
      <c r="BJ647" s="1">
        <v>29.922799999999999</v>
      </c>
      <c r="BT647" s="1425">
        <v>44293</v>
      </c>
      <c r="BU647" s="1">
        <v>14.863200000000001</v>
      </c>
      <c r="BV647" s="1">
        <v>3.6999</v>
      </c>
      <c r="BW647" s="1">
        <v>8.8046000000000006</v>
      </c>
      <c r="BX647" s="1">
        <v>1.9371</v>
      </c>
      <c r="BZ647" s="1425">
        <v>44293</v>
      </c>
      <c r="CA647" s="1">
        <v>136.57259999999999</v>
      </c>
      <c r="CB647" s="1">
        <v>2.0623</v>
      </c>
      <c r="CC647" s="1">
        <v>114.94119999999999</v>
      </c>
      <c r="CD647" s="1">
        <v>0.77625999999999995</v>
      </c>
      <c r="CF647" s="1425">
        <v>44292</v>
      </c>
      <c r="CG647" s="1">
        <v>8.9639000000000006</v>
      </c>
      <c r="CH647" s="1">
        <v>1.5469999999999999</v>
      </c>
      <c r="CI647" s="1">
        <v>5.0488999999999997</v>
      </c>
      <c r="CL647" s="1425">
        <v>44309</v>
      </c>
      <c r="CM647" s="1">
        <v>30.969100000000001</v>
      </c>
      <c r="CN647" s="1">
        <v>2.7949000000000002</v>
      </c>
      <c r="CO647" s="1">
        <v>12.3705</v>
      </c>
    </row>
    <row r="648" spans="1:93">
      <c r="A648" s="1425">
        <v>44292</v>
      </c>
      <c r="B648" s="20">
        <f t="shared" si="102"/>
        <v>16.295000000000002</v>
      </c>
      <c r="C648" s="20">
        <f t="shared" si="104"/>
        <v>12.357100000000001</v>
      </c>
      <c r="D648" s="20">
        <f t="shared" si="105"/>
        <v>10.2026</v>
      </c>
      <c r="E648" s="20">
        <f t="shared" si="106"/>
        <v>10.920500000000001</v>
      </c>
      <c r="F648" s="20">
        <f t="shared" si="107"/>
        <v>28.621700000000001</v>
      </c>
      <c r="G648" s="20">
        <f t="shared" si="108"/>
        <v>13.458600000000001</v>
      </c>
      <c r="H648" s="1239">
        <f t="shared" si="109"/>
        <v>12.357100000000001</v>
      </c>
      <c r="I648" s="1243">
        <f t="shared" si="103"/>
        <v>0.31867509367084512</v>
      </c>
      <c r="J648" s="1243">
        <f t="shared" si="110"/>
        <v>0.12093838824177333</v>
      </c>
      <c r="K648" s="1243">
        <f t="shared" si="111"/>
        <v>0.1</v>
      </c>
      <c r="L648" s="203"/>
      <c r="N648" s="1425">
        <v>44292</v>
      </c>
      <c r="O648" s="1502">
        <v>16.295000000000002</v>
      </c>
      <c r="P648" s="1502">
        <v>4.2431000000000001</v>
      </c>
      <c r="Q648" s="1502">
        <v>14.8742</v>
      </c>
      <c r="R648" s="1233">
        <f>'B. PE'!$U$23</f>
        <v>15.978235616082999</v>
      </c>
      <c r="S648" s="1233"/>
      <c r="T648" s="1233"/>
      <c r="V648" s="1425">
        <v>44292</v>
      </c>
      <c r="W648" s="1">
        <v>12.357100000000001</v>
      </c>
      <c r="X648" s="1">
        <v>1.1573</v>
      </c>
      <c r="Y648" s="1">
        <v>9.6784999999999997</v>
      </c>
      <c r="Z648" s="1">
        <v>0.82996999999999999</v>
      </c>
      <c r="AB648" s="1425">
        <v>44267</v>
      </c>
      <c r="AC648" s="1">
        <v>14.31</v>
      </c>
      <c r="AD648" s="1502">
        <v>1.6167</v>
      </c>
      <c r="AE648" s="1">
        <v>5.3190999999999997</v>
      </c>
      <c r="AF648" s="1">
        <v>3.7310000000000003E-2</v>
      </c>
      <c r="AH648" s="1425">
        <v>44267</v>
      </c>
      <c r="AI648" s="1">
        <v>11.135</v>
      </c>
      <c r="AJ648" s="1">
        <v>1.7396</v>
      </c>
      <c r="AK648" s="1">
        <v>4.5068000000000001</v>
      </c>
      <c r="AL648" s="1">
        <v>2.274E-2</v>
      </c>
      <c r="AN648" s="1425">
        <v>44270</v>
      </c>
      <c r="AO648" s="1">
        <v>11.650499999999999</v>
      </c>
      <c r="AP648" s="1">
        <v>1.2926</v>
      </c>
      <c r="AQ648" s="1">
        <v>7.3757999999999999</v>
      </c>
      <c r="AR648" s="1">
        <v>0.29825000000000002</v>
      </c>
      <c r="AT648" s="1425">
        <v>44270</v>
      </c>
      <c r="AU648" s="1">
        <v>7.1253000000000002</v>
      </c>
      <c r="AV648" s="1">
        <v>0.54890000000000005</v>
      </c>
      <c r="AW648" s="1">
        <v>4.9885999999999999</v>
      </c>
      <c r="AX648" s="1">
        <v>0.14607999999999999</v>
      </c>
      <c r="BA648" s="1425">
        <v>44259</v>
      </c>
      <c r="BB648" s="1">
        <v>12.660299999999999</v>
      </c>
      <c r="BC648" s="1">
        <v>2.6928000000000001</v>
      </c>
      <c r="BD648" s="1">
        <v>10.1159</v>
      </c>
      <c r="BE648" s="1">
        <v>0.68489</v>
      </c>
      <c r="BG648" s="1425">
        <v>44259</v>
      </c>
      <c r="BH648" s="1">
        <v>29.0367</v>
      </c>
      <c r="BI648" s="1">
        <v>5.42</v>
      </c>
      <c r="BJ648" s="1">
        <v>29.8003</v>
      </c>
      <c r="BT648" s="1425">
        <v>44292</v>
      </c>
      <c r="BU648" s="1">
        <v>14.730600000000001</v>
      </c>
      <c r="BV648" s="1">
        <v>3.6667999999999998</v>
      </c>
      <c r="BW648" s="1">
        <v>8.7303999999999995</v>
      </c>
      <c r="BX648" s="1">
        <v>1.9474</v>
      </c>
      <c r="BZ648" s="1425">
        <v>44292</v>
      </c>
      <c r="CA648" s="1">
        <v>131.74010000000001</v>
      </c>
      <c r="CB648" s="1">
        <v>1.9894000000000001</v>
      </c>
      <c r="CC648" s="1">
        <v>112.71729999999999</v>
      </c>
      <c r="CD648" s="1">
        <v>0.77636000000000005</v>
      </c>
      <c r="CF648" s="1425">
        <v>44291</v>
      </c>
      <c r="CG648" s="1">
        <v>8.7255000000000003</v>
      </c>
      <c r="CH648" s="1">
        <v>1.5059</v>
      </c>
      <c r="CI648" s="1">
        <v>4.8948999999999998</v>
      </c>
      <c r="CL648" s="1425">
        <v>44308</v>
      </c>
      <c r="CM648" s="1">
        <v>31.0106</v>
      </c>
      <c r="CN648" s="1">
        <v>2.7987000000000002</v>
      </c>
      <c r="CO648" s="1">
        <v>12.3873</v>
      </c>
    </row>
    <row r="649" spans="1:93">
      <c r="A649" s="1425">
        <v>44291</v>
      </c>
      <c r="B649" s="20">
        <f t="shared" si="102"/>
        <v>15.7462</v>
      </c>
      <c r="C649" s="20">
        <f t="shared" si="104"/>
        <v>12.4695</v>
      </c>
      <c r="D649" s="20">
        <f t="shared" si="105"/>
        <v>10.14</v>
      </c>
      <c r="E649" s="20">
        <f t="shared" si="106"/>
        <v>10.795</v>
      </c>
      <c r="F649" s="20">
        <f t="shared" si="107"/>
        <v>28.742999999999999</v>
      </c>
      <c r="G649" s="20">
        <f t="shared" si="108"/>
        <v>13.591900000000001</v>
      </c>
      <c r="H649" s="1239">
        <f t="shared" si="109"/>
        <v>12.4695</v>
      </c>
      <c r="I649" s="1243">
        <f t="shared" si="103"/>
        <v>0.26277717631019692</v>
      </c>
      <c r="J649" s="1243">
        <f t="shared" si="110"/>
        <v>0.12093838824177333</v>
      </c>
      <c r="K649" s="1243">
        <f t="shared" si="111"/>
        <v>0.1</v>
      </c>
      <c r="L649" s="203"/>
      <c r="N649" s="1425">
        <v>44291</v>
      </c>
      <c r="O649" s="1502">
        <v>15.7462</v>
      </c>
      <c r="P649" s="1502">
        <v>4.1002000000000001</v>
      </c>
      <c r="Q649" s="1502">
        <v>14.3592</v>
      </c>
      <c r="R649" s="1233">
        <f>'B. PE'!$U$23</f>
        <v>15.978235616082999</v>
      </c>
      <c r="S649" s="1233"/>
      <c r="T649" s="1233"/>
      <c r="V649" s="1425">
        <v>44291</v>
      </c>
      <c r="W649" s="1">
        <v>12.4695</v>
      </c>
      <c r="X649" s="1">
        <v>1.1678999999999999</v>
      </c>
      <c r="Y649" s="1">
        <v>9.7385999999999999</v>
      </c>
      <c r="Z649" s="1">
        <v>0.84079999999999999</v>
      </c>
      <c r="AB649" s="1425">
        <v>44265</v>
      </c>
      <c r="AC649" s="1">
        <v>13.9458</v>
      </c>
      <c r="AD649" s="1502">
        <v>1.5754999999999999</v>
      </c>
      <c r="AE649" s="1">
        <v>5.1917999999999997</v>
      </c>
      <c r="AF649" s="1">
        <v>3.6979999999999999E-2</v>
      </c>
      <c r="AH649" s="1425">
        <v>44265</v>
      </c>
      <c r="AI649" s="1">
        <v>11.0341</v>
      </c>
      <c r="AJ649" s="1">
        <v>1.7239</v>
      </c>
      <c r="AK649" s="1">
        <v>4.4566999999999997</v>
      </c>
      <c r="AL649" s="1">
        <v>2.2700000000000001E-2</v>
      </c>
      <c r="AN649" s="1425">
        <v>44267</v>
      </c>
      <c r="AO649" s="1">
        <v>11.8447</v>
      </c>
      <c r="AP649" s="1">
        <v>1.3141</v>
      </c>
      <c r="AQ649" s="1">
        <v>7.5327999999999999</v>
      </c>
      <c r="AR649" s="1">
        <v>0.28838000000000003</v>
      </c>
      <c r="AT649" s="1425">
        <v>44267</v>
      </c>
      <c r="AU649" s="1">
        <v>7.1253000000000002</v>
      </c>
      <c r="AV649" s="1">
        <v>0.54890000000000005</v>
      </c>
      <c r="AW649" s="1">
        <v>4.9885999999999999</v>
      </c>
      <c r="AX649" s="1">
        <v>0.14298</v>
      </c>
      <c r="BA649" s="1425">
        <v>44258</v>
      </c>
      <c r="BB649" s="1">
        <v>13.4222</v>
      </c>
      <c r="BC649" s="1">
        <v>2.8549000000000002</v>
      </c>
      <c r="BD649" s="1">
        <v>10.623699999999999</v>
      </c>
      <c r="BE649" s="1">
        <v>0.66796999999999995</v>
      </c>
      <c r="BG649" s="1425">
        <v>44258</v>
      </c>
      <c r="BH649" s="1">
        <v>30.867899999999999</v>
      </c>
      <c r="BI649" s="1">
        <v>5.7618</v>
      </c>
      <c r="BJ649" s="1">
        <v>31.5152</v>
      </c>
      <c r="BT649" s="1425">
        <v>44291</v>
      </c>
      <c r="BU649" s="1">
        <v>14.819000000000001</v>
      </c>
      <c r="BV649" s="1">
        <v>3.6888000000000001</v>
      </c>
      <c r="BW649" s="1">
        <v>8.7797999999999998</v>
      </c>
      <c r="BX649" s="1">
        <v>1.94</v>
      </c>
      <c r="BZ649" s="1425">
        <v>44291</v>
      </c>
      <c r="CA649" s="1">
        <v>129.84899999999999</v>
      </c>
      <c r="CB649" s="1">
        <v>1.9608000000000001</v>
      </c>
      <c r="CC649" s="1">
        <v>111.8471</v>
      </c>
      <c r="CD649" s="1">
        <v>0.77249000000000001</v>
      </c>
      <c r="CF649" s="1425">
        <v>44288</v>
      </c>
      <c r="CG649" s="1">
        <v>8.8209</v>
      </c>
      <c r="CH649" s="1">
        <v>1.5223</v>
      </c>
      <c r="CI649" s="1">
        <v>4.9565000000000001</v>
      </c>
      <c r="CL649" s="1425">
        <v>44307</v>
      </c>
      <c r="CM649" s="1">
        <v>30.8033</v>
      </c>
      <c r="CN649" s="1">
        <v>2.78</v>
      </c>
      <c r="CO649" s="1">
        <v>12.3035</v>
      </c>
    </row>
    <row r="650" spans="1:93">
      <c r="A650" s="1425">
        <v>44288</v>
      </c>
      <c r="B650" s="20">
        <f t="shared" si="102"/>
        <v>15.811500000000001</v>
      </c>
      <c r="C650" s="20">
        <f t="shared" si="104"/>
        <v>12.7784</v>
      </c>
      <c r="D650" s="20">
        <f t="shared" si="105"/>
        <v>10.14</v>
      </c>
      <c r="E650" s="20">
        <f t="shared" si="106"/>
        <v>10.5021</v>
      </c>
      <c r="F650" s="20">
        <f t="shared" si="107"/>
        <v>28.500399999999999</v>
      </c>
      <c r="G650" s="20">
        <f t="shared" si="108"/>
        <v>13.9916</v>
      </c>
      <c r="H650" s="1239">
        <f t="shared" si="109"/>
        <v>12.7784</v>
      </c>
      <c r="I650" s="1243">
        <f t="shared" si="103"/>
        <v>0.23736148500594756</v>
      </c>
      <c r="J650" s="1243">
        <f t="shared" si="110"/>
        <v>0.12093838824177333</v>
      </c>
      <c r="K650" s="1243">
        <f t="shared" si="111"/>
        <v>0.1</v>
      </c>
      <c r="L650" s="203"/>
      <c r="N650" s="1425">
        <v>44288</v>
      </c>
      <c r="O650" s="1502">
        <v>15.811500000000001</v>
      </c>
      <c r="P650" s="1502">
        <v>4.1172000000000004</v>
      </c>
      <c r="Q650" s="1502">
        <v>14.420500000000001</v>
      </c>
      <c r="R650" s="1233">
        <f>'B. PE'!$U$23</f>
        <v>15.978235616082999</v>
      </c>
      <c r="S650" s="1233"/>
      <c r="T650" s="1233"/>
      <c r="V650" s="1425">
        <v>44288</v>
      </c>
      <c r="W650" s="1">
        <v>12.7784</v>
      </c>
      <c r="X650" s="1">
        <v>1.1968000000000001</v>
      </c>
      <c r="Y650" s="1">
        <v>9.9038000000000004</v>
      </c>
      <c r="Z650" s="1">
        <v>0.83533000000000002</v>
      </c>
      <c r="AB650" s="1425">
        <v>44264</v>
      </c>
      <c r="AC650" s="1">
        <v>13.9978</v>
      </c>
      <c r="AD650" s="1502">
        <v>1.5813999999999999</v>
      </c>
      <c r="AE650" s="1">
        <v>5.21</v>
      </c>
      <c r="AF650" s="1">
        <v>3.8010000000000002E-2</v>
      </c>
      <c r="AH650" s="1425">
        <v>44264</v>
      </c>
      <c r="AI650" s="1">
        <v>11.0341</v>
      </c>
      <c r="AJ650" s="1">
        <v>1.7239</v>
      </c>
      <c r="AK650" s="1">
        <v>4.4566999999999997</v>
      </c>
      <c r="AL650" s="1">
        <v>2.2679999999999999E-2</v>
      </c>
      <c r="AN650" s="1425">
        <v>44266</v>
      </c>
      <c r="AO650" s="1">
        <v>11.8932</v>
      </c>
      <c r="AP650" s="1">
        <v>1.3194999999999999</v>
      </c>
      <c r="AQ650" s="1">
        <v>7.5720000000000001</v>
      </c>
      <c r="AR650" s="1">
        <v>0.29147000000000001</v>
      </c>
      <c r="AT650" s="1425">
        <v>44266</v>
      </c>
      <c r="AU650" s="1">
        <v>7.3710000000000004</v>
      </c>
      <c r="AV650" s="1">
        <v>0.56779999999999997</v>
      </c>
      <c r="AW650" s="1">
        <v>5.1242999999999999</v>
      </c>
      <c r="AX650" s="1">
        <v>0.14330999999999999</v>
      </c>
      <c r="BA650" s="1425">
        <v>44257</v>
      </c>
      <c r="BB650" s="1">
        <v>12.1328</v>
      </c>
      <c r="BC650" s="1">
        <v>2.5806</v>
      </c>
      <c r="BD650" s="1">
        <v>9.7643000000000004</v>
      </c>
      <c r="BE650" s="1">
        <v>0.66473000000000004</v>
      </c>
      <c r="BG650" s="1425">
        <v>44257</v>
      </c>
      <c r="BH650" s="1">
        <v>23.935700000000001</v>
      </c>
      <c r="BI650" s="1">
        <v>4.4678000000000004</v>
      </c>
      <c r="BJ650" s="1">
        <v>25.023299999999999</v>
      </c>
      <c r="BT650" s="1425">
        <v>44288</v>
      </c>
      <c r="BU650" s="1">
        <v>14.8964</v>
      </c>
      <c r="BV650" s="1">
        <v>3.7081</v>
      </c>
      <c r="BW650" s="1">
        <v>8.66</v>
      </c>
      <c r="BX650" s="1">
        <v>1.8734999999999999</v>
      </c>
      <c r="BZ650" s="1425">
        <v>44288</v>
      </c>
      <c r="CA650" s="1">
        <v>129.84899999999999</v>
      </c>
      <c r="CB650" s="1">
        <v>1.9608000000000001</v>
      </c>
      <c r="CC650" s="1">
        <v>111.8471</v>
      </c>
      <c r="CD650" s="1">
        <v>0.76495999999999997</v>
      </c>
      <c r="CF650" s="1425">
        <v>44287</v>
      </c>
      <c r="CG650" s="1">
        <v>8.5348000000000006</v>
      </c>
      <c r="CH650" s="1">
        <v>1.4730000000000001</v>
      </c>
      <c r="CI650" s="1">
        <v>4.7717999999999998</v>
      </c>
      <c r="CL650" s="1425">
        <v>44306</v>
      </c>
      <c r="CM650" s="1">
        <v>30.8033</v>
      </c>
      <c r="CN650" s="1">
        <v>2.78</v>
      </c>
      <c r="CO650" s="1">
        <v>12.3035</v>
      </c>
    </row>
    <row r="651" spans="1:93">
      <c r="A651" s="1425">
        <v>44287</v>
      </c>
      <c r="B651" s="20">
        <f t="shared" si="102"/>
        <v>15.7462</v>
      </c>
      <c r="C651" s="20">
        <f t="shared" si="104"/>
        <v>12.946899999999999</v>
      </c>
      <c r="D651" s="20">
        <f t="shared" si="105"/>
        <v>10.1713</v>
      </c>
      <c r="E651" s="20">
        <f t="shared" si="106"/>
        <v>10.250999999999999</v>
      </c>
      <c r="F651" s="20">
        <f t="shared" si="107"/>
        <v>28.8643</v>
      </c>
      <c r="G651" s="20">
        <f t="shared" si="108"/>
        <v>13.9916</v>
      </c>
      <c r="H651" s="1239">
        <f t="shared" si="109"/>
        <v>12.946899999999999</v>
      </c>
      <c r="I651" s="1243">
        <f t="shared" si="103"/>
        <v>0.21621391993450167</v>
      </c>
      <c r="J651" s="1243">
        <f t="shared" si="110"/>
        <v>0.12093838824177333</v>
      </c>
      <c r="K651" s="1243">
        <f t="shared" si="111"/>
        <v>0.1</v>
      </c>
      <c r="L651" s="203"/>
      <c r="N651" s="1425">
        <v>44287</v>
      </c>
      <c r="O651" s="1502">
        <v>15.7462</v>
      </c>
      <c r="P651" s="1502">
        <v>4.1002000000000001</v>
      </c>
      <c r="Q651" s="1502">
        <v>14.3592</v>
      </c>
      <c r="R651" s="1233">
        <f>'B. PE'!$U$23</f>
        <v>15.978235616082999</v>
      </c>
      <c r="S651" s="1233"/>
      <c r="T651" s="1233"/>
      <c r="V651" s="1425">
        <v>44287</v>
      </c>
      <c r="W651" s="1">
        <v>12.946899999999999</v>
      </c>
      <c r="X651" s="1">
        <v>1.2125999999999999</v>
      </c>
      <c r="Y651" s="1">
        <v>9.9939999999999998</v>
      </c>
      <c r="Z651" s="1">
        <v>0.79173000000000004</v>
      </c>
      <c r="AB651" s="1425">
        <v>44263</v>
      </c>
      <c r="AC651" s="1">
        <v>13.9458</v>
      </c>
      <c r="AD651" s="1502">
        <v>1.5754999999999999</v>
      </c>
      <c r="AE651" s="1">
        <v>5.1917999999999997</v>
      </c>
      <c r="AF651" s="1">
        <v>3.7260000000000001E-2</v>
      </c>
      <c r="AH651" s="1425">
        <v>44263</v>
      </c>
      <c r="AI651" s="1">
        <v>11.0677</v>
      </c>
      <c r="AJ651" s="1">
        <v>1.7291000000000001</v>
      </c>
      <c r="AK651" s="1">
        <v>4.4733999999999998</v>
      </c>
      <c r="AL651" s="1">
        <v>2.2610000000000002E-2</v>
      </c>
      <c r="AN651" s="1425">
        <v>44265</v>
      </c>
      <c r="AO651" s="1">
        <v>11.5534</v>
      </c>
      <c r="AP651" s="1">
        <v>1.2818000000000001</v>
      </c>
      <c r="AQ651" s="1">
        <v>7.2972999999999999</v>
      </c>
      <c r="AR651" s="1">
        <v>0.29209000000000002</v>
      </c>
      <c r="AT651" s="1425">
        <v>44265</v>
      </c>
      <c r="AU651" s="1">
        <v>7.2481999999999998</v>
      </c>
      <c r="AV651" s="1">
        <v>0.55830000000000002</v>
      </c>
      <c r="AW651" s="1">
        <v>5.0548000000000002</v>
      </c>
      <c r="AX651" s="1">
        <v>0.14238999999999999</v>
      </c>
      <c r="BA651" s="1425">
        <v>44256</v>
      </c>
      <c r="BB651" s="1">
        <v>11.839700000000001</v>
      </c>
      <c r="BC651" s="1">
        <v>2.5183</v>
      </c>
      <c r="BD651" s="1">
        <v>9.5690000000000008</v>
      </c>
      <c r="BE651" s="1">
        <v>0.63254999999999995</v>
      </c>
      <c r="BG651" s="1425">
        <v>44256</v>
      </c>
      <c r="BH651" s="1">
        <v>22.366099999999999</v>
      </c>
      <c r="BI651" s="1">
        <v>4.1749000000000001</v>
      </c>
      <c r="BJ651" s="1">
        <v>23.5535</v>
      </c>
      <c r="BT651" s="1425">
        <v>44287</v>
      </c>
      <c r="BU651" s="1">
        <v>14.841100000000001</v>
      </c>
      <c r="BV651" s="1">
        <v>3.6943999999999999</v>
      </c>
      <c r="BW651" s="1">
        <v>8.6296999999999997</v>
      </c>
      <c r="BX651" s="1">
        <v>1.8695999999999999</v>
      </c>
      <c r="BZ651" s="1425">
        <v>44287</v>
      </c>
      <c r="CA651" s="1">
        <v>129.21870000000001</v>
      </c>
      <c r="CB651" s="1">
        <v>1.9513</v>
      </c>
      <c r="CC651" s="1">
        <v>111.557</v>
      </c>
      <c r="CD651" s="1">
        <v>0.7601</v>
      </c>
      <c r="CF651" s="1425">
        <v>44286</v>
      </c>
      <c r="CG651" s="1">
        <v>7.8673000000000002</v>
      </c>
      <c r="CH651" s="1">
        <v>1.3577999999999999</v>
      </c>
      <c r="CI651" s="1">
        <v>4.3407</v>
      </c>
      <c r="CL651" s="1425">
        <v>44305</v>
      </c>
      <c r="CM651" s="1">
        <v>30.989899999999999</v>
      </c>
      <c r="CN651" s="1">
        <v>2.7968000000000002</v>
      </c>
      <c r="CO651" s="1">
        <v>12.3789</v>
      </c>
    </row>
    <row r="652" spans="1:93">
      <c r="A652" s="1425">
        <v>44286</v>
      </c>
      <c r="B652" s="20">
        <f t="shared" si="102"/>
        <v>15.4064</v>
      </c>
      <c r="C652" s="20">
        <f t="shared" si="104"/>
        <v>12.8626</v>
      </c>
      <c r="D652" s="20">
        <f t="shared" si="105"/>
        <v>10.108700000000001</v>
      </c>
      <c r="E652" s="20">
        <f t="shared" si="106"/>
        <v>10.0418</v>
      </c>
      <c r="F652" s="20">
        <f t="shared" si="107"/>
        <v>28.8643</v>
      </c>
      <c r="G652" s="20">
        <f t="shared" si="108"/>
        <v>13.8584</v>
      </c>
      <c r="H652" s="1239">
        <f t="shared" si="109"/>
        <v>12.8626</v>
      </c>
      <c r="I652" s="1243">
        <f t="shared" si="103"/>
        <v>0.19776716993453891</v>
      </c>
      <c r="J652" s="1243">
        <f t="shared" si="110"/>
        <v>0.12093838824177333</v>
      </c>
      <c r="K652" s="1243">
        <f t="shared" si="111"/>
        <v>0.1</v>
      </c>
      <c r="L652" s="203"/>
      <c r="N652" s="1425">
        <v>44286</v>
      </c>
      <c r="O652" s="1502">
        <v>15.4064</v>
      </c>
      <c r="P652" s="1502">
        <v>4.0117000000000003</v>
      </c>
      <c r="Q652" s="1502">
        <v>14.0403</v>
      </c>
      <c r="R652" s="1233">
        <f>'B. PE'!$U$23</f>
        <v>15.978235616082999</v>
      </c>
      <c r="S652" s="1233"/>
      <c r="T652" s="1233"/>
      <c r="V652" s="1425">
        <v>44286</v>
      </c>
      <c r="W652" s="1">
        <v>12.8626</v>
      </c>
      <c r="X652" s="1">
        <v>1.2047000000000001</v>
      </c>
      <c r="Y652" s="1">
        <v>9.9489000000000001</v>
      </c>
      <c r="Z652" s="1">
        <v>0.80249999999999999</v>
      </c>
      <c r="AB652" s="1425">
        <v>44260</v>
      </c>
      <c r="AC652" s="1">
        <v>14.257999999999999</v>
      </c>
      <c r="AD652" s="1502">
        <v>1.6108</v>
      </c>
      <c r="AE652" s="1">
        <v>5.3009000000000004</v>
      </c>
      <c r="AF652" s="1">
        <v>3.7499999999999999E-2</v>
      </c>
      <c r="AH652" s="1425">
        <v>44260</v>
      </c>
      <c r="AI652" s="1">
        <v>11.000400000000001</v>
      </c>
      <c r="AJ652" s="1">
        <v>1.7185999999999999</v>
      </c>
      <c r="AK652" s="1">
        <v>4.4400000000000004</v>
      </c>
      <c r="AL652" s="1">
        <v>2.2950000000000002E-2</v>
      </c>
      <c r="AN652" s="1425">
        <v>44264</v>
      </c>
      <c r="AO652" s="1">
        <v>11.650499999999999</v>
      </c>
      <c r="AP652" s="1">
        <v>1.2926</v>
      </c>
      <c r="AQ652" s="1">
        <v>7.3757999999999999</v>
      </c>
      <c r="AR652" s="1">
        <v>0.31927</v>
      </c>
      <c r="AT652" s="1425">
        <v>44264</v>
      </c>
      <c r="AU652" s="1">
        <v>7.2481999999999998</v>
      </c>
      <c r="AV652" s="1">
        <v>0.55830000000000002</v>
      </c>
      <c r="AW652" s="1">
        <v>5.0548000000000002</v>
      </c>
      <c r="AX652" s="1">
        <v>0.1449</v>
      </c>
      <c r="BA652" s="1425">
        <v>44252</v>
      </c>
      <c r="BB652" s="1">
        <v>11.7811</v>
      </c>
      <c r="BC652" s="1">
        <v>2.5057999999999998</v>
      </c>
      <c r="BD652" s="1">
        <v>9.5298999999999996</v>
      </c>
      <c r="BE652" s="1">
        <v>0.63588</v>
      </c>
      <c r="BG652" s="1425">
        <v>44252</v>
      </c>
      <c r="BH652" s="1">
        <v>22.366099999999999</v>
      </c>
      <c r="BI652" s="1">
        <v>4.1749000000000001</v>
      </c>
      <c r="BJ652" s="1">
        <v>23.5535</v>
      </c>
      <c r="BT652" s="1425">
        <v>44286</v>
      </c>
      <c r="BU652" s="1">
        <v>14.332800000000001</v>
      </c>
      <c r="BV652" s="1">
        <v>3.5678000000000001</v>
      </c>
      <c r="BW652" s="1">
        <v>8.3508999999999993</v>
      </c>
      <c r="BX652" s="1">
        <v>1.8793</v>
      </c>
      <c r="BZ652" s="1425">
        <v>44286</v>
      </c>
      <c r="CA652" s="1">
        <v>127.958</v>
      </c>
      <c r="CB652" s="1">
        <v>1.9322999999999999</v>
      </c>
      <c r="CC652" s="1">
        <v>110.9769</v>
      </c>
      <c r="CD652" s="1">
        <v>0.76620999999999995</v>
      </c>
      <c r="CF652" s="1425">
        <v>44285</v>
      </c>
      <c r="CG652" s="1">
        <v>8.9603000000000002</v>
      </c>
      <c r="CH652" s="1">
        <v>1.4492</v>
      </c>
      <c r="CI652" s="1">
        <v>6.5046999999999997</v>
      </c>
      <c r="CL652" s="1425">
        <v>44302</v>
      </c>
      <c r="CM652" s="1">
        <v>31.1142</v>
      </c>
      <c r="CN652" s="1">
        <v>2.8079999999999998</v>
      </c>
      <c r="CO652" s="1">
        <v>12.4291</v>
      </c>
    </row>
    <row r="653" spans="1:93">
      <c r="A653" s="1425">
        <v>44285</v>
      </c>
      <c r="B653" s="20">
        <f t="shared" si="102"/>
        <v>19.2164</v>
      </c>
      <c r="C653" s="20">
        <f t="shared" si="104"/>
        <v>13.898199999999999</v>
      </c>
      <c r="D653" s="20">
        <f t="shared" si="105"/>
        <v>10.8322</v>
      </c>
      <c r="E653" s="20">
        <f t="shared" si="106"/>
        <v>11.8932</v>
      </c>
      <c r="F653" s="20">
        <f t="shared" si="107"/>
        <v>30.083100000000002</v>
      </c>
      <c r="G653" s="20">
        <f t="shared" si="108"/>
        <v>14.946199999999999</v>
      </c>
      <c r="H653" s="1239">
        <f t="shared" si="109"/>
        <v>13.898199999999999</v>
      </c>
      <c r="I653" s="1243">
        <f t="shared" si="103"/>
        <v>0.38265386884632546</v>
      </c>
      <c r="J653" s="1243">
        <f t="shared" si="110"/>
        <v>0.12093838824177333</v>
      </c>
      <c r="K653" s="1243">
        <f t="shared" si="111"/>
        <v>0.1</v>
      </c>
      <c r="L653" s="203"/>
      <c r="N653" s="1425">
        <v>44285</v>
      </c>
      <c r="O653" s="1502">
        <v>19.2164</v>
      </c>
      <c r="P653" s="1502">
        <v>4.4596999999999998</v>
      </c>
      <c r="Q653" s="1502">
        <v>17.2698</v>
      </c>
      <c r="R653" s="1233">
        <f>'B. PE'!$U$23</f>
        <v>15.978235616082999</v>
      </c>
      <c r="S653" s="1233"/>
      <c r="T653" s="1233"/>
      <c r="V653" s="1425">
        <v>44285</v>
      </c>
      <c r="W653" s="1">
        <v>13.898199999999999</v>
      </c>
      <c r="X653" s="1">
        <v>1.1753</v>
      </c>
      <c r="Y653" s="1">
        <v>10.147500000000001</v>
      </c>
      <c r="Z653" s="1">
        <v>0.80249999999999999</v>
      </c>
      <c r="AB653" s="1425">
        <v>44259</v>
      </c>
      <c r="AC653" s="1">
        <v>13.893700000000001</v>
      </c>
      <c r="AD653" s="1502">
        <v>1.5696000000000001</v>
      </c>
      <c r="AE653" s="1">
        <v>5.1736000000000004</v>
      </c>
      <c r="AF653" s="1">
        <v>3.6220000000000002E-2</v>
      </c>
      <c r="AH653" s="1425">
        <v>44259</v>
      </c>
      <c r="AI653" s="1">
        <v>10.8995</v>
      </c>
      <c r="AJ653" s="1">
        <v>1.7028000000000001</v>
      </c>
      <c r="AK653" s="1">
        <v>4.3898000000000001</v>
      </c>
      <c r="AL653" s="1">
        <v>2.308E-2</v>
      </c>
      <c r="AN653" s="1425">
        <v>44263</v>
      </c>
      <c r="AO653" s="1">
        <v>11.650499999999999</v>
      </c>
      <c r="AP653" s="1">
        <v>1.2926</v>
      </c>
      <c r="AQ653" s="1">
        <v>7.3757999999999999</v>
      </c>
      <c r="AR653" s="1">
        <v>0.33139999999999997</v>
      </c>
      <c r="AT653" s="1425">
        <v>44263</v>
      </c>
      <c r="AU653" s="1">
        <v>7.1867000000000001</v>
      </c>
      <c r="AV653" s="1">
        <v>0.55359999999999998</v>
      </c>
      <c r="AW653" s="1">
        <v>5.0208000000000004</v>
      </c>
      <c r="AX653" s="1">
        <v>0.14537</v>
      </c>
      <c r="BA653" s="1425">
        <v>44251</v>
      </c>
      <c r="BB653" s="1">
        <v>11.1364</v>
      </c>
      <c r="BC653" s="1">
        <v>2.3687</v>
      </c>
      <c r="BD653" s="1">
        <v>9.1003000000000007</v>
      </c>
      <c r="BE653" s="1">
        <v>0.64361000000000002</v>
      </c>
      <c r="BG653" s="1425">
        <v>44251</v>
      </c>
      <c r="BH653" s="1">
        <v>21.581399999999999</v>
      </c>
      <c r="BI653" s="1">
        <v>4.0284000000000004</v>
      </c>
      <c r="BJ653" s="1">
        <v>22.8185</v>
      </c>
      <c r="BT653" s="1425">
        <v>44285</v>
      </c>
      <c r="BU653" s="1">
        <v>14.9558</v>
      </c>
      <c r="BV653" s="1">
        <v>3.7902999999999998</v>
      </c>
      <c r="BW653" s="1">
        <v>8.3208000000000002</v>
      </c>
      <c r="BX653" s="1">
        <v>1.8778999999999999</v>
      </c>
      <c r="BZ653" s="1425">
        <v>44285</v>
      </c>
      <c r="CA653" s="1">
        <v>96.655100000000004</v>
      </c>
      <c r="CB653" s="1">
        <v>1.9684999999999999</v>
      </c>
      <c r="CC653" s="1">
        <v>43.133000000000003</v>
      </c>
      <c r="CD653" s="1">
        <v>0.75365000000000004</v>
      </c>
      <c r="CF653" s="1425">
        <v>44284</v>
      </c>
      <c r="CG653" s="1">
        <v>9.0149000000000008</v>
      </c>
      <c r="CH653" s="1">
        <v>1.458</v>
      </c>
      <c r="CI653" s="1">
        <v>6.5338000000000003</v>
      </c>
      <c r="CL653" s="1425">
        <v>44301</v>
      </c>
      <c r="CM653" s="1">
        <v>31.135000000000002</v>
      </c>
      <c r="CN653" s="1">
        <v>2.8098999999999998</v>
      </c>
      <c r="CO653" s="1">
        <v>12.4375</v>
      </c>
    </row>
    <row r="654" spans="1:93">
      <c r="A654" s="1425">
        <v>44284</v>
      </c>
      <c r="B654" s="20">
        <f t="shared" si="102"/>
        <v>19.456600000000002</v>
      </c>
      <c r="C654" s="20">
        <f t="shared" si="104"/>
        <v>14.090400000000001</v>
      </c>
      <c r="D654" s="20">
        <f t="shared" si="105"/>
        <v>10.966799999999999</v>
      </c>
      <c r="E654" s="20">
        <f t="shared" si="106"/>
        <v>11.796099999999999</v>
      </c>
      <c r="F654" s="20">
        <f t="shared" si="107"/>
        <v>30.3447</v>
      </c>
      <c r="G654" s="20">
        <f t="shared" si="108"/>
        <v>14.946199999999999</v>
      </c>
      <c r="H654" s="1239">
        <f t="shared" si="109"/>
        <v>14.090400000000001</v>
      </c>
      <c r="I654" s="1243">
        <f t="shared" si="103"/>
        <v>0.3808408561857719</v>
      </c>
      <c r="J654" s="1243">
        <f t="shared" si="110"/>
        <v>0.12093838824177333</v>
      </c>
      <c r="K654" s="1243">
        <f t="shared" si="111"/>
        <v>0.1</v>
      </c>
      <c r="L654" s="203"/>
      <c r="N654" s="1425">
        <v>44284</v>
      </c>
      <c r="O654" s="1502">
        <v>19.456600000000002</v>
      </c>
      <c r="P654" s="1502">
        <v>4.5155000000000003</v>
      </c>
      <c r="Q654" s="1502">
        <v>17.496500000000001</v>
      </c>
      <c r="R654" s="1233">
        <f>'B. PE'!$U$23</f>
        <v>15.978235616082999</v>
      </c>
      <c r="S654" s="1233"/>
      <c r="T654" s="1233"/>
      <c r="V654" s="1425">
        <v>44284</v>
      </c>
      <c r="W654" s="1">
        <v>14.090400000000001</v>
      </c>
      <c r="X654" s="1">
        <v>1.1915</v>
      </c>
      <c r="Y654" s="1">
        <v>10.2445</v>
      </c>
      <c r="Z654" s="1">
        <v>0.80218999999999996</v>
      </c>
      <c r="AB654" s="1425">
        <v>44258</v>
      </c>
      <c r="AC654" s="1">
        <v>13.9458</v>
      </c>
      <c r="AD654" s="1502">
        <v>1.5754999999999999</v>
      </c>
      <c r="AE654" s="1">
        <v>5.1917999999999997</v>
      </c>
      <c r="AF654" s="1">
        <v>3.737E-2</v>
      </c>
      <c r="AH654" s="1425">
        <v>44258</v>
      </c>
      <c r="AI654" s="1">
        <v>11.0341</v>
      </c>
      <c r="AJ654" s="1">
        <v>1.7239</v>
      </c>
      <c r="AK654" s="1">
        <v>4.4566999999999997</v>
      </c>
      <c r="AL654" s="1">
        <v>2.239E-2</v>
      </c>
      <c r="AN654" s="1425">
        <v>44260</v>
      </c>
      <c r="AO654" s="1">
        <v>12.6214</v>
      </c>
      <c r="AP654" s="1">
        <v>1.4003000000000001</v>
      </c>
      <c r="AQ654" s="1">
        <v>8.1606000000000005</v>
      </c>
      <c r="AR654" s="1">
        <v>0.33076</v>
      </c>
      <c r="AT654" s="1425">
        <v>44260</v>
      </c>
      <c r="AU654" s="1">
        <v>7.2481999999999998</v>
      </c>
      <c r="AV654" s="1">
        <v>0.55830000000000002</v>
      </c>
      <c r="AW654" s="1">
        <v>5.0547000000000004</v>
      </c>
      <c r="AX654" s="1">
        <v>0.14563000000000001</v>
      </c>
      <c r="BA654" s="1425">
        <v>44250</v>
      </c>
      <c r="BB654" s="1">
        <v>11.195</v>
      </c>
      <c r="BC654" s="1">
        <v>2.3811</v>
      </c>
      <c r="BD654" s="1">
        <v>9.1393000000000004</v>
      </c>
      <c r="BE654" s="1">
        <v>0.65727999999999998</v>
      </c>
      <c r="BG654" s="1425">
        <v>44250</v>
      </c>
      <c r="BH654" s="1">
        <v>22.366099999999999</v>
      </c>
      <c r="BI654" s="1">
        <v>4.1749000000000001</v>
      </c>
      <c r="BJ654" s="1">
        <v>23.5535</v>
      </c>
      <c r="BT654" s="1425">
        <v>44284</v>
      </c>
      <c r="BU654" s="1">
        <v>15.0367</v>
      </c>
      <c r="BV654" s="1">
        <v>3.8108</v>
      </c>
      <c r="BW654" s="1">
        <v>8.3648000000000007</v>
      </c>
      <c r="BX654" s="1">
        <v>1.8597999999999999</v>
      </c>
      <c r="BZ654" s="1425">
        <v>44284</v>
      </c>
      <c r="CA654" s="1">
        <v>97.453900000000004</v>
      </c>
      <c r="CB654" s="1">
        <v>1.9847999999999999</v>
      </c>
      <c r="CC654" s="1">
        <v>43.383699999999997</v>
      </c>
      <c r="CD654" s="1">
        <v>0.78224000000000005</v>
      </c>
      <c r="CF654" s="1425">
        <v>44281</v>
      </c>
      <c r="CG654" s="1">
        <v>8.8510000000000009</v>
      </c>
      <c r="CH654" s="1">
        <v>1.4315</v>
      </c>
      <c r="CI654" s="1">
        <v>6.4463999999999997</v>
      </c>
      <c r="CL654" s="1425">
        <v>44300</v>
      </c>
      <c r="CM654" s="1">
        <v>30.4924</v>
      </c>
      <c r="CN654" s="1">
        <v>2.7519</v>
      </c>
      <c r="CO654" s="1">
        <v>12.177899999999999</v>
      </c>
    </row>
    <row r="655" spans="1:93">
      <c r="A655" s="1425">
        <v>44281</v>
      </c>
      <c r="B655" s="20">
        <f t="shared" si="102"/>
        <v>18.415800000000001</v>
      </c>
      <c r="C655" s="20">
        <f t="shared" si="104"/>
        <v>14.090400000000001</v>
      </c>
      <c r="D655" s="20">
        <f t="shared" si="105"/>
        <v>11.0341</v>
      </c>
      <c r="E655" s="20">
        <f t="shared" si="106"/>
        <v>11.9903</v>
      </c>
      <c r="F655" s="20">
        <f t="shared" si="107"/>
        <v>30.737100000000002</v>
      </c>
      <c r="G655" s="20">
        <f t="shared" si="108"/>
        <v>14.946199999999999</v>
      </c>
      <c r="H655" s="1239">
        <f t="shared" si="109"/>
        <v>14.090400000000001</v>
      </c>
      <c r="I655" s="1243">
        <f t="shared" si="103"/>
        <v>0.30697496167603466</v>
      </c>
      <c r="J655" s="1243">
        <f t="shared" si="110"/>
        <v>0.12093838824177333</v>
      </c>
      <c r="K655" s="1243">
        <f t="shared" si="111"/>
        <v>0.1</v>
      </c>
      <c r="L655" s="203"/>
      <c r="N655" s="1425">
        <v>44281</v>
      </c>
      <c r="O655" s="1502">
        <v>18.415800000000001</v>
      </c>
      <c r="P655" s="1502">
        <v>4.2739000000000003</v>
      </c>
      <c r="Q655" s="1502">
        <v>16.513999999999999</v>
      </c>
      <c r="R655" s="1233">
        <f>'B. PE'!$U$23</f>
        <v>15.978235616082999</v>
      </c>
      <c r="S655" s="1233"/>
      <c r="T655" s="1233"/>
      <c r="V655" s="1425">
        <v>44281</v>
      </c>
      <c r="W655" s="1">
        <v>14.090400000000001</v>
      </c>
      <c r="X655" s="1">
        <v>1.1915</v>
      </c>
      <c r="Y655" s="1">
        <v>10.2445</v>
      </c>
      <c r="Z655" s="1">
        <v>0.82088000000000005</v>
      </c>
      <c r="AB655" s="1425">
        <v>44257</v>
      </c>
      <c r="AC655" s="1">
        <v>13.477399999999999</v>
      </c>
      <c r="AD655" s="1502">
        <v>1.5226</v>
      </c>
      <c r="AE655" s="1">
        <v>5.0282</v>
      </c>
      <c r="AF655" s="1">
        <v>3.6630000000000003E-2</v>
      </c>
      <c r="AH655" s="1425">
        <v>44257</v>
      </c>
      <c r="AI655" s="1">
        <v>11.1014</v>
      </c>
      <c r="AJ655" s="1">
        <v>1.7343999999999999</v>
      </c>
      <c r="AK655" s="1">
        <v>4.4901</v>
      </c>
      <c r="AL655" s="1">
        <v>2.2210000000000001E-2</v>
      </c>
      <c r="AN655" s="1425">
        <v>44259</v>
      </c>
      <c r="AO655" s="1">
        <v>13.058299999999999</v>
      </c>
      <c r="AP655" s="1">
        <v>1.4487000000000001</v>
      </c>
      <c r="AQ655" s="1">
        <v>8.5137999999999998</v>
      </c>
      <c r="AR655" s="1">
        <v>0.32039000000000001</v>
      </c>
      <c r="AT655" s="1425">
        <v>44259</v>
      </c>
      <c r="AU655" s="1">
        <v>7.2481999999999998</v>
      </c>
      <c r="AV655" s="1">
        <v>0.55830000000000002</v>
      </c>
      <c r="AW655" s="1">
        <v>5.0547000000000004</v>
      </c>
      <c r="AX655" s="1">
        <v>0.14418</v>
      </c>
      <c r="BA655" s="1425">
        <v>44249</v>
      </c>
      <c r="BB655" s="1">
        <v>11.312200000000001</v>
      </c>
      <c r="BC655" s="1">
        <v>2.4060999999999999</v>
      </c>
      <c r="BD655" s="1">
        <v>9.2174999999999994</v>
      </c>
      <c r="BE655" s="1">
        <v>0.66932999999999998</v>
      </c>
      <c r="BG655" s="1425">
        <v>44249</v>
      </c>
      <c r="BH655" s="1">
        <v>21.973700000000001</v>
      </c>
      <c r="BI655" s="1">
        <v>4.1016000000000004</v>
      </c>
      <c r="BJ655" s="1">
        <v>23.186</v>
      </c>
      <c r="BT655" s="1425">
        <v>44281</v>
      </c>
      <c r="BU655" s="1">
        <v>15.0251</v>
      </c>
      <c r="BV655" s="1">
        <v>3.8079000000000001</v>
      </c>
      <c r="BW655" s="1">
        <v>8.3584999999999994</v>
      </c>
      <c r="BX655" s="1">
        <v>1.8767</v>
      </c>
      <c r="BZ655" s="1425">
        <v>44281</v>
      </c>
      <c r="CA655" s="1">
        <v>95.856300000000005</v>
      </c>
      <c r="CB655" s="1">
        <v>1.9521999999999999</v>
      </c>
      <c r="CC655" s="1">
        <v>42.882199999999997</v>
      </c>
      <c r="CD655" s="1">
        <v>0.79147000000000001</v>
      </c>
      <c r="CF655" s="1425">
        <v>44280</v>
      </c>
      <c r="CG655" s="1">
        <v>8.9603000000000002</v>
      </c>
      <c r="CH655" s="1">
        <v>1.4492</v>
      </c>
      <c r="CI655" s="1">
        <v>6.5046999999999997</v>
      </c>
      <c r="CL655" s="1425">
        <v>44299</v>
      </c>
      <c r="CM655" s="1">
        <v>30.0778</v>
      </c>
      <c r="CN655" s="1">
        <v>2.7145000000000001</v>
      </c>
      <c r="CO655" s="1">
        <v>12.0105</v>
      </c>
    </row>
    <row r="656" spans="1:93">
      <c r="A656" s="1425">
        <v>44280</v>
      </c>
      <c r="B656" s="20">
        <f t="shared" si="102"/>
        <v>18.880099999999999</v>
      </c>
      <c r="C656" s="20">
        <f t="shared" si="104"/>
        <v>14.090400000000001</v>
      </c>
      <c r="D656" s="20">
        <f t="shared" si="105"/>
        <v>10.966799999999999</v>
      </c>
      <c r="E656" s="20">
        <f t="shared" si="106"/>
        <v>11.796099999999999</v>
      </c>
      <c r="F656" s="20">
        <f t="shared" si="107"/>
        <v>31.1295</v>
      </c>
      <c r="G656" s="20">
        <f t="shared" si="108"/>
        <v>15.2392</v>
      </c>
      <c r="H656" s="1239">
        <f t="shared" si="109"/>
        <v>14.090400000000001</v>
      </c>
      <c r="I656" s="1243">
        <f t="shared" si="103"/>
        <v>0.33992647476295912</v>
      </c>
      <c r="J656" s="1243">
        <f t="shared" si="110"/>
        <v>0.12093838824177333</v>
      </c>
      <c r="K656" s="1243">
        <f t="shared" si="111"/>
        <v>0.1</v>
      </c>
      <c r="L656" s="203"/>
      <c r="N656" s="1425">
        <v>44280</v>
      </c>
      <c r="O656" s="1502">
        <v>18.880099999999999</v>
      </c>
      <c r="P656" s="1502">
        <v>4.3817000000000004</v>
      </c>
      <c r="Q656" s="1502">
        <v>16.952400000000001</v>
      </c>
      <c r="R656" s="1233">
        <f>'B. PE'!$U$23</f>
        <v>15.978235616082999</v>
      </c>
      <c r="S656" s="1233"/>
      <c r="T656" s="1233"/>
      <c r="V656" s="1425">
        <v>44280</v>
      </c>
      <c r="W656" s="1">
        <v>14.090400000000001</v>
      </c>
      <c r="X656" s="1">
        <v>1.1915</v>
      </c>
      <c r="Y656" s="1">
        <v>10.2445</v>
      </c>
      <c r="Z656" s="1">
        <v>0.86082999999999998</v>
      </c>
      <c r="AB656" s="1425">
        <v>44256</v>
      </c>
      <c r="AC656" s="1">
        <v>13.893700000000001</v>
      </c>
      <c r="AD656" s="1502">
        <v>1.5696000000000001</v>
      </c>
      <c r="AE656" s="1">
        <v>5.1736000000000004</v>
      </c>
      <c r="AF656" s="1">
        <v>3.7620000000000001E-2</v>
      </c>
      <c r="AH656" s="1425">
        <v>44256</v>
      </c>
      <c r="AI656" s="1">
        <v>10.764900000000001</v>
      </c>
      <c r="AJ656" s="1">
        <v>1.6818</v>
      </c>
      <c r="AK656" s="1">
        <v>4.3230000000000004</v>
      </c>
      <c r="AL656" s="1">
        <v>2.2450000000000001E-2</v>
      </c>
      <c r="AN656" s="1425">
        <v>44258</v>
      </c>
      <c r="AO656" s="1">
        <v>13.0097</v>
      </c>
      <c r="AP656" s="1">
        <v>1.4433</v>
      </c>
      <c r="AQ656" s="1">
        <v>8.4745000000000008</v>
      </c>
      <c r="AR656" s="1">
        <v>0.33912999999999999</v>
      </c>
      <c r="AT656" s="1425">
        <v>44258</v>
      </c>
      <c r="AU656" s="1">
        <v>7.2481999999999998</v>
      </c>
      <c r="AV656" s="1">
        <v>0.55830000000000002</v>
      </c>
      <c r="AW656" s="1">
        <v>5.0547000000000004</v>
      </c>
      <c r="AX656" s="1">
        <v>0.14552000000000001</v>
      </c>
      <c r="BA656" s="1425">
        <v>44246</v>
      </c>
      <c r="BB656" s="1">
        <v>11.5466</v>
      </c>
      <c r="BC656" s="1">
        <v>2.4559000000000002</v>
      </c>
      <c r="BD656" s="1">
        <v>9.3736999999999995</v>
      </c>
      <c r="BE656" s="1">
        <v>0.68301000000000001</v>
      </c>
      <c r="BG656" s="1425">
        <v>44246</v>
      </c>
      <c r="BH656" s="1">
        <v>22.627700000000001</v>
      </c>
      <c r="BI656" s="1">
        <v>4.2237</v>
      </c>
      <c r="BJ656" s="1">
        <v>23.798400000000001</v>
      </c>
      <c r="BT656" s="1425">
        <v>44280</v>
      </c>
      <c r="BU656" s="1">
        <v>14.8864</v>
      </c>
      <c r="BV656" s="1">
        <v>3.7726999999999999</v>
      </c>
      <c r="BW656" s="1">
        <v>8.2830999999999992</v>
      </c>
      <c r="BX656" s="1">
        <v>1.8922000000000001</v>
      </c>
      <c r="BZ656" s="1425">
        <v>44280</v>
      </c>
      <c r="CA656" s="1">
        <v>99.530699999999996</v>
      </c>
      <c r="CB656" s="1">
        <v>2.0270000000000001</v>
      </c>
      <c r="CC656" s="1">
        <v>44.035600000000002</v>
      </c>
      <c r="CD656" s="1">
        <v>0.77497000000000005</v>
      </c>
      <c r="CF656" s="1425">
        <v>44279</v>
      </c>
      <c r="CG656" s="1">
        <v>8.9603000000000002</v>
      </c>
      <c r="CH656" s="1">
        <v>1.4492</v>
      </c>
      <c r="CI656" s="1">
        <v>6.5046999999999997</v>
      </c>
      <c r="CL656" s="1425">
        <v>44298</v>
      </c>
      <c r="CM656" s="1">
        <v>30.036300000000001</v>
      </c>
      <c r="CN656" s="1">
        <v>2.7107000000000001</v>
      </c>
      <c r="CO656" s="1">
        <v>11.9937</v>
      </c>
    </row>
    <row r="657" spans="1:93">
      <c r="A657" s="1425">
        <v>44279</v>
      </c>
      <c r="B657" s="20">
        <f t="shared" si="102"/>
        <v>19.2164</v>
      </c>
      <c r="C657" s="20">
        <f t="shared" si="104"/>
        <v>14.410600000000001</v>
      </c>
      <c r="D657" s="20">
        <f t="shared" si="105"/>
        <v>10.7986</v>
      </c>
      <c r="E657" s="20">
        <f t="shared" si="106"/>
        <v>11.8447</v>
      </c>
      <c r="F657" s="20">
        <f t="shared" si="107"/>
        <v>31.6526</v>
      </c>
      <c r="G657" s="20">
        <f t="shared" si="108"/>
        <v>15.532299999999999</v>
      </c>
      <c r="H657" s="1239">
        <f t="shared" si="109"/>
        <v>14.410600000000001</v>
      </c>
      <c r="I657" s="1243">
        <f t="shared" si="103"/>
        <v>0.33349062495662918</v>
      </c>
      <c r="J657" s="1243">
        <f t="shared" si="110"/>
        <v>0.12093838824177333</v>
      </c>
      <c r="K657" s="1243">
        <f t="shared" si="111"/>
        <v>0.1</v>
      </c>
      <c r="L657" s="203"/>
      <c r="N657" s="1425">
        <v>44279</v>
      </c>
      <c r="O657" s="1502">
        <v>19.2164</v>
      </c>
      <c r="P657" s="1502">
        <v>4.4596999999999998</v>
      </c>
      <c r="Q657" s="1502">
        <v>17.2698</v>
      </c>
      <c r="R657" s="1233">
        <f>'B. PE'!$U$23</f>
        <v>15.978235616082999</v>
      </c>
      <c r="S657" s="1233"/>
      <c r="T657" s="1233"/>
      <c r="V657" s="1425">
        <v>44279</v>
      </c>
      <c r="W657" s="1">
        <v>14.410600000000001</v>
      </c>
      <c r="X657" s="1">
        <v>1.2185999999999999</v>
      </c>
      <c r="Y657" s="1">
        <v>10.4062</v>
      </c>
      <c r="Z657" s="1">
        <v>0.88488</v>
      </c>
      <c r="AB657" s="1425">
        <v>44253</v>
      </c>
      <c r="AC657" s="1">
        <v>13.685600000000001</v>
      </c>
      <c r="AD657" s="1502">
        <v>1.5461</v>
      </c>
      <c r="AE657" s="1">
        <v>5.1009000000000002</v>
      </c>
      <c r="AF657" s="1">
        <v>3.841E-2</v>
      </c>
      <c r="AH657" s="1425">
        <v>44253</v>
      </c>
      <c r="AI657" s="1">
        <v>10.731299999999999</v>
      </c>
      <c r="AJ657" s="1">
        <v>1.6766000000000001</v>
      </c>
      <c r="AK657" s="1">
        <v>4.3063000000000002</v>
      </c>
      <c r="AL657" s="1">
        <v>2.2759999999999999E-2</v>
      </c>
      <c r="AN657" s="1425">
        <v>44257</v>
      </c>
      <c r="AO657" s="1">
        <v>12.6214</v>
      </c>
      <c r="AP657" s="1">
        <v>1.4003000000000001</v>
      </c>
      <c r="AQ657" s="1">
        <v>8.1606000000000005</v>
      </c>
      <c r="AR657" s="1">
        <v>0.34201999999999999</v>
      </c>
      <c r="AT657" s="1425">
        <v>44257</v>
      </c>
      <c r="AU657" s="1">
        <v>7.1867000000000001</v>
      </c>
      <c r="AV657" s="1">
        <v>0.55359999999999998</v>
      </c>
      <c r="AW657" s="1">
        <v>5.0208000000000004</v>
      </c>
      <c r="AX657" s="1">
        <v>0.14693000000000001</v>
      </c>
      <c r="BA657" s="1425">
        <v>44245</v>
      </c>
      <c r="BB657" s="1">
        <v>11.7811</v>
      </c>
      <c r="BC657" s="1">
        <v>2.5057999999999998</v>
      </c>
      <c r="BD657" s="1">
        <v>9.5298999999999996</v>
      </c>
      <c r="BE657" s="1">
        <v>0.69428000000000001</v>
      </c>
      <c r="BG657" s="1425">
        <v>44245</v>
      </c>
      <c r="BH657" s="1">
        <v>22.889299999999999</v>
      </c>
      <c r="BI657" s="1">
        <v>4.2725</v>
      </c>
      <c r="BJ657" s="1">
        <v>24.043399999999998</v>
      </c>
      <c r="BT657" s="1425">
        <v>44279</v>
      </c>
      <c r="BU657" s="1">
        <v>15.0136</v>
      </c>
      <c r="BV657" s="1">
        <v>3.8050000000000002</v>
      </c>
      <c r="BW657" s="1">
        <v>8.3521999999999998</v>
      </c>
      <c r="BX657" s="1">
        <v>1.9059999999999999</v>
      </c>
      <c r="BZ657" s="1425">
        <v>44279</v>
      </c>
      <c r="CA657" s="1">
        <v>100.6491</v>
      </c>
      <c r="CB657" s="1">
        <v>2.0497999999999998</v>
      </c>
      <c r="CC657" s="1">
        <v>44.386600000000001</v>
      </c>
      <c r="CD657" s="1">
        <v>0.76019999999999999</v>
      </c>
      <c r="CF657" s="1425">
        <v>44278</v>
      </c>
      <c r="CG657" s="1">
        <v>9.1788000000000007</v>
      </c>
      <c r="CH657" s="1">
        <v>1.4844999999999999</v>
      </c>
      <c r="CI657" s="1">
        <v>6.6212999999999997</v>
      </c>
      <c r="CL657" s="1425">
        <v>44295</v>
      </c>
      <c r="CM657" s="1">
        <v>30.243600000000001</v>
      </c>
      <c r="CN657" s="1">
        <v>2.7294999999999998</v>
      </c>
      <c r="CO657" s="1">
        <v>12.077500000000001</v>
      </c>
    </row>
    <row r="658" spans="1:93">
      <c r="A658" s="1425">
        <v>44278</v>
      </c>
      <c r="B658" s="20">
        <f t="shared" si="102"/>
        <v>19.2164</v>
      </c>
      <c r="C658" s="20">
        <f t="shared" si="104"/>
        <v>15.1151</v>
      </c>
      <c r="D658" s="20">
        <f t="shared" si="105"/>
        <v>11.000400000000001</v>
      </c>
      <c r="E658" s="20">
        <f t="shared" si="106"/>
        <v>11.650499999999999</v>
      </c>
      <c r="F658" s="20">
        <f t="shared" si="107"/>
        <v>31.391100000000002</v>
      </c>
      <c r="G658" s="20">
        <f t="shared" si="108"/>
        <v>15.678800000000001</v>
      </c>
      <c r="H658" s="1239">
        <f t="shared" si="109"/>
        <v>15.1151</v>
      </c>
      <c r="I658" s="1243">
        <f t="shared" si="103"/>
        <v>0.27133793358958913</v>
      </c>
      <c r="J658" s="1243">
        <f t="shared" si="110"/>
        <v>0.12093838824177333</v>
      </c>
      <c r="K658" s="1243">
        <f t="shared" si="111"/>
        <v>0.1</v>
      </c>
      <c r="L658" s="203"/>
      <c r="N658" s="1425">
        <v>44278</v>
      </c>
      <c r="O658" s="1502">
        <v>19.2164</v>
      </c>
      <c r="P658" s="1502">
        <v>4.4596999999999998</v>
      </c>
      <c r="Q658" s="1502">
        <v>17.2698</v>
      </c>
      <c r="R658" s="1233">
        <f>'B. PE'!$U$23</f>
        <v>15.978235616082999</v>
      </c>
      <c r="S658" s="1233"/>
      <c r="T658" s="1233"/>
      <c r="V658" s="1425">
        <v>44278</v>
      </c>
      <c r="W658" s="1">
        <v>15.1151</v>
      </c>
      <c r="X658" s="1">
        <v>1.2782</v>
      </c>
      <c r="Y658" s="1">
        <v>10.761900000000001</v>
      </c>
      <c r="Z658" s="1">
        <v>0.86860999999999999</v>
      </c>
      <c r="AB658" s="1425">
        <v>44252</v>
      </c>
      <c r="AC658" s="1">
        <v>13.9978</v>
      </c>
      <c r="AD658" s="1502">
        <v>1.5813999999999999</v>
      </c>
      <c r="AE658" s="1">
        <v>5.21</v>
      </c>
      <c r="AF658" s="1">
        <v>4.0009999999999997E-2</v>
      </c>
      <c r="AH658" s="1425">
        <v>44252</v>
      </c>
      <c r="AI658" s="1">
        <v>10.7986</v>
      </c>
      <c r="AJ658" s="1">
        <v>1.6871</v>
      </c>
      <c r="AK658" s="1">
        <v>4.3396999999999997</v>
      </c>
      <c r="AL658" s="1">
        <v>2.2700000000000001E-2</v>
      </c>
      <c r="AN658" s="1425">
        <v>44256</v>
      </c>
      <c r="AO658" s="1">
        <v>13.349500000000001</v>
      </c>
      <c r="AP658" s="1">
        <v>1.4810000000000001</v>
      </c>
      <c r="AQ658" s="1">
        <v>8.7492000000000001</v>
      </c>
      <c r="AR658" s="1">
        <v>0.35013</v>
      </c>
      <c r="AT658" s="1425">
        <v>44256</v>
      </c>
      <c r="AU658" s="1">
        <v>7.2481999999999998</v>
      </c>
      <c r="AV658" s="1">
        <v>0.55830000000000002</v>
      </c>
      <c r="AW658" s="1">
        <v>5.0547000000000004</v>
      </c>
      <c r="AX658" s="1">
        <v>0.14846999999999999</v>
      </c>
      <c r="BA658" s="1425">
        <v>44244</v>
      </c>
      <c r="BB658" s="1">
        <v>12.015499999999999</v>
      </c>
      <c r="BC658" s="1">
        <v>2.5556999999999999</v>
      </c>
      <c r="BD658" s="1">
        <v>9.6861999999999995</v>
      </c>
      <c r="BE658" s="1">
        <v>0.71933000000000002</v>
      </c>
      <c r="BG658" s="1425">
        <v>44244</v>
      </c>
      <c r="BH658" s="1">
        <v>23.281700000000001</v>
      </c>
      <c r="BI658" s="1">
        <v>4.3457999999999997</v>
      </c>
      <c r="BJ658" s="1">
        <v>24.410900000000002</v>
      </c>
      <c r="BT658" s="1425">
        <v>44278</v>
      </c>
      <c r="BU658" s="1">
        <v>15.140700000000001</v>
      </c>
      <c r="BV658" s="1">
        <v>3.8372000000000002</v>
      </c>
      <c r="BW658" s="1">
        <v>8.4214000000000002</v>
      </c>
      <c r="BX658" s="1">
        <v>1.9221999999999999</v>
      </c>
      <c r="BZ658" s="1425">
        <v>44278</v>
      </c>
      <c r="CA658" s="1">
        <v>98.572199999999995</v>
      </c>
      <c r="CB658" s="1">
        <v>2.0074999999999998</v>
      </c>
      <c r="CC658" s="1">
        <v>43.734699999999997</v>
      </c>
      <c r="CD658" s="1">
        <v>0.7641</v>
      </c>
      <c r="CF658" s="1425">
        <v>44277</v>
      </c>
      <c r="CG658" s="1">
        <v>9.2881</v>
      </c>
      <c r="CH658" s="1">
        <v>1.5022</v>
      </c>
      <c r="CI658" s="1">
        <v>6.6795</v>
      </c>
      <c r="CL658" s="1425">
        <v>44294</v>
      </c>
      <c r="CM658" s="1">
        <v>30.3887</v>
      </c>
      <c r="CN658" s="1">
        <v>2.7425999999999999</v>
      </c>
      <c r="CO658" s="1">
        <v>12.136100000000001</v>
      </c>
    </row>
    <row r="659" spans="1:93">
      <c r="A659" s="1425">
        <v>44277</v>
      </c>
      <c r="B659" s="20">
        <f t="shared" si="102"/>
        <v>20.081199999999999</v>
      </c>
      <c r="C659" s="20">
        <f t="shared" si="104"/>
        <v>15.5314</v>
      </c>
      <c r="D659" s="20">
        <f t="shared" si="105"/>
        <v>11.0341</v>
      </c>
      <c r="E659" s="20">
        <f t="shared" si="106"/>
        <v>11.796099999999999</v>
      </c>
      <c r="F659" s="20">
        <f t="shared" si="107"/>
        <v>31.391100000000002</v>
      </c>
      <c r="G659" s="20">
        <f t="shared" si="108"/>
        <v>15.2392</v>
      </c>
      <c r="H659" s="1239">
        <f t="shared" si="109"/>
        <v>15.2392</v>
      </c>
      <c r="I659" s="1243">
        <f t="shared" si="103"/>
        <v>0.31773321434196022</v>
      </c>
      <c r="J659" s="1243">
        <f t="shared" si="110"/>
        <v>0.12093838824177333</v>
      </c>
      <c r="K659" s="1243">
        <f t="shared" si="111"/>
        <v>0.1</v>
      </c>
      <c r="L659" s="203"/>
      <c r="N659" s="1425">
        <v>44277</v>
      </c>
      <c r="O659" s="1502">
        <v>20.081199999999999</v>
      </c>
      <c r="P659" s="1502">
        <v>4.6604000000000001</v>
      </c>
      <c r="Q659" s="1502">
        <v>18.085999999999999</v>
      </c>
      <c r="R659" s="1233">
        <f>'B. PE'!$U$23</f>
        <v>15.978235616082999</v>
      </c>
      <c r="S659" s="1233"/>
      <c r="T659" s="1233"/>
      <c r="V659" s="1425">
        <v>44277</v>
      </c>
      <c r="W659" s="1">
        <v>15.5314</v>
      </c>
      <c r="X659" s="1">
        <v>1.3133999999999999</v>
      </c>
      <c r="Y659" s="1">
        <v>10.972099999999999</v>
      </c>
      <c r="Z659" s="1">
        <v>0.83942000000000005</v>
      </c>
      <c r="AB659" s="1425">
        <v>44251</v>
      </c>
      <c r="AC659" s="1">
        <v>14.049799999999999</v>
      </c>
      <c r="AD659" s="1502">
        <v>1.5872999999999999</v>
      </c>
      <c r="AE659" s="1">
        <v>5.2282000000000002</v>
      </c>
      <c r="AF659" s="1">
        <v>3.8620000000000002E-2</v>
      </c>
      <c r="AH659" s="1425">
        <v>44251</v>
      </c>
      <c r="AI659" s="1">
        <v>10.764900000000001</v>
      </c>
      <c r="AJ659" s="1">
        <v>1.6818</v>
      </c>
      <c r="AK659" s="1">
        <v>4.3230000000000004</v>
      </c>
      <c r="AL659" s="1">
        <v>2.2710000000000001E-2</v>
      </c>
      <c r="AN659" s="1425">
        <v>44253</v>
      </c>
      <c r="AO659" s="1">
        <v>13.4466</v>
      </c>
      <c r="AP659" s="1">
        <v>1.4918</v>
      </c>
      <c r="AQ659" s="1">
        <v>8.8277000000000001</v>
      </c>
      <c r="AR659" s="1">
        <v>0.34015000000000001</v>
      </c>
      <c r="AT659" s="1425">
        <v>44253</v>
      </c>
      <c r="AU659" s="1">
        <v>7.3095999999999997</v>
      </c>
      <c r="AV659" s="1">
        <v>0.56310000000000004</v>
      </c>
      <c r="AW659" s="1">
        <v>5.0885999999999996</v>
      </c>
      <c r="AX659" s="1">
        <v>0.14718999999999999</v>
      </c>
      <c r="BA659" s="1425">
        <v>44243</v>
      </c>
      <c r="BB659" s="1">
        <v>12.1914</v>
      </c>
      <c r="BC659" s="1">
        <v>2.5931000000000002</v>
      </c>
      <c r="BD659" s="1">
        <v>9.8033999999999999</v>
      </c>
      <c r="BE659" s="1">
        <v>0.71962000000000004</v>
      </c>
      <c r="BG659" s="1425">
        <v>44243</v>
      </c>
      <c r="BH659" s="1">
        <v>23.674099999999999</v>
      </c>
      <c r="BI659" s="1">
        <v>4.4189999999999996</v>
      </c>
      <c r="BJ659" s="1">
        <v>24.778300000000002</v>
      </c>
      <c r="BT659" s="1425">
        <v>44277</v>
      </c>
      <c r="BU659" s="1">
        <v>15.2447</v>
      </c>
      <c r="BV659" s="1">
        <v>3.8635000000000002</v>
      </c>
      <c r="BW659" s="1">
        <v>8.4779999999999998</v>
      </c>
      <c r="BX659" s="1">
        <v>1.9309000000000001</v>
      </c>
      <c r="BZ659" s="1425">
        <v>44277</v>
      </c>
      <c r="CA659" s="1">
        <v>96.655100000000004</v>
      </c>
      <c r="CB659" s="1">
        <v>1.9684999999999999</v>
      </c>
      <c r="CC659" s="1">
        <v>43.133000000000003</v>
      </c>
      <c r="CD659" s="1">
        <v>0.7641</v>
      </c>
      <c r="CF659" s="1425">
        <v>44274</v>
      </c>
      <c r="CG659" s="1">
        <v>9.5612999999999992</v>
      </c>
      <c r="CH659" s="1">
        <v>1.5464</v>
      </c>
      <c r="CI659" s="1">
        <v>6.8251999999999997</v>
      </c>
      <c r="CL659" s="1425">
        <v>44293</v>
      </c>
      <c r="CM659" s="1">
        <v>30.098500000000001</v>
      </c>
      <c r="CN659" s="1">
        <v>2.7164000000000001</v>
      </c>
      <c r="CO659" s="1">
        <v>12.018800000000001</v>
      </c>
    </row>
    <row r="660" spans="1:93">
      <c r="A660" s="1425">
        <v>44274</v>
      </c>
      <c r="B660" s="20">
        <f t="shared" si="102"/>
        <v>19.3766</v>
      </c>
      <c r="C660" s="20">
        <f t="shared" si="104"/>
        <v>15.2432</v>
      </c>
      <c r="D660" s="20">
        <f t="shared" si="105"/>
        <v>11.0341</v>
      </c>
      <c r="E660" s="20">
        <f t="shared" si="106"/>
        <v>11.941700000000001</v>
      </c>
      <c r="F660" s="20">
        <f t="shared" si="107"/>
        <v>31.6526</v>
      </c>
      <c r="G660" s="20">
        <f t="shared" si="108"/>
        <v>15.678800000000001</v>
      </c>
      <c r="H660" s="1239">
        <f t="shared" si="109"/>
        <v>15.2432</v>
      </c>
      <c r="I660" s="1243">
        <f t="shared" si="103"/>
        <v>0.27116353521570269</v>
      </c>
      <c r="J660" s="1243">
        <f t="shared" si="110"/>
        <v>0.12093838824177333</v>
      </c>
      <c r="K660" s="1243">
        <f t="shared" si="111"/>
        <v>0.1</v>
      </c>
      <c r="L660" s="203"/>
      <c r="N660" s="1425">
        <v>44274</v>
      </c>
      <c r="O660" s="1502">
        <v>19.3766</v>
      </c>
      <c r="P660" s="1502">
        <v>4.4969000000000001</v>
      </c>
      <c r="Q660" s="1502">
        <v>17.4209</v>
      </c>
      <c r="R660" s="1233">
        <f>'B. PE'!$U$23</f>
        <v>15.978235616082999</v>
      </c>
      <c r="S660" s="1233"/>
      <c r="T660" s="1233"/>
      <c r="V660" s="1425">
        <v>44274</v>
      </c>
      <c r="W660" s="1">
        <v>15.2432</v>
      </c>
      <c r="X660" s="1">
        <v>1.2889999999999999</v>
      </c>
      <c r="Y660" s="1">
        <v>10.826599999999999</v>
      </c>
      <c r="Z660" s="1">
        <v>0.87575999999999998</v>
      </c>
      <c r="AB660" s="1425">
        <v>44250</v>
      </c>
      <c r="AC660" s="1">
        <v>14.674300000000001</v>
      </c>
      <c r="AD660" s="1502">
        <v>1.6577999999999999</v>
      </c>
      <c r="AE660" s="1">
        <v>5.4462999999999999</v>
      </c>
      <c r="AF660" s="1">
        <v>3.7879999999999997E-2</v>
      </c>
      <c r="AH660" s="1425">
        <v>44250</v>
      </c>
      <c r="AI660" s="1">
        <v>10.764900000000001</v>
      </c>
      <c r="AJ660" s="1">
        <v>1.6818</v>
      </c>
      <c r="AK660" s="1">
        <v>4.3230000000000004</v>
      </c>
      <c r="AL660" s="1">
        <v>2.2339999999999999E-2</v>
      </c>
      <c r="AN660" s="1425">
        <v>44252</v>
      </c>
      <c r="AO660" s="1">
        <v>13.7379</v>
      </c>
      <c r="AP660" s="1">
        <v>1.5241</v>
      </c>
      <c r="AQ660" s="1">
        <v>9.0631000000000004</v>
      </c>
      <c r="AR660" s="1">
        <v>0.34872999999999998</v>
      </c>
      <c r="AT660" s="1425">
        <v>44252</v>
      </c>
      <c r="AU660" s="1">
        <v>7.3710000000000004</v>
      </c>
      <c r="AV660" s="1">
        <v>0.56779999999999997</v>
      </c>
      <c r="AW660" s="1">
        <v>5.1226000000000003</v>
      </c>
      <c r="AX660" s="1">
        <v>0.14963000000000001</v>
      </c>
      <c r="BA660" s="1425">
        <v>44242</v>
      </c>
      <c r="BB660" s="1">
        <v>12.601699999999999</v>
      </c>
      <c r="BC660" s="1">
        <v>2.6802999999999999</v>
      </c>
      <c r="BD660" s="1">
        <v>10.0768</v>
      </c>
      <c r="BE660" s="1">
        <v>0.71258999999999995</v>
      </c>
      <c r="BG660" s="1425">
        <v>44242</v>
      </c>
      <c r="BH660" s="1">
        <v>23.8049</v>
      </c>
      <c r="BI660" s="1">
        <v>4.4433999999999996</v>
      </c>
      <c r="BJ660" s="1">
        <v>24.9008</v>
      </c>
      <c r="BT660" s="1425">
        <v>44274</v>
      </c>
      <c r="BU660" s="1">
        <v>15.3719</v>
      </c>
      <c r="BV660" s="1">
        <v>3.8957999999999999</v>
      </c>
      <c r="BW660" s="1">
        <v>8.5472000000000001</v>
      </c>
      <c r="BX660" s="1">
        <v>1.919</v>
      </c>
      <c r="BZ660" s="1425">
        <v>44274</v>
      </c>
      <c r="CA660" s="1">
        <v>97.134299999999996</v>
      </c>
      <c r="CB660" s="1">
        <v>1.9782</v>
      </c>
      <c r="CC660" s="1">
        <v>43.2834</v>
      </c>
      <c r="CD660" s="1">
        <v>0.76019999999999999</v>
      </c>
      <c r="CF660" s="1425">
        <v>44273</v>
      </c>
      <c r="CG660" s="1">
        <v>9.7797999999999998</v>
      </c>
      <c r="CH660" s="1">
        <v>1.5817000000000001</v>
      </c>
      <c r="CI660" s="1">
        <v>6.9417999999999997</v>
      </c>
      <c r="CL660" s="1425">
        <v>44292</v>
      </c>
      <c r="CM660" s="1">
        <v>30.264299999999999</v>
      </c>
      <c r="CN660" s="1">
        <v>2.7313000000000001</v>
      </c>
      <c r="CO660" s="1">
        <v>12.085800000000001</v>
      </c>
    </row>
    <row r="661" spans="1:93">
      <c r="A661" s="1425">
        <v>44273</v>
      </c>
      <c r="B661" s="20">
        <f t="shared" si="102"/>
        <v>19.760899999999999</v>
      </c>
      <c r="C661" s="20">
        <f t="shared" si="104"/>
        <v>14.7309</v>
      </c>
      <c r="D661" s="20">
        <f t="shared" si="105"/>
        <v>10.966799999999999</v>
      </c>
      <c r="E661" s="20">
        <f t="shared" si="106"/>
        <v>12.135899999999999</v>
      </c>
      <c r="F661" s="20">
        <f t="shared" si="107"/>
        <v>31.521899999999999</v>
      </c>
      <c r="G661" s="20">
        <f t="shared" si="108"/>
        <v>15.532299999999999</v>
      </c>
      <c r="H661" s="1239">
        <f t="shared" si="109"/>
        <v>14.7309</v>
      </c>
      <c r="I661" s="1243">
        <f t="shared" si="103"/>
        <v>0.34145910976247196</v>
      </c>
      <c r="J661" s="1243">
        <f t="shared" si="110"/>
        <v>0.12093838824177333</v>
      </c>
      <c r="K661" s="1243">
        <f t="shared" si="111"/>
        <v>0.1</v>
      </c>
      <c r="L661" s="203"/>
      <c r="N661" s="1425">
        <v>44273</v>
      </c>
      <c r="O661" s="1502">
        <v>19.760899999999999</v>
      </c>
      <c r="P661" s="1502">
        <v>4.5861000000000001</v>
      </c>
      <c r="Q661" s="1502">
        <v>17.7837</v>
      </c>
      <c r="R661" s="1233">
        <f>'B. PE'!$U$23</f>
        <v>15.978235616082999</v>
      </c>
      <c r="S661" s="1233"/>
      <c r="T661" s="1233"/>
      <c r="V661" s="1425">
        <v>44273</v>
      </c>
      <c r="W661" s="1">
        <v>14.7309</v>
      </c>
      <c r="X661" s="1">
        <v>1.2457</v>
      </c>
      <c r="Y661" s="1">
        <v>10.5679</v>
      </c>
      <c r="Z661" s="1">
        <v>0.89175000000000004</v>
      </c>
      <c r="AB661" s="1425">
        <v>44249</v>
      </c>
      <c r="AC661" s="1">
        <v>14.2059</v>
      </c>
      <c r="AD661" s="1502">
        <v>1.6049</v>
      </c>
      <c r="AE661" s="1">
        <v>5.2827000000000002</v>
      </c>
      <c r="AF661" s="1">
        <v>3.832E-2</v>
      </c>
      <c r="AH661" s="1425">
        <v>44249</v>
      </c>
      <c r="AI661" s="1">
        <v>10.7986</v>
      </c>
      <c r="AJ661" s="1">
        <v>1.6871</v>
      </c>
      <c r="AK661" s="1">
        <v>4.3396999999999997</v>
      </c>
      <c r="AL661" s="1">
        <v>2.2710000000000001E-2</v>
      </c>
      <c r="AN661" s="1425">
        <v>44251</v>
      </c>
      <c r="AO661" s="1">
        <v>13.349500000000001</v>
      </c>
      <c r="AP661" s="1">
        <v>1.4810000000000001</v>
      </c>
      <c r="AQ661" s="1">
        <v>8.7492000000000001</v>
      </c>
      <c r="AR661" s="1">
        <v>0.35494999999999999</v>
      </c>
      <c r="AT661" s="1425">
        <v>44251</v>
      </c>
      <c r="AU661" s="1">
        <v>7.3095999999999997</v>
      </c>
      <c r="AV661" s="1">
        <v>0.56310000000000004</v>
      </c>
      <c r="AW661" s="1">
        <v>5.0804999999999998</v>
      </c>
      <c r="AX661" s="1">
        <v>0.14840999999999999</v>
      </c>
      <c r="BA661" s="1425">
        <v>44238</v>
      </c>
      <c r="BB661" s="1">
        <v>12.601699999999999</v>
      </c>
      <c r="BC661" s="1">
        <v>2.6802999999999999</v>
      </c>
      <c r="BD661" s="1">
        <v>10.0768</v>
      </c>
      <c r="BE661" s="1">
        <v>0.72202</v>
      </c>
      <c r="BG661" s="1425">
        <v>44238</v>
      </c>
      <c r="BH661" s="1">
        <v>23.020099999999999</v>
      </c>
      <c r="BI661" s="1">
        <v>4.2968999999999999</v>
      </c>
      <c r="BJ661" s="1">
        <v>24.165900000000001</v>
      </c>
      <c r="BT661" s="1425">
        <v>44273</v>
      </c>
      <c r="BU661" s="1">
        <v>15.4412</v>
      </c>
      <c r="BV661" s="1">
        <v>3.9133</v>
      </c>
      <c r="BW661" s="1">
        <v>8.5848999999999993</v>
      </c>
      <c r="BX661" s="1">
        <v>1.9238</v>
      </c>
      <c r="BZ661" s="1425">
        <v>44273</v>
      </c>
      <c r="CA661" s="1">
        <v>97.134299999999996</v>
      </c>
      <c r="CB661" s="1">
        <v>1.9782</v>
      </c>
      <c r="CC661" s="1">
        <v>43.2834</v>
      </c>
      <c r="CD661" s="1">
        <v>0.71084999999999998</v>
      </c>
      <c r="CF661" s="1425">
        <v>44272</v>
      </c>
      <c r="CG661" s="1">
        <v>9.7251999999999992</v>
      </c>
      <c r="CH661" s="1">
        <v>1.5729</v>
      </c>
      <c r="CI661" s="1">
        <v>6.9127000000000001</v>
      </c>
      <c r="CL661" s="1425">
        <v>44287</v>
      </c>
      <c r="CM661" s="1">
        <v>30.471599999999999</v>
      </c>
      <c r="CN661" s="1">
        <v>2.75</v>
      </c>
      <c r="CO661" s="1">
        <v>12.169600000000001</v>
      </c>
    </row>
    <row r="662" spans="1:93">
      <c r="A662" s="1425">
        <v>44272</v>
      </c>
      <c r="B662" s="20">
        <f t="shared" si="102"/>
        <v>20.337399999999999</v>
      </c>
      <c r="C662" s="20">
        <f t="shared" si="104"/>
        <v>15.3713</v>
      </c>
      <c r="D662" s="20">
        <f t="shared" si="105"/>
        <v>11.1014</v>
      </c>
      <c r="E662" s="20">
        <f t="shared" si="106"/>
        <v>11.650499999999999</v>
      </c>
      <c r="F662" s="20">
        <f t="shared" si="107"/>
        <v>31.6526</v>
      </c>
      <c r="G662" s="20">
        <f t="shared" si="108"/>
        <v>15.8253</v>
      </c>
      <c r="H662" s="1239">
        <f t="shared" si="109"/>
        <v>15.3713</v>
      </c>
      <c r="I662" s="1243">
        <f t="shared" si="103"/>
        <v>0.32307612238392314</v>
      </c>
      <c r="J662" s="1243">
        <f t="shared" si="110"/>
        <v>0.12093838824177333</v>
      </c>
      <c r="K662" s="1243">
        <f t="shared" si="111"/>
        <v>0.1</v>
      </c>
      <c r="L662" s="203"/>
      <c r="N662" s="1425">
        <v>44272</v>
      </c>
      <c r="O662" s="1502">
        <v>20.337399999999999</v>
      </c>
      <c r="P662" s="1502">
        <v>4.7199</v>
      </c>
      <c r="Q662" s="1502">
        <v>18.3278</v>
      </c>
      <c r="R662" s="1233">
        <f>'B. PE'!$U$23</f>
        <v>15.978235616082999</v>
      </c>
      <c r="S662" s="1233"/>
      <c r="T662" s="1233"/>
      <c r="V662" s="1425">
        <v>44272</v>
      </c>
      <c r="W662" s="1">
        <v>15.3713</v>
      </c>
      <c r="X662" s="1">
        <v>1.2999000000000001</v>
      </c>
      <c r="Y662" s="1">
        <v>10.891299999999999</v>
      </c>
      <c r="Z662" s="1">
        <v>0.84141999999999995</v>
      </c>
      <c r="AB662" s="1425">
        <v>44246</v>
      </c>
      <c r="AC662" s="1">
        <v>13.893700000000001</v>
      </c>
      <c r="AD662" s="1502">
        <v>1.5696000000000001</v>
      </c>
      <c r="AE662" s="1">
        <v>5.1736000000000004</v>
      </c>
      <c r="AF662" s="1">
        <v>3.9579999999999997E-2</v>
      </c>
      <c r="AH662" s="1425">
        <v>44246</v>
      </c>
      <c r="AI662" s="1">
        <v>10.5967</v>
      </c>
      <c r="AJ662" s="1">
        <v>1.6555</v>
      </c>
      <c r="AK662" s="1">
        <v>4.2393999999999998</v>
      </c>
      <c r="AL662" s="1">
        <v>2.249E-2</v>
      </c>
      <c r="AN662" s="1425">
        <v>44250</v>
      </c>
      <c r="AO662" s="1">
        <v>13.689299999999999</v>
      </c>
      <c r="AP662" s="1">
        <v>1.5186999999999999</v>
      </c>
      <c r="AQ662" s="1">
        <v>9.0238999999999994</v>
      </c>
      <c r="AR662" s="1">
        <v>0.36364000000000002</v>
      </c>
      <c r="AT662" s="1425">
        <v>44250</v>
      </c>
      <c r="AU662" s="1">
        <v>7.4324000000000003</v>
      </c>
      <c r="AV662" s="1">
        <v>0.57250000000000001</v>
      </c>
      <c r="AW662" s="1">
        <v>5.1482000000000001</v>
      </c>
      <c r="AX662" s="1">
        <v>0.15337000000000001</v>
      </c>
      <c r="BA662" s="1425">
        <v>44237</v>
      </c>
      <c r="BB662" s="1">
        <v>12.484400000000001</v>
      </c>
      <c r="BC662" s="1">
        <v>2.6554000000000002</v>
      </c>
      <c r="BD662" s="1">
        <v>9.9986999999999995</v>
      </c>
      <c r="BE662" s="1">
        <v>0.70369000000000004</v>
      </c>
      <c r="BG662" s="1425">
        <v>44237</v>
      </c>
      <c r="BH662" s="1">
        <v>23.020099999999999</v>
      </c>
      <c r="BI662" s="1">
        <v>4.2968999999999999</v>
      </c>
      <c r="BJ662" s="1">
        <v>24.165900000000001</v>
      </c>
      <c r="BT662" s="1425">
        <v>44272</v>
      </c>
      <c r="BU662" s="1">
        <v>15.348800000000001</v>
      </c>
      <c r="BV662" s="1">
        <v>3.8898999999999999</v>
      </c>
      <c r="BW662" s="1">
        <v>8.5345999999999993</v>
      </c>
      <c r="BX662" s="1">
        <v>1.9182999999999999</v>
      </c>
      <c r="BZ662" s="1425">
        <v>44272</v>
      </c>
      <c r="CA662" s="1">
        <v>96.655100000000004</v>
      </c>
      <c r="CB662" s="1">
        <v>1.9684999999999999</v>
      </c>
      <c r="CC662" s="1">
        <v>43.133000000000003</v>
      </c>
      <c r="CD662" s="1">
        <v>0.71775999999999995</v>
      </c>
      <c r="CF662" s="1425">
        <v>44271</v>
      </c>
      <c r="CG662" s="1">
        <v>9.2334999999999994</v>
      </c>
      <c r="CH662" s="1">
        <v>1.4934000000000001</v>
      </c>
      <c r="CI662" s="1">
        <v>6.6504000000000003</v>
      </c>
      <c r="CL662" s="1425">
        <v>44286</v>
      </c>
      <c r="CM662" s="1">
        <v>30.0778</v>
      </c>
      <c r="CN662" s="1">
        <v>2.7145000000000001</v>
      </c>
      <c r="CO662" s="1">
        <v>12.0105</v>
      </c>
    </row>
    <row r="663" spans="1:93">
      <c r="A663" s="1425">
        <v>44271</v>
      </c>
      <c r="B663" s="20">
        <f t="shared" si="102"/>
        <v>21.058</v>
      </c>
      <c r="C663" s="20">
        <f t="shared" si="104"/>
        <v>15.6595</v>
      </c>
      <c r="D663" s="20">
        <f t="shared" si="105"/>
        <v>11.0341</v>
      </c>
      <c r="E663" s="20">
        <f t="shared" si="106"/>
        <v>11.5534</v>
      </c>
      <c r="F663" s="20">
        <f t="shared" si="107"/>
        <v>32.698999999999998</v>
      </c>
      <c r="G663" s="20">
        <f t="shared" si="108"/>
        <v>16.264900000000001</v>
      </c>
      <c r="H663" s="1239">
        <f t="shared" si="109"/>
        <v>15.6595</v>
      </c>
      <c r="I663" s="1243">
        <f t="shared" si="103"/>
        <v>0.34474280788020062</v>
      </c>
      <c r="J663" s="1243">
        <f t="shared" si="110"/>
        <v>0.12093838824177333</v>
      </c>
      <c r="K663" s="1243">
        <f t="shared" si="111"/>
        <v>0.1</v>
      </c>
      <c r="L663" s="203"/>
      <c r="N663" s="1425">
        <v>44271</v>
      </c>
      <c r="O663" s="1502">
        <v>21.058</v>
      </c>
      <c r="P663" s="1502">
        <v>4.8871000000000002</v>
      </c>
      <c r="Q663" s="1502">
        <v>19.007999999999999</v>
      </c>
      <c r="R663" s="1233">
        <f>'B. PE'!$U$23</f>
        <v>15.978235616082999</v>
      </c>
      <c r="S663" s="1233"/>
      <c r="T663" s="1233"/>
      <c r="V663" s="1425">
        <v>44271</v>
      </c>
      <c r="W663" s="1">
        <v>15.6595</v>
      </c>
      <c r="X663" s="1">
        <v>1.3242</v>
      </c>
      <c r="Y663" s="1">
        <v>11.036799999999999</v>
      </c>
      <c r="Z663" s="1">
        <v>0.81084999999999996</v>
      </c>
      <c r="AB663" s="1425">
        <v>44245</v>
      </c>
      <c r="AC663" s="1">
        <v>14.049799999999999</v>
      </c>
      <c r="AD663" s="1502">
        <v>1.5872999999999999</v>
      </c>
      <c r="AE663" s="1">
        <v>5.2282000000000002</v>
      </c>
      <c r="AF663" s="1">
        <v>4.0989999999999999E-2</v>
      </c>
      <c r="AH663" s="1425">
        <v>44245</v>
      </c>
      <c r="AI663" s="1">
        <v>10.764900000000001</v>
      </c>
      <c r="AJ663" s="1">
        <v>1.6818</v>
      </c>
      <c r="AK663" s="1">
        <v>4.3230000000000004</v>
      </c>
      <c r="AL663" s="1">
        <v>2.264E-2</v>
      </c>
      <c r="AN663" s="1425">
        <v>44249</v>
      </c>
      <c r="AO663" s="1">
        <v>13.932</v>
      </c>
      <c r="AP663" s="1">
        <v>1.5457000000000001</v>
      </c>
      <c r="AQ663" s="1">
        <v>9.2201000000000004</v>
      </c>
      <c r="AR663" s="1">
        <v>0.35254999999999997</v>
      </c>
      <c r="AT663" s="1425">
        <v>44249</v>
      </c>
      <c r="AU663" s="1">
        <v>7.3710000000000004</v>
      </c>
      <c r="AV663" s="1">
        <v>0.56779999999999997</v>
      </c>
      <c r="AW663" s="1">
        <v>5.1060999999999996</v>
      </c>
      <c r="AX663" s="1">
        <v>0.15339</v>
      </c>
      <c r="BA663" s="1425">
        <v>44236</v>
      </c>
      <c r="BB663" s="1">
        <v>12.660299999999999</v>
      </c>
      <c r="BC663" s="1">
        <v>2.6928000000000001</v>
      </c>
      <c r="BD663" s="1">
        <v>10.1159</v>
      </c>
      <c r="BE663" s="1">
        <v>0.71580999999999995</v>
      </c>
      <c r="BG663" s="1425">
        <v>44236</v>
      </c>
      <c r="BH663" s="1">
        <v>23.674099999999999</v>
      </c>
      <c r="BI663" s="1">
        <v>4.4189999999999996</v>
      </c>
      <c r="BJ663" s="1">
        <v>24.778300000000002</v>
      </c>
      <c r="BT663" s="1425">
        <v>44271</v>
      </c>
      <c r="BU663" s="1">
        <v>15.395</v>
      </c>
      <c r="BV663" s="1">
        <v>3.9016000000000002</v>
      </c>
      <c r="BW663" s="1">
        <v>8.5597999999999992</v>
      </c>
      <c r="BX663" s="1">
        <v>1.8962000000000001</v>
      </c>
      <c r="BZ663" s="1425">
        <v>44271</v>
      </c>
      <c r="CA663" s="1">
        <v>90.424400000000006</v>
      </c>
      <c r="CB663" s="1">
        <v>1.8415999999999999</v>
      </c>
      <c r="CC663" s="1">
        <v>41.177300000000002</v>
      </c>
      <c r="CD663" s="1">
        <v>0.72696000000000005</v>
      </c>
      <c r="CF663" s="1425">
        <v>44270</v>
      </c>
      <c r="CG663" s="1">
        <v>9.2881</v>
      </c>
      <c r="CH663" s="1">
        <v>1.5022</v>
      </c>
      <c r="CI663" s="1">
        <v>6.6795</v>
      </c>
      <c r="CL663" s="1425">
        <v>44285</v>
      </c>
      <c r="CM663" s="1">
        <v>30.015599999999999</v>
      </c>
      <c r="CN663" s="1">
        <v>2.7088999999999999</v>
      </c>
      <c r="CO663" s="1">
        <v>11.9854</v>
      </c>
    </row>
    <row r="664" spans="1:93">
      <c r="A664" s="1425">
        <v>44270</v>
      </c>
      <c r="B664" s="20">
        <f t="shared" si="102"/>
        <v>19.937100000000001</v>
      </c>
      <c r="C664" s="20">
        <f t="shared" si="104"/>
        <v>14.7629</v>
      </c>
      <c r="D664" s="20">
        <f t="shared" si="105"/>
        <v>10.933199999999999</v>
      </c>
      <c r="E664" s="20">
        <f t="shared" si="106"/>
        <v>11.650499999999999</v>
      </c>
      <c r="F664" s="20">
        <f t="shared" si="107"/>
        <v>30.998699999999999</v>
      </c>
      <c r="G664" s="20">
        <f t="shared" si="108"/>
        <v>14.6531</v>
      </c>
      <c r="H664" s="1239">
        <f t="shared" si="109"/>
        <v>14.6531</v>
      </c>
      <c r="I664" s="1243">
        <f t="shared" si="103"/>
        <v>0.3606062880892098</v>
      </c>
      <c r="J664" s="1243">
        <f t="shared" si="110"/>
        <v>0.12093838824177333</v>
      </c>
      <c r="K664" s="1243">
        <f t="shared" si="111"/>
        <v>0.1</v>
      </c>
      <c r="L664" s="203"/>
      <c r="N664" s="1425">
        <v>44270</v>
      </c>
      <c r="O664" s="1502">
        <v>19.937100000000001</v>
      </c>
      <c r="P664" s="1502">
        <v>4.6269999999999998</v>
      </c>
      <c r="Q664" s="1502">
        <v>17.9499</v>
      </c>
      <c r="R664" s="1233">
        <f>'B. PE'!$U$23</f>
        <v>15.978235616082999</v>
      </c>
      <c r="S664" s="1233"/>
      <c r="T664" s="1233"/>
      <c r="V664" s="1425">
        <v>44270</v>
      </c>
      <c r="W664" s="1">
        <v>14.7629</v>
      </c>
      <c r="X664" s="1">
        <v>1.2484</v>
      </c>
      <c r="Y664" s="1">
        <v>10.584099999999999</v>
      </c>
      <c r="Z664" s="1">
        <v>0.79607000000000006</v>
      </c>
      <c r="AB664" s="1425">
        <v>44244</v>
      </c>
      <c r="AC664" s="1">
        <v>14.466100000000001</v>
      </c>
      <c r="AD664" s="1502">
        <v>1.6343000000000001</v>
      </c>
      <c r="AE664" s="1">
        <v>5.3735999999999997</v>
      </c>
      <c r="AF664" s="1">
        <v>4.0669999999999998E-2</v>
      </c>
      <c r="AH664" s="1425">
        <v>44244</v>
      </c>
      <c r="AI664" s="1">
        <v>10.6304</v>
      </c>
      <c r="AJ664" s="1">
        <v>1.6608000000000001</v>
      </c>
      <c r="AK664" s="1">
        <v>4.2561</v>
      </c>
      <c r="AL664" s="1">
        <v>2.2630000000000001E-2</v>
      </c>
      <c r="AN664" s="1425">
        <v>44246</v>
      </c>
      <c r="AO664" s="1">
        <v>14.271800000000001</v>
      </c>
      <c r="AP664" s="1">
        <v>1.5833999999999999</v>
      </c>
      <c r="AQ664" s="1">
        <v>9.4947999999999997</v>
      </c>
      <c r="AR664" s="1">
        <v>0.36281999999999998</v>
      </c>
      <c r="AT664" s="1425">
        <v>44246</v>
      </c>
      <c r="AU664" s="1">
        <v>7.6166999999999998</v>
      </c>
      <c r="AV664" s="1">
        <v>0.5867</v>
      </c>
      <c r="AW664" s="1">
        <v>5.2412000000000001</v>
      </c>
      <c r="AX664" s="1">
        <v>0.16098000000000001</v>
      </c>
      <c r="BA664" s="1425">
        <v>44235</v>
      </c>
      <c r="BB664" s="1">
        <v>12.3672</v>
      </c>
      <c r="BC664" s="1">
        <v>2.6305000000000001</v>
      </c>
      <c r="BD664" s="1">
        <v>9.9206000000000003</v>
      </c>
      <c r="BE664" s="1">
        <v>0.65791999999999995</v>
      </c>
      <c r="BG664" s="1425">
        <v>44235</v>
      </c>
      <c r="BH664" s="1">
        <v>23.935700000000001</v>
      </c>
      <c r="BI664" s="1">
        <v>4.4678000000000004</v>
      </c>
      <c r="BJ664" s="1">
        <v>25.023299999999999</v>
      </c>
      <c r="BT664" s="1425">
        <v>44270</v>
      </c>
      <c r="BU664" s="1">
        <v>15.337199999999999</v>
      </c>
      <c r="BV664" s="1">
        <v>3.887</v>
      </c>
      <c r="BW664" s="1">
        <v>8.5282999999999998</v>
      </c>
      <c r="BX664" s="1">
        <v>1.9159999999999999</v>
      </c>
      <c r="BZ664" s="1425">
        <v>44270</v>
      </c>
      <c r="CA664" s="1">
        <v>91.223200000000006</v>
      </c>
      <c r="CB664" s="1">
        <v>1.8579000000000001</v>
      </c>
      <c r="CC664" s="1">
        <v>41.428100000000001</v>
      </c>
      <c r="CD664" s="1">
        <v>0.72680999999999996</v>
      </c>
      <c r="CF664" s="1425">
        <v>44267</v>
      </c>
      <c r="CG664" s="1">
        <v>9.452</v>
      </c>
      <c r="CH664" s="1">
        <v>1.5286999999999999</v>
      </c>
      <c r="CI664" s="1">
        <v>6.7670000000000003</v>
      </c>
      <c r="CL664" s="1425">
        <v>44284</v>
      </c>
      <c r="CM664" s="1">
        <v>29.808299999999999</v>
      </c>
      <c r="CN664" s="1">
        <v>2.6901999999999999</v>
      </c>
      <c r="CO664" s="1">
        <v>11.9016</v>
      </c>
    </row>
    <row r="665" spans="1:93">
      <c r="A665" s="1425">
        <v>44267</v>
      </c>
      <c r="B665" s="20">
        <f t="shared" si="102"/>
        <v>18.639900000000001</v>
      </c>
      <c r="C665" s="20">
        <f t="shared" si="104"/>
        <v>14.218500000000001</v>
      </c>
      <c r="D665" s="20">
        <f t="shared" si="105"/>
        <v>11.135</v>
      </c>
      <c r="E665" s="20">
        <f t="shared" si="106"/>
        <v>11.8447</v>
      </c>
      <c r="F665" s="20">
        <f t="shared" si="107"/>
        <v>31.521899999999999</v>
      </c>
      <c r="G665" s="20">
        <f t="shared" si="108"/>
        <v>14.0084</v>
      </c>
      <c r="H665" s="1239">
        <f t="shared" si="109"/>
        <v>14.0084</v>
      </c>
      <c r="I665" s="1243">
        <f t="shared" si="103"/>
        <v>0.33062305473858555</v>
      </c>
      <c r="J665" s="1243">
        <f t="shared" si="110"/>
        <v>0.12093838824177333</v>
      </c>
      <c r="K665" s="1243">
        <f t="shared" si="111"/>
        <v>0.1</v>
      </c>
      <c r="L665" s="203"/>
      <c r="N665" s="1425">
        <v>44267</v>
      </c>
      <c r="O665" s="1502">
        <v>18.639900000000001</v>
      </c>
      <c r="P665" s="1502">
        <v>4.3258999999999999</v>
      </c>
      <c r="Q665" s="1502">
        <v>16.7257</v>
      </c>
      <c r="R665" s="1233">
        <f>'B. PE'!$U$23</f>
        <v>15.978235616082999</v>
      </c>
      <c r="S665" s="1233"/>
      <c r="T665" s="1233"/>
      <c r="V665" s="1425">
        <v>44267</v>
      </c>
      <c r="W665" s="1">
        <v>14.218500000000001</v>
      </c>
      <c r="X665" s="1">
        <v>1.2023999999999999</v>
      </c>
      <c r="Y665" s="1">
        <v>10.309200000000001</v>
      </c>
      <c r="Z665" s="1">
        <v>0.77439000000000002</v>
      </c>
      <c r="AB665" s="1425">
        <v>44243</v>
      </c>
      <c r="AC665" s="1">
        <v>14.9345</v>
      </c>
      <c r="AD665" s="1502">
        <v>1.6872</v>
      </c>
      <c r="AE665" s="1">
        <v>5.5372000000000003</v>
      </c>
      <c r="AF665" s="1">
        <v>3.9640000000000002E-2</v>
      </c>
      <c r="AH665" s="1425">
        <v>44243</v>
      </c>
      <c r="AI665" s="1">
        <v>10.664</v>
      </c>
      <c r="AJ665" s="1">
        <v>1.6660999999999999</v>
      </c>
      <c r="AK665" s="1">
        <v>4.2728000000000002</v>
      </c>
      <c r="AL665" s="1">
        <v>2.247E-2</v>
      </c>
      <c r="AN665" s="1425">
        <v>44245</v>
      </c>
      <c r="AO665" s="1">
        <v>13.835000000000001</v>
      </c>
      <c r="AP665" s="1">
        <v>1.5348999999999999</v>
      </c>
      <c r="AQ665" s="1">
        <v>9.1416000000000004</v>
      </c>
      <c r="AR665" s="1">
        <v>0.34136</v>
      </c>
      <c r="AT665" s="1425">
        <v>44245</v>
      </c>
      <c r="AU665" s="1">
        <v>7.6166999999999998</v>
      </c>
      <c r="AV665" s="1">
        <v>0.5867</v>
      </c>
      <c r="AW665" s="1">
        <v>5.2412000000000001</v>
      </c>
      <c r="AX665" s="1">
        <v>0.15765000000000001</v>
      </c>
      <c r="BA665" s="1425">
        <v>44232</v>
      </c>
      <c r="BB665" s="1">
        <v>12.601699999999999</v>
      </c>
      <c r="BC665" s="1">
        <v>2.6802999999999999</v>
      </c>
      <c r="BD665" s="1">
        <v>10.0768</v>
      </c>
      <c r="BE665" s="1">
        <v>0.64981</v>
      </c>
      <c r="BG665" s="1425">
        <v>44232</v>
      </c>
      <c r="BH665" s="1">
        <v>23.935700000000001</v>
      </c>
      <c r="BI665" s="1">
        <v>4.4678000000000004</v>
      </c>
      <c r="BJ665" s="1">
        <v>25.023299999999999</v>
      </c>
      <c r="BT665" s="1425">
        <v>44267</v>
      </c>
      <c r="BU665" s="1">
        <v>15.1523</v>
      </c>
      <c r="BV665" s="1">
        <v>3.8401000000000001</v>
      </c>
      <c r="BW665" s="1">
        <v>8.4276999999999997</v>
      </c>
      <c r="BX665" s="1">
        <v>1.8876999999999999</v>
      </c>
      <c r="BZ665" s="1425">
        <v>44267</v>
      </c>
      <c r="CA665" s="1">
        <v>92.341499999999996</v>
      </c>
      <c r="CB665" s="1">
        <v>1.8806</v>
      </c>
      <c r="CC665" s="1">
        <v>41.7791</v>
      </c>
      <c r="CD665" s="1">
        <v>0.70942000000000005</v>
      </c>
      <c r="CF665" s="1425">
        <v>44266</v>
      </c>
      <c r="CG665" s="1">
        <v>9.452</v>
      </c>
      <c r="CH665" s="1">
        <v>1.5286999999999999</v>
      </c>
      <c r="CI665" s="1">
        <v>6.7670000000000003</v>
      </c>
      <c r="CL665" s="1425">
        <v>44281</v>
      </c>
      <c r="CM665" s="1">
        <v>29.497399999999999</v>
      </c>
      <c r="CN665" s="1">
        <v>2.6621000000000001</v>
      </c>
      <c r="CO665" s="1">
        <v>11.776</v>
      </c>
    </row>
    <row r="666" spans="1:93">
      <c r="A666" s="1425">
        <v>44266</v>
      </c>
      <c r="B666" s="20">
        <f t="shared" si="102"/>
        <v>17.8553</v>
      </c>
      <c r="C666" s="20">
        <f t="shared" si="104"/>
        <v>13.962300000000001</v>
      </c>
      <c r="D666" s="20">
        <f t="shared" si="105"/>
        <v>11.135</v>
      </c>
      <c r="E666" s="20">
        <f t="shared" si="106"/>
        <v>11.8932</v>
      </c>
      <c r="F666" s="20">
        <f t="shared" si="107"/>
        <v>31.7834</v>
      </c>
      <c r="G666" s="20">
        <f t="shared" si="108"/>
        <v>14.242800000000001</v>
      </c>
      <c r="H666" s="1239">
        <f t="shared" si="109"/>
        <v>13.962300000000001</v>
      </c>
      <c r="I666" s="1243">
        <f t="shared" si="103"/>
        <v>0.27882225707798858</v>
      </c>
      <c r="J666" s="1243">
        <f t="shared" si="110"/>
        <v>0.12093838824177333</v>
      </c>
      <c r="K666" s="1243">
        <f t="shared" si="111"/>
        <v>0.1</v>
      </c>
      <c r="L666" s="203"/>
      <c r="N666" s="1425">
        <v>44266</v>
      </c>
      <c r="O666" s="1502">
        <v>17.8553</v>
      </c>
      <c r="P666" s="1502">
        <v>4.1437999999999997</v>
      </c>
      <c r="Q666" s="1502">
        <v>15.984999999999999</v>
      </c>
      <c r="R666" s="1233">
        <f>'B. PE'!$U$23</f>
        <v>15.978235616082999</v>
      </c>
      <c r="S666" s="1233"/>
      <c r="T666" s="1233"/>
      <c r="V666" s="1425">
        <v>44266</v>
      </c>
      <c r="W666" s="1">
        <v>13.962300000000001</v>
      </c>
      <c r="X666" s="1">
        <v>1.1807000000000001</v>
      </c>
      <c r="Y666" s="1">
        <v>10.1799</v>
      </c>
      <c r="Z666" s="1">
        <v>0.78500999999999999</v>
      </c>
      <c r="AB666" s="1425">
        <v>44242</v>
      </c>
      <c r="AC666" s="1">
        <v>14.7263</v>
      </c>
      <c r="AD666" s="1502">
        <v>1.6637</v>
      </c>
      <c r="AE666" s="1">
        <v>5.4645000000000001</v>
      </c>
      <c r="AF666" s="1">
        <v>4.0050000000000002E-2</v>
      </c>
      <c r="AH666" s="1425">
        <v>44242</v>
      </c>
      <c r="AI666" s="1">
        <v>10.5967</v>
      </c>
      <c r="AJ666" s="1">
        <v>1.6555</v>
      </c>
      <c r="AK666" s="1">
        <v>4.2393999999999998</v>
      </c>
      <c r="AL666" s="1">
        <v>2.2530000000000001E-2</v>
      </c>
      <c r="AN666" s="1425">
        <v>44244</v>
      </c>
      <c r="AO666" s="1">
        <v>14.2233</v>
      </c>
      <c r="AP666" s="1">
        <v>1.5780000000000001</v>
      </c>
      <c r="AQ666" s="1">
        <v>9.4555000000000007</v>
      </c>
      <c r="AR666" s="1">
        <v>0.35071999999999998</v>
      </c>
      <c r="AT666" s="1425">
        <v>44244</v>
      </c>
      <c r="AU666" s="1">
        <v>7.9852999999999996</v>
      </c>
      <c r="AV666" s="1">
        <v>0.61509999999999998</v>
      </c>
      <c r="AW666" s="1">
        <v>5.4302999999999999</v>
      </c>
      <c r="AX666" s="1">
        <v>0.15615000000000001</v>
      </c>
      <c r="BA666" s="1425">
        <v>44231</v>
      </c>
      <c r="BB666" s="1">
        <v>11.6053</v>
      </c>
      <c r="BC666" s="1">
        <v>2.4683999999999999</v>
      </c>
      <c r="BD666" s="1">
        <v>9.4128000000000007</v>
      </c>
      <c r="BE666" s="1">
        <v>0.67300000000000004</v>
      </c>
      <c r="BG666" s="1425">
        <v>44231</v>
      </c>
      <c r="BH666" s="1">
        <v>24.197299999999998</v>
      </c>
      <c r="BI666" s="1">
        <v>4.5167000000000002</v>
      </c>
      <c r="BJ666" s="1">
        <v>25.2683</v>
      </c>
      <c r="BT666" s="1425">
        <v>44266</v>
      </c>
      <c r="BU666" s="1">
        <v>15.3141</v>
      </c>
      <c r="BV666" s="1">
        <v>3.8811</v>
      </c>
      <c r="BW666" s="1">
        <v>8.5157000000000007</v>
      </c>
      <c r="BX666" s="1">
        <v>1.8522000000000001</v>
      </c>
      <c r="BZ666" s="1425">
        <v>44266</v>
      </c>
      <c r="CA666" s="1">
        <v>92.341499999999996</v>
      </c>
      <c r="CB666" s="1">
        <v>1.8806</v>
      </c>
      <c r="CC666" s="1">
        <v>41.7791</v>
      </c>
      <c r="CD666" s="1">
        <v>0.69401999999999997</v>
      </c>
      <c r="CF666" s="1425">
        <v>44265</v>
      </c>
      <c r="CG666" s="1">
        <v>9.452</v>
      </c>
      <c r="CH666" s="1">
        <v>1.5286999999999999</v>
      </c>
      <c r="CI666" s="1">
        <v>6.7670000000000003</v>
      </c>
      <c r="CL666" s="1425">
        <v>44280</v>
      </c>
      <c r="CM666" s="1">
        <v>29.808299999999999</v>
      </c>
      <c r="CN666" s="1">
        <v>2.6901999999999999</v>
      </c>
      <c r="CO666" s="1">
        <v>11.9016</v>
      </c>
    </row>
    <row r="667" spans="1:93">
      <c r="A667" s="1425">
        <v>44265</v>
      </c>
      <c r="B667" s="20">
        <f t="shared" si="102"/>
        <v>18.095500000000001</v>
      </c>
      <c r="C667" s="20">
        <f t="shared" si="104"/>
        <v>13.577999999999999</v>
      </c>
      <c r="D667" s="20">
        <f t="shared" si="105"/>
        <v>11.0341</v>
      </c>
      <c r="E667" s="20">
        <f t="shared" si="106"/>
        <v>11.5534</v>
      </c>
      <c r="F667" s="20">
        <f t="shared" si="107"/>
        <v>32.698999999999998</v>
      </c>
      <c r="G667" s="20">
        <f t="shared" si="108"/>
        <v>13.4222</v>
      </c>
      <c r="H667" s="1239">
        <f t="shared" si="109"/>
        <v>13.4222</v>
      </c>
      <c r="I667" s="1243">
        <f t="shared" si="103"/>
        <v>0.34817690095513409</v>
      </c>
      <c r="J667" s="1243">
        <f t="shared" si="110"/>
        <v>0.12093838824177333</v>
      </c>
      <c r="K667" s="1243">
        <f t="shared" si="111"/>
        <v>0.1</v>
      </c>
      <c r="L667" s="203"/>
      <c r="N667" s="1425">
        <v>44265</v>
      </c>
      <c r="O667" s="1502">
        <v>18.095500000000001</v>
      </c>
      <c r="P667" s="1502">
        <v>4.1996000000000002</v>
      </c>
      <c r="Q667" s="1502">
        <v>16.2118</v>
      </c>
      <c r="R667" s="1233">
        <f>'B. PE'!$U$23</f>
        <v>15.978235616082999</v>
      </c>
      <c r="S667" s="1233"/>
      <c r="T667" s="1233"/>
      <c r="V667" s="1425">
        <v>44265</v>
      </c>
      <c r="W667" s="1">
        <v>13.577999999999999</v>
      </c>
      <c r="X667" s="1">
        <v>1.1482000000000001</v>
      </c>
      <c r="Y667" s="1">
        <v>9.9857999999999993</v>
      </c>
      <c r="Z667" s="1">
        <v>0.77066999999999997</v>
      </c>
      <c r="AB667" s="1425">
        <v>44238</v>
      </c>
      <c r="AC667" s="1">
        <v>14.414099999999999</v>
      </c>
      <c r="AD667" s="1502">
        <v>1.6284000000000001</v>
      </c>
      <c r="AE667" s="1">
        <v>5.3554000000000004</v>
      </c>
      <c r="AF667" s="1">
        <v>4.0500000000000001E-2</v>
      </c>
      <c r="AH667" s="1425">
        <v>44238</v>
      </c>
      <c r="AI667" s="1">
        <v>10.5631</v>
      </c>
      <c r="AJ667" s="1">
        <v>1.6503000000000001</v>
      </c>
      <c r="AK667" s="1">
        <v>4.2226999999999997</v>
      </c>
      <c r="AL667" s="1">
        <v>2.2610000000000002E-2</v>
      </c>
      <c r="AN667" s="1425">
        <v>44243</v>
      </c>
      <c r="AO667" s="1">
        <v>13.349500000000001</v>
      </c>
      <c r="AP667" s="1">
        <v>1.4810000000000001</v>
      </c>
      <c r="AQ667" s="1">
        <v>8.7492000000000001</v>
      </c>
      <c r="AR667" s="1">
        <v>0.31308000000000002</v>
      </c>
      <c r="AT667" s="1425">
        <v>44243</v>
      </c>
      <c r="AU667" s="1">
        <v>7.8010000000000002</v>
      </c>
      <c r="AV667" s="1">
        <v>0.60089999999999999</v>
      </c>
      <c r="AW667" s="1">
        <v>5.3292000000000002</v>
      </c>
      <c r="AX667" s="1">
        <v>0.15345</v>
      </c>
      <c r="BA667" s="1425">
        <v>44230</v>
      </c>
      <c r="BB667" s="1">
        <v>11.429399999999999</v>
      </c>
      <c r="BC667" s="1">
        <v>2.431</v>
      </c>
      <c r="BD667" s="1">
        <v>9.2956000000000003</v>
      </c>
      <c r="BE667" s="1">
        <v>0.67664000000000002</v>
      </c>
      <c r="BG667" s="1425">
        <v>44230</v>
      </c>
      <c r="BH667" s="1">
        <v>23.543299999999999</v>
      </c>
      <c r="BI667" s="1">
        <v>4.3945999999999996</v>
      </c>
      <c r="BJ667" s="1">
        <v>24.655899999999999</v>
      </c>
      <c r="BT667" s="1425">
        <v>44265</v>
      </c>
      <c r="BU667" s="1">
        <v>15.0829</v>
      </c>
      <c r="BV667" s="1">
        <v>3.8224999999999998</v>
      </c>
      <c r="BW667" s="1">
        <v>8.39</v>
      </c>
      <c r="BX667" s="1">
        <v>1.8918999999999999</v>
      </c>
      <c r="BZ667" s="1425">
        <v>44265</v>
      </c>
      <c r="CA667" s="1">
        <v>90.104900000000001</v>
      </c>
      <c r="CB667" s="1">
        <v>1.8351</v>
      </c>
      <c r="CC667" s="1">
        <v>41.076999999999998</v>
      </c>
      <c r="CD667" s="1">
        <v>0.69928999999999997</v>
      </c>
      <c r="CF667" s="1425">
        <v>44264</v>
      </c>
      <c r="CG667" s="1">
        <v>9.5612999999999992</v>
      </c>
      <c r="CH667" s="1">
        <v>1.5464</v>
      </c>
      <c r="CI667" s="1">
        <v>6.8251999999999997</v>
      </c>
      <c r="CL667" s="1425">
        <v>44279</v>
      </c>
      <c r="CM667" s="1">
        <v>29.746099999999998</v>
      </c>
      <c r="CN667" s="1">
        <v>2.6846000000000001</v>
      </c>
      <c r="CO667" s="1">
        <v>11.8765</v>
      </c>
    </row>
    <row r="668" spans="1:93">
      <c r="A668" s="1425">
        <v>44264</v>
      </c>
      <c r="B668" s="20">
        <f t="shared" si="102"/>
        <v>18.095500000000001</v>
      </c>
      <c r="C668" s="20">
        <f t="shared" si="104"/>
        <v>13.770099999999999</v>
      </c>
      <c r="D668" s="20">
        <f t="shared" si="105"/>
        <v>11.0341</v>
      </c>
      <c r="E668" s="20">
        <f t="shared" si="106"/>
        <v>11.650499999999999</v>
      </c>
      <c r="F668" s="20">
        <f t="shared" si="107"/>
        <v>33.68</v>
      </c>
      <c r="G668" s="20">
        <f t="shared" si="108"/>
        <v>13.9497</v>
      </c>
      <c r="H668" s="1239">
        <f t="shared" si="109"/>
        <v>13.770099999999999</v>
      </c>
      <c r="I668" s="1243">
        <f t="shared" si="103"/>
        <v>0.31411536590148237</v>
      </c>
      <c r="J668" s="1243">
        <f t="shared" si="110"/>
        <v>0.12093838824177333</v>
      </c>
      <c r="K668" s="1243">
        <f t="shared" si="111"/>
        <v>0.1</v>
      </c>
      <c r="L668" s="203"/>
      <c r="N668" s="1425">
        <v>44264</v>
      </c>
      <c r="O668" s="1502">
        <v>18.095500000000001</v>
      </c>
      <c r="P668" s="1502">
        <v>4.1996000000000002</v>
      </c>
      <c r="Q668" s="1502">
        <v>16.2118</v>
      </c>
      <c r="R668" s="1233">
        <f>'B. PE'!$U$23</f>
        <v>15.978235616082999</v>
      </c>
      <c r="S668" s="1233"/>
      <c r="T668" s="1233"/>
      <c r="V668" s="1425">
        <v>44264</v>
      </c>
      <c r="W668" s="1">
        <v>13.770099999999999</v>
      </c>
      <c r="X668" s="1">
        <v>1.1645000000000001</v>
      </c>
      <c r="Y668" s="1">
        <v>10.082800000000001</v>
      </c>
      <c r="Z668" s="1">
        <v>0.72170999999999996</v>
      </c>
      <c r="AB668" s="1425">
        <v>44237</v>
      </c>
      <c r="AC668" s="1">
        <v>14.5702</v>
      </c>
      <c r="AD668" s="1502">
        <v>1.6459999999999999</v>
      </c>
      <c r="AE668" s="1">
        <v>5.4099000000000004</v>
      </c>
      <c r="AF668" s="1">
        <v>3.8530000000000002E-2</v>
      </c>
      <c r="AH668" s="1425">
        <v>44237</v>
      </c>
      <c r="AI668" s="1">
        <v>10.5967</v>
      </c>
      <c r="AJ668" s="1">
        <v>1.6555</v>
      </c>
      <c r="AK668" s="1">
        <v>4.2393999999999998</v>
      </c>
      <c r="AL668" s="1">
        <v>2.29E-2</v>
      </c>
      <c r="AN668" s="1425">
        <v>44242</v>
      </c>
      <c r="AO668" s="1">
        <v>13.7379</v>
      </c>
      <c r="AP668" s="1">
        <v>1.5241</v>
      </c>
      <c r="AQ668" s="1">
        <v>9.0631000000000004</v>
      </c>
      <c r="AR668" s="1">
        <v>0.30171999999999999</v>
      </c>
      <c r="AT668" s="1425">
        <v>44242</v>
      </c>
      <c r="AU668" s="1">
        <v>7.7396000000000003</v>
      </c>
      <c r="AV668" s="1">
        <v>0.59619999999999995</v>
      </c>
      <c r="AW668" s="1">
        <v>5.2954999999999997</v>
      </c>
      <c r="AX668" s="1">
        <v>0.15457000000000001</v>
      </c>
      <c r="BA668" s="1425">
        <v>44229</v>
      </c>
      <c r="BB668" s="1">
        <v>11.839700000000001</v>
      </c>
      <c r="BC668" s="1">
        <v>2.5183</v>
      </c>
      <c r="BD668" s="1">
        <v>9.5690000000000008</v>
      </c>
      <c r="BE668" s="1">
        <v>0.66188000000000002</v>
      </c>
      <c r="BG668" s="1425">
        <v>44229</v>
      </c>
      <c r="BH668" s="1">
        <v>23.281700000000001</v>
      </c>
      <c r="BI668" s="1">
        <v>4.3457999999999997</v>
      </c>
      <c r="BJ668" s="1">
        <v>24.410900000000002</v>
      </c>
      <c r="BT668" s="1425">
        <v>44264</v>
      </c>
      <c r="BU668" s="1">
        <v>14.8055</v>
      </c>
      <c r="BV668" s="1">
        <v>3.7522000000000002</v>
      </c>
      <c r="BW668" s="1">
        <v>8.2390000000000008</v>
      </c>
      <c r="BX668" s="1">
        <v>1.913</v>
      </c>
      <c r="BZ668" s="1425">
        <v>44264</v>
      </c>
      <c r="CA668" s="1">
        <v>88.187799999999996</v>
      </c>
      <c r="CB668" s="1">
        <v>1.796</v>
      </c>
      <c r="CC668" s="1">
        <v>40.475299999999997</v>
      </c>
      <c r="CD668" s="1">
        <v>0.69711000000000001</v>
      </c>
      <c r="CF668" s="1425">
        <v>44263</v>
      </c>
      <c r="CG668" s="1">
        <v>9.6706000000000003</v>
      </c>
      <c r="CH668" s="1">
        <v>1.5641</v>
      </c>
      <c r="CI668" s="1">
        <v>6.8834999999999997</v>
      </c>
      <c r="CL668" s="1425">
        <v>44278</v>
      </c>
      <c r="CM668" s="1">
        <v>29.849799999999998</v>
      </c>
      <c r="CN668" s="1">
        <v>2.6939000000000002</v>
      </c>
      <c r="CO668" s="1">
        <v>11.9184</v>
      </c>
    </row>
    <row r="669" spans="1:93">
      <c r="A669" s="1425">
        <v>44263</v>
      </c>
      <c r="B669" s="20">
        <f t="shared" si="102"/>
        <v>17.999400000000001</v>
      </c>
      <c r="C669" s="20">
        <f t="shared" si="104"/>
        <v>13.513999999999999</v>
      </c>
      <c r="D669" s="20">
        <f t="shared" si="105"/>
        <v>11.0677</v>
      </c>
      <c r="E669" s="20">
        <f t="shared" si="106"/>
        <v>11.650499999999999</v>
      </c>
      <c r="F669" s="20">
        <f t="shared" si="107"/>
        <v>29.559899999999999</v>
      </c>
      <c r="G669" s="20">
        <f t="shared" si="108"/>
        <v>13.070600000000001</v>
      </c>
      <c r="H669" s="1239">
        <f t="shared" si="109"/>
        <v>13.070600000000001</v>
      </c>
      <c r="I669" s="1243">
        <f t="shared" si="103"/>
        <v>0.37709056967545496</v>
      </c>
      <c r="J669" s="1243">
        <f t="shared" si="110"/>
        <v>0.12093838824177333</v>
      </c>
      <c r="K669" s="1243">
        <f t="shared" si="111"/>
        <v>0.1</v>
      </c>
      <c r="L669" s="203"/>
      <c r="N669" s="1425">
        <v>44263</v>
      </c>
      <c r="O669" s="1502">
        <v>17.999400000000001</v>
      </c>
      <c r="P669" s="1502">
        <v>4.1772999999999998</v>
      </c>
      <c r="Q669" s="1502">
        <v>16.121099999999998</v>
      </c>
      <c r="R669" s="1233">
        <f>'B. PE'!$U$23</f>
        <v>15.978235616082999</v>
      </c>
      <c r="S669" s="1233"/>
      <c r="T669" s="1233"/>
      <c r="V669" s="1425">
        <v>44263</v>
      </c>
      <c r="W669" s="1">
        <v>13.513999999999999</v>
      </c>
      <c r="X669" s="1">
        <v>1.1428</v>
      </c>
      <c r="Y669" s="1">
        <v>9.9535</v>
      </c>
      <c r="Z669" s="1">
        <v>0.67640999999999996</v>
      </c>
      <c r="AB669" s="1425">
        <v>44236</v>
      </c>
      <c r="AC669" s="1">
        <v>14.7263</v>
      </c>
      <c r="AD669" s="1502">
        <v>1.6637</v>
      </c>
      <c r="AE669" s="1">
        <v>5.4645000000000001</v>
      </c>
      <c r="AF669" s="1">
        <v>3.8260000000000002E-2</v>
      </c>
      <c r="AH669" s="1425">
        <v>44236</v>
      </c>
      <c r="AI669" s="1">
        <v>10.6304</v>
      </c>
      <c r="AJ669" s="1">
        <v>1.6608000000000001</v>
      </c>
      <c r="AK669" s="1">
        <v>4.2561</v>
      </c>
      <c r="AL669" s="1">
        <v>2.213E-2</v>
      </c>
      <c r="AN669" s="1425">
        <v>44238</v>
      </c>
      <c r="AO669" s="1">
        <v>12.281599999999999</v>
      </c>
      <c r="AP669" s="1">
        <v>1.3626</v>
      </c>
      <c r="AQ669" s="1">
        <v>7.8859000000000004</v>
      </c>
      <c r="AR669" s="1">
        <v>0.30348000000000003</v>
      </c>
      <c r="AT669" s="1425">
        <v>44238</v>
      </c>
      <c r="AU669" s="1">
        <v>7.6166999999999998</v>
      </c>
      <c r="AV669" s="1">
        <v>0.5867</v>
      </c>
      <c r="AW669" s="1">
        <v>5.2282000000000002</v>
      </c>
      <c r="AX669" s="1">
        <v>0.15667</v>
      </c>
      <c r="BA669" s="1425">
        <v>44228</v>
      </c>
      <c r="BB669" s="1">
        <v>11.898300000000001</v>
      </c>
      <c r="BC669" s="1">
        <v>2.5306999999999999</v>
      </c>
      <c r="BD669" s="1">
        <v>9.6081000000000003</v>
      </c>
      <c r="BE669" s="1">
        <v>0.66710999999999998</v>
      </c>
      <c r="BG669" s="1425">
        <v>44228</v>
      </c>
      <c r="BH669" s="1">
        <v>23.674099999999999</v>
      </c>
      <c r="BI669" s="1">
        <v>4.4189999999999996</v>
      </c>
      <c r="BJ669" s="1">
        <v>24.778300000000002</v>
      </c>
      <c r="BT669" s="1425">
        <v>44263</v>
      </c>
      <c r="BU669" s="1">
        <v>15.117599999999999</v>
      </c>
      <c r="BV669" s="1">
        <v>3.8313000000000001</v>
      </c>
      <c r="BW669" s="1">
        <v>8.4087999999999994</v>
      </c>
      <c r="BX669" s="1">
        <v>1.9228000000000001</v>
      </c>
      <c r="BZ669" s="1425">
        <v>44263</v>
      </c>
      <c r="CA669" s="1">
        <v>88.826800000000006</v>
      </c>
      <c r="CB669" s="1">
        <v>1.8090999999999999</v>
      </c>
      <c r="CC669" s="1">
        <v>40.675899999999999</v>
      </c>
      <c r="CD669" s="1">
        <v>0.70001999999999998</v>
      </c>
      <c r="CF669" s="1425">
        <v>44260</v>
      </c>
      <c r="CG669" s="1">
        <v>9.3428000000000004</v>
      </c>
      <c r="CH669" s="1">
        <v>1.5111000000000001</v>
      </c>
      <c r="CI669" s="1">
        <v>6.7087000000000003</v>
      </c>
      <c r="CL669" s="1425">
        <v>44277</v>
      </c>
      <c r="CM669" s="1">
        <v>29.787600000000001</v>
      </c>
      <c r="CN669" s="1">
        <v>2.6882999999999999</v>
      </c>
      <c r="CO669" s="1">
        <v>11.8932</v>
      </c>
    </row>
    <row r="670" spans="1:93">
      <c r="A670" s="1425">
        <v>44260</v>
      </c>
      <c r="B670" s="20">
        <f t="shared" si="102"/>
        <v>17.807200000000002</v>
      </c>
      <c r="C670" s="20">
        <f t="shared" si="104"/>
        <v>12.6493</v>
      </c>
      <c r="D670" s="20">
        <f t="shared" si="105"/>
        <v>11.000400000000001</v>
      </c>
      <c r="E670" s="20">
        <f t="shared" si="106"/>
        <v>12.6214</v>
      </c>
      <c r="F670" s="20">
        <f t="shared" si="107"/>
        <v>29.1675</v>
      </c>
      <c r="G670" s="20">
        <f t="shared" si="108"/>
        <v>12.8361</v>
      </c>
      <c r="H670" s="1239">
        <f t="shared" si="109"/>
        <v>12.6493</v>
      </c>
      <c r="I670" s="1243">
        <f t="shared" si="103"/>
        <v>0.40776169432300602</v>
      </c>
      <c r="J670" s="1243">
        <f t="shared" si="110"/>
        <v>0.12093838824177333</v>
      </c>
      <c r="K670" s="1243">
        <f t="shared" si="111"/>
        <v>0.1</v>
      </c>
      <c r="L670" s="203"/>
      <c r="N670" s="1425">
        <v>44260</v>
      </c>
      <c r="O670" s="1502">
        <v>17.807200000000002</v>
      </c>
      <c r="P670" s="1502">
        <v>4.1326999999999998</v>
      </c>
      <c r="Q670" s="1502">
        <v>15.9397</v>
      </c>
      <c r="R670" s="1233">
        <f>'B. PE'!$U$23</f>
        <v>15.978235616082999</v>
      </c>
      <c r="S670" s="1233"/>
      <c r="T670" s="1233"/>
      <c r="V670" s="1425">
        <v>44260</v>
      </c>
      <c r="W670" s="1">
        <v>12.6493</v>
      </c>
      <c r="X670" s="1">
        <v>1.0697000000000001</v>
      </c>
      <c r="Y670" s="1">
        <v>9.5169999999999995</v>
      </c>
      <c r="Z670" s="1">
        <v>0.69677</v>
      </c>
      <c r="AB670" s="1425">
        <v>44235</v>
      </c>
      <c r="AC670" s="1">
        <v>14.049799999999999</v>
      </c>
      <c r="AD670" s="1502">
        <v>1.5872999999999999</v>
      </c>
      <c r="AE670" s="1">
        <v>5.2282000000000002</v>
      </c>
      <c r="AF670" s="1">
        <v>3.8089999999999999E-2</v>
      </c>
      <c r="AH670" s="1425">
        <v>44235</v>
      </c>
      <c r="AI670" s="1">
        <v>10.7986</v>
      </c>
      <c r="AJ670" s="1">
        <v>1.6871</v>
      </c>
      <c r="AK670" s="1">
        <v>4.3396999999999997</v>
      </c>
      <c r="AL670" s="1">
        <v>2.1530000000000001E-2</v>
      </c>
      <c r="AN670" s="1425">
        <v>44237</v>
      </c>
      <c r="AO670" s="1">
        <v>11.8447</v>
      </c>
      <c r="AP670" s="1">
        <v>1.3141</v>
      </c>
      <c r="AQ670" s="1">
        <v>7.5327999999999999</v>
      </c>
      <c r="AR670" s="1">
        <v>0.30497000000000002</v>
      </c>
      <c r="AT670" s="1425">
        <v>44237</v>
      </c>
      <c r="AU670" s="1">
        <v>7.6780999999999997</v>
      </c>
      <c r="AV670" s="1">
        <v>0.59150000000000003</v>
      </c>
      <c r="AW670" s="1">
        <v>5.2618</v>
      </c>
      <c r="AX670" s="1">
        <v>0.14510999999999999</v>
      </c>
      <c r="BA670" s="1425">
        <v>44225</v>
      </c>
      <c r="BB670" s="1">
        <v>11.6053</v>
      </c>
      <c r="BC670" s="1">
        <v>2.4683999999999999</v>
      </c>
      <c r="BD670" s="1">
        <v>9.4128000000000007</v>
      </c>
      <c r="BE670" s="1">
        <v>0.62346000000000001</v>
      </c>
      <c r="BG670" s="1425">
        <v>44225</v>
      </c>
      <c r="BH670" s="1">
        <v>23.281700000000001</v>
      </c>
      <c r="BI670" s="1">
        <v>4.3457999999999997</v>
      </c>
      <c r="BJ670" s="1">
        <v>24.410900000000002</v>
      </c>
      <c r="BT670" s="1425">
        <v>44260</v>
      </c>
      <c r="BU670" s="1">
        <v>15.279400000000001</v>
      </c>
      <c r="BV670" s="1">
        <v>3.8723000000000001</v>
      </c>
      <c r="BW670" s="1">
        <v>8.4969000000000001</v>
      </c>
      <c r="BX670" s="1">
        <v>1.9726999999999999</v>
      </c>
      <c r="BZ670" s="1425">
        <v>44260</v>
      </c>
      <c r="CA670" s="1">
        <v>88.507300000000001</v>
      </c>
      <c r="CB670" s="1">
        <v>1.8025</v>
      </c>
      <c r="CC670" s="1">
        <v>40.575600000000001</v>
      </c>
      <c r="CD670" s="1">
        <v>0.72294000000000003</v>
      </c>
      <c r="CF670" s="1425">
        <v>44259</v>
      </c>
      <c r="CG670" s="1">
        <v>8.7417999999999996</v>
      </c>
      <c r="CH670" s="1">
        <v>1.4138999999999999</v>
      </c>
      <c r="CI670" s="1">
        <v>6.3882000000000003</v>
      </c>
      <c r="CL670" s="1425">
        <v>44274</v>
      </c>
      <c r="CM670" s="1">
        <v>29.891200000000001</v>
      </c>
      <c r="CN670" s="1">
        <v>2.6977000000000002</v>
      </c>
      <c r="CO670" s="1">
        <v>11.9351</v>
      </c>
    </row>
    <row r="671" spans="1:93">
      <c r="A671" s="1425">
        <v>44259</v>
      </c>
      <c r="B671" s="20">
        <f t="shared" si="102"/>
        <v>16.654199999999999</v>
      </c>
      <c r="C671" s="20">
        <f t="shared" si="104"/>
        <v>11.848699999999999</v>
      </c>
      <c r="D671" s="20">
        <f t="shared" si="105"/>
        <v>10.8995</v>
      </c>
      <c r="E671" s="20">
        <f t="shared" si="106"/>
        <v>13.058299999999999</v>
      </c>
      <c r="F671" s="20">
        <f t="shared" si="107"/>
        <v>29.0367</v>
      </c>
      <c r="G671" s="20">
        <f t="shared" si="108"/>
        <v>12.660299999999999</v>
      </c>
      <c r="H671" s="1239">
        <f t="shared" si="109"/>
        <v>12.660299999999999</v>
      </c>
      <c r="I671" s="1243">
        <f t="shared" si="103"/>
        <v>0.31546645814080243</v>
      </c>
      <c r="J671" s="1243">
        <f t="shared" si="110"/>
        <v>0.12093838824177333</v>
      </c>
      <c r="K671" s="1243">
        <f t="shared" si="111"/>
        <v>0.1</v>
      </c>
      <c r="L671" s="203"/>
      <c r="N671" s="1425">
        <v>44259</v>
      </c>
      <c r="O671" s="1502">
        <v>16.654199999999999</v>
      </c>
      <c r="P671" s="1502">
        <v>3.8651</v>
      </c>
      <c r="Q671" s="1502">
        <v>14.8514</v>
      </c>
      <c r="R671" s="1233">
        <f>'B. PE'!$U$23</f>
        <v>15.978235616082999</v>
      </c>
      <c r="S671" s="1233"/>
      <c r="T671" s="1233"/>
      <c r="V671" s="1425">
        <v>44259</v>
      </c>
      <c r="W671" s="1">
        <v>11.848699999999999</v>
      </c>
      <c r="X671" s="1">
        <v>1.002</v>
      </c>
      <c r="Y671" s="1">
        <v>9.1127000000000002</v>
      </c>
      <c r="Z671" s="1">
        <v>0.66198999999999997</v>
      </c>
      <c r="AB671" s="1425">
        <v>44232</v>
      </c>
      <c r="AC671" s="1">
        <v>13.9458</v>
      </c>
      <c r="AD671" s="1502">
        <v>1.5754999999999999</v>
      </c>
      <c r="AE671" s="1">
        <v>5.1917999999999997</v>
      </c>
      <c r="AF671" s="1">
        <v>3.9390000000000001E-2</v>
      </c>
      <c r="AH671" s="1425">
        <v>44232</v>
      </c>
      <c r="AI671" s="1">
        <v>10.4285</v>
      </c>
      <c r="AJ671" s="1">
        <v>1.6293</v>
      </c>
      <c r="AK671" s="1">
        <v>4.1558000000000002</v>
      </c>
      <c r="AL671" s="1">
        <v>2.162E-2</v>
      </c>
      <c r="AN671" s="1425">
        <v>44236</v>
      </c>
      <c r="AO671" s="1">
        <v>11.941700000000001</v>
      </c>
      <c r="AP671" s="1">
        <v>1.3249</v>
      </c>
      <c r="AQ671" s="1">
        <v>7.6112000000000002</v>
      </c>
      <c r="AR671" s="1">
        <v>0.31936999999999999</v>
      </c>
      <c r="AT671" s="1425">
        <v>44236</v>
      </c>
      <c r="AU671" s="1">
        <v>7.8010000000000002</v>
      </c>
      <c r="AV671" s="1">
        <v>0.60089999999999999</v>
      </c>
      <c r="AW671" s="1">
        <v>5.3292000000000002</v>
      </c>
      <c r="AX671" s="1">
        <v>0.14371999999999999</v>
      </c>
      <c r="BA671" s="1425">
        <v>44224</v>
      </c>
      <c r="BB671" s="1">
        <v>11.7225</v>
      </c>
      <c r="BC671" s="1">
        <v>2.4933000000000001</v>
      </c>
      <c r="BD671" s="1">
        <v>9.4908999999999999</v>
      </c>
      <c r="BE671" s="1">
        <v>0.59745999999999999</v>
      </c>
      <c r="BG671" s="1425">
        <v>44224</v>
      </c>
      <c r="BH671" s="1">
        <v>22.104500000000002</v>
      </c>
      <c r="BI671" s="1">
        <v>4.1260000000000003</v>
      </c>
      <c r="BJ671" s="1">
        <v>23.308499999999999</v>
      </c>
      <c r="BT671" s="1425">
        <v>44259</v>
      </c>
      <c r="BU671" s="1">
        <v>15.348800000000001</v>
      </c>
      <c r="BV671" s="1">
        <v>3.8898999999999999</v>
      </c>
      <c r="BW671" s="1">
        <v>8.5345999999999993</v>
      </c>
      <c r="BX671" s="1">
        <v>1.9668000000000001</v>
      </c>
      <c r="BZ671" s="1425">
        <v>44259</v>
      </c>
      <c r="CA671" s="1">
        <v>88.826800000000006</v>
      </c>
      <c r="CB671" s="1">
        <v>1.8090999999999999</v>
      </c>
      <c r="CC671" s="1">
        <v>40.675899999999999</v>
      </c>
      <c r="CD671" s="1">
        <v>0.73046</v>
      </c>
      <c r="CF671" s="1425">
        <v>44258</v>
      </c>
      <c r="CG671" s="1">
        <v>8.8510000000000009</v>
      </c>
      <c r="CH671" s="1">
        <v>1.4315</v>
      </c>
      <c r="CI671" s="1">
        <v>6.4463999999999997</v>
      </c>
      <c r="CL671" s="1425">
        <v>44273</v>
      </c>
      <c r="CM671" s="1">
        <v>30.14</v>
      </c>
      <c r="CN671" s="1">
        <v>2.7201</v>
      </c>
      <c r="CO671" s="1">
        <v>12.035600000000001</v>
      </c>
    </row>
    <row r="672" spans="1:93">
      <c r="A672" s="1425">
        <v>44258</v>
      </c>
      <c r="B672" s="20">
        <f t="shared" si="102"/>
        <v>16.5261</v>
      </c>
      <c r="C672" s="20">
        <f t="shared" si="104"/>
        <v>12.201000000000001</v>
      </c>
      <c r="D672" s="20">
        <f t="shared" si="105"/>
        <v>11.0341</v>
      </c>
      <c r="E672" s="20">
        <f t="shared" si="106"/>
        <v>13.0097</v>
      </c>
      <c r="F672" s="20">
        <f t="shared" si="107"/>
        <v>30.867899999999999</v>
      </c>
      <c r="G672" s="20">
        <f t="shared" si="108"/>
        <v>13.4222</v>
      </c>
      <c r="H672" s="1239">
        <f t="shared" si="109"/>
        <v>13.0097</v>
      </c>
      <c r="I672" s="1243">
        <f t="shared" si="103"/>
        <v>0.27029062929967629</v>
      </c>
      <c r="J672" s="1243">
        <f t="shared" si="110"/>
        <v>0.12093838824177333</v>
      </c>
      <c r="K672" s="1243">
        <f t="shared" si="111"/>
        <v>0.1</v>
      </c>
      <c r="L672" s="203"/>
      <c r="N672" s="1425">
        <v>44258</v>
      </c>
      <c r="O672" s="1502">
        <v>16.5261</v>
      </c>
      <c r="P672" s="1502">
        <v>3.8353999999999999</v>
      </c>
      <c r="Q672" s="1502">
        <v>14.730499999999999</v>
      </c>
      <c r="R672" s="1233">
        <f>'B. PE'!$U$23</f>
        <v>15.978235616082999</v>
      </c>
      <c r="S672" s="1233"/>
      <c r="T672" s="1233"/>
      <c r="V672" s="1425">
        <v>44258</v>
      </c>
      <c r="W672" s="1">
        <v>12.201000000000001</v>
      </c>
      <c r="X672" s="1">
        <v>1.0318000000000001</v>
      </c>
      <c r="Y672" s="1">
        <v>9.2905999999999995</v>
      </c>
      <c r="Z672" s="1">
        <v>0.64724999999999999</v>
      </c>
      <c r="AB672" s="1425">
        <v>44231</v>
      </c>
      <c r="AC672" s="1">
        <v>13.9458</v>
      </c>
      <c r="AD672" s="1502">
        <v>1.5754999999999999</v>
      </c>
      <c r="AE672" s="1">
        <v>5.1917999999999997</v>
      </c>
      <c r="AF672" s="1">
        <v>3.8370000000000001E-2</v>
      </c>
      <c r="AH672" s="1425">
        <v>44231</v>
      </c>
      <c r="AI672" s="1">
        <v>10.193099999999999</v>
      </c>
      <c r="AJ672" s="1">
        <v>1.5925</v>
      </c>
      <c r="AK672" s="1">
        <v>4.0388000000000002</v>
      </c>
      <c r="AL672" s="1">
        <v>2.111E-2</v>
      </c>
      <c r="AN672" s="1425">
        <v>44235</v>
      </c>
      <c r="AO672" s="1">
        <v>12.0388</v>
      </c>
      <c r="AP672" s="1">
        <v>1.3355999999999999</v>
      </c>
      <c r="AQ672" s="1">
        <v>7.6897000000000002</v>
      </c>
      <c r="AR672" s="1">
        <v>0.29321000000000003</v>
      </c>
      <c r="AT672" s="1425">
        <v>44235</v>
      </c>
      <c r="AU672" s="1">
        <v>7.2481999999999998</v>
      </c>
      <c r="AV672" s="1">
        <v>0.55830000000000002</v>
      </c>
      <c r="AW672" s="1">
        <v>5.0260999999999996</v>
      </c>
      <c r="AX672" s="1">
        <v>0.14537</v>
      </c>
      <c r="BA672" s="1425">
        <v>44223</v>
      </c>
      <c r="BB672" s="1">
        <v>10.9605</v>
      </c>
      <c r="BC672" s="1">
        <v>2.3313000000000001</v>
      </c>
      <c r="BD672" s="1">
        <v>8.9831000000000003</v>
      </c>
      <c r="BE672" s="1">
        <v>0.59011999999999998</v>
      </c>
      <c r="BG672" s="1425">
        <v>44223</v>
      </c>
      <c r="BH672" s="1">
        <v>22.4969</v>
      </c>
      <c r="BI672" s="1">
        <v>4.1993</v>
      </c>
      <c r="BJ672" s="1">
        <v>23.675999999999998</v>
      </c>
      <c r="BT672" s="1425">
        <v>44258</v>
      </c>
      <c r="BU672" s="1">
        <v>15.7417</v>
      </c>
      <c r="BV672" s="1">
        <v>3.9895</v>
      </c>
      <c r="BW672" s="1">
        <v>8.7484000000000002</v>
      </c>
      <c r="BX672" s="1">
        <v>1.952</v>
      </c>
      <c r="BZ672" s="1425">
        <v>44258</v>
      </c>
      <c r="CA672" s="1">
        <v>91.702500000000001</v>
      </c>
      <c r="CB672" s="1">
        <v>1.8675999999999999</v>
      </c>
      <c r="CC672" s="1">
        <v>41.578499999999998</v>
      </c>
      <c r="CD672" s="1">
        <v>0.71648000000000001</v>
      </c>
      <c r="CF672" s="1425">
        <v>44257</v>
      </c>
      <c r="CG672" s="1">
        <v>9.0149000000000008</v>
      </c>
      <c r="CH672" s="1">
        <v>1.458</v>
      </c>
      <c r="CI672" s="1">
        <v>6.5338000000000003</v>
      </c>
      <c r="CL672" s="1425">
        <v>44272</v>
      </c>
      <c r="CM672" s="1">
        <v>30.222899999999999</v>
      </c>
      <c r="CN672" s="1">
        <v>2.7275999999999998</v>
      </c>
      <c r="CO672" s="1">
        <v>12.069100000000001</v>
      </c>
    </row>
    <row r="673" spans="1:93">
      <c r="A673" s="1425">
        <v>44257</v>
      </c>
      <c r="B673" s="20">
        <f t="shared" si="102"/>
        <v>16.734300000000001</v>
      </c>
      <c r="C673" s="20">
        <f t="shared" si="104"/>
        <v>11.592499999999999</v>
      </c>
      <c r="D673" s="20">
        <f t="shared" si="105"/>
        <v>11.1014</v>
      </c>
      <c r="E673" s="20">
        <f t="shared" si="106"/>
        <v>12.6214</v>
      </c>
      <c r="F673" s="20">
        <f t="shared" si="107"/>
        <v>23.935700000000001</v>
      </c>
      <c r="G673" s="20">
        <f t="shared" si="108"/>
        <v>12.1328</v>
      </c>
      <c r="H673" s="1239">
        <f t="shared" si="109"/>
        <v>12.1328</v>
      </c>
      <c r="I673" s="1243">
        <f t="shared" si="103"/>
        <v>0.37926117631544254</v>
      </c>
      <c r="J673" s="1243">
        <f t="shared" si="110"/>
        <v>0.12093838824177333</v>
      </c>
      <c r="K673" s="1243">
        <f t="shared" si="111"/>
        <v>0.1</v>
      </c>
      <c r="L673" s="203"/>
      <c r="N673" s="1425">
        <v>44257</v>
      </c>
      <c r="O673" s="1502">
        <v>16.734300000000001</v>
      </c>
      <c r="P673" s="1502">
        <v>3.8837000000000002</v>
      </c>
      <c r="Q673" s="1502">
        <v>14.927</v>
      </c>
      <c r="R673" s="1233">
        <f>'B. PE'!$U$23</f>
        <v>15.978235616082999</v>
      </c>
      <c r="S673" s="1233"/>
      <c r="T673" s="1233"/>
      <c r="V673" s="1425">
        <v>44257</v>
      </c>
      <c r="W673" s="1">
        <v>11.592499999999999</v>
      </c>
      <c r="X673" s="1">
        <v>0.98029999999999995</v>
      </c>
      <c r="Y673" s="1">
        <v>8.9833999999999996</v>
      </c>
      <c r="Z673" s="1">
        <v>0.60519000000000001</v>
      </c>
      <c r="AB673" s="1425">
        <v>44230</v>
      </c>
      <c r="AC673" s="1">
        <v>14.3621</v>
      </c>
      <c r="AD673" s="1502">
        <v>1.6225000000000001</v>
      </c>
      <c r="AE673" s="1">
        <v>5.3372000000000002</v>
      </c>
      <c r="AF673" s="1">
        <v>3.9170000000000003E-2</v>
      </c>
      <c r="AH673" s="1425">
        <v>44230</v>
      </c>
      <c r="AI673" s="1">
        <v>10.193099999999999</v>
      </c>
      <c r="AJ673" s="1">
        <v>1.5925</v>
      </c>
      <c r="AK673" s="1">
        <v>4.0388000000000002</v>
      </c>
      <c r="AL673" s="1">
        <v>2.1430000000000001E-2</v>
      </c>
      <c r="AN673" s="1425">
        <v>44232</v>
      </c>
      <c r="AO673" s="1">
        <v>12.6214</v>
      </c>
      <c r="AP673" s="1">
        <v>1.4003000000000001</v>
      </c>
      <c r="AQ673" s="1">
        <v>8.1606000000000005</v>
      </c>
      <c r="AR673" s="1">
        <v>0.29498999999999997</v>
      </c>
      <c r="AT673" s="1425">
        <v>44232</v>
      </c>
      <c r="AU673" s="1">
        <v>7.1867000000000001</v>
      </c>
      <c r="AV673" s="1">
        <v>0.55359999999999998</v>
      </c>
      <c r="AW673" s="1">
        <v>4.9923999999999999</v>
      </c>
      <c r="AX673" s="1">
        <v>0.13824</v>
      </c>
      <c r="BA673" s="1425">
        <v>44222</v>
      </c>
      <c r="BB673" s="1">
        <v>10.4916</v>
      </c>
      <c r="BC673" s="1">
        <v>2.2315</v>
      </c>
      <c r="BD673" s="1">
        <v>8.6706000000000003</v>
      </c>
      <c r="BE673" s="1">
        <v>0.59335000000000004</v>
      </c>
      <c r="BG673" s="1425">
        <v>44222</v>
      </c>
      <c r="BH673" s="1">
        <v>22.627700000000001</v>
      </c>
      <c r="BI673" s="1">
        <v>4.2237</v>
      </c>
      <c r="BJ673" s="1">
        <v>23.798400000000001</v>
      </c>
      <c r="BT673" s="1425">
        <v>44257</v>
      </c>
      <c r="BU673" s="1">
        <v>15.695499999999999</v>
      </c>
      <c r="BV673" s="1">
        <v>3.9777999999999998</v>
      </c>
      <c r="BW673" s="1">
        <v>8.7233000000000001</v>
      </c>
      <c r="BX673" s="1">
        <v>1.9549000000000001</v>
      </c>
      <c r="BZ673" s="1425">
        <v>44257</v>
      </c>
      <c r="CA673" s="1">
        <v>92.661000000000001</v>
      </c>
      <c r="CB673" s="1">
        <v>1.8871</v>
      </c>
      <c r="CC673" s="1">
        <v>41.879399999999997</v>
      </c>
      <c r="CD673" s="1">
        <v>0.70515000000000005</v>
      </c>
      <c r="CF673" s="1425">
        <v>44256</v>
      </c>
      <c r="CG673" s="1">
        <v>9.1242000000000001</v>
      </c>
      <c r="CH673" s="1">
        <v>1.4757</v>
      </c>
      <c r="CI673" s="1">
        <v>6.5921000000000003</v>
      </c>
      <c r="CL673" s="1425">
        <v>44271</v>
      </c>
      <c r="CM673" s="1">
        <v>30.471599999999999</v>
      </c>
      <c r="CN673" s="1">
        <v>2.75</v>
      </c>
      <c r="CO673" s="1">
        <v>12.169600000000001</v>
      </c>
    </row>
    <row r="674" spans="1:93">
      <c r="A674" s="1425">
        <v>44256</v>
      </c>
      <c r="B674" s="20">
        <f t="shared" si="102"/>
        <v>16.0457</v>
      </c>
      <c r="C674" s="20">
        <f t="shared" si="104"/>
        <v>11.336399999999999</v>
      </c>
      <c r="D674" s="20">
        <f t="shared" si="105"/>
        <v>10.764900000000001</v>
      </c>
      <c r="E674" s="20">
        <f t="shared" si="106"/>
        <v>13.349500000000001</v>
      </c>
      <c r="F674" s="20">
        <f t="shared" si="107"/>
        <v>22.366099999999999</v>
      </c>
      <c r="G674" s="20">
        <f t="shared" si="108"/>
        <v>11.839700000000001</v>
      </c>
      <c r="H674" s="1239">
        <f t="shared" si="109"/>
        <v>11.839700000000001</v>
      </c>
      <c r="I674" s="1243">
        <f t="shared" si="103"/>
        <v>0.35524548763904495</v>
      </c>
      <c r="J674" s="1243">
        <f t="shared" si="110"/>
        <v>0.12093838824177333</v>
      </c>
      <c r="K674" s="1243">
        <f t="shared" si="111"/>
        <v>0.1</v>
      </c>
      <c r="L674" s="203"/>
      <c r="N674" s="1425">
        <v>44256</v>
      </c>
      <c r="O674" s="1502">
        <v>16.0457</v>
      </c>
      <c r="P674" s="1502">
        <v>3.7239</v>
      </c>
      <c r="Q674" s="1502">
        <v>14.277100000000001</v>
      </c>
      <c r="R674" s="1233">
        <f>'B. PE'!$U$23</f>
        <v>15.978235616082999</v>
      </c>
      <c r="S674" s="1233"/>
      <c r="T674" s="1233"/>
      <c r="V674" s="1425">
        <v>44256</v>
      </c>
      <c r="W674" s="1">
        <v>11.336399999999999</v>
      </c>
      <c r="X674" s="1">
        <v>0.9587</v>
      </c>
      <c r="Y674" s="1">
        <v>8.8541000000000007</v>
      </c>
      <c r="Z674" s="1">
        <v>0.60694000000000004</v>
      </c>
      <c r="AB674" s="1425">
        <v>44229</v>
      </c>
      <c r="AC674" s="1">
        <v>13.9978</v>
      </c>
      <c r="AD674" s="1502">
        <v>1.5813999999999999</v>
      </c>
      <c r="AE674" s="1">
        <v>5.21</v>
      </c>
      <c r="AF674" s="1">
        <v>3.9469999999999998E-2</v>
      </c>
      <c r="AH674" s="1425">
        <v>44229</v>
      </c>
      <c r="AI674" s="1">
        <v>9.9575999999999993</v>
      </c>
      <c r="AJ674" s="1">
        <v>1.5557000000000001</v>
      </c>
      <c r="AK674" s="1">
        <v>3.9218999999999999</v>
      </c>
      <c r="AL674" s="1">
        <v>2.0799999999999999E-2</v>
      </c>
      <c r="AN674" s="1425">
        <v>44231</v>
      </c>
      <c r="AO674" s="1">
        <v>11.5534</v>
      </c>
      <c r="AP674" s="1">
        <v>1.2818000000000001</v>
      </c>
      <c r="AQ674" s="1">
        <v>7.2972999999999999</v>
      </c>
      <c r="AR674" s="1">
        <v>0.28683999999999998</v>
      </c>
      <c r="AT674" s="1425">
        <v>44231</v>
      </c>
      <c r="AU674" s="1">
        <v>7.2481999999999998</v>
      </c>
      <c r="AV674" s="1">
        <v>0.55830000000000002</v>
      </c>
      <c r="AW674" s="1">
        <v>5.0260999999999996</v>
      </c>
      <c r="AX674" s="1">
        <v>0.14219000000000001</v>
      </c>
      <c r="BA674" s="1425">
        <v>44221</v>
      </c>
      <c r="BB674" s="1">
        <v>10.3744</v>
      </c>
      <c r="BC674" s="1">
        <v>2.2065999999999999</v>
      </c>
      <c r="BD674" s="1">
        <v>8.5924999999999994</v>
      </c>
      <c r="BE674" s="1">
        <v>0.58779999999999999</v>
      </c>
      <c r="BG674" s="1425">
        <v>44221</v>
      </c>
      <c r="BH674" s="1">
        <v>21.450600000000001</v>
      </c>
      <c r="BI674" s="1">
        <v>4.0039999999999996</v>
      </c>
      <c r="BJ674" s="1">
        <v>22.696100000000001</v>
      </c>
      <c r="BT674" s="1425">
        <v>44256</v>
      </c>
      <c r="BU674" s="1">
        <v>15.5799</v>
      </c>
      <c r="BV674" s="1">
        <v>3.9485000000000001</v>
      </c>
      <c r="BW674" s="1">
        <v>8.6603999999999992</v>
      </c>
      <c r="BX674" s="1">
        <v>1.9648000000000001</v>
      </c>
      <c r="BZ674" s="1425">
        <v>44256</v>
      </c>
      <c r="CA674" s="1">
        <v>90.903700000000001</v>
      </c>
      <c r="CB674" s="1">
        <v>1.8512999999999999</v>
      </c>
      <c r="CC674" s="1">
        <v>41.327800000000003</v>
      </c>
      <c r="CD674" s="1">
        <v>0.70631999999999995</v>
      </c>
      <c r="CF674" s="1425">
        <v>44253</v>
      </c>
      <c r="CG674" s="1">
        <v>9.2881</v>
      </c>
      <c r="CH674" s="1">
        <v>1.5022</v>
      </c>
      <c r="CI674" s="1">
        <v>6.6795</v>
      </c>
      <c r="CL674" s="1425">
        <v>44270</v>
      </c>
      <c r="CM674" s="1">
        <v>29.849799999999998</v>
      </c>
      <c r="CN674" s="1">
        <v>2.6939000000000002</v>
      </c>
      <c r="CO674" s="1">
        <v>11.9184</v>
      </c>
    </row>
    <row r="675" spans="1:93">
      <c r="A675" s="1425">
        <v>44253</v>
      </c>
      <c r="B675" s="20">
        <f t="shared" si="102"/>
        <v>15.148999999999999</v>
      </c>
      <c r="C675" s="20">
        <f t="shared" si="104"/>
        <v>10.5998</v>
      </c>
      <c r="D675" s="20">
        <f t="shared" si="105"/>
        <v>10.731299999999999</v>
      </c>
      <c r="E675" s="20">
        <f t="shared" si="106"/>
        <v>13.4466</v>
      </c>
      <c r="F675" s="20">
        <f t="shared" si="107"/>
        <v>22.366099999999999</v>
      </c>
      <c r="G675" s="20">
        <f t="shared" si="108"/>
        <v>11.839700000000001</v>
      </c>
      <c r="H675" s="1239">
        <f t="shared" si="109"/>
        <v>11.839700000000001</v>
      </c>
      <c r="I675" s="1243">
        <f t="shared" si="103"/>
        <v>0.27950877133711138</v>
      </c>
      <c r="J675" s="1243">
        <f t="shared" si="110"/>
        <v>0.12093838824177333</v>
      </c>
      <c r="K675" s="1243">
        <f t="shared" si="111"/>
        <v>0.1</v>
      </c>
      <c r="L675" s="203"/>
      <c r="N675" s="1425">
        <v>44253</v>
      </c>
      <c r="O675" s="1502">
        <v>15.148999999999999</v>
      </c>
      <c r="P675" s="1502">
        <v>3.5158</v>
      </c>
      <c r="Q675" s="1502">
        <v>13.4306</v>
      </c>
      <c r="R675" s="1233">
        <f>'B. PE'!$U$23</f>
        <v>15.978235616082999</v>
      </c>
      <c r="S675" s="1233"/>
      <c r="T675" s="1233"/>
      <c r="V675" s="1425">
        <v>44253</v>
      </c>
      <c r="W675" s="1">
        <v>10.5998</v>
      </c>
      <c r="X675" s="1">
        <v>0.89639999999999997</v>
      </c>
      <c r="Y675" s="1">
        <v>8.4822000000000006</v>
      </c>
      <c r="Z675" s="1">
        <v>0.60106999999999999</v>
      </c>
      <c r="AB675" s="1425">
        <v>44228</v>
      </c>
      <c r="AC675" s="1">
        <v>14.3621</v>
      </c>
      <c r="AD675" s="1502">
        <v>1.6225000000000001</v>
      </c>
      <c r="AE675" s="1">
        <v>5.3372000000000002</v>
      </c>
      <c r="AF675" s="1">
        <v>3.8679999999999999E-2</v>
      </c>
      <c r="AH675" s="1425">
        <v>44228</v>
      </c>
      <c r="AI675" s="1">
        <v>10.1594</v>
      </c>
      <c r="AJ675" s="1">
        <v>1.5871999999999999</v>
      </c>
      <c r="AK675" s="1">
        <v>4.0221</v>
      </c>
      <c r="AL675" s="1">
        <v>2.069E-2</v>
      </c>
      <c r="AN675" s="1425">
        <v>44230</v>
      </c>
      <c r="AO675" s="1">
        <v>11.601900000000001</v>
      </c>
      <c r="AP675" s="1">
        <v>1.2871999999999999</v>
      </c>
      <c r="AQ675" s="1">
        <v>7.3365999999999998</v>
      </c>
      <c r="AR675" s="1">
        <v>0.28465000000000001</v>
      </c>
      <c r="AT675" s="1425">
        <v>44230</v>
      </c>
      <c r="AU675" s="1">
        <v>6.8795999999999999</v>
      </c>
      <c r="AV675" s="1">
        <v>0.52990000000000004</v>
      </c>
      <c r="AW675" s="1">
        <v>4.8239999999999998</v>
      </c>
      <c r="AX675" s="1">
        <v>0.14727999999999999</v>
      </c>
      <c r="BA675" s="1425">
        <v>44218</v>
      </c>
      <c r="BB675" s="1">
        <v>10.433</v>
      </c>
      <c r="BC675" s="1">
        <v>2.2191000000000001</v>
      </c>
      <c r="BD675" s="1">
        <v>8.6315000000000008</v>
      </c>
      <c r="BE675" s="1">
        <v>0.59079000000000004</v>
      </c>
      <c r="BG675" s="1425">
        <v>44218</v>
      </c>
      <c r="BH675" s="1">
        <v>21.581399999999999</v>
      </c>
      <c r="BI675" s="1">
        <v>4.0284000000000004</v>
      </c>
      <c r="BJ675" s="1">
        <v>22.8185</v>
      </c>
      <c r="BT675" s="1425">
        <v>44253</v>
      </c>
      <c r="BU675" s="1">
        <v>15.603</v>
      </c>
      <c r="BV675" s="1">
        <v>3.9544000000000001</v>
      </c>
      <c r="BW675" s="1">
        <v>8.673</v>
      </c>
      <c r="BX675" s="1">
        <v>1.9301999999999999</v>
      </c>
      <c r="BZ675" s="1425">
        <v>44253</v>
      </c>
      <c r="CA675" s="1">
        <v>89.465800000000002</v>
      </c>
      <c r="CB675" s="1">
        <v>1.8221000000000001</v>
      </c>
      <c r="CC675" s="1">
        <v>40.8765</v>
      </c>
      <c r="CD675" s="1">
        <v>0.71250000000000002</v>
      </c>
      <c r="CF675" s="1425">
        <v>44252</v>
      </c>
      <c r="CG675" s="1">
        <v>8.9603000000000002</v>
      </c>
      <c r="CH675" s="1">
        <v>1.4492</v>
      </c>
      <c r="CI675" s="1">
        <v>6.5046999999999997</v>
      </c>
      <c r="CL675" s="1425">
        <v>44267</v>
      </c>
      <c r="CM675" s="1">
        <v>29.580300000000001</v>
      </c>
      <c r="CN675" s="1">
        <v>2.6696</v>
      </c>
      <c r="CO675" s="1">
        <v>11.8095</v>
      </c>
    </row>
    <row r="676" spans="1:93">
      <c r="A676" s="1425">
        <v>44252</v>
      </c>
      <c r="B676" s="20">
        <f t="shared" si="102"/>
        <v>15.116899999999999</v>
      </c>
      <c r="C676" s="20">
        <f t="shared" si="104"/>
        <v>10.6318</v>
      </c>
      <c r="D676" s="20">
        <f t="shared" si="105"/>
        <v>10.7986</v>
      </c>
      <c r="E676" s="20">
        <f t="shared" si="106"/>
        <v>13.7379</v>
      </c>
      <c r="F676" s="20">
        <f t="shared" si="107"/>
        <v>22.366099999999999</v>
      </c>
      <c r="G676" s="20">
        <f t="shared" si="108"/>
        <v>11.7811</v>
      </c>
      <c r="H676" s="1239">
        <f t="shared" si="109"/>
        <v>11.7811</v>
      </c>
      <c r="I676" s="1243">
        <f t="shared" si="103"/>
        <v>0.2831484326590894</v>
      </c>
      <c r="J676" s="1243">
        <f t="shared" si="110"/>
        <v>0.12093838824177333</v>
      </c>
      <c r="K676" s="1243">
        <f t="shared" si="111"/>
        <v>0.1</v>
      </c>
      <c r="L676" s="203"/>
      <c r="N676" s="1425">
        <v>44252</v>
      </c>
      <c r="O676" s="1502">
        <v>15.116899999999999</v>
      </c>
      <c r="P676" s="1502">
        <v>3.5083000000000002</v>
      </c>
      <c r="Q676" s="1502">
        <v>13.400399999999999</v>
      </c>
      <c r="R676" s="1233">
        <f>'B. PE'!$U$23</f>
        <v>15.978235616082999</v>
      </c>
      <c r="S676" s="1233"/>
      <c r="T676" s="1233"/>
      <c r="V676" s="1425">
        <v>44252</v>
      </c>
      <c r="W676" s="1">
        <v>10.6318</v>
      </c>
      <c r="X676" s="1">
        <v>0.89910000000000001</v>
      </c>
      <c r="Y676" s="1">
        <v>8.4984000000000002</v>
      </c>
      <c r="Z676" s="1">
        <v>0.61597999999999997</v>
      </c>
      <c r="AB676" s="1425">
        <v>44225</v>
      </c>
      <c r="AC676" s="1">
        <v>14.414099999999999</v>
      </c>
      <c r="AD676" s="1502">
        <v>1.6284000000000001</v>
      </c>
      <c r="AE676" s="1">
        <v>5.3554000000000004</v>
      </c>
      <c r="AF676" s="1">
        <v>3.78E-2</v>
      </c>
      <c r="AH676" s="1425">
        <v>44225</v>
      </c>
      <c r="AI676" s="1">
        <v>9.8230000000000004</v>
      </c>
      <c r="AJ676" s="1">
        <v>1.5347</v>
      </c>
      <c r="AK676" s="1">
        <v>3.855</v>
      </c>
      <c r="AL676" s="1">
        <v>2.1309999999999999E-2</v>
      </c>
      <c r="AN676" s="1425">
        <v>44229</v>
      </c>
      <c r="AO676" s="1">
        <v>11.2621</v>
      </c>
      <c r="AP676" s="1">
        <v>1.2495000000000001</v>
      </c>
      <c r="AQ676" s="1">
        <v>7.0618999999999996</v>
      </c>
      <c r="AR676" s="1">
        <v>0.29783999999999999</v>
      </c>
      <c r="AT676" s="1425">
        <v>44229</v>
      </c>
      <c r="AU676" s="1">
        <v>7.0639000000000003</v>
      </c>
      <c r="AV676" s="1">
        <v>0.54410000000000003</v>
      </c>
      <c r="AW676" s="1">
        <v>4.9249999999999998</v>
      </c>
      <c r="AX676" s="1">
        <v>0.14954000000000001</v>
      </c>
      <c r="BA676" s="1425">
        <v>44217</v>
      </c>
      <c r="BB676" s="1">
        <v>10.315799999999999</v>
      </c>
      <c r="BC676" s="1">
        <v>2.1941000000000002</v>
      </c>
      <c r="BD676" s="1">
        <v>8.5533999999999999</v>
      </c>
      <c r="BE676" s="1">
        <v>0.58658999999999994</v>
      </c>
      <c r="BG676" s="1425">
        <v>44217</v>
      </c>
      <c r="BH676" s="1">
        <v>22.235299999999999</v>
      </c>
      <c r="BI676" s="1">
        <v>4.1504000000000003</v>
      </c>
      <c r="BJ676" s="1">
        <v>23.431000000000001</v>
      </c>
      <c r="BT676" s="1425">
        <v>44252</v>
      </c>
      <c r="BU676" s="1">
        <v>15.6839</v>
      </c>
      <c r="BV676" s="1">
        <v>3.9748999999999999</v>
      </c>
      <c r="BW676" s="1">
        <v>8.7170000000000005</v>
      </c>
      <c r="BX676" s="1">
        <v>1.9717</v>
      </c>
      <c r="BZ676" s="1425">
        <v>44252</v>
      </c>
      <c r="CA676" s="1">
        <v>89.625600000000006</v>
      </c>
      <c r="CB676" s="1">
        <v>1.8252999999999999</v>
      </c>
      <c r="CC676" s="1">
        <v>40.926600000000001</v>
      </c>
      <c r="CD676" s="1">
        <v>0.73136999999999996</v>
      </c>
      <c r="CF676" s="1425">
        <v>44251</v>
      </c>
      <c r="CG676" s="1">
        <v>8.9603000000000002</v>
      </c>
      <c r="CH676" s="1">
        <v>1.4492</v>
      </c>
      <c r="CI676" s="1">
        <v>6.5046999999999997</v>
      </c>
      <c r="CL676" s="1425">
        <v>44266</v>
      </c>
      <c r="CM676" s="1">
        <v>29.787600000000001</v>
      </c>
      <c r="CN676" s="1">
        <v>2.6882999999999999</v>
      </c>
      <c r="CO676" s="1">
        <v>11.8932</v>
      </c>
    </row>
    <row r="677" spans="1:93">
      <c r="A677" s="1425">
        <v>44251</v>
      </c>
      <c r="B677" s="20">
        <f t="shared" si="102"/>
        <v>14.7486</v>
      </c>
      <c r="C677" s="20">
        <f t="shared" si="104"/>
        <v>10.5678</v>
      </c>
      <c r="D677" s="20">
        <f t="shared" si="105"/>
        <v>10.764900000000001</v>
      </c>
      <c r="E677" s="20">
        <f t="shared" si="106"/>
        <v>13.349500000000001</v>
      </c>
      <c r="F677" s="20">
        <f t="shared" si="107"/>
        <v>21.581399999999999</v>
      </c>
      <c r="G677" s="20">
        <f t="shared" si="108"/>
        <v>11.1364</v>
      </c>
      <c r="H677" s="1239">
        <f t="shared" si="109"/>
        <v>11.1364</v>
      </c>
      <c r="I677" s="1243">
        <f t="shared" si="103"/>
        <v>0.32435975719262955</v>
      </c>
      <c r="J677" s="1243">
        <f t="shared" si="110"/>
        <v>0.12093838824177333</v>
      </c>
      <c r="K677" s="1243">
        <f t="shared" si="111"/>
        <v>0.1</v>
      </c>
      <c r="L677" s="203"/>
      <c r="N677" s="1425">
        <v>44251</v>
      </c>
      <c r="O677" s="1502">
        <v>14.7486</v>
      </c>
      <c r="P677" s="1502">
        <v>3.4228000000000001</v>
      </c>
      <c r="Q677" s="1502">
        <v>13.0528</v>
      </c>
      <c r="R677" s="1233">
        <f>'B. PE'!$U$23</f>
        <v>15.978235616082999</v>
      </c>
      <c r="S677" s="1233"/>
      <c r="T677" s="1233"/>
      <c r="V677" s="1425">
        <v>44251</v>
      </c>
      <c r="W677" s="1">
        <v>10.5678</v>
      </c>
      <c r="X677" s="1">
        <v>0.89370000000000005</v>
      </c>
      <c r="Y677" s="1">
        <v>8.4659999999999993</v>
      </c>
      <c r="Z677" s="1">
        <v>0.61443999999999999</v>
      </c>
      <c r="AB677" s="1425">
        <v>44224</v>
      </c>
      <c r="AC677" s="1">
        <v>14.1539</v>
      </c>
      <c r="AD677" s="1502">
        <v>1.599</v>
      </c>
      <c r="AE677" s="1">
        <v>5.2645</v>
      </c>
      <c r="AF677" s="1">
        <v>3.7960000000000001E-2</v>
      </c>
      <c r="AH677" s="1425">
        <v>44224</v>
      </c>
      <c r="AI677" s="1">
        <v>9.7894000000000005</v>
      </c>
      <c r="AJ677" s="1">
        <v>1.5294000000000001</v>
      </c>
      <c r="AK677" s="1">
        <v>3.8382999999999998</v>
      </c>
      <c r="AL677" s="1">
        <v>2.146E-2</v>
      </c>
      <c r="AN677" s="1425">
        <v>44225</v>
      </c>
      <c r="AO677" s="1">
        <v>11.164999999999999</v>
      </c>
      <c r="AP677" s="1">
        <v>1.2386999999999999</v>
      </c>
      <c r="AQ677" s="1">
        <v>6.9833999999999996</v>
      </c>
      <c r="AR677" s="1">
        <v>0.26433000000000001</v>
      </c>
      <c r="AT677" s="1425">
        <v>44225</v>
      </c>
      <c r="AU677" s="1">
        <v>7.3095999999999997</v>
      </c>
      <c r="AV677" s="1">
        <v>0.56310000000000004</v>
      </c>
      <c r="AW677" s="1">
        <v>5.0597000000000003</v>
      </c>
      <c r="AX677" s="1">
        <v>0.14080999999999999</v>
      </c>
      <c r="BA677" s="1425">
        <v>44216</v>
      </c>
      <c r="BB677" s="1">
        <v>10.3744</v>
      </c>
      <c r="BC677" s="1">
        <v>2.2065999999999999</v>
      </c>
      <c r="BD677" s="1">
        <v>8.5924999999999994</v>
      </c>
      <c r="BE677" s="1">
        <v>0.59075</v>
      </c>
      <c r="BG677" s="1425">
        <v>44216</v>
      </c>
      <c r="BH677" s="1">
        <v>21.973700000000001</v>
      </c>
      <c r="BI677" s="1">
        <v>4.1016000000000004</v>
      </c>
      <c r="BJ677" s="1">
        <v>23.186</v>
      </c>
      <c r="BT677" s="1425">
        <v>44251</v>
      </c>
      <c r="BU677" s="1">
        <v>15.4643</v>
      </c>
      <c r="BV677" s="1">
        <v>3.9192</v>
      </c>
      <c r="BW677" s="1">
        <v>8.5975000000000001</v>
      </c>
      <c r="BX677" s="1">
        <v>1.9842</v>
      </c>
      <c r="BZ677" s="1425">
        <v>44251</v>
      </c>
      <c r="CA677" s="1">
        <v>90.743899999999996</v>
      </c>
      <c r="CB677" s="1">
        <v>1.8481000000000001</v>
      </c>
      <c r="CC677" s="1">
        <v>41.2776</v>
      </c>
      <c r="CD677" s="1">
        <v>0.73928000000000005</v>
      </c>
      <c r="CF677" s="1425">
        <v>44250</v>
      </c>
      <c r="CG677" s="1">
        <v>9.0695999999999994</v>
      </c>
      <c r="CH677" s="1">
        <v>1.4669000000000001</v>
      </c>
      <c r="CI677" s="1">
        <v>6.5629999999999997</v>
      </c>
      <c r="CL677" s="1425">
        <v>44265</v>
      </c>
      <c r="CM677" s="1">
        <v>30.098500000000001</v>
      </c>
      <c r="CN677" s="1">
        <v>2.7164000000000001</v>
      </c>
      <c r="CO677" s="1">
        <v>12.018800000000001</v>
      </c>
    </row>
    <row r="678" spans="1:93">
      <c r="A678" s="1425">
        <v>44250</v>
      </c>
      <c r="B678" s="20">
        <f t="shared" si="102"/>
        <v>15.212999999999999</v>
      </c>
      <c r="C678" s="20">
        <f t="shared" si="104"/>
        <v>10.792</v>
      </c>
      <c r="D678" s="20">
        <f t="shared" si="105"/>
        <v>10.764900000000001</v>
      </c>
      <c r="E678" s="20">
        <f t="shared" si="106"/>
        <v>13.689299999999999</v>
      </c>
      <c r="F678" s="20">
        <f t="shared" si="107"/>
        <v>22.366099999999999</v>
      </c>
      <c r="G678" s="20">
        <f t="shared" si="108"/>
        <v>11.195</v>
      </c>
      <c r="H678" s="1239">
        <f t="shared" si="109"/>
        <v>11.195</v>
      </c>
      <c r="I678" s="1243">
        <f t="shared" si="103"/>
        <v>0.35891022778025894</v>
      </c>
      <c r="J678" s="1243">
        <f t="shared" si="110"/>
        <v>0.12093838824177333</v>
      </c>
      <c r="K678" s="1243">
        <f t="shared" si="111"/>
        <v>0.1</v>
      </c>
      <c r="L678" s="203"/>
      <c r="N678" s="1425">
        <v>44250</v>
      </c>
      <c r="O678" s="1502">
        <v>15.212999999999999</v>
      </c>
      <c r="P678" s="1502">
        <v>3.5306000000000002</v>
      </c>
      <c r="Q678" s="1502">
        <v>13.491099999999999</v>
      </c>
      <c r="R678" s="1233">
        <f>'B. PE'!$U$23</f>
        <v>15.978235616082999</v>
      </c>
      <c r="S678" s="1233"/>
      <c r="T678" s="1233"/>
      <c r="V678" s="1425">
        <v>44250</v>
      </c>
      <c r="W678" s="1">
        <v>10.792</v>
      </c>
      <c r="X678" s="1">
        <v>0.91259999999999997</v>
      </c>
      <c r="Y678" s="1">
        <v>8.5792000000000002</v>
      </c>
      <c r="Z678" s="1">
        <v>0.62361</v>
      </c>
      <c r="AB678" s="1425">
        <v>44223</v>
      </c>
      <c r="AC678" s="1">
        <v>13.893700000000001</v>
      </c>
      <c r="AD678" s="1502">
        <v>1.5696000000000001</v>
      </c>
      <c r="AE678" s="1">
        <v>5.1736000000000004</v>
      </c>
      <c r="AF678" s="1">
        <v>3.9949999999999999E-2</v>
      </c>
      <c r="AH678" s="1425">
        <v>44223</v>
      </c>
      <c r="AI678" s="1">
        <v>10.1258</v>
      </c>
      <c r="AJ678" s="1">
        <v>1.5820000000000001</v>
      </c>
      <c r="AK678" s="1">
        <v>4.0053999999999998</v>
      </c>
      <c r="AL678" s="1">
        <v>2.2460000000000001E-2</v>
      </c>
      <c r="AN678" s="1425">
        <v>44223</v>
      </c>
      <c r="AO678" s="1">
        <v>11.699</v>
      </c>
      <c r="AP678" s="1">
        <v>1.2979000000000001</v>
      </c>
      <c r="AQ678" s="1">
        <v>7.415</v>
      </c>
      <c r="AR678" s="1">
        <v>0.26329999999999998</v>
      </c>
      <c r="AT678" s="1425">
        <v>44223</v>
      </c>
      <c r="AU678" s="1">
        <v>7.4324000000000003</v>
      </c>
      <c r="AV678" s="1">
        <v>0.57250000000000001</v>
      </c>
      <c r="AW678" s="1">
        <v>5.1271000000000004</v>
      </c>
      <c r="AX678" s="1">
        <v>0.14091999999999999</v>
      </c>
      <c r="BA678" s="1425">
        <v>44215</v>
      </c>
      <c r="BB678" s="1">
        <v>10.315799999999999</v>
      </c>
      <c r="BC678" s="1">
        <v>2.1941000000000002</v>
      </c>
      <c r="BD678" s="1">
        <v>8.5533999999999999</v>
      </c>
      <c r="BE678" s="1">
        <v>0.58194000000000001</v>
      </c>
      <c r="BG678" s="1425">
        <v>44215</v>
      </c>
      <c r="BH678" s="1">
        <v>22.366099999999999</v>
      </c>
      <c r="BI678" s="1">
        <v>4.1749000000000001</v>
      </c>
      <c r="BJ678" s="1">
        <v>23.5535</v>
      </c>
      <c r="BT678" s="1425">
        <v>44250</v>
      </c>
      <c r="BU678" s="1">
        <v>15.7417</v>
      </c>
      <c r="BV678" s="1">
        <v>3.9895</v>
      </c>
      <c r="BW678" s="1">
        <v>8.7484000000000002</v>
      </c>
      <c r="BX678" s="1">
        <v>1.9930000000000001</v>
      </c>
      <c r="BZ678" s="1425">
        <v>44250</v>
      </c>
      <c r="CA678" s="1">
        <v>92.820800000000006</v>
      </c>
      <c r="CB678" s="1">
        <v>1.8904000000000001</v>
      </c>
      <c r="CC678" s="1">
        <v>41.929499999999997</v>
      </c>
      <c r="CD678" s="1">
        <v>0.73426999999999998</v>
      </c>
      <c r="CF678" s="1425">
        <v>44249</v>
      </c>
      <c r="CG678" s="1">
        <v>9.1788000000000007</v>
      </c>
      <c r="CH678" s="1">
        <v>1.4844999999999999</v>
      </c>
      <c r="CI678" s="1">
        <v>6.6212999999999997</v>
      </c>
      <c r="CL678" s="1425">
        <v>44264</v>
      </c>
      <c r="CM678" s="1">
        <v>29.062100000000001</v>
      </c>
      <c r="CN678" s="1">
        <v>2.6227999999999998</v>
      </c>
      <c r="CO678" s="1">
        <v>11.600199999999999</v>
      </c>
    </row>
    <row r="679" spans="1:93">
      <c r="A679" s="1425">
        <v>44249</v>
      </c>
      <c r="B679" s="20">
        <f t="shared" si="102"/>
        <v>14.924799999999999</v>
      </c>
      <c r="C679" s="20">
        <f t="shared" si="104"/>
        <v>10.7599</v>
      </c>
      <c r="D679" s="20">
        <f t="shared" si="105"/>
        <v>10.7986</v>
      </c>
      <c r="E679" s="20">
        <f t="shared" si="106"/>
        <v>13.932</v>
      </c>
      <c r="F679" s="20">
        <f t="shared" si="107"/>
        <v>21.973700000000001</v>
      </c>
      <c r="G679" s="20">
        <f t="shared" si="108"/>
        <v>11.312200000000001</v>
      </c>
      <c r="H679" s="1239">
        <f t="shared" si="109"/>
        <v>11.312200000000001</v>
      </c>
      <c r="I679" s="1243">
        <f t="shared" si="103"/>
        <v>0.31935432541857445</v>
      </c>
      <c r="J679" s="1243">
        <f t="shared" si="110"/>
        <v>0.12093838824177333</v>
      </c>
      <c r="K679" s="1243">
        <f t="shared" si="111"/>
        <v>0.1</v>
      </c>
      <c r="L679" s="203"/>
      <c r="N679" s="1425">
        <v>44249</v>
      </c>
      <c r="O679" s="1502">
        <v>14.924799999999999</v>
      </c>
      <c r="P679" s="1502">
        <v>3.4636999999999998</v>
      </c>
      <c r="Q679" s="1502">
        <v>13.218999999999999</v>
      </c>
      <c r="R679" s="1233">
        <f>'B. PE'!$U$23</f>
        <v>15.978235616082999</v>
      </c>
      <c r="S679" s="1233"/>
      <c r="T679" s="1233"/>
      <c r="V679" s="1425">
        <v>44249</v>
      </c>
      <c r="W679" s="1">
        <v>10.7599</v>
      </c>
      <c r="X679" s="1">
        <v>0.90990000000000004</v>
      </c>
      <c r="Y679" s="1">
        <v>8.5630000000000006</v>
      </c>
      <c r="Z679" s="1">
        <v>0.62738000000000005</v>
      </c>
      <c r="AB679" s="1425">
        <v>44222</v>
      </c>
      <c r="AC679" s="1">
        <v>13.9458</v>
      </c>
      <c r="AD679" s="1502">
        <v>1.5754999999999999</v>
      </c>
      <c r="AE679" s="1">
        <v>5.1917999999999997</v>
      </c>
      <c r="AF679" s="1">
        <v>3.49E-2</v>
      </c>
      <c r="AH679" s="1425">
        <v>44222</v>
      </c>
      <c r="AI679" s="1">
        <v>10.193099999999999</v>
      </c>
      <c r="AJ679" s="1">
        <v>1.5925</v>
      </c>
      <c r="AK679" s="1">
        <v>4.0388000000000002</v>
      </c>
      <c r="AL679" s="1">
        <v>2.206E-2</v>
      </c>
      <c r="AN679" s="1425">
        <v>44222</v>
      </c>
      <c r="AO679" s="1">
        <v>10.388299999999999</v>
      </c>
      <c r="AP679" s="1">
        <v>1.1525000000000001</v>
      </c>
      <c r="AQ679" s="1">
        <v>6.3555000000000001</v>
      </c>
      <c r="AR679" s="1">
        <v>0.28072999999999998</v>
      </c>
      <c r="AT679" s="1425">
        <v>44222</v>
      </c>
      <c r="AU679" s="1">
        <v>7.0025000000000004</v>
      </c>
      <c r="AV679" s="1">
        <v>0.53939999999999999</v>
      </c>
      <c r="AW679" s="1">
        <v>4.8913000000000002</v>
      </c>
      <c r="AX679" s="1">
        <v>0.14222000000000001</v>
      </c>
      <c r="BA679" s="1425">
        <v>44214</v>
      </c>
      <c r="BB679" s="1">
        <v>10.433</v>
      </c>
      <c r="BC679" s="1">
        <v>2.2191000000000001</v>
      </c>
      <c r="BD679" s="1">
        <v>8.6315000000000008</v>
      </c>
      <c r="BE679" s="1">
        <v>0.61726000000000003</v>
      </c>
      <c r="BG679" s="1425">
        <v>44214</v>
      </c>
      <c r="BH679" s="1">
        <v>22.4969</v>
      </c>
      <c r="BI679" s="1">
        <v>4.1993</v>
      </c>
      <c r="BJ679" s="1">
        <v>23.675999999999998</v>
      </c>
      <c r="BT679" s="1425">
        <v>44249</v>
      </c>
      <c r="BU679" s="1">
        <v>15.834199999999999</v>
      </c>
      <c r="BV679" s="1">
        <v>4.0129000000000001</v>
      </c>
      <c r="BW679" s="1">
        <v>8.7987000000000002</v>
      </c>
      <c r="BX679" s="1">
        <v>2.0209000000000001</v>
      </c>
      <c r="BZ679" s="1425">
        <v>44249</v>
      </c>
      <c r="CA679" s="1">
        <v>93.779399999999995</v>
      </c>
      <c r="CB679" s="1">
        <v>1.9098999999999999</v>
      </c>
      <c r="CC679" s="1">
        <v>42.230400000000003</v>
      </c>
      <c r="CD679" s="1">
        <v>0.71047000000000005</v>
      </c>
      <c r="CF679" s="1425">
        <v>44246</v>
      </c>
      <c r="CG679" s="1">
        <v>9.0149000000000008</v>
      </c>
      <c r="CH679" s="1">
        <v>1.458</v>
      </c>
      <c r="CI679" s="1">
        <v>6.5338000000000003</v>
      </c>
      <c r="CL679" s="1425">
        <v>44263</v>
      </c>
      <c r="CM679" s="1">
        <v>28.771899999999999</v>
      </c>
      <c r="CN679" s="1">
        <v>2.5966</v>
      </c>
      <c r="CO679" s="1">
        <v>11.483000000000001</v>
      </c>
    </row>
    <row r="680" spans="1:93">
      <c r="A680" s="1425">
        <v>44246</v>
      </c>
      <c r="B680" s="20">
        <f t="shared" si="102"/>
        <v>14.7166</v>
      </c>
      <c r="C680" s="20">
        <f t="shared" si="104"/>
        <v>10.92</v>
      </c>
      <c r="D680" s="20">
        <f t="shared" si="105"/>
        <v>10.5967</v>
      </c>
      <c r="E680" s="20">
        <f t="shared" si="106"/>
        <v>14.271800000000001</v>
      </c>
      <c r="F680" s="20">
        <f t="shared" si="107"/>
        <v>22.627700000000001</v>
      </c>
      <c r="G680" s="20">
        <f t="shared" si="108"/>
        <v>11.5466</v>
      </c>
      <c r="H680" s="1239">
        <f t="shared" si="109"/>
        <v>11.5466</v>
      </c>
      <c r="I680" s="1243">
        <f t="shared" si="103"/>
        <v>0.27453969133770983</v>
      </c>
      <c r="J680" s="1243">
        <f t="shared" si="110"/>
        <v>0.12093838824177333</v>
      </c>
      <c r="K680" s="1243">
        <f t="shared" si="111"/>
        <v>0.1</v>
      </c>
      <c r="L680" s="203"/>
      <c r="N680" s="1425">
        <v>44246</v>
      </c>
      <c r="O680" s="1502">
        <v>14.7166</v>
      </c>
      <c r="P680" s="1502">
        <v>3.4154</v>
      </c>
      <c r="Q680" s="1502">
        <v>13.022600000000001</v>
      </c>
      <c r="R680" s="1233">
        <f>'B. PE'!$U$23</f>
        <v>15.978235616082999</v>
      </c>
      <c r="S680" s="1233"/>
      <c r="T680" s="1233"/>
      <c r="V680" s="1425">
        <v>44246</v>
      </c>
      <c r="W680" s="1">
        <v>10.92</v>
      </c>
      <c r="X680" s="1">
        <v>0.9234</v>
      </c>
      <c r="Y680" s="1">
        <v>8.6439000000000004</v>
      </c>
      <c r="Z680" s="1">
        <v>0.60163999999999995</v>
      </c>
      <c r="AB680" s="1425">
        <v>44221</v>
      </c>
      <c r="AC680" s="1">
        <v>14.674300000000001</v>
      </c>
      <c r="AD680" s="1502">
        <v>1.6577999999999999</v>
      </c>
      <c r="AE680" s="1">
        <v>5.4462999999999999</v>
      </c>
      <c r="AF680" s="1">
        <v>3.6330000000000001E-2</v>
      </c>
      <c r="AH680" s="1425">
        <v>44221</v>
      </c>
      <c r="AI680" s="1">
        <v>10.664</v>
      </c>
      <c r="AJ680" s="1">
        <v>1.6660999999999999</v>
      </c>
      <c r="AK680" s="1">
        <v>4.2728000000000002</v>
      </c>
      <c r="AL680" s="1">
        <v>2.2370000000000001E-2</v>
      </c>
      <c r="AN680" s="1425">
        <v>44221</v>
      </c>
      <c r="AO680" s="1">
        <v>10.3398</v>
      </c>
      <c r="AP680" s="1">
        <v>1.1471</v>
      </c>
      <c r="AQ680" s="1">
        <v>6.3163</v>
      </c>
      <c r="AR680" s="1">
        <v>0.27538000000000001</v>
      </c>
      <c r="AT680" s="1425">
        <v>44221</v>
      </c>
      <c r="AU680" s="1">
        <v>7.0025000000000004</v>
      </c>
      <c r="AV680" s="1">
        <v>0.53939999999999999</v>
      </c>
      <c r="AW680" s="1">
        <v>4.8913000000000002</v>
      </c>
      <c r="AX680" s="1">
        <v>0.14388999999999999</v>
      </c>
      <c r="BA680" s="1425">
        <v>44211</v>
      </c>
      <c r="BB680" s="1">
        <v>10.257199999999999</v>
      </c>
      <c r="BC680" s="1">
        <v>2.1817000000000002</v>
      </c>
      <c r="BD680" s="1">
        <v>8.5143000000000004</v>
      </c>
      <c r="BE680" s="1">
        <v>0.58633000000000002</v>
      </c>
      <c r="BG680" s="1425">
        <v>44211</v>
      </c>
      <c r="BH680" s="1">
        <v>21.7121</v>
      </c>
      <c r="BI680" s="1">
        <v>4.0528000000000004</v>
      </c>
      <c r="BJ680" s="1">
        <v>22.940999999999999</v>
      </c>
      <c r="BT680" s="1425">
        <v>44246</v>
      </c>
      <c r="BU680" s="1">
        <v>15.903499999999999</v>
      </c>
      <c r="BV680" s="1">
        <v>4.0305</v>
      </c>
      <c r="BW680" s="1">
        <v>8.8364999999999991</v>
      </c>
      <c r="BX680" s="1">
        <v>1.9986999999999999</v>
      </c>
      <c r="BZ680" s="1425">
        <v>44246</v>
      </c>
      <c r="CA680" s="1">
        <v>93.140299999999996</v>
      </c>
      <c r="CB680" s="1">
        <v>1.8969</v>
      </c>
      <c r="CC680" s="1">
        <v>42.029800000000002</v>
      </c>
      <c r="CD680" s="1">
        <v>0.70401000000000002</v>
      </c>
      <c r="CF680" s="1425">
        <v>44245</v>
      </c>
      <c r="CG680" s="1">
        <v>9.452</v>
      </c>
      <c r="CH680" s="1">
        <v>1.5286999999999999</v>
      </c>
      <c r="CI680" s="1">
        <v>6.7670000000000003</v>
      </c>
      <c r="CL680" s="1425">
        <v>44260</v>
      </c>
      <c r="CM680" s="1">
        <v>28.751100000000001</v>
      </c>
      <c r="CN680" s="1">
        <v>2.5948000000000002</v>
      </c>
      <c r="CO680" s="1">
        <v>11.474600000000001</v>
      </c>
    </row>
    <row r="681" spans="1:93">
      <c r="A681" s="1425">
        <v>44245</v>
      </c>
      <c r="B681" s="20">
        <f t="shared" si="102"/>
        <v>14.908799999999999</v>
      </c>
      <c r="C681" s="20">
        <f t="shared" si="104"/>
        <v>10.9841</v>
      </c>
      <c r="D681" s="20">
        <f t="shared" si="105"/>
        <v>10.764900000000001</v>
      </c>
      <c r="E681" s="20">
        <f t="shared" si="106"/>
        <v>13.835000000000001</v>
      </c>
      <c r="F681" s="20">
        <f t="shared" si="107"/>
        <v>22.889299999999999</v>
      </c>
      <c r="G681" s="20">
        <f t="shared" si="108"/>
        <v>11.7811</v>
      </c>
      <c r="H681" s="1239">
        <f t="shared" si="109"/>
        <v>11.7811</v>
      </c>
      <c r="I681" s="1243">
        <f t="shared" si="103"/>
        <v>0.26548454728336046</v>
      </c>
      <c r="J681" s="1243">
        <f t="shared" si="110"/>
        <v>0.12093838824177333</v>
      </c>
      <c r="K681" s="1243">
        <f t="shared" si="111"/>
        <v>0.1</v>
      </c>
      <c r="L681" s="203"/>
      <c r="N681" s="1425">
        <v>44245</v>
      </c>
      <c r="O681" s="1502">
        <v>14.908799999999999</v>
      </c>
      <c r="P681" s="1502">
        <v>3.46</v>
      </c>
      <c r="Q681" s="1502">
        <v>13.203900000000001</v>
      </c>
      <c r="R681" s="1233">
        <f>'B. PE'!$U$23</f>
        <v>15.978235616082999</v>
      </c>
      <c r="S681" s="1233"/>
      <c r="T681" s="1233"/>
      <c r="V681" s="1425">
        <v>44245</v>
      </c>
      <c r="W681" s="1">
        <v>10.9841</v>
      </c>
      <c r="X681" s="1">
        <v>0.92889999999999995</v>
      </c>
      <c r="Y681" s="1">
        <v>8.6761999999999997</v>
      </c>
      <c r="Z681" s="1">
        <v>0.56420000000000003</v>
      </c>
      <c r="AB681" s="1425">
        <v>44218</v>
      </c>
      <c r="AC681" s="1">
        <v>12.801</v>
      </c>
      <c r="AD681" s="1502">
        <v>1.4461999999999999</v>
      </c>
      <c r="AE681" s="1">
        <v>4.7919999999999998</v>
      </c>
      <c r="AF681" s="1">
        <v>3.7069999999999999E-2</v>
      </c>
      <c r="AH681" s="1425">
        <v>44218</v>
      </c>
      <c r="AI681" s="1">
        <v>10.462199999999999</v>
      </c>
      <c r="AJ681" s="1">
        <v>1.6345000000000001</v>
      </c>
      <c r="AK681" s="1">
        <v>4.1726000000000001</v>
      </c>
      <c r="AL681" s="1">
        <v>2.2239999999999999E-2</v>
      </c>
      <c r="AN681" s="1425">
        <v>44218</v>
      </c>
      <c r="AO681" s="1">
        <v>11.019399999999999</v>
      </c>
      <c r="AP681" s="1">
        <v>1.2224999999999999</v>
      </c>
      <c r="AQ681" s="1">
        <v>6.8657000000000004</v>
      </c>
      <c r="AR681" s="1">
        <v>0.28434999999999999</v>
      </c>
      <c r="AT681" s="1425">
        <v>44218</v>
      </c>
      <c r="AU681" s="1">
        <v>7.0639000000000003</v>
      </c>
      <c r="AV681" s="1">
        <v>0.54410000000000003</v>
      </c>
      <c r="AW681" s="1">
        <v>4.9249999999999998</v>
      </c>
      <c r="AX681" s="1">
        <v>0.14218</v>
      </c>
      <c r="BA681" s="1425">
        <v>44210</v>
      </c>
      <c r="BB681" s="1">
        <v>10.843299999999999</v>
      </c>
      <c r="BC681" s="1">
        <v>2.3062999999999998</v>
      </c>
      <c r="BD681" s="1">
        <v>8.9049999999999994</v>
      </c>
      <c r="BE681" s="1">
        <v>0.58792</v>
      </c>
      <c r="BG681" s="1425">
        <v>44210</v>
      </c>
      <c r="BH681" s="1">
        <v>22.235299999999999</v>
      </c>
      <c r="BI681" s="1">
        <v>4.1504000000000003</v>
      </c>
      <c r="BJ681" s="1">
        <v>23.431000000000001</v>
      </c>
      <c r="BT681" s="1425">
        <v>44245</v>
      </c>
      <c r="BU681" s="1">
        <v>16.123100000000001</v>
      </c>
      <c r="BV681" s="1">
        <v>4.0861999999999998</v>
      </c>
      <c r="BW681" s="1">
        <v>8.9559999999999995</v>
      </c>
      <c r="BX681" s="1">
        <v>1.8788</v>
      </c>
      <c r="BZ681" s="1425">
        <v>44245</v>
      </c>
      <c r="CA681" s="1">
        <v>90.104900000000001</v>
      </c>
      <c r="CB681" s="1">
        <v>1.8351</v>
      </c>
      <c r="CC681" s="1">
        <v>41.076999999999998</v>
      </c>
      <c r="CD681" s="1">
        <v>0.66357999999999995</v>
      </c>
      <c r="CF681" s="1425">
        <v>44244</v>
      </c>
      <c r="CG681" s="1">
        <v>9.1788000000000007</v>
      </c>
      <c r="CH681" s="1">
        <v>1.4844999999999999</v>
      </c>
      <c r="CI681" s="1">
        <v>6.6212999999999997</v>
      </c>
      <c r="CL681" s="1425">
        <v>44259</v>
      </c>
      <c r="CM681" s="1">
        <v>28.875499999999999</v>
      </c>
      <c r="CN681" s="1">
        <v>2.6059999999999999</v>
      </c>
      <c r="CO681" s="1">
        <v>11.524800000000001</v>
      </c>
    </row>
    <row r="682" spans="1:93">
      <c r="A682" s="1425">
        <v>44244</v>
      </c>
      <c r="B682" s="20">
        <f t="shared" si="102"/>
        <v>14.5404</v>
      </c>
      <c r="C682" s="20">
        <f t="shared" si="104"/>
        <v>10.5358</v>
      </c>
      <c r="D682" s="20">
        <f t="shared" si="105"/>
        <v>10.6304</v>
      </c>
      <c r="E682" s="20">
        <f t="shared" si="106"/>
        <v>14.2233</v>
      </c>
      <c r="F682" s="20">
        <f t="shared" si="107"/>
        <v>23.281700000000001</v>
      </c>
      <c r="G682" s="20">
        <f t="shared" si="108"/>
        <v>12.015499999999999</v>
      </c>
      <c r="H682" s="1239">
        <f t="shared" si="109"/>
        <v>12.015499999999999</v>
      </c>
      <c r="I682" s="1243">
        <f t="shared" si="103"/>
        <v>0.21013690649577632</v>
      </c>
      <c r="J682" s="1243">
        <f t="shared" si="110"/>
        <v>0.12093838824177333</v>
      </c>
      <c r="K682" s="1243">
        <f t="shared" si="111"/>
        <v>0.1</v>
      </c>
      <c r="L682" s="203"/>
      <c r="N682" s="1425">
        <v>44244</v>
      </c>
      <c r="O682" s="1502">
        <v>14.5404</v>
      </c>
      <c r="P682" s="1502">
        <v>3.3744999999999998</v>
      </c>
      <c r="Q682" s="1502">
        <v>12.856299999999999</v>
      </c>
      <c r="R682" s="1233">
        <f>'B. PE'!$U$23</f>
        <v>15.978235616082999</v>
      </c>
      <c r="S682" s="1233"/>
      <c r="T682" s="1233"/>
      <c r="V682" s="1425">
        <v>44244</v>
      </c>
      <c r="W682" s="1">
        <v>10.5358</v>
      </c>
      <c r="X682" s="1">
        <v>0.89100000000000001</v>
      </c>
      <c r="Y682" s="1">
        <v>8.4498999999999995</v>
      </c>
      <c r="Z682" s="1">
        <v>0.54601999999999995</v>
      </c>
      <c r="AB682" s="1425">
        <v>44217</v>
      </c>
      <c r="AC682" s="1">
        <v>13.269299999999999</v>
      </c>
      <c r="AD682" s="1502">
        <v>1.4991000000000001</v>
      </c>
      <c r="AE682" s="1">
        <v>4.9554999999999998</v>
      </c>
      <c r="AF682" s="1">
        <v>3.4770000000000002E-2</v>
      </c>
      <c r="AH682" s="1425">
        <v>44217</v>
      </c>
      <c r="AI682" s="1">
        <v>10.5631</v>
      </c>
      <c r="AJ682" s="1">
        <v>1.6503000000000001</v>
      </c>
      <c r="AK682" s="1">
        <v>4.2226999999999997</v>
      </c>
      <c r="AL682" s="1">
        <v>2.214E-2</v>
      </c>
      <c r="AN682" s="1425">
        <v>44217</v>
      </c>
      <c r="AO682" s="1">
        <v>10.7767</v>
      </c>
      <c r="AP682" s="1">
        <v>1.1956</v>
      </c>
      <c r="AQ682" s="1">
        <v>6.6695000000000002</v>
      </c>
      <c r="AR682" s="1">
        <v>0.28148000000000001</v>
      </c>
      <c r="AT682" s="1425">
        <v>44217</v>
      </c>
      <c r="AU682" s="1">
        <v>7.1253000000000002</v>
      </c>
      <c r="AV682" s="1">
        <v>0.54890000000000005</v>
      </c>
      <c r="AW682" s="1">
        <v>4.9587000000000003</v>
      </c>
      <c r="AX682" s="1">
        <v>0.14074</v>
      </c>
      <c r="BA682" s="1425">
        <v>44209</v>
      </c>
      <c r="BB682" s="1">
        <v>10.315799999999999</v>
      </c>
      <c r="BC682" s="1">
        <v>2.1941000000000002</v>
      </c>
      <c r="BD682" s="1">
        <v>8.5533999999999999</v>
      </c>
      <c r="BE682" s="1">
        <v>0.58696999999999999</v>
      </c>
      <c r="BG682" s="1425">
        <v>44209</v>
      </c>
      <c r="BH682" s="1">
        <v>21.319800000000001</v>
      </c>
      <c r="BI682" s="1">
        <v>3.9794999999999998</v>
      </c>
      <c r="BJ682" s="1">
        <v>22.573599999999999</v>
      </c>
      <c r="BT682" s="1425">
        <v>44244</v>
      </c>
      <c r="BU682" s="1">
        <v>15.9498</v>
      </c>
      <c r="BV682" s="1">
        <v>4.0422000000000002</v>
      </c>
      <c r="BW682" s="1">
        <v>8.8615999999999993</v>
      </c>
      <c r="BX682" s="1">
        <v>1.8648</v>
      </c>
      <c r="BZ682" s="1425">
        <v>44244</v>
      </c>
      <c r="CA682" s="1">
        <v>89.306100000000001</v>
      </c>
      <c r="CB682" s="1">
        <v>1.8188</v>
      </c>
      <c r="CC682" s="1">
        <v>40.826300000000003</v>
      </c>
      <c r="CD682" s="1">
        <v>0.65366000000000002</v>
      </c>
      <c r="CF682" s="1425">
        <v>44236</v>
      </c>
      <c r="CG682" s="1">
        <v>8.8510000000000009</v>
      </c>
      <c r="CH682" s="1">
        <v>1.4315</v>
      </c>
      <c r="CI682" s="1">
        <v>6.4463999999999997</v>
      </c>
      <c r="CL682" s="1425">
        <v>44258</v>
      </c>
      <c r="CM682" s="1">
        <v>28.606000000000002</v>
      </c>
      <c r="CN682" s="1">
        <v>2.5817000000000001</v>
      </c>
      <c r="CO682" s="1">
        <v>11.416</v>
      </c>
    </row>
    <row r="683" spans="1:93">
      <c r="A683" s="1425">
        <v>44236</v>
      </c>
      <c r="B683" s="20">
        <f t="shared" si="102"/>
        <v>13.595599999999999</v>
      </c>
      <c r="C683" s="20">
        <f t="shared" si="104"/>
        <v>9.8633000000000006</v>
      </c>
      <c r="D683" s="20">
        <f t="shared" si="105"/>
        <v>10.6304</v>
      </c>
      <c r="E683" s="20">
        <f t="shared" si="106"/>
        <v>11.941700000000001</v>
      </c>
      <c r="F683" s="20">
        <f t="shared" si="107"/>
        <v>23.674099999999999</v>
      </c>
      <c r="G683" s="20">
        <f t="shared" si="108"/>
        <v>12.660299999999999</v>
      </c>
      <c r="H683" s="1239">
        <f t="shared" si="109"/>
        <v>11.941700000000001</v>
      </c>
      <c r="I683" s="1243">
        <f t="shared" si="103"/>
        <v>0.13849786881264792</v>
      </c>
      <c r="J683" s="1243">
        <f t="shared" si="110"/>
        <v>0.12093838824177333</v>
      </c>
      <c r="K683" s="1243">
        <f t="shared" si="111"/>
        <v>0.1</v>
      </c>
      <c r="L683" s="203"/>
      <c r="N683" s="1425">
        <v>44236</v>
      </c>
      <c r="O683" s="1502">
        <v>13.595599999999999</v>
      </c>
      <c r="P683" s="1502">
        <v>3.1553</v>
      </c>
      <c r="Q683" s="1502">
        <v>11.964499999999999</v>
      </c>
      <c r="R683" s="1233">
        <f>'B. PE'!$U$23</f>
        <v>15.978235616082999</v>
      </c>
      <c r="S683" s="1233"/>
      <c r="T683" s="1233"/>
      <c r="V683" s="1425">
        <v>44236</v>
      </c>
      <c r="W683" s="1">
        <v>9.8633000000000006</v>
      </c>
      <c r="X683" s="1">
        <v>0.83409999999999995</v>
      </c>
      <c r="Y683" s="1">
        <v>8.1103000000000005</v>
      </c>
      <c r="Z683" s="1">
        <v>0.57277999999999996</v>
      </c>
      <c r="AB683" s="1425">
        <v>44216</v>
      </c>
      <c r="AC683" s="1">
        <v>13.529500000000001</v>
      </c>
      <c r="AD683" s="1502">
        <v>1.5285</v>
      </c>
      <c r="AE683" s="1">
        <v>5.0464000000000002</v>
      </c>
      <c r="AF683" s="1">
        <v>3.5450000000000002E-2</v>
      </c>
      <c r="AH683" s="1425">
        <v>44216</v>
      </c>
      <c r="AI683" s="1">
        <v>10.495799999999999</v>
      </c>
      <c r="AJ683" s="1">
        <v>1.6397999999999999</v>
      </c>
      <c r="AK683" s="1">
        <v>4.1893000000000002</v>
      </c>
      <c r="AL683" s="1">
        <v>2.2689999999999998E-2</v>
      </c>
      <c r="AN683" s="1425">
        <v>44216</v>
      </c>
      <c r="AO683" s="1">
        <v>11.164999999999999</v>
      </c>
      <c r="AP683" s="1">
        <v>1.2386999999999999</v>
      </c>
      <c r="AQ683" s="1">
        <v>6.9833999999999996</v>
      </c>
      <c r="AR683" s="1">
        <v>0.30354999999999999</v>
      </c>
      <c r="AT683" s="1425">
        <v>44216</v>
      </c>
      <c r="AU683" s="1">
        <v>7.0639000000000003</v>
      </c>
      <c r="AV683" s="1">
        <v>0.54410000000000003</v>
      </c>
      <c r="AW683" s="1">
        <v>4.9249999999999998</v>
      </c>
      <c r="AX683" s="1">
        <v>0.14313999999999999</v>
      </c>
      <c r="BA683" s="1425">
        <v>44208</v>
      </c>
      <c r="BB683" s="1">
        <v>10.3744</v>
      </c>
      <c r="BC683" s="1">
        <v>2.2065999999999999</v>
      </c>
      <c r="BD683" s="1">
        <v>8.5924999999999994</v>
      </c>
      <c r="BE683" s="1">
        <v>0.59745000000000004</v>
      </c>
      <c r="BG683" s="1425">
        <v>44208</v>
      </c>
      <c r="BH683" s="1">
        <v>20.796600000000002</v>
      </c>
      <c r="BI683" s="1">
        <v>3.8818999999999999</v>
      </c>
      <c r="BJ683" s="1">
        <v>22.083600000000001</v>
      </c>
      <c r="BT683" s="1425">
        <v>44236</v>
      </c>
      <c r="BU683" s="1">
        <v>14.9673</v>
      </c>
      <c r="BV683" s="1">
        <v>3.7932000000000001</v>
      </c>
      <c r="BW683" s="1">
        <v>8.3270999999999997</v>
      </c>
      <c r="BX683" s="1">
        <v>1.8914</v>
      </c>
      <c r="BZ683" s="1425">
        <v>44236</v>
      </c>
      <c r="CA683" s="1">
        <v>84.034000000000006</v>
      </c>
      <c r="CB683" s="1">
        <v>1.7114</v>
      </c>
      <c r="CC683" s="1">
        <v>39.171500000000002</v>
      </c>
      <c r="CD683" s="1">
        <v>0.68056000000000005</v>
      </c>
      <c r="CF683" s="1425">
        <v>44235</v>
      </c>
      <c r="CG683" s="1">
        <v>8.6870999999999992</v>
      </c>
      <c r="CH683" s="1">
        <v>1.405</v>
      </c>
      <c r="CI683" s="1">
        <v>6.359</v>
      </c>
      <c r="CL683" s="1425">
        <v>44257</v>
      </c>
      <c r="CM683" s="1">
        <v>28.523099999999999</v>
      </c>
      <c r="CN683" s="1">
        <v>2.5741999999999998</v>
      </c>
      <c r="CO683" s="1">
        <v>11.3825</v>
      </c>
    </row>
    <row r="684" spans="1:93">
      <c r="A684" s="1425">
        <v>44235</v>
      </c>
      <c r="B684" s="20">
        <f t="shared" si="102"/>
        <v>12.7149</v>
      </c>
      <c r="C684" s="20">
        <f t="shared" si="104"/>
        <v>9.5429999999999993</v>
      </c>
      <c r="D684" s="20">
        <f t="shared" si="105"/>
        <v>10.7986</v>
      </c>
      <c r="E684" s="20">
        <f t="shared" si="106"/>
        <v>12.0388</v>
      </c>
      <c r="F684" s="20">
        <f t="shared" si="107"/>
        <v>23.935700000000001</v>
      </c>
      <c r="G684" s="20">
        <f t="shared" si="108"/>
        <v>12.3672</v>
      </c>
      <c r="H684" s="1239">
        <f t="shared" si="109"/>
        <v>12.0388</v>
      </c>
      <c r="I684" s="1243">
        <f t="shared" si="103"/>
        <v>5.6160082400239286E-2</v>
      </c>
      <c r="J684" s="1243">
        <f t="shared" si="110"/>
        <v>0.12093838824177333</v>
      </c>
      <c r="K684" s="1243">
        <f t="shared" si="111"/>
        <v>0.1</v>
      </c>
      <c r="L684" s="203"/>
      <c r="N684" s="1425">
        <v>44235</v>
      </c>
      <c r="O684" s="1502">
        <v>12.7149</v>
      </c>
      <c r="P684" s="1502">
        <v>2.9508999999999999</v>
      </c>
      <c r="Q684" s="1502">
        <v>11.1332</v>
      </c>
      <c r="R684" s="1233">
        <f>'B. PE'!$U$23</f>
        <v>15.978235616082999</v>
      </c>
      <c r="S684" s="1233"/>
      <c r="T684" s="1233"/>
      <c r="V684" s="1425">
        <v>44235</v>
      </c>
      <c r="W684" s="1">
        <v>9.5429999999999993</v>
      </c>
      <c r="X684" s="1">
        <v>0.80700000000000005</v>
      </c>
      <c r="Y684" s="1">
        <v>7.9485999999999999</v>
      </c>
      <c r="Z684" s="1">
        <v>0.56479999999999997</v>
      </c>
      <c r="AB684" s="1425">
        <v>44215</v>
      </c>
      <c r="AC684" s="1">
        <v>12.748900000000001</v>
      </c>
      <c r="AD684" s="1502">
        <v>1.4402999999999999</v>
      </c>
      <c r="AE684" s="1">
        <v>4.7737999999999996</v>
      </c>
      <c r="AF684" s="1">
        <v>3.6799999999999999E-2</v>
      </c>
      <c r="AH684" s="1425">
        <v>44215</v>
      </c>
      <c r="AI684" s="1">
        <v>10.495799999999999</v>
      </c>
      <c r="AJ684" s="1">
        <v>1.6397999999999999</v>
      </c>
      <c r="AK684" s="1">
        <v>4.1893000000000002</v>
      </c>
      <c r="AL684" s="1">
        <v>2.273E-2</v>
      </c>
      <c r="AN684" s="1425">
        <v>44215</v>
      </c>
      <c r="AO684" s="1">
        <v>11.068</v>
      </c>
      <c r="AP684" s="1">
        <v>1.2279</v>
      </c>
      <c r="AQ684" s="1">
        <v>6.9048999999999996</v>
      </c>
      <c r="AR684" s="1">
        <v>0.26756000000000002</v>
      </c>
      <c r="AT684" s="1425">
        <v>44215</v>
      </c>
      <c r="AU684" s="1">
        <v>7.0025000000000004</v>
      </c>
      <c r="AV684" s="1">
        <v>0.53939999999999999</v>
      </c>
      <c r="AW684" s="1">
        <v>4.8913000000000002</v>
      </c>
      <c r="AX684" s="1">
        <v>0.13378000000000001</v>
      </c>
      <c r="BA684" s="1425">
        <v>44207</v>
      </c>
      <c r="BB684" s="1">
        <v>10.3744</v>
      </c>
      <c r="BC684" s="1">
        <v>2.2065999999999999</v>
      </c>
      <c r="BD684" s="1">
        <v>8.5924999999999994</v>
      </c>
      <c r="BE684" s="1">
        <v>0.61494000000000004</v>
      </c>
      <c r="BG684" s="1425">
        <v>44207</v>
      </c>
      <c r="BH684" s="1">
        <v>21.058199999999999</v>
      </c>
      <c r="BI684" s="1">
        <v>3.9306999999999999</v>
      </c>
      <c r="BJ684" s="1">
        <v>22.328600000000002</v>
      </c>
      <c r="BT684" s="1425">
        <v>44235</v>
      </c>
      <c r="BU684" s="1">
        <v>14.851800000000001</v>
      </c>
      <c r="BV684" s="1">
        <v>3.7639999999999998</v>
      </c>
      <c r="BW684" s="1">
        <v>8.2642000000000007</v>
      </c>
      <c r="BX684" s="1">
        <v>1.8602000000000001</v>
      </c>
      <c r="BZ684" s="1425">
        <v>44235</v>
      </c>
      <c r="CA684" s="1">
        <v>82.755899999999997</v>
      </c>
      <c r="CB684" s="1">
        <v>1.6854</v>
      </c>
      <c r="CC684" s="1">
        <v>38.770400000000002</v>
      </c>
      <c r="CD684" s="1">
        <v>0.67473000000000005</v>
      </c>
      <c r="CF684" s="1425">
        <v>44232</v>
      </c>
      <c r="CG684" s="1">
        <v>8.8510000000000009</v>
      </c>
      <c r="CH684" s="1">
        <v>1.4315</v>
      </c>
      <c r="CI684" s="1">
        <v>6.4463999999999997</v>
      </c>
      <c r="CL684" s="1425">
        <v>44256</v>
      </c>
      <c r="CM684" s="1">
        <v>28.564599999999999</v>
      </c>
      <c r="CN684" s="1">
        <v>2.5779000000000001</v>
      </c>
      <c r="CO684" s="1">
        <v>11.3992</v>
      </c>
    </row>
    <row r="685" spans="1:93">
      <c r="A685" s="1425">
        <v>44232</v>
      </c>
      <c r="B685" s="20">
        <f t="shared" si="102"/>
        <v>13.275399999999999</v>
      </c>
      <c r="C685" s="20">
        <f t="shared" si="104"/>
        <v>10.023400000000001</v>
      </c>
      <c r="D685" s="20">
        <f t="shared" si="105"/>
        <v>10.4285</v>
      </c>
      <c r="E685" s="20">
        <f t="shared" si="106"/>
        <v>12.6214</v>
      </c>
      <c r="F685" s="20">
        <f t="shared" si="107"/>
        <v>23.935700000000001</v>
      </c>
      <c r="G685" s="20">
        <f t="shared" si="108"/>
        <v>12.601699999999999</v>
      </c>
      <c r="H685" s="1239">
        <f t="shared" si="109"/>
        <v>12.601699999999999</v>
      </c>
      <c r="I685" s="1243">
        <f t="shared" si="103"/>
        <v>5.3461040970662621E-2</v>
      </c>
      <c r="J685" s="1243">
        <f t="shared" si="110"/>
        <v>0.12093838824177333</v>
      </c>
      <c r="K685" s="1243">
        <f t="shared" si="111"/>
        <v>0.1</v>
      </c>
      <c r="L685" s="203"/>
      <c r="N685" s="1425">
        <v>44232</v>
      </c>
      <c r="O685" s="1502">
        <v>13.275399999999999</v>
      </c>
      <c r="P685" s="1502">
        <v>3.0809000000000002</v>
      </c>
      <c r="Q685" s="1502">
        <v>11.6622</v>
      </c>
      <c r="R685" s="1233">
        <f>'B. PE'!$U$23</f>
        <v>15.978235616082999</v>
      </c>
      <c r="S685" s="1233"/>
      <c r="T685" s="1233"/>
      <c r="V685" s="1425">
        <v>44232</v>
      </c>
      <c r="W685" s="1">
        <v>10.023400000000001</v>
      </c>
      <c r="X685" s="1">
        <v>0.84760000000000002</v>
      </c>
      <c r="Y685" s="1">
        <v>8.1912000000000003</v>
      </c>
      <c r="Z685" s="1">
        <v>0.56472</v>
      </c>
      <c r="AB685" s="1425">
        <v>44214</v>
      </c>
      <c r="AC685" s="1">
        <v>13.0091</v>
      </c>
      <c r="AD685" s="1502">
        <v>1.4697</v>
      </c>
      <c r="AE685" s="1">
        <v>4.8647</v>
      </c>
      <c r="AF685" s="1">
        <v>3.7519999999999998E-2</v>
      </c>
      <c r="AH685" s="1425">
        <v>44214</v>
      </c>
      <c r="AI685" s="1">
        <v>10.764900000000001</v>
      </c>
      <c r="AJ685" s="1">
        <v>1.6818</v>
      </c>
      <c r="AK685" s="1">
        <v>4.3230000000000004</v>
      </c>
      <c r="AL685" s="1">
        <v>2.3109999999999999E-2</v>
      </c>
      <c r="AN685" s="1425">
        <v>44214</v>
      </c>
      <c r="AO685" s="1">
        <v>11.941700000000001</v>
      </c>
      <c r="AP685" s="1">
        <v>1.3249</v>
      </c>
      <c r="AQ685" s="1">
        <v>7.6112000000000002</v>
      </c>
      <c r="AR685" s="1">
        <v>0.25770999999999999</v>
      </c>
      <c r="AT685" s="1425">
        <v>44214</v>
      </c>
      <c r="AU685" s="1">
        <v>7.1253000000000002</v>
      </c>
      <c r="AV685" s="1">
        <v>0.54890000000000005</v>
      </c>
      <c r="AW685" s="1">
        <v>4.9587000000000003</v>
      </c>
      <c r="AX685" s="1">
        <v>0.13381000000000001</v>
      </c>
      <c r="BA685" s="1425">
        <v>44204</v>
      </c>
      <c r="BB685" s="1">
        <v>10.5502</v>
      </c>
      <c r="BC685" s="1">
        <v>2.2440000000000002</v>
      </c>
      <c r="BD685" s="1">
        <v>8.7096</v>
      </c>
      <c r="BE685" s="1">
        <v>0.59148000000000001</v>
      </c>
      <c r="BG685" s="1425">
        <v>44204</v>
      </c>
      <c r="BH685" s="1">
        <v>21.058199999999999</v>
      </c>
      <c r="BI685" s="1">
        <v>3.9306999999999999</v>
      </c>
      <c r="BJ685" s="1">
        <v>22.328600000000002</v>
      </c>
      <c r="BT685" s="1425">
        <v>44232</v>
      </c>
      <c r="BU685" s="1">
        <v>15.0829</v>
      </c>
      <c r="BV685" s="1">
        <v>3.8224999999999998</v>
      </c>
      <c r="BW685" s="1">
        <v>8.39</v>
      </c>
      <c r="BX685" s="1">
        <v>1.8454999999999999</v>
      </c>
      <c r="BZ685" s="1425">
        <v>44232</v>
      </c>
      <c r="CA685" s="1">
        <v>86.270600000000002</v>
      </c>
      <c r="CB685" s="1">
        <v>1.7569999999999999</v>
      </c>
      <c r="CC685" s="1">
        <v>39.873600000000003</v>
      </c>
      <c r="CD685" s="1">
        <v>0.65071999999999997</v>
      </c>
      <c r="CF685" s="1425">
        <v>44231</v>
      </c>
      <c r="CG685" s="1">
        <v>8.5231999999999992</v>
      </c>
      <c r="CH685" s="1">
        <v>1.3785000000000001</v>
      </c>
      <c r="CI685" s="1">
        <v>6.2716000000000003</v>
      </c>
      <c r="CL685" s="1425">
        <v>44253</v>
      </c>
      <c r="CM685" s="1">
        <v>28.1707</v>
      </c>
      <c r="CN685" s="1">
        <v>2.5424000000000002</v>
      </c>
      <c r="CO685" s="1">
        <v>11.2401</v>
      </c>
    </row>
    <row r="686" spans="1:93">
      <c r="A686" s="1425">
        <v>44231</v>
      </c>
      <c r="B686" s="20">
        <f t="shared" si="102"/>
        <v>12.410600000000001</v>
      </c>
      <c r="C686" s="20">
        <f t="shared" si="104"/>
        <v>9.8953000000000007</v>
      </c>
      <c r="D686" s="20">
        <f t="shared" si="105"/>
        <v>10.193099999999999</v>
      </c>
      <c r="E686" s="20">
        <f t="shared" si="106"/>
        <v>11.5534</v>
      </c>
      <c r="F686" s="20">
        <f t="shared" si="107"/>
        <v>24.197299999999998</v>
      </c>
      <c r="G686" s="20">
        <f t="shared" si="108"/>
        <v>11.6053</v>
      </c>
      <c r="H686" s="1239">
        <f t="shared" si="109"/>
        <v>11.5534</v>
      </c>
      <c r="I686" s="1243">
        <f t="shared" si="103"/>
        <v>7.4194609379057308E-2</v>
      </c>
      <c r="J686" s="1243">
        <f t="shared" si="110"/>
        <v>0.12093838824177333</v>
      </c>
      <c r="K686" s="1243">
        <f t="shared" si="111"/>
        <v>0.1</v>
      </c>
      <c r="L686" s="203"/>
      <c r="N686" s="1425">
        <v>44231</v>
      </c>
      <c r="O686" s="1502">
        <v>12.410600000000001</v>
      </c>
      <c r="P686" s="1502">
        <v>2.8801999999999999</v>
      </c>
      <c r="Q686" s="1502">
        <v>10.846</v>
      </c>
      <c r="R686" s="1233">
        <f>'B. PE'!$U$23</f>
        <v>15.978235616082999</v>
      </c>
      <c r="S686" s="1233"/>
      <c r="T686" s="1233"/>
      <c r="V686" s="1425">
        <v>44231</v>
      </c>
      <c r="W686" s="1">
        <v>9.8953000000000007</v>
      </c>
      <c r="X686" s="1">
        <v>0.83679999999999999</v>
      </c>
      <c r="Y686" s="1">
        <v>8.1265000000000001</v>
      </c>
      <c r="Z686" s="1">
        <v>0.52822000000000002</v>
      </c>
      <c r="AB686" s="1425">
        <v>44211</v>
      </c>
      <c r="AC686" s="1">
        <v>13.477399999999999</v>
      </c>
      <c r="AD686" s="1502">
        <v>1.5226</v>
      </c>
      <c r="AE686" s="1">
        <v>5.0282</v>
      </c>
      <c r="AF686" s="1">
        <v>3.687E-2</v>
      </c>
      <c r="AH686" s="1425">
        <v>44211</v>
      </c>
      <c r="AI686" s="1">
        <v>10.764900000000001</v>
      </c>
      <c r="AJ686" s="1">
        <v>1.6818</v>
      </c>
      <c r="AK686" s="1">
        <v>4.3230000000000004</v>
      </c>
      <c r="AL686" s="1">
        <v>2.3040000000000001E-2</v>
      </c>
      <c r="AN686" s="1425">
        <v>44211</v>
      </c>
      <c r="AO686" s="1">
        <v>10.4854</v>
      </c>
      <c r="AP686" s="1">
        <v>1.1633</v>
      </c>
      <c r="AQ686" s="1">
        <v>6.4340000000000002</v>
      </c>
      <c r="AR686" s="1">
        <v>0.25219000000000003</v>
      </c>
      <c r="AT686" s="1425">
        <v>44211</v>
      </c>
      <c r="AU686" s="1">
        <v>6.6338999999999997</v>
      </c>
      <c r="AV686" s="1">
        <v>0.51100000000000001</v>
      </c>
      <c r="AW686" s="1">
        <v>4.6891999999999996</v>
      </c>
      <c r="AX686" s="1">
        <v>0.13350999999999999</v>
      </c>
      <c r="BA686" s="1425">
        <v>44203</v>
      </c>
      <c r="BB686" s="1">
        <v>10.843299999999999</v>
      </c>
      <c r="BC686" s="1">
        <v>2.3062999999999998</v>
      </c>
      <c r="BD686" s="1">
        <v>8.9049999999999994</v>
      </c>
      <c r="BE686" s="1">
        <v>0.59841999999999995</v>
      </c>
      <c r="BG686" s="1425">
        <v>44203</v>
      </c>
      <c r="BH686" s="1">
        <v>20.273399999999999</v>
      </c>
      <c r="BI686" s="1">
        <v>3.7841999999999998</v>
      </c>
      <c r="BJ686" s="1">
        <v>21.593699999999998</v>
      </c>
      <c r="BT686" s="1425">
        <v>44231</v>
      </c>
      <c r="BU686" s="1">
        <v>14.851800000000001</v>
      </c>
      <c r="BV686" s="1">
        <v>3.7639999999999998</v>
      </c>
      <c r="BW686" s="1">
        <v>8.2642000000000007</v>
      </c>
      <c r="BX686" s="1">
        <v>1.8529</v>
      </c>
      <c r="BZ686" s="1425">
        <v>44231</v>
      </c>
      <c r="CA686" s="1">
        <v>85.631600000000006</v>
      </c>
      <c r="CB686" s="1">
        <v>1.744</v>
      </c>
      <c r="CC686" s="1">
        <v>39.673000000000002</v>
      </c>
      <c r="CD686" s="1">
        <v>0.60924</v>
      </c>
      <c r="CF686" s="1425">
        <v>44230</v>
      </c>
      <c r="CG686" s="1">
        <v>8.9056999999999995</v>
      </c>
      <c r="CH686" s="1">
        <v>1.4403999999999999</v>
      </c>
      <c r="CI686" s="1">
        <v>6.4756</v>
      </c>
      <c r="CL686" s="1425">
        <v>44252</v>
      </c>
      <c r="CM686" s="1">
        <v>28.419499999999999</v>
      </c>
      <c r="CN686" s="1">
        <v>2.5648</v>
      </c>
      <c r="CO686" s="1">
        <v>11.3406</v>
      </c>
    </row>
    <row r="687" spans="1:93">
      <c r="A687" s="1425">
        <v>44230</v>
      </c>
      <c r="B687" s="20">
        <f t="shared" si="102"/>
        <v>12.042299999999999</v>
      </c>
      <c r="C687" s="20">
        <f t="shared" si="104"/>
        <v>9.8953000000000007</v>
      </c>
      <c r="D687" s="20">
        <f t="shared" si="105"/>
        <v>10.193099999999999</v>
      </c>
      <c r="E687" s="20">
        <f t="shared" si="106"/>
        <v>11.601900000000001</v>
      </c>
      <c r="F687" s="20">
        <f t="shared" si="107"/>
        <v>23.543299999999999</v>
      </c>
      <c r="G687" s="20">
        <f t="shared" si="108"/>
        <v>11.429399999999999</v>
      </c>
      <c r="H687" s="1239">
        <f t="shared" si="109"/>
        <v>11.429399999999999</v>
      </c>
      <c r="I687" s="1243">
        <f t="shared" si="103"/>
        <v>5.362486219749063E-2</v>
      </c>
      <c r="J687" s="1243">
        <f t="shared" si="110"/>
        <v>0.12093838824177333</v>
      </c>
      <c r="K687" s="1243">
        <f t="shared" si="111"/>
        <v>0.1</v>
      </c>
      <c r="L687" s="203"/>
      <c r="N687" s="1425">
        <v>44230</v>
      </c>
      <c r="O687" s="1502">
        <v>12.042299999999999</v>
      </c>
      <c r="P687" s="1502">
        <v>2.7948</v>
      </c>
      <c r="Q687" s="1502">
        <v>10.4984</v>
      </c>
      <c r="R687" s="1233">
        <f>'B. PE'!$U$23</f>
        <v>15.978235616082999</v>
      </c>
      <c r="S687" s="1233"/>
      <c r="T687" s="1233"/>
      <c r="V687" s="1425">
        <v>44230</v>
      </c>
      <c r="W687" s="1">
        <v>9.8953000000000007</v>
      </c>
      <c r="X687" s="1">
        <v>0.83679999999999999</v>
      </c>
      <c r="Y687" s="1">
        <v>8.1265000000000001</v>
      </c>
      <c r="Z687" s="1">
        <v>0.50780999999999998</v>
      </c>
      <c r="AB687" s="1425">
        <v>44210</v>
      </c>
      <c r="AC687" s="1">
        <v>13.685600000000001</v>
      </c>
      <c r="AD687" s="1502">
        <v>1.5461</v>
      </c>
      <c r="AE687" s="1">
        <v>5.1009000000000002</v>
      </c>
      <c r="AF687" s="1">
        <v>3.6569999999999998E-2</v>
      </c>
      <c r="AH687" s="1425">
        <v>44210</v>
      </c>
      <c r="AI687" s="1">
        <v>10.8995</v>
      </c>
      <c r="AJ687" s="1">
        <v>1.7028000000000001</v>
      </c>
      <c r="AK687" s="1">
        <v>4.3898000000000001</v>
      </c>
      <c r="AL687" s="1">
        <v>2.2870000000000001E-2</v>
      </c>
      <c r="AN687" s="1425">
        <v>44210</v>
      </c>
      <c r="AO687" s="1">
        <v>10.097099999999999</v>
      </c>
      <c r="AP687" s="1">
        <v>1.1202000000000001</v>
      </c>
      <c r="AQ687" s="1">
        <v>6.1200999999999999</v>
      </c>
      <c r="AR687" s="1">
        <v>0.24443999999999999</v>
      </c>
      <c r="AT687" s="1425">
        <v>44210</v>
      </c>
      <c r="AU687" s="1">
        <v>6.6338999999999997</v>
      </c>
      <c r="AV687" s="1">
        <v>0.51100000000000001</v>
      </c>
      <c r="AW687" s="1">
        <v>4.6891999999999996</v>
      </c>
      <c r="AX687" s="1">
        <v>0.13086</v>
      </c>
      <c r="BA687" s="1425">
        <v>44202</v>
      </c>
      <c r="BB687" s="1">
        <v>10.3744</v>
      </c>
      <c r="BC687" s="1">
        <v>2.2065999999999999</v>
      </c>
      <c r="BD687" s="1">
        <v>8.5924999999999994</v>
      </c>
      <c r="BE687" s="1">
        <v>0.59486000000000006</v>
      </c>
      <c r="BG687" s="1425">
        <v>44202</v>
      </c>
      <c r="BH687" s="1">
        <v>19.357800000000001</v>
      </c>
      <c r="BI687" s="1">
        <v>3.6133000000000002</v>
      </c>
      <c r="BJ687" s="1">
        <v>20.7362</v>
      </c>
      <c r="BT687" s="1425">
        <v>44230</v>
      </c>
      <c r="BU687" s="1">
        <v>14.7362</v>
      </c>
      <c r="BV687" s="1">
        <v>3.7347000000000001</v>
      </c>
      <c r="BW687" s="1">
        <v>8.2012999999999998</v>
      </c>
      <c r="BX687" s="1">
        <v>1.7896000000000001</v>
      </c>
      <c r="BZ687" s="1425">
        <v>44230</v>
      </c>
      <c r="CA687" s="1">
        <v>82.596100000000007</v>
      </c>
      <c r="CB687" s="1">
        <v>1.6821999999999999</v>
      </c>
      <c r="CC687" s="1">
        <v>38.720199999999998</v>
      </c>
      <c r="CD687" s="1">
        <v>0.6139</v>
      </c>
      <c r="CF687" s="1425">
        <v>44229</v>
      </c>
      <c r="CG687" s="1">
        <v>8.5777999999999999</v>
      </c>
      <c r="CH687" s="1">
        <v>1.3873</v>
      </c>
      <c r="CI687" s="1">
        <v>6.3007</v>
      </c>
      <c r="CL687" s="1425">
        <v>44251</v>
      </c>
      <c r="CM687" s="1">
        <v>28.419499999999999</v>
      </c>
      <c r="CN687" s="1">
        <v>2.5648</v>
      </c>
      <c r="CO687" s="1">
        <v>11.3406</v>
      </c>
    </row>
    <row r="688" spans="1:93">
      <c r="A688" s="1425">
        <v>44229</v>
      </c>
      <c r="B688" s="20">
        <f t="shared" si="102"/>
        <v>11.930199999999999</v>
      </c>
      <c r="C688" s="20">
        <f t="shared" si="104"/>
        <v>9.2547999999999995</v>
      </c>
      <c r="D688" s="20">
        <f t="shared" si="105"/>
        <v>9.9575999999999993</v>
      </c>
      <c r="E688" s="20">
        <f t="shared" si="106"/>
        <v>11.2621</v>
      </c>
      <c r="F688" s="20">
        <f t="shared" si="107"/>
        <v>23.281700000000001</v>
      </c>
      <c r="G688" s="20">
        <f t="shared" si="108"/>
        <v>11.839700000000001</v>
      </c>
      <c r="H688" s="1239">
        <f t="shared" si="109"/>
        <v>11.2621</v>
      </c>
      <c r="I688" s="1243">
        <f t="shared" si="103"/>
        <v>5.93228616332655E-2</v>
      </c>
      <c r="J688" s="1243">
        <f t="shared" si="110"/>
        <v>0.12093838824177333</v>
      </c>
      <c r="K688" s="1243">
        <f t="shared" si="111"/>
        <v>0.1</v>
      </c>
      <c r="L688" s="203"/>
      <c r="N688" s="1425">
        <v>44229</v>
      </c>
      <c r="O688" s="1502">
        <v>11.930199999999999</v>
      </c>
      <c r="P688" s="1502">
        <v>2.7688000000000001</v>
      </c>
      <c r="Q688" s="1502">
        <v>10.3926</v>
      </c>
      <c r="R688" s="1233">
        <f>'B. PE'!$U$23</f>
        <v>15.978235616082999</v>
      </c>
      <c r="S688" s="1233"/>
      <c r="T688" s="1233"/>
      <c r="V688" s="1425">
        <v>44229</v>
      </c>
      <c r="W688" s="1">
        <v>9.2547999999999995</v>
      </c>
      <c r="X688" s="1">
        <v>0.78259999999999996</v>
      </c>
      <c r="Y688" s="1">
        <v>7.8030999999999997</v>
      </c>
      <c r="Z688" s="1">
        <v>0.54049999999999998</v>
      </c>
      <c r="AB688" s="1425">
        <v>44209</v>
      </c>
      <c r="AC688" s="1">
        <v>13.529500000000001</v>
      </c>
      <c r="AD688" s="1502">
        <v>1.5285</v>
      </c>
      <c r="AE688" s="1">
        <v>5.0464000000000002</v>
      </c>
      <c r="AF688" s="1">
        <v>3.2629999999999999E-2</v>
      </c>
      <c r="AH688" s="1425">
        <v>44209</v>
      </c>
      <c r="AI688" s="1">
        <v>10.933199999999999</v>
      </c>
      <c r="AJ688" s="1">
        <v>1.7081</v>
      </c>
      <c r="AK688" s="1">
        <v>4.4065000000000003</v>
      </c>
      <c r="AL688" s="1">
        <v>2.2859999999999998E-2</v>
      </c>
      <c r="AN688" s="1425">
        <v>44209</v>
      </c>
      <c r="AO688" s="1">
        <v>9.9029000000000007</v>
      </c>
      <c r="AP688" s="1">
        <v>1.0987</v>
      </c>
      <c r="AQ688" s="1">
        <v>5.9630999999999998</v>
      </c>
      <c r="AR688" s="1">
        <v>0.23935999999999999</v>
      </c>
      <c r="AT688" s="1425">
        <v>44209</v>
      </c>
      <c r="AU688" s="1">
        <v>6.6338999999999997</v>
      </c>
      <c r="AV688" s="1">
        <v>0.51100000000000001</v>
      </c>
      <c r="AW688" s="1">
        <v>4.6891999999999996</v>
      </c>
      <c r="BA688" s="1425">
        <v>44201</v>
      </c>
      <c r="BB688" s="1">
        <v>10.4916</v>
      </c>
      <c r="BC688" s="1">
        <v>2.2315</v>
      </c>
      <c r="BD688" s="1">
        <v>8.6706000000000003</v>
      </c>
      <c r="BE688" s="1">
        <v>0.58403000000000005</v>
      </c>
      <c r="BG688" s="1425">
        <v>44201</v>
      </c>
      <c r="BH688" s="1">
        <v>19.357800000000001</v>
      </c>
      <c r="BI688" s="1">
        <v>3.6133000000000002</v>
      </c>
      <c r="BJ688" s="1">
        <v>20.7362</v>
      </c>
      <c r="BT688" s="1425">
        <v>44229</v>
      </c>
      <c r="BU688" s="1">
        <v>14.794</v>
      </c>
      <c r="BV688" s="1">
        <v>3.7492999999999999</v>
      </c>
      <c r="BW688" s="1">
        <v>8.2326999999999995</v>
      </c>
      <c r="BX688" s="1">
        <v>1.9191</v>
      </c>
      <c r="BZ688" s="1425">
        <v>44229</v>
      </c>
      <c r="CA688" s="1">
        <v>77.323999999999998</v>
      </c>
      <c r="CB688" s="1">
        <v>1.5748</v>
      </c>
      <c r="CC688" s="1">
        <v>37.0655</v>
      </c>
      <c r="CD688" s="1">
        <v>0.65895999999999999</v>
      </c>
      <c r="CF688" s="1425">
        <v>44228</v>
      </c>
      <c r="CG688" s="1">
        <v>8.6325000000000003</v>
      </c>
      <c r="CH688" s="1">
        <v>1.3962000000000001</v>
      </c>
      <c r="CI688" s="1">
        <v>6.3299000000000003</v>
      </c>
      <c r="CL688" s="1425">
        <v>44250</v>
      </c>
      <c r="CM688" s="1">
        <v>28.647500000000001</v>
      </c>
      <c r="CN688" s="1">
        <v>2.5853999999999999</v>
      </c>
      <c r="CO688" s="1">
        <v>11.432700000000001</v>
      </c>
    </row>
    <row r="689" spans="1:93">
      <c r="A689" s="1425">
        <v>44228</v>
      </c>
      <c r="B689" s="20">
        <f t="shared" si="102"/>
        <v>11.3057</v>
      </c>
      <c r="C689" s="20">
        <f t="shared" si="104"/>
        <v>8.9025999999999996</v>
      </c>
      <c r="D689" s="20">
        <f t="shared" si="105"/>
        <v>10.1594</v>
      </c>
      <c r="E689" s="20">
        <f t="shared" si="106"/>
        <v>11.2621</v>
      </c>
      <c r="F689" s="20">
        <f t="shared" si="107"/>
        <v>23.674099999999999</v>
      </c>
      <c r="G689" s="20">
        <f t="shared" si="108"/>
        <v>11.898300000000001</v>
      </c>
      <c r="H689" s="1239">
        <f t="shared" si="109"/>
        <v>11.2621</v>
      </c>
      <c r="I689" s="1243">
        <f t="shared" si="103"/>
        <v>3.8713916587491681E-3</v>
      </c>
      <c r="J689" s="1243">
        <f t="shared" si="110"/>
        <v>0.12093838824177333</v>
      </c>
      <c r="K689" s="1243">
        <f t="shared" si="111"/>
        <v>0.1</v>
      </c>
      <c r="L689" s="203"/>
      <c r="N689" s="1425">
        <v>44228</v>
      </c>
      <c r="O689" s="1502">
        <v>11.3057</v>
      </c>
      <c r="P689" s="1502">
        <v>2.6238000000000001</v>
      </c>
      <c r="Q689" s="1502">
        <v>9.8031000000000006</v>
      </c>
      <c r="R689" s="1233">
        <f>'B. PE'!$U$23</f>
        <v>15.978235616082999</v>
      </c>
      <c r="S689" s="1233"/>
      <c r="T689" s="1233"/>
      <c r="V689" s="1425">
        <v>44228</v>
      </c>
      <c r="W689" s="1">
        <v>8.9025999999999996</v>
      </c>
      <c r="X689" s="1">
        <v>0.75280000000000002</v>
      </c>
      <c r="Y689" s="1">
        <v>7.6253000000000002</v>
      </c>
      <c r="Z689" s="1">
        <v>0.52032</v>
      </c>
      <c r="AB689" s="1425">
        <v>44208</v>
      </c>
      <c r="AC689" s="1">
        <v>13.477399999999999</v>
      </c>
      <c r="AD689" s="1502">
        <v>1.5226</v>
      </c>
      <c r="AE689" s="1">
        <v>5.0282</v>
      </c>
      <c r="AF689" s="1">
        <v>3.3579999999999999E-2</v>
      </c>
      <c r="AH689" s="1425">
        <v>44208</v>
      </c>
      <c r="AI689" s="1">
        <v>10.8995</v>
      </c>
      <c r="AJ689" s="1">
        <v>1.7028000000000001</v>
      </c>
      <c r="AK689" s="1">
        <v>4.3898000000000001</v>
      </c>
      <c r="AL689" s="1">
        <v>2.3099999999999999E-2</v>
      </c>
      <c r="AN689" s="1425">
        <v>44208</v>
      </c>
      <c r="AO689" s="1">
        <v>9.6117000000000008</v>
      </c>
      <c r="AP689" s="1">
        <v>1.0664</v>
      </c>
      <c r="AQ689" s="1">
        <v>5.7276999999999996</v>
      </c>
      <c r="AR689" s="1">
        <v>0.24440000000000001</v>
      </c>
      <c r="AT689" s="1425">
        <v>44208</v>
      </c>
      <c r="AU689" s="1">
        <v>6.5110999999999999</v>
      </c>
      <c r="AV689" s="1">
        <v>0.50160000000000005</v>
      </c>
      <c r="AW689" s="1">
        <v>4.6219000000000001</v>
      </c>
      <c r="AX689" s="1">
        <v>0.13274</v>
      </c>
      <c r="BA689" s="1425">
        <v>44200</v>
      </c>
      <c r="BB689" s="1">
        <v>10.433</v>
      </c>
      <c r="BC689" s="1">
        <v>2.2191000000000001</v>
      </c>
      <c r="BD689" s="1">
        <v>8.6315000000000008</v>
      </c>
      <c r="BE689" s="1">
        <v>0.59218999999999999</v>
      </c>
      <c r="BG689" s="1425">
        <v>44200</v>
      </c>
      <c r="BH689" s="1">
        <v>19.619399999999999</v>
      </c>
      <c r="BI689" s="1">
        <v>3.6621999999999999</v>
      </c>
      <c r="BJ689" s="1">
        <v>20.981200000000001</v>
      </c>
      <c r="BT689" s="1425">
        <v>44228</v>
      </c>
      <c r="BU689" s="1">
        <v>14.297000000000001</v>
      </c>
      <c r="BV689" s="1">
        <v>3.6234000000000002</v>
      </c>
      <c r="BW689" s="1">
        <v>7.9724000000000004</v>
      </c>
      <c r="BX689" s="1">
        <v>1.7959000000000001</v>
      </c>
      <c r="BZ689" s="1425">
        <v>44228</v>
      </c>
      <c r="CA689" s="1">
        <v>77.963099999999997</v>
      </c>
      <c r="CB689" s="1">
        <v>1.5878000000000001</v>
      </c>
      <c r="CC689" s="1">
        <v>37.265999999999998</v>
      </c>
      <c r="CD689" s="1">
        <v>0.66513</v>
      </c>
      <c r="CF689" s="1425">
        <v>44225</v>
      </c>
      <c r="CG689" s="1">
        <v>8.7417999999999996</v>
      </c>
      <c r="CH689" s="1">
        <v>1.4138999999999999</v>
      </c>
      <c r="CI689" s="1">
        <v>6.3882000000000003</v>
      </c>
      <c r="CL689" s="1425">
        <v>44249</v>
      </c>
      <c r="CM689" s="1">
        <v>29.1035</v>
      </c>
      <c r="CN689" s="1">
        <v>2.6265999999999998</v>
      </c>
      <c r="CO689" s="1">
        <v>11.616899999999999</v>
      </c>
    </row>
    <row r="690" spans="1:93">
      <c r="A690" s="1425">
        <v>44225</v>
      </c>
      <c r="B690" s="20">
        <f t="shared" si="102"/>
        <v>11.0815</v>
      </c>
      <c r="C690" s="20">
        <f t="shared" si="104"/>
        <v>9.4789999999999992</v>
      </c>
      <c r="D690" s="20">
        <f t="shared" si="105"/>
        <v>9.8230000000000004</v>
      </c>
      <c r="E690" s="20">
        <f t="shared" si="106"/>
        <v>11.164999999999999</v>
      </c>
      <c r="F690" s="20">
        <f t="shared" si="107"/>
        <v>23.281700000000001</v>
      </c>
      <c r="G690" s="20">
        <f t="shared" si="108"/>
        <v>11.6053</v>
      </c>
      <c r="H690" s="1239">
        <f t="shared" si="109"/>
        <v>11.164999999999999</v>
      </c>
      <c r="I690" s="1243">
        <f t="shared" si="103"/>
        <v>-7.4787281683832418E-3</v>
      </c>
      <c r="J690" s="1243">
        <f t="shared" si="110"/>
        <v>0.12093838824177333</v>
      </c>
      <c r="K690" s="1243">
        <f t="shared" si="111"/>
        <v>0.1</v>
      </c>
      <c r="L690" s="203"/>
      <c r="N690" s="1425">
        <v>44225</v>
      </c>
      <c r="O690" s="1502">
        <v>11.0815</v>
      </c>
      <c r="P690" s="1502">
        <v>2.5718000000000001</v>
      </c>
      <c r="Q690" s="1502">
        <v>9.5914999999999999</v>
      </c>
      <c r="R690" s="1233">
        <f>'B. PE'!$U$23</f>
        <v>15.978235616082999</v>
      </c>
      <c r="S690" s="1233"/>
      <c r="T690" s="1233"/>
      <c r="V690" s="1425">
        <v>44225</v>
      </c>
      <c r="W690" s="1">
        <v>9.4789999999999992</v>
      </c>
      <c r="X690" s="1">
        <v>0.80159999999999998</v>
      </c>
      <c r="Y690" s="1">
        <v>7.9162999999999997</v>
      </c>
      <c r="Z690" s="1">
        <v>0.55827000000000004</v>
      </c>
      <c r="AB690" s="1425">
        <v>44207</v>
      </c>
      <c r="AC690" s="1">
        <v>12.0724</v>
      </c>
      <c r="AD690" s="1502">
        <v>1.3638999999999999</v>
      </c>
      <c r="AE690" s="1">
        <v>4.5374999999999996</v>
      </c>
      <c r="AF690" s="1">
        <v>3.2890000000000003E-2</v>
      </c>
      <c r="AH690" s="1425">
        <v>44207</v>
      </c>
      <c r="AI690" s="1">
        <v>10.933199999999999</v>
      </c>
      <c r="AJ690" s="1">
        <v>1.7081</v>
      </c>
      <c r="AK690" s="1">
        <v>4.4065000000000003</v>
      </c>
      <c r="AL690" s="1">
        <v>2.2610000000000002E-2</v>
      </c>
      <c r="AN690" s="1425">
        <v>44207</v>
      </c>
      <c r="AO690" s="1">
        <v>9.4175000000000004</v>
      </c>
      <c r="AP690" s="1">
        <v>1.0448</v>
      </c>
      <c r="AQ690" s="1">
        <v>5.5707000000000004</v>
      </c>
      <c r="AR690" s="1">
        <v>0.25280000000000002</v>
      </c>
      <c r="AT690" s="1425">
        <v>44207</v>
      </c>
      <c r="AW690" s="1">
        <v>4.6555</v>
      </c>
      <c r="AX690" s="1">
        <v>0.13012000000000001</v>
      </c>
      <c r="BA690" s="1425">
        <v>44195</v>
      </c>
      <c r="BB690" s="1">
        <v>10.257199999999999</v>
      </c>
      <c r="BC690" s="1">
        <v>2.1817000000000002</v>
      </c>
      <c r="BD690" s="1">
        <v>8.5143000000000004</v>
      </c>
      <c r="BE690" s="1">
        <v>0.58330000000000004</v>
      </c>
      <c r="BG690" s="1425">
        <v>44195</v>
      </c>
      <c r="BH690" s="1">
        <v>19.619399999999999</v>
      </c>
      <c r="BI690" s="1">
        <v>3.6621999999999999</v>
      </c>
      <c r="BJ690" s="1">
        <v>20.981200000000001</v>
      </c>
      <c r="BT690" s="1425">
        <v>44225</v>
      </c>
      <c r="BU690" s="1">
        <v>15.337199999999999</v>
      </c>
      <c r="BV690" s="1">
        <v>3.887</v>
      </c>
      <c r="BW690" s="1">
        <v>8.5390999999999995</v>
      </c>
      <c r="BX690" s="1">
        <v>1.929</v>
      </c>
      <c r="BZ690" s="1425">
        <v>44225</v>
      </c>
      <c r="CA690" s="1">
        <v>83.714500000000001</v>
      </c>
      <c r="CB690" s="1">
        <v>1.7049000000000001</v>
      </c>
      <c r="CC690" s="1">
        <v>39.071300000000001</v>
      </c>
      <c r="CD690" s="1">
        <v>0.71367000000000003</v>
      </c>
      <c r="CF690" s="1425">
        <v>44224</v>
      </c>
      <c r="CG690" s="1">
        <v>8.4138999999999999</v>
      </c>
      <c r="CH690" s="1">
        <v>1.3608</v>
      </c>
      <c r="CI690" s="1">
        <v>6.2133000000000003</v>
      </c>
      <c r="CL690" s="1425">
        <v>44246</v>
      </c>
      <c r="CM690" s="1">
        <v>28.440200000000001</v>
      </c>
      <c r="CN690" s="1">
        <v>2.5667</v>
      </c>
      <c r="CO690" s="1">
        <v>11.349</v>
      </c>
    </row>
    <row r="691" spans="1:93">
      <c r="A691" s="1425">
        <v>44224</v>
      </c>
      <c r="B691" s="20">
        <f t="shared" si="102"/>
        <v>10.424899999999999</v>
      </c>
      <c r="C691" s="20">
        <f t="shared" si="104"/>
        <v>9.1266999999999996</v>
      </c>
      <c r="D691" s="20">
        <f t="shared" si="105"/>
        <v>9.7894000000000005</v>
      </c>
      <c r="E691" s="20">
        <f t="shared" si="106"/>
        <v>11.164999999999999</v>
      </c>
      <c r="F691" s="20">
        <f t="shared" si="107"/>
        <v>22.104500000000002</v>
      </c>
      <c r="G691" s="20">
        <f t="shared" si="108"/>
        <v>11.7225</v>
      </c>
      <c r="H691" s="1239">
        <f t="shared" si="109"/>
        <v>11.164999999999999</v>
      </c>
      <c r="I691" s="1243">
        <f t="shared" si="103"/>
        <v>-6.628750559785046E-2</v>
      </c>
      <c r="J691" s="1243">
        <f t="shared" si="110"/>
        <v>0.12093838824177333</v>
      </c>
      <c r="K691" s="1243">
        <f t="shared" si="111"/>
        <v>0.1</v>
      </c>
      <c r="L691" s="203"/>
      <c r="N691" s="1425">
        <v>44224</v>
      </c>
      <c r="O691" s="1502">
        <v>10.424899999999999</v>
      </c>
      <c r="P691" s="1502">
        <v>2.4194</v>
      </c>
      <c r="Q691" s="1502">
        <v>8.9718</v>
      </c>
      <c r="R691" s="1233">
        <f>'B. PE'!$U$23</f>
        <v>15.978235616082999</v>
      </c>
      <c r="S691" s="1233"/>
      <c r="T691" s="1233"/>
      <c r="V691" s="1425">
        <v>44224</v>
      </c>
      <c r="W691" s="1">
        <v>9.1266999999999996</v>
      </c>
      <c r="X691" s="1">
        <v>0.77180000000000004</v>
      </c>
      <c r="Y691" s="1">
        <v>7.7385000000000002</v>
      </c>
      <c r="Z691" s="1">
        <v>0.59501999999999999</v>
      </c>
      <c r="AB691" s="1425">
        <v>44204</v>
      </c>
      <c r="AC691" s="1">
        <v>12.332599999999999</v>
      </c>
      <c r="AD691" s="1502">
        <v>1.3933</v>
      </c>
      <c r="AE691" s="1">
        <v>4.6284000000000001</v>
      </c>
      <c r="AF691" s="1">
        <v>3.3059999999999999E-2</v>
      </c>
      <c r="AH691" s="1425">
        <v>44204</v>
      </c>
      <c r="AI691" s="1">
        <v>10.966799999999999</v>
      </c>
      <c r="AJ691" s="1">
        <v>1.7134</v>
      </c>
      <c r="AK691" s="1">
        <v>4.4233000000000002</v>
      </c>
      <c r="AL691" s="1">
        <v>2.2710000000000001E-2</v>
      </c>
      <c r="AN691" s="1425">
        <v>44204</v>
      </c>
      <c r="AO691" s="1">
        <v>9.5631000000000004</v>
      </c>
      <c r="AP691" s="1">
        <v>1.0609999999999999</v>
      </c>
      <c r="AQ691" s="1">
        <v>5.6885000000000003</v>
      </c>
      <c r="AR691" s="1">
        <v>0.25233</v>
      </c>
      <c r="AT691" s="1425">
        <v>44204</v>
      </c>
      <c r="AU691" s="1">
        <v>6.5724999999999998</v>
      </c>
      <c r="AV691" s="1">
        <v>0.50629999999999997</v>
      </c>
      <c r="AW691" s="1">
        <v>4.6555</v>
      </c>
      <c r="BA691" s="1425">
        <v>44194</v>
      </c>
      <c r="BB691" s="1">
        <v>11.018800000000001</v>
      </c>
      <c r="BC691" s="1">
        <v>2.3624999999999998</v>
      </c>
      <c r="BD691" s="1">
        <v>9.1242999999999999</v>
      </c>
      <c r="BE691" s="1">
        <v>0.62468999999999997</v>
      </c>
      <c r="BG691" s="1425">
        <v>44194</v>
      </c>
      <c r="BH691" s="1">
        <v>21.126200000000001</v>
      </c>
      <c r="BI691" s="1">
        <v>3.8637000000000001</v>
      </c>
      <c r="BJ691" s="1">
        <v>23.630099999999999</v>
      </c>
      <c r="BT691" s="1425">
        <v>44224</v>
      </c>
      <c r="BU691" s="1">
        <v>14.354799999999999</v>
      </c>
      <c r="BV691" s="1">
        <v>3.6379999999999999</v>
      </c>
      <c r="BW691" s="1">
        <v>8.0038999999999998</v>
      </c>
      <c r="BX691" s="1">
        <v>1.9080999999999999</v>
      </c>
      <c r="BZ691" s="1425">
        <v>44224</v>
      </c>
      <c r="CA691" s="1">
        <v>84.513300000000001</v>
      </c>
      <c r="CB691" s="1">
        <v>1.7212000000000001</v>
      </c>
      <c r="CC691" s="1">
        <v>39.322000000000003</v>
      </c>
      <c r="CD691" s="1">
        <v>0.76678000000000002</v>
      </c>
      <c r="CF691" s="1425">
        <v>44223</v>
      </c>
      <c r="CG691" s="1">
        <v>9.3428000000000004</v>
      </c>
      <c r="CH691" s="1">
        <v>1.5111000000000001</v>
      </c>
      <c r="CI691" s="1">
        <v>6.7087000000000003</v>
      </c>
      <c r="CL691" s="1425">
        <v>44245</v>
      </c>
      <c r="CM691" s="1">
        <v>28.398700000000002</v>
      </c>
      <c r="CN691" s="1">
        <v>2.5630000000000002</v>
      </c>
      <c r="CO691" s="1">
        <v>11.3322</v>
      </c>
    </row>
    <row r="692" spans="1:93">
      <c r="A692" s="1425">
        <v>44223</v>
      </c>
      <c r="B692" s="20">
        <f t="shared" si="102"/>
        <v>11.2096</v>
      </c>
      <c r="C692" s="20">
        <f t="shared" si="104"/>
        <v>9.7992000000000008</v>
      </c>
      <c r="D692" s="20">
        <f t="shared" si="105"/>
        <v>10.1258</v>
      </c>
      <c r="E692" s="20">
        <f t="shared" si="106"/>
        <v>11.699</v>
      </c>
      <c r="F692" s="20">
        <f t="shared" si="107"/>
        <v>22.4969</v>
      </c>
      <c r="G692" s="20">
        <f t="shared" si="108"/>
        <v>10.9605</v>
      </c>
      <c r="H692" s="1239">
        <f t="shared" si="109"/>
        <v>10.9605</v>
      </c>
      <c r="I692" s="1243">
        <f t="shared" si="103"/>
        <v>2.2727065371105359E-2</v>
      </c>
      <c r="J692" s="1243">
        <f t="shared" si="110"/>
        <v>0.12093838824177333</v>
      </c>
      <c r="K692" s="1243">
        <f t="shared" si="111"/>
        <v>0.1</v>
      </c>
      <c r="L692" s="203"/>
      <c r="N692" s="1425">
        <v>44223</v>
      </c>
      <c r="O692" s="1502">
        <v>11.2096</v>
      </c>
      <c r="P692" s="1502">
        <v>2.6015000000000001</v>
      </c>
      <c r="Q692" s="1502">
        <v>9.7124000000000006</v>
      </c>
      <c r="R692" s="1233">
        <f>'B. PE'!$U$23</f>
        <v>15.978235616082999</v>
      </c>
      <c r="S692" s="1233"/>
      <c r="T692" s="1233"/>
      <c r="V692" s="1425">
        <v>44223</v>
      </c>
      <c r="W692" s="1">
        <v>9.7992000000000008</v>
      </c>
      <c r="X692" s="1">
        <v>0.82869999999999999</v>
      </c>
      <c r="Y692" s="1">
        <v>8.0779999999999994</v>
      </c>
      <c r="Z692" s="1">
        <v>0.63505999999999996</v>
      </c>
      <c r="AB692" s="1425">
        <v>44203</v>
      </c>
      <c r="AC692" s="1">
        <v>12.0724</v>
      </c>
      <c r="AD692" s="1502">
        <v>1.3638999999999999</v>
      </c>
      <c r="AE692" s="1">
        <v>4.5374999999999996</v>
      </c>
      <c r="AF692" s="1">
        <v>3.4389999999999997E-2</v>
      </c>
      <c r="AH692" s="1425">
        <v>44203</v>
      </c>
      <c r="AI692" s="1">
        <v>10.731299999999999</v>
      </c>
      <c r="AJ692" s="1">
        <v>1.6766000000000001</v>
      </c>
      <c r="AK692" s="1">
        <v>4.3063000000000002</v>
      </c>
      <c r="AL692" s="1">
        <v>2.274E-2</v>
      </c>
      <c r="AN692" s="1425">
        <v>44203</v>
      </c>
      <c r="AO692" s="1">
        <v>9.9029000000000007</v>
      </c>
      <c r="AP692" s="1">
        <v>1.0987</v>
      </c>
      <c r="AQ692" s="1">
        <v>5.9630999999999998</v>
      </c>
      <c r="AR692" s="1">
        <v>0.25391999999999998</v>
      </c>
      <c r="AT692" s="1425">
        <v>44203</v>
      </c>
      <c r="AU692" s="1">
        <v>6.4496000000000002</v>
      </c>
      <c r="AV692" s="1">
        <v>0.49680000000000002</v>
      </c>
      <c r="AW692" s="1">
        <v>4.5881999999999996</v>
      </c>
      <c r="BA692" s="1425">
        <v>44193</v>
      </c>
      <c r="BB692" s="1">
        <v>10.895</v>
      </c>
      <c r="BC692" s="1">
        <v>2.3359000000000001</v>
      </c>
      <c r="BD692" s="1">
        <v>9.0411000000000001</v>
      </c>
      <c r="BE692" s="1">
        <v>0.59591000000000005</v>
      </c>
      <c r="BG692" s="1425">
        <v>44193</v>
      </c>
      <c r="BH692" s="1">
        <v>20.703700000000001</v>
      </c>
      <c r="BI692" s="1">
        <v>3.7865000000000002</v>
      </c>
      <c r="BJ692" s="1">
        <v>23.238099999999999</v>
      </c>
      <c r="BT692" s="1425">
        <v>44223</v>
      </c>
      <c r="BU692" s="1">
        <v>15.4297</v>
      </c>
      <c r="BV692" s="1">
        <v>3.9104000000000001</v>
      </c>
      <c r="BW692" s="1">
        <v>8.5894999999999992</v>
      </c>
      <c r="BX692" s="1">
        <v>1.9077999999999999</v>
      </c>
      <c r="BZ692" s="1425">
        <v>44223</v>
      </c>
      <c r="CA692" s="1">
        <v>90.743899999999996</v>
      </c>
      <c r="CB692" s="1">
        <v>1.8481000000000001</v>
      </c>
      <c r="CC692" s="1">
        <v>41.2776</v>
      </c>
      <c r="CD692" s="1">
        <v>0.82194999999999996</v>
      </c>
      <c r="CF692" s="1425">
        <v>44222</v>
      </c>
      <c r="CG692" s="1">
        <v>9.3428000000000004</v>
      </c>
      <c r="CH692" s="1">
        <v>1.5111000000000001</v>
      </c>
      <c r="CI692" s="1">
        <v>6.7087000000000003</v>
      </c>
      <c r="CL692" s="1425">
        <v>44244</v>
      </c>
      <c r="CM692" s="1">
        <v>28.854800000000001</v>
      </c>
      <c r="CN692" s="1">
        <v>2.6040999999999999</v>
      </c>
      <c r="CO692" s="1">
        <v>11.516500000000001</v>
      </c>
    </row>
    <row r="693" spans="1:93">
      <c r="A693" s="1425">
        <v>44222</v>
      </c>
      <c r="B693" s="20">
        <f t="shared" si="102"/>
        <v>11.818099999999999</v>
      </c>
      <c r="C693" s="20">
        <f t="shared" si="104"/>
        <v>10.4397</v>
      </c>
      <c r="D693" s="20">
        <f t="shared" si="105"/>
        <v>10.193099999999999</v>
      </c>
      <c r="E693" s="20">
        <f t="shared" si="106"/>
        <v>10.388299999999999</v>
      </c>
      <c r="F693" s="20">
        <f t="shared" si="107"/>
        <v>22.627700000000001</v>
      </c>
      <c r="G693" s="20">
        <f t="shared" si="108"/>
        <v>10.4916</v>
      </c>
      <c r="H693" s="1239">
        <f t="shared" si="109"/>
        <v>10.4397</v>
      </c>
      <c r="I693" s="1243">
        <f t="shared" si="103"/>
        <v>0.13203444543425569</v>
      </c>
      <c r="J693" s="1243">
        <f t="shared" si="110"/>
        <v>0.12093838824177333</v>
      </c>
      <c r="K693" s="1243">
        <f t="shared" si="111"/>
        <v>0.1</v>
      </c>
      <c r="L693" s="203"/>
      <c r="N693" s="1425">
        <v>44222</v>
      </c>
      <c r="O693" s="1502">
        <v>11.818099999999999</v>
      </c>
      <c r="P693" s="1502">
        <v>2.7427000000000001</v>
      </c>
      <c r="Q693" s="1502">
        <v>10.286799999999999</v>
      </c>
      <c r="R693" s="1233">
        <f>'B. PE'!$U$23</f>
        <v>15.978235616082999</v>
      </c>
      <c r="S693" s="1233"/>
      <c r="T693" s="1233"/>
      <c r="V693" s="1425">
        <v>44222</v>
      </c>
      <c r="W693" s="1">
        <v>10.4397</v>
      </c>
      <c r="X693" s="1">
        <v>0.88280000000000003</v>
      </c>
      <c r="Y693" s="1">
        <v>8.4013000000000009</v>
      </c>
      <c r="Z693" s="1">
        <v>0.64753000000000005</v>
      </c>
      <c r="AB693" s="1425">
        <v>44202</v>
      </c>
      <c r="AC693" s="1">
        <v>11.968400000000001</v>
      </c>
      <c r="AD693" s="1502">
        <v>1.3521000000000001</v>
      </c>
      <c r="AE693" s="1">
        <v>4.5011999999999999</v>
      </c>
      <c r="AF693" s="1">
        <v>3.4799999999999998E-2</v>
      </c>
      <c r="AH693" s="1425">
        <v>44202</v>
      </c>
      <c r="AI693" s="1">
        <v>10.6304</v>
      </c>
      <c r="AJ693" s="1">
        <v>1.6608000000000001</v>
      </c>
      <c r="AK693" s="1">
        <v>4.2561</v>
      </c>
      <c r="AL693" s="1">
        <v>2.2720000000000001E-2</v>
      </c>
      <c r="AN693" s="1425">
        <v>44202</v>
      </c>
      <c r="AO693" s="1">
        <v>9.8544</v>
      </c>
      <c r="AP693" s="1">
        <v>1.0932999999999999</v>
      </c>
      <c r="AQ693" s="1">
        <v>5.9238999999999997</v>
      </c>
      <c r="AR693" s="1">
        <v>0.25091000000000002</v>
      </c>
      <c r="AT693" s="1425">
        <v>44202</v>
      </c>
      <c r="AW693" s="1">
        <v>4.7903000000000002</v>
      </c>
      <c r="AX693" s="1">
        <v>0.13855999999999999</v>
      </c>
      <c r="BA693" s="1425">
        <v>44190</v>
      </c>
      <c r="BB693" s="1">
        <v>11.6378</v>
      </c>
      <c r="BC693" s="1">
        <v>2.4952000000000001</v>
      </c>
      <c r="BD693" s="1">
        <v>9.5405999999999995</v>
      </c>
      <c r="BE693" s="1">
        <v>0.59897999999999996</v>
      </c>
      <c r="BG693" s="1425">
        <v>44190</v>
      </c>
      <c r="BH693" s="1">
        <v>21.689599999999999</v>
      </c>
      <c r="BI693" s="1">
        <v>3.9668000000000001</v>
      </c>
      <c r="BJ693" s="1">
        <v>24.152799999999999</v>
      </c>
      <c r="BT693" s="1425">
        <v>44222</v>
      </c>
      <c r="BU693" s="1">
        <v>15.2563</v>
      </c>
      <c r="BV693" s="1">
        <v>3.8664999999999998</v>
      </c>
      <c r="BW693" s="1">
        <v>8.4951000000000008</v>
      </c>
      <c r="BX693" s="1">
        <v>1.8375999999999999</v>
      </c>
      <c r="BZ693" s="1425">
        <v>44222</v>
      </c>
      <c r="CA693" s="1">
        <v>97.453900000000004</v>
      </c>
      <c r="CB693" s="1">
        <v>1.9847999999999999</v>
      </c>
      <c r="CC693" s="1">
        <v>43.383699999999997</v>
      </c>
      <c r="CD693" s="1">
        <v>0.82155</v>
      </c>
      <c r="CF693" s="1425">
        <v>44221</v>
      </c>
      <c r="CG693" s="1">
        <v>9.7251999999999992</v>
      </c>
      <c r="CH693" s="1">
        <v>1.5729</v>
      </c>
      <c r="CI693" s="1">
        <v>6.9127000000000001</v>
      </c>
      <c r="CL693" s="1425">
        <v>44243</v>
      </c>
      <c r="CM693" s="1">
        <v>29.3523</v>
      </c>
      <c r="CN693" s="1">
        <v>2.649</v>
      </c>
      <c r="CO693" s="1">
        <v>11.7174</v>
      </c>
    </row>
    <row r="694" spans="1:93">
      <c r="A694" s="1425">
        <v>44221</v>
      </c>
      <c r="B694" s="20">
        <f t="shared" si="102"/>
        <v>12.314500000000001</v>
      </c>
      <c r="C694" s="20">
        <f t="shared" si="104"/>
        <v>11.1442</v>
      </c>
      <c r="D694" s="20">
        <f t="shared" si="105"/>
        <v>10.664</v>
      </c>
      <c r="E694" s="20">
        <f t="shared" si="106"/>
        <v>10.3398</v>
      </c>
      <c r="F694" s="20">
        <f t="shared" si="107"/>
        <v>21.450600000000001</v>
      </c>
      <c r="G694" s="20">
        <f t="shared" si="108"/>
        <v>10.3744</v>
      </c>
      <c r="H694" s="1239">
        <f t="shared" si="109"/>
        <v>10.664</v>
      </c>
      <c r="I694" s="1243">
        <f t="shared" si="103"/>
        <v>0.15477306826706694</v>
      </c>
      <c r="J694" s="1243">
        <f t="shared" si="110"/>
        <v>0.12093838824177333</v>
      </c>
      <c r="K694" s="1243">
        <f t="shared" si="111"/>
        <v>0.1</v>
      </c>
      <c r="L694" s="203"/>
      <c r="N694" s="1425">
        <v>44221</v>
      </c>
      <c r="O694" s="1502">
        <v>12.314500000000001</v>
      </c>
      <c r="P694" s="1502">
        <v>2.8578999999999999</v>
      </c>
      <c r="Q694" s="1502">
        <v>10.7554</v>
      </c>
      <c r="R694" s="1233">
        <f>'B. PE'!$U$23</f>
        <v>15.978235616082999</v>
      </c>
      <c r="S694" s="1233"/>
      <c r="T694" s="1233"/>
      <c r="V694" s="1425">
        <v>44221</v>
      </c>
      <c r="W694" s="1">
        <v>11.1442</v>
      </c>
      <c r="X694" s="1">
        <v>0.94240000000000002</v>
      </c>
      <c r="Y694" s="1">
        <v>8.7569999999999997</v>
      </c>
      <c r="Z694" s="1">
        <v>0.63844000000000001</v>
      </c>
      <c r="AB694" s="1425">
        <v>44201</v>
      </c>
      <c r="AC694" s="1">
        <v>12.4367</v>
      </c>
      <c r="AD694" s="1502">
        <v>1.405</v>
      </c>
      <c r="AE694" s="1">
        <v>4.6646999999999998</v>
      </c>
      <c r="AF694" s="1">
        <v>3.1350000000000003E-2</v>
      </c>
      <c r="AH694" s="1425">
        <v>44201</v>
      </c>
      <c r="AI694" s="1">
        <v>10.6304</v>
      </c>
      <c r="AJ694" s="1">
        <v>1.6608000000000001</v>
      </c>
      <c r="AK694" s="1">
        <v>4.2561</v>
      </c>
      <c r="AL694" s="1">
        <v>2.2509999999999999E-2</v>
      </c>
      <c r="AN694" s="1425">
        <v>44201</v>
      </c>
      <c r="AO694" s="1">
        <v>9.9029000000000007</v>
      </c>
      <c r="AP694" s="1">
        <v>1.0987</v>
      </c>
      <c r="AQ694" s="1">
        <v>5.9630999999999998</v>
      </c>
      <c r="AR694" s="1">
        <v>0.24997</v>
      </c>
      <c r="AT694" s="1425">
        <v>44201</v>
      </c>
      <c r="AW694" s="1">
        <v>4.7903000000000002</v>
      </c>
      <c r="AX694" s="1">
        <v>0.13929</v>
      </c>
      <c r="BA694" s="1425">
        <v>44189</v>
      </c>
      <c r="BB694" s="1">
        <v>11.0807</v>
      </c>
      <c r="BC694" s="1">
        <v>2.3757000000000001</v>
      </c>
      <c r="BD694" s="1">
        <v>9.1660000000000004</v>
      </c>
      <c r="BE694" s="1">
        <v>0.58948</v>
      </c>
      <c r="BG694" s="1425">
        <v>44189</v>
      </c>
      <c r="BH694" s="1">
        <v>20.8445</v>
      </c>
      <c r="BI694" s="1">
        <v>3.8121999999999998</v>
      </c>
      <c r="BJ694" s="1">
        <v>23.3688</v>
      </c>
      <c r="BT694" s="1425">
        <v>44221</v>
      </c>
      <c r="BU694" s="1">
        <v>15.2563</v>
      </c>
      <c r="BV694" s="1">
        <v>3.8664999999999998</v>
      </c>
      <c r="BW694" s="1">
        <v>8.4951000000000008</v>
      </c>
      <c r="BX694" s="1">
        <v>1.8059000000000001</v>
      </c>
      <c r="BZ694" s="1425">
        <v>44221</v>
      </c>
      <c r="CA694" s="1">
        <v>104.4833</v>
      </c>
      <c r="CB694" s="1">
        <v>2.1278999999999999</v>
      </c>
      <c r="CC694" s="1">
        <v>45.5901</v>
      </c>
      <c r="CD694" s="1">
        <v>0.82660999999999996</v>
      </c>
      <c r="CF694" s="1425">
        <v>44218</v>
      </c>
      <c r="CG694" s="1">
        <v>10.380800000000001</v>
      </c>
      <c r="CH694" s="1">
        <v>1.679</v>
      </c>
      <c r="CI694" s="1">
        <v>7.2622999999999998</v>
      </c>
      <c r="CL694" s="1425">
        <v>44242</v>
      </c>
      <c r="CM694" s="1">
        <v>29.145</v>
      </c>
      <c r="CN694" s="1">
        <v>2.6303000000000001</v>
      </c>
      <c r="CO694" s="1">
        <v>11.633699999999999</v>
      </c>
    </row>
    <row r="695" spans="1:93">
      <c r="A695" s="1425">
        <v>44218</v>
      </c>
      <c r="B695" s="20">
        <f t="shared" si="102"/>
        <v>12.5547</v>
      </c>
      <c r="C695" s="20">
        <f t="shared" si="104"/>
        <v>11.368399999999999</v>
      </c>
      <c r="D695" s="20">
        <f t="shared" si="105"/>
        <v>10.462199999999999</v>
      </c>
      <c r="E695" s="20">
        <f t="shared" si="106"/>
        <v>11.019399999999999</v>
      </c>
      <c r="F695" s="20">
        <f t="shared" si="107"/>
        <v>21.581399999999999</v>
      </c>
      <c r="G695" s="20">
        <f t="shared" si="108"/>
        <v>10.433</v>
      </c>
      <c r="H695" s="1239">
        <f t="shared" si="109"/>
        <v>11.019399999999999</v>
      </c>
      <c r="I695" s="1243">
        <f t="shared" si="103"/>
        <v>0.13932700510009632</v>
      </c>
      <c r="J695" s="1243">
        <f t="shared" si="110"/>
        <v>0.12093838824177333</v>
      </c>
      <c r="K695" s="1243">
        <f t="shared" si="111"/>
        <v>0.1</v>
      </c>
      <c r="L695" s="203"/>
      <c r="N695" s="1425">
        <v>44218</v>
      </c>
      <c r="O695" s="1502">
        <v>12.5547</v>
      </c>
      <c r="P695" s="1502">
        <v>2.9137</v>
      </c>
      <c r="Q695" s="1502">
        <v>10.982100000000001</v>
      </c>
      <c r="R695" s="1233">
        <f>'B. PE'!$U$23</f>
        <v>15.978235616082999</v>
      </c>
      <c r="S695" s="1233"/>
      <c r="T695" s="1233"/>
      <c r="V695" s="1425">
        <v>44218</v>
      </c>
      <c r="W695" s="1">
        <v>11.368399999999999</v>
      </c>
      <c r="X695" s="1">
        <v>0.96140000000000003</v>
      </c>
      <c r="Y695" s="1">
        <v>8.8702000000000005</v>
      </c>
      <c r="Z695" s="1">
        <v>0.61462000000000006</v>
      </c>
      <c r="AB695" s="1425">
        <v>44200</v>
      </c>
      <c r="AC695" s="1">
        <v>12.5928</v>
      </c>
      <c r="AD695" s="1502">
        <v>1.4227000000000001</v>
      </c>
      <c r="AE695" s="1">
        <v>4.7192999999999996</v>
      </c>
      <c r="AF695" s="1">
        <v>3.3090000000000001E-2</v>
      </c>
      <c r="AH695" s="1425">
        <v>44200</v>
      </c>
      <c r="AI695" s="1">
        <v>10.6304</v>
      </c>
      <c r="AJ695" s="1">
        <v>1.6608000000000001</v>
      </c>
      <c r="AK695" s="1">
        <v>4.2561</v>
      </c>
      <c r="AL695" s="1">
        <v>2.249E-2</v>
      </c>
      <c r="AN695" s="1425">
        <v>44200</v>
      </c>
      <c r="AO695" s="1">
        <v>9.7573000000000008</v>
      </c>
      <c r="AP695" s="1">
        <v>1.0825</v>
      </c>
      <c r="AQ695" s="1">
        <v>5.8453999999999997</v>
      </c>
      <c r="AR695" s="1">
        <v>0.25390000000000001</v>
      </c>
      <c r="AT695" s="1425">
        <v>44200</v>
      </c>
      <c r="AU695" s="1">
        <v>6.8182</v>
      </c>
      <c r="AV695" s="1">
        <v>0.5252</v>
      </c>
      <c r="AW695" s="1">
        <v>4.7903000000000002</v>
      </c>
      <c r="AX695" s="1">
        <v>0.13996</v>
      </c>
      <c r="BA695" s="1425">
        <v>44188</v>
      </c>
      <c r="BB695" s="1">
        <v>11.204499999999999</v>
      </c>
      <c r="BC695" s="1">
        <v>2.4022999999999999</v>
      </c>
      <c r="BD695" s="1">
        <v>9.2492000000000001</v>
      </c>
      <c r="BE695" s="1">
        <v>0.58457999999999999</v>
      </c>
      <c r="BG695" s="1425">
        <v>44188</v>
      </c>
      <c r="BH695" s="1">
        <v>20.8445</v>
      </c>
      <c r="BI695" s="1">
        <v>3.8121999999999998</v>
      </c>
      <c r="BJ695" s="1">
        <v>23.3688</v>
      </c>
      <c r="BT695" s="1425">
        <v>44218</v>
      </c>
      <c r="BU695" s="1">
        <v>14.701499999999999</v>
      </c>
      <c r="BV695" s="1">
        <v>3.7259000000000002</v>
      </c>
      <c r="BW695" s="1">
        <v>8.1928000000000001</v>
      </c>
      <c r="BX695" s="1">
        <v>1.7738</v>
      </c>
      <c r="BZ695" s="1425">
        <v>44218</v>
      </c>
      <c r="CA695" s="1">
        <v>104.4833</v>
      </c>
      <c r="CB695" s="1">
        <v>2.1278999999999999</v>
      </c>
      <c r="CC695" s="1">
        <v>45.5901</v>
      </c>
      <c r="CD695" s="1">
        <v>0.78627999999999998</v>
      </c>
      <c r="CF695" s="1425">
        <v>44217</v>
      </c>
      <c r="CG695" s="1">
        <v>10.763299999999999</v>
      </c>
      <c r="CH695" s="1">
        <v>1.7407999999999999</v>
      </c>
      <c r="CI695" s="1">
        <v>7.4663000000000004</v>
      </c>
      <c r="CL695" s="1425">
        <v>44239</v>
      </c>
      <c r="CM695" s="1">
        <v>29.746099999999998</v>
      </c>
      <c r="CN695" s="1">
        <v>2.6846000000000001</v>
      </c>
      <c r="CO695" s="1">
        <v>11.8765</v>
      </c>
    </row>
    <row r="696" spans="1:93">
      <c r="A696" s="1425">
        <v>44217</v>
      </c>
      <c r="B696" s="20">
        <f t="shared" si="102"/>
        <v>12.314500000000001</v>
      </c>
      <c r="C696" s="20">
        <f t="shared" si="104"/>
        <v>11.208299999999999</v>
      </c>
      <c r="D696" s="20">
        <f t="shared" si="105"/>
        <v>10.5631</v>
      </c>
      <c r="E696" s="20">
        <f t="shared" si="106"/>
        <v>10.7767</v>
      </c>
      <c r="F696" s="20">
        <f t="shared" si="107"/>
        <v>22.235299999999999</v>
      </c>
      <c r="G696" s="20">
        <f t="shared" si="108"/>
        <v>10.315799999999999</v>
      </c>
      <c r="H696" s="1239">
        <f t="shared" si="109"/>
        <v>10.7767</v>
      </c>
      <c r="I696" s="1243">
        <f t="shared" si="103"/>
        <v>0.14269674390119436</v>
      </c>
      <c r="J696" s="1243">
        <f t="shared" si="110"/>
        <v>0.12093838824177333</v>
      </c>
      <c r="K696" s="1243">
        <f t="shared" si="111"/>
        <v>0.1</v>
      </c>
      <c r="L696" s="203"/>
      <c r="N696" s="1425">
        <v>44217</v>
      </c>
      <c r="O696" s="1502">
        <v>12.314500000000001</v>
      </c>
      <c r="P696" s="1502">
        <v>2.8578999999999999</v>
      </c>
      <c r="Q696" s="1502">
        <v>10.7554</v>
      </c>
      <c r="R696" s="1233">
        <f>'B. PE'!$U$23</f>
        <v>15.978235616082999</v>
      </c>
      <c r="S696" s="1233"/>
      <c r="T696" s="1233"/>
      <c r="V696" s="1425">
        <v>44217</v>
      </c>
      <c r="W696" s="1">
        <v>11.208299999999999</v>
      </c>
      <c r="X696" s="1">
        <v>0.94779999999999998</v>
      </c>
      <c r="Y696" s="1">
        <v>8.7894000000000005</v>
      </c>
      <c r="Z696" s="1">
        <v>0.63512000000000002</v>
      </c>
      <c r="AB696" s="1425">
        <v>44195</v>
      </c>
      <c r="AC696" s="1">
        <v>11.448</v>
      </c>
      <c r="AD696" s="1502">
        <v>1.2932999999999999</v>
      </c>
      <c r="AE696" s="1">
        <v>4.3193999999999999</v>
      </c>
      <c r="AF696" s="1">
        <v>3.3279999999999997E-2</v>
      </c>
      <c r="AH696" s="1425">
        <v>44195</v>
      </c>
      <c r="AI696" s="1">
        <v>10.6304</v>
      </c>
      <c r="AJ696" s="1">
        <v>1.6608000000000001</v>
      </c>
      <c r="AK696" s="1">
        <v>4.2561</v>
      </c>
      <c r="AL696" s="1">
        <v>2.256E-2</v>
      </c>
      <c r="AN696" s="1425">
        <v>44196</v>
      </c>
      <c r="AO696" s="1">
        <v>9.7573000000000008</v>
      </c>
      <c r="AP696" s="1">
        <v>1.0825</v>
      </c>
      <c r="AQ696" s="1">
        <v>5.8453999999999997</v>
      </c>
      <c r="AR696" s="1">
        <v>0.25429000000000002</v>
      </c>
      <c r="AT696" s="1425">
        <v>44196</v>
      </c>
      <c r="AU696" s="1">
        <v>6.8795999999999999</v>
      </c>
      <c r="AV696" s="1">
        <v>0.52990000000000004</v>
      </c>
      <c r="AW696" s="1">
        <v>4.8239999999999998</v>
      </c>
      <c r="AX696" s="1">
        <v>0.13949</v>
      </c>
      <c r="BA696" s="1425">
        <v>44187</v>
      </c>
      <c r="BB696" s="1">
        <v>11.018800000000001</v>
      </c>
      <c r="BC696" s="1">
        <v>2.3624999999999998</v>
      </c>
      <c r="BD696" s="1">
        <v>9.1242999999999999</v>
      </c>
      <c r="BE696" s="1">
        <v>0.60653000000000001</v>
      </c>
      <c r="BG696" s="1425">
        <v>44187</v>
      </c>
      <c r="BH696" s="1">
        <v>20.562799999999999</v>
      </c>
      <c r="BI696" s="1">
        <v>3.7606999999999999</v>
      </c>
      <c r="BJ696" s="1">
        <v>23.107399999999998</v>
      </c>
      <c r="BT696" s="1425">
        <v>44217</v>
      </c>
      <c r="BU696" s="1">
        <v>14.4472</v>
      </c>
      <c r="BV696" s="1">
        <v>3.6614</v>
      </c>
      <c r="BW696" s="1">
        <v>8.0542999999999996</v>
      </c>
      <c r="BX696" s="1">
        <v>1.7344999999999999</v>
      </c>
      <c r="BZ696" s="1425">
        <v>44217</v>
      </c>
      <c r="CA696" s="1">
        <v>105.1224</v>
      </c>
      <c r="CB696" s="1">
        <v>2.1408999999999998</v>
      </c>
      <c r="CC696" s="1">
        <v>45.790599999999998</v>
      </c>
      <c r="CD696" s="1">
        <v>0.80315999999999999</v>
      </c>
      <c r="CF696" s="1425">
        <v>44216</v>
      </c>
      <c r="CG696" s="1">
        <v>11.637499999999999</v>
      </c>
      <c r="CH696" s="1">
        <v>1.8822000000000001</v>
      </c>
      <c r="CI696" s="1">
        <v>7.9325000000000001</v>
      </c>
      <c r="CL696" s="1425">
        <v>44238</v>
      </c>
      <c r="CM696" s="1">
        <v>29.746099999999998</v>
      </c>
      <c r="CN696" s="1">
        <v>2.6846000000000001</v>
      </c>
      <c r="CO696" s="1">
        <v>11.8765</v>
      </c>
    </row>
    <row r="697" spans="1:93">
      <c r="A697" s="1425">
        <v>44216</v>
      </c>
      <c r="B697" s="20">
        <f t="shared" si="102"/>
        <v>11.673999999999999</v>
      </c>
      <c r="C697" s="20">
        <f t="shared" si="104"/>
        <v>10.792</v>
      </c>
      <c r="D697" s="20">
        <f t="shared" si="105"/>
        <v>10.495799999999999</v>
      </c>
      <c r="E697" s="20">
        <f t="shared" si="106"/>
        <v>11.164999999999999</v>
      </c>
      <c r="F697" s="20">
        <f t="shared" si="107"/>
        <v>21.973700000000001</v>
      </c>
      <c r="G697" s="20">
        <f t="shared" si="108"/>
        <v>10.3744</v>
      </c>
      <c r="H697" s="1239">
        <f t="shared" si="109"/>
        <v>10.792</v>
      </c>
      <c r="I697" s="1243">
        <f t="shared" si="103"/>
        <v>8.1727205337286835E-2</v>
      </c>
      <c r="J697" s="1243">
        <f t="shared" si="110"/>
        <v>0.12093838824177333</v>
      </c>
      <c r="K697" s="1243">
        <f t="shared" si="111"/>
        <v>0.1</v>
      </c>
      <c r="L697" s="203"/>
      <c r="N697" s="1425">
        <v>44216</v>
      </c>
      <c r="O697" s="1502">
        <v>11.673999999999999</v>
      </c>
      <c r="P697" s="1502">
        <v>2.7092999999999998</v>
      </c>
      <c r="Q697" s="1502">
        <v>10.1508</v>
      </c>
      <c r="R697" s="1233">
        <f>'B. PE'!$U$23</f>
        <v>15.978235616082999</v>
      </c>
      <c r="S697" s="1233"/>
      <c r="T697" s="1233"/>
      <c r="V697" s="1425">
        <v>44216</v>
      </c>
      <c r="W697" s="1">
        <v>10.792</v>
      </c>
      <c r="X697" s="1">
        <v>0.91259999999999997</v>
      </c>
      <c r="Y697" s="1">
        <v>8.5792000000000002</v>
      </c>
      <c r="Z697" s="1">
        <v>0.68230000000000002</v>
      </c>
      <c r="AB697" s="1425">
        <v>44194</v>
      </c>
      <c r="AC697" s="1">
        <v>17.5808</v>
      </c>
      <c r="AD697" s="1502">
        <v>1.454</v>
      </c>
      <c r="AE697" s="1">
        <v>7.9238999999999997</v>
      </c>
      <c r="AF697" s="1">
        <v>3.014E-2</v>
      </c>
      <c r="AH697" s="1425">
        <v>44194</v>
      </c>
      <c r="AI697" s="1">
        <v>10.668100000000001</v>
      </c>
      <c r="AJ697" s="1">
        <v>1.7081999999999999</v>
      </c>
      <c r="AK697" s="1">
        <v>4.1148999999999996</v>
      </c>
      <c r="AL697" s="1">
        <v>2.2290000000000001E-2</v>
      </c>
      <c r="AN697" s="1425">
        <v>44195</v>
      </c>
      <c r="AO697" s="1">
        <v>10.569900000000001</v>
      </c>
      <c r="AP697" s="1">
        <v>1.1326000000000001</v>
      </c>
      <c r="AQ697" s="1">
        <v>6.7701000000000002</v>
      </c>
      <c r="AR697" s="1">
        <v>0.24948000000000001</v>
      </c>
      <c r="AT697" s="1425">
        <v>44195</v>
      </c>
      <c r="AU697" s="1">
        <v>7.8691000000000004</v>
      </c>
      <c r="AV697" s="1">
        <v>0.54269999999999996</v>
      </c>
      <c r="AW697" s="1">
        <v>5.6040000000000001</v>
      </c>
      <c r="AX697" s="1">
        <v>0.13708999999999999</v>
      </c>
      <c r="BA697" s="1425">
        <v>44186</v>
      </c>
      <c r="BB697" s="1">
        <v>10.895</v>
      </c>
      <c r="BC697" s="1">
        <v>2.3359000000000001</v>
      </c>
      <c r="BD697" s="1">
        <v>9.0411000000000001</v>
      </c>
      <c r="BE697" s="1">
        <v>0.61411000000000004</v>
      </c>
      <c r="BG697" s="1425">
        <v>44186</v>
      </c>
      <c r="BH697" s="1">
        <v>20.8445</v>
      </c>
      <c r="BI697" s="1">
        <v>3.8121999999999998</v>
      </c>
      <c r="BJ697" s="1">
        <v>23.3688</v>
      </c>
      <c r="BT697" s="1425">
        <v>44216</v>
      </c>
      <c r="BU697" s="1">
        <v>14.193</v>
      </c>
      <c r="BV697" s="1">
        <v>3.597</v>
      </c>
      <c r="BW697" s="1">
        <v>7.6817000000000002</v>
      </c>
      <c r="BX697" s="1">
        <v>1.8263</v>
      </c>
      <c r="BZ697" s="1425">
        <v>44216</v>
      </c>
      <c r="CA697" s="1">
        <v>100.01</v>
      </c>
      <c r="CB697" s="1">
        <v>2.0367999999999999</v>
      </c>
      <c r="CC697" s="1">
        <v>44.186</v>
      </c>
      <c r="CD697" s="1">
        <v>0.86316000000000004</v>
      </c>
      <c r="CF697" s="1425">
        <v>44215</v>
      </c>
      <c r="CG697" s="1">
        <v>11.0365</v>
      </c>
      <c r="CH697" s="1">
        <v>1.7849999999999999</v>
      </c>
      <c r="CI697" s="1">
        <v>7.6120000000000001</v>
      </c>
      <c r="CL697" s="1425">
        <v>44237</v>
      </c>
      <c r="CM697" s="1">
        <v>29.9741</v>
      </c>
      <c r="CN697" s="1">
        <v>2.7050999999999998</v>
      </c>
      <c r="CO697" s="1">
        <v>11.9686</v>
      </c>
    </row>
    <row r="698" spans="1:93">
      <c r="A698" s="1425">
        <v>44215</v>
      </c>
      <c r="B698" s="20">
        <f t="shared" si="102"/>
        <v>11.786099999999999</v>
      </c>
      <c r="C698" s="20">
        <f t="shared" si="104"/>
        <v>11.1442</v>
      </c>
      <c r="D698" s="20">
        <f t="shared" si="105"/>
        <v>10.495799999999999</v>
      </c>
      <c r="E698" s="20">
        <f t="shared" si="106"/>
        <v>11.068</v>
      </c>
      <c r="F698" s="20">
        <f t="shared" si="107"/>
        <v>22.366099999999999</v>
      </c>
      <c r="G698" s="20">
        <f t="shared" si="108"/>
        <v>10.315799999999999</v>
      </c>
      <c r="H698" s="1239">
        <f t="shared" si="109"/>
        <v>11.068</v>
      </c>
      <c r="I698" s="1243">
        <f t="shared" si="103"/>
        <v>6.4880737260571086E-2</v>
      </c>
      <c r="J698" s="1243">
        <f t="shared" si="110"/>
        <v>0.12093838824177333</v>
      </c>
      <c r="K698" s="1243">
        <f t="shared" si="111"/>
        <v>0.1</v>
      </c>
      <c r="L698" s="203"/>
      <c r="N698" s="1425">
        <v>44215</v>
      </c>
      <c r="O698" s="1502">
        <v>11.786099999999999</v>
      </c>
      <c r="P698" s="1502">
        <v>2.7353000000000001</v>
      </c>
      <c r="Q698" s="1502">
        <v>10.256600000000001</v>
      </c>
      <c r="R698" s="1233">
        <f>'B. PE'!$U$23</f>
        <v>15.978235616082999</v>
      </c>
      <c r="S698" s="1233"/>
      <c r="T698" s="1233"/>
      <c r="V698" s="1425">
        <v>44215</v>
      </c>
      <c r="W698" s="1">
        <v>11.1442</v>
      </c>
      <c r="X698" s="1">
        <v>0.94240000000000002</v>
      </c>
      <c r="Y698" s="1">
        <v>8.7569999999999997</v>
      </c>
      <c r="Z698" s="1">
        <v>0.70064000000000004</v>
      </c>
      <c r="AB698" s="1425">
        <v>44193</v>
      </c>
      <c r="AC698" s="1">
        <v>17.731100000000001</v>
      </c>
      <c r="AD698" s="1502">
        <v>1.4663999999999999</v>
      </c>
      <c r="AE698" s="1">
        <v>7.9775999999999998</v>
      </c>
      <c r="AF698" s="1">
        <v>2.843E-2</v>
      </c>
      <c r="AH698" s="1425">
        <v>44193</v>
      </c>
      <c r="AI698" s="1">
        <v>10.735200000000001</v>
      </c>
      <c r="AJ698" s="1">
        <v>1.7189000000000001</v>
      </c>
      <c r="AK698" s="1">
        <v>4.1467000000000001</v>
      </c>
      <c r="AL698" s="1">
        <v>2.2550000000000001E-2</v>
      </c>
      <c r="AN698" s="1425">
        <v>44194</v>
      </c>
      <c r="AO698" s="1">
        <v>10.621499999999999</v>
      </c>
      <c r="AP698" s="1">
        <v>1.1380999999999999</v>
      </c>
      <c r="AQ698" s="1">
        <v>6.8121999999999998</v>
      </c>
      <c r="AR698" s="1">
        <v>0.24751000000000001</v>
      </c>
      <c r="AT698" s="1425">
        <v>44194</v>
      </c>
      <c r="AU698" s="1">
        <v>7.8691000000000004</v>
      </c>
      <c r="AV698" s="1">
        <v>0.54269999999999996</v>
      </c>
      <c r="AW698" s="1">
        <v>5.6040000000000001</v>
      </c>
      <c r="AX698" s="1">
        <v>0.13668</v>
      </c>
      <c r="BA698" s="1425">
        <v>44183</v>
      </c>
      <c r="BB698" s="1">
        <v>11.204499999999999</v>
      </c>
      <c r="BC698" s="1">
        <v>2.4022999999999999</v>
      </c>
      <c r="BD698" s="1">
        <v>9.2492000000000001</v>
      </c>
      <c r="BE698" s="1">
        <v>0.57974999999999999</v>
      </c>
      <c r="BG698" s="1425">
        <v>44183</v>
      </c>
      <c r="BH698" s="1">
        <v>21.126200000000001</v>
      </c>
      <c r="BI698" s="1">
        <v>3.8637000000000001</v>
      </c>
      <c r="BJ698" s="1">
        <v>23.630099999999999</v>
      </c>
      <c r="BT698" s="1425">
        <v>44215</v>
      </c>
      <c r="BU698" s="1">
        <v>13.869400000000001</v>
      </c>
      <c r="BV698" s="1">
        <v>3.5150000000000001</v>
      </c>
      <c r="BW698" s="1">
        <v>7.5107999999999997</v>
      </c>
      <c r="BX698" s="1">
        <v>1.8468</v>
      </c>
      <c r="BZ698" s="1425">
        <v>44215</v>
      </c>
      <c r="CA698" s="1">
        <v>102.0869</v>
      </c>
      <c r="CB698" s="1">
        <v>2.0790999999999999</v>
      </c>
      <c r="CC698" s="1">
        <v>44.837899999999998</v>
      </c>
      <c r="CD698" s="1">
        <v>0.85196000000000005</v>
      </c>
      <c r="CF698" s="1425">
        <v>44214</v>
      </c>
      <c r="CG698" s="1">
        <v>10.107699999999999</v>
      </c>
      <c r="CH698" s="1">
        <v>1.6348</v>
      </c>
      <c r="CI698" s="1">
        <v>7.1166</v>
      </c>
      <c r="CL698" s="1425">
        <v>44236</v>
      </c>
      <c r="CM698" s="1">
        <v>29.8705</v>
      </c>
      <c r="CN698" s="1">
        <v>2.6958000000000002</v>
      </c>
      <c r="CO698" s="1">
        <v>11.9267</v>
      </c>
    </row>
    <row r="699" spans="1:93">
      <c r="A699" s="1425">
        <v>44214</v>
      </c>
      <c r="B699" s="20">
        <f t="shared" si="102"/>
        <v>12.6668</v>
      </c>
      <c r="C699" s="20">
        <f t="shared" si="104"/>
        <v>11.976800000000001</v>
      </c>
      <c r="D699" s="20">
        <f t="shared" si="105"/>
        <v>10.764900000000001</v>
      </c>
      <c r="E699" s="20">
        <f t="shared" si="106"/>
        <v>11.941700000000001</v>
      </c>
      <c r="F699" s="20">
        <f t="shared" si="107"/>
        <v>22.4969</v>
      </c>
      <c r="G699" s="20">
        <f t="shared" si="108"/>
        <v>10.433</v>
      </c>
      <c r="H699" s="1239">
        <f t="shared" si="109"/>
        <v>11.941700000000001</v>
      </c>
      <c r="I699" s="1243">
        <f t="shared" si="103"/>
        <v>6.0719997990235752E-2</v>
      </c>
      <c r="J699" s="1243">
        <f t="shared" si="110"/>
        <v>0.12093838824177333</v>
      </c>
      <c r="K699" s="1243">
        <f t="shared" si="111"/>
        <v>0.1</v>
      </c>
      <c r="L699" s="203"/>
      <c r="N699" s="1425">
        <v>44214</v>
      </c>
      <c r="O699" s="1502">
        <v>12.6668</v>
      </c>
      <c r="P699" s="1502">
        <v>2.9397000000000002</v>
      </c>
      <c r="Q699" s="1502">
        <v>11.087899999999999</v>
      </c>
      <c r="R699" s="1233">
        <f>'B. PE'!$U$23</f>
        <v>15.978235616082999</v>
      </c>
      <c r="S699" s="1233"/>
      <c r="T699" s="1233"/>
      <c r="V699" s="1425">
        <v>44214</v>
      </c>
      <c r="W699" s="1">
        <v>11.976800000000001</v>
      </c>
      <c r="X699" s="1">
        <v>1.0127999999999999</v>
      </c>
      <c r="Y699" s="1">
        <v>9.1774000000000004</v>
      </c>
      <c r="Z699" s="1">
        <v>0.67910000000000004</v>
      </c>
      <c r="AB699" s="1425">
        <v>44188</v>
      </c>
      <c r="AC699" s="1">
        <v>16.153300000000002</v>
      </c>
      <c r="AD699" s="1502">
        <v>1.3360000000000001</v>
      </c>
      <c r="AE699" s="1">
        <v>7.4138999999999999</v>
      </c>
      <c r="AF699" s="1">
        <v>3.0689999999999999E-2</v>
      </c>
      <c r="AH699" s="1425">
        <v>44188</v>
      </c>
      <c r="AI699" s="1">
        <v>10.668100000000001</v>
      </c>
      <c r="AJ699" s="1">
        <v>1.7081999999999999</v>
      </c>
      <c r="AK699" s="1">
        <v>4.1148999999999996</v>
      </c>
      <c r="AL699" s="1">
        <v>2.2519999999999998E-2</v>
      </c>
      <c r="AN699" s="1425">
        <v>44193</v>
      </c>
      <c r="AO699" s="1">
        <v>10.4152</v>
      </c>
      <c r="AP699" s="1">
        <v>1.1160000000000001</v>
      </c>
      <c r="AQ699" s="1">
        <v>6.6440999999999999</v>
      </c>
      <c r="AR699" s="1">
        <v>0.24978</v>
      </c>
      <c r="AT699" s="1425">
        <v>44193</v>
      </c>
      <c r="AU699" s="1">
        <v>7.7298</v>
      </c>
      <c r="AV699" s="1">
        <v>0.53310000000000002</v>
      </c>
      <c r="AW699" s="1">
        <v>5.5307000000000004</v>
      </c>
      <c r="AX699" s="1">
        <v>0.13042999999999999</v>
      </c>
      <c r="BA699" s="1425">
        <v>44182</v>
      </c>
      <c r="BB699" s="1">
        <v>11.3283</v>
      </c>
      <c r="BC699" s="1">
        <v>2.4287999999999998</v>
      </c>
      <c r="BD699" s="1">
        <v>9.3324999999999996</v>
      </c>
      <c r="BE699" s="1">
        <v>0.57616999999999996</v>
      </c>
      <c r="BG699" s="1425">
        <v>44182</v>
      </c>
      <c r="BH699" s="1">
        <v>20.1403</v>
      </c>
      <c r="BI699" s="1">
        <v>3.6833999999999998</v>
      </c>
      <c r="BJ699" s="1">
        <v>22.715399999999999</v>
      </c>
      <c r="BT699" s="1425">
        <v>44214</v>
      </c>
      <c r="BU699" s="1">
        <v>14.6091</v>
      </c>
      <c r="BV699" s="1">
        <v>3.7023999999999999</v>
      </c>
      <c r="BW699" s="1">
        <v>7.9016000000000002</v>
      </c>
      <c r="BX699" s="1">
        <v>1.8492</v>
      </c>
      <c r="BZ699" s="1425">
        <v>44214</v>
      </c>
      <c r="CA699" s="1">
        <v>109.75539999999999</v>
      </c>
      <c r="CB699" s="1">
        <v>2.2353000000000001</v>
      </c>
      <c r="CC699" s="1">
        <v>47.244799999999998</v>
      </c>
      <c r="CD699" s="1">
        <v>0.86119999999999997</v>
      </c>
      <c r="CF699" s="1425">
        <v>44211</v>
      </c>
      <c r="CG699" s="1">
        <v>9.2334999999999994</v>
      </c>
      <c r="CH699" s="1">
        <v>1.4934000000000001</v>
      </c>
      <c r="CI699" s="1">
        <v>6.6504000000000003</v>
      </c>
      <c r="CL699" s="1425">
        <v>44235</v>
      </c>
      <c r="CM699" s="1">
        <v>30.678899999999999</v>
      </c>
      <c r="CN699" s="1">
        <v>2.7686999999999999</v>
      </c>
      <c r="CO699" s="1">
        <v>12.253299999999999</v>
      </c>
    </row>
    <row r="700" spans="1:93">
      <c r="A700" s="1425">
        <v>44211</v>
      </c>
      <c r="B700" s="20">
        <f t="shared" si="102"/>
        <v>13.1312</v>
      </c>
      <c r="C700" s="20">
        <f t="shared" si="104"/>
        <v>12.2971</v>
      </c>
      <c r="D700" s="20">
        <f t="shared" si="105"/>
        <v>10.764900000000001</v>
      </c>
      <c r="E700" s="20">
        <f t="shared" si="106"/>
        <v>10.4854</v>
      </c>
      <c r="F700" s="20">
        <f t="shared" si="107"/>
        <v>21.7121</v>
      </c>
      <c r="G700" s="20">
        <f t="shared" si="108"/>
        <v>10.257199999999999</v>
      </c>
      <c r="H700" s="1239">
        <f t="shared" si="109"/>
        <v>10.764900000000001</v>
      </c>
      <c r="I700" s="1243">
        <f t="shared" si="103"/>
        <v>0.21981625467956034</v>
      </c>
      <c r="J700" s="1243">
        <f t="shared" si="110"/>
        <v>0.12093838824177333</v>
      </c>
      <c r="K700" s="1243">
        <f t="shared" si="111"/>
        <v>0.1</v>
      </c>
      <c r="L700" s="203"/>
      <c r="N700" s="1425">
        <v>44211</v>
      </c>
      <c r="O700" s="1502">
        <v>13.1312</v>
      </c>
      <c r="P700" s="1502">
        <v>3.0474999999999999</v>
      </c>
      <c r="Q700" s="1502">
        <v>11.526199999999999</v>
      </c>
      <c r="R700" s="1233">
        <f>'B. PE'!$U$23</f>
        <v>15.978235616082999</v>
      </c>
      <c r="S700" s="1233"/>
      <c r="T700" s="1233"/>
      <c r="V700" s="1425">
        <v>44211</v>
      </c>
      <c r="W700" s="1">
        <v>12.2971</v>
      </c>
      <c r="X700" s="1">
        <v>1.0399</v>
      </c>
      <c r="Y700" s="1">
        <v>9.3391000000000002</v>
      </c>
      <c r="Z700" s="1">
        <v>0.63500999999999996</v>
      </c>
      <c r="AB700" s="1425">
        <v>44187</v>
      </c>
      <c r="AC700" s="1">
        <v>15.251799999999999</v>
      </c>
      <c r="AD700" s="1502">
        <v>1.2614000000000001</v>
      </c>
      <c r="AE700" s="1">
        <v>7.0917000000000003</v>
      </c>
      <c r="AF700" s="1">
        <v>2.9149999999999999E-2</v>
      </c>
      <c r="AH700" s="1425">
        <v>44187</v>
      </c>
      <c r="AI700" s="1">
        <v>10.802300000000001</v>
      </c>
      <c r="AJ700" s="1">
        <v>1.7297</v>
      </c>
      <c r="AK700" s="1">
        <v>4.1784999999999997</v>
      </c>
      <c r="AL700" s="1">
        <v>2.2710000000000001E-2</v>
      </c>
      <c r="AN700" s="1425">
        <v>44189</v>
      </c>
      <c r="AO700" s="1">
        <v>10.3637</v>
      </c>
      <c r="AP700" s="1">
        <v>1.1105</v>
      </c>
      <c r="AQ700" s="1">
        <v>6.6021000000000001</v>
      </c>
      <c r="AR700" s="1">
        <v>0.24623999999999999</v>
      </c>
      <c r="AT700" s="1425">
        <v>44189</v>
      </c>
      <c r="AU700" s="1">
        <v>7.7298</v>
      </c>
      <c r="AV700" s="1">
        <v>0.53310000000000002</v>
      </c>
      <c r="AW700" s="1">
        <v>5.5307000000000004</v>
      </c>
      <c r="AX700" s="1">
        <v>0.13174</v>
      </c>
      <c r="BA700" s="1425">
        <v>44181</v>
      </c>
      <c r="BB700" s="1">
        <v>10.771100000000001</v>
      </c>
      <c r="BC700" s="1">
        <v>2.3094000000000001</v>
      </c>
      <c r="BD700" s="1">
        <v>8.9578000000000007</v>
      </c>
      <c r="BE700" s="1">
        <v>0.55481999999999998</v>
      </c>
      <c r="BG700" s="1425">
        <v>44181</v>
      </c>
      <c r="BH700" s="1">
        <v>19.7178</v>
      </c>
      <c r="BI700" s="1">
        <v>3.6061000000000001</v>
      </c>
      <c r="BJ700" s="1">
        <v>22.323399999999999</v>
      </c>
      <c r="BT700" s="1425">
        <v>44211</v>
      </c>
      <c r="BU700" s="1">
        <v>14.770899999999999</v>
      </c>
      <c r="BV700" s="1">
        <v>3.7435</v>
      </c>
      <c r="BW700" s="1">
        <v>7.9870999999999999</v>
      </c>
      <c r="BX700" s="1">
        <v>1.8238000000000001</v>
      </c>
      <c r="BZ700" s="1425">
        <v>44211</v>
      </c>
      <c r="CA700" s="1">
        <v>108.3176</v>
      </c>
      <c r="CB700" s="1">
        <v>2.206</v>
      </c>
      <c r="CC700" s="1">
        <v>46.793500000000002</v>
      </c>
      <c r="CD700" s="1">
        <v>0.86209000000000002</v>
      </c>
      <c r="CF700" s="1425">
        <v>44210</v>
      </c>
      <c r="CG700" s="1">
        <v>9.1788000000000007</v>
      </c>
      <c r="CH700" s="1">
        <v>1.4844999999999999</v>
      </c>
      <c r="CI700" s="1">
        <v>6.6212999999999997</v>
      </c>
      <c r="CL700" s="1425">
        <v>44232</v>
      </c>
      <c r="CM700" s="1">
        <v>30.678899999999999</v>
      </c>
      <c r="CN700" s="1">
        <v>2.7686999999999999</v>
      </c>
      <c r="CO700" s="1">
        <v>12.253299999999999</v>
      </c>
    </row>
    <row r="701" spans="1:93">
      <c r="A701" s="1425">
        <v>44210</v>
      </c>
      <c r="B701" s="20">
        <f t="shared" si="102"/>
        <v>13.0512</v>
      </c>
      <c r="C701" s="20">
        <f t="shared" si="104"/>
        <v>11.912800000000001</v>
      </c>
      <c r="D701" s="20">
        <f t="shared" si="105"/>
        <v>10.8995</v>
      </c>
      <c r="E701" s="20">
        <f t="shared" si="106"/>
        <v>10.097099999999999</v>
      </c>
      <c r="F701" s="20">
        <f t="shared" si="107"/>
        <v>22.235299999999999</v>
      </c>
      <c r="G701" s="20">
        <f t="shared" si="108"/>
        <v>10.843299999999999</v>
      </c>
      <c r="H701" s="1239">
        <f t="shared" si="109"/>
        <v>10.8995</v>
      </c>
      <c r="I701" s="1243">
        <f t="shared" si="103"/>
        <v>0.19741272535437404</v>
      </c>
      <c r="J701" s="1243">
        <f t="shared" si="110"/>
        <v>0.12093838824177333</v>
      </c>
      <c r="K701" s="1243">
        <f t="shared" si="111"/>
        <v>0.1</v>
      </c>
      <c r="L701" s="203"/>
      <c r="N701" s="1425">
        <v>44210</v>
      </c>
      <c r="O701" s="1502">
        <v>13.0512</v>
      </c>
      <c r="P701" s="1502">
        <v>3.0289000000000001</v>
      </c>
      <c r="Q701" s="1502">
        <v>11.4506</v>
      </c>
      <c r="R701" s="1233">
        <f>'B. PE'!$U$23</f>
        <v>15.978235616082999</v>
      </c>
      <c r="S701" s="1233"/>
      <c r="T701" s="1233"/>
      <c r="V701" s="1425">
        <v>44210</v>
      </c>
      <c r="W701" s="1">
        <v>11.912800000000001</v>
      </c>
      <c r="X701" s="1">
        <v>1.0074000000000001</v>
      </c>
      <c r="Y701" s="1">
        <v>9.1450999999999993</v>
      </c>
      <c r="Z701" s="1">
        <v>0.62427999999999995</v>
      </c>
      <c r="AB701" s="1425">
        <v>44186</v>
      </c>
      <c r="AC701" s="1">
        <v>16.378699999999998</v>
      </c>
      <c r="AD701" s="1502">
        <v>1.3546</v>
      </c>
      <c r="AE701" s="1">
        <v>7.4943999999999997</v>
      </c>
      <c r="AF701" s="1">
        <v>2.8629999999999999E-2</v>
      </c>
      <c r="AH701" s="1425">
        <v>44186</v>
      </c>
      <c r="AI701" s="1">
        <v>10.735200000000001</v>
      </c>
      <c r="AJ701" s="1">
        <v>1.7189000000000001</v>
      </c>
      <c r="AK701" s="1">
        <v>4.1467000000000001</v>
      </c>
      <c r="AL701" s="1">
        <v>2.2960000000000001E-2</v>
      </c>
      <c r="AN701" s="1425">
        <v>44188</v>
      </c>
      <c r="AO701" s="1">
        <v>10.466799999999999</v>
      </c>
      <c r="AP701" s="1">
        <v>1.1214999999999999</v>
      </c>
      <c r="AQ701" s="1">
        <v>6.6860999999999997</v>
      </c>
      <c r="AR701" s="1">
        <v>0.24809</v>
      </c>
      <c r="AT701" s="1425">
        <v>44188</v>
      </c>
      <c r="AU701" s="1">
        <v>7.3815999999999997</v>
      </c>
      <c r="AV701" s="1">
        <v>0.5091</v>
      </c>
      <c r="AW701" s="1">
        <v>5.3475000000000001</v>
      </c>
      <c r="AX701" s="1">
        <v>0.13577</v>
      </c>
      <c r="BA701" s="1425">
        <v>44180</v>
      </c>
      <c r="BB701" s="1">
        <v>10.709199999999999</v>
      </c>
      <c r="BC701" s="1">
        <v>2.2961</v>
      </c>
      <c r="BD701" s="1">
        <v>8.9161999999999999</v>
      </c>
      <c r="BE701" s="1">
        <v>0.57196000000000002</v>
      </c>
      <c r="BG701" s="1425">
        <v>44180</v>
      </c>
      <c r="BH701" s="1">
        <v>20.281099999999999</v>
      </c>
      <c r="BI701" s="1">
        <v>3.7092000000000001</v>
      </c>
      <c r="BJ701" s="1">
        <v>22.8461</v>
      </c>
      <c r="BT701" s="1425">
        <v>44210</v>
      </c>
      <c r="BU701" s="1">
        <v>14.782400000000001</v>
      </c>
      <c r="BV701" s="1">
        <v>3.7464</v>
      </c>
      <c r="BW701" s="1">
        <v>7.9931999999999999</v>
      </c>
      <c r="BX701" s="1">
        <v>1.8245</v>
      </c>
      <c r="BZ701" s="1425">
        <v>44210</v>
      </c>
      <c r="CA701" s="1">
        <v>109.4359</v>
      </c>
      <c r="CB701" s="1">
        <v>2.2288000000000001</v>
      </c>
      <c r="CC701" s="1">
        <v>47.144599999999997</v>
      </c>
      <c r="CD701" s="1">
        <v>0.85987000000000002</v>
      </c>
      <c r="CF701" s="1425">
        <v>44209</v>
      </c>
      <c r="CG701" s="1">
        <v>9.2881</v>
      </c>
      <c r="CH701" s="1">
        <v>1.5022</v>
      </c>
      <c r="CI701" s="1">
        <v>6.6795</v>
      </c>
      <c r="CL701" s="1425">
        <v>44231</v>
      </c>
      <c r="CM701" s="1">
        <v>30.533799999999999</v>
      </c>
      <c r="CN701" s="1">
        <v>2.7555999999999998</v>
      </c>
      <c r="CO701" s="1">
        <v>12.194699999999999</v>
      </c>
    </row>
    <row r="702" spans="1:93">
      <c r="A702" s="1425">
        <v>44209</v>
      </c>
      <c r="B702" s="20">
        <f t="shared" si="102"/>
        <v>13.403499999999999</v>
      </c>
      <c r="C702" s="20">
        <f t="shared" si="104"/>
        <v>11.1442</v>
      </c>
      <c r="D702" s="20">
        <f t="shared" si="105"/>
        <v>10.933199999999999</v>
      </c>
      <c r="E702" s="20">
        <f t="shared" si="106"/>
        <v>9.9029000000000007</v>
      </c>
      <c r="F702" s="20">
        <f t="shared" si="107"/>
        <v>21.319800000000001</v>
      </c>
      <c r="G702" s="20">
        <f t="shared" si="108"/>
        <v>10.315799999999999</v>
      </c>
      <c r="H702" s="1239">
        <f t="shared" si="109"/>
        <v>10.933199999999999</v>
      </c>
      <c r="I702" s="1243">
        <f t="shared" si="103"/>
        <v>0.2259448285954706</v>
      </c>
      <c r="J702" s="1243">
        <f t="shared" si="110"/>
        <v>0.12093838824177333</v>
      </c>
      <c r="K702" s="1243">
        <f t="shared" si="111"/>
        <v>0.1</v>
      </c>
      <c r="L702" s="203"/>
      <c r="N702" s="1425">
        <v>44209</v>
      </c>
      <c r="O702" s="1502">
        <v>13.403499999999999</v>
      </c>
      <c r="P702" s="1502">
        <v>3.1107</v>
      </c>
      <c r="Q702" s="1502">
        <v>11.783099999999999</v>
      </c>
      <c r="R702" s="1233">
        <f>'B. PE'!$U$23</f>
        <v>15.978235616082999</v>
      </c>
      <c r="S702" s="1233"/>
      <c r="T702" s="1233"/>
      <c r="V702" s="1425">
        <v>44209</v>
      </c>
      <c r="W702" s="1">
        <v>11.1442</v>
      </c>
      <c r="X702" s="1">
        <v>0.94240000000000002</v>
      </c>
      <c r="Y702" s="1">
        <v>8.7569999999999997</v>
      </c>
      <c r="Z702" s="1">
        <v>0.62812000000000001</v>
      </c>
      <c r="AB702" s="1425">
        <v>44183</v>
      </c>
      <c r="AC702" s="1">
        <v>15.4771</v>
      </c>
      <c r="AD702" s="1502">
        <v>1.28</v>
      </c>
      <c r="AE702" s="1">
        <v>7.1722999999999999</v>
      </c>
      <c r="AF702" s="1">
        <v>2.827E-2</v>
      </c>
      <c r="AH702" s="1425">
        <v>44183</v>
      </c>
      <c r="AI702" s="1">
        <v>10.768700000000001</v>
      </c>
      <c r="AJ702" s="1">
        <v>1.7242999999999999</v>
      </c>
      <c r="AK702" s="1">
        <v>4.1626000000000003</v>
      </c>
      <c r="AL702" s="1">
        <v>2.283E-2</v>
      </c>
      <c r="AN702" s="1425">
        <v>44187</v>
      </c>
      <c r="AO702" s="1">
        <v>10.312099999999999</v>
      </c>
      <c r="AP702" s="1">
        <v>1.1049</v>
      </c>
      <c r="AQ702" s="1">
        <v>6.5601000000000003</v>
      </c>
      <c r="AR702" s="1">
        <v>0.25120999999999999</v>
      </c>
      <c r="AT702" s="1425">
        <v>44187</v>
      </c>
      <c r="AU702" s="1">
        <v>7.4512999999999998</v>
      </c>
      <c r="AV702" s="1">
        <v>0.51390000000000002</v>
      </c>
      <c r="AW702" s="1">
        <v>5.3841999999999999</v>
      </c>
      <c r="BA702" s="1425">
        <v>44179</v>
      </c>
      <c r="BB702" s="1">
        <v>10.3378</v>
      </c>
      <c r="BC702" s="1">
        <v>2.2164999999999999</v>
      </c>
      <c r="BD702" s="1">
        <v>8.6664999999999992</v>
      </c>
      <c r="BE702" s="1">
        <v>0.59267999999999998</v>
      </c>
      <c r="BG702" s="1425">
        <v>44179</v>
      </c>
      <c r="BH702" s="1">
        <v>19.999500000000001</v>
      </c>
      <c r="BI702" s="1">
        <v>3.6577000000000002</v>
      </c>
      <c r="BJ702" s="1">
        <v>22.584700000000002</v>
      </c>
      <c r="BT702" s="1425">
        <v>44209</v>
      </c>
      <c r="BU702" s="1">
        <v>14.585900000000001</v>
      </c>
      <c r="BV702" s="1">
        <v>3.6966000000000001</v>
      </c>
      <c r="BW702" s="1">
        <v>7.8894000000000002</v>
      </c>
      <c r="BX702" s="1">
        <v>1.825</v>
      </c>
      <c r="BZ702" s="1425">
        <v>44209</v>
      </c>
      <c r="CA702" s="1">
        <v>109.5956</v>
      </c>
      <c r="CB702" s="1">
        <v>2.2320000000000002</v>
      </c>
      <c r="CC702" s="1">
        <v>47.194699999999997</v>
      </c>
      <c r="CD702" s="1">
        <v>0.85887999999999998</v>
      </c>
      <c r="CF702" s="1425">
        <v>44208</v>
      </c>
      <c r="CG702" s="1">
        <v>9.1788000000000007</v>
      </c>
      <c r="CH702" s="1">
        <v>1.4844999999999999</v>
      </c>
      <c r="CI702" s="1">
        <v>6.6212999999999997</v>
      </c>
      <c r="CL702" s="1425">
        <v>44230</v>
      </c>
      <c r="CM702" s="1">
        <v>30.616700000000002</v>
      </c>
      <c r="CN702" s="1">
        <v>2.7631000000000001</v>
      </c>
      <c r="CO702" s="1">
        <v>12.228199999999999</v>
      </c>
    </row>
    <row r="703" spans="1:93">
      <c r="A703" s="1425">
        <v>44208</v>
      </c>
      <c r="B703" s="20">
        <f t="shared" si="102"/>
        <v>13.419499999999999</v>
      </c>
      <c r="C703" s="20">
        <f t="shared" si="104"/>
        <v>10.9521</v>
      </c>
      <c r="D703" s="20">
        <f t="shared" si="105"/>
        <v>10.8995</v>
      </c>
      <c r="E703" s="20">
        <f t="shared" si="106"/>
        <v>9.6117000000000008</v>
      </c>
      <c r="F703" s="20">
        <f t="shared" si="107"/>
        <v>20.796600000000002</v>
      </c>
      <c r="G703" s="20">
        <f t="shared" si="108"/>
        <v>10.3744</v>
      </c>
      <c r="H703" s="1239">
        <f t="shared" si="109"/>
        <v>10.8995</v>
      </c>
      <c r="I703" s="1243">
        <f t="shared" si="103"/>
        <v>0.23120326620487175</v>
      </c>
      <c r="J703" s="1243">
        <f t="shared" si="110"/>
        <v>0.12093838824177333</v>
      </c>
      <c r="K703" s="1243">
        <f t="shared" si="111"/>
        <v>0.1</v>
      </c>
      <c r="L703" s="203"/>
      <c r="N703" s="1425">
        <v>44208</v>
      </c>
      <c r="O703" s="1502">
        <v>13.419499999999999</v>
      </c>
      <c r="P703" s="1502">
        <v>3.1143999999999998</v>
      </c>
      <c r="Q703" s="1502">
        <v>11.798299999999999</v>
      </c>
      <c r="R703" s="1233">
        <f>'B. PE'!$U$23</f>
        <v>15.978235616082999</v>
      </c>
      <c r="S703" s="1233"/>
      <c r="T703" s="1233"/>
      <c r="V703" s="1425">
        <v>44208</v>
      </c>
      <c r="W703" s="1">
        <v>10.9521</v>
      </c>
      <c r="X703" s="1">
        <v>0.92620000000000002</v>
      </c>
      <c r="Y703" s="1">
        <v>8.66</v>
      </c>
      <c r="Z703" s="1">
        <v>0.63495000000000001</v>
      </c>
      <c r="AB703" s="1425">
        <v>44182</v>
      </c>
      <c r="AC703" s="1">
        <v>15.176600000000001</v>
      </c>
      <c r="AD703" s="1502">
        <v>1.2552000000000001</v>
      </c>
      <c r="AE703" s="1">
        <v>7.0648999999999997</v>
      </c>
      <c r="AF703" s="1">
        <v>2.8199999999999999E-2</v>
      </c>
      <c r="AH703" s="1425">
        <v>44182</v>
      </c>
      <c r="AI703" s="1">
        <v>10.869400000000001</v>
      </c>
      <c r="AJ703" s="1">
        <v>1.7403999999999999</v>
      </c>
      <c r="AK703" s="1">
        <v>4.2103000000000002</v>
      </c>
      <c r="AL703" s="1">
        <v>2.2970000000000001E-2</v>
      </c>
      <c r="AN703" s="1425">
        <v>44186</v>
      </c>
      <c r="AO703" s="1">
        <v>10.3637</v>
      </c>
      <c r="AP703" s="1">
        <v>1.1105</v>
      </c>
      <c r="AQ703" s="1">
        <v>6.6021000000000001</v>
      </c>
      <c r="AR703" s="1">
        <v>0.25646999999999998</v>
      </c>
      <c r="AT703" s="1425">
        <v>44186</v>
      </c>
      <c r="AU703" s="1">
        <v>7.6601999999999997</v>
      </c>
      <c r="AV703" s="1">
        <v>0.52829999999999999</v>
      </c>
      <c r="AW703" s="1">
        <v>5.4941000000000004</v>
      </c>
      <c r="AX703" s="1">
        <v>0.13505</v>
      </c>
      <c r="BA703" s="1425">
        <v>44174</v>
      </c>
      <c r="BB703" s="1">
        <v>10.6473</v>
      </c>
      <c r="BC703" s="1">
        <v>2.2827999999999999</v>
      </c>
      <c r="BD703" s="1">
        <v>8.8745999999999992</v>
      </c>
      <c r="BE703" s="1">
        <v>0.59677999999999998</v>
      </c>
      <c r="BG703" s="1425">
        <v>44174</v>
      </c>
      <c r="BH703" s="1">
        <v>20.703700000000001</v>
      </c>
      <c r="BI703" s="1">
        <v>3.7865000000000002</v>
      </c>
      <c r="BJ703" s="1">
        <v>23.238099999999999</v>
      </c>
      <c r="BT703" s="1425">
        <v>44208</v>
      </c>
      <c r="BU703" s="1">
        <v>14.585900000000001</v>
      </c>
      <c r="BV703" s="1">
        <v>3.6966000000000001</v>
      </c>
      <c r="BW703" s="1">
        <v>7.8894000000000002</v>
      </c>
      <c r="BX703" s="1">
        <v>1.7601</v>
      </c>
      <c r="BZ703" s="1425">
        <v>44208</v>
      </c>
      <c r="CA703" s="1">
        <v>109.2761</v>
      </c>
      <c r="CB703" s="1">
        <v>2.2254999999999998</v>
      </c>
      <c r="CC703" s="1">
        <v>47.0944</v>
      </c>
      <c r="CD703" s="1">
        <v>0.85321999999999998</v>
      </c>
      <c r="CF703" s="1425">
        <v>44207</v>
      </c>
      <c r="CG703" s="1">
        <v>9.3428000000000004</v>
      </c>
      <c r="CH703" s="1">
        <v>1.5111000000000001</v>
      </c>
      <c r="CI703" s="1">
        <v>6.7087000000000003</v>
      </c>
      <c r="CL703" s="1425">
        <v>44229</v>
      </c>
      <c r="CM703" s="1">
        <v>30.4924</v>
      </c>
      <c r="CN703" s="1">
        <v>2.7519</v>
      </c>
      <c r="CO703" s="1">
        <v>12.177899999999999</v>
      </c>
    </row>
    <row r="704" spans="1:93">
      <c r="A704" s="1425">
        <v>44207</v>
      </c>
      <c r="B704" s="20">
        <f t="shared" si="102"/>
        <v>13.563599999999999</v>
      </c>
      <c r="C704" s="20">
        <f t="shared" si="104"/>
        <v>11.0161</v>
      </c>
      <c r="D704" s="20">
        <f t="shared" si="105"/>
        <v>10.933199999999999</v>
      </c>
      <c r="E704" s="20">
        <f t="shared" si="106"/>
        <v>9.4175000000000004</v>
      </c>
      <c r="F704" s="20">
        <f t="shared" si="107"/>
        <v>21.058199999999999</v>
      </c>
      <c r="G704" s="20">
        <f t="shared" si="108"/>
        <v>10.3744</v>
      </c>
      <c r="H704" s="1239">
        <f t="shared" si="109"/>
        <v>10.933199999999999</v>
      </c>
      <c r="I704" s="1243">
        <f t="shared" si="103"/>
        <v>0.24058829985731522</v>
      </c>
      <c r="J704" s="1243">
        <f t="shared" si="110"/>
        <v>0.12093838824177333</v>
      </c>
      <c r="K704" s="1243">
        <f t="shared" si="111"/>
        <v>0.1</v>
      </c>
      <c r="L704" s="203"/>
      <c r="N704" s="1425">
        <v>44207</v>
      </c>
      <c r="O704" s="1502">
        <v>13.563599999999999</v>
      </c>
      <c r="P704" s="1502">
        <v>3.1478000000000002</v>
      </c>
      <c r="Q704" s="1502">
        <v>11.9343</v>
      </c>
      <c r="R704" s="1233">
        <f>'B. PE'!$U$23</f>
        <v>15.978235616082999</v>
      </c>
      <c r="S704" s="1233"/>
      <c r="T704" s="1233"/>
      <c r="V704" s="1425">
        <v>44207</v>
      </c>
      <c r="W704" s="1">
        <v>11.0161</v>
      </c>
      <c r="X704" s="1">
        <v>0.93159999999999998</v>
      </c>
      <c r="Y704" s="1">
        <v>8.6923999999999992</v>
      </c>
      <c r="Z704" s="1">
        <v>0.63307000000000002</v>
      </c>
      <c r="AB704" s="1425">
        <v>44181</v>
      </c>
      <c r="AC704" s="1">
        <v>15.026400000000001</v>
      </c>
      <c r="AD704" s="1502">
        <v>1.2426999999999999</v>
      </c>
      <c r="AE704" s="1">
        <v>7.0111999999999997</v>
      </c>
      <c r="AF704" s="1">
        <v>2.7369999999999998E-2</v>
      </c>
      <c r="AH704" s="1425">
        <v>44181</v>
      </c>
      <c r="AI704" s="1">
        <v>10.835800000000001</v>
      </c>
      <c r="AJ704" s="1">
        <v>1.7351000000000001</v>
      </c>
      <c r="AK704" s="1">
        <v>4.1943999999999999</v>
      </c>
      <c r="AL704" s="1">
        <v>2.342E-2</v>
      </c>
      <c r="AN704" s="1425">
        <v>44183</v>
      </c>
      <c r="AO704" s="1">
        <v>10.466799999999999</v>
      </c>
      <c r="AP704" s="1">
        <v>1.1214999999999999</v>
      </c>
      <c r="AQ704" s="1">
        <v>6.6860999999999997</v>
      </c>
      <c r="AR704" s="1">
        <v>0.25669999999999998</v>
      </c>
      <c r="AT704" s="1425">
        <v>44183</v>
      </c>
      <c r="AW704" s="1">
        <v>5.4573999999999998</v>
      </c>
      <c r="AX704" s="1">
        <v>0.13575000000000001</v>
      </c>
      <c r="BA704" s="1425">
        <v>44173</v>
      </c>
      <c r="BB704" s="1">
        <v>11.018800000000001</v>
      </c>
      <c r="BC704" s="1">
        <v>2.3624999999999998</v>
      </c>
      <c r="BD704" s="1">
        <v>9.1242999999999999</v>
      </c>
      <c r="BE704" s="1">
        <v>0.61314999999999997</v>
      </c>
      <c r="BG704" s="1425">
        <v>44173</v>
      </c>
      <c r="BH704" s="1">
        <v>21.266999999999999</v>
      </c>
      <c r="BI704" s="1">
        <v>3.8895</v>
      </c>
      <c r="BJ704" s="1">
        <v>23.7608</v>
      </c>
      <c r="BT704" s="1425">
        <v>44207</v>
      </c>
      <c r="BU704" s="1">
        <v>14.585900000000001</v>
      </c>
      <c r="BV704" s="1">
        <v>3.6966000000000001</v>
      </c>
      <c r="BW704" s="1">
        <v>7.8894000000000002</v>
      </c>
      <c r="BX704" s="1">
        <v>1.7455000000000001</v>
      </c>
      <c r="BZ704" s="1425">
        <v>44207</v>
      </c>
      <c r="CA704" s="1">
        <v>109.1164</v>
      </c>
      <c r="CB704" s="1">
        <v>2.2223000000000002</v>
      </c>
      <c r="CC704" s="1">
        <v>47.0443</v>
      </c>
      <c r="CD704" s="1">
        <v>0.86194000000000004</v>
      </c>
      <c r="CF704" s="1425">
        <v>44204</v>
      </c>
      <c r="CG704" s="1">
        <v>9.1242000000000001</v>
      </c>
      <c r="CH704" s="1">
        <v>1.4757</v>
      </c>
      <c r="CI704" s="1">
        <v>6.5921000000000003</v>
      </c>
      <c r="CL704" s="1425">
        <v>44228</v>
      </c>
      <c r="CM704" s="1">
        <v>29.8705</v>
      </c>
      <c r="CN704" s="1">
        <v>2.6958000000000002</v>
      </c>
      <c r="CO704" s="1">
        <v>11.9267</v>
      </c>
    </row>
    <row r="705" spans="1:93">
      <c r="A705" s="1425">
        <v>44204</v>
      </c>
      <c r="B705" s="20">
        <f t="shared" si="102"/>
        <v>13.1152</v>
      </c>
      <c r="C705" s="20">
        <f t="shared" si="104"/>
        <v>11.1442</v>
      </c>
      <c r="D705" s="20">
        <f t="shared" si="105"/>
        <v>10.966799999999999</v>
      </c>
      <c r="E705" s="20">
        <f t="shared" si="106"/>
        <v>9.5631000000000004</v>
      </c>
      <c r="F705" s="20">
        <f t="shared" si="107"/>
        <v>21.058199999999999</v>
      </c>
      <c r="G705" s="20">
        <f t="shared" si="108"/>
        <v>10.5502</v>
      </c>
      <c r="H705" s="1239">
        <f t="shared" si="109"/>
        <v>10.966799999999999</v>
      </c>
      <c r="I705" s="1243">
        <f t="shared" si="103"/>
        <v>0.19590035379509074</v>
      </c>
      <c r="J705" s="1243">
        <f t="shared" si="110"/>
        <v>0.12093838824177333</v>
      </c>
      <c r="K705" s="1243">
        <f t="shared" si="111"/>
        <v>0.1</v>
      </c>
      <c r="L705" s="203"/>
      <c r="N705" s="1425">
        <v>44204</v>
      </c>
      <c r="O705" s="1502">
        <v>13.1152</v>
      </c>
      <c r="P705" s="1502">
        <v>3.0438000000000001</v>
      </c>
      <c r="Q705" s="1502">
        <v>11.511100000000001</v>
      </c>
      <c r="R705" s="1233">
        <f>'B. PE'!$U$23</f>
        <v>15.978235616082999</v>
      </c>
      <c r="S705" s="1233"/>
      <c r="T705" s="1233"/>
      <c r="V705" s="1425">
        <v>44204</v>
      </c>
      <c r="W705" s="1">
        <v>11.1442</v>
      </c>
      <c r="X705" s="1">
        <v>0.94240000000000002</v>
      </c>
      <c r="Y705" s="1">
        <v>8.7569999999999997</v>
      </c>
      <c r="Z705" s="1">
        <v>0.61965999999999999</v>
      </c>
      <c r="AB705" s="1425">
        <v>44180</v>
      </c>
      <c r="AC705" s="1">
        <v>14.988799999999999</v>
      </c>
      <c r="AD705" s="1502">
        <v>1.2396</v>
      </c>
      <c r="AE705" s="1">
        <v>6.9977999999999998</v>
      </c>
      <c r="AF705" s="1">
        <v>2.7459999999999998E-2</v>
      </c>
      <c r="AH705" s="1425">
        <v>44180</v>
      </c>
      <c r="AI705" s="1">
        <v>10.902900000000001</v>
      </c>
      <c r="AJ705" s="1">
        <v>1.7458</v>
      </c>
      <c r="AK705" s="1">
        <v>4.2262000000000004</v>
      </c>
      <c r="AL705" s="1">
        <v>2.231E-2</v>
      </c>
      <c r="AN705" s="1425">
        <v>44182</v>
      </c>
      <c r="AO705" s="1">
        <v>10.673</v>
      </c>
      <c r="AP705" s="1">
        <v>1.1435999999999999</v>
      </c>
      <c r="AQ705" s="1">
        <v>6.8541999999999996</v>
      </c>
      <c r="AR705" s="1">
        <v>0.25657000000000002</v>
      </c>
      <c r="AT705" s="1425">
        <v>44182</v>
      </c>
      <c r="AU705" s="1">
        <v>7.5904999999999996</v>
      </c>
      <c r="AV705" s="1">
        <v>0.52349999999999997</v>
      </c>
      <c r="AW705" s="1">
        <v>5.4573999999999998</v>
      </c>
      <c r="AX705" s="1">
        <v>0.13569000000000001</v>
      </c>
      <c r="BA705" s="1425">
        <v>44169</v>
      </c>
      <c r="BB705" s="1">
        <v>11.1426</v>
      </c>
      <c r="BC705" s="1">
        <v>2.3889999999999998</v>
      </c>
      <c r="BD705" s="1">
        <v>9.2075999999999993</v>
      </c>
      <c r="BE705" s="1">
        <v>0.60540000000000005</v>
      </c>
      <c r="BG705" s="1425">
        <v>44169</v>
      </c>
      <c r="BH705" s="1">
        <v>21.266999999999999</v>
      </c>
      <c r="BI705" s="1">
        <v>3.8895</v>
      </c>
      <c r="BJ705" s="1">
        <v>23.7608</v>
      </c>
      <c r="BT705" s="1425">
        <v>44204</v>
      </c>
      <c r="BU705" s="1">
        <v>14.077400000000001</v>
      </c>
      <c r="BV705" s="1">
        <v>3.5676999999999999</v>
      </c>
      <c r="BW705" s="1">
        <v>7.6207000000000003</v>
      </c>
      <c r="BX705" s="1">
        <v>1.7508999999999999</v>
      </c>
      <c r="BZ705" s="1425">
        <v>44204</v>
      </c>
      <c r="CA705" s="1">
        <v>108.4773</v>
      </c>
      <c r="CB705" s="1">
        <v>2.2092999999999998</v>
      </c>
      <c r="CC705" s="1">
        <v>46.843699999999998</v>
      </c>
      <c r="CD705" s="1">
        <v>0.81586000000000003</v>
      </c>
      <c r="CF705" s="1425">
        <v>44203</v>
      </c>
      <c r="CG705" s="1">
        <v>8.7964000000000002</v>
      </c>
      <c r="CH705" s="1">
        <v>1.4227000000000001</v>
      </c>
      <c r="CI705" s="1">
        <v>6.4173</v>
      </c>
      <c r="CL705" s="1425">
        <v>44225</v>
      </c>
      <c r="CM705" s="1">
        <v>29.7669</v>
      </c>
      <c r="CN705" s="1">
        <v>2.6863999999999999</v>
      </c>
      <c r="CO705" s="1">
        <v>11.8849</v>
      </c>
    </row>
    <row r="706" spans="1:93">
      <c r="A706" s="1425">
        <v>44203</v>
      </c>
      <c r="B706" s="20">
        <f t="shared" si="102"/>
        <v>13.2113</v>
      </c>
      <c r="C706" s="20">
        <f t="shared" si="104"/>
        <v>11.1122</v>
      </c>
      <c r="D706" s="20">
        <f t="shared" si="105"/>
        <v>10.731299999999999</v>
      </c>
      <c r="E706" s="20">
        <f t="shared" si="106"/>
        <v>9.9029000000000007</v>
      </c>
      <c r="F706" s="20">
        <f t="shared" si="107"/>
        <v>20.273399999999999</v>
      </c>
      <c r="G706" s="20">
        <f t="shared" si="108"/>
        <v>10.843299999999999</v>
      </c>
      <c r="H706" s="1239">
        <f t="shared" si="109"/>
        <v>10.843299999999999</v>
      </c>
      <c r="I706" s="1243">
        <f t="shared" si="103"/>
        <v>0.21838370237842719</v>
      </c>
      <c r="J706" s="1243">
        <f t="shared" si="110"/>
        <v>0.12093838824177333</v>
      </c>
      <c r="K706" s="1243">
        <f t="shared" si="111"/>
        <v>0.1</v>
      </c>
      <c r="L706" s="203"/>
      <c r="N706" s="1425">
        <v>44203</v>
      </c>
      <c r="O706" s="1502">
        <v>13.2113</v>
      </c>
      <c r="P706" s="1502">
        <v>3.0661</v>
      </c>
      <c r="Q706" s="1502">
        <v>11.601800000000001</v>
      </c>
      <c r="R706" s="1233">
        <f>'B. PE'!$U$23</f>
        <v>15.978235616082999</v>
      </c>
      <c r="S706" s="1233"/>
      <c r="T706" s="1233"/>
      <c r="V706" s="1425">
        <v>44203</v>
      </c>
      <c r="W706" s="1">
        <v>11.1122</v>
      </c>
      <c r="X706" s="1">
        <v>0.93969999999999998</v>
      </c>
      <c r="Y706" s="1">
        <v>8.7408999999999999</v>
      </c>
      <c r="Z706" s="1">
        <v>0.62365000000000004</v>
      </c>
      <c r="AB706" s="1425">
        <v>44179</v>
      </c>
      <c r="AC706" s="1">
        <v>14.5756</v>
      </c>
      <c r="AD706" s="1502">
        <v>1.2055</v>
      </c>
      <c r="AE706" s="1">
        <v>6.8501000000000003</v>
      </c>
      <c r="AF706" s="1">
        <v>2.6859999999999998E-2</v>
      </c>
      <c r="AH706" s="1425">
        <v>44179</v>
      </c>
      <c r="AI706" s="1">
        <v>11.1378</v>
      </c>
      <c r="AJ706" s="1">
        <v>1.7834000000000001</v>
      </c>
      <c r="AK706" s="1">
        <v>4.3376000000000001</v>
      </c>
      <c r="AL706" s="1">
        <v>2.2329999999999999E-2</v>
      </c>
      <c r="AN706" s="1425">
        <v>44181</v>
      </c>
      <c r="AO706" s="1">
        <v>10.724600000000001</v>
      </c>
      <c r="AP706" s="1">
        <v>1.1491</v>
      </c>
      <c r="AQ706" s="1">
        <v>6.8962000000000003</v>
      </c>
      <c r="AR706" s="1">
        <v>0.24917</v>
      </c>
      <c r="AT706" s="1425">
        <v>44181</v>
      </c>
      <c r="AU706" s="1">
        <v>7.6601999999999997</v>
      </c>
      <c r="AV706" s="1">
        <v>0.52829999999999999</v>
      </c>
      <c r="AW706" s="1">
        <v>5.4941000000000004</v>
      </c>
      <c r="AX706" s="1">
        <v>0.13569000000000001</v>
      </c>
      <c r="BA706" s="1425">
        <v>44168</v>
      </c>
      <c r="BB706" s="1">
        <v>11.4521</v>
      </c>
      <c r="BC706" s="1">
        <v>2.4554</v>
      </c>
      <c r="BD706" s="1">
        <v>9.4156999999999993</v>
      </c>
      <c r="BE706" s="1">
        <v>0.62129999999999996</v>
      </c>
      <c r="BG706" s="1425">
        <v>44168</v>
      </c>
      <c r="BH706" s="1">
        <v>20.562799999999999</v>
      </c>
      <c r="BI706" s="1">
        <v>3.7606999999999999</v>
      </c>
      <c r="BJ706" s="1">
        <v>23.107399999999998</v>
      </c>
      <c r="BT706" s="1425">
        <v>44203</v>
      </c>
      <c r="BU706" s="1">
        <v>13.9618</v>
      </c>
      <c r="BV706" s="1">
        <v>3.5384000000000002</v>
      </c>
      <c r="BW706" s="1">
        <v>7.5595999999999997</v>
      </c>
      <c r="BX706" s="1">
        <v>1.7605</v>
      </c>
      <c r="BZ706" s="1425">
        <v>44203</v>
      </c>
      <c r="CA706" s="1">
        <v>109.5956</v>
      </c>
      <c r="CB706" s="1">
        <v>2.2320000000000002</v>
      </c>
      <c r="CC706" s="1">
        <v>47.194699999999997</v>
      </c>
      <c r="CD706" s="1">
        <v>0.82133999999999996</v>
      </c>
      <c r="CF706" s="1425">
        <v>44202</v>
      </c>
      <c r="CG706" s="1">
        <v>8.4138999999999999</v>
      </c>
      <c r="CH706" s="1">
        <v>1.3608</v>
      </c>
      <c r="CI706" s="1">
        <v>6.2133000000000003</v>
      </c>
      <c r="CL706" s="1425">
        <v>44224</v>
      </c>
      <c r="CM706" s="1">
        <v>29.911999999999999</v>
      </c>
      <c r="CN706" s="1">
        <v>2.6995</v>
      </c>
      <c r="CO706" s="1">
        <v>11.9435</v>
      </c>
    </row>
    <row r="707" spans="1:93">
      <c r="A707" s="1425">
        <v>44202</v>
      </c>
      <c r="B707" s="20">
        <f t="shared" si="102"/>
        <v>13.2113</v>
      </c>
      <c r="C707" s="20">
        <f t="shared" si="104"/>
        <v>10.888</v>
      </c>
      <c r="D707" s="20">
        <f t="shared" si="105"/>
        <v>10.6304</v>
      </c>
      <c r="E707" s="20">
        <f t="shared" si="106"/>
        <v>9.8544</v>
      </c>
      <c r="F707" s="20">
        <f t="shared" si="107"/>
        <v>19.357800000000001</v>
      </c>
      <c r="G707" s="20">
        <f t="shared" si="108"/>
        <v>10.3744</v>
      </c>
      <c r="H707" s="1239">
        <f t="shared" si="109"/>
        <v>10.6304</v>
      </c>
      <c r="I707" s="1243">
        <f t="shared" si="103"/>
        <v>0.24278484346779039</v>
      </c>
      <c r="J707" s="1243">
        <f t="shared" si="110"/>
        <v>0.12093838824177333</v>
      </c>
      <c r="K707" s="1243">
        <f t="shared" si="111"/>
        <v>0.1</v>
      </c>
      <c r="L707" s="203"/>
      <c r="N707" s="1425">
        <v>44202</v>
      </c>
      <c r="O707" s="1502">
        <v>13.2113</v>
      </c>
      <c r="P707" s="1502">
        <v>3.0661</v>
      </c>
      <c r="Q707" s="1502">
        <v>11.601800000000001</v>
      </c>
      <c r="R707" s="1233">
        <f>'B. PE'!$U$23</f>
        <v>15.978235616082999</v>
      </c>
      <c r="S707" s="1233"/>
      <c r="T707" s="1233"/>
      <c r="V707" s="1425">
        <v>44202</v>
      </c>
      <c r="W707" s="1">
        <v>10.888</v>
      </c>
      <c r="X707" s="1">
        <v>0.92069999999999996</v>
      </c>
      <c r="Y707" s="1">
        <v>8.6277000000000008</v>
      </c>
      <c r="Z707" s="1">
        <v>0.59645999999999999</v>
      </c>
      <c r="AB707" s="1425">
        <v>44176</v>
      </c>
      <c r="AC707" s="1">
        <v>14.613099999999999</v>
      </c>
      <c r="AD707" s="1502">
        <v>1.2085999999999999</v>
      </c>
      <c r="AE707" s="1">
        <v>6.8635000000000002</v>
      </c>
      <c r="AF707" s="1">
        <v>2.707E-2</v>
      </c>
      <c r="AH707" s="1425">
        <v>44176</v>
      </c>
      <c r="AI707" s="1">
        <v>10.601000000000001</v>
      </c>
      <c r="AJ707" s="1">
        <v>1.6974</v>
      </c>
      <c r="AK707" s="1">
        <v>4.0831</v>
      </c>
      <c r="AL707" s="1">
        <v>2.2540000000000001E-2</v>
      </c>
      <c r="AN707" s="1425">
        <v>44180</v>
      </c>
      <c r="AO707" s="1">
        <v>10.724600000000001</v>
      </c>
      <c r="AP707" s="1">
        <v>1.1491</v>
      </c>
      <c r="AQ707" s="1">
        <v>6.8962000000000003</v>
      </c>
      <c r="AR707" s="1">
        <v>0.25552000000000002</v>
      </c>
      <c r="AT707" s="1425">
        <v>44180</v>
      </c>
      <c r="AU707" s="1">
        <v>7.6601999999999997</v>
      </c>
      <c r="AV707" s="1">
        <v>0.52829999999999999</v>
      </c>
      <c r="AW707" s="1">
        <v>5.4941000000000004</v>
      </c>
      <c r="AX707" s="1">
        <v>0.13578999999999999</v>
      </c>
      <c r="BA707" s="1425">
        <v>44167</v>
      </c>
      <c r="BB707" s="1">
        <v>11.3283</v>
      </c>
      <c r="BC707" s="1">
        <v>2.4287999999999998</v>
      </c>
      <c r="BD707" s="1">
        <v>9.3324999999999996</v>
      </c>
      <c r="BE707" s="1">
        <v>0.61077999999999999</v>
      </c>
      <c r="BG707" s="1425">
        <v>44167</v>
      </c>
      <c r="BH707" s="1">
        <v>20.985399999999998</v>
      </c>
      <c r="BI707" s="1">
        <v>3.8380000000000001</v>
      </c>
      <c r="BJ707" s="1">
        <v>23.499400000000001</v>
      </c>
      <c r="BT707" s="1425">
        <v>44202</v>
      </c>
      <c r="BU707" s="1">
        <v>14.019600000000001</v>
      </c>
      <c r="BV707" s="1">
        <v>3.5531000000000001</v>
      </c>
      <c r="BW707" s="1">
        <v>7.5902000000000003</v>
      </c>
      <c r="BX707" s="1">
        <v>1.7422</v>
      </c>
      <c r="BZ707" s="1425">
        <v>44202</v>
      </c>
      <c r="CA707" s="1">
        <v>103.8443</v>
      </c>
      <c r="CB707" s="1">
        <v>2.1149</v>
      </c>
      <c r="CC707" s="1">
        <v>45.389499999999998</v>
      </c>
      <c r="CD707" s="1">
        <v>0.8115</v>
      </c>
      <c r="CF707" s="1425">
        <v>44201</v>
      </c>
      <c r="CG707" s="1">
        <v>8.1953999999999994</v>
      </c>
      <c r="CH707" s="1">
        <v>1.3254999999999999</v>
      </c>
      <c r="CI707" s="1">
        <v>6.0968</v>
      </c>
      <c r="CL707" s="1425">
        <v>44223</v>
      </c>
      <c r="CM707" s="1">
        <v>30.1814</v>
      </c>
      <c r="CN707" s="1">
        <v>2.7238000000000002</v>
      </c>
      <c r="CO707" s="1">
        <v>12.052300000000001</v>
      </c>
    </row>
    <row r="708" spans="1:93">
      <c r="A708" s="1425">
        <v>44201</v>
      </c>
      <c r="B708" s="20">
        <f t="shared" si="102"/>
        <v>13.275399999999999</v>
      </c>
      <c r="C708" s="20">
        <f t="shared" si="104"/>
        <v>10.9521</v>
      </c>
      <c r="D708" s="20">
        <f t="shared" si="105"/>
        <v>10.6304</v>
      </c>
      <c r="E708" s="20">
        <f t="shared" si="106"/>
        <v>9.9029000000000007</v>
      </c>
      <c r="F708" s="20">
        <f t="shared" si="107"/>
        <v>19.357800000000001</v>
      </c>
      <c r="G708" s="20">
        <f t="shared" si="108"/>
        <v>10.4916</v>
      </c>
      <c r="H708" s="1239">
        <f t="shared" si="109"/>
        <v>10.6304</v>
      </c>
      <c r="I708" s="1243">
        <f t="shared" si="103"/>
        <v>0.24881472004816363</v>
      </c>
      <c r="J708" s="1243">
        <f t="shared" si="110"/>
        <v>0.12093838824177333</v>
      </c>
      <c r="K708" s="1243">
        <f t="shared" si="111"/>
        <v>0.1</v>
      </c>
      <c r="L708" s="203"/>
      <c r="N708" s="1425">
        <v>44201</v>
      </c>
      <c r="O708" s="1502">
        <v>13.275399999999999</v>
      </c>
      <c r="P708" s="1502">
        <v>3.0809000000000002</v>
      </c>
      <c r="Q708" s="1502">
        <v>11.6622</v>
      </c>
      <c r="R708" s="1233">
        <f>'B. PE'!$U$23</f>
        <v>15.978235616082999</v>
      </c>
      <c r="S708" s="1233"/>
      <c r="T708" s="1233"/>
      <c r="V708" s="1425">
        <v>44201</v>
      </c>
      <c r="W708" s="1">
        <v>10.9521</v>
      </c>
      <c r="X708" s="1">
        <v>0.92620000000000002</v>
      </c>
      <c r="Y708" s="1">
        <v>8.66</v>
      </c>
      <c r="Z708" s="1">
        <v>0.58855000000000002</v>
      </c>
      <c r="AB708" s="1425">
        <v>44175</v>
      </c>
      <c r="AC708" s="1">
        <v>14.275</v>
      </c>
      <c r="AD708" s="1502">
        <v>1.1806000000000001</v>
      </c>
      <c r="AE708" s="1">
        <v>6.7427000000000001</v>
      </c>
      <c r="AF708" s="1">
        <v>2.5739999999999999E-2</v>
      </c>
      <c r="AH708" s="1425">
        <v>44175</v>
      </c>
      <c r="AI708" s="1">
        <v>10.601000000000001</v>
      </c>
      <c r="AJ708" s="1">
        <v>1.6974</v>
      </c>
      <c r="AK708" s="1">
        <v>4.0831</v>
      </c>
      <c r="AL708" s="1">
        <v>2.249E-2</v>
      </c>
      <c r="AN708" s="1425">
        <v>44179</v>
      </c>
      <c r="AO708" s="1">
        <v>10.4152</v>
      </c>
      <c r="AP708" s="1">
        <v>1.1160000000000001</v>
      </c>
      <c r="AQ708" s="1">
        <v>6.6440999999999999</v>
      </c>
      <c r="AR708" s="1">
        <v>0.26107999999999998</v>
      </c>
      <c r="AT708" s="1425">
        <v>44179</v>
      </c>
      <c r="AU708" s="1">
        <v>7.6601999999999997</v>
      </c>
      <c r="AV708" s="1">
        <v>0.52829999999999999</v>
      </c>
      <c r="AW708" s="1">
        <v>5.4941000000000004</v>
      </c>
      <c r="BA708" s="1425">
        <v>44166</v>
      </c>
      <c r="BB708" s="1">
        <v>11.6378</v>
      </c>
      <c r="BC708" s="1">
        <v>2.4952000000000001</v>
      </c>
      <c r="BD708" s="1">
        <v>9.5405999999999995</v>
      </c>
      <c r="BE708" s="1">
        <v>0.63395999999999997</v>
      </c>
      <c r="BG708" s="1425">
        <v>44166</v>
      </c>
      <c r="BH708" s="1">
        <v>21.266999999999999</v>
      </c>
      <c r="BI708" s="1">
        <v>3.8895</v>
      </c>
      <c r="BJ708" s="1">
        <v>23.7608</v>
      </c>
      <c r="BT708" s="1425">
        <v>44201</v>
      </c>
      <c r="BU708" s="1">
        <v>14.089</v>
      </c>
      <c r="BV708" s="1">
        <v>3.5706000000000002</v>
      </c>
      <c r="BW708" s="1">
        <v>7.6268000000000002</v>
      </c>
      <c r="BX708" s="1">
        <v>1.7159</v>
      </c>
      <c r="BZ708" s="1425">
        <v>44201</v>
      </c>
      <c r="CA708" s="1">
        <v>104.4833</v>
      </c>
      <c r="CB708" s="1">
        <v>2.1278999999999999</v>
      </c>
      <c r="CC708" s="1">
        <v>45.5901</v>
      </c>
      <c r="CD708" s="1">
        <v>0.80313000000000001</v>
      </c>
      <c r="CF708" s="1425">
        <v>44200</v>
      </c>
      <c r="CG708" s="1">
        <v>8.3592999999999993</v>
      </c>
      <c r="CH708" s="1">
        <v>1.3520000000000001</v>
      </c>
      <c r="CI708" s="1">
        <v>6.1841999999999997</v>
      </c>
      <c r="CL708" s="1425">
        <v>44222</v>
      </c>
      <c r="CM708" s="1">
        <v>30.450900000000001</v>
      </c>
      <c r="CN708" s="1">
        <v>2.7482000000000002</v>
      </c>
      <c r="CO708" s="1">
        <v>12.161199999999999</v>
      </c>
    </row>
    <row r="709" spans="1:93">
      <c r="A709" s="1425">
        <v>44200</v>
      </c>
      <c r="B709" s="20">
        <f t="shared" ref="B709:B772" si="112">O709</f>
        <v>13.659700000000001</v>
      </c>
      <c r="C709" s="20">
        <f t="shared" si="104"/>
        <v>10.4717</v>
      </c>
      <c r="D709" s="20">
        <f t="shared" si="105"/>
        <v>10.6304</v>
      </c>
      <c r="E709" s="20">
        <f t="shared" si="106"/>
        <v>9.7573000000000008</v>
      </c>
      <c r="F709" s="20">
        <f t="shared" si="107"/>
        <v>19.619399999999999</v>
      </c>
      <c r="G709" s="20">
        <f t="shared" si="108"/>
        <v>10.433</v>
      </c>
      <c r="H709" s="1239">
        <f t="shared" si="109"/>
        <v>10.4717</v>
      </c>
      <c r="I709" s="1243">
        <f t="shared" ref="I709:I772" si="113">B709/H709-1</f>
        <v>0.30443958478566047</v>
      </c>
      <c r="J709" s="1243">
        <f t="shared" si="110"/>
        <v>0.12093838824177333</v>
      </c>
      <c r="K709" s="1243">
        <f t="shared" si="111"/>
        <v>0.1</v>
      </c>
      <c r="L709" s="203"/>
      <c r="N709" s="1425">
        <v>44200</v>
      </c>
      <c r="O709" s="1502">
        <v>13.659700000000001</v>
      </c>
      <c r="P709" s="1502">
        <v>3.1701000000000001</v>
      </c>
      <c r="Q709" s="1502">
        <v>12.025</v>
      </c>
      <c r="R709" s="1233">
        <f>'B. PE'!$U$23</f>
        <v>15.978235616082999</v>
      </c>
      <c r="S709" s="1233"/>
      <c r="T709" s="1233"/>
      <c r="V709" s="1425">
        <v>44200</v>
      </c>
      <c r="W709" s="1">
        <v>10.4717</v>
      </c>
      <c r="X709" s="1">
        <v>0.88549999999999995</v>
      </c>
      <c r="Y709" s="1">
        <v>8.4175000000000004</v>
      </c>
      <c r="Z709" s="1">
        <v>0.59250000000000003</v>
      </c>
      <c r="AB709" s="1425">
        <v>44173</v>
      </c>
      <c r="AC709" s="1">
        <v>14.387700000000001</v>
      </c>
      <c r="AD709" s="1502">
        <v>1.1899</v>
      </c>
      <c r="AE709" s="1">
        <v>6.7830000000000004</v>
      </c>
      <c r="AF709" s="1">
        <v>2.503E-2</v>
      </c>
      <c r="AH709" s="1425">
        <v>44173</v>
      </c>
      <c r="AI709" s="1">
        <v>10.701599999999999</v>
      </c>
      <c r="AJ709" s="1">
        <v>1.7136</v>
      </c>
      <c r="AK709" s="1">
        <v>4.1307999999999998</v>
      </c>
      <c r="AL709" s="1">
        <v>2.2339999999999999E-2</v>
      </c>
      <c r="AN709" s="1425">
        <v>44176</v>
      </c>
      <c r="AO709" s="1">
        <v>10.673</v>
      </c>
      <c r="AP709" s="1">
        <v>1.1435999999999999</v>
      </c>
      <c r="AQ709" s="1">
        <v>6.8541999999999996</v>
      </c>
      <c r="AR709" s="1">
        <v>0.26218999999999998</v>
      </c>
      <c r="AT709" s="1425">
        <v>44176</v>
      </c>
      <c r="AU709" s="1">
        <v>7.6601999999999997</v>
      </c>
      <c r="AV709" s="1">
        <v>0.52829999999999999</v>
      </c>
      <c r="AW709" s="1">
        <v>5.4941000000000004</v>
      </c>
      <c r="AX709" s="1">
        <v>0.13539999999999999</v>
      </c>
      <c r="BA709" s="1425">
        <v>44165</v>
      </c>
      <c r="BB709" s="1">
        <v>11.4521</v>
      </c>
      <c r="BC709" s="1">
        <v>2.4554</v>
      </c>
      <c r="BD709" s="1">
        <v>9.4156999999999993</v>
      </c>
      <c r="BE709" s="1">
        <v>0.58096999999999999</v>
      </c>
      <c r="BG709" s="1425">
        <v>44165</v>
      </c>
      <c r="BH709" s="1">
        <v>20.985399999999998</v>
      </c>
      <c r="BI709" s="1">
        <v>3.8380000000000001</v>
      </c>
      <c r="BJ709" s="1">
        <v>23.499400000000001</v>
      </c>
      <c r="BT709" s="1425">
        <v>44200</v>
      </c>
      <c r="BU709" s="1">
        <v>13.938700000000001</v>
      </c>
      <c r="BV709" s="1">
        <v>3.5326</v>
      </c>
      <c r="BW709" s="1">
        <v>7.5473999999999997</v>
      </c>
      <c r="BX709" s="1">
        <v>1.6937</v>
      </c>
      <c r="BZ709" s="1425">
        <v>44200</v>
      </c>
      <c r="CA709" s="1">
        <v>103.2052</v>
      </c>
      <c r="CB709" s="1">
        <v>2.1019000000000001</v>
      </c>
      <c r="CC709" s="1">
        <v>45.188899999999997</v>
      </c>
      <c r="CD709" s="1">
        <v>0.80354999999999999</v>
      </c>
      <c r="CF709" s="1425">
        <v>44196</v>
      </c>
      <c r="CG709" s="1">
        <v>8.25</v>
      </c>
      <c r="CH709" s="1">
        <v>1.3343</v>
      </c>
      <c r="CI709" s="1">
        <v>6.1555999999999997</v>
      </c>
      <c r="CL709" s="1425">
        <v>44221</v>
      </c>
      <c r="CM709" s="1">
        <v>29.911999999999999</v>
      </c>
      <c r="CN709" s="1">
        <v>2.6995</v>
      </c>
      <c r="CO709" s="1">
        <v>11.9435</v>
      </c>
    </row>
    <row r="710" spans="1:93">
      <c r="A710" s="1425">
        <v>44196</v>
      </c>
      <c r="B710" s="20">
        <f t="shared" si="112"/>
        <v>13.723699999999999</v>
      </c>
      <c r="C710" s="20">
        <f t="shared" ref="C710:C773" si="114">IF(W710=0,W709,W710)</f>
        <v>10.3436</v>
      </c>
      <c r="D710" s="20">
        <f t="shared" ref="D710:D775" si="115">IFERROR(          IF(VLOOKUP(A710,$AH$5:$AI$1301,2,)=0,D709,VLOOKUP(A710,$AH$5:$AI$1301,2,)),D709)</f>
        <v>10.6304</v>
      </c>
      <c r="E710" s="20">
        <f t="shared" ref="E710:E775" si="116">IFERROR(IF(VLOOKUP(A710,$AN$5:$AO$1301,2,)=0, E709, VLOOKUP(A710,$AN$5:$AO$1301,2,)),E709)</f>
        <v>9.7573000000000008</v>
      </c>
      <c r="F710" s="20">
        <f t="shared" ref="F710:F775" si="117">IFERROR(IF(VLOOKUP(A710,$BG$5:$BH$1301,2,)=0,F709,VLOOKUP(A710,$BG$5:$BH$1301,2,)),F709)</f>
        <v>19.619399999999999</v>
      </c>
      <c r="G710" s="20">
        <f t="shared" ref="G710:G775" si="118">IFERROR(IF(VLOOKUP(A710,$BA$5:$BB$1301,2,)=0,G709,VLOOKUP(A710,$BA$5:$BB$1301,2,)),G709)</f>
        <v>10.433</v>
      </c>
      <c r="H710" s="1239">
        <f t="shared" ref="H710:H773" si="119">MEDIAN(C710:G710)</f>
        <v>10.433</v>
      </c>
      <c r="I710" s="1243">
        <f t="shared" si="113"/>
        <v>0.31541263299146927</v>
      </c>
      <c r="J710" s="1243">
        <f t="shared" ref="J710:J773" si="120">$I$3</f>
        <v>0.12093838824177333</v>
      </c>
      <c r="K710" s="1243">
        <f t="shared" si="111"/>
        <v>0.1</v>
      </c>
      <c r="L710" s="203"/>
      <c r="N710" s="1425">
        <v>44196</v>
      </c>
      <c r="O710" s="1502">
        <v>13.723699999999999</v>
      </c>
      <c r="P710" s="1502">
        <v>3.1850000000000001</v>
      </c>
      <c r="Q710" s="1502">
        <v>12.0854</v>
      </c>
      <c r="R710" s="1233">
        <f>'B. PE'!$U$23</f>
        <v>15.978235616082999</v>
      </c>
      <c r="S710" s="1233"/>
      <c r="T710" s="1233"/>
      <c r="V710" s="1425">
        <v>44196</v>
      </c>
      <c r="W710" s="1">
        <v>10.3436</v>
      </c>
      <c r="X710" s="1">
        <v>0.87470000000000003</v>
      </c>
      <c r="Y710" s="1">
        <v>8.3528000000000002</v>
      </c>
      <c r="Z710" s="1">
        <v>0.57355</v>
      </c>
      <c r="AB710" s="1425">
        <v>44172</v>
      </c>
      <c r="AC710" s="1">
        <v>13.673999999999999</v>
      </c>
      <c r="AD710" s="1502">
        <v>1.1309</v>
      </c>
      <c r="AE710" s="1">
        <v>6.5279999999999996</v>
      </c>
      <c r="AF710" s="1">
        <v>2.4760000000000001E-2</v>
      </c>
      <c r="AH710" s="1425">
        <v>44172</v>
      </c>
      <c r="AI710" s="1">
        <v>10.668100000000001</v>
      </c>
      <c r="AJ710" s="1">
        <v>1.7081999999999999</v>
      </c>
      <c r="AK710" s="1">
        <v>4.1148999999999996</v>
      </c>
      <c r="AL710" s="1">
        <v>2.2360000000000001E-2</v>
      </c>
      <c r="AN710" s="1425">
        <v>44175</v>
      </c>
      <c r="AO710" s="1">
        <v>10.9308</v>
      </c>
      <c r="AP710" s="1">
        <v>1.1712</v>
      </c>
      <c r="AQ710" s="1">
        <v>7.0641999999999996</v>
      </c>
      <c r="AR710" s="1">
        <v>0.26273999999999997</v>
      </c>
      <c r="AT710" s="1425">
        <v>44175</v>
      </c>
      <c r="AW710" s="1">
        <v>5.4941000000000004</v>
      </c>
      <c r="AX710" s="1">
        <v>0.13505</v>
      </c>
      <c r="BA710" s="1425">
        <v>44162</v>
      </c>
      <c r="BB710" s="1">
        <v>11.885400000000001</v>
      </c>
      <c r="BC710" s="1">
        <v>2.5482999999999998</v>
      </c>
      <c r="BD710" s="1">
        <v>9.7071000000000005</v>
      </c>
      <c r="BE710" s="1">
        <v>0.58453999999999995</v>
      </c>
      <c r="BG710" s="1425">
        <v>44162</v>
      </c>
      <c r="BH710" s="1">
        <v>19.7178</v>
      </c>
      <c r="BI710" s="1">
        <v>3.6061000000000001</v>
      </c>
      <c r="BJ710" s="1">
        <v>22.323399999999999</v>
      </c>
      <c r="BT710" s="1425">
        <v>44196</v>
      </c>
      <c r="BU710" s="1">
        <v>13.7422</v>
      </c>
      <c r="BV710" s="1">
        <v>3.4828000000000001</v>
      </c>
      <c r="BW710" s="1">
        <v>7.4436</v>
      </c>
      <c r="BX710" s="1">
        <v>1.6900999999999999</v>
      </c>
      <c r="BZ710" s="1425">
        <v>44196</v>
      </c>
      <c r="CA710" s="1">
        <v>102.2467</v>
      </c>
      <c r="CB710" s="1">
        <v>2.0823999999999998</v>
      </c>
      <c r="CC710" s="1">
        <v>44.887999999999998</v>
      </c>
      <c r="CD710" s="1">
        <v>0.81759000000000004</v>
      </c>
      <c r="CF710" s="1425">
        <v>44195</v>
      </c>
      <c r="CG710" s="1">
        <v>8.3488000000000007</v>
      </c>
      <c r="CH710" s="1">
        <v>1.2313000000000001</v>
      </c>
      <c r="CI710" s="1">
        <v>9.2274999999999991</v>
      </c>
      <c r="CL710" s="1425">
        <v>44218</v>
      </c>
      <c r="CM710" s="1">
        <v>29.269400000000001</v>
      </c>
      <c r="CN710" s="1">
        <v>2.6415000000000002</v>
      </c>
      <c r="CO710" s="1">
        <v>11.6839</v>
      </c>
    </row>
    <row r="711" spans="1:93">
      <c r="A711" s="1425">
        <v>44195</v>
      </c>
      <c r="B711" s="20">
        <f t="shared" si="112"/>
        <v>15.760300000000001</v>
      </c>
      <c r="C711" s="20">
        <f t="shared" si="114"/>
        <v>10.2813</v>
      </c>
      <c r="D711" s="20">
        <f t="shared" si="115"/>
        <v>10.6304</v>
      </c>
      <c r="E711" s="20">
        <f t="shared" si="116"/>
        <v>10.569900000000001</v>
      </c>
      <c r="F711" s="20">
        <f t="shared" si="117"/>
        <v>19.619399999999999</v>
      </c>
      <c r="G711" s="20">
        <f t="shared" si="118"/>
        <v>10.257199999999999</v>
      </c>
      <c r="H711" s="1239">
        <f t="shared" si="119"/>
        <v>10.569900000000001</v>
      </c>
      <c r="I711" s="1243">
        <f t="shared" si="113"/>
        <v>0.49105478765172794</v>
      </c>
      <c r="J711" s="1243">
        <f t="shared" si="120"/>
        <v>0.12093838824177333</v>
      </c>
      <c r="K711" s="1243">
        <f t="shared" ref="K711:K774" si="121">K710</f>
        <v>0.1</v>
      </c>
      <c r="L711" s="203"/>
      <c r="N711" s="1425">
        <v>44195</v>
      </c>
      <c r="O711" s="1502">
        <v>15.760300000000001</v>
      </c>
      <c r="P711" s="1502">
        <v>3.3569</v>
      </c>
      <c r="Q711" s="1502">
        <v>15.382999999999999</v>
      </c>
      <c r="R711" s="1233">
        <f>'B. PE'!$U$23</f>
        <v>15.978235616082999</v>
      </c>
      <c r="S711" s="1233"/>
      <c r="T711" s="1233"/>
      <c r="V711" s="1425">
        <v>44195</v>
      </c>
      <c r="W711" s="1">
        <v>10.2813</v>
      </c>
      <c r="X711" s="1">
        <v>0.88490000000000002</v>
      </c>
      <c r="Y711" s="1">
        <v>11.9697</v>
      </c>
      <c r="Z711" s="1">
        <v>0.58235000000000003</v>
      </c>
      <c r="AB711" s="1425">
        <v>44169</v>
      </c>
      <c r="AC711" s="1">
        <v>13.298299999999999</v>
      </c>
      <c r="AD711" s="1502">
        <v>1.0998000000000001</v>
      </c>
      <c r="AE711" s="1">
        <v>6.3936999999999999</v>
      </c>
      <c r="AF711" s="1">
        <v>2.5180000000000001E-2</v>
      </c>
      <c r="AH711" s="1425">
        <v>44169</v>
      </c>
      <c r="AI711" s="1">
        <v>10.601000000000001</v>
      </c>
      <c r="AJ711" s="1">
        <v>1.6974</v>
      </c>
      <c r="AK711" s="1">
        <v>4.0831</v>
      </c>
      <c r="AL711" s="1">
        <v>2.2429999999999999E-2</v>
      </c>
      <c r="AN711" s="1425">
        <v>44174</v>
      </c>
      <c r="AO711" s="1">
        <v>10.9824</v>
      </c>
      <c r="AP711" s="1">
        <v>1.1768000000000001</v>
      </c>
      <c r="AQ711" s="1">
        <v>7.1062000000000003</v>
      </c>
      <c r="AR711" s="1">
        <v>0.26523000000000002</v>
      </c>
      <c r="AT711" s="1425">
        <v>44174</v>
      </c>
      <c r="AU711" s="1">
        <v>7.6601999999999997</v>
      </c>
      <c r="AV711" s="1">
        <v>0.52829999999999999</v>
      </c>
      <c r="AW711" s="1">
        <v>5.4941000000000004</v>
      </c>
      <c r="AX711" s="1">
        <v>0.1363</v>
      </c>
      <c r="BA711" s="1425">
        <v>44161</v>
      </c>
      <c r="BB711" s="1">
        <v>10.895</v>
      </c>
      <c r="BC711" s="1">
        <v>2.3359000000000001</v>
      </c>
      <c r="BD711" s="1">
        <v>9.0411000000000001</v>
      </c>
      <c r="BE711" s="1">
        <v>0.58628000000000002</v>
      </c>
      <c r="BG711" s="1425">
        <v>44161</v>
      </c>
      <c r="BH711" s="1">
        <v>17.886800000000001</v>
      </c>
      <c r="BI711" s="1">
        <v>3.2713000000000001</v>
      </c>
      <c r="BJ711" s="1">
        <v>20.624600000000001</v>
      </c>
      <c r="BT711" s="1425">
        <v>44195</v>
      </c>
      <c r="BU711" s="1">
        <v>13.7745</v>
      </c>
      <c r="BV711" s="1">
        <v>3.4904999999999999</v>
      </c>
      <c r="BW711" s="1">
        <v>7.3933999999999997</v>
      </c>
      <c r="BX711" s="1">
        <v>1.6907000000000001</v>
      </c>
      <c r="BZ711" s="1425">
        <v>44195</v>
      </c>
      <c r="CB711" s="1">
        <v>2.0823999999999998</v>
      </c>
      <c r="CC711" s="1">
        <v>47.132899999999999</v>
      </c>
      <c r="CD711" s="1">
        <v>0.82467999999999997</v>
      </c>
      <c r="CF711" s="1425">
        <v>44194</v>
      </c>
      <c r="CG711" s="1">
        <v>8.4040999999999997</v>
      </c>
      <c r="CH711" s="1">
        <v>1.2394000000000001</v>
      </c>
      <c r="CI711" s="1">
        <v>9.2555999999999994</v>
      </c>
      <c r="CL711" s="1425">
        <v>44217</v>
      </c>
      <c r="CM711" s="1">
        <v>29.849799999999998</v>
      </c>
      <c r="CN711" s="1">
        <v>2.6939000000000002</v>
      </c>
      <c r="CO711" s="1">
        <v>11.9184</v>
      </c>
    </row>
    <row r="712" spans="1:93">
      <c r="A712" s="1425">
        <v>44194</v>
      </c>
      <c r="B712" s="20">
        <f t="shared" si="112"/>
        <v>14.73</v>
      </c>
      <c r="C712" s="20">
        <f t="shared" si="114"/>
        <v>9.9649999999999999</v>
      </c>
      <c r="D712" s="20">
        <f t="shared" si="115"/>
        <v>10.668100000000001</v>
      </c>
      <c r="E712" s="20">
        <f t="shared" si="116"/>
        <v>10.621499999999999</v>
      </c>
      <c r="F712" s="20">
        <f t="shared" si="117"/>
        <v>21.126200000000001</v>
      </c>
      <c r="G712" s="20">
        <f t="shared" si="118"/>
        <v>11.018800000000001</v>
      </c>
      <c r="H712" s="1239">
        <f t="shared" si="119"/>
        <v>10.668100000000001</v>
      </c>
      <c r="I712" s="1243">
        <f t="shared" si="113"/>
        <v>0.38075196145517931</v>
      </c>
      <c r="J712" s="1243">
        <f t="shared" si="120"/>
        <v>0.12093838824177333</v>
      </c>
      <c r="K712" s="1243">
        <f t="shared" si="121"/>
        <v>0.1</v>
      </c>
      <c r="L712" s="203"/>
      <c r="N712" s="1425">
        <v>44194</v>
      </c>
      <c r="O712" s="1502">
        <v>14.73</v>
      </c>
      <c r="P712" s="1502">
        <v>3.1374</v>
      </c>
      <c r="Q712" s="1502">
        <v>14.4467</v>
      </c>
      <c r="R712" s="1233">
        <f>'B. PE'!$U$23</f>
        <v>15.978235616082999</v>
      </c>
      <c r="S712" s="1233"/>
      <c r="T712" s="1233"/>
      <c r="V712" s="1425">
        <v>44194</v>
      </c>
      <c r="W712" s="1">
        <v>9.9649999999999999</v>
      </c>
      <c r="X712" s="1">
        <v>0.85770000000000002</v>
      </c>
      <c r="Y712" s="1">
        <v>11.7515</v>
      </c>
      <c r="Z712" s="1">
        <v>0.56230999999999998</v>
      </c>
      <c r="AB712" s="1425">
        <v>44168</v>
      </c>
      <c r="AC712" s="1">
        <v>13.185600000000001</v>
      </c>
      <c r="AD712" s="1502">
        <v>1.0905</v>
      </c>
      <c r="AE712" s="1">
        <v>6.3535000000000004</v>
      </c>
      <c r="AF712" s="1">
        <v>2.4680000000000001E-2</v>
      </c>
      <c r="AH712" s="1425">
        <v>44168</v>
      </c>
      <c r="AI712" s="1">
        <v>10.634499999999999</v>
      </c>
      <c r="AJ712" s="1">
        <v>1.7028000000000001</v>
      </c>
      <c r="AK712" s="1">
        <v>4.0990000000000002</v>
      </c>
      <c r="AL712" s="1">
        <v>2.2429999999999999E-2</v>
      </c>
      <c r="AN712" s="1425">
        <v>44173</v>
      </c>
      <c r="AO712" s="1">
        <v>11.033899999999999</v>
      </c>
      <c r="AP712" s="1">
        <v>1.1822999999999999</v>
      </c>
      <c r="AQ712" s="1">
        <v>7.1482000000000001</v>
      </c>
      <c r="AR712" s="1">
        <v>0.27202999999999999</v>
      </c>
      <c r="AT712" s="1425">
        <v>44173</v>
      </c>
      <c r="AU712" s="1">
        <v>7.6601999999999997</v>
      </c>
      <c r="AV712" s="1">
        <v>0.52829999999999999</v>
      </c>
      <c r="AW712" s="1">
        <v>5.4941000000000004</v>
      </c>
      <c r="AX712" s="1">
        <v>0.13908999999999999</v>
      </c>
      <c r="BA712" s="1425">
        <v>44160</v>
      </c>
      <c r="BB712" s="1">
        <v>10.956899999999999</v>
      </c>
      <c r="BC712" s="1">
        <v>2.3492000000000002</v>
      </c>
      <c r="BD712" s="1">
        <v>9.0827000000000009</v>
      </c>
      <c r="BE712" s="1">
        <v>0.59289000000000003</v>
      </c>
      <c r="BG712" s="1425">
        <v>44160</v>
      </c>
      <c r="BH712" s="1">
        <v>18.027699999999999</v>
      </c>
      <c r="BI712" s="1">
        <v>3.2970000000000002</v>
      </c>
      <c r="BJ712" s="1">
        <v>20.755299999999998</v>
      </c>
      <c r="BT712" s="1425">
        <v>44194</v>
      </c>
      <c r="BU712" s="1">
        <v>13.7628</v>
      </c>
      <c r="BV712" s="1">
        <v>3.4876</v>
      </c>
      <c r="BW712" s="1">
        <v>7.3869999999999996</v>
      </c>
      <c r="BX712" s="1">
        <v>1.7079</v>
      </c>
      <c r="BZ712" s="1425">
        <v>44194</v>
      </c>
      <c r="CB712" s="1">
        <v>2.1215000000000002</v>
      </c>
      <c r="CC712" s="1">
        <v>47.697200000000002</v>
      </c>
      <c r="CD712" s="1">
        <v>0.78580000000000005</v>
      </c>
      <c r="CF712" s="1425">
        <v>44193</v>
      </c>
      <c r="CG712" s="1">
        <v>8.3488000000000007</v>
      </c>
      <c r="CH712" s="1">
        <v>1.2313000000000001</v>
      </c>
      <c r="CI712" s="1">
        <v>9.2274999999999991</v>
      </c>
      <c r="CL712" s="1425">
        <v>44216</v>
      </c>
      <c r="CM712" s="1">
        <v>29.331499999999998</v>
      </c>
      <c r="CN712" s="1">
        <v>2.6471</v>
      </c>
      <c r="CO712" s="1">
        <v>11.709</v>
      </c>
    </row>
    <row r="713" spans="1:93">
      <c r="A713" s="1425">
        <v>44193</v>
      </c>
      <c r="B713" s="20">
        <f t="shared" si="112"/>
        <v>14.7681</v>
      </c>
      <c r="C713" s="20">
        <f t="shared" si="114"/>
        <v>10.123100000000001</v>
      </c>
      <c r="D713" s="20">
        <f t="shared" si="115"/>
        <v>10.735200000000001</v>
      </c>
      <c r="E713" s="20">
        <f t="shared" si="116"/>
        <v>10.4152</v>
      </c>
      <c r="F713" s="20">
        <f t="shared" si="117"/>
        <v>20.703700000000001</v>
      </c>
      <c r="G713" s="20">
        <f t="shared" si="118"/>
        <v>10.895</v>
      </c>
      <c r="H713" s="1239">
        <f t="shared" si="119"/>
        <v>10.735200000000001</v>
      </c>
      <c r="I713" s="1243">
        <f t="shared" si="113"/>
        <v>0.37567069081153592</v>
      </c>
      <c r="J713" s="1243">
        <f t="shared" si="120"/>
        <v>0.12093838824177333</v>
      </c>
      <c r="K713" s="1243">
        <f t="shared" si="121"/>
        <v>0.1</v>
      </c>
      <c r="L713" s="203"/>
      <c r="N713" s="1425">
        <v>44193</v>
      </c>
      <c r="O713" s="1502">
        <v>14.7681</v>
      </c>
      <c r="P713" s="1502">
        <v>3.1456</v>
      </c>
      <c r="Q713" s="1502">
        <v>14.481400000000001</v>
      </c>
      <c r="R713" s="1233">
        <f>'B. PE'!$U$23</f>
        <v>15.978235616082999</v>
      </c>
      <c r="S713" s="1233"/>
      <c r="T713" s="1233"/>
      <c r="V713" s="1425">
        <v>44193</v>
      </c>
      <c r="W713" s="1">
        <v>10.123100000000001</v>
      </c>
      <c r="X713" s="1">
        <v>0.87129999999999996</v>
      </c>
      <c r="Y713" s="1">
        <v>11.8606</v>
      </c>
      <c r="Z713" s="1">
        <v>0.56037000000000003</v>
      </c>
      <c r="AB713" s="1425">
        <v>44167</v>
      </c>
      <c r="AC713" s="1">
        <v>13.411</v>
      </c>
      <c r="AD713" s="1502">
        <v>1.1091</v>
      </c>
      <c r="AE713" s="1">
        <v>6.4340000000000002</v>
      </c>
      <c r="AF713" s="1">
        <v>2.4289999999999999E-2</v>
      </c>
      <c r="AH713" s="1425">
        <v>44167</v>
      </c>
      <c r="AI713" s="1">
        <v>10.668100000000001</v>
      </c>
      <c r="AJ713" s="1">
        <v>1.7081999999999999</v>
      </c>
      <c r="AK713" s="1">
        <v>4.1148999999999996</v>
      </c>
      <c r="AL713" s="1">
        <v>2.2460000000000001E-2</v>
      </c>
      <c r="AN713" s="1425">
        <v>44172</v>
      </c>
      <c r="AO713" s="1">
        <v>11.1371</v>
      </c>
      <c r="AP713" s="1">
        <v>1.1933</v>
      </c>
      <c r="AQ713" s="1">
        <v>7.2321999999999997</v>
      </c>
      <c r="AR713" s="1">
        <v>0.27604000000000001</v>
      </c>
      <c r="AT713" s="1425">
        <v>44172</v>
      </c>
      <c r="AU713" s="1">
        <v>7.7298</v>
      </c>
      <c r="AV713" s="1">
        <v>0.53310000000000002</v>
      </c>
      <c r="AW713" s="1">
        <v>5.5307000000000004</v>
      </c>
      <c r="AX713" s="1">
        <v>0.13494999999999999</v>
      </c>
      <c r="BA713" s="1425">
        <v>44159</v>
      </c>
      <c r="BB713" s="1">
        <v>11.018800000000001</v>
      </c>
      <c r="BC713" s="1">
        <v>2.3624999999999998</v>
      </c>
      <c r="BD713" s="1">
        <v>9.1242999999999999</v>
      </c>
      <c r="BE713" s="1">
        <v>0.6048</v>
      </c>
      <c r="BG713" s="1425">
        <v>44159</v>
      </c>
      <c r="BH713" s="1">
        <v>17.745999999999999</v>
      </c>
      <c r="BI713" s="1">
        <v>3.2454999999999998</v>
      </c>
      <c r="BJ713" s="1">
        <v>20.494</v>
      </c>
      <c r="BT713" s="1425">
        <v>44193</v>
      </c>
      <c r="BU713" s="1">
        <v>13.7745</v>
      </c>
      <c r="BV713" s="1">
        <v>3.4904999999999999</v>
      </c>
      <c r="BW713" s="1">
        <v>7.3933999999999997</v>
      </c>
      <c r="BX713" s="1">
        <v>1.6816</v>
      </c>
      <c r="BZ713" s="1425">
        <v>44193</v>
      </c>
      <c r="CB713" s="1">
        <v>2.141</v>
      </c>
      <c r="CC713" s="1">
        <v>47.979399999999998</v>
      </c>
      <c r="CD713" s="1">
        <v>0.73424999999999996</v>
      </c>
      <c r="CF713" s="1425">
        <v>44190</v>
      </c>
      <c r="CG713" s="1">
        <v>8.5146999999999995</v>
      </c>
      <c r="CH713" s="1">
        <v>1.2558</v>
      </c>
      <c r="CI713" s="1">
        <v>9.3117000000000001</v>
      </c>
      <c r="CL713" s="1425">
        <v>44215</v>
      </c>
      <c r="CM713" s="1">
        <v>28.087800000000001</v>
      </c>
      <c r="CN713" s="1">
        <v>2.5348999999999999</v>
      </c>
      <c r="CO713" s="1">
        <v>11.2066</v>
      </c>
    </row>
    <row r="714" spans="1:93">
      <c r="A714" s="1425">
        <v>44190</v>
      </c>
      <c r="B714" s="20">
        <f t="shared" si="112"/>
        <v>14.672700000000001</v>
      </c>
      <c r="C714" s="20">
        <f t="shared" si="114"/>
        <v>9.7751000000000001</v>
      </c>
      <c r="D714" s="20">
        <f t="shared" si="115"/>
        <v>10.735200000000001</v>
      </c>
      <c r="E714" s="20">
        <f t="shared" si="116"/>
        <v>10.4152</v>
      </c>
      <c r="F714" s="20">
        <f t="shared" si="117"/>
        <v>21.689599999999999</v>
      </c>
      <c r="G714" s="20">
        <f t="shared" si="118"/>
        <v>11.6378</v>
      </c>
      <c r="H714" s="1239">
        <f t="shared" si="119"/>
        <v>10.735200000000001</v>
      </c>
      <c r="I714" s="1243">
        <f t="shared" si="113"/>
        <v>0.36678403755868549</v>
      </c>
      <c r="J714" s="1243">
        <f t="shared" si="120"/>
        <v>0.12093838824177333</v>
      </c>
      <c r="K714" s="1243">
        <f t="shared" si="121"/>
        <v>0.1</v>
      </c>
      <c r="L714" s="203"/>
      <c r="N714" s="1425">
        <v>44190</v>
      </c>
      <c r="O714" s="1502">
        <v>14.672700000000001</v>
      </c>
      <c r="P714" s="1502">
        <v>3.1253000000000002</v>
      </c>
      <c r="Q714" s="1502">
        <v>14.3947</v>
      </c>
      <c r="R714" s="1233">
        <f>'B. PE'!$U$23</f>
        <v>15.978235616082999</v>
      </c>
      <c r="S714" s="1233"/>
      <c r="T714" s="1233"/>
      <c r="V714" s="1425">
        <v>44190</v>
      </c>
      <c r="W714" s="1">
        <v>9.7751000000000001</v>
      </c>
      <c r="X714" s="1">
        <v>0.84130000000000005</v>
      </c>
      <c r="Y714" s="1">
        <v>11.6206</v>
      </c>
      <c r="Z714" s="1">
        <v>0.58945000000000003</v>
      </c>
      <c r="AB714" s="1425">
        <v>44166</v>
      </c>
      <c r="AC714" s="1">
        <v>13.148099999999999</v>
      </c>
      <c r="AD714" s="1502">
        <v>1.0873999999999999</v>
      </c>
      <c r="AE714" s="1">
        <v>6.3400999999999996</v>
      </c>
      <c r="AF714" s="1">
        <v>2.5250000000000002E-2</v>
      </c>
      <c r="AH714" s="1425">
        <v>44166</v>
      </c>
      <c r="AI714" s="1">
        <v>10.668100000000001</v>
      </c>
      <c r="AJ714" s="1">
        <v>1.7081999999999999</v>
      </c>
      <c r="AK714" s="1">
        <v>4.1148999999999996</v>
      </c>
      <c r="AL714" s="1">
        <v>2.249E-2</v>
      </c>
      <c r="AN714" s="1425">
        <v>44169</v>
      </c>
      <c r="AO714" s="1">
        <v>11.3949</v>
      </c>
      <c r="AP714" s="1">
        <v>1.2210000000000001</v>
      </c>
      <c r="AQ714" s="1">
        <v>7.4423000000000004</v>
      </c>
      <c r="AR714" s="1">
        <v>0.26608999999999999</v>
      </c>
      <c r="AT714" s="1425">
        <v>44169</v>
      </c>
      <c r="AU714" s="1">
        <v>7.8691000000000004</v>
      </c>
      <c r="AV714" s="1">
        <v>0.54269999999999996</v>
      </c>
      <c r="AW714" s="1">
        <v>5.6040000000000001</v>
      </c>
      <c r="AX714" s="1">
        <v>0.14102000000000001</v>
      </c>
      <c r="BA714" s="1425">
        <v>44158</v>
      </c>
      <c r="BB714" s="1">
        <v>11.1426</v>
      </c>
      <c r="BC714" s="1">
        <v>2.3889999999999998</v>
      </c>
      <c r="BD714" s="1">
        <v>9.2075999999999993</v>
      </c>
      <c r="BE714" s="1">
        <v>0.59272999999999998</v>
      </c>
      <c r="BG714" s="1425">
        <v>44158</v>
      </c>
      <c r="BH714" s="1">
        <v>18.168500000000002</v>
      </c>
      <c r="BI714" s="1">
        <v>3.3228</v>
      </c>
      <c r="BJ714" s="1">
        <v>20.885999999999999</v>
      </c>
      <c r="BT714" s="1425">
        <v>44190</v>
      </c>
      <c r="BU714" s="1">
        <v>13.9155</v>
      </c>
      <c r="BV714" s="1">
        <v>3.5261999999999998</v>
      </c>
      <c r="BW714" s="1">
        <v>7.4691999999999998</v>
      </c>
      <c r="BX714" s="1">
        <v>1.7017</v>
      </c>
      <c r="BZ714" s="1425">
        <v>44190</v>
      </c>
      <c r="CB714" s="1">
        <v>2.0400999999999998</v>
      </c>
      <c r="CC714" s="1">
        <v>46.521500000000003</v>
      </c>
      <c r="CD714" s="1">
        <v>0.73172000000000004</v>
      </c>
      <c r="CF714" s="1425">
        <v>44189</v>
      </c>
      <c r="CG714" s="1">
        <v>8.1829000000000001</v>
      </c>
      <c r="CH714" s="1">
        <v>1.2068000000000001</v>
      </c>
      <c r="CI714" s="1">
        <v>9.1433</v>
      </c>
      <c r="CL714" s="1425">
        <v>44214</v>
      </c>
      <c r="CM714" s="1">
        <v>28.606000000000002</v>
      </c>
      <c r="CN714" s="1">
        <v>2.5817000000000001</v>
      </c>
      <c r="CO714" s="1">
        <v>11.416</v>
      </c>
    </row>
    <row r="715" spans="1:93">
      <c r="A715" s="1425">
        <v>44189</v>
      </c>
      <c r="B715" s="20">
        <f t="shared" si="112"/>
        <v>14.558199999999999</v>
      </c>
      <c r="C715" s="20">
        <f t="shared" si="114"/>
        <v>9.7434999999999992</v>
      </c>
      <c r="D715" s="20">
        <f t="shared" si="115"/>
        <v>10.735200000000001</v>
      </c>
      <c r="E715" s="20">
        <f t="shared" si="116"/>
        <v>10.3637</v>
      </c>
      <c r="F715" s="20">
        <f t="shared" si="117"/>
        <v>20.8445</v>
      </c>
      <c r="G715" s="20">
        <f t="shared" si="118"/>
        <v>11.0807</v>
      </c>
      <c r="H715" s="1239">
        <f t="shared" si="119"/>
        <v>10.735200000000001</v>
      </c>
      <c r="I715" s="1243">
        <f t="shared" si="113"/>
        <v>0.35611819062523264</v>
      </c>
      <c r="J715" s="1243">
        <f t="shared" si="120"/>
        <v>0.12093838824177333</v>
      </c>
      <c r="K715" s="1243">
        <f t="shared" si="121"/>
        <v>0.1</v>
      </c>
      <c r="L715" s="203"/>
      <c r="N715" s="1425">
        <v>44189</v>
      </c>
      <c r="O715" s="1502">
        <v>14.558199999999999</v>
      </c>
      <c r="P715" s="1502">
        <v>3.1009000000000002</v>
      </c>
      <c r="Q715" s="1502">
        <v>14.2906</v>
      </c>
      <c r="R715" s="1233">
        <f>'B. PE'!$U$23</f>
        <v>15.978235616082999</v>
      </c>
      <c r="S715" s="1233"/>
      <c r="T715" s="1233"/>
      <c r="V715" s="1425">
        <v>44189</v>
      </c>
      <c r="W715" s="1">
        <v>9.7434999999999992</v>
      </c>
      <c r="X715" s="1">
        <v>0.83860000000000001</v>
      </c>
      <c r="Y715" s="1">
        <v>11.598800000000001</v>
      </c>
      <c r="Z715" s="1">
        <v>0.58962999999999999</v>
      </c>
      <c r="AB715" s="1425">
        <v>44165</v>
      </c>
      <c r="AC715" s="1">
        <v>12.922700000000001</v>
      </c>
      <c r="AD715" s="1502">
        <v>1.0688</v>
      </c>
      <c r="AE715" s="1">
        <v>6.2595000000000001</v>
      </c>
      <c r="AF715" s="1">
        <v>2.554E-2</v>
      </c>
      <c r="AH715" s="1425">
        <v>44165</v>
      </c>
      <c r="AI715" s="1">
        <v>10.668100000000001</v>
      </c>
      <c r="AJ715" s="1">
        <v>1.7081999999999999</v>
      </c>
      <c r="AK715" s="1">
        <v>4.1148999999999996</v>
      </c>
      <c r="AL715" s="1">
        <v>2.257E-2</v>
      </c>
      <c r="AN715" s="1425">
        <v>44168</v>
      </c>
      <c r="AO715" s="1">
        <v>11.601100000000001</v>
      </c>
      <c r="AP715" s="1">
        <v>1.2431000000000001</v>
      </c>
      <c r="AQ715" s="1">
        <v>7.6102999999999996</v>
      </c>
      <c r="AR715" s="1">
        <v>0.26577000000000001</v>
      </c>
      <c r="AT715" s="1425">
        <v>44168</v>
      </c>
      <c r="AU715" s="1">
        <v>7.6601999999999997</v>
      </c>
      <c r="AV715" s="1">
        <v>0.52829999999999999</v>
      </c>
      <c r="AW715" s="1">
        <v>5.4941000000000004</v>
      </c>
      <c r="AX715" s="1">
        <v>0.14574000000000001</v>
      </c>
      <c r="BA715" s="1425">
        <v>44155</v>
      </c>
      <c r="BB715" s="1">
        <v>11.3283</v>
      </c>
      <c r="BC715" s="1">
        <v>2.4287999999999998</v>
      </c>
      <c r="BD715" s="1">
        <v>9.3324999999999996</v>
      </c>
      <c r="BE715" s="1">
        <v>0.60440000000000005</v>
      </c>
      <c r="BG715" s="1425">
        <v>44155</v>
      </c>
      <c r="BH715" s="1">
        <v>18.168500000000002</v>
      </c>
      <c r="BI715" s="1">
        <v>3.3228</v>
      </c>
      <c r="BJ715" s="1">
        <v>20.885999999999999</v>
      </c>
      <c r="BT715" s="1425">
        <v>44189</v>
      </c>
      <c r="BU715" s="1">
        <v>13.7041</v>
      </c>
      <c r="BV715" s="1">
        <v>3.4727000000000001</v>
      </c>
      <c r="BW715" s="1">
        <v>7.3554000000000004</v>
      </c>
      <c r="BX715" s="1">
        <v>1.7281</v>
      </c>
      <c r="BZ715" s="1425">
        <v>44189</v>
      </c>
      <c r="CB715" s="1">
        <v>1.9067000000000001</v>
      </c>
      <c r="CC715" s="1">
        <v>44.593299999999999</v>
      </c>
      <c r="CD715" s="1">
        <v>0.72441999999999995</v>
      </c>
      <c r="CF715" s="1425">
        <v>44188</v>
      </c>
      <c r="CG715" s="1">
        <v>8.2934999999999999</v>
      </c>
      <c r="CH715" s="1">
        <v>1.2231000000000001</v>
      </c>
      <c r="CI715" s="1">
        <v>9.1994000000000007</v>
      </c>
      <c r="CL715" s="1425">
        <v>44211</v>
      </c>
      <c r="CM715" s="1">
        <v>28.606000000000002</v>
      </c>
      <c r="CN715" s="1">
        <v>2.5817000000000001</v>
      </c>
      <c r="CO715" s="1">
        <v>11.416</v>
      </c>
    </row>
    <row r="716" spans="1:93">
      <c r="A716" s="1425">
        <v>44188</v>
      </c>
      <c r="B716" s="20">
        <f t="shared" si="112"/>
        <v>14.9017</v>
      </c>
      <c r="C716" s="20">
        <f t="shared" si="114"/>
        <v>10.249700000000001</v>
      </c>
      <c r="D716" s="20">
        <f t="shared" si="115"/>
        <v>10.668100000000001</v>
      </c>
      <c r="E716" s="20">
        <f t="shared" si="116"/>
        <v>10.466799999999999</v>
      </c>
      <c r="F716" s="20">
        <f t="shared" si="117"/>
        <v>20.8445</v>
      </c>
      <c r="G716" s="20">
        <f t="shared" si="118"/>
        <v>11.204499999999999</v>
      </c>
      <c r="H716" s="1239">
        <f t="shared" si="119"/>
        <v>10.668100000000001</v>
      </c>
      <c r="I716" s="1243">
        <f t="shared" si="113"/>
        <v>0.39684667372821769</v>
      </c>
      <c r="J716" s="1243">
        <f t="shared" si="120"/>
        <v>0.12093838824177333</v>
      </c>
      <c r="K716" s="1243">
        <f t="shared" si="121"/>
        <v>0.1</v>
      </c>
      <c r="L716" s="203"/>
      <c r="N716" s="1425">
        <v>44188</v>
      </c>
      <c r="O716" s="1502">
        <v>14.9017</v>
      </c>
      <c r="P716" s="1502">
        <v>3.1739999999999999</v>
      </c>
      <c r="Q716" s="1502">
        <v>14.6027</v>
      </c>
      <c r="R716" s="1233">
        <f>'B. PE'!$U$23</f>
        <v>15.978235616082999</v>
      </c>
      <c r="S716" s="1233"/>
      <c r="T716" s="1233"/>
      <c r="V716" s="1425">
        <v>44188</v>
      </c>
      <c r="W716" s="1">
        <v>10.249700000000001</v>
      </c>
      <c r="X716" s="1">
        <v>0.88219999999999998</v>
      </c>
      <c r="Y716" s="1">
        <v>11.947900000000001</v>
      </c>
      <c r="Z716" s="1">
        <v>0.60050000000000003</v>
      </c>
      <c r="AB716" s="1425">
        <v>44162</v>
      </c>
      <c r="AC716" s="1">
        <v>13.411</v>
      </c>
      <c r="AD716" s="1502">
        <v>1.1091</v>
      </c>
      <c r="AE716" s="1">
        <v>6.4340000000000002</v>
      </c>
      <c r="AF716" s="1">
        <v>2.555E-2</v>
      </c>
      <c r="AH716" s="1425">
        <v>44162</v>
      </c>
      <c r="AI716" s="1">
        <v>10.668100000000001</v>
      </c>
      <c r="AJ716" s="1">
        <v>1.7081999999999999</v>
      </c>
      <c r="AK716" s="1">
        <v>4.1148999999999996</v>
      </c>
      <c r="AL716" s="1">
        <v>2.2429999999999999E-2</v>
      </c>
      <c r="AN716" s="1425">
        <v>44167</v>
      </c>
      <c r="AO716" s="1">
        <v>11.188599999999999</v>
      </c>
      <c r="AP716" s="1">
        <v>1.1989000000000001</v>
      </c>
      <c r="AQ716" s="1">
        <v>7.2743000000000002</v>
      </c>
      <c r="AR716" s="1">
        <v>0.26140999999999998</v>
      </c>
      <c r="AT716" s="1425">
        <v>44167</v>
      </c>
      <c r="AU716" s="1">
        <v>8.0084</v>
      </c>
      <c r="AV716" s="1">
        <v>0.55230000000000001</v>
      </c>
      <c r="AW716" s="1">
        <v>5.6772999999999998</v>
      </c>
      <c r="AX716" s="1">
        <v>0.14237</v>
      </c>
      <c r="BA716" s="1425">
        <v>44154</v>
      </c>
      <c r="BB716" s="1">
        <v>11.1426</v>
      </c>
      <c r="BC716" s="1">
        <v>2.3889999999999998</v>
      </c>
      <c r="BD716" s="1">
        <v>9.2075999999999993</v>
      </c>
      <c r="BE716" s="1">
        <v>0.59614</v>
      </c>
      <c r="BG716" s="1425">
        <v>44154</v>
      </c>
      <c r="BH716" s="1">
        <v>18.3094</v>
      </c>
      <c r="BI716" s="1">
        <v>3.3485999999999998</v>
      </c>
      <c r="BJ716" s="1">
        <v>21.0167</v>
      </c>
      <c r="BT716" s="1425">
        <v>44188</v>
      </c>
      <c r="BU716" s="1">
        <v>13.868499999999999</v>
      </c>
      <c r="BV716" s="1">
        <v>3.5143</v>
      </c>
      <c r="BW716" s="1">
        <v>7.444</v>
      </c>
      <c r="BX716" s="1">
        <v>1.6747000000000001</v>
      </c>
      <c r="BZ716" s="1425">
        <v>44188</v>
      </c>
      <c r="CB716" s="1">
        <v>1.9001999999999999</v>
      </c>
      <c r="CC716" s="1">
        <v>44.499299999999998</v>
      </c>
      <c r="CD716" s="1">
        <v>0.72936999999999996</v>
      </c>
      <c r="CF716" s="1425">
        <v>44187</v>
      </c>
      <c r="CG716" s="1">
        <v>8.7357999999999993</v>
      </c>
      <c r="CH716" s="1">
        <v>1.2884</v>
      </c>
      <c r="CI716" s="1">
        <v>9.4239999999999995</v>
      </c>
      <c r="CL716" s="1425">
        <v>44210</v>
      </c>
      <c r="CM716" s="1">
        <v>29.704699999999999</v>
      </c>
      <c r="CN716" s="1">
        <v>2.6808000000000001</v>
      </c>
      <c r="CO716" s="1">
        <v>11.8598</v>
      </c>
    </row>
    <row r="717" spans="1:93">
      <c r="A717" s="1425">
        <v>44187</v>
      </c>
      <c r="B717" s="20">
        <f t="shared" si="112"/>
        <v>14.9017</v>
      </c>
      <c r="C717" s="20">
        <f t="shared" si="114"/>
        <v>10.249700000000001</v>
      </c>
      <c r="D717" s="20">
        <f t="shared" si="115"/>
        <v>10.802300000000001</v>
      </c>
      <c r="E717" s="20">
        <f t="shared" si="116"/>
        <v>10.312099999999999</v>
      </c>
      <c r="F717" s="20">
        <f t="shared" si="117"/>
        <v>20.562799999999999</v>
      </c>
      <c r="G717" s="20">
        <f t="shared" si="118"/>
        <v>11.018800000000001</v>
      </c>
      <c r="H717" s="1239">
        <f t="shared" si="119"/>
        <v>10.802300000000001</v>
      </c>
      <c r="I717" s="1243">
        <f t="shared" si="113"/>
        <v>0.37949325606583773</v>
      </c>
      <c r="J717" s="1243">
        <f t="shared" si="120"/>
        <v>0.12093838824177333</v>
      </c>
      <c r="K717" s="1243">
        <f t="shared" si="121"/>
        <v>0.1</v>
      </c>
      <c r="L717" s="203"/>
      <c r="N717" s="1425">
        <v>44187</v>
      </c>
      <c r="O717" s="1502">
        <v>14.9017</v>
      </c>
      <c r="P717" s="1502">
        <v>3.1739999999999999</v>
      </c>
      <c r="Q717" s="1502">
        <v>14.6027</v>
      </c>
      <c r="R717" s="1233">
        <f>'B. PE'!$U$23</f>
        <v>15.978235616082999</v>
      </c>
      <c r="S717" s="1233"/>
      <c r="T717" s="1233"/>
      <c r="V717" s="1425">
        <v>44187</v>
      </c>
      <c r="W717" s="1">
        <v>10.249700000000001</v>
      </c>
      <c r="X717" s="1">
        <v>0.88219999999999998</v>
      </c>
      <c r="Y717" s="1">
        <v>11.947900000000001</v>
      </c>
      <c r="Z717" s="1">
        <v>0.60241999999999996</v>
      </c>
      <c r="AB717" s="1425">
        <v>44161</v>
      </c>
      <c r="AC717" s="1">
        <v>13.561299999999999</v>
      </c>
      <c r="AD717" s="1502">
        <v>1.1215999999999999</v>
      </c>
      <c r="AE717" s="1">
        <v>6.4877000000000002</v>
      </c>
      <c r="AF717" s="1">
        <v>2.571E-2</v>
      </c>
      <c r="AH717" s="1425">
        <v>44161</v>
      </c>
      <c r="AI717" s="1">
        <v>10.701599999999999</v>
      </c>
      <c r="AJ717" s="1">
        <v>1.7136</v>
      </c>
      <c r="AK717" s="1">
        <v>4.1307999999999998</v>
      </c>
      <c r="AL717" s="1">
        <v>2.2540000000000001E-2</v>
      </c>
      <c r="AN717" s="1425">
        <v>44166</v>
      </c>
      <c r="AO717" s="1">
        <v>11.188599999999999</v>
      </c>
      <c r="AP717" s="1">
        <v>1.1989000000000001</v>
      </c>
      <c r="AQ717" s="1">
        <v>7.2743000000000002</v>
      </c>
      <c r="AR717" s="1">
        <v>0.26662000000000002</v>
      </c>
      <c r="AT717" s="1425">
        <v>44166</v>
      </c>
      <c r="AU717" s="1">
        <v>8.2868999999999993</v>
      </c>
      <c r="AV717" s="1">
        <v>0.5716</v>
      </c>
      <c r="AW717" s="1">
        <v>5.8238000000000003</v>
      </c>
      <c r="AX717" s="1">
        <v>0.13638</v>
      </c>
      <c r="BA717" s="1425">
        <v>44153</v>
      </c>
      <c r="BB717" s="1">
        <v>11.3283</v>
      </c>
      <c r="BC717" s="1">
        <v>2.4287999999999998</v>
      </c>
      <c r="BD717" s="1">
        <v>9.3324999999999996</v>
      </c>
      <c r="BE717" s="1">
        <v>0.61921000000000004</v>
      </c>
      <c r="BG717" s="1425">
        <v>44153</v>
      </c>
      <c r="BH717" s="1">
        <v>18.168500000000002</v>
      </c>
      <c r="BI717" s="1">
        <v>3.3228</v>
      </c>
      <c r="BJ717" s="1">
        <v>20.885999999999999</v>
      </c>
      <c r="BT717" s="1425">
        <v>44187</v>
      </c>
      <c r="BU717" s="1">
        <v>14.0799</v>
      </c>
      <c r="BV717" s="1">
        <v>3.5678999999999998</v>
      </c>
      <c r="BW717" s="1">
        <v>7.5578000000000003</v>
      </c>
      <c r="BX717" s="1">
        <v>1.6577</v>
      </c>
      <c r="BZ717" s="1425">
        <v>44187</v>
      </c>
      <c r="CB717" s="1">
        <v>1.8807</v>
      </c>
      <c r="CC717" s="1">
        <v>44.217100000000002</v>
      </c>
      <c r="CD717" s="1">
        <v>0.72699000000000003</v>
      </c>
      <c r="CF717" s="1425">
        <v>44186</v>
      </c>
      <c r="CG717" s="1">
        <v>8.8463999999999992</v>
      </c>
      <c r="CH717" s="1">
        <v>1.3047</v>
      </c>
      <c r="CI717" s="1">
        <v>9.4802</v>
      </c>
      <c r="CL717" s="1425">
        <v>44209</v>
      </c>
      <c r="CM717" s="1">
        <v>29.145</v>
      </c>
      <c r="CN717" s="1">
        <v>2.6303000000000001</v>
      </c>
      <c r="CO717" s="1">
        <v>11.633699999999999</v>
      </c>
    </row>
    <row r="718" spans="1:93">
      <c r="A718" s="1425">
        <v>44186</v>
      </c>
      <c r="B718" s="20">
        <f t="shared" si="112"/>
        <v>14.8254</v>
      </c>
      <c r="C718" s="20">
        <f t="shared" si="114"/>
        <v>10.439500000000001</v>
      </c>
      <c r="D718" s="20">
        <f t="shared" si="115"/>
        <v>10.735200000000001</v>
      </c>
      <c r="E718" s="20">
        <f t="shared" si="116"/>
        <v>10.3637</v>
      </c>
      <c r="F718" s="20">
        <f t="shared" si="117"/>
        <v>20.8445</v>
      </c>
      <c r="G718" s="20">
        <f t="shared" si="118"/>
        <v>10.895</v>
      </c>
      <c r="H718" s="1239">
        <f t="shared" si="119"/>
        <v>10.735200000000001</v>
      </c>
      <c r="I718" s="1243">
        <f t="shared" si="113"/>
        <v>0.3810082718533423</v>
      </c>
      <c r="J718" s="1243">
        <f t="shared" si="120"/>
        <v>0.12093838824177333</v>
      </c>
      <c r="K718" s="1243">
        <f t="shared" si="121"/>
        <v>0.1</v>
      </c>
      <c r="L718" s="203"/>
      <c r="N718" s="1425">
        <v>44186</v>
      </c>
      <c r="O718" s="1502">
        <v>14.8254</v>
      </c>
      <c r="P718" s="1502">
        <v>3.1577999999999999</v>
      </c>
      <c r="Q718" s="1502">
        <v>14.5334</v>
      </c>
      <c r="R718" s="1233">
        <f>'B. PE'!$U$23</f>
        <v>15.978235616082999</v>
      </c>
      <c r="S718" s="1233"/>
      <c r="T718" s="1233"/>
      <c r="V718" s="1425">
        <v>44186</v>
      </c>
      <c r="W718" s="1">
        <v>10.439500000000001</v>
      </c>
      <c r="X718" s="1">
        <v>0.89849999999999997</v>
      </c>
      <c r="Y718" s="1">
        <v>12.078799999999999</v>
      </c>
      <c r="Z718" s="1">
        <v>0.60416000000000003</v>
      </c>
      <c r="AB718" s="1425">
        <v>44160</v>
      </c>
      <c r="AC718" s="1">
        <v>13.561299999999999</v>
      </c>
      <c r="AD718" s="1502">
        <v>1.1215999999999999</v>
      </c>
      <c r="AE718" s="1">
        <v>6.4877000000000002</v>
      </c>
      <c r="AF718" s="1">
        <v>2.5579999999999999E-2</v>
      </c>
      <c r="AH718" s="1425">
        <v>44160</v>
      </c>
      <c r="AI718" s="1">
        <v>10.634499999999999</v>
      </c>
      <c r="AJ718" s="1">
        <v>1.7028000000000001</v>
      </c>
      <c r="AK718" s="1">
        <v>4.0990000000000002</v>
      </c>
      <c r="AL718" s="1">
        <v>2.2550000000000001E-2</v>
      </c>
      <c r="AN718" s="1425">
        <v>44165</v>
      </c>
      <c r="AO718" s="1">
        <v>10.9824</v>
      </c>
      <c r="AP718" s="1">
        <v>1.1768000000000001</v>
      </c>
      <c r="AQ718" s="1">
        <v>7.1062000000000003</v>
      </c>
      <c r="AR718" s="1">
        <v>0.27050000000000002</v>
      </c>
      <c r="AT718" s="1425">
        <v>44165</v>
      </c>
      <c r="AU718" s="1">
        <v>8.0779999999999994</v>
      </c>
      <c r="AV718" s="1">
        <v>0.55710000000000004</v>
      </c>
      <c r="AW718" s="1">
        <v>5.7138999999999998</v>
      </c>
      <c r="AX718" s="1">
        <v>0.13525000000000001</v>
      </c>
      <c r="BA718" s="1425">
        <v>44152</v>
      </c>
      <c r="BB718" s="1">
        <v>11.1426</v>
      </c>
      <c r="BC718" s="1">
        <v>2.3889999999999998</v>
      </c>
      <c r="BD718" s="1">
        <v>9.2075999999999993</v>
      </c>
      <c r="BE718" s="1">
        <v>0.62282999999999999</v>
      </c>
      <c r="BG718" s="1425">
        <v>44152</v>
      </c>
      <c r="BH718" s="1">
        <v>18.168500000000002</v>
      </c>
      <c r="BI718" s="1">
        <v>3.3228</v>
      </c>
      <c r="BJ718" s="1">
        <v>20.885999999999999</v>
      </c>
      <c r="BT718" s="1425">
        <v>44186</v>
      </c>
      <c r="BU718" s="1">
        <v>13.6454</v>
      </c>
      <c r="BV718" s="1">
        <v>3.4578000000000002</v>
      </c>
      <c r="BW718" s="1">
        <v>7.3238000000000003</v>
      </c>
      <c r="BX718" s="1">
        <v>1.6357999999999999</v>
      </c>
      <c r="BZ718" s="1425">
        <v>44186</v>
      </c>
      <c r="CB718" s="1">
        <v>1.8936999999999999</v>
      </c>
      <c r="CC718" s="1">
        <v>44.405200000000001</v>
      </c>
      <c r="CD718" s="1">
        <v>0.71435999999999999</v>
      </c>
      <c r="CF718" s="1425">
        <v>44183</v>
      </c>
      <c r="CG718" s="1">
        <v>8.2934999999999999</v>
      </c>
      <c r="CH718" s="1">
        <v>1.2231000000000001</v>
      </c>
      <c r="CI718" s="1">
        <v>9.1994000000000007</v>
      </c>
      <c r="CL718" s="1425">
        <v>44208</v>
      </c>
      <c r="CM718" s="1">
        <v>28.606000000000002</v>
      </c>
      <c r="CN718" s="1">
        <v>2.5817000000000001</v>
      </c>
      <c r="CO718" s="1">
        <v>11.416</v>
      </c>
    </row>
    <row r="719" spans="1:93">
      <c r="A719" s="1425">
        <v>44183</v>
      </c>
      <c r="B719" s="20">
        <f t="shared" si="112"/>
        <v>14.9398</v>
      </c>
      <c r="C719" s="20">
        <f t="shared" si="114"/>
        <v>10.4711</v>
      </c>
      <c r="D719" s="20">
        <f t="shared" si="115"/>
        <v>10.768700000000001</v>
      </c>
      <c r="E719" s="20">
        <f t="shared" si="116"/>
        <v>10.466799999999999</v>
      </c>
      <c r="F719" s="20">
        <f t="shared" si="117"/>
        <v>21.126200000000001</v>
      </c>
      <c r="G719" s="20">
        <f t="shared" si="118"/>
        <v>11.204499999999999</v>
      </c>
      <c r="H719" s="1239">
        <f t="shared" si="119"/>
        <v>10.768700000000001</v>
      </c>
      <c r="I719" s="1243">
        <f t="shared" si="113"/>
        <v>0.38733551867913474</v>
      </c>
      <c r="J719" s="1243">
        <f t="shared" si="120"/>
        <v>0.12093838824177333</v>
      </c>
      <c r="K719" s="1243">
        <f t="shared" si="121"/>
        <v>0.1</v>
      </c>
      <c r="L719" s="203"/>
      <c r="N719" s="1425">
        <v>44183</v>
      </c>
      <c r="O719" s="1502">
        <v>14.9398</v>
      </c>
      <c r="P719" s="1502">
        <v>3.1821000000000002</v>
      </c>
      <c r="Q719" s="1502">
        <v>14.6374</v>
      </c>
      <c r="R719" s="1233">
        <f>'B. PE'!$U$23</f>
        <v>15.978235616082999</v>
      </c>
      <c r="S719" s="1233"/>
      <c r="T719" s="1233"/>
      <c r="V719" s="1425">
        <v>44183</v>
      </c>
      <c r="W719" s="1">
        <v>10.4711</v>
      </c>
      <c r="X719" s="1">
        <v>0.9012</v>
      </c>
      <c r="Y719" s="1">
        <v>12.1006</v>
      </c>
      <c r="Z719" s="1">
        <v>0.60419</v>
      </c>
      <c r="AB719" s="1425">
        <v>44159</v>
      </c>
      <c r="AC719" s="1">
        <v>13.711499999999999</v>
      </c>
      <c r="AD719" s="1502">
        <v>1.1339999999999999</v>
      </c>
      <c r="AE719" s="1">
        <v>6.5414000000000003</v>
      </c>
      <c r="AF719" s="1">
        <v>2.5610000000000001E-2</v>
      </c>
      <c r="AH719" s="1425">
        <v>44159</v>
      </c>
      <c r="AI719" s="1">
        <v>10.735200000000001</v>
      </c>
      <c r="AJ719" s="1">
        <v>1.7189000000000001</v>
      </c>
      <c r="AK719" s="1">
        <v>4.1467000000000001</v>
      </c>
      <c r="AL719" s="1">
        <v>2.2450000000000001E-2</v>
      </c>
      <c r="AN719" s="1425">
        <v>44162</v>
      </c>
      <c r="AO719" s="1">
        <v>11.188599999999999</v>
      </c>
      <c r="AP719" s="1">
        <v>1.1989000000000001</v>
      </c>
      <c r="AQ719" s="1">
        <v>7.2743000000000002</v>
      </c>
      <c r="AR719" s="1">
        <v>0.26177</v>
      </c>
      <c r="AT719" s="1425">
        <v>44162</v>
      </c>
      <c r="AU719" s="1">
        <v>7.7298</v>
      </c>
      <c r="AV719" s="1">
        <v>0.53310000000000002</v>
      </c>
      <c r="AW719" s="1">
        <v>5.5307000000000004</v>
      </c>
      <c r="AX719" s="1">
        <v>0.12232</v>
      </c>
      <c r="BA719" s="1425">
        <v>44151</v>
      </c>
      <c r="BB719" s="1">
        <v>11.575900000000001</v>
      </c>
      <c r="BC719" s="1">
        <v>2.4819</v>
      </c>
      <c r="BD719" s="1">
        <v>9.4990000000000006</v>
      </c>
      <c r="BE719" s="1">
        <v>0.62888999999999995</v>
      </c>
      <c r="BG719" s="1425">
        <v>44151</v>
      </c>
      <c r="BH719" s="1">
        <v>18.450199999999999</v>
      </c>
      <c r="BI719" s="1">
        <v>3.3742999999999999</v>
      </c>
      <c r="BJ719" s="1">
        <v>21.147300000000001</v>
      </c>
      <c r="BT719" s="1425">
        <v>44183</v>
      </c>
      <c r="BU719" s="1">
        <v>13.5045</v>
      </c>
      <c r="BV719" s="1">
        <v>3.4220999999999999</v>
      </c>
      <c r="BW719" s="1">
        <v>7.2478999999999996</v>
      </c>
      <c r="BX719" s="1">
        <v>1.6647000000000001</v>
      </c>
      <c r="BZ719" s="1425">
        <v>44183</v>
      </c>
      <c r="CB719" s="1">
        <v>1.8872</v>
      </c>
      <c r="CC719" s="1">
        <v>44.311199999999999</v>
      </c>
      <c r="CD719" s="1">
        <v>0.70562000000000002</v>
      </c>
      <c r="CF719" s="1425">
        <v>44182</v>
      </c>
      <c r="CG719" s="1">
        <v>8.6805000000000003</v>
      </c>
      <c r="CH719" s="1">
        <v>1.2802</v>
      </c>
      <c r="CI719" s="1">
        <v>9.3960000000000008</v>
      </c>
      <c r="CL719" s="1425">
        <v>44207</v>
      </c>
      <c r="CM719" s="1">
        <v>28.730399999999999</v>
      </c>
      <c r="CN719" s="1">
        <v>2.5929000000000002</v>
      </c>
      <c r="CO719" s="1">
        <v>11.466200000000001</v>
      </c>
    </row>
    <row r="720" spans="1:93">
      <c r="A720" s="1425">
        <v>44182</v>
      </c>
      <c r="B720" s="20">
        <f t="shared" si="112"/>
        <v>15.0543</v>
      </c>
      <c r="C720" s="20">
        <f t="shared" si="114"/>
        <v>10.502700000000001</v>
      </c>
      <c r="D720" s="20">
        <f t="shared" si="115"/>
        <v>10.869400000000001</v>
      </c>
      <c r="E720" s="20">
        <f t="shared" si="116"/>
        <v>10.673</v>
      </c>
      <c r="F720" s="20">
        <f t="shared" si="117"/>
        <v>20.1403</v>
      </c>
      <c r="G720" s="20">
        <f t="shared" si="118"/>
        <v>11.3283</v>
      </c>
      <c r="H720" s="1239">
        <f t="shared" si="119"/>
        <v>10.869400000000001</v>
      </c>
      <c r="I720" s="1243">
        <f t="shared" si="113"/>
        <v>0.38501665225311421</v>
      </c>
      <c r="J720" s="1243">
        <f t="shared" si="120"/>
        <v>0.12093838824177333</v>
      </c>
      <c r="K720" s="1243">
        <f t="shared" si="121"/>
        <v>0.1</v>
      </c>
      <c r="L720" s="203"/>
      <c r="N720" s="1425">
        <v>44182</v>
      </c>
      <c r="O720" s="1502">
        <v>15.0543</v>
      </c>
      <c r="P720" s="1502">
        <v>3.2065000000000001</v>
      </c>
      <c r="Q720" s="1502">
        <v>14.7415</v>
      </c>
      <c r="R720" s="1233">
        <f>'B. PE'!$U$23</f>
        <v>15.978235616082999</v>
      </c>
      <c r="S720" s="1233"/>
      <c r="T720" s="1233"/>
      <c r="V720" s="1425">
        <v>44182</v>
      </c>
      <c r="W720" s="1">
        <v>10.502700000000001</v>
      </c>
      <c r="X720" s="1">
        <v>0.90400000000000003</v>
      </c>
      <c r="Y720" s="1">
        <v>12.122400000000001</v>
      </c>
      <c r="Z720" s="1">
        <v>0.60419</v>
      </c>
      <c r="AB720" s="1425">
        <v>44158</v>
      </c>
      <c r="AC720" s="1">
        <v>13.6364</v>
      </c>
      <c r="AD720" s="1502">
        <v>1.1277999999999999</v>
      </c>
      <c r="AE720" s="1">
        <v>6.5145999999999997</v>
      </c>
      <c r="AF720" s="1">
        <v>2.5399999999999999E-2</v>
      </c>
      <c r="AH720" s="1425">
        <v>44158</v>
      </c>
      <c r="AI720" s="1">
        <v>10.735200000000001</v>
      </c>
      <c r="AJ720" s="1">
        <v>1.7189000000000001</v>
      </c>
      <c r="AK720" s="1">
        <v>4.1467000000000001</v>
      </c>
      <c r="AL720" s="1">
        <v>2.2509999999999999E-2</v>
      </c>
      <c r="AN720" s="1425">
        <v>44161</v>
      </c>
      <c r="AO720" s="1">
        <v>11.343299999999999</v>
      </c>
      <c r="AP720" s="1">
        <v>1.2154</v>
      </c>
      <c r="AQ720" s="1">
        <v>7.4002999999999997</v>
      </c>
      <c r="AR720" s="1">
        <v>0.26422000000000001</v>
      </c>
      <c r="AT720" s="1425">
        <v>44161</v>
      </c>
      <c r="AU720" s="1">
        <v>7.6601999999999997</v>
      </c>
      <c r="AV720" s="1">
        <v>0.52829999999999999</v>
      </c>
      <c r="AW720" s="1">
        <v>5.4941000000000004</v>
      </c>
      <c r="AX720" s="1">
        <v>0.12354999999999999</v>
      </c>
      <c r="BA720" s="1425">
        <v>44148</v>
      </c>
      <c r="BB720" s="1">
        <v>11.6378</v>
      </c>
      <c r="BC720" s="1">
        <v>2.4952000000000001</v>
      </c>
      <c r="BD720" s="1">
        <v>9.5405999999999995</v>
      </c>
      <c r="BE720" s="1">
        <v>0.59092999999999996</v>
      </c>
      <c r="BG720" s="1425">
        <v>44148</v>
      </c>
      <c r="BH720" s="1">
        <v>18.168500000000002</v>
      </c>
      <c r="BI720" s="1">
        <v>3.3228</v>
      </c>
      <c r="BJ720" s="1">
        <v>20.885999999999999</v>
      </c>
      <c r="BT720" s="1425">
        <v>44182</v>
      </c>
      <c r="BU720" s="1">
        <v>13.3283</v>
      </c>
      <c r="BV720" s="1">
        <v>3.3774999999999999</v>
      </c>
      <c r="BW720" s="1">
        <v>7.1531000000000002</v>
      </c>
      <c r="BX720" s="1">
        <v>1.6617999999999999</v>
      </c>
      <c r="BZ720" s="1425">
        <v>44182</v>
      </c>
      <c r="CB720" s="1">
        <v>1.8546</v>
      </c>
      <c r="CC720" s="1">
        <v>43.840899999999998</v>
      </c>
      <c r="CD720" s="1">
        <v>0.67178000000000004</v>
      </c>
      <c r="CF720" s="1425">
        <v>44181</v>
      </c>
      <c r="CG720" s="1">
        <v>8.7357999999999993</v>
      </c>
      <c r="CH720" s="1">
        <v>1.2884</v>
      </c>
      <c r="CI720" s="1">
        <v>9.4239999999999995</v>
      </c>
      <c r="CL720" s="1425">
        <v>44204</v>
      </c>
      <c r="CM720" s="1">
        <v>28.6889</v>
      </c>
      <c r="CN720" s="1">
        <v>2.5891000000000002</v>
      </c>
      <c r="CO720" s="1">
        <v>11.4495</v>
      </c>
    </row>
    <row r="721" spans="1:93">
      <c r="A721" s="1425">
        <v>44181</v>
      </c>
      <c r="B721" s="20">
        <f t="shared" si="112"/>
        <v>15.092499999999999</v>
      </c>
      <c r="C721" s="20">
        <f t="shared" si="114"/>
        <v>10.502700000000001</v>
      </c>
      <c r="D721" s="20">
        <f t="shared" si="115"/>
        <v>10.835800000000001</v>
      </c>
      <c r="E721" s="20">
        <f t="shared" si="116"/>
        <v>10.724600000000001</v>
      </c>
      <c r="F721" s="20">
        <f t="shared" si="117"/>
        <v>19.7178</v>
      </c>
      <c r="G721" s="20">
        <f t="shared" si="118"/>
        <v>10.771100000000001</v>
      </c>
      <c r="H721" s="1239">
        <f t="shared" si="119"/>
        <v>10.771100000000001</v>
      </c>
      <c r="I721" s="1243">
        <f t="shared" si="113"/>
        <v>0.40120321972686157</v>
      </c>
      <c r="J721" s="1243">
        <f t="shared" si="120"/>
        <v>0.12093838824177333</v>
      </c>
      <c r="K721" s="1243">
        <f t="shared" si="121"/>
        <v>0.1</v>
      </c>
      <c r="L721" s="203"/>
      <c r="N721" s="1425">
        <v>44181</v>
      </c>
      <c r="O721" s="1502">
        <v>15.092499999999999</v>
      </c>
      <c r="P721" s="1502">
        <v>3.2147000000000001</v>
      </c>
      <c r="Q721" s="1502">
        <v>14.7761</v>
      </c>
      <c r="R721" s="1233">
        <f>'B. PE'!$U$23</f>
        <v>15.978235616082999</v>
      </c>
      <c r="S721" s="1233"/>
      <c r="T721" s="1233"/>
      <c r="V721" s="1425">
        <v>44181</v>
      </c>
      <c r="W721" s="1">
        <v>10.502700000000001</v>
      </c>
      <c r="X721" s="1">
        <v>0.90400000000000003</v>
      </c>
      <c r="Y721" s="1">
        <v>12.122400000000001</v>
      </c>
      <c r="Z721" s="1">
        <v>0.57677</v>
      </c>
      <c r="AB721" s="1425">
        <v>44155</v>
      </c>
      <c r="AC721" s="1">
        <v>13.673999999999999</v>
      </c>
      <c r="AD721" s="1502">
        <v>1.1309</v>
      </c>
      <c r="AE721" s="1">
        <v>6.5279999999999996</v>
      </c>
      <c r="AF721" s="1">
        <v>2.5600000000000001E-2</v>
      </c>
      <c r="AH721" s="1425">
        <v>44155</v>
      </c>
      <c r="AI721" s="1">
        <v>10.701599999999999</v>
      </c>
      <c r="AJ721" s="1">
        <v>1.7136</v>
      </c>
      <c r="AK721" s="1">
        <v>4.1307999999999998</v>
      </c>
      <c r="AL721" s="1">
        <v>2.2689999999999998E-2</v>
      </c>
      <c r="AN721" s="1425">
        <v>44160</v>
      </c>
      <c r="AO721" s="1">
        <v>11.033899999999999</v>
      </c>
      <c r="AP721" s="1">
        <v>1.1822999999999999</v>
      </c>
      <c r="AQ721" s="1">
        <v>7.1482000000000001</v>
      </c>
      <c r="AR721" s="1">
        <v>0.27135999999999999</v>
      </c>
      <c r="AT721" s="1425">
        <v>44160</v>
      </c>
      <c r="AU721" s="1">
        <v>6.9638</v>
      </c>
      <c r="AV721" s="1">
        <v>0.4803</v>
      </c>
      <c r="AW721" s="1">
        <v>5.1276999999999999</v>
      </c>
      <c r="AX721" s="1">
        <v>0.12468</v>
      </c>
      <c r="BA721" s="1425">
        <v>44147</v>
      </c>
      <c r="BB721" s="1">
        <v>11.7616</v>
      </c>
      <c r="BC721" s="1">
        <v>2.5217000000000001</v>
      </c>
      <c r="BD721" s="1">
        <v>9.6239000000000008</v>
      </c>
      <c r="BE721" s="1">
        <v>0.58730000000000004</v>
      </c>
      <c r="BG721" s="1425">
        <v>44147</v>
      </c>
      <c r="BH721" s="1">
        <v>18.168500000000002</v>
      </c>
      <c r="BI721" s="1">
        <v>3.3228</v>
      </c>
      <c r="BJ721" s="1">
        <v>20.885999999999999</v>
      </c>
      <c r="BT721" s="1425">
        <v>44181</v>
      </c>
      <c r="BU721" s="1">
        <v>13.5632</v>
      </c>
      <c r="BV721" s="1">
        <v>3.4369999999999998</v>
      </c>
      <c r="BW721" s="1">
        <v>7.2794999999999996</v>
      </c>
      <c r="BX721" s="1">
        <v>1.6672</v>
      </c>
      <c r="BZ721" s="1425">
        <v>44181</v>
      </c>
      <c r="CB721" s="1">
        <v>1.8319000000000001</v>
      </c>
      <c r="CC721" s="1">
        <v>43.511699999999998</v>
      </c>
      <c r="CD721" s="1">
        <v>0.68166000000000004</v>
      </c>
      <c r="CF721" s="1425">
        <v>44180</v>
      </c>
      <c r="CG721" s="1">
        <v>8.6805000000000003</v>
      </c>
      <c r="CH721" s="1">
        <v>1.2802</v>
      </c>
      <c r="CI721" s="1">
        <v>9.3960000000000008</v>
      </c>
      <c r="CL721" s="1425">
        <v>44203</v>
      </c>
      <c r="CM721" s="1">
        <v>28.129300000000001</v>
      </c>
      <c r="CN721" s="1">
        <v>2.5386000000000002</v>
      </c>
      <c r="CO721" s="1">
        <v>11.2234</v>
      </c>
    </row>
    <row r="722" spans="1:93">
      <c r="A722" s="1425">
        <v>44180</v>
      </c>
      <c r="B722" s="20">
        <f t="shared" si="112"/>
        <v>15.073399999999999</v>
      </c>
      <c r="C722" s="20">
        <f t="shared" si="114"/>
        <v>10.502700000000001</v>
      </c>
      <c r="D722" s="20">
        <f t="shared" si="115"/>
        <v>10.902900000000001</v>
      </c>
      <c r="E722" s="20">
        <f t="shared" si="116"/>
        <v>10.724600000000001</v>
      </c>
      <c r="F722" s="20">
        <f t="shared" si="117"/>
        <v>20.281099999999999</v>
      </c>
      <c r="G722" s="20">
        <f t="shared" si="118"/>
        <v>10.709199999999999</v>
      </c>
      <c r="H722" s="1239">
        <f t="shared" si="119"/>
        <v>10.724600000000001</v>
      </c>
      <c r="I722" s="1243">
        <f t="shared" si="113"/>
        <v>0.40549764093765717</v>
      </c>
      <c r="J722" s="1243">
        <f t="shared" si="120"/>
        <v>0.12093838824177333</v>
      </c>
      <c r="K722" s="1243">
        <f t="shared" si="121"/>
        <v>0.1</v>
      </c>
      <c r="L722" s="203"/>
      <c r="N722" s="1425">
        <v>44180</v>
      </c>
      <c r="O722" s="1502">
        <v>15.073399999999999</v>
      </c>
      <c r="P722" s="1502">
        <v>3.2105999999999999</v>
      </c>
      <c r="Q722" s="1502">
        <v>14.758800000000001</v>
      </c>
      <c r="R722" s="1233">
        <f>'B. PE'!$U$23</f>
        <v>15.978235616082999</v>
      </c>
      <c r="S722" s="1233"/>
      <c r="T722" s="1233"/>
      <c r="V722" s="1425">
        <v>44180</v>
      </c>
      <c r="W722" s="1">
        <v>10.502700000000001</v>
      </c>
      <c r="X722" s="1">
        <v>0.90400000000000003</v>
      </c>
      <c r="Y722" s="1">
        <v>12.122400000000001</v>
      </c>
      <c r="Z722" s="1">
        <v>0.54796</v>
      </c>
      <c r="AB722" s="1425">
        <v>44154</v>
      </c>
      <c r="AC722" s="1">
        <v>13.561299999999999</v>
      </c>
      <c r="AD722" s="1502">
        <v>1.1215999999999999</v>
      </c>
      <c r="AE722" s="1">
        <v>6.4877000000000002</v>
      </c>
      <c r="AF722" s="1">
        <v>2.6040000000000001E-2</v>
      </c>
      <c r="AH722" s="1425">
        <v>44154</v>
      </c>
      <c r="AI722" s="1">
        <v>10.735200000000001</v>
      </c>
      <c r="AJ722" s="1">
        <v>1.7189000000000001</v>
      </c>
      <c r="AK722" s="1">
        <v>4.1467000000000001</v>
      </c>
      <c r="AL722" s="1">
        <v>2.3060000000000001E-2</v>
      </c>
      <c r="AN722" s="1425">
        <v>44159</v>
      </c>
      <c r="AO722" s="1">
        <v>11.1371</v>
      </c>
      <c r="AP722" s="1">
        <v>1.1933</v>
      </c>
      <c r="AQ722" s="1">
        <v>7.2321999999999997</v>
      </c>
      <c r="AR722" s="1">
        <v>0.28100000000000003</v>
      </c>
      <c r="AT722" s="1425">
        <v>44159</v>
      </c>
      <c r="AU722" s="1">
        <v>7.0334000000000003</v>
      </c>
      <c r="AV722" s="1">
        <v>0.48509999999999998</v>
      </c>
      <c r="AW722" s="1">
        <v>5.1642999999999999</v>
      </c>
      <c r="AX722" s="1">
        <v>0.12217</v>
      </c>
      <c r="BA722" s="1425">
        <v>44146</v>
      </c>
      <c r="BB722" s="1">
        <v>11.0807</v>
      </c>
      <c r="BC722" s="1">
        <v>2.3757000000000001</v>
      </c>
      <c r="BD722" s="1">
        <v>9.1660000000000004</v>
      </c>
      <c r="BE722" s="1">
        <v>0.62780000000000002</v>
      </c>
      <c r="BG722" s="1425">
        <v>44146</v>
      </c>
      <c r="BH722" s="1">
        <v>17.6052</v>
      </c>
      <c r="BI722" s="1">
        <v>3.2198000000000002</v>
      </c>
      <c r="BJ722" s="1">
        <v>20.363299999999999</v>
      </c>
      <c r="BT722" s="1425">
        <v>44180</v>
      </c>
      <c r="BU722" s="1">
        <v>13.5397</v>
      </c>
      <c r="BV722" s="1">
        <v>3.431</v>
      </c>
      <c r="BW722" s="1">
        <v>7.2668999999999997</v>
      </c>
      <c r="BX722" s="1">
        <v>1.6479999999999999</v>
      </c>
      <c r="BZ722" s="1425">
        <v>44180</v>
      </c>
      <c r="CB722" s="1">
        <v>1.744</v>
      </c>
      <c r="CC722" s="1">
        <v>42.241900000000001</v>
      </c>
      <c r="CD722" s="1">
        <v>0.63815999999999995</v>
      </c>
      <c r="CF722" s="1425">
        <v>44179</v>
      </c>
      <c r="CG722" s="1">
        <v>8.0724</v>
      </c>
      <c r="CH722" s="1">
        <v>1.1904999999999999</v>
      </c>
      <c r="CI722" s="1">
        <v>9.0871999999999993</v>
      </c>
      <c r="CL722" s="1425">
        <v>44202</v>
      </c>
      <c r="CM722" s="1">
        <v>28.15</v>
      </c>
      <c r="CN722" s="1">
        <v>2.5405000000000002</v>
      </c>
      <c r="CO722" s="1">
        <v>11.2318</v>
      </c>
    </row>
    <row r="723" spans="1:93">
      <c r="A723" s="1425">
        <v>44179</v>
      </c>
      <c r="B723" s="20">
        <f t="shared" si="112"/>
        <v>15.092499999999999</v>
      </c>
      <c r="C723" s="20">
        <f t="shared" si="114"/>
        <v>10.0282</v>
      </c>
      <c r="D723" s="20">
        <f t="shared" si="115"/>
        <v>11.1378</v>
      </c>
      <c r="E723" s="20">
        <f t="shared" si="116"/>
        <v>10.4152</v>
      </c>
      <c r="F723" s="20">
        <f t="shared" si="117"/>
        <v>19.999500000000001</v>
      </c>
      <c r="G723" s="20">
        <f t="shared" si="118"/>
        <v>10.3378</v>
      </c>
      <c r="H723" s="1239">
        <f t="shared" si="119"/>
        <v>10.4152</v>
      </c>
      <c r="I723" s="1243">
        <f t="shared" si="113"/>
        <v>0.44908403103156913</v>
      </c>
      <c r="J723" s="1243">
        <f t="shared" si="120"/>
        <v>0.12093838824177333</v>
      </c>
      <c r="K723" s="1243">
        <f t="shared" si="121"/>
        <v>0.1</v>
      </c>
      <c r="L723" s="203"/>
      <c r="N723" s="1425">
        <v>44179</v>
      </c>
      <c r="O723" s="1502">
        <v>15.092499999999999</v>
      </c>
      <c r="P723" s="1502">
        <v>3.2147000000000001</v>
      </c>
      <c r="Q723" s="1502">
        <v>14.7761</v>
      </c>
      <c r="R723" s="1233">
        <f>'B. PE'!$U$23</f>
        <v>15.978235616082999</v>
      </c>
      <c r="S723" s="1233"/>
      <c r="T723" s="1233"/>
      <c r="V723" s="1425">
        <v>44179</v>
      </c>
      <c r="W723" s="1">
        <v>10.0282</v>
      </c>
      <c r="X723" s="1">
        <v>0.86309999999999998</v>
      </c>
      <c r="Y723" s="1">
        <v>11.795199999999999</v>
      </c>
      <c r="Z723" s="1">
        <v>0.54224000000000006</v>
      </c>
      <c r="AB723" s="1425">
        <v>44153</v>
      </c>
      <c r="AC723" s="1">
        <v>13.561299999999999</v>
      </c>
      <c r="AD723" s="1502">
        <v>1.1215999999999999</v>
      </c>
      <c r="AE723" s="1">
        <v>6.4877000000000002</v>
      </c>
      <c r="AF723" s="1">
        <v>2.623E-2</v>
      </c>
      <c r="AH723" s="1425">
        <v>44153</v>
      </c>
      <c r="AI723" s="1">
        <v>10.735200000000001</v>
      </c>
      <c r="AJ723" s="1">
        <v>1.7189000000000001</v>
      </c>
      <c r="AK723" s="1">
        <v>4.1467000000000001</v>
      </c>
      <c r="AL723" s="1">
        <v>2.324E-2</v>
      </c>
      <c r="AN723" s="1425">
        <v>44158</v>
      </c>
      <c r="AO723" s="1">
        <v>11.446400000000001</v>
      </c>
      <c r="AP723" s="1">
        <v>1.2264999999999999</v>
      </c>
      <c r="AQ723" s="1">
        <v>7.4843000000000002</v>
      </c>
      <c r="AR723" s="1">
        <v>0.27039999999999997</v>
      </c>
      <c r="AT723" s="1425">
        <v>44158</v>
      </c>
      <c r="AU723" s="1">
        <v>7.1031000000000004</v>
      </c>
      <c r="AV723" s="1">
        <v>0.4899</v>
      </c>
      <c r="AW723" s="1">
        <v>5.2009999999999996</v>
      </c>
      <c r="AX723" s="1">
        <v>0.12424</v>
      </c>
      <c r="BA723" s="1425">
        <v>44145</v>
      </c>
      <c r="BB723" s="1">
        <v>11.018800000000001</v>
      </c>
      <c r="BC723" s="1">
        <v>2.3624999999999998</v>
      </c>
      <c r="BD723" s="1">
        <v>9.1242999999999999</v>
      </c>
      <c r="BE723" s="1">
        <v>0.63412999999999997</v>
      </c>
      <c r="BG723" s="1425">
        <v>44145</v>
      </c>
      <c r="BH723" s="1">
        <v>17.323499999999999</v>
      </c>
      <c r="BI723" s="1">
        <v>3.1682999999999999</v>
      </c>
      <c r="BJ723" s="1">
        <v>20.101900000000001</v>
      </c>
      <c r="BT723" s="1425">
        <v>44179</v>
      </c>
      <c r="BU723" s="1">
        <v>13.5867</v>
      </c>
      <c r="BV723" s="1">
        <v>3.4428999999999998</v>
      </c>
      <c r="BW723" s="1">
        <v>7.2922000000000002</v>
      </c>
      <c r="BX723" s="1">
        <v>1.64</v>
      </c>
      <c r="BZ723" s="1425">
        <v>44179</v>
      </c>
      <c r="CB723" s="1">
        <v>1.77</v>
      </c>
      <c r="CC723" s="1">
        <v>42.618200000000002</v>
      </c>
      <c r="CD723" s="1">
        <v>0.62658000000000003</v>
      </c>
      <c r="CF723" s="1425">
        <v>44176</v>
      </c>
      <c r="CG723" s="1">
        <v>8.2934999999999999</v>
      </c>
      <c r="CH723" s="1">
        <v>1.2231000000000001</v>
      </c>
      <c r="CI723" s="1">
        <v>9.1994000000000007</v>
      </c>
      <c r="CL723" s="1425">
        <v>44201</v>
      </c>
      <c r="CM723" s="1">
        <v>27.880500000000001</v>
      </c>
      <c r="CN723" s="1">
        <v>2.5162</v>
      </c>
      <c r="CO723" s="1">
        <v>11.1229</v>
      </c>
    </row>
    <row r="724" spans="1:93">
      <c r="A724" s="1425">
        <v>44176</v>
      </c>
      <c r="B724" s="20">
        <f t="shared" si="112"/>
        <v>14.710900000000001</v>
      </c>
      <c r="C724" s="20">
        <f t="shared" si="114"/>
        <v>9.5221</v>
      </c>
      <c r="D724" s="20">
        <f t="shared" si="115"/>
        <v>10.601000000000001</v>
      </c>
      <c r="E724" s="20">
        <f t="shared" si="116"/>
        <v>10.673</v>
      </c>
      <c r="F724" s="20">
        <f t="shared" si="117"/>
        <v>19.999500000000001</v>
      </c>
      <c r="G724" s="20">
        <f t="shared" si="118"/>
        <v>10.3378</v>
      </c>
      <c r="H724" s="1239">
        <f t="shared" si="119"/>
        <v>10.601000000000001</v>
      </c>
      <c r="I724" s="1243">
        <f t="shared" si="113"/>
        <v>0.38768984058107714</v>
      </c>
      <c r="J724" s="1243">
        <f t="shared" si="120"/>
        <v>0.12093838824177333</v>
      </c>
      <c r="K724" s="1243">
        <f t="shared" si="121"/>
        <v>0.1</v>
      </c>
      <c r="L724" s="203"/>
      <c r="N724" s="1425">
        <v>44176</v>
      </c>
      <c r="O724" s="1502">
        <v>14.710900000000001</v>
      </c>
      <c r="P724" s="1502">
        <v>3.1334</v>
      </c>
      <c r="Q724" s="1502">
        <v>14.429399999999999</v>
      </c>
      <c r="R724" s="1233">
        <f>'B. PE'!$U$23</f>
        <v>15.978235616082999</v>
      </c>
      <c r="S724" s="1233"/>
      <c r="T724" s="1233"/>
      <c r="V724" s="1425">
        <v>44176</v>
      </c>
      <c r="W724" s="1">
        <v>9.5221</v>
      </c>
      <c r="X724" s="1">
        <v>0.8196</v>
      </c>
      <c r="Y724" s="1">
        <v>11.446099999999999</v>
      </c>
      <c r="Z724" s="1">
        <v>0.56071000000000004</v>
      </c>
      <c r="AB724" s="1425">
        <v>44152</v>
      </c>
      <c r="AC724" s="1">
        <v>13.7867</v>
      </c>
      <c r="AD724" s="1502">
        <v>1.1402000000000001</v>
      </c>
      <c r="AE724" s="1">
        <v>6.5682</v>
      </c>
      <c r="AF724" s="1">
        <v>2.529E-2</v>
      </c>
      <c r="AH724" s="1425">
        <v>44152</v>
      </c>
      <c r="AI724" s="1">
        <v>10.902900000000001</v>
      </c>
      <c r="AJ724" s="1">
        <v>1.7458</v>
      </c>
      <c r="AK724" s="1">
        <v>4.2262000000000004</v>
      </c>
      <c r="AL724" s="1">
        <v>2.2970000000000001E-2</v>
      </c>
      <c r="AN724" s="1425">
        <v>44155</v>
      </c>
      <c r="AO724" s="1">
        <v>11.8589</v>
      </c>
      <c r="AP724" s="1">
        <v>1.2706999999999999</v>
      </c>
      <c r="AQ724" s="1">
        <v>7.8204000000000002</v>
      </c>
      <c r="AR724" s="1">
        <v>0.27522999999999997</v>
      </c>
      <c r="AT724" s="1425">
        <v>44155</v>
      </c>
      <c r="AU724" s="1">
        <v>6.9638</v>
      </c>
      <c r="AV724" s="1">
        <v>0.4803</v>
      </c>
      <c r="AW724" s="1">
        <v>5.1276999999999999</v>
      </c>
      <c r="AX724" s="1">
        <v>0.12232</v>
      </c>
      <c r="BA724" s="1425">
        <v>44144</v>
      </c>
      <c r="BB724" s="1">
        <v>11.885400000000001</v>
      </c>
      <c r="BC724" s="1">
        <v>2.5482999999999998</v>
      </c>
      <c r="BD724" s="1">
        <v>9.7071000000000005</v>
      </c>
      <c r="BE724" s="1">
        <v>0.65932999999999997</v>
      </c>
      <c r="BG724" s="1425">
        <v>44144</v>
      </c>
      <c r="BH724" s="1">
        <v>19.858599999999999</v>
      </c>
      <c r="BI724" s="1">
        <v>3.6318999999999999</v>
      </c>
      <c r="BJ724" s="1">
        <v>22.4541</v>
      </c>
      <c r="BT724" s="1425">
        <v>44176</v>
      </c>
      <c r="BU724" s="1">
        <v>13.4223</v>
      </c>
      <c r="BV724" s="1">
        <v>3.4013</v>
      </c>
      <c r="BW724" s="1">
        <v>7.2035999999999998</v>
      </c>
      <c r="BX724" s="1">
        <v>1.6580999999999999</v>
      </c>
      <c r="BZ724" s="1425">
        <v>44176</v>
      </c>
      <c r="CB724" s="1">
        <v>1.6561999999999999</v>
      </c>
      <c r="CC724" s="1">
        <v>40.972200000000001</v>
      </c>
      <c r="CD724" s="1">
        <v>0.64693999999999996</v>
      </c>
      <c r="CF724" s="1425">
        <v>44175</v>
      </c>
      <c r="CG724" s="1">
        <v>8.5146999999999995</v>
      </c>
      <c r="CH724" s="1">
        <v>1.2558</v>
      </c>
      <c r="CI724" s="1">
        <v>9.3117000000000001</v>
      </c>
      <c r="CL724" s="1425">
        <v>44200</v>
      </c>
      <c r="CM724" s="1">
        <v>27.590299999999999</v>
      </c>
      <c r="CN724" s="1">
        <v>2.4900000000000002</v>
      </c>
      <c r="CO724" s="1">
        <v>11.005699999999999</v>
      </c>
    </row>
    <row r="725" spans="1:93">
      <c r="A725" s="1425">
        <v>44175</v>
      </c>
      <c r="B725" s="20">
        <f t="shared" si="112"/>
        <v>14.539199999999999</v>
      </c>
      <c r="C725" s="20">
        <f t="shared" si="114"/>
        <v>9.4271999999999991</v>
      </c>
      <c r="D725" s="20">
        <f t="shared" si="115"/>
        <v>10.601000000000001</v>
      </c>
      <c r="E725" s="20">
        <f t="shared" si="116"/>
        <v>10.9308</v>
      </c>
      <c r="F725" s="20">
        <f t="shared" si="117"/>
        <v>19.999500000000001</v>
      </c>
      <c r="G725" s="20">
        <f t="shared" si="118"/>
        <v>10.3378</v>
      </c>
      <c r="H725" s="1239">
        <f t="shared" si="119"/>
        <v>10.601000000000001</v>
      </c>
      <c r="I725" s="1243">
        <f t="shared" si="113"/>
        <v>0.37149325535326838</v>
      </c>
      <c r="J725" s="1243">
        <f t="shared" si="120"/>
        <v>0.12093838824177333</v>
      </c>
      <c r="K725" s="1243">
        <f t="shared" si="121"/>
        <v>0.1</v>
      </c>
      <c r="L725" s="203"/>
      <c r="N725" s="1425">
        <v>44175</v>
      </c>
      <c r="O725" s="1502">
        <v>14.539199999999999</v>
      </c>
      <c r="P725" s="1502">
        <v>3.0968</v>
      </c>
      <c r="Q725" s="1502">
        <v>14.273300000000001</v>
      </c>
      <c r="R725" s="1233">
        <f>'B. PE'!$U$23</f>
        <v>15.978235616082999</v>
      </c>
      <c r="S725" s="1233"/>
      <c r="T725" s="1233"/>
      <c r="V725" s="1425">
        <v>44175</v>
      </c>
      <c r="W725" s="1">
        <v>9.4271999999999991</v>
      </c>
      <c r="X725" s="1">
        <v>0.81140000000000001</v>
      </c>
      <c r="Y725" s="1">
        <v>11.380699999999999</v>
      </c>
      <c r="Z725" s="1">
        <v>0.56044000000000005</v>
      </c>
      <c r="AB725" s="1425">
        <v>44151</v>
      </c>
      <c r="AC725" s="1">
        <v>13.861800000000001</v>
      </c>
      <c r="AD725" s="1502">
        <v>1.1464000000000001</v>
      </c>
      <c r="AE725" s="1">
        <v>6.5951000000000004</v>
      </c>
      <c r="AF725" s="1">
        <v>2.5149999999999999E-2</v>
      </c>
      <c r="AH725" s="1425">
        <v>44151</v>
      </c>
      <c r="AI725" s="1">
        <v>10.97</v>
      </c>
      <c r="AJ725" s="1">
        <v>1.7565</v>
      </c>
      <c r="AK725" s="1">
        <v>4.258</v>
      </c>
      <c r="AL725" s="1">
        <v>2.283E-2</v>
      </c>
      <c r="AN725" s="1425">
        <v>44154</v>
      </c>
      <c r="AO725" s="1">
        <v>11.446400000000001</v>
      </c>
      <c r="AP725" s="1">
        <v>1.2264999999999999</v>
      </c>
      <c r="AQ725" s="1">
        <v>7.4843000000000002</v>
      </c>
      <c r="AR725" s="1">
        <v>0.27045000000000002</v>
      </c>
      <c r="AT725" s="1425">
        <v>44154</v>
      </c>
      <c r="AU725" s="1">
        <v>7.1031000000000004</v>
      </c>
      <c r="AV725" s="1">
        <v>0.4899</v>
      </c>
      <c r="AW725" s="1">
        <v>5.2009999999999996</v>
      </c>
      <c r="AX725" s="1">
        <v>0.11939</v>
      </c>
      <c r="BA725" s="1425">
        <v>44141</v>
      </c>
      <c r="BB725" s="1">
        <v>12.0092</v>
      </c>
      <c r="BC725" s="1">
        <v>2.5748000000000002</v>
      </c>
      <c r="BD725" s="1">
        <v>9.7904</v>
      </c>
      <c r="BE725" s="1">
        <v>0.65151000000000003</v>
      </c>
      <c r="BG725" s="1425">
        <v>44141</v>
      </c>
      <c r="BH725" s="1">
        <v>20.281099999999999</v>
      </c>
      <c r="BI725" s="1">
        <v>3.7092000000000001</v>
      </c>
      <c r="BJ725" s="1">
        <v>22.8461</v>
      </c>
      <c r="BT725" s="1425">
        <v>44175</v>
      </c>
      <c r="BU725" s="1">
        <v>13.3635</v>
      </c>
      <c r="BV725" s="1">
        <v>3.3864000000000001</v>
      </c>
      <c r="BW725" s="1">
        <v>7.1719999999999997</v>
      </c>
      <c r="BX725" s="1">
        <v>1.6500999999999999</v>
      </c>
      <c r="BZ725" s="1425">
        <v>44175</v>
      </c>
      <c r="CB725" s="1">
        <v>1.6269</v>
      </c>
      <c r="CC725" s="1">
        <v>40.548900000000003</v>
      </c>
      <c r="CD725" s="1">
        <v>0.64287000000000005</v>
      </c>
      <c r="CF725" s="1425">
        <v>44174</v>
      </c>
      <c r="CG725" s="1">
        <v>7.9065000000000003</v>
      </c>
      <c r="CH725" s="1">
        <v>1.1660999999999999</v>
      </c>
      <c r="CI725" s="1">
        <v>9.0029000000000003</v>
      </c>
      <c r="CL725" s="1425">
        <v>44196</v>
      </c>
      <c r="CO725" s="1">
        <v>11.005699999999999</v>
      </c>
    </row>
    <row r="726" spans="1:93">
      <c r="A726" s="1425">
        <v>44174</v>
      </c>
      <c r="B726" s="20">
        <f t="shared" si="112"/>
        <v>14.653600000000001</v>
      </c>
      <c r="C726" s="20">
        <f t="shared" si="114"/>
        <v>9.7434999999999992</v>
      </c>
      <c r="D726" s="20">
        <f t="shared" si="115"/>
        <v>10.601000000000001</v>
      </c>
      <c r="E726" s="20">
        <f t="shared" si="116"/>
        <v>10.9824</v>
      </c>
      <c r="F726" s="20">
        <f t="shared" si="117"/>
        <v>20.703700000000001</v>
      </c>
      <c r="G726" s="20">
        <f t="shared" si="118"/>
        <v>10.6473</v>
      </c>
      <c r="H726" s="1239">
        <f t="shared" si="119"/>
        <v>10.6473</v>
      </c>
      <c r="I726" s="1243">
        <f t="shared" si="113"/>
        <v>0.37627379711288311</v>
      </c>
      <c r="J726" s="1243">
        <f t="shared" si="120"/>
        <v>0.12093838824177333</v>
      </c>
      <c r="K726" s="1243">
        <f t="shared" si="121"/>
        <v>0.1</v>
      </c>
      <c r="L726" s="203"/>
      <c r="N726" s="1425">
        <v>44174</v>
      </c>
      <c r="O726" s="1502">
        <v>14.653600000000001</v>
      </c>
      <c r="P726" s="1502">
        <v>3.1212</v>
      </c>
      <c r="Q726" s="1502">
        <v>14.3773</v>
      </c>
      <c r="R726" s="1233">
        <f>'B. PE'!$U$23</f>
        <v>15.978235616082999</v>
      </c>
      <c r="S726" s="1233"/>
      <c r="T726" s="1233"/>
      <c r="V726" s="1425">
        <v>44174</v>
      </c>
      <c r="W726" s="1">
        <v>9.7434999999999992</v>
      </c>
      <c r="X726" s="1">
        <v>0.83860000000000001</v>
      </c>
      <c r="Y726" s="1">
        <v>11.598800000000001</v>
      </c>
      <c r="Z726" s="1">
        <v>0.57140999999999997</v>
      </c>
      <c r="AB726" s="1425">
        <v>44148</v>
      </c>
      <c r="AC726" s="1">
        <v>13.4862</v>
      </c>
      <c r="AD726" s="1502">
        <v>1.1153999999999999</v>
      </c>
      <c r="AE726" s="1">
        <v>6.4608999999999996</v>
      </c>
      <c r="AF726" s="1">
        <v>2.5399999999999999E-2</v>
      </c>
      <c r="AH726" s="1425">
        <v>44148</v>
      </c>
      <c r="AI726" s="1">
        <v>10.936500000000001</v>
      </c>
      <c r="AJ726" s="1">
        <v>1.7512000000000001</v>
      </c>
      <c r="AK726" s="1">
        <v>4.2420999999999998</v>
      </c>
      <c r="AL726" s="1">
        <v>2.342E-2</v>
      </c>
      <c r="AN726" s="1425">
        <v>44153</v>
      </c>
      <c r="AO726" s="1">
        <v>11.601100000000001</v>
      </c>
      <c r="AP726" s="1">
        <v>1.2431000000000001</v>
      </c>
      <c r="AQ726" s="1">
        <v>7.6102999999999996</v>
      </c>
      <c r="AR726" s="1">
        <v>0.27444000000000002</v>
      </c>
      <c r="AT726" s="1425">
        <v>44153</v>
      </c>
      <c r="AU726" s="1">
        <v>6.9638</v>
      </c>
      <c r="AV726" s="1">
        <v>0.4803</v>
      </c>
      <c r="AW726" s="1">
        <v>5.1276999999999999</v>
      </c>
      <c r="AX726" s="1">
        <v>0.11899999999999999</v>
      </c>
      <c r="BA726" s="1425">
        <v>44140</v>
      </c>
      <c r="BB726" s="1">
        <v>12.5663</v>
      </c>
      <c r="BC726" s="1">
        <v>2.6943000000000001</v>
      </c>
      <c r="BD726" s="1">
        <v>10.164999999999999</v>
      </c>
      <c r="BE726" s="1">
        <v>0.66729000000000005</v>
      </c>
      <c r="BG726" s="1425">
        <v>44140</v>
      </c>
      <c r="BH726" s="1">
        <v>20.985399999999998</v>
      </c>
      <c r="BI726" s="1">
        <v>3.8380000000000001</v>
      </c>
      <c r="BJ726" s="1">
        <v>23.499400000000001</v>
      </c>
      <c r="BT726" s="1425">
        <v>44174</v>
      </c>
      <c r="BU726" s="1">
        <v>13.5045</v>
      </c>
      <c r="BV726" s="1">
        <v>3.4220999999999999</v>
      </c>
      <c r="BW726" s="1">
        <v>7.2478999999999996</v>
      </c>
      <c r="BX726" s="1">
        <v>1.6474</v>
      </c>
      <c r="BZ726" s="1425">
        <v>44174</v>
      </c>
      <c r="CB726" s="1">
        <v>1.6789000000000001</v>
      </c>
      <c r="CC726" s="1">
        <v>41.301400000000001</v>
      </c>
      <c r="CD726" s="1">
        <v>0.65169999999999995</v>
      </c>
      <c r="CF726" s="1425">
        <v>44173</v>
      </c>
      <c r="CG726" s="1">
        <v>8.57</v>
      </c>
      <c r="CH726" s="1">
        <v>1.2639</v>
      </c>
      <c r="CI726" s="1">
        <v>9.3398000000000003</v>
      </c>
      <c r="CL726" s="1425">
        <v>44195</v>
      </c>
      <c r="CM726" s="1">
        <v>26.5595</v>
      </c>
      <c r="CN726" s="1">
        <v>2.5931000000000002</v>
      </c>
      <c r="CO726" s="1">
        <v>11.1069</v>
      </c>
    </row>
    <row r="727" spans="1:93">
      <c r="A727" s="1425">
        <v>44173</v>
      </c>
      <c r="B727" s="20">
        <f t="shared" si="112"/>
        <v>14.8063</v>
      </c>
      <c r="C727" s="20">
        <f t="shared" si="114"/>
        <v>9.7434999999999992</v>
      </c>
      <c r="D727" s="20">
        <f t="shared" si="115"/>
        <v>10.701599999999999</v>
      </c>
      <c r="E727" s="20">
        <f t="shared" si="116"/>
        <v>11.033899999999999</v>
      </c>
      <c r="F727" s="20">
        <f t="shared" si="117"/>
        <v>21.266999999999999</v>
      </c>
      <c r="G727" s="20">
        <f t="shared" si="118"/>
        <v>11.018800000000001</v>
      </c>
      <c r="H727" s="1239">
        <f t="shared" si="119"/>
        <v>11.018800000000001</v>
      </c>
      <c r="I727" s="1243">
        <f t="shared" si="113"/>
        <v>0.3437307147783788</v>
      </c>
      <c r="J727" s="1243">
        <f t="shared" si="120"/>
        <v>0.12093838824177333</v>
      </c>
      <c r="K727" s="1243">
        <f t="shared" si="121"/>
        <v>0.1</v>
      </c>
      <c r="L727" s="203"/>
      <c r="N727" s="1425">
        <v>44173</v>
      </c>
      <c r="O727" s="1502">
        <v>14.8063</v>
      </c>
      <c r="P727" s="1502">
        <v>3.1537000000000002</v>
      </c>
      <c r="Q727" s="1502">
        <v>14.516</v>
      </c>
      <c r="R727" s="1233">
        <f>'B. PE'!$U$23</f>
        <v>15.978235616082999</v>
      </c>
      <c r="S727" s="1233"/>
      <c r="T727" s="1233"/>
      <c r="V727" s="1425">
        <v>44173</v>
      </c>
      <c r="W727" s="1">
        <v>9.7434999999999992</v>
      </c>
      <c r="X727" s="1">
        <v>0.83860000000000001</v>
      </c>
      <c r="Y727" s="1">
        <v>11.598800000000001</v>
      </c>
      <c r="Z727" s="1">
        <v>0.56794</v>
      </c>
      <c r="AB727" s="1425">
        <v>44147</v>
      </c>
      <c r="AC727" s="1">
        <v>13.411</v>
      </c>
      <c r="AD727" s="1502">
        <v>1.1091</v>
      </c>
      <c r="AE727" s="1">
        <v>6.4340000000000002</v>
      </c>
      <c r="AF727" s="1">
        <v>2.6200000000000001E-2</v>
      </c>
      <c r="AH727" s="1425">
        <v>44147</v>
      </c>
      <c r="AI727" s="1">
        <v>10.869400000000001</v>
      </c>
      <c r="AJ727" s="1">
        <v>1.7403999999999999</v>
      </c>
      <c r="AK727" s="1">
        <v>4.2103000000000002</v>
      </c>
      <c r="AL727" s="1">
        <v>2.3230000000000001E-2</v>
      </c>
      <c r="AN727" s="1425">
        <v>44152</v>
      </c>
      <c r="AO727" s="1">
        <v>11.446400000000001</v>
      </c>
      <c r="AP727" s="1">
        <v>1.2264999999999999</v>
      </c>
      <c r="AQ727" s="1">
        <v>7.4843000000000002</v>
      </c>
      <c r="AR727" s="1">
        <v>0.27289000000000002</v>
      </c>
      <c r="AT727" s="1425">
        <v>44152</v>
      </c>
      <c r="AU727" s="1">
        <v>6.8244999999999996</v>
      </c>
      <c r="AV727" s="1">
        <v>0.47070000000000001</v>
      </c>
      <c r="AW727" s="1">
        <v>5.0544000000000002</v>
      </c>
      <c r="AX727" s="1">
        <v>0.11885999999999999</v>
      </c>
      <c r="BA727" s="1425">
        <v>44139</v>
      </c>
      <c r="BB727" s="1">
        <v>12.5044</v>
      </c>
      <c r="BC727" s="1">
        <v>2.681</v>
      </c>
      <c r="BD727" s="1">
        <v>10.1234</v>
      </c>
      <c r="BE727" s="1">
        <v>0.67115999999999998</v>
      </c>
      <c r="BG727" s="1425">
        <v>44139</v>
      </c>
      <c r="BH727" s="1">
        <v>20.8445</v>
      </c>
      <c r="BI727" s="1">
        <v>3.8121999999999998</v>
      </c>
      <c r="BJ727" s="1">
        <v>23.3688</v>
      </c>
      <c r="BT727" s="1425">
        <v>44173</v>
      </c>
      <c r="BU727" s="1">
        <v>13.4457</v>
      </c>
      <c r="BV727" s="1">
        <v>3.4072</v>
      </c>
      <c r="BW727" s="1">
        <v>7.2163000000000004</v>
      </c>
      <c r="BX727" s="1">
        <v>1.6420999999999999</v>
      </c>
      <c r="BZ727" s="1425">
        <v>44173</v>
      </c>
      <c r="CB727" s="1">
        <v>1.6692</v>
      </c>
      <c r="CC727" s="1">
        <v>41.160299999999999</v>
      </c>
      <c r="CD727" s="1">
        <v>0.64312000000000002</v>
      </c>
      <c r="CF727" s="1425">
        <v>44172</v>
      </c>
      <c r="CG727" s="1">
        <v>9.0122999999999998</v>
      </c>
      <c r="CH727" s="1">
        <v>1.3290999999999999</v>
      </c>
      <c r="CI727" s="1">
        <v>9.5643999999999991</v>
      </c>
      <c r="CL727" s="1425">
        <v>44194</v>
      </c>
      <c r="CM727" s="1">
        <v>26.9786</v>
      </c>
      <c r="CN727" s="1">
        <v>2.6339999999999999</v>
      </c>
      <c r="CO727" s="1">
        <v>11.279400000000001</v>
      </c>
    </row>
    <row r="728" spans="1:93">
      <c r="A728" s="1425">
        <v>44172</v>
      </c>
      <c r="B728" s="20">
        <f t="shared" si="112"/>
        <v>14.4247</v>
      </c>
      <c r="C728" s="20">
        <f t="shared" si="114"/>
        <v>9.9332999999999991</v>
      </c>
      <c r="D728" s="20">
        <f t="shared" si="115"/>
        <v>10.668100000000001</v>
      </c>
      <c r="E728" s="20">
        <f t="shared" si="116"/>
        <v>11.1371</v>
      </c>
      <c r="F728" s="20">
        <f t="shared" si="117"/>
        <v>21.266999999999999</v>
      </c>
      <c r="G728" s="20">
        <f t="shared" si="118"/>
        <v>11.018800000000001</v>
      </c>
      <c r="H728" s="1239">
        <f t="shared" si="119"/>
        <v>11.018800000000001</v>
      </c>
      <c r="I728" s="1243">
        <f t="shared" si="113"/>
        <v>0.30909899444585598</v>
      </c>
      <c r="J728" s="1243">
        <f t="shared" si="120"/>
        <v>0.12093838824177333</v>
      </c>
      <c r="K728" s="1243">
        <f t="shared" si="121"/>
        <v>0.1</v>
      </c>
      <c r="L728" s="203"/>
      <c r="N728" s="1425">
        <v>44172</v>
      </c>
      <c r="O728" s="1502">
        <v>14.4247</v>
      </c>
      <c r="P728" s="1502">
        <v>3.0724</v>
      </c>
      <c r="Q728" s="1502">
        <v>14.1693</v>
      </c>
      <c r="R728" s="1233">
        <f>'B. PE'!$U$23</f>
        <v>15.978235616082999</v>
      </c>
      <c r="S728" s="1233"/>
      <c r="T728" s="1233"/>
      <c r="V728" s="1425">
        <v>44172</v>
      </c>
      <c r="W728" s="1">
        <v>9.9332999999999991</v>
      </c>
      <c r="X728" s="1">
        <v>0.85499999999999998</v>
      </c>
      <c r="Y728" s="1">
        <v>11.729699999999999</v>
      </c>
      <c r="Z728" s="1">
        <v>0.57511999999999996</v>
      </c>
      <c r="AB728" s="1425">
        <v>44146</v>
      </c>
      <c r="AC728" s="1">
        <v>13.5237</v>
      </c>
      <c r="AD728" s="1502">
        <v>1.1185</v>
      </c>
      <c r="AE728" s="1">
        <v>6.4743000000000004</v>
      </c>
      <c r="AF728" s="1">
        <v>2.6419999999999999E-2</v>
      </c>
      <c r="AH728" s="1425">
        <v>44146</v>
      </c>
      <c r="AI728" s="1">
        <v>11.1378</v>
      </c>
      <c r="AJ728" s="1">
        <v>1.7834000000000001</v>
      </c>
      <c r="AK728" s="1">
        <v>4.3376000000000001</v>
      </c>
      <c r="AL728" s="1">
        <v>2.2800000000000001E-2</v>
      </c>
      <c r="AN728" s="1425">
        <v>44151</v>
      </c>
      <c r="AO728" s="1">
        <v>11.652699999999999</v>
      </c>
      <c r="AP728" s="1">
        <v>1.2485999999999999</v>
      </c>
      <c r="AQ728" s="1">
        <v>7.6523000000000003</v>
      </c>
      <c r="AR728" s="1">
        <v>0.27723999999999999</v>
      </c>
      <c r="AT728" s="1425">
        <v>44151</v>
      </c>
      <c r="AU728" s="1">
        <v>6.8244999999999996</v>
      </c>
      <c r="AV728" s="1">
        <v>0.47070000000000001</v>
      </c>
      <c r="AW728" s="1">
        <v>5.0544000000000002</v>
      </c>
      <c r="BA728" s="1425">
        <v>44138</v>
      </c>
      <c r="BB728" s="1">
        <v>12.8139</v>
      </c>
      <c r="BC728" s="1">
        <v>2.7473999999999998</v>
      </c>
      <c r="BD728" s="1">
        <v>10.3315</v>
      </c>
      <c r="BE728" s="1">
        <v>0.63505999999999996</v>
      </c>
      <c r="BG728" s="1425">
        <v>44138</v>
      </c>
      <c r="BH728" s="1">
        <v>21.407900000000001</v>
      </c>
      <c r="BI728" s="1">
        <v>3.9152</v>
      </c>
      <c r="BJ728" s="1">
        <v>23.891500000000001</v>
      </c>
      <c r="BT728" s="1425">
        <v>44172</v>
      </c>
      <c r="BU728" s="1">
        <v>13.4223</v>
      </c>
      <c r="BV728" s="1">
        <v>3.4013</v>
      </c>
      <c r="BW728" s="1">
        <v>7.2035999999999998</v>
      </c>
      <c r="BX728" s="1">
        <v>1.6533</v>
      </c>
      <c r="BZ728" s="1425">
        <v>44172</v>
      </c>
      <c r="CB728" s="1">
        <v>1.6919999999999999</v>
      </c>
      <c r="CC728" s="1">
        <v>41.4895</v>
      </c>
      <c r="CD728" s="1">
        <v>0.64426000000000005</v>
      </c>
      <c r="CF728" s="1425">
        <v>44169</v>
      </c>
      <c r="CG728" s="1">
        <v>9.0122999999999998</v>
      </c>
      <c r="CH728" s="1">
        <v>1.3290999999999999</v>
      </c>
      <c r="CI728" s="1">
        <v>9.5643999999999991</v>
      </c>
      <c r="CL728" s="1425">
        <v>44193</v>
      </c>
      <c r="CM728" s="1">
        <v>26.7591</v>
      </c>
      <c r="CN728" s="1">
        <v>2.6126</v>
      </c>
      <c r="CO728" s="1">
        <v>11.1891</v>
      </c>
    </row>
    <row r="729" spans="1:93">
      <c r="A729" s="1425">
        <v>44169</v>
      </c>
      <c r="B729" s="20">
        <f t="shared" si="112"/>
        <v>14.1576</v>
      </c>
      <c r="C729" s="20">
        <f t="shared" si="114"/>
        <v>9.8701000000000008</v>
      </c>
      <c r="D729" s="20">
        <f t="shared" si="115"/>
        <v>10.601000000000001</v>
      </c>
      <c r="E729" s="20">
        <f t="shared" si="116"/>
        <v>11.3949</v>
      </c>
      <c r="F729" s="20">
        <f t="shared" si="117"/>
        <v>21.266999999999999</v>
      </c>
      <c r="G729" s="20">
        <f t="shared" si="118"/>
        <v>11.1426</v>
      </c>
      <c r="H729" s="1239">
        <f t="shared" si="119"/>
        <v>11.1426</v>
      </c>
      <c r="I729" s="1243">
        <f t="shared" si="113"/>
        <v>0.27058316730386101</v>
      </c>
      <c r="J729" s="1243">
        <f t="shared" si="120"/>
        <v>0.12093838824177333</v>
      </c>
      <c r="K729" s="1243">
        <f t="shared" si="121"/>
        <v>0.1</v>
      </c>
      <c r="L729" s="203"/>
      <c r="N729" s="1425">
        <v>44169</v>
      </c>
      <c r="O729" s="1502">
        <v>14.1576</v>
      </c>
      <c r="P729" s="1502">
        <v>3.0154999999999998</v>
      </c>
      <c r="Q729" s="1502">
        <v>13.926500000000001</v>
      </c>
      <c r="R729" s="1233">
        <f>'B. PE'!$U$23</f>
        <v>15.978235616082999</v>
      </c>
      <c r="S729" s="1233"/>
      <c r="T729" s="1233"/>
      <c r="V729" s="1425">
        <v>44169</v>
      </c>
      <c r="W729" s="1">
        <v>9.8701000000000008</v>
      </c>
      <c r="X729" s="1">
        <v>0.84950000000000003</v>
      </c>
      <c r="Y729" s="1">
        <v>11.6861</v>
      </c>
      <c r="Z729" s="1">
        <v>0.56432000000000004</v>
      </c>
      <c r="AB729" s="1425">
        <v>44145</v>
      </c>
      <c r="AC729" s="1">
        <v>13.8994</v>
      </c>
      <c r="AD729" s="1502">
        <v>1.1495</v>
      </c>
      <c r="AE729" s="1">
        <v>6.6085000000000003</v>
      </c>
      <c r="AF729" s="1">
        <v>2.4629999999999999E-2</v>
      </c>
      <c r="AH729" s="1425">
        <v>44145</v>
      </c>
      <c r="AI729" s="1">
        <v>11.0036</v>
      </c>
      <c r="AJ729" s="1">
        <v>1.7619</v>
      </c>
      <c r="AK729" s="1">
        <v>4.2739000000000003</v>
      </c>
      <c r="AL729" s="1">
        <v>2.2669999999999999E-2</v>
      </c>
      <c r="AN729" s="1425">
        <v>44148</v>
      </c>
      <c r="AO729" s="1">
        <v>11.601100000000001</v>
      </c>
      <c r="AP729" s="1">
        <v>1.2431000000000001</v>
      </c>
      <c r="AQ729" s="1">
        <v>7.6102999999999996</v>
      </c>
      <c r="AR729" s="1">
        <v>0.25407999999999997</v>
      </c>
      <c r="AT729" s="1425">
        <v>44148</v>
      </c>
      <c r="AU729" s="1">
        <v>6.8244999999999996</v>
      </c>
      <c r="AV729" s="1">
        <v>0.47070000000000001</v>
      </c>
      <c r="AW729" s="1">
        <v>5.056</v>
      </c>
      <c r="AX729" s="1">
        <v>0.11736000000000001</v>
      </c>
      <c r="BA729" s="1425">
        <v>44137</v>
      </c>
      <c r="BB729" s="1">
        <v>12.937799999999999</v>
      </c>
      <c r="BC729" s="1">
        <v>2.7738999999999998</v>
      </c>
      <c r="BD729" s="1">
        <v>10.4147</v>
      </c>
      <c r="BE729" s="1">
        <v>0.64349000000000001</v>
      </c>
      <c r="BG729" s="1425">
        <v>44137</v>
      </c>
      <c r="BH729" s="1">
        <v>20.703700000000001</v>
      </c>
      <c r="BI729" s="1">
        <v>3.7865000000000002</v>
      </c>
      <c r="BJ729" s="1">
        <v>23.238099999999999</v>
      </c>
      <c r="BT729" s="1425">
        <v>44169</v>
      </c>
      <c r="BU729" s="1">
        <v>13.375299999999999</v>
      </c>
      <c r="BV729" s="1">
        <v>3.3894000000000002</v>
      </c>
      <c r="BW729" s="1">
        <v>7.1783000000000001</v>
      </c>
      <c r="BX729" s="1">
        <v>1.6435999999999999</v>
      </c>
      <c r="BZ729" s="1425">
        <v>44169</v>
      </c>
      <c r="CB729" s="1">
        <v>1.6692</v>
      </c>
      <c r="CC729" s="1">
        <v>41.160299999999999</v>
      </c>
      <c r="CD729" s="1">
        <v>0.60302999999999995</v>
      </c>
      <c r="CF729" s="1425">
        <v>44168</v>
      </c>
      <c r="CG729" s="1">
        <v>9.3439999999999994</v>
      </c>
      <c r="CH729" s="1">
        <v>1.3781000000000001</v>
      </c>
      <c r="CI729" s="1">
        <v>9.7327999999999992</v>
      </c>
      <c r="CL729" s="1425">
        <v>44189</v>
      </c>
      <c r="CO729" s="1">
        <v>11.065799999999999</v>
      </c>
    </row>
    <row r="730" spans="1:93">
      <c r="A730" s="1425">
        <v>44168</v>
      </c>
      <c r="B730" s="20">
        <f t="shared" si="112"/>
        <v>14.4247</v>
      </c>
      <c r="C730" s="20">
        <f t="shared" si="114"/>
        <v>9.9966000000000008</v>
      </c>
      <c r="D730" s="20">
        <f t="shared" si="115"/>
        <v>10.634499999999999</v>
      </c>
      <c r="E730" s="20">
        <f t="shared" si="116"/>
        <v>11.601100000000001</v>
      </c>
      <c r="F730" s="20">
        <f t="shared" si="117"/>
        <v>20.562799999999999</v>
      </c>
      <c r="G730" s="20">
        <f t="shared" si="118"/>
        <v>11.4521</v>
      </c>
      <c r="H730" s="1239">
        <f t="shared" si="119"/>
        <v>11.4521</v>
      </c>
      <c r="I730" s="1243">
        <f t="shared" si="113"/>
        <v>0.25956811414500391</v>
      </c>
      <c r="J730" s="1243">
        <f t="shared" si="120"/>
        <v>0.12093838824177333</v>
      </c>
      <c r="K730" s="1243">
        <f t="shared" si="121"/>
        <v>0.1</v>
      </c>
      <c r="L730" s="203"/>
      <c r="N730" s="1425">
        <v>44168</v>
      </c>
      <c r="O730" s="1502">
        <v>14.4247</v>
      </c>
      <c r="P730" s="1502">
        <v>3.0724</v>
      </c>
      <c r="Q730" s="1502">
        <v>14.1693</v>
      </c>
      <c r="R730" s="1233">
        <f>'B. PE'!$U$23</f>
        <v>15.978235616082999</v>
      </c>
      <c r="S730" s="1233"/>
      <c r="T730" s="1233"/>
      <c r="V730" s="1425">
        <v>44168</v>
      </c>
      <c r="W730" s="1">
        <v>9.9966000000000008</v>
      </c>
      <c r="X730" s="1">
        <v>0.86040000000000005</v>
      </c>
      <c r="Y730" s="1">
        <v>11.773300000000001</v>
      </c>
      <c r="Z730" s="1">
        <v>0.57520000000000004</v>
      </c>
      <c r="AB730" s="1425">
        <v>44144</v>
      </c>
      <c r="AC730" s="1">
        <v>13.974500000000001</v>
      </c>
      <c r="AD730" s="1502">
        <v>1.1557999999999999</v>
      </c>
      <c r="AE730" s="1">
        <v>6.6353999999999997</v>
      </c>
      <c r="AF730" s="1">
        <v>2.445E-2</v>
      </c>
      <c r="AH730" s="1425">
        <v>44144</v>
      </c>
      <c r="AI730" s="1">
        <v>10.768700000000001</v>
      </c>
      <c r="AJ730" s="1">
        <v>1.7242999999999999</v>
      </c>
      <c r="AK730" s="1">
        <v>4.1626000000000003</v>
      </c>
      <c r="AL730" s="1">
        <v>2.256E-2</v>
      </c>
      <c r="AN730" s="1425">
        <v>44147</v>
      </c>
      <c r="AO730" s="1">
        <v>11.8073</v>
      </c>
      <c r="AP730" s="1">
        <v>1.2652000000000001</v>
      </c>
      <c r="AQ730" s="1">
        <v>7.7784000000000004</v>
      </c>
      <c r="AR730" s="1">
        <v>0.25481999999999999</v>
      </c>
      <c r="AT730" s="1425">
        <v>44147</v>
      </c>
      <c r="AW730" s="1">
        <v>5.0194000000000001</v>
      </c>
      <c r="BA730" s="1425">
        <v>44134</v>
      </c>
      <c r="BB730" s="1">
        <v>12.2568</v>
      </c>
      <c r="BC730" s="1">
        <v>2.6278999999999999</v>
      </c>
      <c r="BD730" s="1">
        <v>9.9568999999999992</v>
      </c>
      <c r="BE730" s="1">
        <v>0.64924999999999999</v>
      </c>
      <c r="BG730" s="1425">
        <v>44134</v>
      </c>
      <c r="BH730" s="1">
        <v>20.8445</v>
      </c>
      <c r="BI730" s="1">
        <v>3.8121999999999998</v>
      </c>
      <c r="BJ730" s="1">
        <v>23.3688</v>
      </c>
      <c r="BT730" s="1425">
        <v>44168</v>
      </c>
      <c r="BU730" s="1">
        <v>13.469200000000001</v>
      </c>
      <c r="BV730" s="1">
        <v>3.4131999999999998</v>
      </c>
      <c r="BW730" s="1">
        <v>7.2289000000000003</v>
      </c>
      <c r="BX730" s="1">
        <v>1.6722999999999999</v>
      </c>
      <c r="BZ730" s="1425">
        <v>44168</v>
      </c>
      <c r="CB730" s="1">
        <v>1.6724000000000001</v>
      </c>
      <c r="CC730" s="1">
        <v>41.207299999999996</v>
      </c>
      <c r="CD730" s="1">
        <v>0.60924</v>
      </c>
      <c r="CF730" s="1425">
        <v>44167</v>
      </c>
      <c r="CG730" s="1">
        <v>9.2334999999999994</v>
      </c>
      <c r="CH730" s="1">
        <v>1.3617999999999999</v>
      </c>
      <c r="CI730" s="1">
        <v>9.6767000000000003</v>
      </c>
      <c r="CL730" s="1425">
        <v>44188</v>
      </c>
      <c r="CM730" s="1">
        <v>26.459700000000002</v>
      </c>
      <c r="CN730" s="1">
        <v>2.5832999999999999</v>
      </c>
      <c r="CO730" s="1">
        <v>11.065799999999999</v>
      </c>
    </row>
    <row r="731" spans="1:93">
      <c r="A731" s="1425">
        <v>44167</v>
      </c>
      <c r="B731" s="20">
        <f t="shared" si="112"/>
        <v>14.081200000000001</v>
      </c>
      <c r="C731" s="20">
        <f t="shared" si="114"/>
        <v>9.8068000000000008</v>
      </c>
      <c r="D731" s="20">
        <f t="shared" si="115"/>
        <v>10.668100000000001</v>
      </c>
      <c r="E731" s="20">
        <f t="shared" si="116"/>
        <v>11.188599999999999</v>
      </c>
      <c r="F731" s="20">
        <f t="shared" si="117"/>
        <v>20.985399999999998</v>
      </c>
      <c r="G731" s="20">
        <f t="shared" si="118"/>
        <v>11.3283</v>
      </c>
      <c r="H731" s="1239">
        <f t="shared" si="119"/>
        <v>11.188599999999999</v>
      </c>
      <c r="I731" s="1243">
        <f t="shared" si="113"/>
        <v>0.25853100477271518</v>
      </c>
      <c r="J731" s="1243">
        <f t="shared" si="120"/>
        <v>0.12093838824177333</v>
      </c>
      <c r="K731" s="1243">
        <f t="shared" si="121"/>
        <v>0.1</v>
      </c>
      <c r="L731" s="203"/>
      <c r="N731" s="1425">
        <v>44167</v>
      </c>
      <c r="O731" s="1502">
        <v>14.081200000000001</v>
      </c>
      <c r="P731" s="1502">
        <v>2.9992999999999999</v>
      </c>
      <c r="Q731" s="1502">
        <v>13.857200000000001</v>
      </c>
      <c r="R731" s="1233">
        <f>'B. PE'!$U$23</f>
        <v>15.978235616082999</v>
      </c>
      <c r="S731" s="1233"/>
      <c r="T731" s="1233"/>
      <c r="V731" s="1425">
        <v>44167</v>
      </c>
      <c r="W731" s="1">
        <v>9.8068000000000008</v>
      </c>
      <c r="X731" s="1">
        <v>0.84409999999999996</v>
      </c>
      <c r="Y731" s="1">
        <v>11.6424</v>
      </c>
      <c r="Z731" s="1">
        <v>0.58584000000000003</v>
      </c>
      <c r="AB731" s="1425">
        <v>44141</v>
      </c>
      <c r="AC731" s="1">
        <v>13.185600000000001</v>
      </c>
      <c r="AD731" s="1502">
        <v>1.0905</v>
      </c>
      <c r="AE731" s="1">
        <v>6.3535000000000004</v>
      </c>
      <c r="AF731" s="1">
        <v>2.3779999999999999E-2</v>
      </c>
      <c r="AH731" s="1425">
        <v>44141</v>
      </c>
      <c r="AI731" s="1">
        <v>10.835800000000001</v>
      </c>
      <c r="AJ731" s="1">
        <v>1.7351000000000001</v>
      </c>
      <c r="AK731" s="1">
        <v>4.1943999999999999</v>
      </c>
      <c r="AL731" s="1">
        <v>2.197E-2</v>
      </c>
      <c r="AN731" s="1425">
        <v>44146</v>
      </c>
      <c r="AO731" s="1">
        <v>10.8277</v>
      </c>
      <c r="AP731" s="1">
        <v>1.1601999999999999</v>
      </c>
      <c r="AQ731" s="1">
        <v>6.9802</v>
      </c>
      <c r="AR731" s="1">
        <v>0.26044</v>
      </c>
      <c r="AT731" s="1425">
        <v>44146</v>
      </c>
      <c r="AU731" s="1">
        <v>6.7549000000000001</v>
      </c>
      <c r="AV731" s="1">
        <v>0.46589999999999998</v>
      </c>
      <c r="AW731" s="1">
        <v>5.0194000000000001</v>
      </c>
      <c r="AX731" s="1">
        <v>0.11683</v>
      </c>
      <c r="BA731" s="1425">
        <v>44133</v>
      </c>
      <c r="BB731" s="1">
        <v>12.442500000000001</v>
      </c>
      <c r="BC731" s="1">
        <v>2.6677</v>
      </c>
      <c r="BD731" s="1">
        <v>10.0817</v>
      </c>
      <c r="BE731" s="1">
        <v>0.66969999999999996</v>
      </c>
      <c r="BG731" s="1425">
        <v>44133</v>
      </c>
      <c r="BH731" s="1">
        <v>21.689599999999999</v>
      </c>
      <c r="BI731" s="1">
        <v>3.9668000000000001</v>
      </c>
      <c r="BJ731" s="1">
        <v>24.152799999999999</v>
      </c>
      <c r="BT731" s="1425">
        <v>44167</v>
      </c>
      <c r="BU731" s="1">
        <v>13.387</v>
      </c>
      <c r="BV731" s="1">
        <v>3.3923000000000001</v>
      </c>
      <c r="BW731" s="1">
        <v>7.1847000000000003</v>
      </c>
      <c r="BX731" s="1">
        <v>1.6715</v>
      </c>
      <c r="BZ731" s="1425">
        <v>44167</v>
      </c>
      <c r="CB731" s="1">
        <v>1.5650999999999999</v>
      </c>
      <c r="CC731" s="1">
        <v>39.6554</v>
      </c>
      <c r="CD731" s="1">
        <v>0.59516999999999998</v>
      </c>
      <c r="CF731" s="1425">
        <v>44166</v>
      </c>
      <c r="CG731" s="1">
        <v>9.0676000000000005</v>
      </c>
      <c r="CH731" s="1">
        <v>1.3372999999999999</v>
      </c>
      <c r="CI731" s="1">
        <v>9.5924999999999994</v>
      </c>
      <c r="CL731" s="1425">
        <v>44187</v>
      </c>
      <c r="CM731" s="1">
        <v>25.940899999999999</v>
      </c>
      <c r="CN731" s="1">
        <v>2.5327000000000002</v>
      </c>
      <c r="CO731" s="1">
        <v>10.8522</v>
      </c>
    </row>
    <row r="732" spans="1:93">
      <c r="A732" s="1425">
        <v>44166</v>
      </c>
      <c r="B732" s="20">
        <f t="shared" si="112"/>
        <v>14.749000000000001</v>
      </c>
      <c r="C732" s="20">
        <f t="shared" si="114"/>
        <v>9.9966000000000008</v>
      </c>
      <c r="D732" s="20">
        <f t="shared" si="115"/>
        <v>10.668100000000001</v>
      </c>
      <c r="E732" s="20">
        <f t="shared" si="116"/>
        <v>11.188599999999999</v>
      </c>
      <c r="F732" s="20">
        <f t="shared" si="117"/>
        <v>21.266999999999999</v>
      </c>
      <c r="G732" s="20">
        <f t="shared" si="118"/>
        <v>11.6378</v>
      </c>
      <c r="H732" s="1239">
        <f t="shared" si="119"/>
        <v>11.188599999999999</v>
      </c>
      <c r="I732" s="1243">
        <f t="shared" si="113"/>
        <v>0.31821675634127611</v>
      </c>
      <c r="J732" s="1243">
        <f t="shared" si="120"/>
        <v>0.12093838824177333</v>
      </c>
      <c r="K732" s="1243">
        <f t="shared" si="121"/>
        <v>0.1</v>
      </c>
      <c r="L732" s="203"/>
      <c r="N732" s="1425">
        <v>44166</v>
      </c>
      <c r="O732" s="1502">
        <v>14.749000000000001</v>
      </c>
      <c r="P732" s="1502">
        <v>3.1415000000000002</v>
      </c>
      <c r="Q732" s="1502">
        <v>14.464</v>
      </c>
      <c r="R732" s="1233">
        <f>'B. PE'!$U$23</f>
        <v>15.978235616082999</v>
      </c>
      <c r="S732" s="1233"/>
      <c r="T732" s="1233"/>
      <c r="V732" s="1425">
        <v>44166</v>
      </c>
      <c r="W732" s="1">
        <v>9.9966000000000008</v>
      </c>
      <c r="X732" s="1">
        <v>0.86040000000000005</v>
      </c>
      <c r="Y732" s="1">
        <v>11.773300000000001</v>
      </c>
      <c r="Z732" s="1">
        <v>0.58150000000000002</v>
      </c>
      <c r="AB732" s="1425">
        <v>44140</v>
      </c>
      <c r="AC732" s="1">
        <v>13.1105</v>
      </c>
      <c r="AD732" s="1502">
        <v>1.0843</v>
      </c>
      <c r="AE732" s="1">
        <v>6.3266</v>
      </c>
      <c r="AF732" s="1">
        <v>2.4510000000000001E-2</v>
      </c>
      <c r="AH732" s="1425">
        <v>44140</v>
      </c>
      <c r="AI732" s="1">
        <v>10.802300000000001</v>
      </c>
      <c r="AJ732" s="1">
        <v>1.7297</v>
      </c>
      <c r="AK732" s="1">
        <v>4.1784999999999997</v>
      </c>
      <c r="AL732" s="1">
        <v>2.2100000000000002E-2</v>
      </c>
      <c r="AN732" s="1425">
        <v>44145</v>
      </c>
      <c r="AO732" s="1">
        <v>10.8277</v>
      </c>
      <c r="AP732" s="1">
        <v>1.1601999999999999</v>
      </c>
      <c r="AQ732" s="1">
        <v>6.9802</v>
      </c>
      <c r="AR732" s="1">
        <v>0.25553999999999999</v>
      </c>
      <c r="AT732" s="1425">
        <v>44145</v>
      </c>
      <c r="AW732" s="1">
        <v>4.9827000000000004</v>
      </c>
      <c r="AX732" s="1">
        <v>0.11626</v>
      </c>
      <c r="BA732" s="1425">
        <v>44132</v>
      </c>
      <c r="BB732" s="1">
        <v>12.5663</v>
      </c>
      <c r="BC732" s="1">
        <v>2.6943000000000001</v>
      </c>
      <c r="BD732" s="1">
        <v>10.164999999999999</v>
      </c>
      <c r="BE732" s="1">
        <v>0.67476999999999998</v>
      </c>
      <c r="BG732" s="1425">
        <v>44132</v>
      </c>
      <c r="BH732" s="1">
        <v>21.830400000000001</v>
      </c>
      <c r="BI732" s="1">
        <v>3.9925000000000002</v>
      </c>
      <c r="BJ732" s="1">
        <v>24.2835</v>
      </c>
      <c r="BT732" s="1425">
        <v>44166</v>
      </c>
      <c r="BU732" s="1">
        <v>13.6219</v>
      </c>
      <c r="BV732" s="1">
        <v>3.4518</v>
      </c>
      <c r="BW732" s="1">
        <v>7.3112000000000004</v>
      </c>
      <c r="BX732" s="1">
        <v>1.6623000000000001</v>
      </c>
      <c r="BZ732" s="1425">
        <v>44166</v>
      </c>
      <c r="CB732" s="1">
        <v>1.5812999999999999</v>
      </c>
      <c r="CC732" s="1">
        <v>39.890500000000003</v>
      </c>
      <c r="CD732" s="1">
        <v>0.55566000000000004</v>
      </c>
      <c r="CF732" s="1425">
        <v>44165</v>
      </c>
      <c r="CG732" s="1">
        <v>9.2334999999999994</v>
      </c>
      <c r="CH732" s="1">
        <v>1.3617999999999999</v>
      </c>
      <c r="CI732" s="1">
        <v>9.6767000000000003</v>
      </c>
      <c r="CL732" s="1425">
        <v>44186</v>
      </c>
      <c r="CM732" s="1">
        <v>25.920999999999999</v>
      </c>
      <c r="CN732" s="1">
        <v>2.5306999999999999</v>
      </c>
      <c r="CO732" s="1">
        <v>10.843999999999999</v>
      </c>
    </row>
    <row r="733" spans="1:93">
      <c r="A733" s="1425">
        <v>44165</v>
      </c>
      <c r="B733" s="20">
        <f t="shared" si="112"/>
        <v>14.691800000000001</v>
      </c>
      <c r="C733" s="20">
        <f t="shared" si="114"/>
        <v>10.186400000000001</v>
      </c>
      <c r="D733" s="20">
        <f t="shared" si="115"/>
        <v>10.668100000000001</v>
      </c>
      <c r="E733" s="20">
        <f t="shared" si="116"/>
        <v>10.9824</v>
      </c>
      <c r="F733" s="20">
        <f t="shared" si="117"/>
        <v>20.985399999999998</v>
      </c>
      <c r="G733" s="20">
        <f t="shared" si="118"/>
        <v>11.4521</v>
      </c>
      <c r="H733" s="1239">
        <f t="shared" si="119"/>
        <v>10.9824</v>
      </c>
      <c r="I733" s="1243">
        <f t="shared" si="113"/>
        <v>0.33775859557109555</v>
      </c>
      <c r="J733" s="1243">
        <f t="shared" si="120"/>
        <v>0.12093838824177333</v>
      </c>
      <c r="K733" s="1243">
        <f t="shared" si="121"/>
        <v>0.1</v>
      </c>
      <c r="L733" s="203"/>
      <c r="N733" s="1425">
        <v>44165</v>
      </c>
      <c r="O733" s="1502">
        <v>14.691800000000001</v>
      </c>
      <c r="P733" s="1502">
        <v>3.1293000000000002</v>
      </c>
      <c r="Q733" s="1502">
        <v>14.412000000000001</v>
      </c>
      <c r="R733" s="1233">
        <f>'B. PE'!$U$23</f>
        <v>15.978235616082999</v>
      </c>
      <c r="S733" s="1233"/>
      <c r="T733" s="1233"/>
      <c r="V733" s="1425">
        <v>44165</v>
      </c>
      <c r="W733" s="1">
        <v>10.186400000000001</v>
      </c>
      <c r="X733" s="1">
        <v>0.87670000000000003</v>
      </c>
      <c r="Y733" s="1">
        <v>11.904199999999999</v>
      </c>
      <c r="Z733" s="1">
        <v>0.55959000000000003</v>
      </c>
      <c r="AB733" s="1425">
        <v>44139</v>
      </c>
      <c r="AC733" s="1">
        <v>12.8475</v>
      </c>
      <c r="AD733" s="1502">
        <v>1.0625</v>
      </c>
      <c r="AE733" s="1">
        <v>6.2327000000000004</v>
      </c>
      <c r="AF733" s="1">
        <v>2.4469999999999999E-2</v>
      </c>
      <c r="AH733" s="1425">
        <v>44139</v>
      </c>
      <c r="AI733" s="1">
        <v>10.601000000000001</v>
      </c>
      <c r="AJ733" s="1">
        <v>1.6974</v>
      </c>
      <c r="AK733" s="1">
        <v>4.0831</v>
      </c>
      <c r="AL733" s="1">
        <v>2.188E-2</v>
      </c>
      <c r="AN733" s="1425">
        <v>44144</v>
      </c>
      <c r="AO733" s="1">
        <v>11.033899999999999</v>
      </c>
      <c r="AP733" s="1">
        <v>1.1822999999999999</v>
      </c>
      <c r="AQ733" s="1">
        <v>7.1482000000000001</v>
      </c>
      <c r="AR733" s="1">
        <v>0.24967</v>
      </c>
      <c r="AT733" s="1425">
        <v>44144</v>
      </c>
      <c r="AU733" s="1">
        <v>6.6852</v>
      </c>
      <c r="AV733" s="1">
        <v>0.46110000000000001</v>
      </c>
      <c r="AW733" s="1">
        <v>4.9828000000000001</v>
      </c>
      <c r="BA733" s="1425">
        <v>44131</v>
      </c>
      <c r="BB733" s="1">
        <v>12.937799999999999</v>
      </c>
      <c r="BC733" s="1">
        <v>2.7738999999999998</v>
      </c>
      <c r="BD733" s="1">
        <v>10.4147</v>
      </c>
      <c r="BE733" s="1">
        <v>0.65458000000000005</v>
      </c>
      <c r="BG733" s="1425">
        <v>44131</v>
      </c>
      <c r="BH733" s="1">
        <v>22.112100000000002</v>
      </c>
      <c r="BI733" s="1">
        <v>4.0439999999999996</v>
      </c>
      <c r="BJ733" s="1">
        <v>24.544799999999999</v>
      </c>
      <c r="BT733" s="1425">
        <v>44165</v>
      </c>
      <c r="BU733" s="1">
        <v>13.6219</v>
      </c>
      <c r="BV733" s="1">
        <v>3.4518</v>
      </c>
      <c r="BW733" s="1">
        <v>7.3112000000000004</v>
      </c>
      <c r="BX733" s="1">
        <v>1.6231</v>
      </c>
      <c r="BZ733" s="1425">
        <v>44165</v>
      </c>
      <c r="CB733" s="1">
        <v>1.5455000000000001</v>
      </c>
      <c r="CC733" s="1">
        <v>39.373199999999997</v>
      </c>
      <c r="CD733" s="1">
        <v>0.55556000000000005</v>
      </c>
      <c r="CF733" s="1425">
        <v>44162</v>
      </c>
      <c r="CG733" s="1">
        <v>9.2334999999999994</v>
      </c>
      <c r="CH733" s="1">
        <v>1.3617999999999999</v>
      </c>
      <c r="CI733" s="1">
        <v>9.6767000000000003</v>
      </c>
      <c r="CL733" s="1425">
        <v>44183</v>
      </c>
      <c r="CM733" s="1">
        <v>25.721399999999999</v>
      </c>
      <c r="CN733" s="1">
        <v>2.5112000000000001</v>
      </c>
      <c r="CO733" s="1">
        <v>10.761799999999999</v>
      </c>
    </row>
    <row r="734" spans="1:93">
      <c r="A734" s="1425">
        <v>44162</v>
      </c>
      <c r="B734" s="20">
        <f t="shared" si="112"/>
        <v>14.8254</v>
      </c>
      <c r="C734" s="20">
        <f t="shared" si="114"/>
        <v>10.123100000000001</v>
      </c>
      <c r="D734" s="20">
        <f t="shared" si="115"/>
        <v>10.668100000000001</v>
      </c>
      <c r="E734" s="20">
        <f t="shared" si="116"/>
        <v>11.188599999999999</v>
      </c>
      <c r="F734" s="20">
        <f t="shared" si="117"/>
        <v>19.7178</v>
      </c>
      <c r="G734" s="20">
        <f t="shared" si="118"/>
        <v>11.885400000000001</v>
      </c>
      <c r="H734" s="1239">
        <f t="shared" si="119"/>
        <v>11.188599999999999</v>
      </c>
      <c r="I734" s="1243">
        <f t="shared" si="113"/>
        <v>0.32504513522692746</v>
      </c>
      <c r="J734" s="1243">
        <f t="shared" si="120"/>
        <v>0.12093838824177333</v>
      </c>
      <c r="K734" s="1243">
        <f t="shared" si="121"/>
        <v>0.1</v>
      </c>
      <c r="L734" s="203"/>
      <c r="N734" s="1425">
        <v>44162</v>
      </c>
      <c r="O734" s="1502">
        <v>14.8254</v>
      </c>
      <c r="P734" s="1502">
        <v>3.1577999999999999</v>
      </c>
      <c r="Q734" s="1502">
        <v>14.5334</v>
      </c>
      <c r="R734" s="1233">
        <f>'B. PE'!$U$23</f>
        <v>15.978235616082999</v>
      </c>
      <c r="S734" s="1233"/>
      <c r="T734" s="1233"/>
      <c r="V734" s="1425">
        <v>44162</v>
      </c>
      <c r="W734" s="1">
        <v>10.123100000000001</v>
      </c>
      <c r="X734" s="1">
        <v>0.87129999999999996</v>
      </c>
      <c r="Y734" s="1">
        <v>11.8606</v>
      </c>
      <c r="Z734" s="1">
        <v>0.55801999999999996</v>
      </c>
      <c r="AB734" s="1425">
        <v>44138</v>
      </c>
      <c r="AC734" s="1">
        <v>13.335900000000001</v>
      </c>
      <c r="AD734" s="1502">
        <v>1.1029</v>
      </c>
      <c r="AE734" s="1">
        <v>6.4071999999999996</v>
      </c>
      <c r="AF734" s="1">
        <v>2.3789999999999999E-2</v>
      </c>
      <c r="AH734" s="1425">
        <v>44138</v>
      </c>
      <c r="AI734" s="1">
        <v>10.735200000000001</v>
      </c>
      <c r="AJ734" s="1">
        <v>1.7189000000000001</v>
      </c>
      <c r="AK734" s="1">
        <v>4.1467000000000001</v>
      </c>
      <c r="AL734" s="1">
        <v>2.188E-2</v>
      </c>
      <c r="AN734" s="1425">
        <v>44141</v>
      </c>
      <c r="AO734" s="1">
        <v>10.879300000000001</v>
      </c>
      <c r="AP734" s="1">
        <v>1.1657</v>
      </c>
      <c r="AQ734" s="1">
        <v>7.0221999999999998</v>
      </c>
      <c r="AR734" s="1">
        <v>0.23272999999999999</v>
      </c>
      <c r="AT734" s="1425">
        <v>44141</v>
      </c>
      <c r="AU734" s="1">
        <v>6.6852</v>
      </c>
      <c r="AV734" s="1">
        <v>0.46110000000000001</v>
      </c>
      <c r="AW734" s="1">
        <v>4.9828000000000001</v>
      </c>
      <c r="BA734" s="1425">
        <v>44130</v>
      </c>
      <c r="BB734" s="1">
        <v>13.0616</v>
      </c>
      <c r="BC734" s="1">
        <v>2.8005</v>
      </c>
      <c r="BD734" s="1">
        <v>10.497999999999999</v>
      </c>
      <c r="BE734" s="1">
        <v>0.71836</v>
      </c>
      <c r="BG734" s="1425">
        <v>44130</v>
      </c>
      <c r="BH734" s="1">
        <v>21.9712</v>
      </c>
      <c r="BI734" s="1">
        <v>4.0183</v>
      </c>
      <c r="BJ734" s="1">
        <v>24.414100000000001</v>
      </c>
      <c r="BT734" s="1425">
        <v>44162</v>
      </c>
      <c r="BU734" s="1">
        <v>13.5632</v>
      </c>
      <c r="BV734" s="1">
        <v>3.4369999999999998</v>
      </c>
      <c r="BW734" s="1">
        <v>7.2794999999999996</v>
      </c>
      <c r="BX734" s="1">
        <v>1.6123000000000001</v>
      </c>
      <c r="BZ734" s="1425">
        <v>44162</v>
      </c>
      <c r="CB734" s="1">
        <v>1.4447000000000001</v>
      </c>
      <c r="CC734" s="1">
        <v>37.915300000000002</v>
      </c>
      <c r="CD734" s="1">
        <v>0.55579999999999996</v>
      </c>
      <c r="CF734" s="1425">
        <v>44161</v>
      </c>
      <c r="CG734" s="1">
        <v>9.3439999999999994</v>
      </c>
      <c r="CH734" s="1">
        <v>1.3781000000000001</v>
      </c>
      <c r="CI734" s="1">
        <v>9.7327999999999992</v>
      </c>
      <c r="CL734" s="1425">
        <v>44182</v>
      </c>
      <c r="CM734" s="1">
        <v>25.781300000000002</v>
      </c>
      <c r="CN734" s="1">
        <v>2.5171000000000001</v>
      </c>
      <c r="CO734" s="1">
        <v>10.7864</v>
      </c>
    </row>
    <row r="735" spans="1:93">
      <c r="A735" s="1425">
        <v>44161</v>
      </c>
      <c r="B735" s="20">
        <f t="shared" si="112"/>
        <v>14.9017</v>
      </c>
      <c r="C735" s="20">
        <f t="shared" si="114"/>
        <v>9.7434999999999992</v>
      </c>
      <c r="D735" s="20">
        <f t="shared" si="115"/>
        <v>10.701599999999999</v>
      </c>
      <c r="E735" s="20">
        <f t="shared" si="116"/>
        <v>11.343299999999999</v>
      </c>
      <c r="F735" s="20">
        <f t="shared" si="117"/>
        <v>17.886800000000001</v>
      </c>
      <c r="G735" s="20">
        <f t="shared" si="118"/>
        <v>10.895</v>
      </c>
      <c r="H735" s="1239">
        <f t="shared" si="119"/>
        <v>10.895</v>
      </c>
      <c r="I735" s="1243">
        <f t="shared" si="113"/>
        <v>0.36775585130793953</v>
      </c>
      <c r="J735" s="1243">
        <f t="shared" si="120"/>
        <v>0.12093838824177333</v>
      </c>
      <c r="K735" s="1243">
        <f t="shared" si="121"/>
        <v>0.1</v>
      </c>
      <c r="L735" s="203"/>
      <c r="N735" s="1425">
        <v>44161</v>
      </c>
      <c r="O735" s="1502">
        <v>14.9017</v>
      </c>
      <c r="P735" s="1502">
        <v>3.1739999999999999</v>
      </c>
      <c r="Q735" s="1502">
        <v>14.6027</v>
      </c>
      <c r="R735" s="1233">
        <f>'B. PE'!$U$23</f>
        <v>15.978235616082999</v>
      </c>
      <c r="S735" s="1233"/>
      <c r="T735" s="1233"/>
      <c r="V735" s="1425">
        <v>44161</v>
      </c>
      <c r="W735" s="1">
        <v>9.7434999999999992</v>
      </c>
      <c r="X735" s="1">
        <v>0.83860000000000001</v>
      </c>
      <c r="Y735" s="1">
        <v>11.598800000000001</v>
      </c>
      <c r="Z735" s="1">
        <v>0.57648999999999995</v>
      </c>
      <c r="AB735" s="1425">
        <v>44137</v>
      </c>
      <c r="AC735" s="1">
        <v>13.448600000000001</v>
      </c>
      <c r="AD735" s="1502">
        <v>1.1123000000000001</v>
      </c>
      <c r="AE735" s="1">
        <v>6.4474</v>
      </c>
      <c r="AF735" s="1">
        <v>2.3460000000000002E-2</v>
      </c>
      <c r="AH735" s="1425">
        <v>44137</v>
      </c>
      <c r="AI735" s="1">
        <v>10.735200000000001</v>
      </c>
      <c r="AJ735" s="1">
        <v>1.7189000000000001</v>
      </c>
      <c r="AK735" s="1">
        <v>4.1467000000000001</v>
      </c>
      <c r="AL735" s="1">
        <v>2.162E-2</v>
      </c>
      <c r="AN735" s="1425">
        <v>44140</v>
      </c>
      <c r="AO735" s="1">
        <v>10.673</v>
      </c>
      <c r="AP735" s="1">
        <v>1.1435999999999999</v>
      </c>
      <c r="AQ735" s="1">
        <v>6.8541999999999996</v>
      </c>
      <c r="AR735" s="1">
        <v>0.23091</v>
      </c>
      <c r="AT735" s="1425">
        <v>44140</v>
      </c>
      <c r="AW735" s="1">
        <v>4.8361999999999998</v>
      </c>
      <c r="AX735" s="1">
        <v>0.11064</v>
      </c>
      <c r="BA735" s="1425">
        <v>44126</v>
      </c>
      <c r="BB735" s="1">
        <v>12.690099999999999</v>
      </c>
      <c r="BC735" s="1">
        <v>2.7208000000000001</v>
      </c>
      <c r="BD735" s="1">
        <v>10.248200000000001</v>
      </c>
      <c r="BE735" s="1">
        <v>0.60470000000000002</v>
      </c>
      <c r="BG735" s="1425">
        <v>44126</v>
      </c>
      <c r="BH735" s="1">
        <v>20.985399999999998</v>
      </c>
      <c r="BI735" s="1">
        <v>3.8380000000000001</v>
      </c>
      <c r="BJ735" s="1">
        <v>23.499400000000001</v>
      </c>
      <c r="BT735" s="1425">
        <v>44161</v>
      </c>
      <c r="BU735" s="1">
        <v>13.2461</v>
      </c>
      <c r="BV735" s="1">
        <v>3.3565999999999998</v>
      </c>
      <c r="BW735" s="1">
        <v>7.1087999999999996</v>
      </c>
      <c r="BX735" s="1">
        <v>1.6132</v>
      </c>
      <c r="BZ735" s="1425">
        <v>44161</v>
      </c>
      <c r="CB735" s="1">
        <v>1.4447000000000001</v>
      </c>
      <c r="CC735" s="1">
        <v>37.915300000000002</v>
      </c>
      <c r="CD735" s="1">
        <v>0.56110000000000004</v>
      </c>
      <c r="CF735" s="1425">
        <v>44160</v>
      </c>
      <c r="CG735" s="1">
        <v>9.3993000000000002</v>
      </c>
      <c r="CH735" s="1">
        <v>1.3862000000000001</v>
      </c>
      <c r="CI735" s="1">
        <v>9.7608999999999995</v>
      </c>
      <c r="CL735" s="1425">
        <v>44181</v>
      </c>
      <c r="CM735" s="1">
        <v>25.6815</v>
      </c>
      <c r="CN735" s="1">
        <v>2.5072999999999999</v>
      </c>
      <c r="CO735" s="1">
        <v>10.7454</v>
      </c>
    </row>
    <row r="736" spans="1:93">
      <c r="A736" s="1425">
        <v>44160</v>
      </c>
      <c r="B736" s="20">
        <f t="shared" si="112"/>
        <v>14.691800000000001</v>
      </c>
      <c r="C736" s="20">
        <f t="shared" si="114"/>
        <v>9.7119</v>
      </c>
      <c r="D736" s="20">
        <f t="shared" si="115"/>
        <v>10.634499999999999</v>
      </c>
      <c r="E736" s="20">
        <f t="shared" si="116"/>
        <v>11.033899999999999</v>
      </c>
      <c r="F736" s="20">
        <f t="shared" si="117"/>
        <v>18.027699999999999</v>
      </c>
      <c r="G736" s="20">
        <f t="shared" si="118"/>
        <v>10.956899999999999</v>
      </c>
      <c r="H736" s="1239">
        <f t="shared" si="119"/>
        <v>10.956899999999999</v>
      </c>
      <c r="I736" s="1243">
        <f t="shared" si="113"/>
        <v>0.34087196196004355</v>
      </c>
      <c r="J736" s="1243">
        <f t="shared" si="120"/>
        <v>0.12093838824177333</v>
      </c>
      <c r="K736" s="1243">
        <f t="shared" si="121"/>
        <v>0.1</v>
      </c>
      <c r="L736" s="203"/>
      <c r="N736" s="1425">
        <v>44160</v>
      </c>
      <c r="O736" s="1502">
        <v>14.691800000000001</v>
      </c>
      <c r="P736" s="1502">
        <v>3.1293000000000002</v>
      </c>
      <c r="Q736" s="1502">
        <v>14.412000000000001</v>
      </c>
      <c r="R736" s="1233">
        <f>'B. PE'!$U$23</f>
        <v>15.978235616082999</v>
      </c>
      <c r="S736" s="1233"/>
      <c r="T736" s="1233"/>
      <c r="V736" s="1425">
        <v>44160</v>
      </c>
      <c r="W736" s="1">
        <v>9.7119</v>
      </c>
      <c r="X736" s="1">
        <v>0.83589999999999998</v>
      </c>
      <c r="Y736" s="1">
        <v>11.577</v>
      </c>
      <c r="Z736" s="1">
        <v>0.56503999999999999</v>
      </c>
      <c r="AB736" s="1425">
        <v>44131</v>
      </c>
      <c r="AC736" s="1">
        <v>13.1105</v>
      </c>
      <c r="AD736" s="1502">
        <v>1.0843</v>
      </c>
      <c r="AE736" s="1">
        <v>6.3266</v>
      </c>
      <c r="AF736" s="1">
        <v>2.3689999999999999E-2</v>
      </c>
      <c r="AH736" s="1425">
        <v>44131</v>
      </c>
      <c r="AI736" s="1">
        <v>10.768700000000001</v>
      </c>
      <c r="AJ736" s="1">
        <v>1.7242999999999999</v>
      </c>
      <c r="AK736" s="1">
        <v>4.1626000000000003</v>
      </c>
      <c r="AL736" s="1">
        <v>2.172E-2</v>
      </c>
      <c r="AN736" s="1425">
        <v>44139</v>
      </c>
      <c r="AO736" s="1">
        <v>10.002700000000001</v>
      </c>
      <c r="AP736" s="1">
        <v>1.0718000000000001</v>
      </c>
      <c r="AQ736" s="1">
        <v>6.3080999999999996</v>
      </c>
      <c r="AR736" s="1">
        <v>0.22492000000000001</v>
      </c>
      <c r="AT736" s="1425">
        <v>44139</v>
      </c>
      <c r="AW736" s="1">
        <v>4.8361999999999998</v>
      </c>
      <c r="AX736" s="1">
        <v>0.11065999999999999</v>
      </c>
      <c r="BA736" s="1425">
        <v>44125</v>
      </c>
      <c r="BB736" s="1">
        <v>13.866300000000001</v>
      </c>
      <c r="BC736" s="1">
        <v>2.9729999999999999</v>
      </c>
      <c r="BD736" s="1">
        <v>11.039099999999999</v>
      </c>
      <c r="BE736" s="1">
        <v>0.59297</v>
      </c>
      <c r="BG736" s="1425">
        <v>44125</v>
      </c>
      <c r="BH736" s="1">
        <v>20.1403</v>
      </c>
      <c r="BI736" s="1">
        <v>3.6833999999999998</v>
      </c>
      <c r="BJ736" s="1">
        <v>22.715399999999999</v>
      </c>
      <c r="BT736" s="1425">
        <v>44160</v>
      </c>
      <c r="BU736" s="1">
        <v>13.152200000000001</v>
      </c>
      <c r="BV736" s="1">
        <v>3.3328000000000002</v>
      </c>
      <c r="BW736" s="1">
        <v>7.0582000000000003</v>
      </c>
      <c r="BX736" s="1">
        <v>1.6289</v>
      </c>
      <c r="BZ736" s="1425">
        <v>44160</v>
      </c>
      <c r="CB736" s="1">
        <v>1.4447000000000001</v>
      </c>
      <c r="CC736" s="1">
        <v>37.915300000000002</v>
      </c>
      <c r="CD736" s="1">
        <v>0.56057000000000001</v>
      </c>
      <c r="CF736" s="1425">
        <v>44159</v>
      </c>
      <c r="CG736" s="1">
        <v>9.4545999999999992</v>
      </c>
      <c r="CH736" s="1">
        <v>1.3944000000000001</v>
      </c>
      <c r="CI736" s="1">
        <v>9.7889999999999997</v>
      </c>
      <c r="CL736" s="1425">
        <v>44180</v>
      </c>
      <c r="CM736" s="1">
        <v>25.142700000000001</v>
      </c>
      <c r="CN736" s="1">
        <v>2.4546999999999999</v>
      </c>
      <c r="CO736" s="1">
        <v>10.5235</v>
      </c>
    </row>
    <row r="737" spans="1:93">
      <c r="A737" s="1425">
        <v>44159</v>
      </c>
      <c r="B737" s="20">
        <f t="shared" si="112"/>
        <v>14.3102</v>
      </c>
      <c r="C737" s="20">
        <f t="shared" si="114"/>
        <v>10.0282</v>
      </c>
      <c r="D737" s="20">
        <f t="shared" si="115"/>
        <v>10.735200000000001</v>
      </c>
      <c r="E737" s="20">
        <f t="shared" si="116"/>
        <v>11.1371</v>
      </c>
      <c r="F737" s="20">
        <f t="shared" si="117"/>
        <v>17.745999999999999</v>
      </c>
      <c r="G737" s="20">
        <f t="shared" si="118"/>
        <v>11.018800000000001</v>
      </c>
      <c r="H737" s="1239">
        <f t="shared" si="119"/>
        <v>11.018800000000001</v>
      </c>
      <c r="I737" s="1243">
        <f t="shared" si="113"/>
        <v>0.2987076632664174</v>
      </c>
      <c r="J737" s="1243">
        <f t="shared" si="120"/>
        <v>0.12093838824177333</v>
      </c>
      <c r="K737" s="1243">
        <f t="shared" si="121"/>
        <v>0.1</v>
      </c>
      <c r="L737" s="203"/>
      <c r="N737" s="1425">
        <v>44159</v>
      </c>
      <c r="O737" s="1502">
        <v>14.3102</v>
      </c>
      <c r="P737" s="1502">
        <v>3.048</v>
      </c>
      <c r="Q737" s="1502">
        <v>14.065200000000001</v>
      </c>
      <c r="R737" s="1233">
        <f>'B. PE'!$U$23</f>
        <v>15.978235616082999</v>
      </c>
      <c r="S737" s="1233"/>
      <c r="T737" s="1233"/>
      <c r="V737" s="1425">
        <v>44159</v>
      </c>
      <c r="W737" s="1">
        <v>10.0282</v>
      </c>
      <c r="X737" s="1">
        <v>0.86309999999999998</v>
      </c>
      <c r="Y737" s="1">
        <v>11.795199999999999</v>
      </c>
      <c r="Z737" s="1">
        <v>0.52861000000000002</v>
      </c>
      <c r="AB737" s="1425">
        <v>44130</v>
      </c>
      <c r="AC737" s="1">
        <v>12.9602</v>
      </c>
      <c r="AD737" s="1502">
        <v>1.0719000000000001</v>
      </c>
      <c r="AE737" s="1">
        <v>6.2728999999999999</v>
      </c>
      <c r="AF737" s="1">
        <v>2.2429999999999999E-2</v>
      </c>
      <c r="AH737" s="1425">
        <v>44130</v>
      </c>
      <c r="AI737" s="1">
        <v>10.668100000000001</v>
      </c>
      <c r="AJ737" s="1">
        <v>1.7081999999999999</v>
      </c>
      <c r="AK737" s="1">
        <v>4.1148999999999996</v>
      </c>
      <c r="AL737" s="1">
        <v>2.162E-2</v>
      </c>
      <c r="AN737" s="1425">
        <v>44138</v>
      </c>
      <c r="AO737" s="1">
        <v>9.8995999999999995</v>
      </c>
      <c r="AP737" s="1">
        <v>1.0607</v>
      </c>
      <c r="AQ737" s="1">
        <v>6.2240000000000002</v>
      </c>
      <c r="AR737" s="1">
        <v>0.22993</v>
      </c>
      <c r="AT737" s="1425">
        <v>44138</v>
      </c>
      <c r="AU737" s="1">
        <v>6.4066999999999998</v>
      </c>
      <c r="AV737" s="1">
        <v>0.44190000000000002</v>
      </c>
      <c r="AW737" s="1">
        <v>4.8361999999999998</v>
      </c>
      <c r="AX737" s="1">
        <v>0.11557000000000001</v>
      </c>
      <c r="BA737" s="1425">
        <v>44124</v>
      </c>
      <c r="BB737" s="1">
        <v>11.6997</v>
      </c>
      <c r="BC737" s="1">
        <v>2.5085000000000002</v>
      </c>
      <c r="BD737" s="1">
        <v>9.5822000000000003</v>
      </c>
      <c r="BE737" s="1">
        <v>0.61626999999999998</v>
      </c>
      <c r="BG737" s="1425">
        <v>44124</v>
      </c>
      <c r="BH737" s="1">
        <v>20.422000000000001</v>
      </c>
      <c r="BI737" s="1">
        <v>3.7349000000000001</v>
      </c>
      <c r="BJ737" s="1">
        <v>22.976700000000001</v>
      </c>
      <c r="BT737" s="1425">
        <v>44159</v>
      </c>
      <c r="BU737" s="1">
        <v>13.152200000000001</v>
      </c>
      <c r="BV737" s="1">
        <v>3.3328000000000002</v>
      </c>
      <c r="BW737" s="1">
        <v>7.0582000000000003</v>
      </c>
      <c r="BX737" s="1">
        <v>1.5941000000000001</v>
      </c>
      <c r="BZ737" s="1425">
        <v>44159</v>
      </c>
      <c r="CB737" s="1">
        <v>1.4577</v>
      </c>
      <c r="CC737" s="1">
        <v>38.103400000000001</v>
      </c>
      <c r="CD737" s="1">
        <v>0.56798000000000004</v>
      </c>
      <c r="CF737" s="1425">
        <v>44158</v>
      </c>
      <c r="CG737" s="1">
        <v>9.5652000000000008</v>
      </c>
      <c r="CH737" s="1">
        <v>1.4107000000000001</v>
      </c>
      <c r="CI737" s="1">
        <v>9.8451000000000004</v>
      </c>
      <c r="CL737" s="1425">
        <v>44179</v>
      </c>
      <c r="CM737" s="1">
        <v>24.9831</v>
      </c>
      <c r="CN737" s="1">
        <v>2.4392</v>
      </c>
      <c r="CO737" s="1">
        <v>10.457800000000001</v>
      </c>
    </row>
    <row r="738" spans="1:93">
      <c r="A738" s="1425">
        <v>44158</v>
      </c>
      <c r="B738" s="20">
        <f t="shared" si="112"/>
        <v>14.4628</v>
      </c>
      <c r="C738" s="20">
        <f t="shared" si="114"/>
        <v>9.8384</v>
      </c>
      <c r="D738" s="20">
        <f t="shared" si="115"/>
        <v>10.735200000000001</v>
      </c>
      <c r="E738" s="20">
        <f t="shared" si="116"/>
        <v>11.446400000000001</v>
      </c>
      <c r="F738" s="20">
        <f t="shared" si="117"/>
        <v>18.168500000000002</v>
      </c>
      <c r="G738" s="20">
        <f t="shared" si="118"/>
        <v>11.1426</v>
      </c>
      <c r="H738" s="1239">
        <f t="shared" si="119"/>
        <v>11.1426</v>
      </c>
      <c r="I738" s="1243">
        <f t="shared" si="113"/>
        <v>0.29797354297919698</v>
      </c>
      <c r="J738" s="1243">
        <f t="shared" si="120"/>
        <v>0.12093838824177333</v>
      </c>
      <c r="K738" s="1243">
        <f t="shared" si="121"/>
        <v>0.1</v>
      </c>
      <c r="L738" s="203"/>
      <c r="N738" s="1425">
        <v>44158</v>
      </c>
      <c r="O738" s="1502">
        <v>14.4628</v>
      </c>
      <c r="P738" s="1502">
        <v>3.0804999999999998</v>
      </c>
      <c r="Q738" s="1502">
        <v>14.203900000000001</v>
      </c>
      <c r="R738" s="1233">
        <f>'B. PE'!$U$23</f>
        <v>15.978235616082999</v>
      </c>
      <c r="S738" s="1233"/>
      <c r="T738" s="1233"/>
      <c r="V738" s="1425">
        <v>44158</v>
      </c>
      <c r="W738" s="1">
        <v>9.8384</v>
      </c>
      <c r="X738" s="1">
        <v>0.8468</v>
      </c>
      <c r="Y738" s="1">
        <v>11.664300000000001</v>
      </c>
      <c r="Z738" s="1">
        <v>0.49412</v>
      </c>
      <c r="AB738" s="1425">
        <v>44127</v>
      </c>
      <c r="AC738" s="1">
        <v>13.072900000000001</v>
      </c>
      <c r="AD738" s="1502">
        <v>1.0811999999999999</v>
      </c>
      <c r="AE738" s="1">
        <v>6.3132000000000001</v>
      </c>
      <c r="AF738" s="1">
        <v>2.2950000000000002E-2</v>
      </c>
      <c r="AH738" s="1425">
        <v>44127</v>
      </c>
      <c r="AI738" s="1">
        <v>10.701599999999999</v>
      </c>
      <c r="AJ738" s="1">
        <v>1.7136</v>
      </c>
      <c r="AK738" s="1">
        <v>4.1307999999999998</v>
      </c>
      <c r="AL738" s="1">
        <v>2.1860000000000001E-2</v>
      </c>
      <c r="AN738" s="1425">
        <v>44137</v>
      </c>
      <c r="AO738" s="1">
        <v>9.6417999999999999</v>
      </c>
      <c r="AP738" s="1">
        <v>1.0330999999999999</v>
      </c>
      <c r="AQ738" s="1">
        <v>6.0140000000000002</v>
      </c>
      <c r="AR738" s="1">
        <v>0.24059</v>
      </c>
      <c r="AT738" s="1425">
        <v>44137</v>
      </c>
      <c r="AU738" s="1">
        <v>6.4066999999999998</v>
      </c>
      <c r="AV738" s="1">
        <v>0.44190000000000002</v>
      </c>
      <c r="AW738" s="1">
        <v>4.8361999999999998</v>
      </c>
      <c r="BA738" s="1425">
        <v>44123</v>
      </c>
      <c r="BB738" s="1">
        <v>11.4521</v>
      </c>
      <c r="BC738" s="1">
        <v>2.4554</v>
      </c>
      <c r="BD738" s="1">
        <v>9.4156999999999993</v>
      </c>
      <c r="BE738" s="1">
        <v>0.64061000000000001</v>
      </c>
      <c r="BG738" s="1425">
        <v>44123</v>
      </c>
      <c r="BH738" s="1">
        <v>20.281099999999999</v>
      </c>
      <c r="BI738" s="1">
        <v>3.7092000000000001</v>
      </c>
      <c r="BJ738" s="1">
        <v>22.8461</v>
      </c>
      <c r="BT738" s="1425">
        <v>44158</v>
      </c>
      <c r="BU738" s="1">
        <v>13.293100000000001</v>
      </c>
      <c r="BV738" s="1">
        <v>3.3685</v>
      </c>
      <c r="BW738" s="1">
        <v>7.1341000000000001</v>
      </c>
      <c r="BX738" s="1">
        <v>1.6113999999999999</v>
      </c>
      <c r="BZ738" s="1425">
        <v>44158</v>
      </c>
      <c r="CB738" s="1">
        <v>1.4577</v>
      </c>
      <c r="CC738" s="1">
        <v>38.103400000000001</v>
      </c>
      <c r="CD738" s="1">
        <v>0.5655</v>
      </c>
      <c r="CF738" s="1425">
        <v>44155</v>
      </c>
      <c r="CG738" s="1">
        <v>9.2887000000000004</v>
      </c>
      <c r="CH738" s="1">
        <v>1.3698999999999999</v>
      </c>
      <c r="CI738" s="1">
        <v>9.7047000000000008</v>
      </c>
      <c r="CL738" s="1425">
        <v>44176</v>
      </c>
      <c r="CM738" s="1">
        <v>25.2425</v>
      </c>
      <c r="CN738" s="1">
        <v>2.4645000000000001</v>
      </c>
      <c r="CO738" s="1">
        <v>10.5646</v>
      </c>
    </row>
    <row r="739" spans="1:93">
      <c r="A739" s="1425">
        <v>44155</v>
      </c>
      <c r="B739" s="20">
        <f t="shared" si="112"/>
        <v>13.527900000000001</v>
      </c>
      <c r="C739" s="20">
        <f t="shared" si="114"/>
        <v>9.2057000000000002</v>
      </c>
      <c r="D739" s="20">
        <f t="shared" si="115"/>
        <v>10.701599999999999</v>
      </c>
      <c r="E739" s="20">
        <f t="shared" si="116"/>
        <v>11.8589</v>
      </c>
      <c r="F739" s="20">
        <f t="shared" si="117"/>
        <v>18.168500000000002</v>
      </c>
      <c r="G739" s="20">
        <f t="shared" si="118"/>
        <v>11.3283</v>
      </c>
      <c r="H739" s="1239">
        <f t="shared" si="119"/>
        <v>11.3283</v>
      </c>
      <c r="I739" s="1243">
        <f t="shared" si="113"/>
        <v>0.19416858663700642</v>
      </c>
      <c r="J739" s="1243">
        <f t="shared" si="120"/>
        <v>0.12093838824177333</v>
      </c>
      <c r="K739" s="1243">
        <f t="shared" si="121"/>
        <v>0.1</v>
      </c>
      <c r="L739" s="203"/>
      <c r="N739" s="1425">
        <v>44155</v>
      </c>
      <c r="O739" s="1502">
        <v>13.527900000000001</v>
      </c>
      <c r="P739" s="1502">
        <v>2.8814000000000002</v>
      </c>
      <c r="Q739" s="1502">
        <v>13.3544</v>
      </c>
      <c r="R739" s="1233">
        <f>'B. PE'!$U$23</f>
        <v>15.978235616082999</v>
      </c>
      <c r="S739" s="1233"/>
      <c r="T739" s="1233"/>
      <c r="V739" s="1425">
        <v>44155</v>
      </c>
      <c r="W739" s="1">
        <v>9.2057000000000002</v>
      </c>
      <c r="X739" s="1">
        <v>0.7923</v>
      </c>
      <c r="Y739" s="1">
        <v>11.228</v>
      </c>
      <c r="Z739" s="1">
        <v>0.52302999999999999</v>
      </c>
      <c r="AB739" s="1425">
        <v>44126</v>
      </c>
      <c r="AC739" s="1">
        <v>12.396699999999999</v>
      </c>
      <c r="AD739" s="1502">
        <v>1.0253000000000001</v>
      </c>
      <c r="AE739" s="1">
        <v>6.0716000000000001</v>
      </c>
      <c r="AF739" s="1">
        <v>2.3439999999999999E-2</v>
      </c>
      <c r="AH739" s="1425">
        <v>44126</v>
      </c>
      <c r="AI739" s="1">
        <v>10.668100000000001</v>
      </c>
      <c r="AJ739" s="1">
        <v>1.7081999999999999</v>
      </c>
      <c r="AK739" s="1">
        <v>4.1148999999999996</v>
      </c>
      <c r="AL739" s="1">
        <v>2.1870000000000001E-2</v>
      </c>
      <c r="AN739" s="1425">
        <v>44134</v>
      </c>
      <c r="AO739" s="1">
        <v>9.8481000000000005</v>
      </c>
      <c r="AP739" s="1">
        <v>1.0551999999999999</v>
      </c>
      <c r="AQ739" s="1">
        <v>6.1820000000000004</v>
      </c>
      <c r="AR739" s="1">
        <v>0.24499000000000001</v>
      </c>
      <c r="AT739" s="1425">
        <v>44134</v>
      </c>
      <c r="AU739" s="1">
        <v>6.6852</v>
      </c>
      <c r="AV739" s="1">
        <v>0.46110000000000001</v>
      </c>
      <c r="AW739" s="1">
        <v>4.9828000000000001</v>
      </c>
      <c r="AX739" s="1">
        <v>0.11889</v>
      </c>
      <c r="BA739" s="1425">
        <v>44120</v>
      </c>
      <c r="BB739" s="1">
        <v>11.885400000000001</v>
      </c>
      <c r="BC739" s="1">
        <v>2.5482999999999998</v>
      </c>
      <c r="BD739" s="1">
        <v>9.7071000000000005</v>
      </c>
      <c r="BE739" s="1">
        <v>0.68081999999999998</v>
      </c>
      <c r="BG739" s="1425">
        <v>44120</v>
      </c>
      <c r="BH739" s="1">
        <v>20.985399999999998</v>
      </c>
      <c r="BI739" s="1">
        <v>3.8380000000000001</v>
      </c>
      <c r="BJ739" s="1">
        <v>23.499400000000001</v>
      </c>
      <c r="BT739" s="1425">
        <v>44155</v>
      </c>
      <c r="BU739" s="1">
        <v>13.0113</v>
      </c>
      <c r="BV739" s="1">
        <v>3.2970999999999999</v>
      </c>
      <c r="BW739" s="1">
        <v>6.9823000000000004</v>
      </c>
      <c r="BX739" s="1">
        <v>1.5908</v>
      </c>
      <c r="BZ739" s="1425">
        <v>44155</v>
      </c>
      <c r="CB739" s="1">
        <v>1.4772000000000001</v>
      </c>
      <c r="CC739" s="1">
        <v>38.385599999999997</v>
      </c>
      <c r="CD739" s="1">
        <v>0.55532000000000004</v>
      </c>
      <c r="CF739" s="1425">
        <v>44154</v>
      </c>
      <c r="CG739" s="1">
        <v>8.9570000000000007</v>
      </c>
      <c r="CH739" s="1">
        <v>1.321</v>
      </c>
      <c r="CI739" s="1">
        <v>9.5363000000000007</v>
      </c>
      <c r="CL739" s="1425">
        <v>44175</v>
      </c>
      <c r="CM739" s="1">
        <v>25.2026</v>
      </c>
      <c r="CN739" s="1">
        <v>2.4605999999999999</v>
      </c>
      <c r="CO739" s="1">
        <v>10.5482</v>
      </c>
    </row>
    <row r="740" spans="1:93">
      <c r="A740" s="1425">
        <v>44154</v>
      </c>
      <c r="B740" s="20">
        <f t="shared" si="112"/>
        <v>12.7265</v>
      </c>
      <c r="C740" s="20">
        <f t="shared" si="114"/>
        <v>8.6046999999999993</v>
      </c>
      <c r="D740" s="20">
        <f t="shared" si="115"/>
        <v>10.735200000000001</v>
      </c>
      <c r="E740" s="20">
        <f t="shared" si="116"/>
        <v>11.446400000000001</v>
      </c>
      <c r="F740" s="20">
        <f t="shared" si="117"/>
        <v>18.3094</v>
      </c>
      <c r="G740" s="20">
        <f t="shared" si="118"/>
        <v>11.1426</v>
      </c>
      <c r="H740" s="1239">
        <f t="shared" si="119"/>
        <v>11.1426</v>
      </c>
      <c r="I740" s="1243">
        <f t="shared" si="113"/>
        <v>0.14214815213684417</v>
      </c>
      <c r="J740" s="1243">
        <f t="shared" si="120"/>
        <v>0.12093838824177333</v>
      </c>
      <c r="K740" s="1243">
        <f t="shared" si="121"/>
        <v>0.1</v>
      </c>
      <c r="L740" s="203"/>
      <c r="N740" s="1425">
        <v>44154</v>
      </c>
      <c r="O740" s="1502">
        <v>12.7265</v>
      </c>
      <c r="P740" s="1502">
        <v>2.7107000000000001</v>
      </c>
      <c r="Q740" s="1502">
        <v>12.626099999999999</v>
      </c>
      <c r="R740" s="1233">
        <f>'B. PE'!$U$23</f>
        <v>15.978235616082999</v>
      </c>
      <c r="S740" s="1233"/>
      <c r="T740" s="1233"/>
      <c r="V740" s="1425">
        <v>44154</v>
      </c>
      <c r="W740" s="1">
        <v>8.6046999999999993</v>
      </c>
      <c r="X740" s="1">
        <v>0.74060000000000004</v>
      </c>
      <c r="Y740" s="1">
        <v>10.813499999999999</v>
      </c>
      <c r="Z740" s="1">
        <v>0.51971000000000001</v>
      </c>
      <c r="AB740" s="1425">
        <v>44125</v>
      </c>
      <c r="AC740" s="1">
        <v>12.6221</v>
      </c>
      <c r="AD740" s="1502">
        <v>1.0439000000000001</v>
      </c>
      <c r="AE740" s="1">
        <v>6.1520999999999999</v>
      </c>
      <c r="AF740" s="1">
        <v>2.282E-2</v>
      </c>
      <c r="AH740" s="1425">
        <v>44125</v>
      </c>
      <c r="AI740" s="1">
        <v>10.735200000000001</v>
      </c>
      <c r="AJ740" s="1">
        <v>1.7189000000000001</v>
      </c>
      <c r="AK740" s="1">
        <v>4.1467000000000001</v>
      </c>
      <c r="AL740" s="1">
        <v>2.1870000000000001E-2</v>
      </c>
      <c r="AN740" s="1425">
        <v>44132</v>
      </c>
      <c r="AO740" s="1">
        <v>10.312099999999999</v>
      </c>
      <c r="AP740" s="1">
        <v>1.1049</v>
      </c>
      <c r="AQ740" s="1">
        <v>6.5601000000000003</v>
      </c>
      <c r="AR740" s="1">
        <v>0.24367</v>
      </c>
      <c r="AT740" s="1425">
        <v>44132</v>
      </c>
      <c r="AW740" s="1">
        <v>5.0928000000000004</v>
      </c>
      <c r="BA740" s="1425">
        <v>44119</v>
      </c>
      <c r="BB740" s="1">
        <v>12.380599999999999</v>
      </c>
      <c r="BC740" s="1">
        <v>2.6545000000000001</v>
      </c>
      <c r="BD740" s="1">
        <v>10.040100000000001</v>
      </c>
      <c r="BE740" s="1">
        <v>0.69323999999999997</v>
      </c>
      <c r="BG740" s="1425">
        <v>44119</v>
      </c>
      <c r="BH740" s="1">
        <v>21.266999999999999</v>
      </c>
      <c r="BI740" s="1">
        <v>3.8895</v>
      </c>
      <c r="BJ740" s="1">
        <v>23.7608</v>
      </c>
      <c r="BT740" s="1425">
        <v>44154</v>
      </c>
      <c r="BU740" s="1">
        <v>13.152200000000001</v>
      </c>
      <c r="BV740" s="1">
        <v>3.3328000000000002</v>
      </c>
      <c r="BW740" s="1">
        <v>7.0582000000000003</v>
      </c>
      <c r="BX740" s="1">
        <v>1.6119000000000001</v>
      </c>
      <c r="BZ740" s="1425">
        <v>44154</v>
      </c>
      <c r="CB740" s="1">
        <v>1.4706999999999999</v>
      </c>
      <c r="CC740" s="1">
        <v>38.291600000000003</v>
      </c>
      <c r="CD740" s="1">
        <v>0.56191000000000002</v>
      </c>
      <c r="CF740" s="1425">
        <v>44153</v>
      </c>
      <c r="CG740" s="1">
        <v>8.7911000000000001</v>
      </c>
      <c r="CH740" s="1">
        <v>1.2965</v>
      </c>
      <c r="CI740" s="1">
        <v>9.4520999999999997</v>
      </c>
      <c r="CL740" s="1425">
        <v>44174</v>
      </c>
      <c r="CM740" s="1">
        <v>25.102799999999998</v>
      </c>
      <c r="CN740" s="1">
        <v>2.4508000000000001</v>
      </c>
      <c r="CO740" s="1">
        <v>10.507099999999999</v>
      </c>
    </row>
    <row r="741" spans="1:93">
      <c r="A741" s="1425">
        <v>44153</v>
      </c>
      <c r="B741" s="20">
        <f t="shared" si="112"/>
        <v>12.5548</v>
      </c>
      <c r="C741" s="20">
        <f t="shared" si="114"/>
        <v>9.1107999999999993</v>
      </c>
      <c r="D741" s="20">
        <f t="shared" si="115"/>
        <v>10.735200000000001</v>
      </c>
      <c r="E741" s="20">
        <f t="shared" si="116"/>
        <v>11.601100000000001</v>
      </c>
      <c r="F741" s="20">
        <f t="shared" si="117"/>
        <v>18.168500000000002</v>
      </c>
      <c r="G741" s="20">
        <f t="shared" si="118"/>
        <v>11.3283</v>
      </c>
      <c r="H741" s="1239">
        <f t="shared" si="119"/>
        <v>11.3283</v>
      </c>
      <c r="I741" s="1243">
        <f t="shared" si="113"/>
        <v>0.10826867226326975</v>
      </c>
      <c r="J741" s="1243">
        <f t="shared" si="120"/>
        <v>0.12093838824177333</v>
      </c>
      <c r="K741" s="1243">
        <f t="shared" si="121"/>
        <v>0.1</v>
      </c>
      <c r="L741" s="203"/>
      <c r="N741" s="1425">
        <v>44153</v>
      </c>
      <c r="O741" s="1502">
        <v>12.5548</v>
      </c>
      <c r="P741" s="1502">
        <v>2.6741000000000001</v>
      </c>
      <c r="Q741" s="1502">
        <v>12.4701</v>
      </c>
      <c r="R741" s="1233">
        <f>'B. PE'!$U$23</f>
        <v>15.978235616082999</v>
      </c>
      <c r="S741" s="1233"/>
      <c r="T741" s="1233"/>
      <c r="V741" s="1425">
        <v>44153</v>
      </c>
      <c r="W741" s="1">
        <v>9.1107999999999993</v>
      </c>
      <c r="X741" s="1">
        <v>0.78420000000000001</v>
      </c>
      <c r="Y741" s="1">
        <v>11.1625</v>
      </c>
      <c r="Z741" s="1">
        <v>0.53049999999999997</v>
      </c>
      <c r="AB741" s="1425">
        <v>44124</v>
      </c>
      <c r="AC741" s="1">
        <v>12.922700000000001</v>
      </c>
      <c r="AD741" s="1502">
        <v>1.0688</v>
      </c>
      <c r="AE741" s="1">
        <v>6.2595000000000001</v>
      </c>
      <c r="AF741" s="1">
        <v>2.239E-2</v>
      </c>
      <c r="AH741" s="1425">
        <v>44124</v>
      </c>
      <c r="AI741" s="1">
        <v>10.768700000000001</v>
      </c>
      <c r="AJ741" s="1">
        <v>1.7242999999999999</v>
      </c>
      <c r="AK741" s="1">
        <v>4.1626000000000003</v>
      </c>
      <c r="AL741" s="1">
        <v>2.1850000000000001E-2</v>
      </c>
      <c r="AN741" s="1425">
        <v>44131</v>
      </c>
      <c r="AO741" s="1">
        <v>10.5183</v>
      </c>
      <c r="AP741" s="1">
        <v>1.127</v>
      </c>
      <c r="AQ741" s="1">
        <v>6.7281000000000004</v>
      </c>
      <c r="AR741" s="1">
        <v>0.24654000000000001</v>
      </c>
      <c r="AT741" s="1425">
        <v>44131</v>
      </c>
      <c r="AU741" s="1">
        <v>6.8941999999999997</v>
      </c>
      <c r="AV741" s="1">
        <v>0.47549999999999998</v>
      </c>
      <c r="AW741" s="1">
        <v>5.0928000000000004</v>
      </c>
      <c r="AX741" s="1">
        <v>0.11185</v>
      </c>
      <c r="BA741" s="1425">
        <v>44118</v>
      </c>
      <c r="BB741" s="1">
        <v>13.1235</v>
      </c>
      <c r="BC741" s="1">
        <v>2.8136999999999999</v>
      </c>
      <c r="BD741" s="1">
        <v>10.5396</v>
      </c>
      <c r="BE741" s="1">
        <v>0.70299999999999996</v>
      </c>
      <c r="BG741" s="1425">
        <v>44118</v>
      </c>
      <c r="BH741" s="1">
        <v>22.816299999999998</v>
      </c>
      <c r="BI741" s="1">
        <v>4.1727999999999996</v>
      </c>
      <c r="BJ741" s="1">
        <v>25.1982</v>
      </c>
      <c r="BT741" s="1425">
        <v>44153</v>
      </c>
      <c r="BU741" s="1">
        <v>12.9878</v>
      </c>
      <c r="BV741" s="1">
        <v>3.2911999999999999</v>
      </c>
      <c r="BW741" s="1">
        <v>6.9696999999999996</v>
      </c>
      <c r="BX741" s="1">
        <v>1.5785</v>
      </c>
      <c r="BZ741" s="1425">
        <v>44153</v>
      </c>
      <c r="CB741" s="1">
        <v>1.4447000000000001</v>
      </c>
      <c r="CC741" s="1">
        <v>37.915300000000002</v>
      </c>
      <c r="CD741" s="1">
        <v>0.55303000000000002</v>
      </c>
      <c r="CF741" s="1425">
        <v>44152</v>
      </c>
      <c r="CG741" s="1">
        <v>8.8463999999999992</v>
      </c>
      <c r="CH741" s="1">
        <v>1.3047</v>
      </c>
      <c r="CI741" s="1">
        <v>9.4802</v>
      </c>
      <c r="CL741" s="1425">
        <v>44173</v>
      </c>
      <c r="CM741" s="1">
        <v>24.643899999999999</v>
      </c>
      <c r="CN741" s="1">
        <v>2.4060000000000001</v>
      </c>
      <c r="CO741" s="1">
        <v>10.318099999999999</v>
      </c>
    </row>
    <row r="742" spans="1:93">
      <c r="A742" s="1425">
        <v>44152</v>
      </c>
      <c r="B742" s="20">
        <f t="shared" si="112"/>
        <v>12.7456</v>
      </c>
      <c r="C742" s="20">
        <f t="shared" si="114"/>
        <v>9.0474999999999994</v>
      </c>
      <c r="D742" s="20">
        <f t="shared" si="115"/>
        <v>10.902900000000001</v>
      </c>
      <c r="E742" s="20">
        <f t="shared" si="116"/>
        <v>11.446400000000001</v>
      </c>
      <c r="F742" s="20">
        <f t="shared" si="117"/>
        <v>18.168500000000002</v>
      </c>
      <c r="G742" s="20">
        <f t="shared" si="118"/>
        <v>11.1426</v>
      </c>
      <c r="H742" s="1239">
        <f t="shared" si="119"/>
        <v>11.1426</v>
      </c>
      <c r="I742" s="1243">
        <f t="shared" si="113"/>
        <v>0.14386229425807251</v>
      </c>
      <c r="J742" s="1243">
        <f t="shared" si="120"/>
        <v>0.12093838824177333</v>
      </c>
      <c r="K742" s="1243">
        <f t="shared" si="121"/>
        <v>0.1</v>
      </c>
      <c r="L742" s="203"/>
      <c r="N742" s="1425">
        <v>44152</v>
      </c>
      <c r="O742" s="1502">
        <v>12.7456</v>
      </c>
      <c r="P742" s="1502">
        <v>2.7147999999999999</v>
      </c>
      <c r="Q742" s="1502">
        <v>12.6435</v>
      </c>
      <c r="R742" s="1233">
        <f>'B. PE'!$U$23</f>
        <v>15.978235616082999</v>
      </c>
      <c r="S742" s="1233"/>
      <c r="T742" s="1233"/>
      <c r="V742" s="1425">
        <v>44152</v>
      </c>
      <c r="W742" s="1">
        <v>9.0474999999999994</v>
      </c>
      <c r="X742" s="1">
        <v>0.77869999999999995</v>
      </c>
      <c r="Y742" s="1">
        <v>11.1189</v>
      </c>
      <c r="Z742" s="1">
        <v>0.51232999999999995</v>
      </c>
      <c r="AB742" s="1425">
        <v>44123</v>
      </c>
      <c r="AC742" s="1">
        <v>12.6221</v>
      </c>
      <c r="AD742" s="1502">
        <v>1.0439000000000001</v>
      </c>
      <c r="AE742" s="1">
        <v>6.1520999999999999</v>
      </c>
      <c r="AF742" s="1">
        <v>2.239E-2</v>
      </c>
      <c r="AH742" s="1425">
        <v>44123</v>
      </c>
      <c r="AI742" s="1">
        <v>10.802300000000001</v>
      </c>
      <c r="AJ742" s="1">
        <v>1.7297</v>
      </c>
      <c r="AK742" s="1">
        <v>4.1784999999999997</v>
      </c>
      <c r="AL742" s="1">
        <v>2.172E-2</v>
      </c>
      <c r="AN742" s="1425">
        <v>44130</v>
      </c>
      <c r="AO742" s="1">
        <v>10.466799999999999</v>
      </c>
      <c r="AP742" s="1">
        <v>1.1214999999999999</v>
      </c>
      <c r="AQ742" s="1">
        <v>6.6860999999999997</v>
      </c>
      <c r="AR742" s="1">
        <v>0.24976000000000001</v>
      </c>
      <c r="AT742" s="1425">
        <v>44130</v>
      </c>
      <c r="AW742" s="1">
        <v>4.8728999999999996</v>
      </c>
      <c r="AX742" s="1">
        <v>0.11583</v>
      </c>
      <c r="BA742" s="1425">
        <v>44116</v>
      </c>
      <c r="BB742" s="1">
        <v>13.3711</v>
      </c>
      <c r="BC742" s="1">
        <v>2.8668</v>
      </c>
      <c r="BD742" s="1">
        <v>10.706099999999999</v>
      </c>
      <c r="BE742" s="1">
        <v>0.72421999999999997</v>
      </c>
      <c r="BG742" s="1425">
        <v>44116</v>
      </c>
      <c r="BH742" s="1">
        <v>22.957100000000001</v>
      </c>
      <c r="BI742" s="1">
        <v>4.1985999999999999</v>
      </c>
      <c r="BJ742" s="1">
        <v>25.328900000000001</v>
      </c>
      <c r="BT742" s="1425">
        <v>44152</v>
      </c>
      <c r="BU742" s="1">
        <v>13.152200000000001</v>
      </c>
      <c r="BV742" s="1">
        <v>3.3328000000000002</v>
      </c>
      <c r="BW742" s="1">
        <v>7.0582000000000003</v>
      </c>
      <c r="BX742" s="1">
        <v>1.5986</v>
      </c>
      <c r="BZ742" s="1425">
        <v>44152</v>
      </c>
      <c r="CB742" s="1">
        <v>1.4609000000000001</v>
      </c>
      <c r="CC742" s="1">
        <v>38.150500000000001</v>
      </c>
      <c r="CD742" s="1">
        <v>0.57430000000000003</v>
      </c>
      <c r="CF742" s="1425">
        <v>44151</v>
      </c>
      <c r="CG742" s="1">
        <v>8.8463999999999992</v>
      </c>
      <c r="CH742" s="1">
        <v>1.3047</v>
      </c>
      <c r="CI742" s="1">
        <v>9.4802</v>
      </c>
      <c r="CL742" s="1425">
        <v>44172</v>
      </c>
      <c r="CM742" s="1">
        <v>24.444299999999998</v>
      </c>
      <c r="CN742" s="1">
        <v>2.3866000000000001</v>
      </c>
      <c r="CO742" s="1">
        <v>10.235900000000001</v>
      </c>
    </row>
    <row r="743" spans="1:93">
      <c r="A743" s="1425">
        <v>44151</v>
      </c>
      <c r="B743" s="20">
        <f t="shared" si="112"/>
        <v>12.4213</v>
      </c>
      <c r="C743" s="20">
        <f t="shared" si="114"/>
        <v>9.2373999999999992</v>
      </c>
      <c r="D743" s="20">
        <f t="shared" si="115"/>
        <v>10.97</v>
      </c>
      <c r="E743" s="20">
        <f t="shared" si="116"/>
        <v>11.652699999999999</v>
      </c>
      <c r="F743" s="20">
        <f t="shared" si="117"/>
        <v>18.450199999999999</v>
      </c>
      <c r="G743" s="20">
        <f t="shared" si="118"/>
        <v>11.575900000000001</v>
      </c>
      <c r="H743" s="1239">
        <f t="shared" si="119"/>
        <v>11.575900000000001</v>
      </c>
      <c r="I743" s="1243">
        <f t="shared" si="113"/>
        <v>7.3031038623346811E-2</v>
      </c>
      <c r="J743" s="1243">
        <f t="shared" si="120"/>
        <v>0.12093838824177333</v>
      </c>
      <c r="K743" s="1243">
        <f t="shared" si="121"/>
        <v>0.1</v>
      </c>
      <c r="L743" s="203"/>
      <c r="N743" s="1425">
        <v>44151</v>
      </c>
      <c r="O743" s="1502">
        <v>12.4213</v>
      </c>
      <c r="P743" s="1502">
        <v>2.6457000000000002</v>
      </c>
      <c r="Q743" s="1502">
        <v>12.348699999999999</v>
      </c>
      <c r="R743" s="1233">
        <f>'B. PE'!$U$23</f>
        <v>15.978235616082999</v>
      </c>
      <c r="S743" s="1233"/>
      <c r="T743" s="1233"/>
      <c r="V743" s="1425">
        <v>44151</v>
      </c>
      <c r="W743" s="1">
        <v>9.2373999999999992</v>
      </c>
      <c r="X743" s="1">
        <v>0.79510000000000003</v>
      </c>
      <c r="Y743" s="1">
        <v>11.2498</v>
      </c>
      <c r="Z743" s="1">
        <v>0.47963</v>
      </c>
      <c r="AB743" s="1425">
        <v>44120</v>
      </c>
      <c r="AC743" s="1">
        <v>12.396699999999999</v>
      </c>
      <c r="AD743" s="1502">
        <v>1.0253000000000001</v>
      </c>
      <c r="AE743" s="1">
        <v>6.0716000000000001</v>
      </c>
      <c r="AF743" s="1">
        <v>2.281E-2</v>
      </c>
      <c r="AH743" s="1425">
        <v>44120</v>
      </c>
      <c r="AI743" s="1">
        <v>10.802300000000001</v>
      </c>
      <c r="AJ743" s="1">
        <v>1.7297</v>
      </c>
      <c r="AK743" s="1">
        <v>4.1784999999999997</v>
      </c>
      <c r="AL743" s="1">
        <v>2.1930000000000002E-2</v>
      </c>
      <c r="AN743" s="1425">
        <v>44127</v>
      </c>
      <c r="AO743" s="1">
        <v>10.569900000000001</v>
      </c>
      <c r="AP743" s="1">
        <v>1.1326000000000001</v>
      </c>
      <c r="AQ743" s="1">
        <v>6.7701000000000002</v>
      </c>
      <c r="AR743" s="1">
        <v>0.251</v>
      </c>
      <c r="AT743" s="1425">
        <v>44127</v>
      </c>
      <c r="AU743" s="1">
        <v>6.4763000000000002</v>
      </c>
      <c r="AV743" s="1">
        <v>0.44669999999999999</v>
      </c>
      <c r="AW743" s="1">
        <v>4.8728999999999996</v>
      </c>
      <c r="BA743" s="1425">
        <v>44113</v>
      </c>
      <c r="BB743" s="1">
        <v>13.494899999999999</v>
      </c>
      <c r="BC743" s="1">
        <v>2.8934000000000002</v>
      </c>
      <c r="BD743" s="1">
        <v>10.789400000000001</v>
      </c>
      <c r="BE743" s="1">
        <v>0.6532</v>
      </c>
      <c r="BG743" s="1425">
        <v>44113</v>
      </c>
      <c r="BH743" s="1">
        <v>23.238800000000001</v>
      </c>
      <c r="BI743" s="1">
        <v>4.2500999999999998</v>
      </c>
      <c r="BJ743" s="1">
        <v>25.590199999999999</v>
      </c>
      <c r="BT743" s="1425">
        <v>44151</v>
      </c>
      <c r="BU743" s="1">
        <v>12.882099999999999</v>
      </c>
      <c r="BV743" s="1">
        <v>3.2644000000000002</v>
      </c>
      <c r="BW743" s="1">
        <v>6.9127000000000001</v>
      </c>
      <c r="BX743" s="1">
        <v>1.5986</v>
      </c>
      <c r="BZ743" s="1425">
        <v>44151</v>
      </c>
      <c r="CB743" s="1">
        <v>1.4381999999999999</v>
      </c>
      <c r="CC743" s="1">
        <v>37.821300000000001</v>
      </c>
      <c r="CD743" s="1">
        <v>0.57930999999999999</v>
      </c>
      <c r="CF743" s="1425">
        <v>44148</v>
      </c>
      <c r="CG743" s="1">
        <v>9.2334999999999994</v>
      </c>
      <c r="CH743" s="1">
        <v>1.3617999999999999</v>
      </c>
      <c r="CI743" s="1">
        <v>9.6767000000000003</v>
      </c>
      <c r="CL743" s="1425">
        <v>44169</v>
      </c>
      <c r="CM743" s="1">
        <v>24.584</v>
      </c>
      <c r="CN743" s="1">
        <v>2.4001999999999999</v>
      </c>
      <c r="CO743" s="1">
        <v>10.2934</v>
      </c>
    </row>
    <row r="744" spans="1:93">
      <c r="A744" s="1425">
        <v>44148</v>
      </c>
      <c r="B744" s="20">
        <f t="shared" si="112"/>
        <v>12.879200000000001</v>
      </c>
      <c r="C744" s="20">
        <f t="shared" si="114"/>
        <v>8.9209999999999994</v>
      </c>
      <c r="D744" s="20">
        <f t="shared" si="115"/>
        <v>10.936500000000001</v>
      </c>
      <c r="E744" s="20">
        <f t="shared" si="116"/>
        <v>11.601100000000001</v>
      </c>
      <c r="F744" s="20">
        <f t="shared" si="117"/>
        <v>18.168500000000002</v>
      </c>
      <c r="G744" s="20">
        <f t="shared" si="118"/>
        <v>11.6378</v>
      </c>
      <c r="H744" s="1239">
        <f t="shared" si="119"/>
        <v>11.601100000000001</v>
      </c>
      <c r="I744" s="1243">
        <f t="shared" si="113"/>
        <v>0.11017058727189655</v>
      </c>
      <c r="J744" s="1243">
        <f t="shared" si="120"/>
        <v>0.12093838824177333</v>
      </c>
      <c r="K744" s="1243">
        <f t="shared" si="121"/>
        <v>0.1</v>
      </c>
      <c r="L744" s="203"/>
      <c r="N744" s="1425">
        <v>44148</v>
      </c>
      <c r="O744" s="1502">
        <v>12.879200000000001</v>
      </c>
      <c r="P744" s="1502">
        <v>2.7431999999999999</v>
      </c>
      <c r="Q744" s="1502">
        <v>12.764799999999999</v>
      </c>
      <c r="R744" s="1233">
        <f>'B. PE'!$U$23</f>
        <v>15.978235616082999</v>
      </c>
      <c r="S744" s="1233"/>
      <c r="T744" s="1233"/>
      <c r="V744" s="1425">
        <v>44148</v>
      </c>
      <c r="W744" s="1">
        <v>8.9209999999999994</v>
      </c>
      <c r="X744" s="1">
        <v>0.76780000000000004</v>
      </c>
      <c r="Y744" s="1">
        <v>11.031599999999999</v>
      </c>
      <c r="Z744" s="1">
        <v>0.44875999999999999</v>
      </c>
      <c r="AB744" s="1425">
        <v>44119</v>
      </c>
      <c r="AC744" s="1">
        <v>12.4343</v>
      </c>
      <c r="AD744" s="1502">
        <v>1.0284</v>
      </c>
      <c r="AE744" s="1">
        <v>6.085</v>
      </c>
      <c r="AF744" s="1">
        <v>2.2339999999999999E-2</v>
      </c>
      <c r="AH744" s="1425">
        <v>44119</v>
      </c>
      <c r="AI744" s="1">
        <v>10.768700000000001</v>
      </c>
      <c r="AJ744" s="1">
        <v>1.7242999999999999</v>
      </c>
      <c r="AK744" s="1">
        <v>4.1626000000000003</v>
      </c>
      <c r="AL744" s="1">
        <v>2.1860000000000001E-2</v>
      </c>
      <c r="AN744" s="1425">
        <v>44126</v>
      </c>
      <c r="AO744" s="1">
        <v>10.673</v>
      </c>
      <c r="AP744" s="1">
        <v>1.1435999999999999</v>
      </c>
      <c r="AQ744" s="1">
        <v>6.8541999999999996</v>
      </c>
      <c r="AR744" s="1">
        <v>0.25666</v>
      </c>
      <c r="AT744" s="1425">
        <v>44126</v>
      </c>
      <c r="AU744" s="1">
        <v>6.6852</v>
      </c>
      <c r="AV744" s="1">
        <v>0.46110000000000001</v>
      </c>
      <c r="AW744" s="1">
        <v>4.9828000000000001</v>
      </c>
      <c r="BA744" s="1425">
        <v>44112</v>
      </c>
      <c r="BB744" s="1">
        <v>13.9901</v>
      </c>
      <c r="BC744" s="1">
        <v>2.9994999999999998</v>
      </c>
      <c r="BD744" s="1">
        <v>11.122400000000001</v>
      </c>
      <c r="BE744" s="1">
        <v>0.60290999999999995</v>
      </c>
      <c r="BG744" s="1425">
        <v>44112</v>
      </c>
      <c r="BH744" s="1">
        <v>23.943000000000001</v>
      </c>
      <c r="BI744" s="1">
        <v>4.3788999999999998</v>
      </c>
      <c r="BJ744" s="1">
        <v>26.243600000000001</v>
      </c>
      <c r="BT744" s="1425">
        <v>44148</v>
      </c>
      <c r="BU744" s="1">
        <v>13.0465</v>
      </c>
      <c r="BV744" s="1">
        <v>3.306</v>
      </c>
      <c r="BW744" s="1">
        <v>7.0012999999999996</v>
      </c>
      <c r="BX744" s="1">
        <v>1.5541</v>
      </c>
      <c r="BZ744" s="1425">
        <v>44148</v>
      </c>
      <c r="CB744" s="1">
        <v>1.4935</v>
      </c>
      <c r="CC744" s="1">
        <v>38.620800000000003</v>
      </c>
      <c r="CD744" s="1">
        <v>0.56306999999999996</v>
      </c>
      <c r="CF744" s="1425">
        <v>44147</v>
      </c>
      <c r="CG744" s="1">
        <v>8.4040999999999997</v>
      </c>
      <c r="CH744" s="1">
        <v>1.2394000000000001</v>
      </c>
      <c r="CI744" s="1">
        <v>9.2555999999999994</v>
      </c>
      <c r="CL744" s="1425">
        <v>44168</v>
      </c>
      <c r="CM744" s="1">
        <v>24.5441</v>
      </c>
      <c r="CN744" s="1">
        <v>2.3963000000000001</v>
      </c>
      <c r="CO744" s="1">
        <v>10.276999999999999</v>
      </c>
    </row>
    <row r="745" spans="1:93">
      <c r="A745" s="1425">
        <v>44147</v>
      </c>
      <c r="B745" s="20">
        <f t="shared" si="112"/>
        <v>13.2608</v>
      </c>
      <c r="C745" s="20">
        <f t="shared" si="114"/>
        <v>8.3515999999999995</v>
      </c>
      <c r="D745" s="20">
        <f t="shared" si="115"/>
        <v>10.869400000000001</v>
      </c>
      <c r="E745" s="20">
        <f t="shared" si="116"/>
        <v>11.8073</v>
      </c>
      <c r="F745" s="20">
        <f t="shared" si="117"/>
        <v>18.168500000000002</v>
      </c>
      <c r="G745" s="20">
        <f t="shared" si="118"/>
        <v>11.7616</v>
      </c>
      <c r="H745" s="1239">
        <f t="shared" si="119"/>
        <v>11.7616</v>
      </c>
      <c r="I745" s="1243">
        <f t="shared" si="113"/>
        <v>0.12746565093184592</v>
      </c>
      <c r="J745" s="1243">
        <f t="shared" si="120"/>
        <v>0.12093838824177333</v>
      </c>
      <c r="K745" s="1243">
        <f t="shared" si="121"/>
        <v>0.1</v>
      </c>
      <c r="L745" s="203"/>
      <c r="N745" s="1425">
        <v>44147</v>
      </c>
      <c r="O745" s="1502">
        <v>13.2608</v>
      </c>
      <c r="P745" s="1502">
        <v>2.8245</v>
      </c>
      <c r="Q745" s="1502">
        <v>13.111599999999999</v>
      </c>
      <c r="R745" s="1233">
        <f>'B. PE'!$U$23</f>
        <v>15.978235616082999</v>
      </c>
      <c r="S745" s="1233"/>
      <c r="T745" s="1233"/>
      <c r="V745" s="1425">
        <v>44147</v>
      </c>
      <c r="W745" s="1">
        <v>8.3515999999999995</v>
      </c>
      <c r="X745" s="1">
        <v>0.71879999999999999</v>
      </c>
      <c r="Y745" s="1">
        <v>10.6389</v>
      </c>
      <c r="Z745" s="1">
        <v>0.41968</v>
      </c>
      <c r="AB745" s="1425">
        <v>44118</v>
      </c>
      <c r="AC745" s="1">
        <v>12.6221</v>
      </c>
      <c r="AD745" s="1502">
        <v>1.0439000000000001</v>
      </c>
      <c r="AE745" s="1">
        <v>6.1520999999999999</v>
      </c>
      <c r="AF745" s="1">
        <v>2.197E-2</v>
      </c>
      <c r="AH745" s="1425">
        <v>44118</v>
      </c>
      <c r="AI745" s="1">
        <v>10.835800000000001</v>
      </c>
      <c r="AJ745" s="1">
        <v>1.7351000000000001</v>
      </c>
      <c r="AK745" s="1">
        <v>4.1943999999999999</v>
      </c>
      <c r="AL745" s="1">
        <v>2.1770000000000001E-2</v>
      </c>
      <c r="AN745" s="1425">
        <v>44125</v>
      </c>
      <c r="AO745" s="1">
        <v>10.724600000000001</v>
      </c>
      <c r="AP745" s="1">
        <v>1.1491</v>
      </c>
      <c r="AQ745" s="1">
        <v>6.8962000000000003</v>
      </c>
      <c r="AR745" s="1">
        <v>0.26205000000000001</v>
      </c>
      <c r="AT745" s="1425">
        <v>44125</v>
      </c>
      <c r="AW745" s="1">
        <v>5.0560999999999998</v>
      </c>
      <c r="AX745" s="1">
        <v>0.11834</v>
      </c>
      <c r="BA745" s="1425">
        <v>44111</v>
      </c>
      <c r="BB745" s="1">
        <v>12.6282</v>
      </c>
      <c r="BC745" s="1">
        <v>2.7075</v>
      </c>
      <c r="BD745" s="1">
        <v>10.2066</v>
      </c>
      <c r="BE745" s="1">
        <v>0.58784000000000003</v>
      </c>
      <c r="BG745" s="1425">
        <v>44111</v>
      </c>
      <c r="BH745" s="1">
        <v>21.9712</v>
      </c>
      <c r="BI745" s="1">
        <v>4.0183</v>
      </c>
      <c r="BJ745" s="1">
        <v>24.414100000000001</v>
      </c>
      <c r="BT745" s="1425">
        <v>44147</v>
      </c>
      <c r="BU745" s="1">
        <v>13.0465</v>
      </c>
      <c r="BV745" s="1">
        <v>3.306</v>
      </c>
      <c r="BW745" s="1">
        <v>7.0012999999999996</v>
      </c>
      <c r="BX745" s="1">
        <v>1.5251999999999999</v>
      </c>
      <c r="BZ745" s="1425">
        <v>44147</v>
      </c>
      <c r="CB745" s="1">
        <v>1.5065</v>
      </c>
      <c r="CC745" s="1">
        <v>38.808900000000001</v>
      </c>
      <c r="CD745" s="1">
        <v>0.56054000000000004</v>
      </c>
      <c r="CF745" s="1425">
        <v>44146</v>
      </c>
      <c r="CG745" s="1">
        <v>7.7405999999999997</v>
      </c>
      <c r="CH745" s="1">
        <v>1.1415999999999999</v>
      </c>
      <c r="CI745" s="1">
        <v>8.9186999999999994</v>
      </c>
      <c r="CL745" s="1425">
        <v>44167</v>
      </c>
      <c r="CM745" s="1">
        <v>24.683800000000002</v>
      </c>
      <c r="CN745" s="1">
        <v>2.4098999999999999</v>
      </c>
      <c r="CO745" s="1">
        <v>10.3345</v>
      </c>
    </row>
    <row r="746" spans="1:93">
      <c r="A746" s="1425">
        <v>44146</v>
      </c>
      <c r="B746" s="20">
        <f t="shared" si="112"/>
        <v>12.4976</v>
      </c>
      <c r="C746" s="20">
        <f t="shared" si="114"/>
        <v>7.8137999999999996</v>
      </c>
      <c r="D746" s="20">
        <f t="shared" si="115"/>
        <v>11.1378</v>
      </c>
      <c r="E746" s="20">
        <f t="shared" si="116"/>
        <v>10.8277</v>
      </c>
      <c r="F746" s="20">
        <f t="shared" si="117"/>
        <v>17.6052</v>
      </c>
      <c r="G746" s="20">
        <f t="shared" si="118"/>
        <v>11.0807</v>
      </c>
      <c r="H746" s="1239">
        <f t="shared" si="119"/>
        <v>11.0807</v>
      </c>
      <c r="I746" s="1243">
        <f t="shared" si="113"/>
        <v>0.12787098288014298</v>
      </c>
      <c r="J746" s="1243">
        <f t="shared" si="120"/>
        <v>0.12093838824177333</v>
      </c>
      <c r="K746" s="1243">
        <f t="shared" si="121"/>
        <v>0.1</v>
      </c>
      <c r="L746" s="203"/>
      <c r="N746" s="1425">
        <v>44146</v>
      </c>
      <c r="O746" s="1502">
        <v>12.4976</v>
      </c>
      <c r="P746" s="1502">
        <v>2.6619000000000002</v>
      </c>
      <c r="Q746" s="1502">
        <v>12.418100000000001</v>
      </c>
      <c r="R746" s="1233">
        <f>'B. PE'!$U$23</f>
        <v>15.978235616082999</v>
      </c>
      <c r="S746" s="1233"/>
      <c r="T746" s="1233"/>
      <c r="V746" s="1425">
        <v>44146</v>
      </c>
      <c r="W746" s="1">
        <v>7.8137999999999996</v>
      </c>
      <c r="X746" s="1">
        <v>0.67249999999999999</v>
      </c>
      <c r="Y746" s="1">
        <v>10.2681</v>
      </c>
      <c r="Z746" s="1">
        <v>0.40692</v>
      </c>
      <c r="AB746" s="1425">
        <v>44117</v>
      </c>
      <c r="AC746" s="1">
        <v>12.396699999999999</v>
      </c>
      <c r="AD746" s="1502">
        <v>1.0253000000000001</v>
      </c>
      <c r="AE746" s="1">
        <v>6.0716000000000001</v>
      </c>
      <c r="AF746" s="1">
        <v>2.1860000000000001E-2</v>
      </c>
      <c r="AH746" s="1425">
        <v>44117</v>
      </c>
      <c r="AI746" s="1">
        <v>10.835800000000001</v>
      </c>
      <c r="AJ746" s="1">
        <v>1.7351000000000001</v>
      </c>
      <c r="AK746" s="1">
        <v>4.1943999999999999</v>
      </c>
      <c r="AL746" s="1">
        <v>2.1930000000000002E-2</v>
      </c>
      <c r="AN746" s="1425">
        <v>44124</v>
      </c>
      <c r="AO746" s="1">
        <v>10.9824</v>
      </c>
      <c r="AP746" s="1">
        <v>1.1768000000000001</v>
      </c>
      <c r="AQ746" s="1">
        <v>7.1062000000000003</v>
      </c>
      <c r="AR746" s="1">
        <v>0.24587000000000001</v>
      </c>
      <c r="AT746" s="1425">
        <v>44124</v>
      </c>
      <c r="AW746" s="1">
        <v>5.0560999999999998</v>
      </c>
      <c r="BA746" s="1425">
        <v>44110</v>
      </c>
      <c r="BB746" s="1">
        <v>11.6378</v>
      </c>
      <c r="BC746" s="1">
        <v>2.4952000000000001</v>
      </c>
      <c r="BD746" s="1">
        <v>9.5405999999999995</v>
      </c>
      <c r="BE746" s="1">
        <v>0.57943999999999996</v>
      </c>
      <c r="BG746" s="1425">
        <v>44110</v>
      </c>
      <c r="BH746" s="1">
        <v>20.422000000000001</v>
      </c>
      <c r="BI746" s="1">
        <v>3.7349000000000001</v>
      </c>
      <c r="BJ746" s="1">
        <v>22.976700000000001</v>
      </c>
      <c r="BT746" s="1425">
        <v>44146</v>
      </c>
      <c r="BU746" s="1">
        <v>12.682399999999999</v>
      </c>
      <c r="BV746" s="1">
        <v>3.2138</v>
      </c>
      <c r="BW746" s="1">
        <v>6.8052000000000001</v>
      </c>
      <c r="BX746" s="1">
        <v>1.5207999999999999</v>
      </c>
      <c r="BZ746" s="1425">
        <v>44146</v>
      </c>
      <c r="CB746" s="1">
        <v>1.4641999999999999</v>
      </c>
      <c r="CC746" s="1">
        <v>38.197499999999998</v>
      </c>
      <c r="CD746" s="1">
        <v>0.5655</v>
      </c>
      <c r="CF746" s="1425">
        <v>44145</v>
      </c>
      <c r="CG746" s="1">
        <v>7.63</v>
      </c>
      <c r="CH746" s="1">
        <v>1.1253</v>
      </c>
      <c r="CI746" s="1">
        <v>8.8626000000000005</v>
      </c>
      <c r="CL746" s="1425">
        <v>44166</v>
      </c>
      <c r="CM746" s="1">
        <v>24.823499999999999</v>
      </c>
      <c r="CN746" s="1">
        <v>2.4236</v>
      </c>
      <c r="CO746" s="1">
        <v>10.391999999999999</v>
      </c>
    </row>
    <row r="747" spans="1:93">
      <c r="A747" s="1425">
        <v>44145</v>
      </c>
      <c r="B747" s="20">
        <f t="shared" si="112"/>
        <v>12.974600000000001</v>
      </c>
      <c r="C747" s="20">
        <f t="shared" si="114"/>
        <v>7.3075999999999999</v>
      </c>
      <c r="D747" s="20">
        <f t="shared" si="115"/>
        <v>11.0036</v>
      </c>
      <c r="E747" s="20">
        <f t="shared" si="116"/>
        <v>10.8277</v>
      </c>
      <c r="F747" s="20">
        <f t="shared" si="117"/>
        <v>17.323499999999999</v>
      </c>
      <c r="G747" s="20">
        <f t="shared" si="118"/>
        <v>11.018800000000001</v>
      </c>
      <c r="H747" s="1239">
        <f t="shared" si="119"/>
        <v>11.0036</v>
      </c>
      <c r="I747" s="1243">
        <f t="shared" si="113"/>
        <v>0.17912319604493065</v>
      </c>
      <c r="J747" s="1243">
        <f t="shared" si="120"/>
        <v>0.12093838824177333</v>
      </c>
      <c r="K747" s="1243">
        <f t="shared" si="121"/>
        <v>0.1</v>
      </c>
      <c r="L747" s="203"/>
      <c r="N747" s="1425">
        <v>44145</v>
      </c>
      <c r="O747" s="1502">
        <v>12.974600000000001</v>
      </c>
      <c r="P747" s="1502">
        <v>2.7635999999999998</v>
      </c>
      <c r="Q747" s="1502">
        <v>12.8515</v>
      </c>
      <c r="R747" s="1233">
        <f>'B. PE'!$U$23</f>
        <v>15.978235616082999</v>
      </c>
      <c r="S747" s="1233"/>
      <c r="T747" s="1233"/>
      <c r="V747" s="1425">
        <v>44145</v>
      </c>
      <c r="W747" s="1">
        <v>7.3075999999999999</v>
      </c>
      <c r="X747" s="1">
        <v>0.629</v>
      </c>
      <c r="Y747" s="1">
        <v>9.9190000000000005</v>
      </c>
      <c r="Z747" s="1">
        <v>0.38151000000000002</v>
      </c>
      <c r="AB747" s="1425">
        <v>44116</v>
      </c>
      <c r="AC747" s="1">
        <v>12.1713</v>
      </c>
      <c r="AD747" s="1502">
        <v>1.0065999999999999</v>
      </c>
      <c r="AE747" s="1">
        <v>5.9911000000000003</v>
      </c>
      <c r="AF747" s="1">
        <v>2.1649999999999999E-2</v>
      </c>
      <c r="AH747" s="1425">
        <v>44116</v>
      </c>
      <c r="AI747" s="1">
        <v>10.768700000000001</v>
      </c>
      <c r="AJ747" s="1">
        <v>1.7242999999999999</v>
      </c>
      <c r="AK747" s="1">
        <v>4.1626000000000003</v>
      </c>
      <c r="AL747" s="1">
        <v>2.179E-2</v>
      </c>
      <c r="AN747" s="1425">
        <v>44123</v>
      </c>
      <c r="AO747" s="1">
        <v>11.188599999999999</v>
      </c>
      <c r="AP747" s="1">
        <v>1.1989000000000001</v>
      </c>
      <c r="AQ747" s="1">
        <v>7.2743000000000002</v>
      </c>
      <c r="AR747" s="1">
        <v>0.24786</v>
      </c>
      <c r="AT747" s="1425">
        <v>44123</v>
      </c>
      <c r="AU747" s="1">
        <v>6.8244999999999996</v>
      </c>
      <c r="AV747" s="1">
        <v>0.47070000000000001</v>
      </c>
      <c r="AW747" s="1">
        <v>5.0560999999999998</v>
      </c>
      <c r="AX747" s="1">
        <v>0.11670999999999999</v>
      </c>
      <c r="BA747" s="1425">
        <v>44109</v>
      </c>
      <c r="BB747" s="1">
        <v>11.3902</v>
      </c>
      <c r="BC747" s="1">
        <v>2.4420999999999999</v>
      </c>
      <c r="BD747" s="1">
        <v>9.3741000000000003</v>
      </c>
      <c r="BE747" s="1">
        <v>0.52922000000000002</v>
      </c>
      <c r="BG747" s="1425">
        <v>44109</v>
      </c>
      <c r="BH747" s="1">
        <v>19.999500000000001</v>
      </c>
      <c r="BI747" s="1">
        <v>3.6577000000000002</v>
      </c>
      <c r="BJ747" s="1">
        <v>22.584700000000002</v>
      </c>
      <c r="BT747" s="1425">
        <v>44145</v>
      </c>
      <c r="BU747" s="1">
        <v>12.4476</v>
      </c>
      <c r="BV747" s="1">
        <v>3.1543000000000001</v>
      </c>
      <c r="BW747" s="1">
        <v>6.6787999999999998</v>
      </c>
      <c r="BX747" s="1">
        <v>1.5107999999999999</v>
      </c>
      <c r="BZ747" s="1425">
        <v>44145</v>
      </c>
      <c r="CB747" s="1">
        <v>1.4577</v>
      </c>
      <c r="CC747" s="1">
        <v>38.103400000000001</v>
      </c>
      <c r="CD747" s="1">
        <v>0.55676000000000003</v>
      </c>
      <c r="CF747" s="1425">
        <v>44144</v>
      </c>
      <c r="CG747" s="1">
        <v>7.8512000000000004</v>
      </c>
      <c r="CH747" s="1">
        <v>1.1578999999999999</v>
      </c>
      <c r="CI747" s="1">
        <v>8.9748999999999999</v>
      </c>
      <c r="CL747" s="1425">
        <v>44165</v>
      </c>
      <c r="CM747" s="1">
        <v>24.8035</v>
      </c>
      <c r="CN747" s="1">
        <v>2.4216000000000002</v>
      </c>
      <c r="CO747" s="1">
        <v>10.383800000000001</v>
      </c>
    </row>
    <row r="748" spans="1:93">
      <c r="A748" s="1425">
        <v>44144</v>
      </c>
      <c r="B748" s="20">
        <f t="shared" si="112"/>
        <v>12.5548</v>
      </c>
      <c r="C748" s="20">
        <f t="shared" si="114"/>
        <v>7.0861999999999998</v>
      </c>
      <c r="D748" s="20">
        <f t="shared" si="115"/>
        <v>10.768700000000001</v>
      </c>
      <c r="E748" s="20">
        <f t="shared" si="116"/>
        <v>11.033899999999999</v>
      </c>
      <c r="F748" s="20">
        <f t="shared" si="117"/>
        <v>19.858599999999999</v>
      </c>
      <c r="G748" s="20">
        <f t="shared" si="118"/>
        <v>11.885400000000001</v>
      </c>
      <c r="H748" s="1239">
        <f t="shared" si="119"/>
        <v>11.033899999999999</v>
      </c>
      <c r="I748" s="1243">
        <f t="shared" si="113"/>
        <v>0.13783884211384922</v>
      </c>
      <c r="J748" s="1243">
        <f t="shared" si="120"/>
        <v>0.12093838824177333</v>
      </c>
      <c r="K748" s="1243">
        <f t="shared" si="121"/>
        <v>0.1</v>
      </c>
      <c r="L748" s="203"/>
      <c r="N748" s="1425">
        <v>44144</v>
      </c>
      <c r="O748" s="1502">
        <v>12.5548</v>
      </c>
      <c r="P748" s="1502">
        <v>2.6741000000000001</v>
      </c>
      <c r="Q748" s="1502">
        <v>12.4701</v>
      </c>
      <c r="R748" s="1233">
        <f>'B. PE'!$U$23</f>
        <v>15.978235616082999</v>
      </c>
      <c r="S748" s="1233"/>
      <c r="T748" s="1233"/>
      <c r="V748" s="1425">
        <v>44144</v>
      </c>
      <c r="W748" s="1">
        <v>7.0861999999999998</v>
      </c>
      <c r="X748" s="1">
        <v>0.6099</v>
      </c>
      <c r="Y748" s="1">
        <v>9.7662999999999993</v>
      </c>
      <c r="Z748" s="1">
        <v>0.36115999999999998</v>
      </c>
      <c r="AB748" s="1425">
        <v>44113</v>
      </c>
      <c r="AC748" s="1">
        <v>12.0587</v>
      </c>
      <c r="AD748" s="1502">
        <v>0.99729999999999996</v>
      </c>
      <c r="AE748" s="1">
        <v>5.9508000000000001</v>
      </c>
      <c r="AF748" s="1">
        <v>2.0830000000000001E-2</v>
      </c>
      <c r="AH748" s="1425">
        <v>44113</v>
      </c>
      <c r="AI748" s="1">
        <v>10.802300000000001</v>
      </c>
      <c r="AJ748" s="1">
        <v>1.7297</v>
      </c>
      <c r="AK748" s="1">
        <v>4.1784999999999997</v>
      </c>
      <c r="AL748" s="1">
        <v>2.172E-2</v>
      </c>
      <c r="AN748" s="1425">
        <v>44120</v>
      </c>
      <c r="AO748" s="1">
        <v>10.5183</v>
      </c>
      <c r="AP748" s="1">
        <v>1.127</v>
      </c>
      <c r="AQ748" s="1">
        <v>6.7281000000000004</v>
      </c>
      <c r="AR748" s="1">
        <v>0.24815999999999999</v>
      </c>
      <c r="AT748" s="1425">
        <v>44120</v>
      </c>
      <c r="AW748" s="1">
        <v>5.0194999999999999</v>
      </c>
      <c r="AX748" s="1">
        <v>0.11083</v>
      </c>
      <c r="BA748" s="1425">
        <v>44106</v>
      </c>
      <c r="BB748" s="1">
        <v>11.3283</v>
      </c>
      <c r="BC748" s="1">
        <v>2.4287999999999998</v>
      </c>
      <c r="BD748" s="1">
        <v>9.3324999999999996</v>
      </c>
      <c r="BE748" s="1">
        <v>0.52227000000000001</v>
      </c>
      <c r="BG748" s="1425">
        <v>44106</v>
      </c>
      <c r="BH748" s="1">
        <v>19.858599999999999</v>
      </c>
      <c r="BI748" s="1">
        <v>3.6318999999999999</v>
      </c>
      <c r="BJ748" s="1">
        <v>22.4541</v>
      </c>
      <c r="BT748" s="1425">
        <v>44144</v>
      </c>
      <c r="BU748" s="1">
        <v>12.4124</v>
      </c>
      <c r="BV748" s="1">
        <v>3.1453000000000002</v>
      </c>
      <c r="BW748" s="1">
        <v>6.6597999999999997</v>
      </c>
      <c r="BX748" s="1">
        <v>1.5367</v>
      </c>
      <c r="BZ748" s="1425">
        <v>44144</v>
      </c>
      <c r="CB748" s="1">
        <v>1.4706999999999999</v>
      </c>
      <c r="CC748" s="1">
        <v>38.291600000000003</v>
      </c>
      <c r="CD748" s="1">
        <v>0.56052000000000002</v>
      </c>
      <c r="CF748" s="1425">
        <v>44141</v>
      </c>
      <c r="CG748" s="1">
        <v>7.1877000000000004</v>
      </c>
      <c r="CH748" s="1">
        <v>1.0601</v>
      </c>
      <c r="CI748" s="1">
        <v>8.6379999999999999</v>
      </c>
      <c r="CL748" s="1425">
        <v>44162</v>
      </c>
      <c r="CM748" s="1">
        <v>24.943200000000001</v>
      </c>
      <c r="CN748" s="1">
        <v>2.4352999999999998</v>
      </c>
      <c r="CO748" s="1">
        <v>10.4413</v>
      </c>
    </row>
    <row r="749" spans="1:93">
      <c r="A749" s="1425">
        <v>44141</v>
      </c>
      <c r="B749" s="20">
        <f t="shared" si="112"/>
        <v>12.0587</v>
      </c>
      <c r="C749" s="20">
        <f t="shared" si="114"/>
        <v>6.6433</v>
      </c>
      <c r="D749" s="20">
        <f t="shared" si="115"/>
        <v>10.835800000000001</v>
      </c>
      <c r="E749" s="20">
        <f t="shared" si="116"/>
        <v>10.879300000000001</v>
      </c>
      <c r="F749" s="20">
        <f t="shared" si="117"/>
        <v>20.281099999999999</v>
      </c>
      <c r="G749" s="20">
        <f t="shared" si="118"/>
        <v>12.0092</v>
      </c>
      <c r="H749" s="1239">
        <f t="shared" si="119"/>
        <v>10.879300000000001</v>
      </c>
      <c r="I749" s="1243">
        <f t="shared" si="113"/>
        <v>0.10840771005487482</v>
      </c>
      <c r="J749" s="1243">
        <f t="shared" si="120"/>
        <v>0.12093838824177333</v>
      </c>
      <c r="K749" s="1243">
        <f t="shared" si="121"/>
        <v>0.1</v>
      </c>
      <c r="L749" s="203"/>
      <c r="N749" s="1425">
        <v>44141</v>
      </c>
      <c r="O749" s="1502">
        <v>12.0587</v>
      </c>
      <c r="P749" s="1502">
        <v>2.5684999999999998</v>
      </c>
      <c r="Q749" s="1502">
        <v>12.019299999999999</v>
      </c>
      <c r="R749" s="1233">
        <f>'B. PE'!$U$23</f>
        <v>15.978235616082999</v>
      </c>
      <c r="S749" s="1233"/>
      <c r="T749" s="1233"/>
      <c r="V749" s="1425">
        <v>44141</v>
      </c>
      <c r="W749" s="1">
        <v>6.6433</v>
      </c>
      <c r="X749" s="1">
        <v>0.57179999999999997</v>
      </c>
      <c r="Y749" s="1">
        <v>9.4609000000000005</v>
      </c>
      <c r="Z749" s="1">
        <v>0.36696000000000001</v>
      </c>
      <c r="AB749" s="1425">
        <v>44112</v>
      </c>
      <c r="AC749" s="1">
        <v>11.983499999999999</v>
      </c>
      <c r="AD749" s="1502">
        <v>0.99109999999999998</v>
      </c>
      <c r="AE749" s="1">
        <v>5.9240000000000004</v>
      </c>
      <c r="AF749" s="1">
        <v>2.0990000000000002E-2</v>
      </c>
      <c r="AH749" s="1425">
        <v>44112</v>
      </c>
      <c r="AI749" s="1">
        <v>10.768700000000001</v>
      </c>
      <c r="AJ749" s="1">
        <v>1.7242999999999999</v>
      </c>
      <c r="AK749" s="1">
        <v>4.1626000000000003</v>
      </c>
      <c r="AL749" s="1">
        <v>2.1739999999999999E-2</v>
      </c>
      <c r="AN749" s="1425">
        <v>44119</v>
      </c>
      <c r="AO749" s="1">
        <v>10.621499999999999</v>
      </c>
      <c r="AP749" s="1">
        <v>1.1380999999999999</v>
      </c>
      <c r="AQ749" s="1">
        <v>6.8121999999999998</v>
      </c>
      <c r="AR749" s="1">
        <v>0.24149000000000001</v>
      </c>
      <c r="AT749" s="1425">
        <v>44119</v>
      </c>
      <c r="AU749" s="1">
        <v>6.7549000000000001</v>
      </c>
      <c r="AV749" s="1">
        <v>0.46589999999999998</v>
      </c>
      <c r="AW749" s="1">
        <v>5.0194999999999999</v>
      </c>
      <c r="AX749" s="1">
        <v>0.1135</v>
      </c>
      <c r="BA749" s="1425">
        <v>44105</v>
      </c>
      <c r="BB749" s="1">
        <v>10.3378</v>
      </c>
      <c r="BC749" s="1">
        <v>2.2164999999999999</v>
      </c>
      <c r="BD749" s="1">
        <v>8.6664999999999992</v>
      </c>
      <c r="BE749" s="1">
        <v>0.52486999999999995</v>
      </c>
      <c r="BG749" s="1425">
        <v>44105</v>
      </c>
      <c r="BH749" s="1">
        <v>19.295300000000001</v>
      </c>
      <c r="BI749" s="1">
        <v>3.5289000000000001</v>
      </c>
      <c r="BJ749" s="1">
        <v>21.9314</v>
      </c>
      <c r="BT749" s="1425">
        <v>44141</v>
      </c>
      <c r="BU749" s="1">
        <v>12.3302</v>
      </c>
      <c r="BV749" s="1">
        <v>3.1244999999999998</v>
      </c>
      <c r="BW749" s="1">
        <v>6.6154999999999999</v>
      </c>
      <c r="BX749" s="1">
        <v>1.5366</v>
      </c>
      <c r="BZ749" s="1425">
        <v>44141</v>
      </c>
      <c r="CB749" s="1">
        <v>1.4479</v>
      </c>
      <c r="CC749" s="1">
        <v>37.962400000000002</v>
      </c>
      <c r="CD749" s="1">
        <v>0.55798999999999999</v>
      </c>
      <c r="CF749" s="1425">
        <v>44140</v>
      </c>
      <c r="CG749" s="1">
        <v>7.1877000000000004</v>
      </c>
      <c r="CH749" s="1">
        <v>1.0601</v>
      </c>
      <c r="CI749" s="1">
        <v>8.6379999999999999</v>
      </c>
      <c r="CL749" s="1425">
        <v>44161</v>
      </c>
      <c r="CM749" s="1">
        <v>24.7836</v>
      </c>
      <c r="CN749" s="1">
        <v>2.4197000000000002</v>
      </c>
      <c r="CO749" s="1">
        <v>10.3756</v>
      </c>
    </row>
    <row r="750" spans="1:93">
      <c r="A750" s="1425">
        <v>44140</v>
      </c>
      <c r="B750" s="20">
        <f t="shared" si="112"/>
        <v>11.295500000000001</v>
      </c>
      <c r="C750" s="20">
        <f t="shared" si="114"/>
        <v>6.2889999999999997</v>
      </c>
      <c r="D750" s="20">
        <f t="shared" si="115"/>
        <v>10.802300000000001</v>
      </c>
      <c r="E750" s="20">
        <f t="shared" si="116"/>
        <v>10.673</v>
      </c>
      <c r="F750" s="20">
        <f t="shared" si="117"/>
        <v>20.985399999999998</v>
      </c>
      <c r="G750" s="20">
        <f t="shared" si="118"/>
        <v>12.5663</v>
      </c>
      <c r="H750" s="1239">
        <f t="shared" si="119"/>
        <v>10.802300000000001</v>
      </c>
      <c r="I750" s="1243">
        <f t="shared" si="113"/>
        <v>4.5656943428714181E-2</v>
      </c>
      <c r="J750" s="1243">
        <f t="shared" si="120"/>
        <v>0.12093838824177333</v>
      </c>
      <c r="K750" s="1243">
        <f t="shared" si="121"/>
        <v>0.1</v>
      </c>
      <c r="L750" s="203"/>
      <c r="N750" s="1425">
        <v>44140</v>
      </c>
      <c r="O750" s="1502">
        <v>11.295500000000001</v>
      </c>
      <c r="P750" s="1502">
        <v>2.4058999999999999</v>
      </c>
      <c r="Q750" s="1502">
        <v>11.325699999999999</v>
      </c>
      <c r="R750" s="1233">
        <f>'B. PE'!$U$23</f>
        <v>15.978235616082999</v>
      </c>
      <c r="S750" s="1233"/>
      <c r="T750" s="1233"/>
      <c r="V750" s="1425">
        <v>44140</v>
      </c>
      <c r="W750" s="1">
        <v>6.2889999999999997</v>
      </c>
      <c r="X750" s="1">
        <v>0.5413</v>
      </c>
      <c r="Y750" s="1">
        <v>9.2165999999999997</v>
      </c>
      <c r="Z750" s="1">
        <v>0.3609</v>
      </c>
      <c r="AB750" s="1425">
        <v>44111</v>
      </c>
      <c r="AC750" s="1">
        <v>11.5327</v>
      </c>
      <c r="AD750" s="1502">
        <v>0.95379999999999998</v>
      </c>
      <c r="AE750" s="1">
        <v>5.7629000000000001</v>
      </c>
      <c r="AF750" s="1">
        <v>2.0820000000000002E-2</v>
      </c>
      <c r="AH750" s="1425">
        <v>44111</v>
      </c>
      <c r="AI750" s="1">
        <v>10.735200000000001</v>
      </c>
      <c r="AJ750" s="1">
        <v>1.7189000000000001</v>
      </c>
      <c r="AK750" s="1">
        <v>4.1467000000000001</v>
      </c>
      <c r="AL750" s="1">
        <v>2.1839999999999998E-2</v>
      </c>
      <c r="AN750" s="1425">
        <v>44118</v>
      </c>
      <c r="AO750" s="1">
        <v>10.621499999999999</v>
      </c>
      <c r="AP750" s="1">
        <v>1.1380999999999999</v>
      </c>
      <c r="AQ750" s="1">
        <v>6.8121999999999998</v>
      </c>
      <c r="AR750" s="1">
        <v>0.24234</v>
      </c>
      <c r="AT750" s="1425">
        <v>44118</v>
      </c>
      <c r="AU750" s="1">
        <v>6.4066999999999998</v>
      </c>
      <c r="AV750" s="1">
        <v>0.44190000000000002</v>
      </c>
      <c r="AW750" s="1">
        <v>4.8361999999999998</v>
      </c>
      <c r="BA750" s="1425">
        <v>44104</v>
      </c>
      <c r="BB750" s="1">
        <v>10.214</v>
      </c>
      <c r="BC750" s="1">
        <v>2.1899000000000002</v>
      </c>
      <c r="BD750" s="1">
        <v>8.5831999999999997</v>
      </c>
      <c r="BE750" s="1">
        <v>0.52146000000000003</v>
      </c>
      <c r="BG750" s="1425">
        <v>44104</v>
      </c>
      <c r="BH750" s="1">
        <v>18.7319</v>
      </c>
      <c r="BI750" s="1">
        <v>3.4258000000000002</v>
      </c>
      <c r="BJ750" s="1">
        <v>21.4087</v>
      </c>
      <c r="BT750" s="1425">
        <v>44140</v>
      </c>
      <c r="BU750" s="1">
        <v>12.541499999999999</v>
      </c>
      <c r="BV750" s="1">
        <v>3.1781000000000001</v>
      </c>
      <c r="BW750" s="1">
        <v>6.7294</v>
      </c>
      <c r="BX750" s="1">
        <v>1.5412999999999999</v>
      </c>
      <c r="BZ750" s="1425">
        <v>44140</v>
      </c>
      <c r="CB750" s="1">
        <v>1.4577</v>
      </c>
      <c r="CC750" s="1">
        <v>38.103400000000001</v>
      </c>
      <c r="CD750" s="1">
        <v>0.55010000000000003</v>
      </c>
      <c r="CF750" s="1425">
        <v>44139</v>
      </c>
      <c r="CG750" s="1">
        <v>7.1323999999999996</v>
      </c>
      <c r="CH750" s="1">
        <v>1.0519000000000001</v>
      </c>
      <c r="CI750" s="1">
        <v>8.6098999999999997</v>
      </c>
      <c r="CL750" s="1425">
        <v>44160</v>
      </c>
      <c r="CM750" s="1">
        <v>25.082899999999999</v>
      </c>
      <c r="CN750" s="1">
        <v>2.4489000000000001</v>
      </c>
      <c r="CO750" s="1">
        <v>10.498900000000001</v>
      </c>
    </row>
    <row r="751" spans="1:93">
      <c r="A751" s="1425">
        <v>44139</v>
      </c>
      <c r="B751" s="20">
        <f t="shared" si="112"/>
        <v>11.5436</v>
      </c>
      <c r="C751" s="20">
        <f t="shared" si="114"/>
        <v>6.3902000000000001</v>
      </c>
      <c r="D751" s="20">
        <f t="shared" si="115"/>
        <v>10.601000000000001</v>
      </c>
      <c r="E751" s="20">
        <f t="shared" si="116"/>
        <v>10.002700000000001</v>
      </c>
      <c r="F751" s="20">
        <f t="shared" si="117"/>
        <v>20.8445</v>
      </c>
      <c r="G751" s="20">
        <f t="shared" si="118"/>
        <v>12.5044</v>
      </c>
      <c r="H751" s="1239">
        <f t="shared" si="119"/>
        <v>10.601000000000001</v>
      </c>
      <c r="I751" s="1243">
        <f t="shared" si="113"/>
        <v>8.8916139986793485E-2</v>
      </c>
      <c r="J751" s="1243">
        <f t="shared" si="120"/>
        <v>0.12093838824177333</v>
      </c>
      <c r="K751" s="1243">
        <f t="shared" si="121"/>
        <v>0.1</v>
      </c>
      <c r="L751" s="203"/>
      <c r="N751" s="1425">
        <v>44139</v>
      </c>
      <c r="O751" s="1502">
        <v>11.5436</v>
      </c>
      <c r="P751" s="1502">
        <v>2.4586999999999999</v>
      </c>
      <c r="Q751" s="1502">
        <v>11.5511</v>
      </c>
      <c r="R751" s="1233">
        <f>'B. PE'!$U$23</f>
        <v>15.978235616082999</v>
      </c>
      <c r="S751" s="1233"/>
      <c r="T751" s="1233"/>
      <c r="V751" s="1425">
        <v>44139</v>
      </c>
      <c r="W751" s="1">
        <v>6.3902000000000001</v>
      </c>
      <c r="X751" s="1">
        <v>0.55000000000000004</v>
      </c>
      <c r="Y751" s="1">
        <v>9.2864000000000004</v>
      </c>
      <c r="Z751" s="1">
        <v>0.35059000000000001</v>
      </c>
      <c r="AB751" s="1425">
        <v>44110</v>
      </c>
      <c r="AC751" s="1">
        <v>11.607900000000001</v>
      </c>
      <c r="AD751" s="1502">
        <v>0.96</v>
      </c>
      <c r="AE751" s="1">
        <v>5.7896999999999998</v>
      </c>
      <c r="AF751" s="1">
        <v>1.9890000000000001E-2</v>
      </c>
      <c r="AH751" s="1425">
        <v>44110</v>
      </c>
      <c r="AI751" s="1">
        <v>10.735200000000001</v>
      </c>
      <c r="AJ751" s="1">
        <v>1.7189000000000001</v>
      </c>
      <c r="AK751" s="1">
        <v>4.1467000000000001</v>
      </c>
      <c r="AL751" s="1">
        <v>2.137E-2</v>
      </c>
      <c r="AN751" s="1425">
        <v>44117</v>
      </c>
      <c r="AO751" s="1">
        <v>10.312099999999999</v>
      </c>
      <c r="AP751" s="1">
        <v>1.1049</v>
      </c>
      <c r="AQ751" s="1">
        <v>6.5601000000000003</v>
      </c>
      <c r="AR751" s="1">
        <v>0.24166000000000001</v>
      </c>
      <c r="AT751" s="1425">
        <v>44117</v>
      </c>
      <c r="AU751" s="1">
        <v>6.5460000000000003</v>
      </c>
      <c r="AV751" s="1">
        <v>0.45150000000000001</v>
      </c>
      <c r="AW751" s="1">
        <v>4.9095000000000004</v>
      </c>
      <c r="BA751" s="1425">
        <v>44103</v>
      </c>
      <c r="BB751" s="1">
        <v>11.4056</v>
      </c>
      <c r="BC751" s="1">
        <v>2.3393000000000002</v>
      </c>
      <c r="BD751" s="1">
        <v>9.7672000000000008</v>
      </c>
      <c r="BE751" s="1">
        <v>0.50246000000000002</v>
      </c>
      <c r="BG751" s="1425">
        <v>44103</v>
      </c>
      <c r="BH751" s="1">
        <v>21.2897</v>
      </c>
      <c r="BI751" s="1">
        <v>3.4653999999999998</v>
      </c>
      <c r="BJ751" s="1">
        <v>23.020700000000001</v>
      </c>
      <c r="BT751" s="1425">
        <v>44139</v>
      </c>
      <c r="BU751" s="1">
        <v>12.541499999999999</v>
      </c>
      <c r="BV751" s="1">
        <v>3.1781000000000001</v>
      </c>
      <c r="BW751" s="1">
        <v>6.7294</v>
      </c>
      <c r="BX751" s="1">
        <v>1.5307999999999999</v>
      </c>
      <c r="BZ751" s="1425">
        <v>44139</v>
      </c>
      <c r="CB751" s="1">
        <v>1.4512</v>
      </c>
      <c r="CC751" s="1">
        <v>38.009399999999999</v>
      </c>
      <c r="CD751" s="1">
        <v>0.52544000000000002</v>
      </c>
      <c r="CF751" s="1425">
        <v>44138</v>
      </c>
      <c r="CG751" s="1">
        <v>7.2430000000000003</v>
      </c>
      <c r="CH751" s="1">
        <v>1.0682</v>
      </c>
      <c r="CI751" s="1">
        <v>8.6661000000000001</v>
      </c>
      <c r="CL751" s="1425">
        <v>44159</v>
      </c>
      <c r="CM751" s="1">
        <v>25.142700000000001</v>
      </c>
      <c r="CN751" s="1">
        <v>2.4546999999999999</v>
      </c>
      <c r="CO751" s="1">
        <v>10.5235</v>
      </c>
    </row>
    <row r="752" spans="1:93">
      <c r="A752" s="1425">
        <v>44138</v>
      </c>
      <c r="B752" s="20">
        <f t="shared" si="112"/>
        <v>11.047499999999999</v>
      </c>
      <c r="C752" s="20">
        <f t="shared" si="114"/>
        <v>6.2889999999999997</v>
      </c>
      <c r="D752" s="20">
        <f t="shared" si="115"/>
        <v>10.735200000000001</v>
      </c>
      <c r="E752" s="20">
        <f t="shared" si="116"/>
        <v>9.8995999999999995</v>
      </c>
      <c r="F752" s="20">
        <f t="shared" si="117"/>
        <v>21.407900000000001</v>
      </c>
      <c r="G752" s="20">
        <f t="shared" si="118"/>
        <v>12.8139</v>
      </c>
      <c r="H752" s="1239">
        <f t="shared" si="119"/>
        <v>10.735200000000001</v>
      </c>
      <c r="I752" s="1243">
        <f t="shared" si="113"/>
        <v>2.9091213950368733E-2</v>
      </c>
      <c r="J752" s="1243">
        <f t="shared" si="120"/>
        <v>0.12093838824177333</v>
      </c>
      <c r="K752" s="1243">
        <f t="shared" si="121"/>
        <v>0.1</v>
      </c>
      <c r="L752" s="203"/>
      <c r="N752" s="1425">
        <v>44138</v>
      </c>
      <c r="O752" s="1502">
        <v>11.047499999999999</v>
      </c>
      <c r="P752" s="1502">
        <v>2.3531</v>
      </c>
      <c r="Q752" s="1502">
        <v>11.100300000000001</v>
      </c>
      <c r="R752" s="1233">
        <f>'B. PE'!$U$23</f>
        <v>15.978235616082999</v>
      </c>
      <c r="S752" s="1233"/>
      <c r="T752" s="1233"/>
      <c r="V752" s="1425">
        <v>44138</v>
      </c>
      <c r="W752" s="1">
        <v>6.2889999999999997</v>
      </c>
      <c r="X752" s="1">
        <v>0.5413</v>
      </c>
      <c r="Y752" s="1">
        <v>9.2165999999999997</v>
      </c>
      <c r="Z752" s="1">
        <v>0.33593000000000001</v>
      </c>
      <c r="AB752" s="1425">
        <v>44109</v>
      </c>
      <c r="AC752" s="1">
        <v>11.495200000000001</v>
      </c>
      <c r="AD752" s="1502">
        <v>0.95069999999999999</v>
      </c>
      <c r="AE752" s="1">
        <v>5.7495000000000003</v>
      </c>
      <c r="AF752" s="1">
        <v>2.0469999999999999E-2</v>
      </c>
      <c r="AH752" s="1425">
        <v>44109</v>
      </c>
      <c r="AI752" s="1">
        <v>10.768700000000001</v>
      </c>
      <c r="AJ752" s="1">
        <v>1.7242999999999999</v>
      </c>
      <c r="AK752" s="1">
        <v>4.1626000000000003</v>
      </c>
      <c r="AL752" s="1">
        <v>2.1690000000000001E-2</v>
      </c>
      <c r="AN752" s="1425">
        <v>44116</v>
      </c>
      <c r="AO752" s="1">
        <v>10.3637</v>
      </c>
      <c r="AP752" s="1">
        <v>1.1105</v>
      </c>
      <c r="AQ752" s="1">
        <v>6.6021000000000001</v>
      </c>
      <c r="AR752" s="1">
        <v>0.2432</v>
      </c>
      <c r="AT752" s="1425">
        <v>44116</v>
      </c>
      <c r="AW752" s="1">
        <v>4.8361999999999998</v>
      </c>
      <c r="BA752" s="1425">
        <v>44102</v>
      </c>
      <c r="BB752" s="1">
        <v>11.3369</v>
      </c>
      <c r="BC752" s="1">
        <v>2.3252000000000002</v>
      </c>
      <c r="BD752" s="1">
        <v>9.7210000000000001</v>
      </c>
      <c r="BE752" s="1">
        <v>0.48763000000000001</v>
      </c>
      <c r="BG752" s="1425">
        <v>44102</v>
      </c>
      <c r="BH752" s="1">
        <v>21.451000000000001</v>
      </c>
      <c r="BI752" s="1">
        <v>3.4916999999999998</v>
      </c>
      <c r="BJ752" s="1">
        <v>23.1647</v>
      </c>
      <c r="BT752" s="1425">
        <v>44138</v>
      </c>
      <c r="BU752" s="1">
        <v>12.5885</v>
      </c>
      <c r="BV752" s="1">
        <v>3.19</v>
      </c>
      <c r="BW752" s="1">
        <v>6.7546999999999997</v>
      </c>
      <c r="BX752" s="1">
        <v>1.5057</v>
      </c>
      <c r="BZ752" s="1425">
        <v>44138</v>
      </c>
      <c r="CB752" s="1">
        <v>1.4317</v>
      </c>
      <c r="CC752" s="1">
        <v>37.727200000000003</v>
      </c>
      <c r="CD752" s="1">
        <v>0.52148000000000005</v>
      </c>
      <c r="CF752" s="1425">
        <v>44137</v>
      </c>
      <c r="CG752" s="1">
        <v>6.7454000000000001</v>
      </c>
      <c r="CH752" s="1">
        <v>0.99480000000000002</v>
      </c>
      <c r="CI752" s="1">
        <v>8.4133999999999993</v>
      </c>
      <c r="CL752" s="1425">
        <v>44158</v>
      </c>
      <c r="CM752" s="1">
        <v>25.462</v>
      </c>
      <c r="CN752" s="1">
        <v>2.4859</v>
      </c>
      <c r="CO752" s="1">
        <v>10.654999999999999</v>
      </c>
    </row>
    <row r="753" spans="1:93">
      <c r="A753" s="1425">
        <v>44137</v>
      </c>
      <c r="B753" s="20">
        <f t="shared" si="112"/>
        <v>10.3415</v>
      </c>
      <c r="C753" s="20">
        <f t="shared" si="114"/>
        <v>6.1055000000000001</v>
      </c>
      <c r="D753" s="20">
        <f t="shared" si="115"/>
        <v>10.735200000000001</v>
      </c>
      <c r="E753" s="20">
        <f t="shared" si="116"/>
        <v>9.6417999999999999</v>
      </c>
      <c r="F753" s="20">
        <f t="shared" si="117"/>
        <v>20.703700000000001</v>
      </c>
      <c r="G753" s="20">
        <f t="shared" si="118"/>
        <v>12.937799999999999</v>
      </c>
      <c r="H753" s="1239">
        <f t="shared" si="119"/>
        <v>10.735200000000001</v>
      </c>
      <c r="I753" s="1243">
        <f t="shared" si="113"/>
        <v>-3.6673746180788558E-2</v>
      </c>
      <c r="J753" s="1243">
        <f t="shared" si="120"/>
        <v>0.12093838824177333</v>
      </c>
      <c r="K753" s="1243">
        <f t="shared" si="121"/>
        <v>0.1</v>
      </c>
      <c r="L753" s="203"/>
      <c r="N753" s="1425">
        <v>44137</v>
      </c>
      <c r="O753" s="1502">
        <v>10.3415</v>
      </c>
      <c r="P753" s="1502">
        <v>2.2027000000000001</v>
      </c>
      <c r="Q753" s="1502">
        <v>10.4588</v>
      </c>
      <c r="R753" s="1233">
        <f>'B. PE'!$U$23</f>
        <v>15.978235616082999</v>
      </c>
      <c r="S753" s="1233"/>
      <c r="T753" s="1233"/>
      <c r="V753" s="1425">
        <v>44137</v>
      </c>
      <c r="W753" s="1">
        <v>6.1055000000000001</v>
      </c>
      <c r="X753" s="1">
        <v>0.52549999999999997</v>
      </c>
      <c r="Y753" s="1">
        <v>9.09</v>
      </c>
      <c r="Z753" s="1">
        <v>0.34097</v>
      </c>
      <c r="AB753" s="1425">
        <v>44106</v>
      </c>
      <c r="AC753" s="1">
        <v>11.1195</v>
      </c>
      <c r="AD753" s="1502">
        <v>0.91959999999999997</v>
      </c>
      <c r="AE753" s="1">
        <v>5.6151999999999997</v>
      </c>
      <c r="AF753" s="1">
        <v>2.0789999999999999E-2</v>
      </c>
      <c r="AH753" s="1425">
        <v>44106</v>
      </c>
      <c r="AI753" s="1">
        <v>10.668100000000001</v>
      </c>
      <c r="AJ753" s="1">
        <v>1.7081999999999999</v>
      </c>
      <c r="AK753" s="1">
        <v>4.1148999999999996</v>
      </c>
      <c r="AL753" s="1">
        <v>2.1669999999999998E-2</v>
      </c>
      <c r="AN753" s="1425">
        <v>44113</v>
      </c>
      <c r="AO753" s="1">
        <v>10.312099999999999</v>
      </c>
      <c r="AP753" s="1">
        <v>1.1049</v>
      </c>
      <c r="AQ753" s="1">
        <v>6.5601000000000003</v>
      </c>
      <c r="AR753" s="1">
        <v>0.24424000000000001</v>
      </c>
      <c r="AT753" s="1425">
        <v>44113</v>
      </c>
      <c r="AW753" s="1">
        <v>4.8361999999999998</v>
      </c>
      <c r="BA753" s="1425">
        <v>44099</v>
      </c>
      <c r="BB753" s="1">
        <v>10.9246</v>
      </c>
      <c r="BC753" s="1">
        <v>2.2406999999999999</v>
      </c>
      <c r="BD753" s="1">
        <v>9.4437999999999995</v>
      </c>
      <c r="BE753" s="1">
        <v>0.47817999999999999</v>
      </c>
      <c r="BG753" s="1425">
        <v>44099</v>
      </c>
      <c r="BH753" s="1">
        <v>21.451000000000001</v>
      </c>
      <c r="BI753" s="1">
        <v>3.4916999999999998</v>
      </c>
      <c r="BJ753" s="1">
        <v>23.1647</v>
      </c>
      <c r="BT753" s="1425">
        <v>44137</v>
      </c>
      <c r="BU753" s="1">
        <v>12.4946</v>
      </c>
      <c r="BV753" s="1">
        <v>3.1661999999999999</v>
      </c>
      <c r="BW753" s="1">
        <v>6.7041000000000004</v>
      </c>
      <c r="BX753" s="1">
        <v>1.4710000000000001</v>
      </c>
      <c r="BZ753" s="1425">
        <v>44137</v>
      </c>
      <c r="CB753" s="1">
        <v>1.3666</v>
      </c>
      <c r="CC753" s="1">
        <v>36.786700000000003</v>
      </c>
      <c r="CD753" s="1">
        <v>0.53017000000000003</v>
      </c>
      <c r="CF753" s="1425">
        <v>44134</v>
      </c>
      <c r="CG753" s="1">
        <v>6.6901000000000002</v>
      </c>
      <c r="CH753" s="1">
        <v>0.98670000000000002</v>
      </c>
      <c r="CI753" s="1">
        <v>8.3854000000000006</v>
      </c>
      <c r="CL753" s="1425">
        <v>44155</v>
      </c>
      <c r="CM753" s="1">
        <v>25.701499999999999</v>
      </c>
      <c r="CN753" s="1">
        <v>2.5093000000000001</v>
      </c>
      <c r="CO753" s="1">
        <v>10.7536</v>
      </c>
    </row>
    <row r="754" spans="1:93">
      <c r="A754" s="1425">
        <v>44134</v>
      </c>
      <c r="B754" s="20">
        <f t="shared" si="112"/>
        <v>10.1889</v>
      </c>
      <c r="C754" s="20">
        <f t="shared" si="114"/>
        <v>5.8524000000000003</v>
      </c>
      <c r="D754" s="20">
        <f t="shared" si="115"/>
        <v>10.735200000000001</v>
      </c>
      <c r="E754" s="20">
        <f t="shared" si="116"/>
        <v>9.8481000000000005</v>
      </c>
      <c r="F754" s="20">
        <f t="shared" si="117"/>
        <v>20.8445</v>
      </c>
      <c r="G754" s="20">
        <f t="shared" si="118"/>
        <v>12.2568</v>
      </c>
      <c r="H754" s="1239">
        <f t="shared" si="119"/>
        <v>10.735200000000001</v>
      </c>
      <c r="I754" s="1243">
        <f t="shared" si="113"/>
        <v>-5.0888665325285132E-2</v>
      </c>
      <c r="J754" s="1243">
        <f t="shared" si="120"/>
        <v>0.12093838824177333</v>
      </c>
      <c r="K754" s="1243">
        <f t="shared" si="121"/>
        <v>0.1</v>
      </c>
      <c r="L754" s="203"/>
      <c r="N754" s="1425">
        <v>44134</v>
      </c>
      <c r="O754" s="1502">
        <v>10.1889</v>
      </c>
      <c r="P754" s="1502">
        <v>2.1701999999999999</v>
      </c>
      <c r="Q754" s="1502">
        <v>10.3201</v>
      </c>
      <c r="R754" s="1233">
        <f>'B. PE'!$U$23</f>
        <v>15.978235616082999</v>
      </c>
      <c r="S754" s="1233"/>
      <c r="T754" s="1233"/>
      <c r="V754" s="1425">
        <v>44134</v>
      </c>
      <c r="W754" s="1">
        <v>5.8524000000000003</v>
      </c>
      <c r="X754" s="1">
        <v>0.50370000000000004</v>
      </c>
      <c r="Y754" s="1">
        <v>8.9154999999999998</v>
      </c>
      <c r="Z754" s="1">
        <v>0.33609</v>
      </c>
      <c r="AB754" s="1425">
        <v>44105</v>
      </c>
      <c r="AC754" s="1">
        <v>11.42</v>
      </c>
      <c r="AD754" s="1502">
        <v>0.94450000000000001</v>
      </c>
      <c r="AE754" s="1">
        <v>5.7225999999999999</v>
      </c>
      <c r="AF754" s="1">
        <v>2.0899999999999998E-2</v>
      </c>
      <c r="AH754" s="1425">
        <v>44105</v>
      </c>
      <c r="AI754" s="1">
        <v>10.802300000000001</v>
      </c>
      <c r="AJ754" s="1">
        <v>1.7297</v>
      </c>
      <c r="AK754" s="1">
        <v>4.1784999999999997</v>
      </c>
      <c r="AL754" s="1">
        <v>2.164E-2</v>
      </c>
      <c r="AN754" s="1425">
        <v>44112</v>
      </c>
      <c r="AO754" s="1">
        <v>10.4152</v>
      </c>
      <c r="AP754" s="1">
        <v>1.1160000000000001</v>
      </c>
      <c r="AQ754" s="1">
        <v>6.6440999999999999</v>
      </c>
      <c r="AR754" s="1">
        <v>0.23954</v>
      </c>
      <c r="AT754" s="1425">
        <v>44112</v>
      </c>
      <c r="AW754" s="1">
        <v>4.8361999999999998</v>
      </c>
      <c r="AX754" s="1">
        <v>0.11074000000000001</v>
      </c>
      <c r="BA754" s="1425">
        <v>44098</v>
      </c>
      <c r="BB754" s="1">
        <v>10.581099999999999</v>
      </c>
      <c r="BC754" s="1">
        <v>2.1701999999999999</v>
      </c>
      <c r="BD754" s="1">
        <v>9.2127999999999997</v>
      </c>
      <c r="BE754" s="1">
        <v>0.45208999999999999</v>
      </c>
      <c r="BG754" s="1425">
        <v>44098</v>
      </c>
      <c r="BH754" s="1">
        <v>21.773499999999999</v>
      </c>
      <c r="BI754" s="1">
        <v>3.5442</v>
      </c>
      <c r="BJ754" s="1">
        <v>23.4529</v>
      </c>
      <c r="BT754" s="1425">
        <v>44134</v>
      </c>
      <c r="BU754" s="1">
        <v>12.2949</v>
      </c>
      <c r="BV754" s="1">
        <v>3.1156000000000001</v>
      </c>
      <c r="BW754" s="1">
        <v>6.5965999999999996</v>
      </c>
      <c r="BX754" s="1">
        <v>1.5107999999999999</v>
      </c>
      <c r="BZ754" s="1425">
        <v>44134</v>
      </c>
      <c r="CB754" s="1">
        <v>1.3568</v>
      </c>
      <c r="CC754" s="1">
        <v>36.645600000000002</v>
      </c>
      <c r="CD754" s="1">
        <v>0.52798999999999996</v>
      </c>
      <c r="CF754" s="1425">
        <v>44133</v>
      </c>
      <c r="CG754" s="1">
        <v>7.1877000000000004</v>
      </c>
      <c r="CH754" s="1">
        <v>1.0601</v>
      </c>
      <c r="CI754" s="1">
        <v>8.6379999999999999</v>
      </c>
      <c r="CL754" s="1425">
        <v>44154</v>
      </c>
      <c r="CM754" s="1">
        <v>25.701499999999999</v>
      </c>
      <c r="CN754" s="1">
        <v>2.5093000000000001</v>
      </c>
      <c r="CO754" s="1">
        <v>10.7536</v>
      </c>
    </row>
    <row r="755" spans="1:93">
      <c r="A755" s="1425">
        <v>44133</v>
      </c>
      <c r="B755" s="20">
        <f t="shared" si="112"/>
        <v>10.3033</v>
      </c>
      <c r="C755" s="20">
        <f t="shared" si="114"/>
        <v>5.9409999999999998</v>
      </c>
      <c r="D755" s="20">
        <f t="shared" si="115"/>
        <v>10.735200000000001</v>
      </c>
      <c r="E755" s="20">
        <f t="shared" si="116"/>
        <v>9.8481000000000005</v>
      </c>
      <c r="F755" s="20">
        <f t="shared" si="117"/>
        <v>21.689599999999999</v>
      </c>
      <c r="G755" s="20">
        <f t="shared" si="118"/>
        <v>12.442500000000001</v>
      </c>
      <c r="H755" s="1239">
        <f t="shared" si="119"/>
        <v>10.735200000000001</v>
      </c>
      <c r="I755" s="1243">
        <f t="shared" si="113"/>
        <v>-4.0232133541992732E-2</v>
      </c>
      <c r="J755" s="1243">
        <f t="shared" si="120"/>
        <v>0.12093838824177333</v>
      </c>
      <c r="K755" s="1243">
        <f t="shared" si="121"/>
        <v>0.1</v>
      </c>
      <c r="L755" s="203"/>
      <c r="N755" s="1425">
        <v>44133</v>
      </c>
      <c r="O755" s="1502">
        <v>10.3033</v>
      </c>
      <c r="P755" s="1502">
        <v>2.1945999999999999</v>
      </c>
      <c r="Q755" s="1502">
        <v>10.424099999999999</v>
      </c>
      <c r="R755" s="1233">
        <f>'B. PE'!$U$23</f>
        <v>15.978235616082999</v>
      </c>
      <c r="S755" s="1233"/>
      <c r="T755" s="1233"/>
      <c r="V755" s="1425">
        <v>44133</v>
      </c>
      <c r="W755" s="1">
        <v>5.9409999999999998</v>
      </c>
      <c r="X755" s="1">
        <v>0.51129999999999998</v>
      </c>
      <c r="Y755" s="1">
        <v>8.9765999999999995</v>
      </c>
      <c r="Z755" s="1">
        <v>0.34866000000000003</v>
      </c>
      <c r="AB755" s="1425">
        <v>44104</v>
      </c>
      <c r="AC755" s="1">
        <v>11.607900000000001</v>
      </c>
      <c r="AD755" s="1502">
        <v>0.96</v>
      </c>
      <c r="AE755" s="1">
        <v>5.7896999999999998</v>
      </c>
      <c r="AF755" s="1">
        <v>2.0740000000000001E-2</v>
      </c>
      <c r="AH755" s="1425">
        <v>44104</v>
      </c>
      <c r="AI755" s="1">
        <v>10.802300000000001</v>
      </c>
      <c r="AJ755" s="1">
        <v>1.7297</v>
      </c>
      <c r="AK755" s="1">
        <v>4.1784999999999997</v>
      </c>
      <c r="AL755" s="1">
        <v>2.1610000000000001E-2</v>
      </c>
      <c r="AN755" s="1425">
        <v>44111</v>
      </c>
      <c r="AO755" s="1">
        <v>10.466799999999999</v>
      </c>
      <c r="AP755" s="1">
        <v>1.1214999999999999</v>
      </c>
      <c r="AQ755" s="1">
        <v>6.6860999999999997</v>
      </c>
      <c r="AR755" s="1">
        <v>0.23119000000000001</v>
      </c>
      <c r="AT755" s="1425">
        <v>44111</v>
      </c>
      <c r="AW755" s="1">
        <v>4.8361999999999998</v>
      </c>
      <c r="BA755" s="1425">
        <v>44097</v>
      </c>
      <c r="BB755" s="1">
        <v>10.375</v>
      </c>
      <c r="BC755" s="1">
        <v>2.1278999999999999</v>
      </c>
      <c r="BD755" s="1">
        <v>9.0742999999999991</v>
      </c>
      <c r="BE755" s="1">
        <v>0.42745</v>
      </c>
      <c r="BG755" s="1425">
        <v>44097</v>
      </c>
      <c r="BH755" s="1">
        <v>22.418700000000001</v>
      </c>
      <c r="BI755" s="1">
        <v>3.6492</v>
      </c>
      <c r="BJ755" s="1">
        <v>24.029199999999999</v>
      </c>
      <c r="BT755" s="1425">
        <v>44133</v>
      </c>
      <c r="BU755" s="1">
        <v>12.0131</v>
      </c>
      <c r="BV755" s="1">
        <v>3.0442</v>
      </c>
      <c r="BW755" s="1">
        <v>6.4447999999999999</v>
      </c>
      <c r="BX755" s="1">
        <v>1.5820000000000001</v>
      </c>
      <c r="BZ755" s="1425">
        <v>44133</v>
      </c>
      <c r="CB755" s="1">
        <v>1.3795999999999999</v>
      </c>
      <c r="CC755" s="1">
        <v>36.974800000000002</v>
      </c>
      <c r="CD755" s="1">
        <v>0.55276999999999998</v>
      </c>
      <c r="CF755" s="1425">
        <v>44132</v>
      </c>
      <c r="CI755" s="1">
        <v>8.7783999999999995</v>
      </c>
      <c r="CL755" s="1425">
        <v>44153</v>
      </c>
      <c r="CM755" s="1">
        <v>25.8611</v>
      </c>
      <c r="CN755" s="1">
        <v>2.5249000000000001</v>
      </c>
      <c r="CO755" s="1">
        <v>10.8193</v>
      </c>
    </row>
    <row r="756" spans="1:93">
      <c r="A756" s="1425">
        <v>44132</v>
      </c>
      <c r="B756" s="20">
        <f t="shared" si="112"/>
        <v>9.8453999999999997</v>
      </c>
      <c r="C756" s="20">
        <f t="shared" si="114"/>
        <v>5.8524000000000003</v>
      </c>
      <c r="D756" s="20">
        <f t="shared" si="115"/>
        <v>10.735200000000001</v>
      </c>
      <c r="E756" s="20">
        <f t="shared" si="116"/>
        <v>10.312099999999999</v>
      </c>
      <c r="F756" s="20">
        <f t="shared" si="117"/>
        <v>21.830400000000001</v>
      </c>
      <c r="G756" s="20">
        <f t="shared" si="118"/>
        <v>12.5663</v>
      </c>
      <c r="H756" s="1239">
        <f t="shared" si="119"/>
        <v>10.735200000000001</v>
      </c>
      <c r="I756" s="1243">
        <f t="shared" si="113"/>
        <v>-8.2886206125642792E-2</v>
      </c>
      <c r="J756" s="1243">
        <f t="shared" si="120"/>
        <v>0.12093838824177333</v>
      </c>
      <c r="K756" s="1243">
        <f t="shared" si="121"/>
        <v>0.1</v>
      </c>
      <c r="L756" s="203"/>
      <c r="N756" s="1425">
        <v>44132</v>
      </c>
      <c r="O756" s="1502">
        <v>9.8453999999999997</v>
      </c>
      <c r="P756" s="1502">
        <v>2.097</v>
      </c>
      <c r="Q756" s="1502">
        <v>10.007999999999999</v>
      </c>
      <c r="R756" s="1233">
        <f>'B. PE'!$U$23</f>
        <v>15.978235616082999</v>
      </c>
      <c r="S756" s="1233"/>
      <c r="T756" s="1233"/>
      <c r="V756" s="1425">
        <v>44132</v>
      </c>
      <c r="W756" s="1">
        <v>5.8524000000000003</v>
      </c>
      <c r="X756" s="1">
        <v>0.50370000000000004</v>
      </c>
      <c r="Y756" s="1">
        <v>8.9154999999999998</v>
      </c>
      <c r="Z756" s="1">
        <v>0.35882999999999998</v>
      </c>
      <c r="AB756" s="1425">
        <v>44103</v>
      </c>
      <c r="AC756" s="1">
        <v>16.605599999999999</v>
      </c>
      <c r="AD756" s="1502">
        <v>1.0039</v>
      </c>
      <c r="AE756" s="1">
        <v>5.9291999999999998</v>
      </c>
      <c r="AF756" s="1">
        <v>2.0230000000000001E-2</v>
      </c>
      <c r="AH756" s="1425">
        <v>44103</v>
      </c>
      <c r="AI756" s="1">
        <v>10.963100000000001</v>
      </c>
      <c r="AJ756" s="1">
        <v>1.8185</v>
      </c>
      <c r="AK756" s="1">
        <v>4.6597999999999997</v>
      </c>
      <c r="AL756" s="1">
        <v>2.1430000000000001E-2</v>
      </c>
      <c r="AN756" s="1425">
        <v>44110</v>
      </c>
      <c r="AO756" s="1">
        <v>10.2605</v>
      </c>
      <c r="AP756" s="1">
        <v>1.0993999999999999</v>
      </c>
      <c r="AQ756" s="1">
        <v>6.5180999999999996</v>
      </c>
      <c r="AR756" s="1">
        <v>0.23052</v>
      </c>
      <c r="AT756" s="1425">
        <v>44110</v>
      </c>
      <c r="AU756" s="1">
        <v>6.4066999999999998</v>
      </c>
      <c r="AV756" s="1">
        <v>0.44190000000000002</v>
      </c>
      <c r="AW756" s="1">
        <v>4.8361999999999998</v>
      </c>
      <c r="AX756" s="1">
        <v>0.11046</v>
      </c>
      <c r="BA756" s="1425">
        <v>44096</v>
      </c>
      <c r="BB756" s="1">
        <v>9.7566000000000006</v>
      </c>
      <c r="BC756" s="1">
        <v>2.0011000000000001</v>
      </c>
      <c r="BD756" s="1">
        <v>8.6585000000000001</v>
      </c>
      <c r="BE756" s="1">
        <v>0.43104999999999999</v>
      </c>
      <c r="BG756" s="1425">
        <v>44096</v>
      </c>
      <c r="BH756" s="1">
        <v>21.451000000000001</v>
      </c>
      <c r="BI756" s="1">
        <v>3.4916999999999998</v>
      </c>
      <c r="BJ756" s="1">
        <v>23.1647</v>
      </c>
      <c r="BT756" s="1425">
        <v>44132</v>
      </c>
      <c r="BU756" s="1">
        <v>12.3302</v>
      </c>
      <c r="BV756" s="1">
        <v>3.1244999999999998</v>
      </c>
      <c r="BW756" s="1">
        <v>6.6154999999999999</v>
      </c>
      <c r="BX756" s="1">
        <v>1.5820000000000001</v>
      </c>
      <c r="BZ756" s="1425">
        <v>44132</v>
      </c>
      <c r="CB756" s="1">
        <v>1.3731</v>
      </c>
      <c r="CC756" s="1">
        <v>36.880699999999997</v>
      </c>
      <c r="CD756" s="1">
        <v>0.57277999999999996</v>
      </c>
      <c r="CF756" s="1425">
        <v>44131</v>
      </c>
      <c r="CG756" s="1">
        <v>7.4641999999999999</v>
      </c>
      <c r="CH756" s="1">
        <v>1.1008</v>
      </c>
      <c r="CI756" s="1">
        <v>8.7783999999999995</v>
      </c>
      <c r="CL756" s="1425">
        <v>44152</v>
      </c>
      <c r="CM756" s="1">
        <v>25.6815</v>
      </c>
      <c r="CN756" s="1">
        <v>2.5072999999999999</v>
      </c>
      <c r="CO756" s="1">
        <v>10.7454</v>
      </c>
    </row>
    <row r="757" spans="1:93">
      <c r="A757" s="1425">
        <v>44131</v>
      </c>
      <c r="B757" s="20">
        <f t="shared" si="112"/>
        <v>9.8644999999999996</v>
      </c>
      <c r="C757" s="20">
        <f t="shared" si="114"/>
        <v>6.0739000000000001</v>
      </c>
      <c r="D757" s="20">
        <f t="shared" si="115"/>
        <v>10.768700000000001</v>
      </c>
      <c r="E757" s="20">
        <f t="shared" si="116"/>
        <v>10.5183</v>
      </c>
      <c r="F757" s="20">
        <f t="shared" si="117"/>
        <v>22.112100000000002</v>
      </c>
      <c r="G757" s="20">
        <f t="shared" si="118"/>
        <v>12.937799999999999</v>
      </c>
      <c r="H757" s="1239">
        <f t="shared" si="119"/>
        <v>10.768700000000001</v>
      </c>
      <c r="I757" s="1243">
        <f t="shared" si="113"/>
        <v>-8.3965566874367514E-2</v>
      </c>
      <c r="J757" s="1243">
        <f t="shared" si="120"/>
        <v>0.12093838824177333</v>
      </c>
      <c r="K757" s="1243">
        <f t="shared" si="121"/>
        <v>0.1</v>
      </c>
      <c r="L757" s="203"/>
      <c r="N757" s="1425">
        <v>44131</v>
      </c>
      <c r="O757" s="1502">
        <v>9.8644999999999996</v>
      </c>
      <c r="P757" s="1502">
        <v>2.1011000000000002</v>
      </c>
      <c r="Q757" s="1502">
        <v>10.0253</v>
      </c>
      <c r="R757" s="1233">
        <f>'B. PE'!$U$23</f>
        <v>15.978235616082999</v>
      </c>
      <c r="S757" s="1233"/>
      <c r="T757" s="1233"/>
      <c r="V757" s="1425">
        <v>44131</v>
      </c>
      <c r="W757" s="1">
        <v>6.0739000000000001</v>
      </c>
      <c r="X757" s="1">
        <v>0.52280000000000004</v>
      </c>
      <c r="Y757" s="1">
        <v>9.0681999999999992</v>
      </c>
      <c r="Z757" s="1">
        <v>0.36498000000000003</v>
      </c>
      <c r="AB757" s="1425">
        <v>44102</v>
      </c>
      <c r="AC757" s="1">
        <v>16.498799999999999</v>
      </c>
      <c r="AD757" s="1502">
        <v>0.99739999999999995</v>
      </c>
      <c r="AE757" s="1">
        <v>5.8956999999999997</v>
      </c>
      <c r="AF757" s="1">
        <v>2.0320000000000001E-2</v>
      </c>
      <c r="AH757" s="1425">
        <v>44102</v>
      </c>
      <c r="AI757" s="1">
        <v>10.963100000000001</v>
      </c>
      <c r="AJ757" s="1">
        <v>1.8185</v>
      </c>
      <c r="AK757" s="1">
        <v>4.6597999999999997</v>
      </c>
      <c r="AL757" s="1">
        <v>2.1190000000000001E-2</v>
      </c>
      <c r="AN757" s="1425">
        <v>44109</v>
      </c>
      <c r="AO757" s="1">
        <v>9.8995999999999995</v>
      </c>
      <c r="AP757" s="1">
        <v>1.0607</v>
      </c>
      <c r="AQ757" s="1">
        <v>6.2240000000000002</v>
      </c>
      <c r="AR757" s="1">
        <v>0.23612</v>
      </c>
      <c r="AT757" s="1425">
        <v>44109</v>
      </c>
      <c r="AW757" s="1">
        <v>4.8361999999999998</v>
      </c>
      <c r="AX757" s="1">
        <v>0.12046999999999999</v>
      </c>
      <c r="BA757" s="1425">
        <v>44095</v>
      </c>
      <c r="BB757" s="1">
        <v>9.2068999999999992</v>
      </c>
      <c r="BC757" s="1">
        <v>1.8884000000000001</v>
      </c>
      <c r="BD757" s="1">
        <v>8.2888999999999999</v>
      </c>
      <c r="BE757" s="1">
        <v>0.43625000000000003</v>
      </c>
      <c r="BG757" s="1425">
        <v>44095</v>
      </c>
      <c r="BH757" s="1">
        <v>20.967099999999999</v>
      </c>
      <c r="BI757" s="1">
        <v>3.4129</v>
      </c>
      <c r="BJ757" s="1">
        <v>22.732500000000002</v>
      </c>
      <c r="BT757" s="1425">
        <v>44131</v>
      </c>
      <c r="BU757" s="1">
        <v>12.917299999999999</v>
      </c>
      <c r="BV757" s="1">
        <v>3.2732999999999999</v>
      </c>
      <c r="BW757" s="1">
        <v>6.9317000000000002</v>
      </c>
      <c r="BX757" s="1">
        <v>1.5820000000000001</v>
      </c>
      <c r="BZ757" s="1425">
        <v>44131</v>
      </c>
      <c r="CB757" s="1">
        <v>1.4381999999999999</v>
      </c>
      <c r="CC757" s="1">
        <v>37.821300000000001</v>
      </c>
      <c r="CD757" s="1">
        <v>0.58526</v>
      </c>
      <c r="CF757" s="1425">
        <v>44130</v>
      </c>
      <c r="CG757" s="1">
        <v>7.4641999999999999</v>
      </c>
      <c r="CH757" s="1">
        <v>1.1008</v>
      </c>
      <c r="CI757" s="1">
        <v>8.7783999999999995</v>
      </c>
      <c r="CL757" s="1425">
        <v>44151</v>
      </c>
      <c r="CM757" s="1">
        <v>25.6416</v>
      </c>
      <c r="CN757" s="1">
        <v>2.5034999999999998</v>
      </c>
      <c r="CO757" s="1">
        <v>10.728899999999999</v>
      </c>
    </row>
    <row r="758" spans="1:93">
      <c r="A758" s="1425">
        <v>44130</v>
      </c>
      <c r="B758" s="20">
        <f t="shared" si="112"/>
        <v>9.8453999999999997</v>
      </c>
      <c r="C758" s="20">
        <f t="shared" si="114"/>
        <v>6.2510000000000003</v>
      </c>
      <c r="D758" s="20">
        <f t="shared" si="115"/>
        <v>10.668100000000001</v>
      </c>
      <c r="E758" s="20">
        <f t="shared" si="116"/>
        <v>10.466799999999999</v>
      </c>
      <c r="F758" s="20">
        <f t="shared" si="117"/>
        <v>21.9712</v>
      </c>
      <c r="G758" s="20">
        <f t="shared" si="118"/>
        <v>13.0616</v>
      </c>
      <c r="H758" s="1239">
        <f t="shared" si="119"/>
        <v>10.668100000000001</v>
      </c>
      <c r="I758" s="1243">
        <f t="shared" si="113"/>
        <v>-7.7117762300690895E-2</v>
      </c>
      <c r="J758" s="1243">
        <f t="shared" si="120"/>
        <v>0.12093838824177333</v>
      </c>
      <c r="K758" s="1243">
        <f t="shared" si="121"/>
        <v>0.1</v>
      </c>
      <c r="L758" s="203"/>
      <c r="N758" s="1425">
        <v>44130</v>
      </c>
      <c r="O758" s="1502">
        <v>9.8453999999999997</v>
      </c>
      <c r="P758" s="1502">
        <v>2.097</v>
      </c>
      <c r="Q758" s="1502">
        <v>10.007999999999999</v>
      </c>
      <c r="R758" s="1233">
        <f>'B. PE'!$U$23</f>
        <v>15.978235616082999</v>
      </c>
      <c r="S758" s="1233"/>
      <c r="T758" s="1233"/>
      <c r="V758" s="1425">
        <v>44130</v>
      </c>
      <c r="W758" s="1">
        <v>6.2510000000000003</v>
      </c>
      <c r="X758" s="1">
        <v>0.53800000000000003</v>
      </c>
      <c r="Y758" s="1">
        <v>9.1904000000000003</v>
      </c>
      <c r="Z758" s="1">
        <v>0.37058999999999997</v>
      </c>
      <c r="AB758" s="1425">
        <v>44099</v>
      </c>
      <c r="AC758" s="1">
        <v>16.1785</v>
      </c>
      <c r="AD758" s="1502">
        <v>0.97809999999999997</v>
      </c>
      <c r="AE758" s="1">
        <v>5.7949999999999999</v>
      </c>
      <c r="AF758" s="1">
        <v>2.069E-2</v>
      </c>
      <c r="AH758" s="1425">
        <v>44099</v>
      </c>
      <c r="AI758" s="1">
        <v>10.929</v>
      </c>
      <c r="AJ758" s="1">
        <v>1.8129</v>
      </c>
      <c r="AK758" s="1">
        <v>4.6439000000000004</v>
      </c>
      <c r="AL758" s="1">
        <v>2.1559999999999999E-2</v>
      </c>
      <c r="AN758" s="1425">
        <v>44106</v>
      </c>
      <c r="AO758" s="1">
        <v>9.8995999999999995</v>
      </c>
      <c r="AP758" s="1">
        <v>1.0607</v>
      </c>
      <c r="AQ758" s="1">
        <v>6.2240000000000002</v>
      </c>
      <c r="AR758" s="1">
        <v>0.23946999999999999</v>
      </c>
      <c r="AT758" s="1425">
        <v>44106</v>
      </c>
      <c r="AU758" s="1">
        <v>6.4066999999999998</v>
      </c>
      <c r="AV758" s="1">
        <v>0.44190000000000002</v>
      </c>
      <c r="AW758" s="1">
        <v>4.8361999999999998</v>
      </c>
      <c r="AX758" s="1">
        <v>0.11552</v>
      </c>
      <c r="BA758" s="1425">
        <v>44092</v>
      </c>
      <c r="BB758" s="1">
        <v>9.2068999999999992</v>
      </c>
      <c r="BC758" s="1">
        <v>1.8884000000000001</v>
      </c>
      <c r="BD758" s="1">
        <v>8.2888999999999999</v>
      </c>
      <c r="BE758" s="1">
        <v>0.441</v>
      </c>
      <c r="BG758" s="1425">
        <v>44092</v>
      </c>
      <c r="BH758" s="1">
        <v>21.612200000000001</v>
      </c>
      <c r="BI758" s="1">
        <v>3.5179</v>
      </c>
      <c r="BJ758" s="1">
        <v>23.308800000000002</v>
      </c>
      <c r="BT758" s="1425">
        <v>44130</v>
      </c>
      <c r="BU758" s="1">
        <v>12.917299999999999</v>
      </c>
      <c r="BV758" s="1">
        <v>3.2732999999999999</v>
      </c>
      <c r="BW758" s="1">
        <v>6.9317000000000002</v>
      </c>
      <c r="BX758" s="1">
        <v>1.5610999999999999</v>
      </c>
      <c r="BZ758" s="1425">
        <v>44130</v>
      </c>
      <c r="CB758" s="1">
        <v>1.4902</v>
      </c>
      <c r="CC758" s="1">
        <v>38.573700000000002</v>
      </c>
      <c r="CD758" s="1">
        <v>0.57801000000000002</v>
      </c>
      <c r="CF758" s="1425">
        <v>44127</v>
      </c>
      <c r="CG758" s="1">
        <v>7.4641999999999999</v>
      </c>
      <c r="CH758" s="1">
        <v>1.1008</v>
      </c>
      <c r="CI758" s="1">
        <v>8.7783999999999995</v>
      </c>
      <c r="CL758" s="1425">
        <v>44148</v>
      </c>
      <c r="CM758" s="1">
        <v>24.643899999999999</v>
      </c>
      <c r="CN758" s="1">
        <v>2.4060000000000001</v>
      </c>
      <c r="CO758" s="1">
        <v>10.318099999999999</v>
      </c>
    </row>
    <row r="759" spans="1:93">
      <c r="A759" s="1425">
        <v>44127</v>
      </c>
      <c r="B759" s="20">
        <f t="shared" si="112"/>
        <v>10.074400000000001</v>
      </c>
      <c r="C759" s="20">
        <f t="shared" si="114"/>
        <v>6.3586</v>
      </c>
      <c r="D759" s="20">
        <f t="shared" si="115"/>
        <v>10.701599999999999</v>
      </c>
      <c r="E759" s="20">
        <f t="shared" si="116"/>
        <v>10.569900000000001</v>
      </c>
      <c r="F759" s="20">
        <f t="shared" si="117"/>
        <v>21.9712</v>
      </c>
      <c r="G759" s="20">
        <f t="shared" si="118"/>
        <v>13.0616</v>
      </c>
      <c r="H759" s="1239">
        <f t="shared" si="119"/>
        <v>10.701599999999999</v>
      </c>
      <c r="I759" s="1243">
        <f t="shared" si="113"/>
        <v>-5.8608058608058511E-2</v>
      </c>
      <c r="J759" s="1243">
        <f t="shared" si="120"/>
        <v>0.12093838824177333</v>
      </c>
      <c r="K759" s="1243">
        <f t="shared" si="121"/>
        <v>0.1</v>
      </c>
      <c r="L759" s="203"/>
      <c r="N759" s="1425">
        <v>44127</v>
      </c>
      <c r="O759" s="1502">
        <v>10.074400000000001</v>
      </c>
      <c r="P759" s="1502">
        <v>2.1457999999999999</v>
      </c>
      <c r="Q759" s="1502">
        <v>10.215999999999999</v>
      </c>
      <c r="R759" s="1233">
        <f>'B. PE'!$U$23</f>
        <v>15.978235616082999</v>
      </c>
      <c r="S759" s="1233"/>
      <c r="T759" s="1233"/>
      <c r="V759" s="1425">
        <v>44127</v>
      </c>
      <c r="W759" s="1">
        <v>6.3586</v>
      </c>
      <c r="X759" s="1">
        <v>0.54730000000000001</v>
      </c>
      <c r="Y759" s="1">
        <v>9.2645</v>
      </c>
      <c r="Z759" s="1">
        <v>0.36314999999999997</v>
      </c>
      <c r="AB759" s="1425">
        <v>44098</v>
      </c>
      <c r="AC759" s="1">
        <v>16.2319</v>
      </c>
      <c r="AD759" s="1502">
        <v>0.98129999999999995</v>
      </c>
      <c r="AE759" s="1">
        <v>5.8117999999999999</v>
      </c>
      <c r="AF759" s="1">
        <v>2.12E-2</v>
      </c>
      <c r="AH759" s="1425">
        <v>44098</v>
      </c>
      <c r="AI759" s="1">
        <v>10.7928</v>
      </c>
      <c r="AJ759" s="1">
        <v>1.7903</v>
      </c>
      <c r="AK759" s="1">
        <v>4.5801999999999996</v>
      </c>
      <c r="AL759" s="1">
        <v>2.2009999999999998E-2</v>
      </c>
      <c r="AN759" s="1425">
        <v>44105</v>
      </c>
      <c r="AO759" s="1">
        <v>10.1059</v>
      </c>
      <c r="AP759" s="1">
        <v>1.0828</v>
      </c>
      <c r="AQ759" s="1">
        <v>6.3921000000000001</v>
      </c>
      <c r="AR759" s="1">
        <v>0.24414</v>
      </c>
      <c r="AT759" s="1425">
        <v>44105</v>
      </c>
      <c r="AU759" s="1">
        <v>6.9638</v>
      </c>
      <c r="AV759" s="1">
        <v>0.4803</v>
      </c>
      <c r="AW759" s="1">
        <v>5.1295000000000002</v>
      </c>
      <c r="AX759" s="1">
        <v>0.11545</v>
      </c>
      <c r="BA759" s="1425">
        <v>44091</v>
      </c>
      <c r="BB759" s="1">
        <v>9.3443000000000005</v>
      </c>
      <c r="BC759" s="1">
        <v>1.9166000000000001</v>
      </c>
      <c r="BD759" s="1">
        <v>8.3812999999999995</v>
      </c>
      <c r="BE759" s="1">
        <v>0.43896000000000002</v>
      </c>
      <c r="BG759" s="1425">
        <v>44091</v>
      </c>
      <c r="BH759" s="1">
        <v>21.451000000000001</v>
      </c>
      <c r="BI759" s="1">
        <v>3.4916999999999998</v>
      </c>
      <c r="BJ759" s="1">
        <v>23.1647</v>
      </c>
      <c r="BT759" s="1425">
        <v>44127</v>
      </c>
      <c r="BU759" s="1">
        <v>12.917299999999999</v>
      </c>
      <c r="BV759" s="1">
        <v>3.2732999999999999</v>
      </c>
      <c r="BW759" s="1">
        <v>6.9317000000000002</v>
      </c>
      <c r="BX759" s="1">
        <v>1.5215000000000001</v>
      </c>
      <c r="BZ759" s="1425">
        <v>44127</v>
      </c>
      <c r="CB759" s="1">
        <v>1.5227999999999999</v>
      </c>
      <c r="CC759" s="1">
        <v>39.043999999999997</v>
      </c>
      <c r="CD759" s="1">
        <v>0.57647999999999999</v>
      </c>
      <c r="CF759" s="1425">
        <v>44126</v>
      </c>
      <c r="CG759" s="1">
        <v>7.6852999999999998</v>
      </c>
      <c r="CH759" s="1">
        <v>1.1334</v>
      </c>
      <c r="CI759" s="1">
        <v>8.8907000000000007</v>
      </c>
      <c r="CL759" s="1425">
        <v>44147</v>
      </c>
      <c r="CM759" s="1">
        <v>24.7836</v>
      </c>
      <c r="CN759" s="1">
        <v>2.4197000000000002</v>
      </c>
      <c r="CO759" s="1">
        <v>10.3756</v>
      </c>
    </row>
    <row r="760" spans="1:93">
      <c r="A760" s="1425">
        <v>44126</v>
      </c>
      <c r="B760" s="20">
        <f t="shared" si="112"/>
        <v>9.9789999999999992</v>
      </c>
      <c r="C760" s="20">
        <f t="shared" si="114"/>
        <v>6.4535</v>
      </c>
      <c r="D760" s="20">
        <f t="shared" si="115"/>
        <v>10.668100000000001</v>
      </c>
      <c r="E760" s="20">
        <f t="shared" si="116"/>
        <v>10.673</v>
      </c>
      <c r="F760" s="20">
        <f t="shared" si="117"/>
        <v>20.985399999999998</v>
      </c>
      <c r="G760" s="20">
        <f t="shared" si="118"/>
        <v>12.690099999999999</v>
      </c>
      <c r="H760" s="1239">
        <f t="shared" si="119"/>
        <v>10.673</v>
      </c>
      <c r="I760" s="1243">
        <f t="shared" si="113"/>
        <v>-6.5023892064086986E-2</v>
      </c>
      <c r="J760" s="1243">
        <f t="shared" si="120"/>
        <v>0.12093838824177333</v>
      </c>
      <c r="K760" s="1243">
        <f t="shared" si="121"/>
        <v>0.1</v>
      </c>
      <c r="L760" s="203"/>
      <c r="N760" s="1425">
        <v>44126</v>
      </c>
      <c r="O760" s="1502">
        <v>9.9789999999999992</v>
      </c>
      <c r="P760" s="1502">
        <v>2.1255000000000002</v>
      </c>
      <c r="Q760" s="1502">
        <v>10.129300000000001</v>
      </c>
      <c r="R760" s="1233">
        <f>'B. PE'!$U$23</f>
        <v>15.978235616082999</v>
      </c>
      <c r="S760" s="1233"/>
      <c r="T760" s="1233"/>
      <c r="V760" s="1425">
        <v>44126</v>
      </c>
      <c r="W760" s="1">
        <v>6.4535</v>
      </c>
      <c r="X760" s="1">
        <v>0.5554</v>
      </c>
      <c r="Y760" s="1">
        <v>9.33</v>
      </c>
      <c r="Z760" s="1">
        <v>0.37763000000000002</v>
      </c>
      <c r="AB760" s="1425">
        <v>44097</v>
      </c>
      <c r="AC760" s="1">
        <v>16.445399999999999</v>
      </c>
      <c r="AD760" s="1502">
        <v>0.99419999999999997</v>
      </c>
      <c r="AE760" s="1">
        <v>5.8788999999999998</v>
      </c>
      <c r="AF760" s="1">
        <v>2.145E-2</v>
      </c>
      <c r="AH760" s="1425">
        <v>44097</v>
      </c>
      <c r="AI760" s="1">
        <v>10.929</v>
      </c>
      <c r="AJ760" s="1">
        <v>1.8129</v>
      </c>
      <c r="AK760" s="1">
        <v>4.6439000000000004</v>
      </c>
      <c r="AL760" s="1">
        <v>2.1989999999999999E-2</v>
      </c>
      <c r="AN760" s="1425">
        <v>44104</v>
      </c>
      <c r="AO760" s="1">
        <v>10.2605</v>
      </c>
      <c r="AP760" s="1">
        <v>1.0993999999999999</v>
      </c>
      <c r="AQ760" s="1">
        <v>6.5180999999999996</v>
      </c>
      <c r="AR760" s="1">
        <v>0.22991</v>
      </c>
      <c r="AT760" s="1425">
        <v>44104</v>
      </c>
      <c r="AU760" s="1">
        <v>6.6852</v>
      </c>
      <c r="AV760" s="1">
        <v>0.46110000000000001</v>
      </c>
      <c r="AW760" s="1">
        <v>4.9828000000000001</v>
      </c>
      <c r="AX760" s="1">
        <v>0.11496000000000001</v>
      </c>
      <c r="BA760" s="1425">
        <v>44090</v>
      </c>
      <c r="BB760" s="1">
        <v>9.4130000000000003</v>
      </c>
      <c r="BC760" s="1">
        <v>1.9306000000000001</v>
      </c>
      <c r="BD760" s="1">
        <v>8.4275000000000002</v>
      </c>
      <c r="BE760" s="1">
        <v>0.43787999999999999</v>
      </c>
      <c r="BG760" s="1425">
        <v>44090</v>
      </c>
      <c r="BH760" s="1">
        <v>21.934799999999999</v>
      </c>
      <c r="BI760" s="1">
        <v>3.5703999999999998</v>
      </c>
      <c r="BJ760" s="1">
        <v>23.596900000000002</v>
      </c>
      <c r="BT760" s="1425">
        <v>44126</v>
      </c>
      <c r="BU760" s="1">
        <v>12.741199999999999</v>
      </c>
      <c r="BV760" s="1">
        <v>3.2286999999999999</v>
      </c>
      <c r="BW760" s="1">
        <v>6.8369</v>
      </c>
      <c r="BX760" s="1">
        <v>1.5357000000000001</v>
      </c>
      <c r="BZ760" s="1425">
        <v>44126</v>
      </c>
      <c r="CB760" s="1">
        <v>1.5032000000000001</v>
      </c>
      <c r="CC760" s="1">
        <v>38.761800000000001</v>
      </c>
      <c r="CD760" s="1">
        <v>0.57765999999999995</v>
      </c>
      <c r="CF760" s="1425">
        <v>44125</v>
      </c>
      <c r="CG760" s="1">
        <v>7.5747</v>
      </c>
      <c r="CH760" s="1">
        <v>1.1171</v>
      </c>
      <c r="CI760" s="1">
        <v>8.8345000000000002</v>
      </c>
      <c r="CL760" s="1425">
        <v>44146</v>
      </c>
      <c r="CM760" s="1">
        <v>24.943200000000001</v>
      </c>
      <c r="CN760" s="1">
        <v>2.4352999999999998</v>
      </c>
      <c r="CO760" s="1">
        <v>10.4413</v>
      </c>
    </row>
    <row r="761" spans="1:93">
      <c r="A761" s="1425">
        <v>44125</v>
      </c>
      <c r="B761" s="20">
        <f t="shared" si="112"/>
        <v>9.9216999999999995</v>
      </c>
      <c r="C761" s="20">
        <f t="shared" si="114"/>
        <v>6.327</v>
      </c>
      <c r="D761" s="20">
        <f t="shared" si="115"/>
        <v>10.735200000000001</v>
      </c>
      <c r="E761" s="20">
        <f t="shared" si="116"/>
        <v>10.724600000000001</v>
      </c>
      <c r="F761" s="20">
        <f t="shared" si="117"/>
        <v>20.1403</v>
      </c>
      <c r="G761" s="20">
        <f t="shared" si="118"/>
        <v>13.866300000000001</v>
      </c>
      <c r="H761" s="1239">
        <f t="shared" si="119"/>
        <v>10.735200000000001</v>
      </c>
      <c r="I761" s="1243">
        <f t="shared" si="113"/>
        <v>-7.577874655339456E-2</v>
      </c>
      <c r="J761" s="1243">
        <f t="shared" si="120"/>
        <v>0.12093838824177333</v>
      </c>
      <c r="K761" s="1243">
        <f t="shared" si="121"/>
        <v>0.1</v>
      </c>
      <c r="L761" s="203"/>
      <c r="N761" s="1425">
        <v>44125</v>
      </c>
      <c r="O761" s="1502">
        <v>9.9216999999999995</v>
      </c>
      <c r="P761" s="1502">
        <v>2.1133000000000002</v>
      </c>
      <c r="Q761" s="1502">
        <v>10.077299999999999</v>
      </c>
      <c r="R761" s="1233">
        <f>'B. PE'!$U$23</f>
        <v>15.978235616082999</v>
      </c>
      <c r="S761" s="1233"/>
      <c r="T761" s="1233"/>
      <c r="V761" s="1425">
        <v>44125</v>
      </c>
      <c r="W761" s="1">
        <v>6.327</v>
      </c>
      <c r="X761" s="1">
        <v>0.54459999999999997</v>
      </c>
      <c r="Y761" s="1">
        <v>9.2426999999999992</v>
      </c>
      <c r="Z761" s="1">
        <v>0.37785999999999997</v>
      </c>
      <c r="AB761" s="1425">
        <v>44096</v>
      </c>
      <c r="AC761" s="1">
        <v>16.765799999999999</v>
      </c>
      <c r="AD761" s="1502">
        <v>1.0136000000000001</v>
      </c>
      <c r="AE761" s="1">
        <v>5.9795999999999996</v>
      </c>
      <c r="AF761" s="1">
        <v>2.247E-2</v>
      </c>
      <c r="AH761" s="1425">
        <v>44096</v>
      </c>
      <c r="AI761" s="1">
        <v>11.0992</v>
      </c>
      <c r="AJ761" s="1">
        <v>1.8411</v>
      </c>
      <c r="AK761" s="1">
        <v>4.7236000000000002</v>
      </c>
      <c r="AL761" s="1">
        <v>2.2950000000000002E-2</v>
      </c>
      <c r="AN761" s="1425">
        <v>44103</v>
      </c>
      <c r="AO761" s="1">
        <v>11.0961</v>
      </c>
      <c r="AP761" s="1">
        <v>1.1476999999999999</v>
      </c>
      <c r="AQ761" s="1">
        <v>5.3509000000000002</v>
      </c>
      <c r="AR761" s="1">
        <v>0.21815000000000001</v>
      </c>
      <c r="AT761" s="1425">
        <v>44103</v>
      </c>
      <c r="AU761" s="1">
        <v>7.8559999999999999</v>
      </c>
      <c r="AV761" s="1">
        <v>0.46679999999999999</v>
      </c>
      <c r="AW761" s="1">
        <v>5.9047999999999998</v>
      </c>
      <c r="BA761" s="1425">
        <v>44089</v>
      </c>
      <c r="BB761" s="1">
        <v>9.4130000000000003</v>
      </c>
      <c r="BC761" s="1">
        <v>1.9306000000000001</v>
      </c>
      <c r="BD761" s="1">
        <v>8.4275000000000002</v>
      </c>
      <c r="BE761" s="1">
        <v>0.44468999999999997</v>
      </c>
      <c r="BG761" s="1425">
        <v>44089</v>
      </c>
      <c r="BH761" s="1">
        <v>21.612200000000001</v>
      </c>
      <c r="BI761" s="1">
        <v>3.5179</v>
      </c>
      <c r="BJ761" s="1">
        <v>23.308800000000002</v>
      </c>
      <c r="BT761" s="1425">
        <v>44125</v>
      </c>
      <c r="BU761" s="1">
        <v>12.424099999999999</v>
      </c>
      <c r="BV761" s="1">
        <v>3.1482999999999999</v>
      </c>
      <c r="BW761" s="1">
        <v>6.6661000000000001</v>
      </c>
      <c r="BX761" s="1">
        <v>1.5366</v>
      </c>
      <c r="BZ761" s="1425">
        <v>44125</v>
      </c>
      <c r="CB761" s="1">
        <v>1.5</v>
      </c>
      <c r="CC761" s="1">
        <v>38.714799999999997</v>
      </c>
      <c r="CD761" s="1">
        <v>0.58552000000000004</v>
      </c>
      <c r="CF761" s="1425">
        <v>44124</v>
      </c>
      <c r="CG761" s="1">
        <v>6.9112999999999998</v>
      </c>
      <c r="CH761" s="1">
        <v>1.0193000000000001</v>
      </c>
      <c r="CI761" s="1">
        <v>8.4976000000000003</v>
      </c>
      <c r="CL761" s="1425">
        <v>44145</v>
      </c>
      <c r="CM761" s="1">
        <v>24.903300000000002</v>
      </c>
      <c r="CN761" s="1">
        <v>2.4314</v>
      </c>
      <c r="CO761" s="1">
        <v>10.424899999999999</v>
      </c>
    </row>
    <row r="762" spans="1:93">
      <c r="A762" s="1425">
        <v>44124</v>
      </c>
      <c r="B762" s="20">
        <f t="shared" si="112"/>
        <v>10.112500000000001</v>
      </c>
      <c r="C762" s="20">
        <f t="shared" si="114"/>
        <v>6.58</v>
      </c>
      <c r="D762" s="20">
        <f t="shared" si="115"/>
        <v>10.768700000000001</v>
      </c>
      <c r="E762" s="20">
        <f t="shared" si="116"/>
        <v>10.9824</v>
      </c>
      <c r="F762" s="20">
        <f t="shared" si="117"/>
        <v>20.422000000000001</v>
      </c>
      <c r="G762" s="20">
        <f t="shared" si="118"/>
        <v>11.6997</v>
      </c>
      <c r="H762" s="1239">
        <f t="shared" si="119"/>
        <v>10.9824</v>
      </c>
      <c r="I762" s="1243">
        <f t="shared" si="113"/>
        <v>-7.9208551864801802E-2</v>
      </c>
      <c r="J762" s="1243">
        <f t="shared" si="120"/>
        <v>0.12093838824177333</v>
      </c>
      <c r="K762" s="1243">
        <f t="shared" si="121"/>
        <v>0.1</v>
      </c>
      <c r="L762" s="203"/>
      <c r="N762" s="1425">
        <v>44124</v>
      </c>
      <c r="O762" s="1502">
        <v>10.112500000000001</v>
      </c>
      <c r="P762" s="1502">
        <v>2.1539000000000001</v>
      </c>
      <c r="Q762" s="1502">
        <v>10.2507</v>
      </c>
      <c r="R762" s="1233">
        <f>'B. PE'!$U$23</f>
        <v>15.978235616082999</v>
      </c>
      <c r="S762" s="1233"/>
      <c r="T762" s="1233"/>
      <c r="V762" s="1425">
        <v>44124</v>
      </c>
      <c r="W762" s="1">
        <v>6.58</v>
      </c>
      <c r="X762" s="1">
        <v>0.56630000000000003</v>
      </c>
      <c r="Y762" s="1">
        <v>9.4172999999999991</v>
      </c>
      <c r="Z762" s="1">
        <v>0.37786999999999998</v>
      </c>
      <c r="AB762" s="1425">
        <v>44095</v>
      </c>
      <c r="AC762" s="1">
        <v>16.979399999999998</v>
      </c>
      <c r="AD762" s="1502">
        <v>1.0265</v>
      </c>
      <c r="AE762" s="1">
        <v>6.0467000000000004</v>
      </c>
      <c r="AF762" s="1">
        <v>2.2599999999999999E-2</v>
      </c>
      <c r="AH762" s="1425">
        <v>44095</v>
      </c>
      <c r="AI762" s="1">
        <v>11.0992</v>
      </c>
      <c r="AJ762" s="1">
        <v>1.8411</v>
      </c>
      <c r="AK762" s="1">
        <v>4.7236000000000002</v>
      </c>
      <c r="AL762" s="1">
        <v>2.247E-2</v>
      </c>
      <c r="AN762" s="1425">
        <v>44102</v>
      </c>
      <c r="AO762" s="1">
        <v>10.4948</v>
      </c>
      <c r="AP762" s="1">
        <v>1.0854999999999999</v>
      </c>
      <c r="AQ762" s="1">
        <v>4.8573000000000004</v>
      </c>
      <c r="AR762" s="1">
        <v>0.21578</v>
      </c>
      <c r="AT762" s="1425">
        <v>44102</v>
      </c>
      <c r="AU762" s="1">
        <v>7.8559999999999999</v>
      </c>
      <c r="AV762" s="1">
        <v>0.46679999999999999</v>
      </c>
      <c r="AW762" s="1">
        <v>5.9047999999999998</v>
      </c>
      <c r="AX762" s="1">
        <v>0.12467</v>
      </c>
      <c r="BA762" s="1425">
        <v>44088</v>
      </c>
      <c r="BB762" s="1">
        <v>9.4130000000000003</v>
      </c>
      <c r="BC762" s="1">
        <v>1.9306000000000001</v>
      </c>
      <c r="BD762" s="1">
        <v>8.4275000000000002</v>
      </c>
      <c r="BE762" s="1">
        <v>0.45029000000000002</v>
      </c>
      <c r="BG762" s="1425">
        <v>44088</v>
      </c>
      <c r="BH762" s="1">
        <v>20.805800000000001</v>
      </c>
      <c r="BI762" s="1">
        <v>3.3866000000000001</v>
      </c>
      <c r="BJ762" s="1">
        <v>22.5884</v>
      </c>
      <c r="BT762" s="1425">
        <v>44124</v>
      </c>
      <c r="BU762" s="1">
        <v>12.541499999999999</v>
      </c>
      <c r="BV762" s="1">
        <v>3.1781000000000001</v>
      </c>
      <c r="BW762" s="1">
        <v>6.7294</v>
      </c>
      <c r="BX762" s="1">
        <v>1.5597000000000001</v>
      </c>
      <c r="BZ762" s="1425">
        <v>44124</v>
      </c>
      <c r="CB762" s="1">
        <v>1.5032000000000001</v>
      </c>
      <c r="CC762" s="1">
        <v>38.761800000000001</v>
      </c>
      <c r="CD762" s="1">
        <v>0.59055000000000002</v>
      </c>
      <c r="CF762" s="1425">
        <v>44123</v>
      </c>
      <c r="CG762" s="1">
        <v>6.8007</v>
      </c>
      <c r="CH762" s="1">
        <v>1.0029999999999999</v>
      </c>
      <c r="CI762" s="1">
        <v>8.4414999999999996</v>
      </c>
      <c r="CL762" s="1425">
        <v>44144</v>
      </c>
      <c r="CM762" s="1">
        <v>25.561800000000002</v>
      </c>
      <c r="CN762" s="1">
        <v>2.4956999999999998</v>
      </c>
      <c r="CO762" s="1">
        <v>10.696099999999999</v>
      </c>
    </row>
    <row r="763" spans="1:93">
      <c r="A763" s="1425">
        <v>44123</v>
      </c>
      <c r="B763" s="20">
        <f t="shared" si="112"/>
        <v>10.2079</v>
      </c>
      <c r="C763" s="20">
        <f t="shared" si="114"/>
        <v>6.58</v>
      </c>
      <c r="D763" s="20">
        <f t="shared" si="115"/>
        <v>10.802300000000001</v>
      </c>
      <c r="E763" s="20">
        <f t="shared" si="116"/>
        <v>11.188599999999999</v>
      </c>
      <c r="F763" s="20">
        <f t="shared" si="117"/>
        <v>20.281099999999999</v>
      </c>
      <c r="G763" s="20">
        <f t="shared" si="118"/>
        <v>11.4521</v>
      </c>
      <c r="H763" s="1239">
        <f t="shared" si="119"/>
        <v>11.188599999999999</v>
      </c>
      <c r="I763" s="1243">
        <f t="shared" si="113"/>
        <v>-8.765171692615692E-2</v>
      </c>
      <c r="J763" s="1243">
        <f t="shared" si="120"/>
        <v>0.12093838824177333</v>
      </c>
      <c r="K763" s="1243">
        <f t="shared" si="121"/>
        <v>0.1</v>
      </c>
      <c r="L763" s="203"/>
      <c r="N763" s="1425">
        <v>44123</v>
      </c>
      <c r="O763" s="1502">
        <v>10.2079</v>
      </c>
      <c r="P763" s="1502">
        <v>2.1743000000000001</v>
      </c>
      <c r="Q763" s="1502">
        <v>10.337400000000001</v>
      </c>
      <c r="R763" s="1233">
        <f>'B. PE'!$U$23</f>
        <v>15.978235616082999</v>
      </c>
      <c r="S763" s="1233"/>
      <c r="T763" s="1233"/>
      <c r="V763" s="1425">
        <v>44123</v>
      </c>
      <c r="W763" s="1">
        <v>6.58</v>
      </c>
      <c r="X763" s="1">
        <v>0.56630000000000003</v>
      </c>
      <c r="Y763" s="1">
        <v>9.4172999999999991</v>
      </c>
      <c r="Z763" s="1">
        <v>0.37239</v>
      </c>
      <c r="AB763" s="1425">
        <v>44092</v>
      </c>
      <c r="AC763" s="1">
        <v>17.620100000000001</v>
      </c>
      <c r="AD763" s="1502">
        <v>1.0651999999999999</v>
      </c>
      <c r="AE763" s="1">
        <v>6.2480000000000002</v>
      </c>
      <c r="AF763" s="1">
        <v>2.257E-2</v>
      </c>
      <c r="AH763" s="1425">
        <v>44092</v>
      </c>
      <c r="AI763" s="1">
        <v>11.473800000000001</v>
      </c>
      <c r="AJ763" s="1">
        <v>1.9032</v>
      </c>
      <c r="AK763" s="1">
        <v>4.8987999999999996</v>
      </c>
      <c r="AL763" s="1">
        <v>2.2499999999999999E-2</v>
      </c>
      <c r="AN763" s="1425">
        <v>44099</v>
      </c>
      <c r="AO763" s="1">
        <v>9.9481999999999999</v>
      </c>
      <c r="AP763" s="1">
        <v>1.0289999999999999</v>
      </c>
      <c r="AQ763" s="1">
        <v>4.4085999999999999</v>
      </c>
      <c r="AR763" s="1">
        <v>0.21440999999999999</v>
      </c>
      <c r="AT763" s="1425">
        <v>44099</v>
      </c>
      <c r="AW763" s="1">
        <v>6.2488999999999999</v>
      </c>
      <c r="AX763" s="1">
        <v>0.12526999999999999</v>
      </c>
      <c r="BA763" s="1425">
        <v>44085</v>
      </c>
      <c r="BB763" s="1">
        <v>9.5504999999999995</v>
      </c>
      <c r="BC763" s="1">
        <v>1.9588000000000001</v>
      </c>
      <c r="BD763" s="1">
        <v>8.5198999999999998</v>
      </c>
      <c r="BE763" s="1">
        <v>0.43495</v>
      </c>
      <c r="BG763" s="1425">
        <v>44085</v>
      </c>
      <c r="BH763" s="1">
        <v>20.967099999999999</v>
      </c>
      <c r="BI763" s="1">
        <v>3.4129</v>
      </c>
      <c r="BJ763" s="1">
        <v>22.732500000000002</v>
      </c>
      <c r="BT763" s="1425">
        <v>44123</v>
      </c>
      <c r="BU763" s="1">
        <v>12.541499999999999</v>
      </c>
      <c r="BV763" s="1">
        <v>3.1781000000000001</v>
      </c>
      <c r="BW763" s="1">
        <v>6.7294</v>
      </c>
      <c r="BX763" s="1">
        <v>1.5739000000000001</v>
      </c>
      <c r="BZ763" s="1425">
        <v>44123</v>
      </c>
      <c r="CB763" s="1">
        <v>1.5227999999999999</v>
      </c>
      <c r="CC763" s="1">
        <v>39.043999999999997</v>
      </c>
      <c r="CD763" s="1">
        <v>0.58299000000000001</v>
      </c>
      <c r="CF763" s="1425">
        <v>44120</v>
      </c>
      <c r="CG763" s="1">
        <v>6.6901000000000002</v>
      </c>
      <c r="CH763" s="1">
        <v>0.98670000000000002</v>
      </c>
      <c r="CI763" s="1">
        <v>8.3854000000000006</v>
      </c>
      <c r="CL763" s="1425">
        <v>44141</v>
      </c>
      <c r="CM763" s="1">
        <v>25.581700000000001</v>
      </c>
      <c r="CN763" s="1">
        <v>2.4975999999999998</v>
      </c>
      <c r="CO763" s="1">
        <v>10.7043</v>
      </c>
    </row>
    <row r="764" spans="1:93">
      <c r="A764" s="1425">
        <v>44120</v>
      </c>
      <c r="B764" s="20">
        <f t="shared" si="112"/>
        <v>10.2079</v>
      </c>
      <c r="C764" s="20">
        <f t="shared" si="114"/>
        <v>6.58</v>
      </c>
      <c r="D764" s="20">
        <f t="shared" si="115"/>
        <v>10.802300000000001</v>
      </c>
      <c r="E764" s="20">
        <f t="shared" si="116"/>
        <v>10.5183</v>
      </c>
      <c r="F764" s="20">
        <f t="shared" si="117"/>
        <v>20.985399999999998</v>
      </c>
      <c r="G764" s="20">
        <f t="shared" si="118"/>
        <v>11.885400000000001</v>
      </c>
      <c r="H764" s="1239">
        <f t="shared" si="119"/>
        <v>10.802300000000001</v>
      </c>
      <c r="I764" s="1243">
        <f t="shared" si="113"/>
        <v>-5.5025318682132562E-2</v>
      </c>
      <c r="J764" s="1243">
        <f t="shared" si="120"/>
        <v>0.12093838824177333</v>
      </c>
      <c r="K764" s="1243">
        <f t="shared" si="121"/>
        <v>0.1</v>
      </c>
      <c r="L764" s="203"/>
      <c r="N764" s="1425">
        <v>44120</v>
      </c>
      <c r="O764" s="1502">
        <v>10.2079</v>
      </c>
      <c r="P764" s="1502">
        <v>2.1743000000000001</v>
      </c>
      <c r="Q764" s="1502">
        <v>10.337400000000001</v>
      </c>
      <c r="R764" s="1233">
        <f>'B. PE'!$U$23</f>
        <v>15.978235616082999</v>
      </c>
      <c r="S764" s="1233"/>
      <c r="T764" s="1233"/>
      <c r="V764" s="1425">
        <v>44120</v>
      </c>
      <c r="W764" s="1">
        <v>6.58</v>
      </c>
      <c r="X764" s="1">
        <v>0.56630000000000003</v>
      </c>
      <c r="Y764" s="1">
        <v>9.4172999999999991</v>
      </c>
      <c r="Z764" s="1">
        <v>0.38496999999999998</v>
      </c>
      <c r="AB764" s="1425">
        <v>44091</v>
      </c>
      <c r="AC764" s="1">
        <v>17.8871</v>
      </c>
      <c r="AD764" s="1502">
        <v>1.0813999999999999</v>
      </c>
      <c r="AE764" s="1">
        <v>6.3319000000000001</v>
      </c>
      <c r="AF764" s="1">
        <v>2.2190000000000001E-2</v>
      </c>
      <c r="AH764" s="1425">
        <v>44091</v>
      </c>
      <c r="AI764" s="1">
        <v>11.3376</v>
      </c>
      <c r="AJ764" s="1">
        <v>1.8806</v>
      </c>
      <c r="AK764" s="1">
        <v>4.8350999999999997</v>
      </c>
      <c r="AL764" s="1">
        <v>2.2530000000000001E-2</v>
      </c>
      <c r="AN764" s="1425">
        <v>44098</v>
      </c>
      <c r="AO764" s="1">
        <v>9.8389000000000006</v>
      </c>
      <c r="AP764" s="1">
        <v>1.0177</v>
      </c>
      <c r="AQ764" s="1">
        <v>4.3188000000000004</v>
      </c>
      <c r="AR764" s="1">
        <v>0.22023000000000001</v>
      </c>
      <c r="AT764" s="1425">
        <v>44098</v>
      </c>
      <c r="AU764" s="1">
        <v>8.5106000000000002</v>
      </c>
      <c r="AV764" s="1">
        <v>0.50570000000000004</v>
      </c>
      <c r="AW764" s="1">
        <v>6.2488999999999999</v>
      </c>
      <c r="BA764" s="1425">
        <v>44084</v>
      </c>
      <c r="BB764" s="1">
        <v>9.6879000000000008</v>
      </c>
      <c r="BC764" s="1">
        <v>1.9870000000000001</v>
      </c>
      <c r="BD764" s="1">
        <v>8.6122999999999994</v>
      </c>
      <c r="BE764" s="1">
        <v>0.44294</v>
      </c>
      <c r="BG764" s="1425">
        <v>44084</v>
      </c>
      <c r="BH764" s="1">
        <v>21.612200000000001</v>
      </c>
      <c r="BI764" s="1">
        <v>3.5179</v>
      </c>
      <c r="BJ764" s="1">
        <v>23.308800000000002</v>
      </c>
      <c r="BT764" s="1425">
        <v>44120</v>
      </c>
      <c r="BU764" s="1">
        <v>12.7294</v>
      </c>
      <c r="BV764" s="1">
        <v>3.2256999999999998</v>
      </c>
      <c r="BW764" s="1">
        <v>6.8316999999999997</v>
      </c>
      <c r="BX764" s="1">
        <v>1.5676000000000001</v>
      </c>
      <c r="BZ764" s="1425">
        <v>44120</v>
      </c>
      <c r="CB764" s="1">
        <v>1.5358000000000001</v>
      </c>
      <c r="CC764" s="1">
        <v>39.232100000000003</v>
      </c>
      <c r="CD764" s="1">
        <v>0.59279000000000004</v>
      </c>
      <c r="CF764" s="1425">
        <v>44119</v>
      </c>
      <c r="CG764" s="1">
        <v>6.1372</v>
      </c>
      <c r="CH764" s="1">
        <v>0.90510000000000002</v>
      </c>
      <c r="CI764" s="1">
        <v>8.1045999999999996</v>
      </c>
      <c r="CL764" s="1425">
        <v>44140</v>
      </c>
      <c r="CM764" s="1">
        <v>25.8611</v>
      </c>
      <c r="CN764" s="1">
        <v>2.5249000000000001</v>
      </c>
      <c r="CO764" s="1">
        <v>10.8193</v>
      </c>
    </row>
    <row r="765" spans="1:93">
      <c r="A765" s="1425">
        <v>44119</v>
      </c>
      <c r="B765" s="20">
        <f t="shared" si="112"/>
        <v>10.093500000000001</v>
      </c>
      <c r="C765" s="20">
        <f t="shared" si="114"/>
        <v>6.4851000000000001</v>
      </c>
      <c r="D765" s="20">
        <f t="shared" si="115"/>
        <v>10.768700000000001</v>
      </c>
      <c r="E765" s="20">
        <f t="shared" si="116"/>
        <v>10.621499999999999</v>
      </c>
      <c r="F765" s="20">
        <f t="shared" si="117"/>
        <v>21.266999999999999</v>
      </c>
      <c r="G765" s="20">
        <f t="shared" si="118"/>
        <v>12.380599999999999</v>
      </c>
      <c r="H765" s="1239">
        <f t="shared" si="119"/>
        <v>10.768700000000001</v>
      </c>
      <c r="I765" s="1243">
        <f t="shared" si="113"/>
        <v>-6.2700233082916279E-2</v>
      </c>
      <c r="J765" s="1243">
        <f t="shared" si="120"/>
        <v>0.12093838824177333</v>
      </c>
      <c r="K765" s="1243">
        <f t="shared" si="121"/>
        <v>0.1</v>
      </c>
      <c r="L765" s="203"/>
      <c r="N765" s="1425">
        <v>44119</v>
      </c>
      <c r="O765" s="1502">
        <v>10.093500000000001</v>
      </c>
      <c r="P765" s="1502">
        <v>2.1499000000000001</v>
      </c>
      <c r="Q765" s="1502">
        <v>10.2334</v>
      </c>
      <c r="R765" s="1233">
        <f>'B. PE'!$U$23</f>
        <v>15.978235616082999</v>
      </c>
      <c r="S765" s="1233"/>
      <c r="T765" s="1233"/>
      <c r="V765" s="1425">
        <v>44119</v>
      </c>
      <c r="W765" s="1">
        <v>6.4851000000000001</v>
      </c>
      <c r="X765" s="1">
        <v>0.55820000000000003</v>
      </c>
      <c r="Y765" s="1">
        <v>9.3518000000000008</v>
      </c>
      <c r="Z765" s="1">
        <v>0.38873999999999997</v>
      </c>
      <c r="AB765" s="1425">
        <v>44090</v>
      </c>
      <c r="AC765" s="1">
        <v>17.8337</v>
      </c>
      <c r="AD765" s="1502">
        <v>1.0781000000000001</v>
      </c>
      <c r="AE765" s="1">
        <v>6.3151000000000002</v>
      </c>
      <c r="AF765" s="1">
        <v>2.172E-2</v>
      </c>
      <c r="AH765" s="1425">
        <v>44090</v>
      </c>
      <c r="AI765" s="1">
        <v>11.3376</v>
      </c>
      <c r="AJ765" s="1">
        <v>1.8806</v>
      </c>
      <c r="AK765" s="1">
        <v>4.8350999999999997</v>
      </c>
      <c r="AL765" s="1">
        <v>2.2190000000000001E-2</v>
      </c>
      <c r="AN765" s="1425">
        <v>44097</v>
      </c>
      <c r="AO765" s="1">
        <v>9.7295999999999996</v>
      </c>
      <c r="AP765" s="1">
        <v>1.0064</v>
      </c>
      <c r="AQ765" s="1">
        <v>4.2290999999999999</v>
      </c>
      <c r="AR765" s="1">
        <v>0.22559999999999999</v>
      </c>
      <c r="AT765" s="1425">
        <v>44097</v>
      </c>
      <c r="AU765" s="1">
        <v>8.5106000000000002</v>
      </c>
      <c r="AV765" s="1">
        <v>0.50570000000000004</v>
      </c>
      <c r="AW765" s="1">
        <v>6.2488999999999999</v>
      </c>
      <c r="BA765" s="1425">
        <v>44083</v>
      </c>
      <c r="BB765" s="1">
        <v>9.3443000000000005</v>
      </c>
      <c r="BC765" s="1">
        <v>1.9166000000000001</v>
      </c>
      <c r="BD765" s="1">
        <v>8.3812999999999995</v>
      </c>
      <c r="BE765" s="1">
        <v>0.45489000000000002</v>
      </c>
      <c r="BG765" s="1425">
        <v>44083</v>
      </c>
      <c r="BH765" s="1">
        <v>22.257400000000001</v>
      </c>
      <c r="BI765" s="1">
        <v>3.6229</v>
      </c>
      <c r="BJ765" s="1">
        <v>23.885100000000001</v>
      </c>
      <c r="BT765" s="1425">
        <v>44119</v>
      </c>
      <c r="BU765" s="1">
        <v>12.8469</v>
      </c>
      <c r="BV765" s="1">
        <v>3.2553999999999998</v>
      </c>
      <c r="BW765" s="1">
        <v>6.8948999999999998</v>
      </c>
      <c r="BX765" s="1">
        <v>1.5279</v>
      </c>
      <c r="BZ765" s="1425">
        <v>44119</v>
      </c>
      <c r="CB765" s="1">
        <v>1.5163</v>
      </c>
      <c r="CC765" s="1">
        <v>38.950000000000003</v>
      </c>
      <c r="CD765" s="1">
        <v>0.59799999999999998</v>
      </c>
      <c r="CF765" s="1425">
        <v>44118</v>
      </c>
      <c r="CG765" s="1">
        <v>6.0819000000000001</v>
      </c>
      <c r="CH765" s="1">
        <v>0.89700000000000002</v>
      </c>
      <c r="CI765" s="1">
        <v>8.0765999999999991</v>
      </c>
      <c r="CL765" s="1425">
        <v>44139</v>
      </c>
      <c r="CM765" s="1">
        <v>25.2026</v>
      </c>
      <c r="CN765" s="1">
        <v>2.4605999999999999</v>
      </c>
      <c r="CO765" s="1">
        <v>10.5482</v>
      </c>
    </row>
    <row r="766" spans="1:93">
      <c r="A766" s="1425">
        <v>44118</v>
      </c>
      <c r="B766" s="20">
        <f t="shared" si="112"/>
        <v>9.9598999999999993</v>
      </c>
      <c r="C766" s="20">
        <f t="shared" si="114"/>
        <v>6.7065999999999999</v>
      </c>
      <c r="D766" s="20">
        <f t="shared" si="115"/>
        <v>10.835800000000001</v>
      </c>
      <c r="E766" s="20">
        <f t="shared" si="116"/>
        <v>10.621499999999999</v>
      </c>
      <c r="F766" s="20">
        <f t="shared" si="117"/>
        <v>22.816299999999998</v>
      </c>
      <c r="G766" s="20">
        <f t="shared" si="118"/>
        <v>13.1235</v>
      </c>
      <c r="H766" s="1239">
        <f t="shared" si="119"/>
        <v>10.835800000000001</v>
      </c>
      <c r="I766" s="1243">
        <f t="shared" si="113"/>
        <v>-8.0833902434522709E-2</v>
      </c>
      <c r="J766" s="1243">
        <f t="shared" si="120"/>
        <v>0.12093838824177333</v>
      </c>
      <c r="K766" s="1243">
        <f t="shared" si="121"/>
        <v>0.1</v>
      </c>
      <c r="L766" s="203"/>
      <c r="N766" s="1425">
        <v>44118</v>
      </c>
      <c r="O766" s="1502">
        <v>9.9598999999999993</v>
      </c>
      <c r="P766" s="1502">
        <v>2.1214</v>
      </c>
      <c r="Q766" s="1502">
        <v>10.112</v>
      </c>
      <c r="R766" s="1233">
        <f>'B. PE'!$U$23</f>
        <v>15.978235616082999</v>
      </c>
      <c r="S766" s="1233"/>
      <c r="T766" s="1233"/>
      <c r="V766" s="1425">
        <v>44118</v>
      </c>
      <c r="W766" s="1">
        <v>6.7065999999999999</v>
      </c>
      <c r="X766" s="1">
        <v>0.57720000000000005</v>
      </c>
      <c r="Y766" s="1">
        <v>9.5045000000000002</v>
      </c>
      <c r="Z766" s="1">
        <v>0.37948999999999999</v>
      </c>
      <c r="AB766" s="1425">
        <v>44089</v>
      </c>
      <c r="AC766" s="1">
        <v>17.566700000000001</v>
      </c>
      <c r="AD766" s="1502">
        <v>1.0620000000000001</v>
      </c>
      <c r="AE766" s="1">
        <v>6.2312000000000003</v>
      </c>
      <c r="AF766" s="1">
        <v>2.1049999999999999E-2</v>
      </c>
      <c r="AH766" s="1425">
        <v>44089</v>
      </c>
      <c r="AI766" s="1">
        <v>11.371600000000001</v>
      </c>
      <c r="AJ766" s="1">
        <v>1.8863000000000001</v>
      </c>
      <c r="AK766" s="1">
        <v>4.851</v>
      </c>
      <c r="AL766" s="1">
        <v>2.172E-2</v>
      </c>
      <c r="AN766" s="1425">
        <v>44096</v>
      </c>
      <c r="AO766" s="1">
        <v>9.9481999999999999</v>
      </c>
      <c r="AP766" s="1">
        <v>1.0289999999999999</v>
      </c>
      <c r="AQ766" s="1">
        <v>4.4085999999999999</v>
      </c>
      <c r="AR766" s="1">
        <v>0.23089000000000001</v>
      </c>
      <c r="AT766" s="1425">
        <v>44096</v>
      </c>
      <c r="AW766" s="1">
        <v>5.9908999999999999</v>
      </c>
      <c r="AX766" s="1">
        <v>0.11909</v>
      </c>
      <c r="BA766" s="1425">
        <v>44082</v>
      </c>
      <c r="BB766" s="1">
        <v>9.5504999999999995</v>
      </c>
      <c r="BC766" s="1">
        <v>1.9588000000000001</v>
      </c>
      <c r="BD766" s="1">
        <v>8.5198999999999998</v>
      </c>
      <c r="BE766" s="1">
        <v>0.45987</v>
      </c>
      <c r="BG766" s="1425">
        <v>44082</v>
      </c>
      <c r="BH766" s="1">
        <v>21.773499999999999</v>
      </c>
      <c r="BI766" s="1">
        <v>3.5442</v>
      </c>
      <c r="BJ766" s="1">
        <v>23.4529</v>
      </c>
      <c r="BT766" s="1425">
        <v>44118</v>
      </c>
      <c r="BU766" s="1">
        <v>12.799899999999999</v>
      </c>
      <c r="BV766" s="1">
        <v>3.2435</v>
      </c>
      <c r="BW766" s="1">
        <v>6.8696000000000002</v>
      </c>
      <c r="BX766" s="1">
        <v>1.5459000000000001</v>
      </c>
      <c r="BZ766" s="1425">
        <v>44118</v>
      </c>
      <c r="CB766" s="1">
        <v>1.5423</v>
      </c>
      <c r="CC766" s="1">
        <v>39.3262</v>
      </c>
      <c r="CD766" s="1">
        <v>0.59023999999999999</v>
      </c>
      <c r="CF766" s="1425">
        <v>44117</v>
      </c>
      <c r="CG766" s="1">
        <v>5.9713000000000003</v>
      </c>
      <c r="CH766" s="1">
        <v>0.88070000000000004</v>
      </c>
      <c r="CI766" s="1">
        <v>8.0204000000000004</v>
      </c>
      <c r="CL766" s="1425">
        <v>44138</v>
      </c>
      <c r="CM766" s="1">
        <v>24.3446</v>
      </c>
      <c r="CN766" s="1">
        <v>2.3767999999999998</v>
      </c>
      <c r="CO766" s="1">
        <v>10.194800000000001</v>
      </c>
    </row>
    <row r="767" spans="1:93">
      <c r="A767" s="1425">
        <v>44117</v>
      </c>
      <c r="B767" s="20">
        <f t="shared" si="112"/>
        <v>10.093500000000001</v>
      </c>
      <c r="C767" s="20">
        <f t="shared" si="114"/>
        <v>6.7698</v>
      </c>
      <c r="D767" s="20">
        <f t="shared" si="115"/>
        <v>10.835800000000001</v>
      </c>
      <c r="E767" s="20">
        <f t="shared" si="116"/>
        <v>10.312099999999999</v>
      </c>
      <c r="F767" s="20">
        <f t="shared" si="117"/>
        <v>22.816299999999998</v>
      </c>
      <c r="G767" s="20">
        <f t="shared" si="118"/>
        <v>13.1235</v>
      </c>
      <c r="H767" s="1239">
        <f t="shared" si="119"/>
        <v>10.835800000000001</v>
      </c>
      <c r="I767" s="1243">
        <f t="shared" si="113"/>
        <v>-6.8504402074604509E-2</v>
      </c>
      <c r="J767" s="1243">
        <f t="shared" si="120"/>
        <v>0.12093838824177333</v>
      </c>
      <c r="K767" s="1243">
        <f t="shared" si="121"/>
        <v>0.1</v>
      </c>
      <c r="L767" s="203"/>
      <c r="N767" s="1425">
        <v>44117</v>
      </c>
      <c r="O767" s="1502">
        <v>10.093500000000001</v>
      </c>
      <c r="P767" s="1502">
        <v>2.1499000000000001</v>
      </c>
      <c r="Q767" s="1502">
        <v>10.2334</v>
      </c>
      <c r="R767" s="1233">
        <f>'B. PE'!$U$23</f>
        <v>15.978235616082999</v>
      </c>
      <c r="S767" s="1233"/>
      <c r="T767" s="1233"/>
      <c r="V767" s="1425">
        <v>44117</v>
      </c>
      <c r="W767" s="1">
        <v>6.7698</v>
      </c>
      <c r="X767" s="1">
        <v>0.5827</v>
      </c>
      <c r="Y767" s="1">
        <v>9.5481999999999996</v>
      </c>
      <c r="Z767" s="1">
        <v>0.39227000000000001</v>
      </c>
      <c r="AB767" s="1425">
        <v>44088</v>
      </c>
      <c r="AC767" s="1">
        <v>17.299700000000001</v>
      </c>
      <c r="AD767" s="1502">
        <v>1.0459000000000001</v>
      </c>
      <c r="AE767" s="1">
        <v>6.1473000000000004</v>
      </c>
      <c r="AF767" s="1">
        <v>2.0580000000000001E-2</v>
      </c>
      <c r="AH767" s="1425">
        <v>44088</v>
      </c>
      <c r="AI767" s="1">
        <v>11.269500000000001</v>
      </c>
      <c r="AJ767" s="1">
        <v>1.8693</v>
      </c>
      <c r="AK767" s="1">
        <v>4.8032000000000004</v>
      </c>
      <c r="AL767" s="1">
        <v>2.0709999999999999E-2</v>
      </c>
      <c r="AN767" s="1425">
        <v>44095</v>
      </c>
      <c r="AO767" s="1">
        <v>10.1669</v>
      </c>
      <c r="AP767" s="1">
        <v>1.0516000000000001</v>
      </c>
      <c r="AQ767" s="1">
        <v>4.5880999999999998</v>
      </c>
      <c r="AR767" s="1">
        <v>0.22466</v>
      </c>
      <c r="AT767" s="1425">
        <v>44095</v>
      </c>
      <c r="AW767" s="1">
        <v>5.9908999999999999</v>
      </c>
      <c r="AX767" s="1">
        <v>0.11837</v>
      </c>
      <c r="BA767" s="1425">
        <v>44077</v>
      </c>
      <c r="BB767" s="1">
        <v>9.8253000000000004</v>
      </c>
      <c r="BC767" s="1">
        <v>2.0152000000000001</v>
      </c>
      <c r="BD767" s="1">
        <v>8.7047000000000008</v>
      </c>
      <c r="BE767" s="1">
        <v>0.45223000000000002</v>
      </c>
      <c r="BG767" s="1425">
        <v>44077</v>
      </c>
      <c r="BH767" s="1">
        <v>21.934799999999999</v>
      </c>
      <c r="BI767" s="1">
        <v>3.5703999999999998</v>
      </c>
      <c r="BJ767" s="1">
        <v>23.596900000000002</v>
      </c>
      <c r="BT767" s="1425">
        <v>44117</v>
      </c>
      <c r="BU767" s="1">
        <v>12.4711</v>
      </c>
      <c r="BV767" s="1">
        <v>3.1602000000000001</v>
      </c>
      <c r="BW767" s="1">
        <v>6.6924999999999999</v>
      </c>
      <c r="BX767" s="1">
        <v>1.5678000000000001</v>
      </c>
      <c r="BZ767" s="1425">
        <v>44117</v>
      </c>
      <c r="CB767" s="1">
        <v>1.5552999999999999</v>
      </c>
      <c r="CC767" s="1">
        <v>39.514299999999999</v>
      </c>
      <c r="CD767" s="1">
        <v>0.61160000000000003</v>
      </c>
      <c r="CF767" s="1425">
        <v>44116</v>
      </c>
      <c r="CG767" s="1">
        <v>6.0266000000000002</v>
      </c>
      <c r="CH767" s="1">
        <v>0.88880000000000003</v>
      </c>
      <c r="CI767" s="1">
        <v>8.0485000000000007</v>
      </c>
      <c r="CL767" s="1425">
        <v>44137</v>
      </c>
      <c r="CM767" s="1">
        <v>23.9056</v>
      </c>
      <c r="CN767" s="1">
        <v>2.3340000000000001</v>
      </c>
      <c r="CO767" s="1">
        <v>10.014099999999999</v>
      </c>
    </row>
    <row r="768" spans="1:93">
      <c r="A768" s="1425">
        <v>44116</v>
      </c>
      <c r="B768" s="20">
        <f t="shared" si="112"/>
        <v>10.1889</v>
      </c>
      <c r="C768" s="20">
        <f t="shared" si="114"/>
        <v>6.6116999999999999</v>
      </c>
      <c r="D768" s="20">
        <f t="shared" si="115"/>
        <v>10.768700000000001</v>
      </c>
      <c r="E768" s="20">
        <f t="shared" si="116"/>
        <v>10.3637</v>
      </c>
      <c r="F768" s="20">
        <f t="shared" si="117"/>
        <v>22.957100000000001</v>
      </c>
      <c r="G768" s="20">
        <f t="shared" si="118"/>
        <v>13.3711</v>
      </c>
      <c r="H768" s="1239">
        <f t="shared" si="119"/>
        <v>10.768700000000001</v>
      </c>
      <c r="I768" s="1243">
        <f t="shared" si="113"/>
        <v>-5.3841225031805218E-2</v>
      </c>
      <c r="J768" s="1243">
        <f t="shared" si="120"/>
        <v>0.12093838824177333</v>
      </c>
      <c r="K768" s="1243">
        <f t="shared" si="121"/>
        <v>0.1</v>
      </c>
      <c r="L768" s="203"/>
      <c r="N768" s="1425">
        <v>44116</v>
      </c>
      <c r="O768" s="1502">
        <v>10.1889</v>
      </c>
      <c r="P768" s="1502">
        <v>2.1701999999999999</v>
      </c>
      <c r="Q768" s="1502">
        <v>10.3201</v>
      </c>
      <c r="R768" s="1233">
        <f>'B. PE'!$U$23</f>
        <v>15.978235616082999</v>
      </c>
      <c r="S768" s="1233"/>
      <c r="T768" s="1233"/>
      <c r="V768" s="1425">
        <v>44116</v>
      </c>
      <c r="W768" s="1">
        <v>6.6116999999999999</v>
      </c>
      <c r="X768" s="1">
        <v>0.56910000000000005</v>
      </c>
      <c r="Y768" s="1">
        <v>9.4390999999999998</v>
      </c>
      <c r="Z768" s="1">
        <v>0.39577000000000001</v>
      </c>
      <c r="AB768" s="1425">
        <v>44085</v>
      </c>
      <c r="AC768" s="1">
        <v>16.872599999999998</v>
      </c>
      <c r="AD768" s="1502">
        <v>1.02</v>
      </c>
      <c r="AE768" s="1">
        <v>6.0130999999999997</v>
      </c>
      <c r="AF768" s="1">
        <v>2.2409999999999999E-2</v>
      </c>
      <c r="AH768" s="1425">
        <v>44085</v>
      </c>
      <c r="AI768" s="1">
        <v>11.0992</v>
      </c>
      <c r="AJ768" s="1">
        <v>1.8411</v>
      </c>
      <c r="AK768" s="1">
        <v>4.7236000000000002</v>
      </c>
      <c r="AL768" s="1">
        <v>2.2540000000000001E-2</v>
      </c>
      <c r="AN768" s="1425">
        <v>44092</v>
      </c>
      <c r="AO768" s="1">
        <v>10.3855</v>
      </c>
      <c r="AP768" s="1">
        <v>1.0742</v>
      </c>
      <c r="AQ768" s="1">
        <v>4.7675000000000001</v>
      </c>
      <c r="AR768" s="1">
        <v>0.23726</v>
      </c>
      <c r="AT768" s="1425">
        <v>44092</v>
      </c>
      <c r="AU768" s="1">
        <v>8.0196000000000005</v>
      </c>
      <c r="AV768" s="1">
        <v>0.47649999999999998</v>
      </c>
      <c r="AW768" s="1">
        <v>5.9908999999999999</v>
      </c>
      <c r="BA768" s="1425">
        <v>44076</v>
      </c>
      <c r="BB768" s="1">
        <v>9.8940000000000001</v>
      </c>
      <c r="BC768" s="1">
        <v>2.0293000000000001</v>
      </c>
      <c r="BD768" s="1">
        <v>8.7508999999999997</v>
      </c>
      <c r="BE768" s="1">
        <v>0.46365000000000001</v>
      </c>
      <c r="BG768" s="1425">
        <v>44076</v>
      </c>
      <c r="BH768" s="1">
        <v>20.967099999999999</v>
      </c>
      <c r="BI768" s="1">
        <v>3.4129</v>
      </c>
      <c r="BJ768" s="1">
        <v>22.732500000000002</v>
      </c>
      <c r="BT768" s="1425">
        <v>44116</v>
      </c>
      <c r="BU768" s="1">
        <v>12.623699999999999</v>
      </c>
      <c r="BV768" s="1">
        <v>3.1989000000000001</v>
      </c>
      <c r="BW768" s="1">
        <v>6.7747000000000002</v>
      </c>
      <c r="BX768" s="1">
        <v>1.5744</v>
      </c>
      <c r="BZ768" s="1425">
        <v>44116</v>
      </c>
      <c r="CB768" s="1">
        <v>1.5358000000000001</v>
      </c>
      <c r="CC768" s="1">
        <v>39.232100000000003</v>
      </c>
      <c r="CD768" s="1">
        <v>0.61514000000000002</v>
      </c>
      <c r="CF768" s="1425">
        <v>44113</v>
      </c>
      <c r="CG768" s="1">
        <v>6.0819000000000001</v>
      </c>
      <c r="CH768" s="1">
        <v>0.89700000000000002</v>
      </c>
      <c r="CI768" s="1">
        <v>8.0765999999999991</v>
      </c>
      <c r="CL768" s="1425">
        <v>44134</v>
      </c>
      <c r="CM768" s="1">
        <v>23.546399999999998</v>
      </c>
      <c r="CN768" s="1">
        <v>2.2989000000000002</v>
      </c>
      <c r="CO768" s="1">
        <v>9.8661999999999992</v>
      </c>
    </row>
    <row r="769" spans="1:93">
      <c r="A769" s="1425">
        <v>44113</v>
      </c>
      <c r="B769" s="20">
        <f t="shared" si="112"/>
        <v>10.4178</v>
      </c>
      <c r="C769" s="20">
        <f t="shared" si="114"/>
        <v>6.8331</v>
      </c>
      <c r="D769" s="20">
        <f t="shared" si="115"/>
        <v>10.802300000000001</v>
      </c>
      <c r="E769" s="20">
        <f t="shared" si="116"/>
        <v>10.312099999999999</v>
      </c>
      <c r="F769" s="20">
        <f t="shared" si="117"/>
        <v>23.238800000000001</v>
      </c>
      <c r="G769" s="20">
        <f t="shared" si="118"/>
        <v>13.494899999999999</v>
      </c>
      <c r="H769" s="1239">
        <f t="shared" si="119"/>
        <v>10.802300000000001</v>
      </c>
      <c r="I769" s="1243">
        <f t="shared" si="113"/>
        <v>-3.559427159030959E-2</v>
      </c>
      <c r="J769" s="1243">
        <f t="shared" si="120"/>
        <v>0.12093838824177333</v>
      </c>
      <c r="K769" s="1243">
        <f t="shared" si="121"/>
        <v>0.1</v>
      </c>
      <c r="L769" s="203"/>
      <c r="N769" s="1425">
        <v>44113</v>
      </c>
      <c r="O769" s="1502">
        <v>10.4178</v>
      </c>
      <c r="P769" s="1502">
        <v>2.2189999999999999</v>
      </c>
      <c r="Q769" s="1502">
        <v>10.5281</v>
      </c>
      <c r="R769" s="1233">
        <f>'B. PE'!$U$23</f>
        <v>15.978235616082999</v>
      </c>
      <c r="S769" s="1233"/>
      <c r="T769" s="1233"/>
      <c r="V769" s="1425">
        <v>44113</v>
      </c>
      <c r="W769" s="1">
        <v>6.8331</v>
      </c>
      <c r="X769" s="1">
        <v>0.58809999999999996</v>
      </c>
      <c r="Y769" s="1">
        <v>9.5917999999999992</v>
      </c>
      <c r="Z769" s="1">
        <v>0.37922</v>
      </c>
      <c r="AB769" s="1425">
        <v>44084</v>
      </c>
      <c r="AC769" s="1">
        <v>16.498799999999999</v>
      </c>
      <c r="AD769" s="1502">
        <v>0.99739999999999995</v>
      </c>
      <c r="AE769" s="1">
        <v>5.8956999999999997</v>
      </c>
      <c r="AF769" s="1">
        <v>2.3109999999999999E-2</v>
      </c>
      <c r="AH769" s="1425">
        <v>44084</v>
      </c>
      <c r="AI769" s="1">
        <v>10.5885</v>
      </c>
      <c r="AJ769" s="1">
        <v>1.7564</v>
      </c>
      <c r="AK769" s="1">
        <v>4.4846000000000004</v>
      </c>
      <c r="AL769" s="1">
        <v>2.291E-2</v>
      </c>
      <c r="AN769" s="1425">
        <v>44091</v>
      </c>
      <c r="AO769" s="1">
        <v>10.1669</v>
      </c>
      <c r="AP769" s="1">
        <v>1.0516000000000001</v>
      </c>
      <c r="AQ769" s="1">
        <v>4.5880999999999998</v>
      </c>
      <c r="AR769" s="1">
        <v>0.23399</v>
      </c>
      <c r="AT769" s="1425">
        <v>44091</v>
      </c>
      <c r="AU769" s="1">
        <v>8.0196000000000005</v>
      </c>
      <c r="AV769" s="1">
        <v>0.47649999999999998</v>
      </c>
      <c r="AW769" s="1">
        <v>5.9908999999999999</v>
      </c>
      <c r="AX769" s="1">
        <v>0.11337999999999999</v>
      </c>
      <c r="BA769" s="1425">
        <v>44075</v>
      </c>
      <c r="BB769" s="1">
        <v>9.6879000000000008</v>
      </c>
      <c r="BC769" s="1">
        <v>1.9870000000000001</v>
      </c>
      <c r="BD769" s="1">
        <v>8.6122999999999994</v>
      </c>
      <c r="BE769" s="1">
        <v>0.46629999999999999</v>
      </c>
      <c r="BG769" s="1425">
        <v>44075</v>
      </c>
      <c r="BH769" s="1">
        <v>20.160699999999999</v>
      </c>
      <c r="BI769" s="1">
        <v>3.2816000000000001</v>
      </c>
      <c r="BJ769" s="1">
        <v>22.0122</v>
      </c>
      <c r="BT769" s="1425">
        <v>44113</v>
      </c>
      <c r="BU769" s="1">
        <v>12.799899999999999</v>
      </c>
      <c r="BV769" s="1">
        <v>3.2435</v>
      </c>
      <c r="BW769" s="1">
        <v>6.8696000000000002</v>
      </c>
      <c r="BX769" s="1">
        <v>1.5462</v>
      </c>
      <c r="BZ769" s="1425">
        <v>44113</v>
      </c>
      <c r="CB769" s="1">
        <v>1.5911</v>
      </c>
      <c r="CC769" s="1">
        <v>40.031599999999997</v>
      </c>
      <c r="CD769" s="1">
        <v>0.62604000000000004</v>
      </c>
      <c r="CF769" s="1425">
        <v>44112</v>
      </c>
      <c r="CG769" s="1">
        <v>6.0266000000000002</v>
      </c>
      <c r="CH769" s="1">
        <v>0.88880000000000003</v>
      </c>
      <c r="CI769" s="1">
        <v>8.0485000000000007</v>
      </c>
      <c r="CL769" s="1425">
        <v>44133</v>
      </c>
      <c r="CM769" s="1">
        <v>24.085100000000001</v>
      </c>
      <c r="CN769" s="1">
        <v>2.3515000000000001</v>
      </c>
      <c r="CO769" s="1">
        <v>10.087999999999999</v>
      </c>
    </row>
    <row r="770" spans="1:93">
      <c r="A770" s="1425">
        <v>44112</v>
      </c>
      <c r="B770" s="20">
        <f t="shared" si="112"/>
        <v>10.475099999999999</v>
      </c>
      <c r="C770" s="20">
        <f t="shared" si="114"/>
        <v>6.8963999999999999</v>
      </c>
      <c r="D770" s="20">
        <f t="shared" si="115"/>
        <v>10.768700000000001</v>
      </c>
      <c r="E770" s="20">
        <f t="shared" si="116"/>
        <v>10.4152</v>
      </c>
      <c r="F770" s="20">
        <f t="shared" si="117"/>
        <v>23.943000000000001</v>
      </c>
      <c r="G770" s="20">
        <f t="shared" si="118"/>
        <v>13.9901</v>
      </c>
      <c r="H770" s="1239">
        <f t="shared" si="119"/>
        <v>10.768700000000001</v>
      </c>
      <c r="I770" s="1243">
        <f t="shared" si="113"/>
        <v>-2.7264200878472034E-2</v>
      </c>
      <c r="J770" s="1243">
        <f t="shared" si="120"/>
        <v>0.12093838824177333</v>
      </c>
      <c r="K770" s="1243">
        <f t="shared" si="121"/>
        <v>0.1</v>
      </c>
      <c r="L770" s="203"/>
      <c r="N770" s="1425">
        <v>44112</v>
      </c>
      <c r="O770" s="1502">
        <v>10.475099999999999</v>
      </c>
      <c r="P770" s="1502">
        <v>2.2311999999999999</v>
      </c>
      <c r="Q770" s="1502">
        <v>10.5802</v>
      </c>
      <c r="R770" s="1233">
        <f>'B. PE'!$U$23</f>
        <v>15.978235616082999</v>
      </c>
      <c r="S770" s="1233"/>
      <c r="T770" s="1233"/>
      <c r="V770" s="1425">
        <v>44112</v>
      </c>
      <c r="W770" s="1">
        <v>6.8963999999999999</v>
      </c>
      <c r="X770" s="1">
        <v>0.59360000000000002</v>
      </c>
      <c r="Y770" s="1">
        <v>9.6354000000000006</v>
      </c>
      <c r="Z770" s="1">
        <v>0.35438999999999998</v>
      </c>
      <c r="AB770" s="1425">
        <v>44083</v>
      </c>
      <c r="AC770" s="1">
        <v>17.726900000000001</v>
      </c>
      <c r="AD770" s="1502">
        <v>1.0717000000000001</v>
      </c>
      <c r="AE770" s="1">
        <v>6.2816000000000001</v>
      </c>
      <c r="AF770" s="1">
        <v>2.308E-2</v>
      </c>
      <c r="AH770" s="1425">
        <v>44083</v>
      </c>
      <c r="AI770" s="1">
        <v>11.371600000000001</v>
      </c>
      <c r="AJ770" s="1">
        <v>1.8863000000000001</v>
      </c>
      <c r="AK770" s="1">
        <v>4.851</v>
      </c>
      <c r="AL770" s="1">
        <v>2.2950000000000002E-2</v>
      </c>
      <c r="AN770" s="1425">
        <v>44089</v>
      </c>
      <c r="AO770" s="1">
        <v>10.7135</v>
      </c>
      <c r="AP770" s="1">
        <v>1.1082000000000001</v>
      </c>
      <c r="AQ770" s="1">
        <v>5.0368000000000004</v>
      </c>
      <c r="AR770" s="1">
        <v>0.2215</v>
      </c>
      <c r="AT770" s="1425">
        <v>44089</v>
      </c>
      <c r="AW770" s="1">
        <v>5.8188000000000004</v>
      </c>
      <c r="BA770" s="1425">
        <v>44074</v>
      </c>
      <c r="BB770" s="1">
        <v>9.8940000000000001</v>
      </c>
      <c r="BC770" s="1">
        <v>2.0293000000000001</v>
      </c>
      <c r="BD770" s="1">
        <v>8.7508999999999997</v>
      </c>
      <c r="BE770" s="1">
        <v>0.45995000000000003</v>
      </c>
      <c r="BG770" s="1425">
        <v>44074</v>
      </c>
      <c r="BH770" s="1">
        <v>20.4832</v>
      </c>
      <c r="BI770" s="1">
        <v>3.3340999999999998</v>
      </c>
      <c r="BJ770" s="1">
        <v>22.3003</v>
      </c>
      <c r="BT770" s="1425">
        <v>44112</v>
      </c>
      <c r="BU770" s="1">
        <v>12.858599999999999</v>
      </c>
      <c r="BV770" s="1">
        <v>3.2584</v>
      </c>
      <c r="BW770" s="1">
        <v>6.9012000000000002</v>
      </c>
      <c r="BX770" s="1">
        <v>1.5111000000000001</v>
      </c>
      <c r="BZ770" s="1425">
        <v>44112</v>
      </c>
      <c r="CB770" s="1">
        <v>1.6009</v>
      </c>
      <c r="CC770" s="1">
        <v>40.172699999999999</v>
      </c>
      <c r="CD770" s="1">
        <v>0.61079000000000006</v>
      </c>
      <c r="CF770" s="1425">
        <v>44111</v>
      </c>
      <c r="CG770" s="1">
        <v>6.0819000000000001</v>
      </c>
      <c r="CH770" s="1">
        <v>0.89700000000000002</v>
      </c>
      <c r="CI770" s="1">
        <v>8.0765999999999991</v>
      </c>
      <c r="CL770" s="1425">
        <v>44132</v>
      </c>
      <c r="CM770" s="1">
        <v>23.725999999999999</v>
      </c>
      <c r="CN770" s="1">
        <v>2.3163999999999998</v>
      </c>
      <c r="CO770" s="1">
        <v>9.9400999999999993</v>
      </c>
    </row>
    <row r="771" spans="1:93">
      <c r="A771" s="1425">
        <v>44111</v>
      </c>
      <c r="B771" s="20">
        <f t="shared" si="112"/>
        <v>10.475099999999999</v>
      </c>
      <c r="C771" s="20">
        <f t="shared" si="114"/>
        <v>6.6116999999999999</v>
      </c>
      <c r="D771" s="20">
        <f t="shared" si="115"/>
        <v>10.735200000000001</v>
      </c>
      <c r="E771" s="20">
        <f t="shared" si="116"/>
        <v>10.466799999999999</v>
      </c>
      <c r="F771" s="20">
        <f t="shared" si="117"/>
        <v>21.9712</v>
      </c>
      <c r="G771" s="20">
        <f t="shared" si="118"/>
        <v>12.6282</v>
      </c>
      <c r="H771" s="1239">
        <f t="shared" si="119"/>
        <v>10.735200000000001</v>
      </c>
      <c r="I771" s="1243">
        <f t="shared" si="113"/>
        <v>-2.4228705566733844E-2</v>
      </c>
      <c r="J771" s="1243">
        <f t="shared" si="120"/>
        <v>0.12093838824177333</v>
      </c>
      <c r="K771" s="1243">
        <f t="shared" si="121"/>
        <v>0.1</v>
      </c>
      <c r="L771" s="203"/>
      <c r="N771" s="1425">
        <v>44111</v>
      </c>
      <c r="O771" s="1502">
        <v>10.475099999999999</v>
      </c>
      <c r="P771" s="1502">
        <v>2.2311999999999999</v>
      </c>
      <c r="Q771" s="1502">
        <v>10.5802</v>
      </c>
      <c r="R771" s="1233">
        <f>'B. PE'!$U$23</f>
        <v>15.978235616082999</v>
      </c>
      <c r="S771" s="1233"/>
      <c r="T771" s="1233"/>
      <c r="V771" s="1425">
        <v>44111</v>
      </c>
      <c r="W771" s="1">
        <v>6.6116999999999999</v>
      </c>
      <c r="X771" s="1">
        <v>0.56910000000000005</v>
      </c>
      <c r="Y771" s="1">
        <v>9.4390999999999998</v>
      </c>
      <c r="Z771" s="1">
        <v>0.35493000000000002</v>
      </c>
      <c r="AB771" s="1425">
        <v>44082</v>
      </c>
      <c r="AC771" s="1">
        <v>18.3142</v>
      </c>
      <c r="AD771" s="1502">
        <v>1.1072</v>
      </c>
      <c r="AE771" s="1">
        <v>6.4661</v>
      </c>
      <c r="AF771" s="1">
        <v>2.2849999999999999E-2</v>
      </c>
      <c r="AH771" s="1425">
        <v>44082</v>
      </c>
      <c r="AI771" s="1">
        <v>11.575900000000001</v>
      </c>
      <c r="AJ771" s="1">
        <v>1.9201999999999999</v>
      </c>
      <c r="AK771" s="1">
        <v>4.9466000000000001</v>
      </c>
      <c r="AL771" s="1">
        <v>2.3050000000000001E-2</v>
      </c>
      <c r="AN771" s="1425">
        <v>44088</v>
      </c>
      <c r="AO771" s="1">
        <v>10.604200000000001</v>
      </c>
      <c r="AP771" s="1">
        <v>1.0968</v>
      </c>
      <c r="AQ771" s="1">
        <v>4.9470000000000001</v>
      </c>
      <c r="AR771" s="1">
        <v>0.21017</v>
      </c>
      <c r="AT771" s="1425">
        <v>44088</v>
      </c>
      <c r="AU771" s="1">
        <v>7.6923000000000004</v>
      </c>
      <c r="AV771" s="1">
        <v>0.45710000000000001</v>
      </c>
      <c r="AW771" s="1">
        <v>5.8188000000000004</v>
      </c>
      <c r="AX771" s="1">
        <v>0.11289</v>
      </c>
      <c r="BA771" s="1425">
        <v>44071</v>
      </c>
      <c r="BB771" s="1">
        <v>9.9626999999999999</v>
      </c>
      <c r="BC771" s="1">
        <v>2.0434000000000001</v>
      </c>
      <c r="BD771" s="1">
        <v>8.7971000000000004</v>
      </c>
      <c r="BE771" s="1">
        <v>0.45738000000000001</v>
      </c>
      <c r="BG771" s="1425">
        <v>44071</v>
      </c>
      <c r="BH771" s="1">
        <v>20.321999999999999</v>
      </c>
      <c r="BI771" s="1">
        <v>3.3079000000000001</v>
      </c>
      <c r="BJ771" s="1">
        <v>22.156199999999998</v>
      </c>
      <c r="BT771" s="1425">
        <v>44111</v>
      </c>
      <c r="BU771" s="1">
        <v>12.6355</v>
      </c>
      <c r="BV771" s="1">
        <v>3.2019000000000002</v>
      </c>
      <c r="BW771" s="1">
        <v>6.7811000000000003</v>
      </c>
      <c r="BX771" s="1">
        <v>1.4945999999999999</v>
      </c>
      <c r="BZ771" s="1425">
        <v>44111</v>
      </c>
      <c r="CB771" s="1">
        <v>1.6301000000000001</v>
      </c>
      <c r="CC771" s="1">
        <v>40.5959</v>
      </c>
      <c r="CD771" s="1">
        <v>0.60109999999999997</v>
      </c>
      <c r="CF771" s="1425">
        <v>44110</v>
      </c>
      <c r="CG771" s="1">
        <v>5.8608000000000002</v>
      </c>
      <c r="CH771" s="1">
        <v>0.86439999999999995</v>
      </c>
      <c r="CI771" s="1">
        <v>7.9642999999999997</v>
      </c>
      <c r="CL771" s="1425">
        <v>44131</v>
      </c>
      <c r="CM771" s="1">
        <v>24.3446</v>
      </c>
      <c r="CN771" s="1">
        <v>2.3767999999999998</v>
      </c>
      <c r="CO771" s="1">
        <v>10.194800000000001</v>
      </c>
    </row>
    <row r="772" spans="1:93">
      <c r="A772" s="1425">
        <v>44110</v>
      </c>
      <c r="B772" s="20">
        <f t="shared" si="112"/>
        <v>10.2652</v>
      </c>
      <c r="C772" s="20">
        <f t="shared" si="114"/>
        <v>6.1814</v>
      </c>
      <c r="D772" s="20">
        <f t="shared" si="115"/>
        <v>10.735200000000001</v>
      </c>
      <c r="E772" s="20">
        <f t="shared" si="116"/>
        <v>10.2605</v>
      </c>
      <c r="F772" s="20">
        <f t="shared" si="117"/>
        <v>20.422000000000001</v>
      </c>
      <c r="G772" s="20">
        <f t="shared" si="118"/>
        <v>11.6378</v>
      </c>
      <c r="H772" s="1239">
        <f t="shared" si="119"/>
        <v>10.735200000000001</v>
      </c>
      <c r="I772" s="1243">
        <f t="shared" si="113"/>
        <v>-4.3781205753036789E-2</v>
      </c>
      <c r="J772" s="1243">
        <f t="shared" si="120"/>
        <v>0.12093838824177333</v>
      </c>
      <c r="K772" s="1243">
        <f t="shared" si="121"/>
        <v>0.1</v>
      </c>
      <c r="L772" s="203"/>
      <c r="N772" s="1425">
        <v>44110</v>
      </c>
      <c r="O772" s="1502">
        <v>10.2652</v>
      </c>
      <c r="P772" s="1502">
        <v>2.1865000000000001</v>
      </c>
      <c r="Q772" s="1502">
        <v>10.3894</v>
      </c>
      <c r="R772" s="1233">
        <f>'B. PE'!$U$23</f>
        <v>15.978235616082999</v>
      </c>
      <c r="S772" s="1233"/>
      <c r="T772" s="1233"/>
      <c r="V772" s="1425">
        <v>44110</v>
      </c>
      <c r="W772" s="1">
        <v>6.1814</v>
      </c>
      <c r="X772" s="1">
        <v>0.53200000000000003</v>
      </c>
      <c r="Y772" s="1">
        <v>9.1424000000000003</v>
      </c>
      <c r="Z772" s="1">
        <v>0.35041</v>
      </c>
      <c r="AB772" s="1425">
        <v>44081</v>
      </c>
      <c r="AC772" s="1">
        <v>18.2074</v>
      </c>
      <c r="AD772" s="1502">
        <v>1.1007</v>
      </c>
      <c r="AE772" s="1">
        <v>6.4325999999999999</v>
      </c>
      <c r="AF772" s="1">
        <v>2.2620000000000001E-2</v>
      </c>
      <c r="AH772" s="1425">
        <v>44081</v>
      </c>
      <c r="AI772" s="1">
        <v>11.5419</v>
      </c>
      <c r="AJ772" s="1">
        <v>1.9145000000000001</v>
      </c>
      <c r="AK772" s="1">
        <v>4.9306999999999999</v>
      </c>
      <c r="AL772" s="1">
        <v>2.3019999999999999E-2</v>
      </c>
      <c r="AN772" s="1425">
        <v>44085</v>
      </c>
      <c r="AO772" s="1">
        <v>10.057600000000001</v>
      </c>
      <c r="AP772" s="1">
        <v>1.0403</v>
      </c>
      <c r="AQ772" s="1">
        <v>4.4983000000000004</v>
      </c>
      <c r="AR772" s="1">
        <v>0.23013</v>
      </c>
      <c r="AT772" s="1425">
        <v>44085</v>
      </c>
      <c r="AW772" s="1">
        <v>5.8188000000000004</v>
      </c>
      <c r="BA772" s="1425">
        <v>44070</v>
      </c>
      <c r="BB772" s="1">
        <v>9.8940000000000001</v>
      </c>
      <c r="BC772" s="1">
        <v>2.0293000000000001</v>
      </c>
      <c r="BD772" s="1">
        <v>8.7508999999999997</v>
      </c>
      <c r="BE772" s="1">
        <v>0.46747</v>
      </c>
      <c r="BG772" s="1425">
        <v>44070</v>
      </c>
      <c r="BH772" s="1">
        <v>20.805800000000001</v>
      </c>
      <c r="BI772" s="1">
        <v>3.3866000000000001</v>
      </c>
      <c r="BJ772" s="1">
        <v>22.5884</v>
      </c>
      <c r="BT772" s="1425">
        <v>44110</v>
      </c>
      <c r="BU772" s="1">
        <v>12.3536</v>
      </c>
      <c r="BV772" s="1">
        <v>3.1305000000000001</v>
      </c>
      <c r="BW772" s="1">
        <v>6.6292999999999997</v>
      </c>
      <c r="BX772" s="1">
        <v>1.4955000000000001</v>
      </c>
      <c r="BZ772" s="1425">
        <v>44110</v>
      </c>
      <c r="CB772" s="1">
        <v>1.5911</v>
      </c>
      <c r="CC772" s="1">
        <v>40.031599999999997</v>
      </c>
      <c r="CD772" s="1">
        <v>0.60268999999999995</v>
      </c>
      <c r="CF772" s="1425">
        <v>44109</v>
      </c>
      <c r="CG772" s="1">
        <v>5.7502000000000004</v>
      </c>
      <c r="CH772" s="1">
        <v>0.84799999999999998</v>
      </c>
      <c r="CI772" s="1">
        <v>7.9081000000000001</v>
      </c>
      <c r="CL772" s="1425">
        <v>44130</v>
      </c>
      <c r="CM772" s="1">
        <v>24.284700000000001</v>
      </c>
      <c r="CN772" s="1">
        <v>2.371</v>
      </c>
      <c r="CO772" s="1">
        <v>10.170199999999999</v>
      </c>
    </row>
    <row r="773" spans="1:93">
      <c r="A773" s="1425">
        <v>44109</v>
      </c>
      <c r="B773" s="20">
        <f t="shared" ref="B773:B837" si="122">O773</f>
        <v>10.2843</v>
      </c>
      <c r="C773" s="20">
        <f t="shared" si="114"/>
        <v>6.1878000000000002</v>
      </c>
      <c r="D773" s="20">
        <f t="shared" si="115"/>
        <v>10.768700000000001</v>
      </c>
      <c r="E773" s="20">
        <f t="shared" si="116"/>
        <v>9.8995999999999995</v>
      </c>
      <c r="F773" s="20">
        <f t="shared" si="117"/>
        <v>19.999500000000001</v>
      </c>
      <c r="G773" s="20">
        <f t="shared" si="118"/>
        <v>11.3902</v>
      </c>
      <c r="H773" s="1239">
        <f t="shared" si="119"/>
        <v>10.768700000000001</v>
      </c>
      <c r="I773" s="1243">
        <f t="shared" ref="I773:I837" si="123">B773/H773-1</f>
        <v>-4.4982216980694156E-2</v>
      </c>
      <c r="J773" s="1243">
        <f t="shared" si="120"/>
        <v>0.12093838824177333</v>
      </c>
      <c r="K773" s="1243">
        <f t="shared" si="121"/>
        <v>0.1</v>
      </c>
      <c r="L773" s="203"/>
      <c r="N773" s="1425">
        <v>44109</v>
      </c>
      <c r="O773" s="1502">
        <v>10.2843</v>
      </c>
      <c r="P773" s="1502">
        <v>2.1905000000000001</v>
      </c>
      <c r="Q773" s="1502">
        <v>10.4068</v>
      </c>
      <c r="R773" s="1233">
        <f>'B. PE'!$U$23</f>
        <v>15.978235616082999</v>
      </c>
      <c r="S773" s="1233"/>
      <c r="T773" s="1233"/>
      <c r="V773" s="1425">
        <v>44109</v>
      </c>
      <c r="W773" s="1">
        <v>6.1878000000000002</v>
      </c>
      <c r="X773" s="1">
        <v>0.53259999999999996</v>
      </c>
      <c r="Y773" s="1">
        <v>9.1466999999999992</v>
      </c>
      <c r="Z773" s="1">
        <v>0.35807</v>
      </c>
      <c r="AB773" s="1425">
        <v>44078</v>
      </c>
      <c r="AC773" s="1">
        <v>17.9939</v>
      </c>
      <c r="AD773" s="1502">
        <v>1.0878000000000001</v>
      </c>
      <c r="AE773" s="1">
        <v>6.3654999999999999</v>
      </c>
      <c r="AF773" s="1">
        <v>2.2749999999999999E-2</v>
      </c>
      <c r="AH773" s="1425">
        <v>44078</v>
      </c>
      <c r="AI773" s="1">
        <v>11.575900000000001</v>
      </c>
      <c r="AJ773" s="1">
        <v>1.9201999999999999</v>
      </c>
      <c r="AK773" s="1">
        <v>4.9466000000000001</v>
      </c>
      <c r="AL773" s="1">
        <v>2.1940000000000001E-2</v>
      </c>
      <c r="AN773" s="1425">
        <v>44084</v>
      </c>
      <c r="AO773" s="1">
        <v>9.5655999999999999</v>
      </c>
      <c r="AP773" s="1">
        <v>0.98939999999999995</v>
      </c>
      <c r="AQ773" s="1">
        <v>4.0945</v>
      </c>
      <c r="AR773" s="1">
        <v>0.24475</v>
      </c>
      <c r="AT773" s="1425">
        <v>44084</v>
      </c>
      <c r="AU773" s="1">
        <v>7.6923000000000004</v>
      </c>
      <c r="AV773" s="1">
        <v>0.45710000000000001</v>
      </c>
      <c r="AW773" s="1">
        <v>5.8188000000000004</v>
      </c>
      <c r="AX773" s="1">
        <v>0.11998</v>
      </c>
      <c r="BA773" s="1425">
        <v>44069</v>
      </c>
      <c r="BB773" s="1">
        <v>9.8253000000000004</v>
      </c>
      <c r="BC773" s="1">
        <v>2.0152000000000001</v>
      </c>
      <c r="BD773" s="1">
        <v>8.7047000000000008</v>
      </c>
      <c r="BE773" s="1">
        <v>0.42867</v>
      </c>
      <c r="BG773" s="1425">
        <v>44069</v>
      </c>
      <c r="BH773" s="1">
        <v>20.967099999999999</v>
      </c>
      <c r="BI773" s="1">
        <v>3.4129</v>
      </c>
      <c r="BJ773" s="1">
        <v>22.732500000000002</v>
      </c>
      <c r="BT773" s="1425">
        <v>44109</v>
      </c>
      <c r="BU773" s="1">
        <v>12.2127</v>
      </c>
      <c r="BV773" s="1">
        <v>3.0948000000000002</v>
      </c>
      <c r="BW773" s="1">
        <v>6.5533999999999999</v>
      </c>
      <c r="BX773" s="1">
        <v>1.51</v>
      </c>
      <c r="BZ773" s="1425">
        <v>44109</v>
      </c>
      <c r="CB773" s="1">
        <v>1.5650999999999999</v>
      </c>
      <c r="CC773" s="1">
        <v>39.6554</v>
      </c>
      <c r="CD773" s="1">
        <v>0.60524999999999995</v>
      </c>
      <c r="CF773" s="1425">
        <v>44106</v>
      </c>
      <c r="CG773" s="1">
        <v>5.7502000000000004</v>
      </c>
      <c r="CH773" s="1">
        <v>0.84799999999999998</v>
      </c>
      <c r="CI773" s="1">
        <v>7.9081000000000001</v>
      </c>
      <c r="CL773" s="1425">
        <v>44127</v>
      </c>
      <c r="CM773" s="1">
        <v>24.3645</v>
      </c>
      <c r="CN773" s="1">
        <v>2.3788</v>
      </c>
      <c r="CO773" s="1">
        <v>10.203099999999999</v>
      </c>
    </row>
    <row r="774" spans="1:93">
      <c r="A774" s="1425">
        <v>44106</v>
      </c>
      <c r="B774" s="20">
        <f t="shared" si="122"/>
        <v>10.2843</v>
      </c>
      <c r="C774" s="20">
        <f t="shared" ref="C774:C838" si="124">IF(W774=0,W773,W774)</f>
        <v>6.1055000000000001</v>
      </c>
      <c r="D774" s="20">
        <f t="shared" si="115"/>
        <v>10.668100000000001</v>
      </c>
      <c r="E774" s="20">
        <f t="shared" si="116"/>
        <v>9.8995999999999995</v>
      </c>
      <c r="F774" s="20">
        <f t="shared" si="117"/>
        <v>19.858599999999999</v>
      </c>
      <c r="G774" s="20">
        <f t="shared" si="118"/>
        <v>11.3283</v>
      </c>
      <c r="H774" s="1239">
        <f t="shared" ref="H774:H838" si="125">MEDIAN(C774:G774)</f>
        <v>10.668100000000001</v>
      </c>
      <c r="I774" s="1243">
        <f t="shared" si="123"/>
        <v>-3.5976415669144557E-2</v>
      </c>
      <c r="J774" s="1243">
        <f t="shared" ref="J774:J838" si="126">$I$3</f>
        <v>0.12093838824177333</v>
      </c>
      <c r="K774" s="1243">
        <f t="shared" si="121"/>
        <v>0.1</v>
      </c>
      <c r="L774" s="203"/>
      <c r="N774" s="1425">
        <v>44106</v>
      </c>
      <c r="O774" s="1502">
        <v>10.2843</v>
      </c>
      <c r="P774" s="1502">
        <v>2.1905000000000001</v>
      </c>
      <c r="Q774" s="1502">
        <v>10.4068</v>
      </c>
      <c r="R774" s="1233">
        <f>'B. PE'!$U$23</f>
        <v>15.978235616082999</v>
      </c>
      <c r="S774" s="1233"/>
      <c r="T774" s="1233"/>
      <c r="V774" s="1425">
        <v>44106</v>
      </c>
      <c r="W774" s="1">
        <v>6.1055000000000001</v>
      </c>
      <c r="X774" s="1">
        <v>0.52549999999999997</v>
      </c>
      <c r="Y774" s="1">
        <v>9.09</v>
      </c>
      <c r="Z774" s="1">
        <v>0.35291</v>
      </c>
      <c r="AB774" s="1425">
        <v>44077</v>
      </c>
      <c r="AC774" s="1">
        <v>17.8871</v>
      </c>
      <c r="AD774" s="1502">
        <v>1.0813999999999999</v>
      </c>
      <c r="AE774" s="1">
        <v>6.3319000000000001</v>
      </c>
      <c r="AF774" s="1">
        <v>2.3E-2</v>
      </c>
      <c r="AH774" s="1425">
        <v>44077</v>
      </c>
      <c r="AI774" s="1">
        <v>11.6099</v>
      </c>
      <c r="AJ774" s="1">
        <v>1.9258</v>
      </c>
      <c r="AK774" s="1">
        <v>4.9626000000000001</v>
      </c>
      <c r="AL774" s="1">
        <v>2.171E-2</v>
      </c>
      <c r="AN774" s="1425">
        <v>44083</v>
      </c>
      <c r="AO774" s="1">
        <v>10.4948</v>
      </c>
      <c r="AP774" s="1">
        <v>1.0854999999999999</v>
      </c>
      <c r="AQ774" s="1">
        <v>4.8573000000000004</v>
      </c>
      <c r="AR774" s="1">
        <v>0.25496000000000002</v>
      </c>
      <c r="AT774" s="1425">
        <v>44083</v>
      </c>
      <c r="AW774" s="1">
        <v>6.0769000000000002</v>
      </c>
      <c r="AX774" s="1">
        <v>0.12146999999999999</v>
      </c>
      <c r="BA774" s="1425">
        <v>44068</v>
      </c>
      <c r="BB774" s="1">
        <v>10.100099999999999</v>
      </c>
      <c r="BC774" s="1">
        <v>2.0716000000000001</v>
      </c>
      <c r="BD774" s="1">
        <v>8.8895</v>
      </c>
      <c r="BE774" s="1">
        <v>0.40845999999999999</v>
      </c>
      <c r="BG774" s="1425">
        <v>44068</v>
      </c>
      <c r="BH774" s="1">
        <v>21.128399999999999</v>
      </c>
      <c r="BI774" s="1">
        <v>3.4390999999999998</v>
      </c>
      <c r="BJ774" s="1">
        <v>22.8766</v>
      </c>
      <c r="BT774" s="1425">
        <v>44106</v>
      </c>
      <c r="BU774" s="1">
        <v>12.2127</v>
      </c>
      <c r="BV774" s="1">
        <v>3.0948000000000002</v>
      </c>
      <c r="BW774" s="1">
        <v>6.5533999999999999</v>
      </c>
      <c r="BX774" s="1">
        <v>1.4996</v>
      </c>
      <c r="BZ774" s="1425">
        <v>44106</v>
      </c>
      <c r="CB774" s="1">
        <v>1.5683</v>
      </c>
      <c r="CC774" s="1">
        <v>39.702399999999997</v>
      </c>
      <c r="CD774" s="1">
        <v>0.60011000000000003</v>
      </c>
      <c r="CF774" s="1425">
        <v>44105</v>
      </c>
      <c r="CG774" s="1">
        <v>5.8055000000000003</v>
      </c>
      <c r="CH774" s="1">
        <v>0.85619999999999996</v>
      </c>
      <c r="CI774" s="1">
        <v>7.9362000000000004</v>
      </c>
      <c r="CL774" s="1425">
        <v>44126</v>
      </c>
      <c r="CM774" s="1">
        <v>24.603999999999999</v>
      </c>
      <c r="CN774" s="1">
        <v>2.4020999999999999</v>
      </c>
      <c r="CO774" s="1">
        <v>10.3017</v>
      </c>
    </row>
    <row r="775" spans="1:93">
      <c r="A775" s="1425">
        <v>44105</v>
      </c>
      <c r="B775" s="20">
        <f t="shared" si="122"/>
        <v>10.3987</v>
      </c>
      <c r="C775" s="20">
        <f t="shared" si="124"/>
        <v>6.2384000000000004</v>
      </c>
      <c r="D775" s="20">
        <f t="shared" si="115"/>
        <v>10.802300000000001</v>
      </c>
      <c r="E775" s="20">
        <f t="shared" si="116"/>
        <v>10.1059</v>
      </c>
      <c r="F775" s="20">
        <f t="shared" si="117"/>
        <v>19.295300000000001</v>
      </c>
      <c r="G775" s="20">
        <f t="shared" si="118"/>
        <v>10.3378</v>
      </c>
      <c r="H775" s="1239">
        <f t="shared" si="125"/>
        <v>10.3378</v>
      </c>
      <c r="I775" s="1243">
        <f t="shared" si="123"/>
        <v>5.8910019539941683E-3</v>
      </c>
      <c r="J775" s="1243">
        <f t="shared" si="126"/>
        <v>0.12093838824177333</v>
      </c>
      <c r="K775" s="1243">
        <f t="shared" ref="K775:K839" si="127">K774</f>
        <v>0.1</v>
      </c>
      <c r="L775" s="203"/>
      <c r="N775" s="1425">
        <v>44105</v>
      </c>
      <c r="O775" s="1502">
        <v>10.3987</v>
      </c>
      <c r="P775" s="1502">
        <v>2.2149000000000001</v>
      </c>
      <c r="Q775" s="1502">
        <v>10.5108</v>
      </c>
      <c r="R775" s="1233">
        <f>'B. PE'!$U$23</f>
        <v>15.978235616082999</v>
      </c>
      <c r="S775" s="1233"/>
      <c r="T775" s="1233"/>
      <c r="V775" s="1425">
        <v>44105</v>
      </c>
      <c r="W775" s="1">
        <v>6.2384000000000004</v>
      </c>
      <c r="X775" s="1">
        <v>0.53690000000000004</v>
      </c>
      <c r="Y775" s="1">
        <v>9.1815999999999995</v>
      </c>
      <c r="Z775" s="1">
        <v>0.35228999999999999</v>
      </c>
      <c r="AB775" s="1425">
        <v>44076</v>
      </c>
      <c r="AC775" s="1">
        <v>18.0473</v>
      </c>
      <c r="AD775" s="1502">
        <v>1.0911</v>
      </c>
      <c r="AE775" s="1">
        <v>6.3822999999999999</v>
      </c>
      <c r="AF775" s="1">
        <v>2.3550000000000001E-2</v>
      </c>
      <c r="AH775" s="1425">
        <v>44076</v>
      </c>
      <c r="AI775" s="1">
        <v>11.0992</v>
      </c>
      <c r="AJ775" s="1">
        <v>1.8411</v>
      </c>
      <c r="AK775" s="1">
        <v>4.7236000000000002</v>
      </c>
      <c r="AL775" s="1">
        <v>2.1909999999999999E-2</v>
      </c>
      <c r="AN775" s="1425">
        <v>44082</v>
      </c>
      <c r="AO775" s="1">
        <v>11.1508</v>
      </c>
      <c r="AP775" s="1">
        <v>1.1534</v>
      </c>
      <c r="AQ775" s="1">
        <v>5.3956999999999997</v>
      </c>
      <c r="AR775" s="1">
        <v>0.25813999999999998</v>
      </c>
      <c r="AT775" s="1425">
        <v>44082</v>
      </c>
      <c r="AU775" s="1">
        <v>8.1832999999999991</v>
      </c>
      <c r="AV775" s="1">
        <v>0.48630000000000001</v>
      </c>
      <c r="AW775" s="1">
        <v>6.0769000000000002</v>
      </c>
      <c r="BA775" s="1425">
        <v>44067</v>
      </c>
      <c r="BB775" s="1">
        <v>9.2756000000000007</v>
      </c>
      <c r="BC775" s="1">
        <v>1.9025000000000001</v>
      </c>
      <c r="BD775" s="1">
        <v>8.3351000000000006</v>
      </c>
      <c r="BE775" s="1">
        <v>0.40400999999999998</v>
      </c>
      <c r="BG775" s="1425">
        <v>44067</v>
      </c>
      <c r="BH775" s="1">
        <v>21.128399999999999</v>
      </c>
      <c r="BI775" s="1">
        <v>3.4390999999999998</v>
      </c>
      <c r="BJ775" s="1">
        <v>22.8766</v>
      </c>
      <c r="BT775" s="1425">
        <v>44105</v>
      </c>
      <c r="BU775" s="1">
        <v>12.3302</v>
      </c>
      <c r="BV775" s="1">
        <v>3.1244999999999998</v>
      </c>
      <c r="BW775" s="1">
        <v>6.6166</v>
      </c>
      <c r="BX775" s="1">
        <v>1.4884999999999999</v>
      </c>
      <c r="BZ775" s="1425">
        <v>44105</v>
      </c>
      <c r="CB775" s="1">
        <v>1.5748</v>
      </c>
      <c r="CC775" s="1">
        <v>39.796500000000002</v>
      </c>
      <c r="CD775" s="1">
        <v>0.59528999999999999</v>
      </c>
      <c r="CF775" s="1425">
        <v>44104</v>
      </c>
      <c r="CG775" s="1">
        <v>5.6948999999999996</v>
      </c>
      <c r="CH775" s="1">
        <v>0.83989999999999998</v>
      </c>
      <c r="CI775" s="1">
        <v>7.8800999999999997</v>
      </c>
      <c r="CL775" s="1425">
        <v>44125</v>
      </c>
      <c r="CM775" s="1">
        <v>24.065200000000001</v>
      </c>
      <c r="CN775" s="1">
        <v>2.3494999999999999</v>
      </c>
      <c r="CO775" s="1">
        <v>10.079800000000001</v>
      </c>
    </row>
    <row r="776" spans="1:93" s="198" customFormat="1">
      <c r="A776" s="1051"/>
      <c r="B776" s="1052"/>
      <c r="C776" s="1052"/>
      <c r="D776" s="1052"/>
      <c r="E776" s="1052"/>
      <c r="F776" s="1052"/>
      <c r="G776" s="1052"/>
      <c r="H776" s="1047"/>
      <c r="I776" s="1048"/>
      <c r="J776" s="1048"/>
      <c r="K776" s="1048"/>
      <c r="L776" s="1048"/>
      <c r="N776" s="1051"/>
      <c r="O776" s="1053"/>
      <c r="P776" s="1053"/>
      <c r="Q776" s="1053"/>
      <c r="R776" s="1054"/>
      <c r="S776" s="1054"/>
      <c r="T776" s="1054"/>
      <c r="V776" s="1051"/>
      <c r="AB776" s="1051"/>
      <c r="AD776" s="1053"/>
      <c r="AH776" s="1051"/>
      <c r="AN776" s="1051"/>
      <c r="AT776" s="1051"/>
      <c r="BA776" s="1051"/>
      <c r="BG776" s="1051"/>
      <c r="BT776" s="1051"/>
      <c r="BZ776" s="1051"/>
      <c r="CF776" s="1051"/>
      <c r="CL776" s="1051"/>
    </row>
    <row r="777" spans="1:93" s="198" customFormat="1">
      <c r="A777" s="1051">
        <v>44104</v>
      </c>
      <c r="B777" s="1052">
        <f t="shared" si="122"/>
        <v>10.3987</v>
      </c>
      <c r="C777" s="1052">
        <f>IF(W777=0,W775,W777)</f>
        <v>6.1497999999999999</v>
      </c>
      <c r="D777" s="1052">
        <f>IFERROR(          IF(VLOOKUP(A777,$AH$5:$AI$1301,2,)=0,D775,VLOOKUP(A777,$AH$5:$AI$1301,2,)),D775)</f>
        <v>10.802300000000001</v>
      </c>
      <c r="E777" s="1052">
        <f>IFERROR(IF(VLOOKUP(A777,$AN$5:$AO$1301,2,)=0, E775, VLOOKUP(A777,$AN$5:$AO$1301,2,)),E775)</f>
        <v>10.2605</v>
      </c>
      <c r="F777" s="1052">
        <f>IFERROR(IF(VLOOKUP(A777,$BG$5:$BH$1301,2,)=0,F775,VLOOKUP(A777,$BG$5:$BH$1301,2,)),F775)</f>
        <v>18.7319</v>
      </c>
      <c r="G777" s="1052">
        <f>IFERROR(IF(VLOOKUP(A777,$BA$5:$BB$1301,2,)=0,G775,VLOOKUP(A777,$BA$5:$BB$1301,2,)),G775)</f>
        <v>10.214</v>
      </c>
      <c r="H777" s="1047">
        <f t="shared" si="125"/>
        <v>10.2605</v>
      </c>
      <c r="I777" s="1048">
        <f t="shared" si="123"/>
        <v>1.3469129184737527E-2</v>
      </c>
      <c r="J777" s="1048">
        <f t="shared" si="126"/>
        <v>0.12093838824177333</v>
      </c>
      <c r="K777" s="1048">
        <f>K775</f>
        <v>0.1</v>
      </c>
      <c r="L777" s="1048"/>
      <c r="N777" s="1051">
        <v>44104</v>
      </c>
      <c r="O777" s="1053">
        <v>10.3987</v>
      </c>
      <c r="P777" s="1053">
        <v>2.2149000000000001</v>
      </c>
      <c r="Q777" s="1053">
        <v>10.5108</v>
      </c>
      <c r="R777" s="1054">
        <f>'B. PE'!$U$23</f>
        <v>15.978235616082999</v>
      </c>
      <c r="S777" s="1054"/>
      <c r="T777" s="1054"/>
      <c r="V777" s="1051">
        <v>44104</v>
      </c>
      <c r="W777" s="198">
        <v>6.1497999999999999</v>
      </c>
      <c r="X777" s="198">
        <v>0.52929999999999999</v>
      </c>
      <c r="Y777" s="198">
        <v>9.1205999999999996</v>
      </c>
      <c r="Z777" s="198">
        <v>0.35804999999999998</v>
      </c>
      <c r="AB777" s="1051">
        <v>44075</v>
      </c>
      <c r="AC777" s="198">
        <v>18.1007</v>
      </c>
      <c r="AD777" s="1053">
        <v>1.0943000000000001</v>
      </c>
      <c r="AE777" s="198">
        <v>6.399</v>
      </c>
      <c r="AF777" s="198">
        <v>2.4209999999999999E-2</v>
      </c>
      <c r="AH777" s="1051">
        <v>44075</v>
      </c>
      <c r="AI777" s="198">
        <v>10.895</v>
      </c>
      <c r="AJ777" s="198">
        <v>1.8071999999999999</v>
      </c>
      <c r="AK777" s="198">
        <v>4.6280000000000001</v>
      </c>
      <c r="AL777" s="198">
        <v>2.2210000000000001E-2</v>
      </c>
      <c r="AN777" s="1051">
        <v>44081</v>
      </c>
      <c r="AO777" s="198">
        <v>11.588100000000001</v>
      </c>
      <c r="AP777" s="198">
        <v>1.1986000000000001</v>
      </c>
      <c r="AQ777" s="198">
        <v>5.7546999999999997</v>
      </c>
      <c r="AR777" s="198">
        <v>0.25557999999999997</v>
      </c>
      <c r="AT777" s="1051">
        <v>44081</v>
      </c>
      <c r="AU777" s="198">
        <v>8.2651000000000003</v>
      </c>
      <c r="AV777" s="198">
        <v>0.49109999999999998</v>
      </c>
      <c r="AW777" s="198">
        <v>6.1199000000000003</v>
      </c>
      <c r="BA777" s="1051">
        <v>44064</v>
      </c>
      <c r="BB777" s="198">
        <v>8.8634000000000004</v>
      </c>
      <c r="BC777" s="198">
        <v>1.8179000000000001</v>
      </c>
      <c r="BD777" s="198">
        <v>8.0579999999999998</v>
      </c>
      <c r="BE777" s="198">
        <v>0.39983000000000002</v>
      </c>
      <c r="BG777" s="1051">
        <v>44064</v>
      </c>
      <c r="BH777" s="198">
        <v>20.321999999999999</v>
      </c>
      <c r="BI777" s="198">
        <v>3.3079000000000001</v>
      </c>
      <c r="BJ777" s="198">
        <v>22.156199999999998</v>
      </c>
      <c r="BT777" s="1051">
        <v>44104</v>
      </c>
      <c r="BU777" s="198">
        <v>12.247999999999999</v>
      </c>
      <c r="BV777" s="198">
        <v>3.1036999999999999</v>
      </c>
      <c r="BW777" s="198">
        <v>6.5723000000000003</v>
      </c>
      <c r="BX777" s="198">
        <v>1.4812000000000001</v>
      </c>
      <c r="BZ777" s="1051">
        <v>44104</v>
      </c>
      <c r="CB777" s="198">
        <v>1.5618000000000001</v>
      </c>
      <c r="CC777" s="198">
        <v>39.6083</v>
      </c>
      <c r="CD777" s="198">
        <v>0.60897000000000001</v>
      </c>
      <c r="CF777" s="1051">
        <v>44103</v>
      </c>
      <c r="CG777" s="198">
        <v>6.2657999999999996</v>
      </c>
      <c r="CH777" s="198">
        <v>0.93600000000000005</v>
      </c>
      <c r="CI777" s="198">
        <v>14.705299999999999</v>
      </c>
      <c r="CL777" s="1051">
        <v>44124</v>
      </c>
      <c r="CM777" s="198">
        <v>24.444299999999998</v>
      </c>
      <c r="CN777" s="198">
        <v>2.3866000000000001</v>
      </c>
      <c r="CO777" s="198">
        <v>10.235900000000001</v>
      </c>
    </row>
    <row r="778" spans="1:93" s="198" customFormat="1">
      <c r="A778" s="1051">
        <v>44103</v>
      </c>
      <c r="B778" s="1052">
        <f t="shared" si="122"/>
        <v>11.415900000000001</v>
      </c>
      <c r="C778" s="1052">
        <f t="shared" si="124"/>
        <v>7.7527999999999997</v>
      </c>
      <c r="D778" s="1052">
        <f t="shared" ref="D778:D841" si="128">IFERROR(          IF(VLOOKUP(A778,$AH$5:$AI$1301,2,)=0,D777,VLOOKUP(A778,$AH$5:$AI$1301,2,)),D777)</f>
        <v>10.963100000000001</v>
      </c>
      <c r="E778" s="1052">
        <f t="shared" ref="E778:E841" si="129">IFERROR(IF(VLOOKUP(A778,$AN$5:$AO$1301,2,)=0, E777, VLOOKUP(A778,$AN$5:$AO$1301,2,)),E777)</f>
        <v>11.0961</v>
      </c>
      <c r="F778" s="1052">
        <f t="shared" ref="F778:F841" si="130">IFERROR(IF(VLOOKUP(A778,$BG$5:$BH$1301,2,)=0,F777,VLOOKUP(A778,$BG$5:$BH$1301,2,)),F777)</f>
        <v>21.2897</v>
      </c>
      <c r="G778" s="1052">
        <f t="shared" ref="G778:G841" si="131">IFERROR(IF(VLOOKUP(A778,$BA$5:$BB$1301,2,)=0,G777,VLOOKUP(A778,$BA$5:$BB$1301,2,)),G777)</f>
        <v>11.4056</v>
      </c>
      <c r="H778" s="1047">
        <f t="shared" si="125"/>
        <v>11.0961</v>
      </c>
      <c r="I778" s="1048">
        <f t="shared" si="123"/>
        <v>2.8820937086003307E-2</v>
      </c>
      <c r="J778" s="1048">
        <f t="shared" si="126"/>
        <v>0.12093838824177333</v>
      </c>
      <c r="K778" s="1048">
        <f t="shared" si="127"/>
        <v>0.1</v>
      </c>
      <c r="L778" s="1048"/>
      <c r="N778" s="1051">
        <v>44103</v>
      </c>
      <c r="O778" s="1053">
        <v>11.415900000000001</v>
      </c>
      <c r="P778" s="1053">
        <v>2.2658</v>
      </c>
      <c r="Q778" s="1053">
        <v>11.5852</v>
      </c>
      <c r="R778" s="1054">
        <f>'B. PE'!$U$23</f>
        <v>15.978235616082999</v>
      </c>
      <c r="S778" s="1054"/>
      <c r="T778" s="1054"/>
      <c r="V778" s="1051">
        <v>44103</v>
      </c>
      <c r="W778" s="198">
        <v>7.7527999999999997</v>
      </c>
      <c r="X778" s="198">
        <v>0.54730000000000001</v>
      </c>
      <c r="Y778" s="198">
        <v>14.812799999999999</v>
      </c>
      <c r="Z778" s="198">
        <v>0.35108</v>
      </c>
      <c r="AB778" s="1051">
        <v>44074</v>
      </c>
      <c r="AC778" s="198">
        <v>18.367599999999999</v>
      </c>
      <c r="AD778" s="1053">
        <v>1.1104000000000001</v>
      </c>
      <c r="AE778" s="198">
        <v>6.4828999999999999</v>
      </c>
      <c r="AF778" s="198">
        <v>2.3029999999999998E-2</v>
      </c>
      <c r="AH778" s="1051">
        <v>44074</v>
      </c>
      <c r="AI778" s="198">
        <v>10.895</v>
      </c>
      <c r="AJ778" s="198">
        <v>1.8071999999999999</v>
      </c>
      <c r="AK778" s="198">
        <v>4.6280000000000001</v>
      </c>
      <c r="AL778" s="198">
        <v>2.1600000000000001E-2</v>
      </c>
      <c r="AN778" s="1051">
        <v>44078</v>
      </c>
      <c r="AO778" s="198">
        <v>11.6974</v>
      </c>
      <c r="AP778" s="198">
        <v>1.2099</v>
      </c>
      <c r="AQ778" s="198">
        <v>5.8444000000000003</v>
      </c>
      <c r="AR778" s="198">
        <v>0.26427</v>
      </c>
      <c r="AT778" s="1051">
        <v>44078</v>
      </c>
      <c r="AW778" s="198">
        <v>6.0769000000000002</v>
      </c>
      <c r="AX778" s="198">
        <v>0.12067</v>
      </c>
      <c r="BA778" s="1051">
        <v>44063</v>
      </c>
      <c r="BB778" s="198">
        <v>8.7260000000000009</v>
      </c>
      <c r="BC778" s="198">
        <v>1.7897000000000001</v>
      </c>
      <c r="BD778" s="198">
        <v>7.9656000000000002</v>
      </c>
      <c r="BE778" s="198">
        <v>0.40755000000000002</v>
      </c>
      <c r="BG778" s="1051">
        <v>44063</v>
      </c>
      <c r="BH778" s="198">
        <v>18.386500000000002</v>
      </c>
      <c r="BI778" s="198">
        <v>2.9927999999999999</v>
      </c>
      <c r="BJ778" s="198">
        <v>20.427399999999999</v>
      </c>
      <c r="BT778" s="1051">
        <v>44103</v>
      </c>
      <c r="BU778" s="198">
        <v>12.3996</v>
      </c>
      <c r="BV778" s="198">
        <v>3.2856000000000001</v>
      </c>
      <c r="BW778" s="198">
        <v>6.9393000000000002</v>
      </c>
      <c r="BX778" s="198">
        <v>1.4449000000000001</v>
      </c>
      <c r="BZ778" s="1051">
        <v>44103</v>
      </c>
      <c r="CA778" s="198">
        <v>26.5063</v>
      </c>
      <c r="CB778" s="198">
        <v>1.4539</v>
      </c>
      <c r="CC778" s="198">
        <v>18.627800000000001</v>
      </c>
      <c r="CD778" s="198">
        <v>0.61009000000000002</v>
      </c>
      <c r="CF778" s="1051">
        <v>44102</v>
      </c>
      <c r="CG778" s="198">
        <v>6.2657999999999996</v>
      </c>
      <c r="CH778" s="198">
        <v>0.93600000000000005</v>
      </c>
      <c r="CI778" s="198">
        <v>14.705299999999999</v>
      </c>
      <c r="CL778" s="1051">
        <v>44123</v>
      </c>
      <c r="CM778" s="198">
        <v>24.7636</v>
      </c>
      <c r="CN778" s="198">
        <v>2.4177</v>
      </c>
      <c r="CO778" s="198">
        <v>10.3674</v>
      </c>
    </row>
    <row r="779" spans="1:93" s="198" customFormat="1">
      <c r="A779" s="1051">
        <v>44102</v>
      </c>
      <c r="B779" s="1052">
        <f t="shared" si="122"/>
        <v>11.753500000000001</v>
      </c>
      <c r="C779" s="1052">
        <f t="shared" si="124"/>
        <v>7.8807</v>
      </c>
      <c r="D779" s="1052">
        <f t="shared" si="128"/>
        <v>10.963100000000001</v>
      </c>
      <c r="E779" s="1052">
        <f t="shared" si="129"/>
        <v>10.4948</v>
      </c>
      <c r="F779" s="1052">
        <f t="shared" si="130"/>
        <v>21.451000000000001</v>
      </c>
      <c r="G779" s="1052">
        <f t="shared" si="131"/>
        <v>11.3369</v>
      </c>
      <c r="H779" s="1047">
        <f t="shared" si="125"/>
        <v>10.963100000000001</v>
      </c>
      <c r="I779" s="1048">
        <f t="shared" si="123"/>
        <v>7.2096396092346193E-2</v>
      </c>
      <c r="J779" s="1048">
        <f t="shared" si="126"/>
        <v>0.12093838824177333</v>
      </c>
      <c r="K779" s="1048">
        <f t="shared" si="127"/>
        <v>0.1</v>
      </c>
      <c r="L779" s="1048"/>
      <c r="N779" s="1051">
        <v>44102</v>
      </c>
      <c r="O779" s="1053">
        <v>11.753500000000001</v>
      </c>
      <c r="P779" s="1053">
        <v>2.3328000000000002</v>
      </c>
      <c r="Q779" s="1053">
        <v>11.8927</v>
      </c>
      <c r="R779" s="1054">
        <f>'B. PE'!$U$23</f>
        <v>15.978235616082999</v>
      </c>
      <c r="S779" s="1054"/>
      <c r="T779" s="1054"/>
      <c r="V779" s="1051">
        <v>44102</v>
      </c>
      <c r="W779" s="198">
        <v>7.8807</v>
      </c>
      <c r="X779" s="198">
        <v>0.55630000000000002</v>
      </c>
      <c r="Y779" s="198">
        <v>14.901999999999999</v>
      </c>
      <c r="Z779" s="198">
        <v>0.35049999999999998</v>
      </c>
      <c r="AB779" s="1051">
        <v>44071</v>
      </c>
      <c r="AC779" s="198">
        <v>18.794799999999999</v>
      </c>
      <c r="AD779" s="1053">
        <v>1.1362000000000001</v>
      </c>
      <c r="AE779" s="198">
        <v>6.6172000000000004</v>
      </c>
      <c r="AF779" s="198">
        <v>2.3879999999999998E-2</v>
      </c>
      <c r="AH779" s="1051">
        <v>44071</v>
      </c>
      <c r="AI779" s="198">
        <v>10.9971</v>
      </c>
      <c r="AJ779" s="198">
        <v>1.8241000000000001</v>
      </c>
      <c r="AK779" s="198">
        <v>4.6757999999999997</v>
      </c>
      <c r="AL779" s="198">
        <v>2.1760000000000002E-2</v>
      </c>
      <c r="AN779" s="1051">
        <v>44077</v>
      </c>
      <c r="AO779" s="198">
        <v>11.588100000000001</v>
      </c>
      <c r="AP779" s="198">
        <v>1.1986000000000001</v>
      </c>
      <c r="AQ779" s="198">
        <v>5.7546999999999997</v>
      </c>
      <c r="AR779" s="198">
        <v>0.26674999999999999</v>
      </c>
      <c r="AT779" s="1051">
        <v>44077</v>
      </c>
      <c r="AW779" s="198">
        <v>6.0769000000000002</v>
      </c>
      <c r="AX779" s="198">
        <v>0.1207</v>
      </c>
      <c r="BA779" s="1051">
        <v>44062</v>
      </c>
      <c r="BB779" s="198">
        <v>8.5884999999999998</v>
      </c>
      <c r="BC779" s="198">
        <v>1.7615000000000001</v>
      </c>
      <c r="BD779" s="198">
        <v>7.8731999999999998</v>
      </c>
      <c r="BE779" s="198">
        <v>0.39157999999999998</v>
      </c>
      <c r="BG779" s="1051">
        <v>44062</v>
      </c>
      <c r="BH779" s="198">
        <v>17.580100000000002</v>
      </c>
      <c r="BI779" s="198">
        <v>2.8616000000000001</v>
      </c>
      <c r="BJ779" s="198">
        <v>19.707000000000001</v>
      </c>
      <c r="BT779" s="1051">
        <v>44102</v>
      </c>
      <c r="BU779" s="198">
        <v>12.339700000000001</v>
      </c>
      <c r="BV779" s="198">
        <v>3.2698</v>
      </c>
      <c r="BW779" s="198">
        <v>6.9063999999999997</v>
      </c>
      <c r="BX779" s="198">
        <v>1.4556</v>
      </c>
      <c r="BZ779" s="1051">
        <v>44102</v>
      </c>
      <c r="CA779" s="198">
        <v>27.1188</v>
      </c>
      <c r="CB779" s="198">
        <v>1.4875</v>
      </c>
      <c r="CC779" s="198">
        <v>18.860099999999999</v>
      </c>
      <c r="CD779" s="198">
        <v>0.61660999999999999</v>
      </c>
      <c r="CF779" s="1051">
        <v>44099</v>
      </c>
      <c r="CG779" s="198">
        <v>6.0918000000000001</v>
      </c>
      <c r="CH779" s="198">
        <v>0.91</v>
      </c>
      <c r="CI779" s="198">
        <v>14.6144</v>
      </c>
      <c r="CL779" s="1051">
        <v>44120</v>
      </c>
      <c r="CM779" s="198">
        <v>25.122800000000002</v>
      </c>
      <c r="CN779" s="198">
        <v>2.4527999999999999</v>
      </c>
      <c r="CO779" s="198">
        <v>10.5153</v>
      </c>
    </row>
    <row r="780" spans="1:93" s="198" customFormat="1">
      <c r="A780" s="1051">
        <v>44099</v>
      </c>
      <c r="B780" s="1052">
        <f t="shared" si="122"/>
        <v>11.226000000000001</v>
      </c>
      <c r="C780" s="1052">
        <f t="shared" si="124"/>
        <v>7.7287999999999997</v>
      </c>
      <c r="D780" s="1052">
        <f t="shared" si="128"/>
        <v>10.929</v>
      </c>
      <c r="E780" s="1052">
        <f t="shared" si="129"/>
        <v>9.9481999999999999</v>
      </c>
      <c r="F780" s="1052">
        <f t="shared" si="130"/>
        <v>21.451000000000001</v>
      </c>
      <c r="G780" s="1052">
        <f t="shared" si="131"/>
        <v>10.9246</v>
      </c>
      <c r="H780" s="1047">
        <f t="shared" si="125"/>
        <v>10.9246</v>
      </c>
      <c r="I780" s="1048">
        <f t="shared" si="123"/>
        <v>2.7589110814125961E-2</v>
      </c>
      <c r="J780" s="1048">
        <f t="shared" si="126"/>
        <v>0.12093838824177333</v>
      </c>
      <c r="K780" s="1048">
        <f t="shared" si="127"/>
        <v>0.1</v>
      </c>
      <c r="L780" s="1048"/>
      <c r="N780" s="1051">
        <v>44099</v>
      </c>
      <c r="O780" s="1053">
        <v>11.226000000000001</v>
      </c>
      <c r="P780" s="1053">
        <v>2.2281</v>
      </c>
      <c r="Q780" s="1053">
        <v>11.4123</v>
      </c>
      <c r="R780" s="1054">
        <f>'B. PE'!$U$23</f>
        <v>15.978235616082999</v>
      </c>
      <c r="S780" s="1054"/>
      <c r="T780" s="1054"/>
      <c r="V780" s="1051">
        <v>44099</v>
      </c>
      <c r="W780" s="198">
        <v>7.7287999999999997</v>
      </c>
      <c r="X780" s="198">
        <v>0.54559999999999997</v>
      </c>
      <c r="Y780" s="198">
        <v>14.796099999999999</v>
      </c>
      <c r="Z780" s="198">
        <v>0.35593999999999998</v>
      </c>
      <c r="AB780" s="1051">
        <v>44070</v>
      </c>
      <c r="AC780" s="198">
        <v>18.1007</v>
      </c>
      <c r="AD780" s="1053">
        <v>1.0943000000000001</v>
      </c>
      <c r="AE780" s="198">
        <v>6.399</v>
      </c>
      <c r="AF780" s="198">
        <v>2.4049999999999998E-2</v>
      </c>
      <c r="AH780" s="1051">
        <v>44070</v>
      </c>
      <c r="AI780" s="198">
        <v>10.8269</v>
      </c>
      <c r="AJ780" s="198">
        <v>1.7959000000000001</v>
      </c>
      <c r="AK780" s="198">
        <v>4.5960999999999999</v>
      </c>
      <c r="AL780" s="198">
        <v>2.1989999999999999E-2</v>
      </c>
      <c r="AN780" s="1051">
        <v>44076</v>
      </c>
      <c r="AO780" s="198">
        <v>11.970700000000001</v>
      </c>
      <c r="AP780" s="198">
        <v>1.2382</v>
      </c>
      <c r="AQ780" s="198">
        <v>6.0688000000000004</v>
      </c>
      <c r="AR780" s="198">
        <v>0.27977999999999997</v>
      </c>
      <c r="AT780" s="1051">
        <v>44076</v>
      </c>
      <c r="AU780" s="198">
        <v>8.1832999999999991</v>
      </c>
      <c r="AV780" s="198">
        <v>0.48630000000000001</v>
      </c>
      <c r="AW780" s="198">
        <v>6.0769000000000002</v>
      </c>
      <c r="BA780" s="1051">
        <v>44061</v>
      </c>
      <c r="BB780" s="198">
        <v>8.7260000000000009</v>
      </c>
      <c r="BC780" s="198">
        <v>1.7897000000000001</v>
      </c>
      <c r="BD780" s="198">
        <v>7.9656000000000002</v>
      </c>
      <c r="BE780" s="198">
        <v>0.38900000000000001</v>
      </c>
      <c r="BG780" s="1051">
        <v>44061</v>
      </c>
      <c r="BH780" s="198">
        <v>18.064</v>
      </c>
      <c r="BI780" s="198">
        <v>2.9403000000000001</v>
      </c>
      <c r="BJ780" s="198">
        <v>20.139199999999999</v>
      </c>
      <c r="BT780" s="1051">
        <v>44099</v>
      </c>
      <c r="BU780" s="198">
        <v>12.0402</v>
      </c>
      <c r="BV780" s="198">
        <v>3.1903999999999999</v>
      </c>
      <c r="BW780" s="198">
        <v>6.7417999999999996</v>
      </c>
      <c r="BX780" s="198">
        <v>1.4656</v>
      </c>
      <c r="BZ780" s="1051">
        <v>44099</v>
      </c>
      <c r="CA780" s="198">
        <v>27.174499999999998</v>
      </c>
      <c r="CB780" s="198">
        <v>1.4904999999999999</v>
      </c>
      <c r="CC780" s="198">
        <v>18.8812</v>
      </c>
      <c r="CD780" s="198">
        <v>0.63283999999999996</v>
      </c>
      <c r="CF780" s="1051">
        <v>44098</v>
      </c>
      <c r="CG780" s="198">
        <v>5.9756999999999998</v>
      </c>
      <c r="CH780" s="198">
        <v>0.89259999999999995</v>
      </c>
      <c r="CI780" s="198">
        <v>14.553900000000001</v>
      </c>
      <c r="CL780" s="1051">
        <v>44119</v>
      </c>
      <c r="CM780" s="198">
        <v>24.943200000000001</v>
      </c>
      <c r="CN780" s="198">
        <v>2.4352999999999998</v>
      </c>
      <c r="CO780" s="198">
        <v>10.4413</v>
      </c>
    </row>
    <row r="781" spans="1:93" s="198" customFormat="1">
      <c r="A781" s="1051">
        <v>44098</v>
      </c>
      <c r="B781" s="1052">
        <f t="shared" si="122"/>
        <v>11.162599999999999</v>
      </c>
      <c r="C781" s="1052">
        <f t="shared" si="124"/>
        <v>7.7127999999999997</v>
      </c>
      <c r="D781" s="1052">
        <f t="shared" si="128"/>
        <v>10.7928</v>
      </c>
      <c r="E781" s="1052">
        <f t="shared" si="129"/>
        <v>9.8389000000000006</v>
      </c>
      <c r="F781" s="1052">
        <f t="shared" si="130"/>
        <v>21.773499999999999</v>
      </c>
      <c r="G781" s="1052">
        <f t="shared" si="131"/>
        <v>10.581099999999999</v>
      </c>
      <c r="H781" s="1047">
        <f t="shared" si="125"/>
        <v>10.581099999999999</v>
      </c>
      <c r="I781" s="1048">
        <f t="shared" si="123"/>
        <v>5.4956479005018322E-2</v>
      </c>
      <c r="J781" s="1048">
        <f t="shared" si="126"/>
        <v>0.12093838824177333</v>
      </c>
      <c r="K781" s="1048">
        <f t="shared" si="127"/>
        <v>0.1</v>
      </c>
      <c r="L781" s="1048"/>
      <c r="N781" s="1051">
        <v>44098</v>
      </c>
      <c r="O781" s="1053">
        <v>11.162599999999999</v>
      </c>
      <c r="P781" s="1053">
        <v>2.2155</v>
      </c>
      <c r="Q781" s="1053">
        <v>11.3546</v>
      </c>
      <c r="R781" s="1054">
        <f>'B. PE'!$U$23</f>
        <v>15.978235616082999</v>
      </c>
      <c r="S781" s="1054"/>
      <c r="T781" s="1054"/>
      <c r="V781" s="1051">
        <v>44098</v>
      </c>
      <c r="W781" s="198">
        <v>7.7127999999999997</v>
      </c>
      <c r="X781" s="198">
        <v>0.5444</v>
      </c>
      <c r="Y781" s="198">
        <v>14.7849</v>
      </c>
      <c r="Z781" s="198">
        <v>0.35216999999999998</v>
      </c>
      <c r="AB781" s="1051">
        <v>44069</v>
      </c>
      <c r="AC781" s="198">
        <v>18.634599999999999</v>
      </c>
      <c r="AD781" s="1053">
        <v>1.1266</v>
      </c>
      <c r="AE781" s="198">
        <v>6.5667999999999997</v>
      </c>
      <c r="AF781" s="198">
        <v>2.4150000000000001E-2</v>
      </c>
      <c r="AH781" s="1051">
        <v>44069</v>
      </c>
      <c r="AI781" s="198">
        <v>10.8269</v>
      </c>
      <c r="AJ781" s="198">
        <v>1.7959000000000001</v>
      </c>
      <c r="AK781" s="198">
        <v>4.5960999999999999</v>
      </c>
      <c r="AL781" s="198">
        <v>2.2169999999999999E-2</v>
      </c>
      <c r="AN781" s="1051">
        <v>44075</v>
      </c>
      <c r="AO781" s="198">
        <v>12.08</v>
      </c>
      <c r="AP781" s="198">
        <v>1.2495000000000001</v>
      </c>
      <c r="AQ781" s="198">
        <v>6.1585000000000001</v>
      </c>
      <c r="AR781" s="198">
        <v>0.2828</v>
      </c>
      <c r="AT781" s="1051">
        <v>44075</v>
      </c>
      <c r="AU781" s="198">
        <v>8.1832999999999991</v>
      </c>
      <c r="AV781" s="198">
        <v>0.48630000000000001</v>
      </c>
      <c r="AW781" s="198">
        <v>6.0769000000000002</v>
      </c>
      <c r="AX781" s="198">
        <v>0.12103</v>
      </c>
      <c r="BA781" s="1051">
        <v>44060</v>
      </c>
      <c r="BB781" s="198">
        <v>8.3824000000000005</v>
      </c>
      <c r="BC781" s="198">
        <v>1.7193000000000001</v>
      </c>
      <c r="BD781" s="198">
        <v>7.7346000000000004</v>
      </c>
      <c r="BE781" s="198">
        <v>0.39933999999999997</v>
      </c>
      <c r="BG781" s="1051">
        <v>44060</v>
      </c>
      <c r="BH781" s="198">
        <v>17.580100000000002</v>
      </c>
      <c r="BI781" s="198">
        <v>2.8616000000000001</v>
      </c>
      <c r="BJ781" s="198">
        <v>19.707000000000001</v>
      </c>
      <c r="BT781" s="1051">
        <v>44098</v>
      </c>
      <c r="BU781" s="198">
        <v>12.124000000000001</v>
      </c>
      <c r="BV781" s="198">
        <v>3.2126000000000001</v>
      </c>
      <c r="BW781" s="198">
        <v>6.7878999999999996</v>
      </c>
      <c r="BX781" s="198">
        <v>1.4319999999999999</v>
      </c>
      <c r="BZ781" s="1051">
        <v>44098</v>
      </c>
      <c r="CA781" s="198">
        <v>27.4529</v>
      </c>
      <c r="CB781" s="198">
        <v>1.5058</v>
      </c>
      <c r="CC781" s="198">
        <v>18.986799999999999</v>
      </c>
      <c r="CD781" s="198">
        <v>0.63258999999999999</v>
      </c>
      <c r="CF781" s="1051">
        <v>44097</v>
      </c>
      <c r="CG781" s="198">
        <v>5.9177</v>
      </c>
      <c r="CH781" s="198">
        <v>0.88400000000000001</v>
      </c>
      <c r="CI781" s="198">
        <v>14.5236</v>
      </c>
      <c r="CL781" s="1051">
        <v>44118</v>
      </c>
      <c r="CM781" s="198">
        <v>25.462</v>
      </c>
      <c r="CN781" s="198">
        <v>2.4859</v>
      </c>
      <c r="CO781" s="198">
        <v>10.654999999999999</v>
      </c>
    </row>
    <row r="782" spans="1:93" s="198" customFormat="1">
      <c r="A782" s="1051">
        <v>44097</v>
      </c>
      <c r="B782" s="1052">
        <f t="shared" si="122"/>
        <v>11.289300000000001</v>
      </c>
      <c r="C782" s="1052">
        <f t="shared" si="124"/>
        <v>7.8327</v>
      </c>
      <c r="D782" s="1052">
        <f t="shared" si="128"/>
        <v>10.929</v>
      </c>
      <c r="E782" s="1052">
        <f t="shared" si="129"/>
        <v>9.7295999999999996</v>
      </c>
      <c r="F782" s="1052">
        <f t="shared" si="130"/>
        <v>22.418700000000001</v>
      </c>
      <c r="G782" s="1052">
        <f t="shared" si="131"/>
        <v>10.375</v>
      </c>
      <c r="H782" s="1047">
        <f t="shared" si="125"/>
        <v>10.375</v>
      </c>
      <c r="I782" s="1048">
        <f t="shared" si="123"/>
        <v>8.8125301204819317E-2</v>
      </c>
      <c r="J782" s="1048">
        <f t="shared" si="126"/>
        <v>0.12093838824177333</v>
      </c>
      <c r="K782" s="1048">
        <f t="shared" si="127"/>
        <v>0.1</v>
      </c>
      <c r="L782" s="1048"/>
      <c r="N782" s="1051">
        <v>44097</v>
      </c>
      <c r="O782" s="1053">
        <v>11.289300000000001</v>
      </c>
      <c r="P782" s="1053">
        <v>2.2406000000000001</v>
      </c>
      <c r="Q782" s="1053">
        <v>11.469900000000001</v>
      </c>
      <c r="R782" s="1054">
        <f>'B. PE'!$U$23</f>
        <v>15.978235616082999</v>
      </c>
      <c r="S782" s="1054"/>
      <c r="T782" s="1054"/>
      <c r="V782" s="1051">
        <v>44097</v>
      </c>
      <c r="W782" s="198">
        <v>7.8327</v>
      </c>
      <c r="X782" s="198">
        <v>0.55289999999999995</v>
      </c>
      <c r="Y782" s="198">
        <v>14.868600000000001</v>
      </c>
      <c r="Z782" s="198">
        <v>0.34153</v>
      </c>
      <c r="AB782" s="1051">
        <v>44068</v>
      </c>
      <c r="AC782" s="198">
        <v>18.741399999999999</v>
      </c>
      <c r="AD782" s="1053">
        <v>1.133</v>
      </c>
      <c r="AE782" s="198">
        <v>6.6003999999999996</v>
      </c>
      <c r="AF782" s="198">
        <v>2.4029999999999999E-2</v>
      </c>
      <c r="AH782" s="1051">
        <v>44068</v>
      </c>
      <c r="AI782" s="198">
        <v>10.929</v>
      </c>
      <c r="AJ782" s="198">
        <v>1.8129</v>
      </c>
      <c r="AK782" s="198">
        <v>4.6439000000000004</v>
      </c>
      <c r="AL782" s="198">
        <v>2.103E-2</v>
      </c>
      <c r="AN782" s="1051">
        <v>44071</v>
      </c>
      <c r="AO782" s="198">
        <v>12.735900000000001</v>
      </c>
      <c r="AP782" s="198">
        <v>1.3172999999999999</v>
      </c>
      <c r="AQ782" s="198">
        <v>6.6970000000000001</v>
      </c>
      <c r="AR782" s="198">
        <v>0.27948000000000001</v>
      </c>
      <c r="AT782" s="1051">
        <v>44071</v>
      </c>
      <c r="AW782" s="198">
        <v>6.1199000000000003</v>
      </c>
      <c r="AX782" s="198">
        <v>0.12114999999999999</v>
      </c>
      <c r="BA782" s="1051">
        <v>44057</v>
      </c>
      <c r="BB782" s="198">
        <v>8.3137000000000008</v>
      </c>
      <c r="BC782" s="198">
        <v>1.7052</v>
      </c>
      <c r="BD782" s="198">
        <v>7.6883999999999997</v>
      </c>
      <c r="BE782" s="198">
        <v>0.36015000000000003</v>
      </c>
      <c r="BG782" s="1051">
        <v>44057</v>
      </c>
      <c r="BH782" s="198">
        <v>18.225200000000001</v>
      </c>
      <c r="BI782" s="198">
        <v>2.9666000000000001</v>
      </c>
      <c r="BJ782" s="198">
        <v>20.283300000000001</v>
      </c>
      <c r="BT782" s="1051">
        <v>44097</v>
      </c>
      <c r="BU782" s="198">
        <v>12.2079</v>
      </c>
      <c r="BV782" s="198">
        <v>3.2347999999999999</v>
      </c>
      <c r="BW782" s="198">
        <v>6.8339999999999996</v>
      </c>
      <c r="BX782" s="198">
        <v>1.4157</v>
      </c>
      <c r="BZ782" s="1051">
        <v>44097</v>
      </c>
      <c r="CA782" s="198">
        <v>28.1769</v>
      </c>
      <c r="CB782" s="198">
        <v>1.5455000000000001</v>
      </c>
      <c r="CC782" s="198">
        <v>19.261299999999999</v>
      </c>
      <c r="CD782" s="198">
        <v>0.63305999999999996</v>
      </c>
      <c r="CF782" s="1051">
        <v>44096</v>
      </c>
      <c r="CG782" s="198">
        <v>5.8017000000000003</v>
      </c>
      <c r="CH782" s="198">
        <v>0.86660000000000004</v>
      </c>
      <c r="CI782" s="198">
        <v>14.462999999999999</v>
      </c>
      <c r="CL782" s="1051">
        <v>44117</v>
      </c>
      <c r="CM782" s="198">
        <v>25.741399999999999</v>
      </c>
      <c r="CN782" s="198">
        <v>2.5131999999999999</v>
      </c>
      <c r="CO782" s="198">
        <v>10.77</v>
      </c>
    </row>
    <row r="783" spans="1:93" s="198" customFormat="1">
      <c r="A783" s="1051">
        <v>44096</v>
      </c>
      <c r="B783" s="1052">
        <f t="shared" si="122"/>
        <v>11.4581</v>
      </c>
      <c r="C783" s="1052">
        <f t="shared" si="124"/>
        <v>7.7527999999999997</v>
      </c>
      <c r="D783" s="1052">
        <f t="shared" si="128"/>
        <v>11.0992</v>
      </c>
      <c r="E783" s="1052">
        <f t="shared" si="129"/>
        <v>9.9481999999999999</v>
      </c>
      <c r="F783" s="1052">
        <f t="shared" si="130"/>
        <v>21.451000000000001</v>
      </c>
      <c r="G783" s="1052">
        <f t="shared" si="131"/>
        <v>9.7566000000000006</v>
      </c>
      <c r="H783" s="1047">
        <f t="shared" si="125"/>
        <v>9.9481999999999999</v>
      </c>
      <c r="I783" s="1048">
        <f t="shared" si="123"/>
        <v>0.1517762007197283</v>
      </c>
      <c r="J783" s="1048">
        <f t="shared" si="126"/>
        <v>0.12093838824177333</v>
      </c>
      <c r="K783" s="1048">
        <f t="shared" si="127"/>
        <v>0.1</v>
      </c>
      <c r="L783" s="1048"/>
      <c r="N783" s="1051">
        <v>44096</v>
      </c>
      <c r="O783" s="1053">
        <v>11.4581</v>
      </c>
      <c r="P783" s="1053">
        <v>2.2740999999999998</v>
      </c>
      <c r="Q783" s="1053">
        <v>11.623699999999999</v>
      </c>
      <c r="R783" s="1054">
        <f>'B. PE'!$U$23</f>
        <v>15.978235616082999</v>
      </c>
      <c r="S783" s="1054"/>
      <c r="T783" s="1054"/>
      <c r="V783" s="1051">
        <v>44096</v>
      </c>
      <c r="W783" s="198">
        <v>7.7527999999999997</v>
      </c>
      <c r="X783" s="198">
        <v>0.54730000000000001</v>
      </c>
      <c r="Y783" s="198">
        <v>14.812799999999999</v>
      </c>
      <c r="Z783" s="198">
        <v>0.34042</v>
      </c>
      <c r="AB783" s="1051">
        <v>44067</v>
      </c>
      <c r="AC783" s="198">
        <v>18.848199999999999</v>
      </c>
      <c r="AD783" s="1053">
        <v>1.1395</v>
      </c>
      <c r="AE783" s="198">
        <v>6.6338999999999997</v>
      </c>
      <c r="AF783" s="198">
        <v>2.273E-2</v>
      </c>
      <c r="AH783" s="1051">
        <v>44067</v>
      </c>
      <c r="AI783" s="198">
        <v>11.0312</v>
      </c>
      <c r="AJ783" s="198">
        <v>1.8298000000000001</v>
      </c>
      <c r="AK783" s="198">
        <v>4.6917</v>
      </c>
      <c r="AL783" s="198">
        <v>2.0910000000000002E-2</v>
      </c>
      <c r="AN783" s="1051">
        <v>44070</v>
      </c>
      <c r="AO783" s="198">
        <v>12.899900000000001</v>
      </c>
      <c r="AP783" s="198">
        <v>1.3343</v>
      </c>
      <c r="AQ783" s="198">
        <v>6.8315999999999999</v>
      </c>
      <c r="AR783" s="198">
        <v>0.28067999999999999</v>
      </c>
      <c r="AT783" s="1051">
        <v>44070</v>
      </c>
      <c r="AU783" s="198">
        <v>8.2651000000000003</v>
      </c>
      <c r="AV783" s="198">
        <v>0.49109999999999998</v>
      </c>
      <c r="AW783" s="198">
        <v>6.1199000000000003</v>
      </c>
      <c r="BA783" s="1051">
        <v>44056</v>
      </c>
      <c r="BB783" s="198">
        <v>8.5198</v>
      </c>
      <c r="BC783" s="198">
        <v>1.7474000000000001</v>
      </c>
      <c r="BD783" s="198">
        <v>7.827</v>
      </c>
      <c r="BE783" s="198">
        <v>0.36643999999999999</v>
      </c>
      <c r="BG783" s="1051">
        <v>44056</v>
      </c>
      <c r="BH783" s="198">
        <v>18.225200000000001</v>
      </c>
      <c r="BI783" s="198">
        <v>2.9666000000000001</v>
      </c>
      <c r="BJ783" s="198">
        <v>20.283300000000001</v>
      </c>
      <c r="BT783" s="1051">
        <v>44096</v>
      </c>
      <c r="BU783" s="198">
        <v>11.9323</v>
      </c>
      <c r="BV783" s="198">
        <v>3.1617999999999999</v>
      </c>
      <c r="BW783" s="198">
        <v>6.6825000000000001</v>
      </c>
      <c r="BX783" s="198">
        <v>1.3595999999999999</v>
      </c>
      <c r="BZ783" s="1051">
        <v>44096</v>
      </c>
      <c r="CA783" s="198">
        <v>28.1769</v>
      </c>
      <c r="CB783" s="198">
        <v>1.5455000000000001</v>
      </c>
      <c r="CC783" s="198">
        <v>19.261299999999999</v>
      </c>
      <c r="CD783" s="198">
        <v>0.62302000000000002</v>
      </c>
      <c r="CF783" s="1051">
        <v>44095</v>
      </c>
      <c r="CG783" s="198">
        <v>6.0918000000000001</v>
      </c>
      <c r="CH783" s="198">
        <v>0.91</v>
      </c>
      <c r="CI783" s="198">
        <v>14.6144</v>
      </c>
      <c r="CL783" s="1051">
        <v>44116</v>
      </c>
      <c r="CM783" s="198">
        <v>25.8611</v>
      </c>
      <c r="CN783" s="198">
        <v>2.5249000000000001</v>
      </c>
      <c r="CO783" s="198">
        <v>10.8193</v>
      </c>
    </row>
    <row r="784" spans="1:93" s="198" customFormat="1">
      <c r="A784" s="1051">
        <v>44095</v>
      </c>
      <c r="B784" s="1052">
        <f t="shared" si="122"/>
        <v>11.3948</v>
      </c>
      <c r="C784" s="1052">
        <f t="shared" si="124"/>
        <v>7.5129999999999999</v>
      </c>
      <c r="D784" s="1052">
        <f t="shared" si="128"/>
        <v>11.0992</v>
      </c>
      <c r="E784" s="1052">
        <f t="shared" si="129"/>
        <v>10.1669</v>
      </c>
      <c r="F784" s="1052">
        <f t="shared" si="130"/>
        <v>20.967099999999999</v>
      </c>
      <c r="G784" s="1052">
        <f t="shared" si="131"/>
        <v>9.2068999999999992</v>
      </c>
      <c r="H784" s="1047">
        <f t="shared" si="125"/>
        <v>10.1669</v>
      </c>
      <c r="I784" s="1048">
        <f t="shared" si="123"/>
        <v>0.12077427731166823</v>
      </c>
      <c r="J784" s="1048">
        <f t="shared" si="126"/>
        <v>0.12093838824177333</v>
      </c>
      <c r="K784" s="1048">
        <f t="shared" si="127"/>
        <v>0.1</v>
      </c>
      <c r="L784" s="1048"/>
      <c r="N784" s="1051">
        <v>44095</v>
      </c>
      <c r="O784" s="1053">
        <v>11.3948</v>
      </c>
      <c r="P784" s="1053">
        <v>2.2616000000000001</v>
      </c>
      <c r="Q784" s="1053">
        <v>11.566000000000001</v>
      </c>
      <c r="R784" s="1054">
        <f>'B. PE'!$U$23</f>
        <v>15.978235616082999</v>
      </c>
      <c r="S784" s="1054"/>
      <c r="T784" s="1054"/>
      <c r="V784" s="1051">
        <v>44095</v>
      </c>
      <c r="W784" s="198">
        <v>7.5129999999999999</v>
      </c>
      <c r="X784" s="198">
        <v>0.53029999999999999</v>
      </c>
      <c r="Y784" s="198">
        <v>14.6456</v>
      </c>
      <c r="Z784" s="198">
        <v>0.34317999999999999</v>
      </c>
      <c r="AB784" s="1051">
        <v>44062</v>
      </c>
      <c r="AC784" s="198">
        <v>18.848199999999999</v>
      </c>
      <c r="AD784" s="1053">
        <v>1.1395</v>
      </c>
      <c r="AE784" s="198">
        <v>6.6338999999999997</v>
      </c>
      <c r="AF784" s="198">
        <v>2.2509999999999999E-2</v>
      </c>
      <c r="AH784" s="1051">
        <v>44062</v>
      </c>
      <c r="AI784" s="198">
        <v>10.5204</v>
      </c>
      <c r="AJ784" s="198">
        <v>1.7451000000000001</v>
      </c>
      <c r="AK784" s="198">
        <v>4.4527000000000001</v>
      </c>
      <c r="AL784" s="198">
        <v>2.043E-2</v>
      </c>
      <c r="AN784" s="1051">
        <v>44069</v>
      </c>
      <c r="AO784" s="198">
        <v>12.735900000000001</v>
      </c>
      <c r="AP784" s="198">
        <v>1.3172999999999999</v>
      </c>
      <c r="AQ784" s="198">
        <v>6.6970000000000001</v>
      </c>
      <c r="AR784" s="198">
        <v>0.30055999999999999</v>
      </c>
      <c r="AT784" s="1051">
        <v>44069</v>
      </c>
      <c r="AU784" s="198">
        <v>8.2651000000000003</v>
      </c>
      <c r="AV784" s="198">
        <v>0.49109999999999998</v>
      </c>
      <c r="AW784" s="198">
        <v>6.1199000000000003</v>
      </c>
      <c r="AX784" s="198">
        <v>0.12094000000000001</v>
      </c>
      <c r="BA784" s="1051">
        <v>44054</v>
      </c>
      <c r="BB784" s="198">
        <v>7.6952999999999996</v>
      </c>
      <c r="BC784" s="198">
        <v>1.5783</v>
      </c>
      <c r="BD784" s="198">
        <v>7.2725999999999997</v>
      </c>
      <c r="BE784" s="198">
        <v>0.36521999999999999</v>
      </c>
      <c r="BG784" s="1051">
        <v>44054</v>
      </c>
      <c r="BH784" s="198">
        <v>19.193000000000001</v>
      </c>
      <c r="BI784" s="198">
        <v>3.1240999999999999</v>
      </c>
      <c r="BJ784" s="198">
        <v>21.1477</v>
      </c>
      <c r="BT784" s="1051">
        <v>44095</v>
      </c>
      <c r="BU784" s="198">
        <v>11.788600000000001</v>
      </c>
      <c r="BV784" s="198">
        <v>3.1236999999999999</v>
      </c>
      <c r="BW784" s="198">
        <v>6.6035000000000004</v>
      </c>
      <c r="BX784" s="198">
        <v>1.3547</v>
      </c>
      <c r="BZ784" s="1051">
        <v>44095</v>
      </c>
      <c r="CA784" s="198">
        <v>28.1769</v>
      </c>
      <c r="CB784" s="198">
        <v>1.5455000000000001</v>
      </c>
      <c r="CC784" s="198">
        <v>19.261299999999999</v>
      </c>
      <c r="CD784" s="198">
        <v>0.62275000000000003</v>
      </c>
      <c r="CF784" s="1051">
        <v>44092</v>
      </c>
      <c r="CG784" s="198">
        <v>5.9177</v>
      </c>
      <c r="CH784" s="198">
        <v>0.88400000000000001</v>
      </c>
      <c r="CI784" s="198">
        <v>14.5236</v>
      </c>
      <c r="CL784" s="1051">
        <v>44113</v>
      </c>
      <c r="CM784" s="198">
        <v>25.6416</v>
      </c>
      <c r="CN784" s="198">
        <v>2.5034999999999998</v>
      </c>
      <c r="CO784" s="198">
        <v>10.728899999999999</v>
      </c>
    </row>
    <row r="785" spans="1:93" s="198" customFormat="1">
      <c r="A785" s="1051">
        <v>44092</v>
      </c>
      <c r="B785" s="1052">
        <f t="shared" si="122"/>
        <v>11.1838</v>
      </c>
      <c r="C785" s="1052">
        <f t="shared" si="124"/>
        <v>7.4889999999999999</v>
      </c>
      <c r="D785" s="1052">
        <f t="shared" si="128"/>
        <v>11.473800000000001</v>
      </c>
      <c r="E785" s="1052">
        <f t="shared" si="129"/>
        <v>10.3855</v>
      </c>
      <c r="F785" s="1052">
        <f t="shared" si="130"/>
        <v>21.612200000000001</v>
      </c>
      <c r="G785" s="1052">
        <f t="shared" si="131"/>
        <v>9.2068999999999992</v>
      </c>
      <c r="H785" s="1047">
        <f t="shared" si="125"/>
        <v>10.3855</v>
      </c>
      <c r="I785" s="1048">
        <f t="shared" si="123"/>
        <v>7.6866785421982442E-2</v>
      </c>
      <c r="J785" s="1048">
        <f t="shared" si="126"/>
        <v>0.12093838824177333</v>
      </c>
      <c r="K785" s="1048">
        <f t="shared" si="127"/>
        <v>0.1</v>
      </c>
      <c r="L785" s="1048"/>
      <c r="N785" s="1051">
        <v>44092</v>
      </c>
      <c r="O785" s="1053">
        <v>11.1838</v>
      </c>
      <c r="P785" s="1053">
        <v>2.2197</v>
      </c>
      <c r="Q785" s="1053">
        <v>11.373799999999999</v>
      </c>
      <c r="R785" s="1054">
        <f>'B. PE'!$U$23</f>
        <v>15.978235616082999</v>
      </c>
      <c r="S785" s="1054"/>
      <c r="T785" s="1054"/>
      <c r="V785" s="1051">
        <v>44092</v>
      </c>
      <c r="W785" s="198">
        <v>7.4889999999999999</v>
      </c>
      <c r="X785" s="198">
        <v>0.52859999999999996</v>
      </c>
      <c r="Y785" s="198">
        <v>14.6289</v>
      </c>
      <c r="Z785" s="198">
        <v>0.34514</v>
      </c>
      <c r="AB785" s="1051">
        <v>44061</v>
      </c>
      <c r="AC785" s="198">
        <v>17.9405</v>
      </c>
      <c r="AD785" s="1053">
        <v>1.0846</v>
      </c>
      <c r="AE785" s="198">
        <v>6.3487</v>
      </c>
      <c r="AF785" s="198">
        <v>2.264E-2</v>
      </c>
      <c r="AH785" s="1051">
        <v>44061</v>
      </c>
      <c r="AI785" s="198">
        <v>10.5204</v>
      </c>
      <c r="AJ785" s="198">
        <v>1.7451000000000001</v>
      </c>
      <c r="AK785" s="198">
        <v>4.4527000000000001</v>
      </c>
      <c r="AL785" s="198">
        <v>2.069E-2</v>
      </c>
      <c r="AN785" s="1051">
        <v>44068</v>
      </c>
      <c r="AO785" s="198">
        <v>12.7906</v>
      </c>
      <c r="AP785" s="198">
        <v>1.323</v>
      </c>
      <c r="AQ785" s="198">
        <v>6.7419000000000002</v>
      </c>
      <c r="AR785" s="198">
        <v>0.28588999999999998</v>
      </c>
      <c r="AT785" s="1051">
        <v>44068</v>
      </c>
      <c r="AW785" s="198">
        <v>6.1199000000000003</v>
      </c>
      <c r="BA785" s="1051">
        <v>44053</v>
      </c>
      <c r="BB785" s="198">
        <v>7.8327999999999998</v>
      </c>
      <c r="BC785" s="198">
        <v>1.6065</v>
      </c>
      <c r="BD785" s="198">
        <v>7.3650000000000002</v>
      </c>
      <c r="BE785" s="198">
        <v>0.37270999999999999</v>
      </c>
      <c r="BG785" s="1051">
        <v>44053</v>
      </c>
      <c r="BH785" s="198">
        <v>18.547799999999999</v>
      </c>
      <c r="BI785" s="198">
        <v>3.0190999999999999</v>
      </c>
      <c r="BJ785" s="198">
        <v>20.571400000000001</v>
      </c>
      <c r="BT785" s="1051">
        <v>44092</v>
      </c>
      <c r="BU785" s="198">
        <v>11.321300000000001</v>
      </c>
      <c r="BV785" s="198">
        <v>2.9998999999999998</v>
      </c>
      <c r="BW785" s="198">
        <v>6.3465999999999996</v>
      </c>
      <c r="BX785" s="198">
        <v>1.361</v>
      </c>
      <c r="BZ785" s="1051">
        <v>44092</v>
      </c>
      <c r="CA785" s="198">
        <v>27.731400000000001</v>
      </c>
      <c r="CB785" s="198">
        <v>1.5210999999999999</v>
      </c>
      <c r="CC785" s="198">
        <v>19.092400000000001</v>
      </c>
      <c r="CD785" s="198">
        <v>0.62802999999999998</v>
      </c>
      <c r="CF785" s="1051">
        <v>44091</v>
      </c>
      <c r="CG785" s="198">
        <v>6.0918000000000001</v>
      </c>
      <c r="CH785" s="198">
        <v>0.91</v>
      </c>
      <c r="CI785" s="198">
        <v>14.6144</v>
      </c>
      <c r="CL785" s="1051">
        <v>44112</v>
      </c>
      <c r="CM785" s="198">
        <v>25.501899999999999</v>
      </c>
      <c r="CN785" s="198">
        <v>2.4897999999999998</v>
      </c>
      <c r="CO785" s="198">
        <v>10.6714</v>
      </c>
    </row>
    <row r="786" spans="1:93" s="198" customFormat="1">
      <c r="A786" s="1051">
        <v>44091</v>
      </c>
      <c r="B786" s="1052">
        <f t="shared" si="122"/>
        <v>11.162599999999999</v>
      </c>
      <c r="C786" s="1052">
        <f t="shared" si="124"/>
        <v>7.5529999999999999</v>
      </c>
      <c r="D786" s="1052">
        <f t="shared" si="128"/>
        <v>11.3376</v>
      </c>
      <c r="E786" s="1052">
        <f t="shared" si="129"/>
        <v>10.1669</v>
      </c>
      <c r="F786" s="1052">
        <f t="shared" si="130"/>
        <v>21.451000000000001</v>
      </c>
      <c r="G786" s="1052">
        <f t="shared" si="131"/>
        <v>9.3443000000000005</v>
      </c>
      <c r="H786" s="1047">
        <f t="shared" si="125"/>
        <v>10.1669</v>
      </c>
      <c r="I786" s="1048">
        <f t="shared" si="123"/>
        <v>9.7935457219014532E-2</v>
      </c>
      <c r="J786" s="1048">
        <f t="shared" si="126"/>
        <v>0.12093838824177333</v>
      </c>
      <c r="K786" s="1048">
        <f t="shared" si="127"/>
        <v>0.1</v>
      </c>
      <c r="L786" s="1048"/>
      <c r="N786" s="1051">
        <v>44091</v>
      </c>
      <c r="O786" s="1053">
        <v>11.162599999999999</v>
      </c>
      <c r="P786" s="1053">
        <v>2.2155</v>
      </c>
      <c r="Q786" s="1053">
        <v>11.3546</v>
      </c>
      <c r="R786" s="1054">
        <f>'B. PE'!$U$23</f>
        <v>15.978235616082999</v>
      </c>
      <c r="S786" s="1054"/>
      <c r="T786" s="1054"/>
      <c r="V786" s="1051">
        <v>44091</v>
      </c>
      <c r="W786" s="198">
        <v>7.5529999999999999</v>
      </c>
      <c r="X786" s="198">
        <v>0.53320000000000001</v>
      </c>
      <c r="Y786" s="198">
        <v>14.673500000000001</v>
      </c>
      <c r="Z786" s="198">
        <v>0.32811000000000001</v>
      </c>
      <c r="AB786" s="1051">
        <v>44057</v>
      </c>
      <c r="AC786" s="198">
        <v>17.9405</v>
      </c>
      <c r="AD786" s="1053">
        <v>1.0846</v>
      </c>
      <c r="AE786" s="198">
        <v>6.3487</v>
      </c>
      <c r="AF786" s="198">
        <v>2.256E-2</v>
      </c>
      <c r="AH786" s="1051">
        <v>44057</v>
      </c>
      <c r="AI786" s="198">
        <v>10.3843</v>
      </c>
      <c r="AJ786" s="198">
        <v>1.7224999999999999</v>
      </c>
      <c r="AK786" s="198">
        <v>4.3890000000000002</v>
      </c>
      <c r="AL786" s="198">
        <v>2.1139999999999999E-2</v>
      </c>
      <c r="AN786" s="1051">
        <v>44067</v>
      </c>
      <c r="AO786" s="198">
        <v>13.719799999999999</v>
      </c>
      <c r="AP786" s="198">
        <v>1.4191</v>
      </c>
      <c r="AQ786" s="198">
        <v>7.5046999999999997</v>
      </c>
      <c r="AR786" s="198">
        <v>0.26954</v>
      </c>
      <c r="AT786" s="1051">
        <v>44067</v>
      </c>
      <c r="AU786" s="198">
        <v>8.2651000000000003</v>
      </c>
      <c r="AV786" s="198">
        <v>0.49109999999999998</v>
      </c>
      <c r="AW786" s="198">
        <v>6.1199000000000003</v>
      </c>
      <c r="AX786" s="198">
        <v>0.115</v>
      </c>
      <c r="BA786" s="1051">
        <v>44050</v>
      </c>
      <c r="BB786" s="198">
        <v>7.8327999999999998</v>
      </c>
      <c r="BC786" s="198">
        <v>1.6065</v>
      </c>
      <c r="BD786" s="198">
        <v>7.3650000000000002</v>
      </c>
      <c r="BE786" s="198">
        <v>0.34816000000000003</v>
      </c>
      <c r="BG786" s="1051">
        <v>44050</v>
      </c>
      <c r="BH786" s="198">
        <v>18.225200000000001</v>
      </c>
      <c r="BI786" s="198">
        <v>2.9666000000000001</v>
      </c>
      <c r="BJ786" s="198">
        <v>20.283300000000001</v>
      </c>
      <c r="BT786" s="1051">
        <v>44091</v>
      </c>
      <c r="BU786" s="198">
        <v>11.285399999999999</v>
      </c>
      <c r="BV786" s="198">
        <v>2.9904000000000002</v>
      </c>
      <c r="BW786" s="198">
        <v>6.3269000000000002</v>
      </c>
      <c r="BX786" s="198">
        <v>1.3367</v>
      </c>
      <c r="BZ786" s="1051">
        <v>44091</v>
      </c>
      <c r="CA786" s="198">
        <v>27.731400000000001</v>
      </c>
      <c r="CB786" s="198">
        <v>1.5210999999999999</v>
      </c>
      <c r="CC786" s="198">
        <v>19.092400000000001</v>
      </c>
      <c r="CD786" s="198">
        <v>0.62060000000000004</v>
      </c>
      <c r="CF786" s="1051">
        <v>44090</v>
      </c>
      <c r="CG786" s="198">
        <v>6.0918000000000001</v>
      </c>
      <c r="CH786" s="198">
        <v>0.91</v>
      </c>
      <c r="CI786" s="198">
        <v>14.6144</v>
      </c>
      <c r="CL786" s="1051">
        <v>44111</v>
      </c>
      <c r="CM786" s="198">
        <v>25.382200000000001</v>
      </c>
      <c r="CN786" s="198">
        <v>2.4781</v>
      </c>
      <c r="CO786" s="198">
        <v>10.6221</v>
      </c>
    </row>
    <row r="787" spans="1:93" s="198" customFormat="1">
      <c r="A787" s="1051">
        <v>44090</v>
      </c>
      <c r="B787" s="1052">
        <f t="shared" si="122"/>
        <v>11.0571</v>
      </c>
      <c r="C787" s="1052">
        <f t="shared" si="124"/>
        <v>7.593</v>
      </c>
      <c r="D787" s="1052">
        <f t="shared" si="128"/>
        <v>11.3376</v>
      </c>
      <c r="E787" s="1052">
        <f t="shared" si="129"/>
        <v>10.1669</v>
      </c>
      <c r="F787" s="1052">
        <f t="shared" si="130"/>
        <v>21.934799999999999</v>
      </c>
      <c r="G787" s="1052">
        <f t="shared" si="131"/>
        <v>9.4130000000000003</v>
      </c>
      <c r="H787" s="1047">
        <f t="shared" si="125"/>
        <v>10.1669</v>
      </c>
      <c r="I787" s="1048">
        <f t="shared" si="123"/>
        <v>8.7558646195005307E-2</v>
      </c>
      <c r="J787" s="1048">
        <f t="shared" si="126"/>
        <v>0.12093838824177333</v>
      </c>
      <c r="K787" s="1048">
        <f t="shared" si="127"/>
        <v>0.1</v>
      </c>
      <c r="L787" s="1048"/>
      <c r="N787" s="1051">
        <v>44090</v>
      </c>
      <c r="O787" s="1053">
        <v>11.0571</v>
      </c>
      <c r="P787" s="1053">
        <v>2.1945999999999999</v>
      </c>
      <c r="Q787" s="1053">
        <v>11.2585</v>
      </c>
      <c r="R787" s="1054">
        <f>'B. PE'!$U$23</f>
        <v>15.978235616082999</v>
      </c>
      <c r="S787" s="1054"/>
      <c r="T787" s="1054"/>
      <c r="V787" s="1051">
        <v>44090</v>
      </c>
      <c r="W787" s="198">
        <v>7.593</v>
      </c>
      <c r="X787" s="198">
        <v>0.53600000000000003</v>
      </c>
      <c r="Y787" s="198">
        <v>14.7013</v>
      </c>
      <c r="Z787" s="198">
        <v>0.32884000000000002</v>
      </c>
      <c r="AB787" s="1051">
        <v>44056</v>
      </c>
      <c r="AC787" s="198">
        <v>17.9405</v>
      </c>
      <c r="AD787" s="1053">
        <v>1.0846</v>
      </c>
      <c r="AE787" s="198">
        <v>6.3487</v>
      </c>
      <c r="AF787" s="198">
        <v>2.3449999999999999E-2</v>
      </c>
      <c r="AH787" s="1051">
        <v>44056</v>
      </c>
      <c r="AI787" s="198">
        <v>10.452400000000001</v>
      </c>
      <c r="AJ787" s="198">
        <v>1.7338</v>
      </c>
      <c r="AK787" s="198">
        <v>4.4207999999999998</v>
      </c>
      <c r="AL787" s="198">
        <v>2.1950000000000001E-2</v>
      </c>
      <c r="AN787" s="1051">
        <v>44064</v>
      </c>
      <c r="AO787" s="198">
        <v>13.0639</v>
      </c>
      <c r="AP787" s="198">
        <v>1.3512999999999999</v>
      </c>
      <c r="AQ787" s="198">
        <v>6.9661999999999997</v>
      </c>
      <c r="AR787" s="198">
        <v>0.26774999999999999</v>
      </c>
      <c r="AT787" s="1051">
        <v>44064</v>
      </c>
      <c r="AW787" s="198">
        <v>5.9047999999999998</v>
      </c>
      <c r="AX787" s="198">
        <v>0.11355</v>
      </c>
      <c r="BA787" s="1051">
        <v>44049</v>
      </c>
      <c r="BB787" s="198">
        <v>7.9702000000000002</v>
      </c>
      <c r="BC787" s="198">
        <v>1.6347</v>
      </c>
      <c r="BD787" s="198">
        <v>7.4573999999999998</v>
      </c>
      <c r="BE787" s="198">
        <v>0.34786</v>
      </c>
      <c r="BG787" s="1051">
        <v>44049</v>
      </c>
      <c r="BH787" s="198">
        <v>18.225200000000001</v>
      </c>
      <c r="BI787" s="198">
        <v>2.9666000000000001</v>
      </c>
      <c r="BJ787" s="198">
        <v>20.283300000000001</v>
      </c>
      <c r="BT787" s="1051">
        <v>44090</v>
      </c>
      <c r="BU787" s="198">
        <v>11.333299999999999</v>
      </c>
      <c r="BV787" s="198">
        <v>3.0030999999999999</v>
      </c>
      <c r="BW787" s="198">
        <v>6.3532000000000002</v>
      </c>
      <c r="BX787" s="198">
        <v>1.3382000000000001</v>
      </c>
      <c r="BZ787" s="1051">
        <v>44090</v>
      </c>
      <c r="CA787" s="198">
        <v>27.9541</v>
      </c>
      <c r="CB787" s="198">
        <v>1.5333000000000001</v>
      </c>
      <c r="CC787" s="198">
        <v>19.1769</v>
      </c>
      <c r="CD787" s="198">
        <v>0.62810999999999995</v>
      </c>
      <c r="CF787" s="1051">
        <v>44089</v>
      </c>
      <c r="CI787" s="198">
        <v>14.4025</v>
      </c>
      <c r="CL787" s="1051">
        <v>44110</v>
      </c>
      <c r="CM787" s="198">
        <v>25.2026</v>
      </c>
      <c r="CN787" s="198">
        <v>2.4605999999999999</v>
      </c>
      <c r="CO787" s="198">
        <v>10.5482</v>
      </c>
    </row>
    <row r="788" spans="1:93" s="198" customFormat="1">
      <c r="A788" s="1051">
        <v>44089</v>
      </c>
      <c r="B788" s="1052">
        <f t="shared" si="122"/>
        <v>11.415900000000001</v>
      </c>
      <c r="C788" s="1052">
        <f t="shared" si="124"/>
        <v>7.2172999999999998</v>
      </c>
      <c r="D788" s="1052">
        <f t="shared" si="128"/>
        <v>11.371600000000001</v>
      </c>
      <c r="E788" s="1052">
        <f t="shared" si="129"/>
        <v>10.7135</v>
      </c>
      <c r="F788" s="1052">
        <f t="shared" si="130"/>
        <v>21.612200000000001</v>
      </c>
      <c r="G788" s="1052">
        <f t="shared" si="131"/>
        <v>9.4130000000000003</v>
      </c>
      <c r="H788" s="1047">
        <f t="shared" si="125"/>
        <v>10.7135</v>
      </c>
      <c r="I788" s="1048">
        <f t="shared" si="123"/>
        <v>6.5562141223689752E-2</v>
      </c>
      <c r="J788" s="1048">
        <f t="shared" si="126"/>
        <v>0.12093838824177333</v>
      </c>
      <c r="K788" s="1048">
        <f t="shared" si="127"/>
        <v>0.1</v>
      </c>
      <c r="L788" s="1048"/>
      <c r="N788" s="1051">
        <v>44089</v>
      </c>
      <c r="O788" s="1053">
        <v>11.415900000000001</v>
      </c>
      <c r="P788" s="1053">
        <v>2.2658</v>
      </c>
      <c r="Q788" s="1053">
        <v>11.5852</v>
      </c>
      <c r="R788" s="1054">
        <f>'B. PE'!$U$23</f>
        <v>15.978235616082999</v>
      </c>
      <c r="S788" s="1054"/>
      <c r="T788" s="1054"/>
      <c r="V788" s="1051">
        <v>44089</v>
      </c>
      <c r="W788" s="198">
        <v>7.2172999999999998</v>
      </c>
      <c r="X788" s="198">
        <v>0.50949999999999995</v>
      </c>
      <c r="Y788" s="198">
        <v>14.439299999999999</v>
      </c>
      <c r="Z788" s="198">
        <v>0.33065</v>
      </c>
      <c r="AB788" s="1051">
        <v>44055</v>
      </c>
      <c r="AC788" s="198">
        <v>17.8337</v>
      </c>
      <c r="AD788" s="1053">
        <v>1.0781000000000001</v>
      </c>
      <c r="AE788" s="198">
        <v>6.3151000000000002</v>
      </c>
      <c r="AF788" s="198">
        <v>2.2620000000000001E-2</v>
      </c>
      <c r="AH788" s="1051">
        <v>44055</v>
      </c>
      <c r="AI788" s="198">
        <v>10.656599999999999</v>
      </c>
      <c r="AJ788" s="198">
        <v>1.7677</v>
      </c>
      <c r="AK788" s="198">
        <v>4.5164</v>
      </c>
      <c r="AL788" s="198">
        <v>2.2009999999999998E-2</v>
      </c>
      <c r="AN788" s="1051">
        <v>44062</v>
      </c>
      <c r="AO788" s="198">
        <v>12.2986</v>
      </c>
      <c r="AP788" s="198">
        <v>1.2721</v>
      </c>
      <c r="AQ788" s="198">
        <v>6.3380000000000001</v>
      </c>
      <c r="AR788" s="198">
        <v>0.25285999999999997</v>
      </c>
      <c r="AT788" s="1051">
        <v>44062</v>
      </c>
      <c r="AU788" s="198">
        <v>7.8559999999999999</v>
      </c>
      <c r="AV788" s="198">
        <v>0.46679999999999999</v>
      </c>
      <c r="AW788" s="198">
        <v>5.9047999999999998</v>
      </c>
      <c r="AX788" s="198">
        <v>0.11688999999999999</v>
      </c>
      <c r="BA788" s="1051">
        <v>44048</v>
      </c>
      <c r="BB788" s="198">
        <v>7.4204999999999997</v>
      </c>
      <c r="BC788" s="198">
        <v>1.522</v>
      </c>
      <c r="BD788" s="198">
        <v>7.0879000000000003</v>
      </c>
      <c r="BE788" s="198">
        <v>0.34283999999999998</v>
      </c>
      <c r="BG788" s="1051">
        <v>44048</v>
      </c>
      <c r="BH788" s="198">
        <v>18.225200000000001</v>
      </c>
      <c r="BI788" s="198">
        <v>2.9666000000000001</v>
      </c>
      <c r="BJ788" s="198">
        <v>20.283300000000001</v>
      </c>
      <c r="BT788" s="1051">
        <v>44089</v>
      </c>
      <c r="BU788" s="198">
        <v>11.1297</v>
      </c>
      <c r="BV788" s="198">
        <v>2.9491000000000001</v>
      </c>
      <c r="BW788" s="198">
        <v>6.2412000000000001</v>
      </c>
      <c r="BX788" s="198">
        <v>1.3439000000000001</v>
      </c>
      <c r="BZ788" s="1051">
        <v>44089</v>
      </c>
      <c r="CA788" s="198">
        <v>27.62</v>
      </c>
      <c r="CB788" s="198">
        <v>1.5149999999999999</v>
      </c>
      <c r="CC788" s="198">
        <v>19.0502</v>
      </c>
      <c r="CD788" s="198">
        <v>0.60307999999999995</v>
      </c>
      <c r="CF788" s="1051">
        <v>44088</v>
      </c>
      <c r="CG788" s="198">
        <v>5.6856</v>
      </c>
      <c r="CH788" s="198">
        <v>0.84930000000000005</v>
      </c>
      <c r="CI788" s="198">
        <v>14.4025</v>
      </c>
      <c r="CL788" s="1051">
        <v>44109</v>
      </c>
      <c r="CM788" s="198">
        <v>26.1006</v>
      </c>
      <c r="CN788" s="198">
        <v>2.5482999999999998</v>
      </c>
      <c r="CO788" s="198">
        <v>10.917899999999999</v>
      </c>
    </row>
    <row r="789" spans="1:93" s="198" customFormat="1">
      <c r="A789" s="1051">
        <v>44088</v>
      </c>
      <c r="B789" s="1052">
        <f t="shared" si="122"/>
        <v>11.1838</v>
      </c>
      <c r="C789" s="1052">
        <f t="shared" si="124"/>
        <v>7.2332999999999998</v>
      </c>
      <c r="D789" s="1052">
        <f t="shared" si="128"/>
        <v>11.269500000000001</v>
      </c>
      <c r="E789" s="1052">
        <f t="shared" si="129"/>
        <v>10.604200000000001</v>
      </c>
      <c r="F789" s="1052">
        <f t="shared" si="130"/>
        <v>20.805800000000001</v>
      </c>
      <c r="G789" s="1052">
        <f t="shared" si="131"/>
        <v>9.4130000000000003</v>
      </c>
      <c r="H789" s="1047">
        <f t="shared" si="125"/>
        <v>10.604200000000001</v>
      </c>
      <c r="I789" s="1048">
        <f t="shared" si="123"/>
        <v>5.4657588502668775E-2</v>
      </c>
      <c r="J789" s="1048">
        <f t="shared" si="126"/>
        <v>0.12093838824177333</v>
      </c>
      <c r="K789" s="1048">
        <f t="shared" si="127"/>
        <v>0.1</v>
      </c>
      <c r="L789" s="1048"/>
      <c r="N789" s="1051">
        <v>44088</v>
      </c>
      <c r="O789" s="1053">
        <v>11.1838</v>
      </c>
      <c r="P789" s="1053">
        <v>2.2197</v>
      </c>
      <c r="Q789" s="1053">
        <v>11.373799999999999</v>
      </c>
      <c r="R789" s="1054">
        <f>'B. PE'!$U$23</f>
        <v>15.978235616082999</v>
      </c>
      <c r="S789" s="1054"/>
      <c r="T789" s="1054"/>
      <c r="V789" s="1051">
        <v>44088</v>
      </c>
      <c r="W789" s="198">
        <v>7.2332999999999998</v>
      </c>
      <c r="X789" s="198">
        <v>0.51060000000000005</v>
      </c>
      <c r="Y789" s="198">
        <v>14.4505</v>
      </c>
      <c r="Z789" s="198">
        <v>0.33028000000000002</v>
      </c>
      <c r="AB789" s="1051">
        <v>44054</v>
      </c>
      <c r="AC789" s="198">
        <v>18.420999999999999</v>
      </c>
      <c r="AD789" s="1053">
        <v>1.1136999999999999</v>
      </c>
      <c r="AE789" s="198">
        <v>6.4996999999999998</v>
      </c>
      <c r="AF789" s="198">
        <v>2.1989999999999999E-2</v>
      </c>
      <c r="AH789" s="1051">
        <v>44054</v>
      </c>
      <c r="AI789" s="198">
        <v>10.9971</v>
      </c>
      <c r="AJ789" s="198">
        <v>1.8241000000000001</v>
      </c>
      <c r="AK789" s="198">
        <v>4.6757999999999997</v>
      </c>
      <c r="AL789" s="198">
        <v>2.1319999999999999E-2</v>
      </c>
      <c r="AN789" s="1051">
        <v>44061</v>
      </c>
      <c r="AO789" s="198">
        <v>12.244</v>
      </c>
      <c r="AP789" s="198">
        <v>1.2665</v>
      </c>
      <c r="AQ789" s="198">
        <v>6.2930999999999999</v>
      </c>
      <c r="AR789" s="198">
        <v>0.25753999999999999</v>
      </c>
      <c r="AT789" s="1051">
        <v>44061</v>
      </c>
      <c r="AU789" s="198">
        <v>7.7740999999999998</v>
      </c>
      <c r="AV789" s="198">
        <v>0.46200000000000002</v>
      </c>
      <c r="AW789" s="198">
        <v>5.8617999999999997</v>
      </c>
      <c r="AX789" s="198">
        <v>0.11208</v>
      </c>
      <c r="BA789" s="1051">
        <v>44047</v>
      </c>
      <c r="BB789" s="198">
        <v>7.4204999999999997</v>
      </c>
      <c r="BC789" s="198">
        <v>1.522</v>
      </c>
      <c r="BD789" s="198">
        <v>7.0879000000000003</v>
      </c>
      <c r="BE789" s="198">
        <v>0.32640999999999998</v>
      </c>
      <c r="BG789" s="1051">
        <v>44047</v>
      </c>
      <c r="BH789" s="198">
        <v>18.225200000000001</v>
      </c>
      <c r="BI789" s="198">
        <v>2.9666000000000001</v>
      </c>
      <c r="BJ789" s="198">
        <v>20.283300000000001</v>
      </c>
      <c r="BT789" s="1051">
        <v>44088</v>
      </c>
      <c r="BU789" s="198">
        <v>11.1416</v>
      </c>
      <c r="BV789" s="198">
        <v>2.9523000000000001</v>
      </c>
      <c r="BW789" s="198">
        <v>6.2477999999999998</v>
      </c>
      <c r="BX789" s="198">
        <v>1.3511</v>
      </c>
      <c r="BZ789" s="1051">
        <v>44088</v>
      </c>
      <c r="CA789" s="198">
        <v>27.9541</v>
      </c>
      <c r="CB789" s="198">
        <v>1.5333000000000001</v>
      </c>
      <c r="CC789" s="198">
        <v>19.1769</v>
      </c>
      <c r="CD789" s="198">
        <v>0.61180999999999996</v>
      </c>
      <c r="CF789" s="1051">
        <v>44085</v>
      </c>
      <c r="CG789" s="198">
        <v>5.6276000000000002</v>
      </c>
      <c r="CH789" s="198">
        <v>0.84060000000000001</v>
      </c>
      <c r="CI789" s="198">
        <v>14.372199999999999</v>
      </c>
      <c r="CL789" s="1051">
        <v>44106</v>
      </c>
      <c r="CM789" s="198">
        <v>26.140499999999999</v>
      </c>
      <c r="CN789" s="198">
        <v>2.5522</v>
      </c>
      <c r="CO789" s="198">
        <v>10.9343</v>
      </c>
    </row>
    <row r="790" spans="1:93" s="198" customFormat="1">
      <c r="A790" s="1051">
        <v>44085</v>
      </c>
      <c r="B790" s="1052">
        <f t="shared" si="122"/>
        <v>11.099299999999999</v>
      </c>
      <c r="C790" s="1052">
        <f t="shared" si="124"/>
        <v>7.2732000000000001</v>
      </c>
      <c r="D790" s="1052">
        <f t="shared" si="128"/>
        <v>11.0992</v>
      </c>
      <c r="E790" s="1052">
        <f t="shared" si="129"/>
        <v>10.057600000000001</v>
      </c>
      <c r="F790" s="1052">
        <f t="shared" si="130"/>
        <v>20.967099999999999</v>
      </c>
      <c r="G790" s="1052">
        <f t="shared" si="131"/>
        <v>9.5504999999999995</v>
      </c>
      <c r="H790" s="1047">
        <f t="shared" si="125"/>
        <v>10.057600000000001</v>
      </c>
      <c r="I790" s="1048">
        <f t="shared" si="123"/>
        <v>0.10357341711740364</v>
      </c>
      <c r="J790" s="1048">
        <f t="shared" si="126"/>
        <v>0.12093838824177333</v>
      </c>
      <c r="K790" s="1048">
        <f t="shared" si="127"/>
        <v>0.1</v>
      </c>
      <c r="L790" s="1048"/>
      <c r="N790" s="1051">
        <v>44085</v>
      </c>
      <c r="O790" s="1053">
        <v>11.099299999999999</v>
      </c>
      <c r="P790" s="1053">
        <v>2.2029000000000001</v>
      </c>
      <c r="Q790" s="1053">
        <v>11.297000000000001</v>
      </c>
      <c r="R790" s="1054">
        <f>'B. PE'!$U$23</f>
        <v>15.978235616082999</v>
      </c>
      <c r="S790" s="1054"/>
      <c r="T790" s="1054"/>
      <c r="V790" s="1051">
        <v>44085</v>
      </c>
      <c r="W790" s="198">
        <v>7.2732000000000001</v>
      </c>
      <c r="X790" s="198">
        <v>0.51339999999999997</v>
      </c>
      <c r="Y790" s="198">
        <v>14.478300000000001</v>
      </c>
      <c r="Z790" s="198">
        <v>0.32079000000000002</v>
      </c>
      <c r="AB790" s="1051">
        <v>44053</v>
      </c>
      <c r="AC790" s="198">
        <v>17.8337</v>
      </c>
      <c r="AD790" s="1053">
        <v>1.0781000000000001</v>
      </c>
      <c r="AE790" s="198">
        <v>6.3151000000000002</v>
      </c>
      <c r="AF790" s="198">
        <v>2.0899999999999998E-2</v>
      </c>
      <c r="AH790" s="1051">
        <v>44053</v>
      </c>
      <c r="AI790" s="198">
        <v>11.065200000000001</v>
      </c>
      <c r="AJ790" s="198">
        <v>1.8353999999999999</v>
      </c>
      <c r="AK790" s="198">
        <v>4.7076000000000002</v>
      </c>
      <c r="AL790" s="198">
        <v>2.1590000000000002E-2</v>
      </c>
      <c r="AN790" s="1051">
        <v>44060</v>
      </c>
      <c r="AO790" s="198">
        <v>11.588100000000001</v>
      </c>
      <c r="AP790" s="198">
        <v>1.1986000000000001</v>
      </c>
      <c r="AQ790" s="198">
        <v>5.7546999999999997</v>
      </c>
      <c r="AR790" s="198">
        <v>0.27788000000000002</v>
      </c>
      <c r="AT790" s="1051">
        <v>44060</v>
      </c>
      <c r="AU790" s="198">
        <v>8.0196000000000005</v>
      </c>
      <c r="AV790" s="198">
        <v>0.47649999999999998</v>
      </c>
      <c r="AW790" s="198">
        <v>5.9908999999999999</v>
      </c>
      <c r="BA790" s="1051">
        <v>44046</v>
      </c>
      <c r="BB790" s="198">
        <v>7.3517999999999999</v>
      </c>
      <c r="BC790" s="198">
        <v>1.5079</v>
      </c>
      <c r="BD790" s="198">
        <v>7.0416999999999996</v>
      </c>
      <c r="BE790" s="198">
        <v>0.33790999999999999</v>
      </c>
      <c r="BG790" s="1051">
        <v>44046</v>
      </c>
      <c r="BH790" s="198">
        <v>18.547799999999999</v>
      </c>
      <c r="BI790" s="198">
        <v>3.0190999999999999</v>
      </c>
      <c r="BJ790" s="198">
        <v>20.571400000000001</v>
      </c>
      <c r="BT790" s="1051">
        <v>44085</v>
      </c>
      <c r="BU790" s="198">
        <v>11.1896</v>
      </c>
      <c r="BV790" s="198">
        <v>2.9649999999999999</v>
      </c>
      <c r="BW790" s="198">
        <v>6.2742000000000004</v>
      </c>
      <c r="BX790" s="198">
        <v>1.3436999999999999</v>
      </c>
      <c r="BZ790" s="1051">
        <v>44085</v>
      </c>
      <c r="CA790" s="198">
        <v>26.840399999999999</v>
      </c>
      <c r="CB790" s="198">
        <v>1.4722</v>
      </c>
      <c r="CC790" s="198">
        <v>18.7545</v>
      </c>
      <c r="CD790" s="198">
        <v>0.58796999999999999</v>
      </c>
      <c r="CF790" s="1051">
        <v>44084</v>
      </c>
      <c r="CG790" s="198">
        <v>5.6276000000000002</v>
      </c>
      <c r="CH790" s="198">
        <v>0.84060000000000001</v>
      </c>
      <c r="CI790" s="198">
        <v>14.372199999999999</v>
      </c>
      <c r="CL790" s="1051">
        <v>44105</v>
      </c>
      <c r="CM790" s="198">
        <v>25.821200000000001</v>
      </c>
      <c r="CN790" s="198">
        <v>2.5209999999999999</v>
      </c>
      <c r="CO790" s="198">
        <v>10.802899999999999</v>
      </c>
    </row>
    <row r="791" spans="1:93" s="198" customFormat="1">
      <c r="A791" s="1051">
        <v>44084</v>
      </c>
      <c r="B791" s="1052">
        <f t="shared" si="122"/>
        <v>10.8461</v>
      </c>
      <c r="C791" s="1052">
        <f t="shared" si="124"/>
        <v>7.2652999999999999</v>
      </c>
      <c r="D791" s="1052">
        <f t="shared" si="128"/>
        <v>10.5885</v>
      </c>
      <c r="E791" s="1052">
        <f t="shared" si="129"/>
        <v>9.5655999999999999</v>
      </c>
      <c r="F791" s="1052">
        <f t="shared" si="130"/>
        <v>21.612200000000001</v>
      </c>
      <c r="G791" s="1052">
        <f t="shared" si="131"/>
        <v>9.6879000000000008</v>
      </c>
      <c r="H791" s="1047">
        <f t="shared" si="125"/>
        <v>9.6879000000000008</v>
      </c>
      <c r="I791" s="1048">
        <f t="shared" si="123"/>
        <v>0.11955119272494552</v>
      </c>
      <c r="J791" s="1048">
        <f t="shared" si="126"/>
        <v>0.12093838824177333</v>
      </c>
      <c r="K791" s="1048">
        <f t="shared" si="127"/>
        <v>0.1</v>
      </c>
      <c r="L791" s="1048"/>
      <c r="N791" s="1051">
        <v>44084</v>
      </c>
      <c r="O791" s="1053">
        <v>10.8461</v>
      </c>
      <c r="P791" s="1053">
        <v>2.1526999999999998</v>
      </c>
      <c r="Q791" s="1053">
        <v>11.0663</v>
      </c>
      <c r="R791" s="1054">
        <f>'B. PE'!$U$23</f>
        <v>15.978235616082999</v>
      </c>
      <c r="S791" s="1054"/>
      <c r="T791" s="1054"/>
      <c r="V791" s="1051">
        <v>44084</v>
      </c>
      <c r="W791" s="198">
        <v>7.2652999999999999</v>
      </c>
      <c r="X791" s="198">
        <v>0.51280000000000003</v>
      </c>
      <c r="Y791" s="198">
        <v>14.472799999999999</v>
      </c>
      <c r="Z791" s="198">
        <v>0.32329000000000002</v>
      </c>
      <c r="AB791" s="1051">
        <v>44050</v>
      </c>
      <c r="AC791" s="198">
        <v>17.299700000000001</v>
      </c>
      <c r="AD791" s="1053">
        <v>1.0459000000000001</v>
      </c>
      <c r="AE791" s="198">
        <v>6.1473000000000004</v>
      </c>
      <c r="AF791" s="198">
        <v>2.087E-2</v>
      </c>
      <c r="AH791" s="1051">
        <v>44050</v>
      </c>
      <c r="AI791" s="198">
        <v>10.6907</v>
      </c>
      <c r="AJ791" s="198">
        <v>1.7733000000000001</v>
      </c>
      <c r="AK791" s="198">
        <v>4.5324</v>
      </c>
      <c r="AL791" s="198">
        <v>2.0250000000000001E-2</v>
      </c>
      <c r="AN791" s="1051">
        <v>44057</v>
      </c>
      <c r="AO791" s="198">
        <v>11.806699999999999</v>
      </c>
      <c r="AP791" s="198">
        <v>1.2212000000000001</v>
      </c>
      <c r="AQ791" s="198">
        <v>5.9341999999999997</v>
      </c>
      <c r="AR791" s="198">
        <v>0.28616000000000003</v>
      </c>
      <c r="AT791" s="1051">
        <v>44057</v>
      </c>
      <c r="AU791" s="198">
        <v>7.6923000000000004</v>
      </c>
      <c r="AV791" s="198">
        <v>0.45710000000000001</v>
      </c>
      <c r="AW791" s="198">
        <v>5.8188000000000004</v>
      </c>
      <c r="AX791" s="198">
        <v>0.11923</v>
      </c>
      <c r="BA791" s="1051">
        <v>44043</v>
      </c>
      <c r="BB791" s="198">
        <v>7.0083000000000002</v>
      </c>
      <c r="BC791" s="198">
        <v>1.4374</v>
      </c>
      <c r="BD791" s="198">
        <v>6.8106999999999998</v>
      </c>
      <c r="BE791" s="198">
        <v>0.34072000000000002</v>
      </c>
      <c r="BG791" s="1051">
        <v>44043</v>
      </c>
      <c r="BH791" s="198">
        <v>18.386500000000002</v>
      </c>
      <c r="BI791" s="198">
        <v>2.9927999999999999</v>
      </c>
      <c r="BJ791" s="198">
        <v>20.427399999999999</v>
      </c>
      <c r="BT791" s="1051">
        <v>44084</v>
      </c>
      <c r="BU791" s="198">
        <v>11.249499999999999</v>
      </c>
      <c r="BV791" s="198">
        <v>2.9809000000000001</v>
      </c>
      <c r="BW791" s="198">
        <v>6.3071000000000002</v>
      </c>
      <c r="BX791" s="198">
        <v>1.3391999999999999</v>
      </c>
      <c r="BZ791" s="1051">
        <v>44084</v>
      </c>
      <c r="CA791" s="198">
        <v>27.2302</v>
      </c>
      <c r="CB791" s="198">
        <v>1.4936</v>
      </c>
      <c r="CC791" s="198">
        <v>18.9024</v>
      </c>
      <c r="CD791" s="198">
        <v>0.58413999999999999</v>
      </c>
      <c r="CF791" s="1051">
        <v>44083</v>
      </c>
      <c r="CG791" s="198">
        <v>5.6276000000000002</v>
      </c>
      <c r="CH791" s="198">
        <v>0.84060000000000001</v>
      </c>
      <c r="CI791" s="198">
        <v>14.372199999999999</v>
      </c>
      <c r="CL791" s="1051">
        <v>44104</v>
      </c>
      <c r="CM791" s="198">
        <v>25.6416</v>
      </c>
      <c r="CN791" s="198">
        <v>2.5034999999999998</v>
      </c>
      <c r="CO791" s="198">
        <v>10.728899999999999</v>
      </c>
    </row>
    <row r="792" spans="1:93" s="198" customFormat="1">
      <c r="A792" s="1051">
        <v>44083</v>
      </c>
      <c r="B792" s="1052">
        <f t="shared" si="122"/>
        <v>10.9305</v>
      </c>
      <c r="C792" s="1052">
        <f t="shared" si="124"/>
        <v>7.0574000000000003</v>
      </c>
      <c r="D792" s="1052">
        <f t="shared" si="128"/>
        <v>11.371600000000001</v>
      </c>
      <c r="E792" s="1052">
        <f t="shared" si="129"/>
        <v>10.4948</v>
      </c>
      <c r="F792" s="1052">
        <f t="shared" si="130"/>
        <v>22.257400000000001</v>
      </c>
      <c r="G792" s="1052">
        <f t="shared" si="131"/>
        <v>9.3443000000000005</v>
      </c>
      <c r="H792" s="1047">
        <f t="shared" si="125"/>
        <v>10.4948</v>
      </c>
      <c r="I792" s="1048">
        <f t="shared" si="123"/>
        <v>4.1515798300110651E-2</v>
      </c>
      <c r="J792" s="1048">
        <f t="shared" si="126"/>
        <v>0.12093838824177333</v>
      </c>
      <c r="K792" s="1048">
        <f t="shared" si="127"/>
        <v>0.1</v>
      </c>
      <c r="L792" s="1048"/>
      <c r="N792" s="1051">
        <v>44083</v>
      </c>
      <c r="O792" s="1053">
        <v>10.9305</v>
      </c>
      <c r="P792" s="1053">
        <v>2.1694</v>
      </c>
      <c r="Q792" s="1053">
        <v>11.1432</v>
      </c>
      <c r="R792" s="1054">
        <f>'B. PE'!$U$23</f>
        <v>15.978235616082999</v>
      </c>
      <c r="S792" s="1054"/>
      <c r="T792" s="1054"/>
      <c r="V792" s="1051">
        <v>44083</v>
      </c>
      <c r="W792" s="198">
        <v>7.0574000000000003</v>
      </c>
      <c r="X792" s="198">
        <v>0.49819999999999998</v>
      </c>
      <c r="Y792" s="198">
        <v>14.3278</v>
      </c>
      <c r="Z792" s="198">
        <v>0.31597999999999998</v>
      </c>
      <c r="AB792" s="1051">
        <v>44049</v>
      </c>
      <c r="AC792" s="198">
        <v>16.285299999999999</v>
      </c>
      <c r="AD792" s="1053">
        <v>0.98450000000000004</v>
      </c>
      <c r="AE792" s="198">
        <v>5.8285</v>
      </c>
      <c r="AF792" s="198">
        <v>2.0320000000000001E-2</v>
      </c>
      <c r="AH792" s="1051">
        <v>44049</v>
      </c>
      <c r="AI792" s="198">
        <v>10.7247</v>
      </c>
      <c r="AJ792" s="198">
        <v>1.7789999999999999</v>
      </c>
      <c r="AK792" s="198">
        <v>4.5483000000000002</v>
      </c>
      <c r="AL792" s="198">
        <v>1.9910000000000001E-2</v>
      </c>
      <c r="AN792" s="1051">
        <v>44056</v>
      </c>
      <c r="AO792" s="198">
        <v>12.735900000000001</v>
      </c>
      <c r="AP792" s="198">
        <v>1.3172999999999999</v>
      </c>
      <c r="AQ792" s="198">
        <v>6.6970000000000001</v>
      </c>
      <c r="AR792" s="198">
        <v>0.28599000000000002</v>
      </c>
      <c r="AT792" s="1051">
        <v>44056</v>
      </c>
      <c r="AW792" s="198">
        <v>6.0769000000000002</v>
      </c>
      <c r="AX792" s="198">
        <v>0.11916</v>
      </c>
      <c r="BA792" s="1051">
        <v>44042</v>
      </c>
      <c r="BB792" s="198">
        <v>7.2831000000000001</v>
      </c>
      <c r="BC792" s="198">
        <v>1.4938</v>
      </c>
      <c r="BD792" s="198">
        <v>6.9954999999999998</v>
      </c>
      <c r="BE792" s="198">
        <v>0.34438999999999997</v>
      </c>
      <c r="BG792" s="1051">
        <v>44042</v>
      </c>
      <c r="BH792" s="198">
        <v>18.709099999999999</v>
      </c>
      <c r="BI792" s="198">
        <v>3.0453999999999999</v>
      </c>
      <c r="BJ792" s="198">
        <v>20.715499999999999</v>
      </c>
      <c r="BT792" s="1051">
        <v>44083</v>
      </c>
      <c r="BU792" s="198">
        <v>11.1896</v>
      </c>
      <c r="BV792" s="198">
        <v>2.9649999999999999</v>
      </c>
      <c r="BW792" s="198">
        <v>6.2742000000000004</v>
      </c>
      <c r="BX792" s="198">
        <v>1.2988</v>
      </c>
      <c r="BZ792" s="1051">
        <v>44083</v>
      </c>
      <c r="CA792" s="198">
        <v>26.1722</v>
      </c>
      <c r="CB792" s="198">
        <v>1.4356</v>
      </c>
      <c r="CC792" s="198">
        <v>18.501100000000001</v>
      </c>
      <c r="CD792" s="198">
        <v>0.57530999999999999</v>
      </c>
      <c r="CF792" s="1051">
        <v>44082</v>
      </c>
      <c r="CG792" s="198">
        <v>5.5696000000000003</v>
      </c>
      <c r="CH792" s="198">
        <v>0.83199999999999996</v>
      </c>
      <c r="CI792" s="198">
        <v>14.341900000000001</v>
      </c>
      <c r="CL792" s="1051">
        <v>44103</v>
      </c>
      <c r="CM792" s="198">
        <v>25.581700000000001</v>
      </c>
      <c r="CN792" s="198">
        <v>2.4975999999999998</v>
      </c>
      <c r="CO792" s="198">
        <v>10.7043</v>
      </c>
    </row>
    <row r="793" spans="1:93" s="198" customFormat="1">
      <c r="A793" s="1051">
        <v>44082</v>
      </c>
      <c r="B793" s="1052">
        <f t="shared" si="122"/>
        <v>10.3291</v>
      </c>
      <c r="C793" s="1052">
        <f t="shared" si="124"/>
        <v>7.1134000000000004</v>
      </c>
      <c r="D793" s="1052">
        <f t="shared" si="128"/>
        <v>11.575900000000001</v>
      </c>
      <c r="E793" s="1052">
        <f t="shared" si="129"/>
        <v>11.1508</v>
      </c>
      <c r="F793" s="1052">
        <f t="shared" si="130"/>
        <v>21.773499999999999</v>
      </c>
      <c r="G793" s="1052">
        <f t="shared" si="131"/>
        <v>9.5504999999999995</v>
      </c>
      <c r="H793" s="1047">
        <f t="shared" si="125"/>
        <v>11.1508</v>
      </c>
      <c r="I793" s="1048">
        <f t="shared" si="123"/>
        <v>-7.3689780105463232E-2</v>
      </c>
      <c r="J793" s="1048">
        <f t="shared" si="126"/>
        <v>0.12093838824177333</v>
      </c>
      <c r="K793" s="1048">
        <f t="shared" si="127"/>
        <v>0.1</v>
      </c>
      <c r="L793" s="1048"/>
      <c r="N793" s="1051">
        <v>44082</v>
      </c>
      <c r="O793" s="1053">
        <v>10.3291</v>
      </c>
      <c r="P793" s="1053">
        <v>2.0501</v>
      </c>
      <c r="Q793" s="1053">
        <v>10.595499999999999</v>
      </c>
      <c r="R793" s="1054">
        <f>'B. PE'!$U$23</f>
        <v>15.978235616082999</v>
      </c>
      <c r="S793" s="1054"/>
      <c r="T793" s="1054"/>
      <c r="V793" s="1051">
        <v>44082</v>
      </c>
      <c r="W793" s="198">
        <v>7.1134000000000004</v>
      </c>
      <c r="X793" s="198">
        <v>0.50209999999999999</v>
      </c>
      <c r="Y793" s="198">
        <v>14.3668</v>
      </c>
      <c r="Z793" s="198">
        <v>0.32516</v>
      </c>
      <c r="AB793" s="1051">
        <v>44048</v>
      </c>
      <c r="AC793" s="198">
        <v>16.1785</v>
      </c>
      <c r="AD793" s="1053">
        <v>0.97809999999999997</v>
      </c>
      <c r="AE793" s="198">
        <v>5.7949999999999999</v>
      </c>
      <c r="AF793" s="198">
        <v>2.0250000000000001E-2</v>
      </c>
      <c r="AH793" s="1051">
        <v>44048</v>
      </c>
      <c r="AI793" s="198">
        <v>10.0097</v>
      </c>
      <c r="AJ793" s="198">
        <v>1.6604000000000001</v>
      </c>
      <c r="AK793" s="198">
        <v>4.2137000000000002</v>
      </c>
      <c r="AL793" s="198">
        <v>1.916E-2</v>
      </c>
      <c r="AN793" s="1051">
        <v>44055</v>
      </c>
      <c r="AO793" s="198">
        <v>13.118600000000001</v>
      </c>
      <c r="AP793" s="198">
        <v>1.3569</v>
      </c>
      <c r="AQ793" s="198">
        <v>7.0110999999999999</v>
      </c>
      <c r="AR793" s="198">
        <v>0.29544999999999999</v>
      </c>
      <c r="AT793" s="1051">
        <v>44055</v>
      </c>
      <c r="AU793" s="198">
        <v>8.1832999999999991</v>
      </c>
      <c r="AV793" s="198">
        <v>0.48630000000000001</v>
      </c>
      <c r="AW793" s="198">
        <v>6.0769000000000002</v>
      </c>
      <c r="AX793" s="198">
        <v>0.11913</v>
      </c>
      <c r="BA793" s="1051">
        <v>44041</v>
      </c>
      <c r="BB793" s="198">
        <v>7.3517999999999999</v>
      </c>
      <c r="BC793" s="198">
        <v>1.5079</v>
      </c>
      <c r="BD793" s="198">
        <v>7.0416999999999996</v>
      </c>
      <c r="BE793" s="198">
        <v>0.35010999999999998</v>
      </c>
      <c r="BG793" s="1051">
        <v>44041</v>
      </c>
      <c r="BH793" s="198">
        <v>18.064</v>
      </c>
      <c r="BI793" s="198">
        <v>2.9403000000000001</v>
      </c>
      <c r="BJ793" s="198">
        <v>20.139199999999999</v>
      </c>
      <c r="BT793" s="1051">
        <v>44082</v>
      </c>
      <c r="BU793" s="198">
        <v>11.153600000000001</v>
      </c>
      <c r="BV793" s="198">
        <v>2.9554999999999998</v>
      </c>
      <c r="BW793" s="198">
        <v>6.2544000000000004</v>
      </c>
      <c r="BX793" s="198">
        <v>1.3537999999999999</v>
      </c>
      <c r="BZ793" s="1051">
        <v>44082</v>
      </c>
      <c r="CA793" s="198">
        <v>26.005099999999999</v>
      </c>
      <c r="CB793" s="198">
        <v>1.4263999999999999</v>
      </c>
      <c r="CC793" s="198">
        <v>18.437799999999999</v>
      </c>
      <c r="CD793" s="198">
        <v>0.58548999999999995</v>
      </c>
      <c r="CF793" s="1051">
        <v>44081</v>
      </c>
      <c r="CG793" s="198">
        <v>5.5115999999999996</v>
      </c>
      <c r="CH793" s="198">
        <v>0.82330000000000003</v>
      </c>
      <c r="CI793" s="198">
        <v>14.3116</v>
      </c>
      <c r="CL793" s="1051">
        <v>44102</v>
      </c>
      <c r="CM793" s="198">
        <v>25.6815</v>
      </c>
      <c r="CN793" s="198">
        <v>2.5072999999999999</v>
      </c>
      <c r="CO793" s="198">
        <v>10.7454</v>
      </c>
    </row>
    <row r="794" spans="1:93" s="198" customFormat="1">
      <c r="A794" s="1051">
        <v>44081</v>
      </c>
      <c r="B794" s="1052">
        <f t="shared" si="122"/>
        <v>10.0548</v>
      </c>
      <c r="C794" s="1052">
        <f t="shared" si="124"/>
        <v>6.9535</v>
      </c>
      <c r="D794" s="1052">
        <f t="shared" si="128"/>
        <v>11.5419</v>
      </c>
      <c r="E794" s="1052">
        <f t="shared" si="129"/>
        <v>11.588100000000001</v>
      </c>
      <c r="F794" s="1052">
        <f t="shared" si="130"/>
        <v>21.773499999999999</v>
      </c>
      <c r="G794" s="1052">
        <f t="shared" si="131"/>
        <v>9.5504999999999995</v>
      </c>
      <c r="H794" s="1047">
        <f t="shared" si="125"/>
        <v>11.5419</v>
      </c>
      <c r="I794" s="1048">
        <f t="shared" si="123"/>
        <v>-0.12884360460582744</v>
      </c>
      <c r="J794" s="1048">
        <f t="shared" si="126"/>
        <v>0.12093838824177333</v>
      </c>
      <c r="K794" s="1048">
        <f t="shared" si="127"/>
        <v>0.1</v>
      </c>
      <c r="L794" s="1048"/>
      <c r="N794" s="1051">
        <v>44081</v>
      </c>
      <c r="O794" s="1053">
        <v>10.0548</v>
      </c>
      <c r="P794" s="1053">
        <v>1.9956</v>
      </c>
      <c r="Q794" s="1053">
        <v>10.345599999999999</v>
      </c>
      <c r="R794" s="1054">
        <f>'B. PE'!$U$23</f>
        <v>15.978235616082999</v>
      </c>
      <c r="S794" s="1054"/>
      <c r="T794" s="1054"/>
      <c r="V794" s="1051">
        <v>44081</v>
      </c>
      <c r="W794" s="198">
        <v>6.9535</v>
      </c>
      <c r="X794" s="198">
        <v>0.49080000000000001</v>
      </c>
      <c r="Y794" s="198">
        <v>14.2553</v>
      </c>
      <c r="Z794" s="198">
        <v>0.32689000000000001</v>
      </c>
      <c r="AB794" s="1051">
        <v>44047</v>
      </c>
      <c r="AC794" s="198">
        <v>15.9115</v>
      </c>
      <c r="AD794" s="1053">
        <v>0.96189999999999998</v>
      </c>
      <c r="AE794" s="198">
        <v>5.7111000000000001</v>
      </c>
      <c r="AF794" s="198">
        <v>1.9980000000000001E-2</v>
      </c>
      <c r="AH794" s="1051">
        <v>44047</v>
      </c>
      <c r="AI794" s="198">
        <v>9.9417000000000009</v>
      </c>
      <c r="AJ794" s="198">
        <v>1.6491</v>
      </c>
      <c r="AK794" s="198">
        <v>4.1818</v>
      </c>
      <c r="AL794" s="198">
        <v>1.9570000000000001E-2</v>
      </c>
      <c r="AN794" s="1051">
        <v>44054</v>
      </c>
      <c r="AO794" s="198">
        <v>13.118600000000001</v>
      </c>
      <c r="AP794" s="198">
        <v>1.3569</v>
      </c>
      <c r="AQ794" s="198">
        <v>7.0110999999999999</v>
      </c>
      <c r="AR794" s="198">
        <v>0.30686999999999998</v>
      </c>
      <c r="AT794" s="1051">
        <v>44054</v>
      </c>
      <c r="AU794" s="198">
        <v>8.1832999999999991</v>
      </c>
      <c r="AV794" s="198">
        <v>0.48630000000000001</v>
      </c>
      <c r="AW794" s="198">
        <v>6.0769000000000002</v>
      </c>
      <c r="AX794" s="198">
        <v>0.12179</v>
      </c>
      <c r="BA794" s="1051">
        <v>44036</v>
      </c>
      <c r="BB794" s="198">
        <v>7.4892000000000003</v>
      </c>
      <c r="BC794" s="198">
        <v>1.5361</v>
      </c>
      <c r="BD794" s="198">
        <v>7.1340000000000003</v>
      </c>
      <c r="BE794" s="198">
        <v>0.35108</v>
      </c>
      <c r="BG794" s="1051">
        <v>44036</v>
      </c>
      <c r="BH794" s="198">
        <v>16.128499999999999</v>
      </c>
      <c r="BI794" s="198">
        <v>2.6253000000000002</v>
      </c>
      <c r="BJ794" s="198">
        <v>18.410399999999999</v>
      </c>
      <c r="BT794" s="1051">
        <v>44081</v>
      </c>
      <c r="BU794" s="198">
        <v>10.818199999999999</v>
      </c>
      <c r="BV794" s="198">
        <v>2.8666</v>
      </c>
      <c r="BW794" s="198">
        <v>6.07</v>
      </c>
      <c r="BX794" s="198">
        <v>1.3634999999999999</v>
      </c>
      <c r="BZ794" s="1051">
        <v>44081</v>
      </c>
      <c r="CA794" s="198">
        <v>25.615300000000001</v>
      </c>
      <c r="CB794" s="198">
        <v>1.405</v>
      </c>
      <c r="CC794" s="198">
        <v>18.29</v>
      </c>
      <c r="CD794" s="198">
        <v>0.59533999999999998</v>
      </c>
      <c r="CF794" s="1051">
        <v>44078</v>
      </c>
      <c r="CG794" s="198">
        <v>5.6276000000000002</v>
      </c>
      <c r="CH794" s="198">
        <v>0.84060000000000001</v>
      </c>
      <c r="CI794" s="198">
        <v>14.372199999999999</v>
      </c>
      <c r="CL794" s="1051">
        <v>44099</v>
      </c>
      <c r="CM794" s="198">
        <v>25.4421</v>
      </c>
      <c r="CN794" s="198">
        <v>2.484</v>
      </c>
      <c r="CO794" s="198">
        <v>10.646800000000001</v>
      </c>
    </row>
    <row r="795" spans="1:93" s="198" customFormat="1">
      <c r="A795" s="1051">
        <v>44078</v>
      </c>
      <c r="B795" s="1052">
        <f t="shared" si="122"/>
        <v>10.2658</v>
      </c>
      <c r="C795" s="1052">
        <f t="shared" si="124"/>
        <v>7.1534000000000004</v>
      </c>
      <c r="D795" s="1052">
        <f t="shared" si="128"/>
        <v>11.575900000000001</v>
      </c>
      <c r="E795" s="1052">
        <f t="shared" si="129"/>
        <v>11.6974</v>
      </c>
      <c r="F795" s="1052">
        <f t="shared" si="130"/>
        <v>21.773499999999999</v>
      </c>
      <c r="G795" s="1052">
        <f t="shared" si="131"/>
        <v>9.5504999999999995</v>
      </c>
      <c r="H795" s="1047">
        <f t="shared" si="125"/>
        <v>11.575900000000001</v>
      </c>
      <c r="I795" s="1048">
        <f t="shared" si="123"/>
        <v>-0.11317478554583227</v>
      </c>
      <c r="J795" s="1048">
        <f t="shared" si="126"/>
        <v>0.12093838824177333</v>
      </c>
      <c r="K795" s="1048">
        <f t="shared" si="127"/>
        <v>0.1</v>
      </c>
      <c r="L795" s="1048"/>
      <c r="N795" s="1051">
        <v>44078</v>
      </c>
      <c r="O795" s="1053">
        <v>10.2658</v>
      </c>
      <c r="P795" s="1053">
        <v>2.0375000000000001</v>
      </c>
      <c r="Q795" s="1053">
        <v>10.537800000000001</v>
      </c>
      <c r="R795" s="1054">
        <f>'B. PE'!$U$23</f>
        <v>15.978235616082999</v>
      </c>
      <c r="S795" s="1054"/>
      <c r="T795" s="1054"/>
      <c r="V795" s="1051">
        <v>44078</v>
      </c>
      <c r="W795" s="198">
        <v>7.1534000000000004</v>
      </c>
      <c r="X795" s="198">
        <v>0.505</v>
      </c>
      <c r="Y795" s="198">
        <v>14.3947</v>
      </c>
      <c r="Z795" s="198">
        <v>0.33283000000000001</v>
      </c>
      <c r="AB795" s="1051">
        <v>44046</v>
      </c>
      <c r="AC795" s="198">
        <v>15.9115</v>
      </c>
      <c r="AD795" s="1053">
        <v>0.96189999999999998</v>
      </c>
      <c r="AE795" s="198">
        <v>5.7111000000000001</v>
      </c>
      <c r="AF795" s="198">
        <v>1.9800000000000002E-2</v>
      </c>
      <c r="AH795" s="1051">
        <v>44046</v>
      </c>
      <c r="AI795" s="198">
        <v>9.6012000000000004</v>
      </c>
      <c r="AJ795" s="198">
        <v>1.5926</v>
      </c>
      <c r="AK795" s="198">
        <v>4.0225</v>
      </c>
      <c r="AL795" s="198">
        <v>1.9800000000000002E-2</v>
      </c>
      <c r="AN795" s="1051">
        <v>44053</v>
      </c>
      <c r="AO795" s="198">
        <v>13.5558</v>
      </c>
      <c r="AP795" s="198">
        <v>1.4021999999999999</v>
      </c>
      <c r="AQ795" s="198">
        <v>7.37</v>
      </c>
      <c r="AR795" s="198">
        <v>0.31991999999999998</v>
      </c>
      <c r="AT795" s="1051">
        <v>44053</v>
      </c>
      <c r="AU795" s="198">
        <v>8.1832999999999991</v>
      </c>
      <c r="AV795" s="198">
        <v>0.48630000000000001</v>
      </c>
      <c r="AW795" s="198">
        <v>6.0769000000000002</v>
      </c>
      <c r="AX795" s="198">
        <v>0.12296</v>
      </c>
      <c r="BA795" s="1051">
        <v>44035</v>
      </c>
      <c r="BB795" s="198">
        <v>7.6265999999999998</v>
      </c>
      <c r="BC795" s="198">
        <v>1.5642</v>
      </c>
      <c r="BD795" s="198">
        <v>7.2263999999999999</v>
      </c>
      <c r="BE795" s="198">
        <v>0.34917999999999999</v>
      </c>
      <c r="BG795" s="1051">
        <v>44035</v>
      </c>
      <c r="BH795" s="198">
        <v>15.805999999999999</v>
      </c>
      <c r="BI795" s="198">
        <v>2.5728</v>
      </c>
      <c r="BJ795" s="198">
        <v>18.122199999999999</v>
      </c>
      <c r="BT795" s="1051">
        <v>44078</v>
      </c>
      <c r="BU795" s="198">
        <v>11.273400000000001</v>
      </c>
      <c r="BV795" s="198">
        <v>2.9872000000000001</v>
      </c>
      <c r="BW795" s="198">
        <v>6.3202999999999996</v>
      </c>
      <c r="BX795" s="198">
        <v>1.3496999999999999</v>
      </c>
      <c r="BZ795" s="1051">
        <v>44078</v>
      </c>
      <c r="CA795" s="198">
        <v>26.0608</v>
      </c>
      <c r="CB795" s="198">
        <v>1.4295</v>
      </c>
      <c r="CC795" s="198">
        <v>18.4589</v>
      </c>
      <c r="CD795" s="198">
        <v>0.59933000000000003</v>
      </c>
      <c r="CF795" s="1051">
        <v>44077</v>
      </c>
      <c r="CG795" s="198">
        <v>5.7436999999999996</v>
      </c>
      <c r="CH795" s="198">
        <v>0.85799999999999998</v>
      </c>
      <c r="CI795" s="198">
        <v>14.432700000000001</v>
      </c>
      <c r="CL795" s="1051">
        <v>44098</v>
      </c>
      <c r="CM795" s="198">
        <v>26.060600000000001</v>
      </c>
      <c r="CN795" s="198">
        <v>2.5444</v>
      </c>
      <c r="CO795" s="198">
        <v>10.9015</v>
      </c>
    </row>
    <row r="796" spans="1:93" s="198" customFormat="1">
      <c r="A796" s="1051">
        <v>44077</v>
      </c>
      <c r="B796" s="1052">
        <f t="shared" si="122"/>
        <v>10.3291</v>
      </c>
      <c r="C796" s="1052">
        <f t="shared" si="124"/>
        <v>7.1932999999999998</v>
      </c>
      <c r="D796" s="1052">
        <f t="shared" si="128"/>
        <v>11.6099</v>
      </c>
      <c r="E796" s="1052">
        <f t="shared" si="129"/>
        <v>11.588100000000001</v>
      </c>
      <c r="F796" s="1052">
        <f t="shared" si="130"/>
        <v>21.934799999999999</v>
      </c>
      <c r="G796" s="1052">
        <f t="shared" si="131"/>
        <v>9.8253000000000004</v>
      </c>
      <c r="H796" s="1047">
        <f t="shared" si="125"/>
        <v>11.588100000000001</v>
      </c>
      <c r="I796" s="1048">
        <f t="shared" si="123"/>
        <v>-0.108645938505881</v>
      </c>
      <c r="J796" s="1048">
        <f t="shared" si="126"/>
        <v>0.12093838824177333</v>
      </c>
      <c r="K796" s="1048">
        <f t="shared" si="127"/>
        <v>0.1</v>
      </c>
      <c r="L796" s="1048"/>
      <c r="N796" s="1051">
        <v>44077</v>
      </c>
      <c r="O796" s="1053">
        <v>10.3291</v>
      </c>
      <c r="P796" s="1053">
        <v>2.0501</v>
      </c>
      <c r="Q796" s="1053">
        <v>10.595499999999999</v>
      </c>
      <c r="R796" s="1054">
        <f>'B. PE'!$U$23</f>
        <v>15.978235616082999</v>
      </c>
      <c r="S796" s="1054"/>
      <c r="T796" s="1054"/>
      <c r="V796" s="1051">
        <v>44077</v>
      </c>
      <c r="W796" s="198">
        <v>7.1932999999999998</v>
      </c>
      <c r="X796" s="198">
        <v>0.50780000000000003</v>
      </c>
      <c r="Y796" s="198">
        <v>14.422599999999999</v>
      </c>
      <c r="Z796" s="198">
        <v>0.32834999999999998</v>
      </c>
      <c r="AB796" s="1051">
        <v>44042</v>
      </c>
      <c r="AC796" s="198">
        <v>15.697900000000001</v>
      </c>
      <c r="AD796" s="1053">
        <v>0.94899999999999995</v>
      </c>
      <c r="AE796" s="198">
        <v>5.6440000000000001</v>
      </c>
      <c r="AF796" s="198">
        <v>1.983E-2</v>
      </c>
      <c r="AH796" s="1051">
        <v>44042</v>
      </c>
      <c r="AI796" s="198">
        <v>9.8055000000000003</v>
      </c>
      <c r="AJ796" s="198">
        <v>1.6265000000000001</v>
      </c>
      <c r="AK796" s="198">
        <v>4.1181000000000001</v>
      </c>
      <c r="AL796" s="198">
        <v>1.9890000000000001E-2</v>
      </c>
      <c r="AN796" s="1051">
        <v>44050</v>
      </c>
      <c r="AO796" s="198">
        <v>14.047800000000001</v>
      </c>
      <c r="AP796" s="198">
        <v>1.4530000000000001</v>
      </c>
      <c r="AQ796" s="198">
        <v>7.7739000000000003</v>
      </c>
      <c r="AR796" s="198">
        <v>0.31842999999999999</v>
      </c>
      <c r="AT796" s="1051">
        <v>44050</v>
      </c>
      <c r="AU796" s="198">
        <v>8.3469999999999995</v>
      </c>
      <c r="AV796" s="198">
        <v>0.496</v>
      </c>
      <c r="AW796" s="198">
        <v>6.1628999999999996</v>
      </c>
      <c r="BA796" s="1051">
        <v>44034</v>
      </c>
      <c r="BB796" s="198">
        <v>7.6265999999999998</v>
      </c>
      <c r="BC796" s="198">
        <v>1.5642</v>
      </c>
      <c r="BD796" s="198">
        <v>7.2263999999999999</v>
      </c>
      <c r="BE796" s="198">
        <v>0.34265000000000001</v>
      </c>
      <c r="BG796" s="1051">
        <v>44034</v>
      </c>
      <c r="BH796" s="198">
        <v>14.8383</v>
      </c>
      <c r="BI796" s="198">
        <v>2.4152999999999998</v>
      </c>
      <c r="BJ796" s="198">
        <v>17.2578</v>
      </c>
      <c r="BT796" s="1051">
        <v>44077</v>
      </c>
      <c r="BU796" s="198">
        <v>11.3573</v>
      </c>
      <c r="BV796" s="198">
        <v>3.0093999999999999</v>
      </c>
      <c r="BW796" s="198">
        <v>6.3663999999999996</v>
      </c>
      <c r="BX796" s="198">
        <v>1.3433999999999999</v>
      </c>
      <c r="BZ796" s="1051">
        <v>44077</v>
      </c>
      <c r="CA796" s="198">
        <v>26.5063</v>
      </c>
      <c r="CB796" s="198">
        <v>1.4539</v>
      </c>
      <c r="CC796" s="198">
        <v>18.627800000000001</v>
      </c>
      <c r="CD796" s="198">
        <v>0.59533999999999998</v>
      </c>
      <c r="CF796" s="1051">
        <v>44075</v>
      </c>
      <c r="CG796" s="198">
        <v>5.8017000000000003</v>
      </c>
      <c r="CH796" s="198">
        <v>0.86660000000000004</v>
      </c>
      <c r="CI796" s="198">
        <v>14.462999999999999</v>
      </c>
      <c r="CL796" s="1051">
        <v>44097</v>
      </c>
      <c r="CM796" s="198">
        <v>26.479700000000001</v>
      </c>
      <c r="CN796" s="198">
        <v>2.5853000000000002</v>
      </c>
      <c r="CO796" s="198">
        <v>11.074</v>
      </c>
    </row>
    <row r="797" spans="1:93" s="198" customFormat="1">
      <c r="A797" s="1051">
        <v>44075</v>
      </c>
      <c r="B797" s="1052">
        <f t="shared" si="122"/>
        <v>10.339700000000001</v>
      </c>
      <c r="C797" s="1052">
        <f t="shared" si="124"/>
        <v>7.3212000000000002</v>
      </c>
      <c r="D797" s="1052">
        <f t="shared" si="128"/>
        <v>10.895</v>
      </c>
      <c r="E797" s="1052">
        <f t="shared" si="129"/>
        <v>12.08</v>
      </c>
      <c r="F797" s="1052">
        <f t="shared" si="130"/>
        <v>20.160699999999999</v>
      </c>
      <c r="G797" s="1052">
        <f t="shared" si="131"/>
        <v>9.6879000000000008</v>
      </c>
      <c r="H797" s="1047">
        <f t="shared" si="125"/>
        <v>10.895</v>
      </c>
      <c r="I797" s="1048">
        <f t="shared" si="123"/>
        <v>-5.0968334098210111E-2</v>
      </c>
      <c r="J797" s="1048">
        <f t="shared" si="126"/>
        <v>0.12093838824177333</v>
      </c>
      <c r="K797" s="1048">
        <f t="shared" si="127"/>
        <v>0.1</v>
      </c>
      <c r="L797" s="1048"/>
      <c r="N797" s="1051">
        <v>44075</v>
      </c>
      <c r="O797" s="1053">
        <v>10.339700000000001</v>
      </c>
      <c r="P797" s="1053">
        <v>2.0522</v>
      </c>
      <c r="Q797" s="1053">
        <v>10.6051</v>
      </c>
      <c r="R797" s="1054">
        <f>'B. PE'!$U$23</f>
        <v>15.978235616082999</v>
      </c>
      <c r="S797" s="1054"/>
      <c r="T797" s="1054"/>
      <c r="V797" s="1051">
        <v>44075</v>
      </c>
      <c r="W797" s="198">
        <v>7.3212000000000002</v>
      </c>
      <c r="X797" s="198">
        <v>0.51680000000000004</v>
      </c>
      <c r="Y797" s="198">
        <v>14.511799999999999</v>
      </c>
      <c r="Z797" s="198">
        <v>0.33391999999999999</v>
      </c>
      <c r="AB797" s="1051">
        <v>44041</v>
      </c>
      <c r="AC797" s="198">
        <v>15.484299999999999</v>
      </c>
      <c r="AD797" s="1053">
        <v>0.93610000000000004</v>
      </c>
      <c r="AE797" s="198">
        <v>5.5769000000000002</v>
      </c>
      <c r="AF797" s="198">
        <v>2.051E-2</v>
      </c>
      <c r="AH797" s="1051">
        <v>44041</v>
      </c>
      <c r="AI797" s="198">
        <v>9.8735999999999997</v>
      </c>
      <c r="AJ797" s="198">
        <v>1.6377999999999999</v>
      </c>
      <c r="AK797" s="198">
        <v>4.1500000000000004</v>
      </c>
      <c r="AL797" s="198">
        <v>1.9900000000000001E-2</v>
      </c>
      <c r="AN797" s="1051">
        <v>44049</v>
      </c>
      <c r="AO797" s="198">
        <v>14.649100000000001</v>
      </c>
      <c r="AP797" s="198">
        <v>1.5152000000000001</v>
      </c>
      <c r="AQ797" s="198">
        <v>8.2675000000000001</v>
      </c>
      <c r="AR797" s="198">
        <v>0.28544000000000003</v>
      </c>
      <c r="AT797" s="1051">
        <v>44049</v>
      </c>
      <c r="AU797" s="198">
        <v>8.4288000000000007</v>
      </c>
      <c r="AV797" s="198">
        <v>0.50090000000000001</v>
      </c>
      <c r="AW797" s="198">
        <v>6.2058999999999997</v>
      </c>
      <c r="AX797" s="198">
        <v>0.12318</v>
      </c>
      <c r="BA797" s="1051">
        <v>44033</v>
      </c>
      <c r="BB797" s="198">
        <v>7.5579000000000001</v>
      </c>
      <c r="BC797" s="198">
        <v>1.5502</v>
      </c>
      <c r="BD797" s="198">
        <v>7.1802000000000001</v>
      </c>
      <c r="BE797" s="198">
        <v>0.35028999999999999</v>
      </c>
      <c r="BG797" s="1051">
        <v>44033</v>
      </c>
      <c r="BH797" s="198">
        <v>15.1608</v>
      </c>
      <c r="BI797" s="198">
        <v>2.4678</v>
      </c>
      <c r="BJ797" s="198">
        <v>17.545999999999999</v>
      </c>
      <c r="BT797" s="1051">
        <v>44075</v>
      </c>
      <c r="BU797" s="198">
        <v>11.237500000000001</v>
      </c>
      <c r="BV797" s="198">
        <v>2.9777</v>
      </c>
      <c r="BW797" s="198">
        <v>6.3005000000000004</v>
      </c>
      <c r="BX797" s="198">
        <v>1.3352999999999999</v>
      </c>
      <c r="BZ797" s="1051">
        <v>44075</v>
      </c>
      <c r="CA797" s="198">
        <v>26.673300000000001</v>
      </c>
      <c r="CB797" s="198">
        <v>1.4631000000000001</v>
      </c>
      <c r="CC797" s="198">
        <v>18.691199999999998</v>
      </c>
      <c r="CD797" s="198">
        <v>0.60307999999999995</v>
      </c>
      <c r="CF797" s="1051">
        <v>44074</v>
      </c>
      <c r="CG797" s="198">
        <v>5.7436999999999996</v>
      </c>
      <c r="CH797" s="198">
        <v>0.85799999999999998</v>
      </c>
      <c r="CI797" s="198">
        <v>14.432700000000001</v>
      </c>
      <c r="CL797" s="1051">
        <v>44096</v>
      </c>
      <c r="CM797" s="198">
        <v>26.180399999999999</v>
      </c>
      <c r="CN797" s="198">
        <v>2.5560999999999998</v>
      </c>
      <c r="CO797" s="198">
        <v>10.950799999999999</v>
      </c>
    </row>
    <row r="798" spans="1:93" s="198" customFormat="1">
      <c r="A798" s="1051">
        <v>44074</v>
      </c>
      <c r="B798" s="1052">
        <f t="shared" si="122"/>
        <v>9.6644000000000005</v>
      </c>
      <c r="C798" s="1052">
        <f t="shared" si="124"/>
        <v>7.2252999999999998</v>
      </c>
      <c r="D798" s="1052">
        <f t="shared" si="128"/>
        <v>10.895</v>
      </c>
      <c r="E798" s="1052">
        <f t="shared" si="129"/>
        <v>12.08</v>
      </c>
      <c r="F798" s="1052">
        <f t="shared" si="130"/>
        <v>20.4832</v>
      </c>
      <c r="G798" s="1052">
        <f t="shared" si="131"/>
        <v>9.8940000000000001</v>
      </c>
      <c r="H798" s="1047">
        <f t="shared" si="125"/>
        <v>10.895</v>
      </c>
      <c r="I798" s="1048">
        <f t="shared" si="123"/>
        <v>-0.11295089490592003</v>
      </c>
      <c r="J798" s="1048">
        <f t="shared" si="126"/>
        <v>0.12093838824177333</v>
      </c>
      <c r="K798" s="1048">
        <f t="shared" si="127"/>
        <v>0.1</v>
      </c>
      <c r="L798" s="1048"/>
      <c r="N798" s="1051">
        <v>44074</v>
      </c>
      <c r="O798" s="1053">
        <v>9.6644000000000005</v>
      </c>
      <c r="P798" s="1053">
        <v>1.9181999999999999</v>
      </c>
      <c r="Q798" s="1053">
        <v>9.9901</v>
      </c>
      <c r="R798" s="1054">
        <f>'B. PE'!$U$23</f>
        <v>15.978235616082999</v>
      </c>
      <c r="S798" s="1054"/>
      <c r="T798" s="1054"/>
      <c r="V798" s="1051">
        <v>44074</v>
      </c>
      <c r="W798" s="198">
        <v>7.2252999999999998</v>
      </c>
      <c r="X798" s="198">
        <v>0.51</v>
      </c>
      <c r="Y798" s="198">
        <v>14.444900000000001</v>
      </c>
      <c r="Z798" s="198">
        <v>0.312</v>
      </c>
      <c r="AB798" s="1051">
        <v>44040</v>
      </c>
      <c r="AC798" s="198">
        <v>15.430899999999999</v>
      </c>
      <c r="AD798" s="1053">
        <v>0.93289999999999995</v>
      </c>
      <c r="AE798" s="198">
        <v>5.5601000000000003</v>
      </c>
      <c r="AF798" s="198">
        <v>2.001E-2</v>
      </c>
      <c r="AH798" s="1051">
        <v>44040</v>
      </c>
      <c r="AI798" s="198">
        <v>9.8735999999999997</v>
      </c>
      <c r="AJ798" s="198">
        <v>1.6377999999999999</v>
      </c>
      <c r="AK798" s="198">
        <v>4.1500000000000004</v>
      </c>
      <c r="AL798" s="198">
        <v>1.9730000000000001E-2</v>
      </c>
      <c r="AN798" s="1051">
        <v>44048</v>
      </c>
      <c r="AO798" s="198">
        <v>14.5944</v>
      </c>
      <c r="AP798" s="198">
        <v>1.5096000000000001</v>
      </c>
      <c r="AQ798" s="198">
        <v>8.2225999999999999</v>
      </c>
      <c r="AR798" s="198">
        <v>0.27459</v>
      </c>
      <c r="AT798" s="1051">
        <v>44048</v>
      </c>
      <c r="AW798" s="198">
        <v>6.2488999999999999</v>
      </c>
      <c r="AX798" s="198">
        <v>0.12545999999999999</v>
      </c>
      <c r="BA798" s="1051">
        <v>44032</v>
      </c>
      <c r="BB798" s="198">
        <v>7.4892000000000003</v>
      </c>
      <c r="BC798" s="198">
        <v>1.5361</v>
      </c>
      <c r="BD798" s="198">
        <v>7.1340000000000003</v>
      </c>
      <c r="BE798" s="198">
        <v>0.34389999999999998</v>
      </c>
      <c r="BG798" s="1051">
        <v>44032</v>
      </c>
      <c r="BH798" s="198">
        <v>14.8383</v>
      </c>
      <c r="BI798" s="198">
        <v>2.4152999999999998</v>
      </c>
      <c r="BJ798" s="198">
        <v>17.2578</v>
      </c>
      <c r="BT798" s="1051">
        <v>44074</v>
      </c>
      <c r="BU798" s="198">
        <v>11.1896</v>
      </c>
      <c r="BV798" s="198">
        <v>2.9649999999999999</v>
      </c>
      <c r="BW798" s="198">
        <v>6.2742000000000004</v>
      </c>
      <c r="BX798" s="198">
        <v>1.2786999999999999</v>
      </c>
      <c r="BZ798" s="1051">
        <v>44074</v>
      </c>
      <c r="CA798" s="198">
        <v>26.5063</v>
      </c>
      <c r="CB798" s="198">
        <v>1.4539</v>
      </c>
      <c r="CC798" s="198">
        <v>18.627800000000001</v>
      </c>
      <c r="CD798" s="198">
        <v>0.59158999999999995</v>
      </c>
      <c r="CF798" s="1051">
        <v>44071</v>
      </c>
      <c r="CG798" s="198">
        <v>5.7436999999999996</v>
      </c>
      <c r="CH798" s="198">
        <v>0.85799999999999998</v>
      </c>
      <c r="CI798" s="198">
        <v>14.432700000000001</v>
      </c>
      <c r="CL798" s="1051">
        <v>44095</v>
      </c>
      <c r="CM798" s="198">
        <v>25.541799999999999</v>
      </c>
      <c r="CN798" s="198">
        <v>2.4937</v>
      </c>
      <c r="CO798" s="198">
        <v>10.687799999999999</v>
      </c>
    </row>
    <row r="799" spans="1:93" s="198" customFormat="1">
      <c r="A799" s="1051">
        <v>44071</v>
      </c>
      <c r="B799" s="1052">
        <f t="shared" si="122"/>
        <v>10.086499999999999</v>
      </c>
      <c r="C799" s="1052">
        <f t="shared" si="124"/>
        <v>7.3452000000000002</v>
      </c>
      <c r="D799" s="1052">
        <f t="shared" si="128"/>
        <v>10.9971</v>
      </c>
      <c r="E799" s="1052">
        <f t="shared" si="129"/>
        <v>12.735900000000001</v>
      </c>
      <c r="F799" s="1052">
        <f t="shared" si="130"/>
        <v>20.321999999999999</v>
      </c>
      <c r="G799" s="1052">
        <f t="shared" si="131"/>
        <v>9.9626999999999999</v>
      </c>
      <c r="H799" s="1047">
        <f t="shared" si="125"/>
        <v>10.9971</v>
      </c>
      <c r="I799" s="1048">
        <f t="shared" si="123"/>
        <v>-8.2803648234534566E-2</v>
      </c>
      <c r="J799" s="1048">
        <f t="shared" si="126"/>
        <v>0.12093838824177333</v>
      </c>
      <c r="K799" s="1048">
        <f t="shared" si="127"/>
        <v>0.1</v>
      </c>
      <c r="L799" s="1048"/>
      <c r="N799" s="1051">
        <v>44071</v>
      </c>
      <c r="O799" s="1053">
        <v>10.086499999999999</v>
      </c>
      <c r="P799" s="1053">
        <v>2.0019</v>
      </c>
      <c r="Q799" s="1053">
        <v>10.374499999999999</v>
      </c>
      <c r="R799" s="1054">
        <f>'B. PE'!$U$23</f>
        <v>15.978235616082999</v>
      </c>
      <c r="S799" s="1054"/>
      <c r="T799" s="1054"/>
      <c r="V799" s="1051">
        <v>44071</v>
      </c>
      <c r="W799" s="198">
        <v>7.3452000000000002</v>
      </c>
      <c r="X799" s="198">
        <v>0.51849999999999996</v>
      </c>
      <c r="Y799" s="198">
        <v>14.528499999999999</v>
      </c>
      <c r="Z799" s="198">
        <v>0.30304999999999999</v>
      </c>
      <c r="AB799" s="1051">
        <v>44039</v>
      </c>
      <c r="AC799" s="198">
        <v>15.9649</v>
      </c>
      <c r="AD799" s="1053">
        <v>0.96519999999999995</v>
      </c>
      <c r="AE799" s="198">
        <v>5.7279</v>
      </c>
      <c r="AF799" s="198">
        <v>2.044E-2</v>
      </c>
      <c r="AH799" s="1051">
        <v>44039</v>
      </c>
      <c r="AI799" s="198">
        <v>9.8735999999999997</v>
      </c>
      <c r="AJ799" s="198">
        <v>1.6377999999999999</v>
      </c>
      <c r="AK799" s="198">
        <v>4.1500000000000004</v>
      </c>
      <c r="AL799" s="198">
        <v>2.0029999999999999E-2</v>
      </c>
      <c r="AN799" s="1051">
        <v>44047</v>
      </c>
      <c r="AO799" s="198">
        <v>13.1732</v>
      </c>
      <c r="AP799" s="198">
        <v>1.3626</v>
      </c>
      <c r="AQ799" s="198">
        <v>7.0559000000000003</v>
      </c>
      <c r="AR799" s="198">
        <v>0.26418000000000003</v>
      </c>
      <c r="AT799" s="1051">
        <v>44047</v>
      </c>
      <c r="AU799" s="198">
        <v>8.5106000000000002</v>
      </c>
      <c r="AV799" s="198">
        <v>0.50570000000000004</v>
      </c>
      <c r="AW799" s="198">
        <v>6.2488999999999999</v>
      </c>
      <c r="AX799" s="198">
        <v>0.1203</v>
      </c>
      <c r="BA799" s="1051">
        <v>44029</v>
      </c>
      <c r="BB799" s="198">
        <v>7.6265999999999998</v>
      </c>
      <c r="BC799" s="198">
        <v>1.5642</v>
      </c>
      <c r="BD799" s="198">
        <v>7.2263999999999999</v>
      </c>
      <c r="BE799" s="198">
        <v>0.33904000000000001</v>
      </c>
      <c r="BG799" s="1051">
        <v>44029</v>
      </c>
      <c r="BH799" s="198">
        <v>14.3544</v>
      </c>
      <c r="BI799" s="198">
        <v>2.3365</v>
      </c>
      <c r="BJ799" s="198">
        <v>16.825600000000001</v>
      </c>
      <c r="BT799" s="1051">
        <v>44071</v>
      </c>
      <c r="BU799" s="198">
        <v>11.117699999999999</v>
      </c>
      <c r="BV799" s="198">
        <v>2.9460000000000002</v>
      </c>
      <c r="BW799" s="198">
        <v>6.2346000000000004</v>
      </c>
      <c r="BX799" s="198">
        <v>1.2562</v>
      </c>
      <c r="BZ799" s="1051">
        <v>44071</v>
      </c>
      <c r="CA799" s="198">
        <v>26.840399999999999</v>
      </c>
      <c r="CB799" s="198">
        <v>1.4722</v>
      </c>
      <c r="CC799" s="198">
        <v>18.7545</v>
      </c>
      <c r="CD799" s="198">
        <v>0.61062000000000005</v>
      </c>
      <c r="CF799" s="1051">
        <v>44070</v>
      </c>
      <c r="CG799" s="198">
        <v>5.5115999999999996</v>
      </c>
      <c r="CH799" s="198">
        <v>0.82330000000000003</v>
      </c>
      <c r="CI799" s="198">
        <v>14.3116</v>
      </c>
      <c r="CL799" s="1051">
        <v>44092</v>
      </c>
      <c r="CM799" s="198">
        <v>26.280100000000001</v>
      </c>
      <c r="CN799" s="198">
        <v>2.5657999999999999</v>
      </c>
      <c r="CO799" s="198">
        <v>10.991899999999999</v>
      </c>
    </row>
    <row r="800" spans="1:93" s="198" customFormat="1">
      <c r="A800" s="1051">
        <v>44070</v>
      </c>
      <c r="B800" s="1052">
        <f t="shared" si="122"/>
        <v>10.3291</v>
      </c>
      <c r="C800" s="1052">
        <f t="shared" si="124"/>
        <v>6.8655999999999997</v>
      </c>
      <c r="D800" s="1052">
        <f t="shared" si="128"/>
        <v>10.8269</v>
      </c>
      <c r="E800" s="1052">
        <f t="shared" si="129"/>
        <v>12.899900000000001</v>
      </c>
      <c r="F800" s="1052">
        <f t="shared" si="130"/>
        <v>20.805800000000001</v>
      </c>
      <c r="G800" s="1052">
        <f t="shared" si="131"/>
        <v>9.8940000000000001</v>
      </c>
      <c r="H800" s="1047">
        <f t="shared" si="125"/>
        <v>10.8269</v>
      </c>
      <c r="I800" s="1048">
        <f t="shared" si="123"/>
        <v>-4.5978073132660335E-2</v>
      </c>
      <c r="J800" s="1048">
        <f t="shared" si="126"/>
        <v>0.12093838824177333</v>
      </c>
      <c r="K800" s="1048">
        <f t="shared" si="127"/>
        <v>0.1</v>
      </c>
      <c r="L800" s="1048"/>
      <c r="N800" s="1051">
        <v>44070</v>
      </c>
      <c r="O800" s="1053">
        <v>10.3291</v>
      </c>
      <c r="P800" s="1053">
        <v>2.0501</v>
      </c>
      <c r="Q800" s="1053">
        <v>10.595499999999999</v>
      </c>
      <c r="R800" s="1054">
        <f>'B. PE'!$U$23</f>
        <v>15.978235616082999</v>
      </c>
      <c r="S800" s="1054"/>
      <c r="T800" s="1054"/>
      <c r="V800" s="1051">
        <v>44070</v>
      </c>
      <c r="W800" s="198">
        <v>6.8655999999999997</v>
      </c>
      <c r="X800" s="198">
        <v>0.48459999999999998</v>
      </c>
      <c r="Y800" s="198">
        <v>14.194000000000001</v>
      </c>
      <c r="Z800" s="198">
        <v>0.29215000000000002</v>
      </c>
      <c r="AB800" s="1051">
        <v>44036</v>
      </c>
      <c r="AC800" s="198">
        <v>15.591100000000001</v>
      </c>
      <c r="AD800" s="1053">
        <v>0.94259999999999999</v>
      </c>
      <c r="AE800" s="198">
        <v>5.6104000000000003</v>
      </c>
      <c r="AF800" s="198">
        <v>2.0750000000000001E-2</v>
      </c>
      <c r="AH800" s="1051">
        <v>44036</v>
      </c>
      <c r="AI800" s="198">
        <v>9.8055000000000003</v>
      </c>
      <c r="AJ800" s="198">
        <v>1.6265000000000001</v>
      </c>
      <c r="AK800" s="198">
        <v>4.1181000000000001</v>
      </c>
      <c r="AL800" s="198">
        <v>1.959E-2</v>
      </c>
      <c r="AN800" s="1051">
        <v>44046</v>
      </c>
      <c r="AO800" s="198">
        <v>12.6813</v>
      </c>
      <c r="AP800" s="198">
        <v>1.3117000000000001</v>
      </c>
      <c r="AQ800" s="198">
        <v>6.6520999999999999</v>
      </c>
      <c r="AR800" s="198">
        <v>0.27221000000000001</v>
      </c>
      <c r="AT800" s="1051">
        <v>44046</v>
      </c>
      <c r="AU800" s="198">
        <v>8.6743000000000006</v>
      </c>
      <c r="AV800" s="198">
        <v>0.51549999999999996</v>
      </c>
      <c r="AW800" s="198">
        <v>6.335</v>
      </c>
      <c r="AX800" s="198">
        <v>0.1202</v>
      </c>
      <c r="BA800" s="1051">
        <v>44028</v>
      </c>
      <c r="BB800" s="198">
        <v>7.4892000000000003</v>
      </c>
      <c r="BC800" s="198">
        <v>1.5361</v>
      </c>
      <c r="BD800" s="198">
        <v>7.1340000000000003</v>
      </c>
      <c r="BE800" s="198">
        <v>0.31718000000000002</v>
      </c>
      <c r="BG800" s="1051">
        <v>44028</v>
      </c>
      <c r="BH800" s="198">
        <v>13.2254</v>
      </c>
      <c r="BI800" s="198">
        <v>2.1526999999999998</v>
      </c>
      <c r="BJ800" s="198">
        <v>15.8171</v>
      </c>
      <c r="BT800" s="1051">
        <v>44070</v>
      </c>
      <c r="BU800" s="198">
        <v>10.650499999999999</v>
      </c>
      <c r="BV800" s="198">
        <v>2.8222</v>
      </c>
      <c r="BW800" s="198">
        <v>5.9778000000000002</v>
      </c>
      <c r="BX800" s="198">
        <v>1.2605</v>
      </c>
      <c r="BZ800" s="1051">
        <v>44070</v>
      </c>
      <c r="CA800" s="198">
        <v>26.339200000000002</v>
      </c>
      <c r="CB800" s="198">
        <v>1.4447000000000001</v>
      </c>
      <c r="CC800" s="198">
        <v>18.564499999999999</v>
      </c>
      <c r="CD800" s="198">
        <v>0.61312</v>
      </c>
      <c r="CF800" s="1051">
        <v>44069</v>
      </c>
      <c r="CG800" s="198">
        <v>5.5696000000000003</v>
      </c>
      <c r="CH800" s="198">
        <v>0.83199999999999996</v>
      </c>
      <c r="CI800" s="198">
        <v>14.341900000000001</v>
      </c>
      <c r="CL800" s="1051">
        <v>44091</v>
      </c>
      <c r="CM800" s="198">
        <v>25.741399999999999</v>
      </c>
      <c r="CN800" s="198">
        <v>2.5131999999999999</v>
      </c>
      <c r="CO800" s="198">
        <v>10.77</v>
      </c>
    </row>
    <row r="801" spans="1:93" s="198" customFormat="1">
      <c r="A801" s="1051">
        <v>44069</v>
      </c>
      <c r="B801" s="1052">
        <f t="shared" si="122"/>
        <v>10.3713</v>
      </c>
      <c r="C801" s="1052">
        <f t="shared" si="124"/>
        <v>6.6657999999999999</v>
      </c>
      <c r="D801" s="1052">
        <f t="shared" si="128"/>
        <v>10.8269</v>
      </c>
      <c r="E801" s="1052">
        <f t="shared" si="129"/>
        <v>12.735900000000001</v>
      </c>
      <c r="F801" s="1052">
        <f t="shared" si="130"/>
        <v>20.967099999999999</v>
      </c>
      <c r="G801" s="1052">
        <f t="shared" si="131"/>
        <v>9.8253000000000004</v>
      </c>
      <c r="H801" s="1047">
        <f t="shared" si="125"/>
        <v>10.8269</v>
      </c>
      <c r="I801" s="1048">
        <f t="shared" si="123"/>
        <v>-4.2080373883567779E-2</v>
      </c>
      <c r="J801" s="1048">
        <f t="shared" si="126"/>
        <v>0.12093838824177333</v>
      </c>
      <c r="K801" s="1048">
        <f t="shared" si="127"/>
        <v>0.1</v>
      </c>
      <c r="L801" s="1048"/>
      <c r="N801" s="1051">
        <v>44069</v>
      </c>
      <c r="O801" s="1053">
        <v>10.3713</v>
      </c>
      <c r="P801" s="1053">
        <v>2.0585</v>
      </c>
      <c r="Q801" s="1053">
        <v>10.633900000000001</v>
      </c>
      <c r="R801" s="1054">
        <f>'B. PE'!$U$23</f>
        <v>15.978235616082999</v>
      </c>
      <c r="S801" s="1054"/>
      <c r="T801" s="1054"/>
      <c r="V801" s="1051">
        <v>44069</v>
      </c>
      <c r="W801" s="198">
        <v>6.6657999999999999</v>
      </c>
      <c r="X801" s="198">
        <v>0.47049999999999997</v>
      </c>
      <c r="Y801" s="198">
        <v>14.054600000000001</v>
      </c>
      <c r="Z801" s="198">
        <v>0.29464000000000001</v>
      </c>
      <c r="AB801" s="1051">
        <v>44035</v>
      </c>
      <c r="AC801" s="198">
        <v>15.9115</v>
      </c>
      <c r="AD801" s="1053">
        <v>0.96189999999999998</v>
      </c>
      <c r="AE801" s="198">
        <v>5.7111000000000001</v>
      </c>
      <c r="AF801" s="198">
        <v>2.017E-2</v>
      </c>
      <c r="AH801" s="1051">
        <v>44035</v>
      </c>
      <c r="AI801" s="198">
        <v>9.9417000000000009</v>
      </c>
      <c r="AJ801" s="198">
        <v>1.6491</v>
      </c>
      <c r="AK801" s="198">
        <v>4.1818</v>
      </c>
      <c r="AL801" s="198">
        <v>1.9550000000000001E-2</v>
      </c>
      <c r="AN801" s="1051">
        <v>44042</v>
      </c>
      <c r="AO801" s="198">
        <v>12.244</v>
      </c>
      <c r="AP801" s="198">
        <v>1.2665</v>
      </c>
      <c r="AQ801" s="198">
        <v>6.2930999999999999</v>
      </c>
      <c r="AR801" s="198">
        <v>0.25402999999999998</v>
      </c>
      <c r="AT801" s="1051">
        <v>44042</v>
      </c>
      <c r="AU801" s="198">
        <v>8.3469999999999995</v>
      </c>
      <c r="AV801" s="198">
        <v>0.496</v>
      </c>
      <c r="AW801" s="198">
        <v>6.1628999999999996</v>
      </c>
      <c r="BA801" s="1051">
        <v>44027</v>
      </c>
      <c r="BB801" s="198">
        <v>7.3517999999999999</v>
      </c>
      <c r="BC801" s="198">
        <v>1.5079</v>
      </c>
      <c r="BD801" s="198">
        <v>7.0416999999999996</v>
      </c>
      <c r="BE801" s="198">
        <v>0.31891000000000003</v>
      </c>
      <c r="BG801" s="1051">
        <v>44027</v>
      </c>
      <c r="BH801" s="198">
        <v>13.305999999999999</v>
      </c>
      <c r="BI801" s="198">
        <v>2.1659000000000002</v>
      </c>
      <c r="BJ801" s="198">
        <v>15.889099999999999</v>
      </c>
      <c r="BT801" s="1051">
        <v>44069</v>
      </c>
      <c r="BU801" s="198">
        <v>10.4588</v>
      </c>
      <c r="BV801" s="198">
        <v>2.7713999999999999</v>
      </c>
      <c r="BW801" s="198">
        <v>5.8742000000000001</v>
      </c>
      <c r="BX801" s="198">
        <v>1.21</v>
      </c>
      <c r="BZ801" s="1051">
        <v>44069</v>
      </c>
      <c r="CA801" s="198">
        <v>27.174499999999998</v>
      </c>
      <c r="CB801" s="198">
        <v>1.4904999999999999</v>
      </c>
      <c r="CC801" s="198">
        <v>18.8812</v>
      </c>
      <c r="CD801" s="198">
        <v>0.61677000000000004</v>
      </c>
      <c r="CF801" s="1051">
        <v>44068</v>
      </c>
      <c r="CG801" s="198">
        <v>5.5696000000000003</v>
      </c>
      <c r="CH801" s="198">
        <v>0.83199999999999996</v>
      </c>
      <c r="CI801" s="198">
        <v>14.341900000000001</v>
      </c>
      <c r="CL801" s="1051">
        <v>44090</v>
      </c>
      <c r="CM801" s="198">
        <v>25.741399999999999</v>
      </c>
      <c r="CN801" s="198">
        <v>2.5131999999999999</v>
      </c>
      <c r="CO801" s="198">
        <v>10.77</v>
      </c>
    </row>
    <row r="802" spans="1:93" s="198" customFormat="1">
      <c r="A802" s="1051">
        <v>44068</v>
      </c>
      <c r="B802" s="1052">
        <f t="shared" si="122"/>
        <v>10.339700000000001</v>
      </c>
      <c r="C802" s="1052">
        <f t="shared" si="124"/>
        <v>6.4260000000000002</v>
      </c>
      <c r="D802" s="1052">
        <f t="shared" si="128"/>
        <v>10.929</v>
      </c>
      <c r="E802" s="1052">
        <f t="shared" si="129"/>
        <v>12.7906</v>
      </c>
      <c r="F802" s="1052">
        <f t="shared" si="130"/>
        <v>21.128399999999999</v>
      </c>
      <c r="G802" s="1052">
        <f t="shared" si="131"/>
        <v>10.100099999999999</v>
      </c>
      <c r="H802" s="1047">
        <f t="shared" si="125"/>
        <v>10.929</v>
      </c>
      <c r="I802" s="1048">
        <f t="shared" si="123"/>
        <v>-5.3920761277335472E-2</v>
      </c>
      <c r="J802" s="1048">
        <f t="shared" si="126"/>
        <v>0.12093838824177333</v>
      </c>
      <c r="K802" s="1048">
        <f t="shared" si="127"/>
        <v>0.1</v>
      </c>
      <c r="L802" s="1048"/>
      <c r="N802" s="1051">
        <v>44068</v>
      </c>
      <c r="O802" s="1053">
        <v>10.339700000000001</v>
      </c>
      <c r="P802" s="1053">
        <v>2.0522</v>
      </c>
      <c r="Q802" s="1053">
        <v>10.6051</v>
      </c>
      <c r="R802" s="1054">
        <f>'B. PE'!$U$23</f>
        <v>15.978235616082999</v>
      </c>
      <c r="S802" s="1054"/>
      <c r="T802" s="1054"/>
      <c r="V802" s="1051">
        <v>44068</v>
      </c>
      <c r="W802" s="198">
        <v>6.4260000000000002</v>
      </c>
      <c r="X802" s="198">
        <v>0.4536</v>
      </c>
      <c r="Y802" s="198">
        <v>13.8874</v>
      </c>
      <c r="Z802" s="198">
        <v>0.2928</v>
      </c>
      <c r="AB802" s="1051">
        <v>44034</v>
      </c>
      <c r="AC802" s="198">
        <v>16.1785</v>
      </c>
      <c r="AD802" s="1053">
        <v>0.97809999999999997</v>
      </c>
      <c r="AE802" s="198">
        <v>5.7949999999999999</v>
      </c>
      <c r="AF802" s="198">
        <v>1.95E-2</v>
      </c>
      <c r="AH802" s="1051">
        <v>44034</v>
      </c>
      <c r="AI802" s="198">
        <v>9.7373999999999992</v>
      </c>
      <c r="AJ802" s="198">
        <v>1.6152</v>
      </c>
      <c r="AK802" s="198">
        <v>4.0861999999999998</v>
      </c>
      <c r="AL802" s="198">
        <v>1.9029999999999998E-2</v>
      </c>
      <c r="AN802" s="1051">
        <v>44041</v>
      </c>
      <c r="AO802" s="198">
        <v>12.6266</v>
      </c>
      <c r="AP802" s="198">
        <v>1.306</v>
      </c>
      <c r="AQ802" s="198">
        <v>6.6071999999999997</v>
      </c>
      <c r="AR802" s="198">
        <v>0.24573999999999999</v>
      </c>
      <c r="AT802" s="1051">
        <v>44041</v>
      </c>
      <c r="AU802" s="198">
        <v>8.3469999999999995</v>
      </c>
      <c r="AV802" s="198">
        <v>0.496</v>
      </c>
      <c r="AW802" s="198">
        <v>6.1628999999999996</v>
      </c>
      <c r="AX802" s="198">
        <v>0.12228</v>
      </c>
      <c r="BA802" s="1051">
        <v>44026</v>
      </c>
      <c r="BB802" s="198">
        <v>6.8708</v>
      </c>
      <c r="BC802" s="198">
        <v>1.4092</v>
      </c>
      <c r="BD802" s="198">
        <v>6.7183000000000002</v>
      </c>
      <c r="BE802" s="198">
        <v>0.30475000000000002</v>
      </c>
      <c r="BG802" s="1051">
        <v>44026</v>
      </c>
      <c r="BH802" s="198">
        <v>13.0641</v>
      </c>
      <c r="BI802" s="198">
        <v>2.1265000000000001</v>
      </c>
      <c r="BJ802" s="198">
        <v>15.673</v>
      </c>
      <c r="BT802" s="1051">
        <v>44068</v>
      </c>
      <c r="BU802" s="198">
        <v>10.4947</v>
      </c>
      <c r="BV802" s="198">
        <v>2.7808999999999999</v>
      </c>
      <c r="BW802" s="198">
        <v>5.8939000000000004</v>
      </c>
      <c r="BX802" s="198">
        <v>1.1796</v>
      </c>
      <c r="BZ802" s="1051">
        <v>44068</v>
      </c>
      <c r="CA802" s="198">
        <v>27.285900000000002</v>
      </c>
      <c r="CB802" s="198">
        <v>1.4966999999999999</v>
      </c>
      <c r="CC802" s="198">
        <v>18.923500000000001</v>
      </c>
      <c r="CD802" s="198">
        <v>0.57918000000000003</v>
      </c>
      <c r="CF802" s="1051">
        <v>44067</v>
      </c>
      <c r="CG802" s="198">
        <v>5.5696000000000003</v>
      </c>
      <c r="CH802" s="198">
        <v>0.83199999999999996</v>
      </c>
      <c r="CI802" s="198">
        <v>14.341900000000001</v>
      </c>
      <c r="CL802" s="1051">
        <v>44089</v>
      </c>
      <c r="CM802" s="198">
        <v>25.102799999999998</v>
      </c>
      <c r="CN802" s="198">
        <v>2.4508000000000001</v>
      </c>
      <c r="CO802" s="198">
        <v>10.507099999999999</v>
      </c>
    </row>
    <row r="803" spans="1:93" s="198" customFormat="1">
      <c r="A803" s="1051">
        <v>44067</v>
      </c>
      <c r="B803" s="1052">
        <f t="shared" si="122"/>
        <v>10.360799999999999</v>
      </c>
      <c r="C803" s="1052">
        <f t="shared" si="124"/>
        <v>6.4820000000000002</v>
      </c>
      <c r="D803" s="1052">
        <f t="shared" si="128"/>
        <v>11.0312</v>
      </c>
      <c r="E803" s="1052">
        <f t="shared" si="129"/>
        <v>13.719799999999999</v>
      </c>
      <c r="F803" s="1052">
        <f t="shared" si="130"/>
        <v>21.128399999999999</v>
      </c>
      <c r="G803" s="1052">
        <f t="shared" si="131"/>
        <v>9.2756000000000007</v>
      </c>
      <c r="H803" s="1047">
        <f t="shared" si="125"/>
        <v>11.0312</v>
      </c>
      <c r="I803" s="1048">
        <f t="shared" si="123"/>
        <v>-6.0773079991297441E-2</v>
      </c>
      <c r="J803" s="1048">
        <f t="shared" si="126"/>
        <v>0.12093838824177333</v>
      </c>
      <c r="K803" s="1048">
        <f t="shared" si="127"/>
        <v>0.1</v>
      </c>
      <c r="L803" s="1048"/>
      <c r="N803" s="1051">
        <v>44067</v>
      </c>
      <c r="O803" s="1053">
        <v>10.360799999999999</v>
      </c>
      <c r="P803" s="1053">
        <v>2.0564</v>
      </c>
      <c r="Q803" s="1053">
        <v>10.6243</v>
      </c>
      <c r="R803" s="1054">
        <f>'B. PE'!$U$23</f>
        <v>15.978235616082999</v>
      </c>
      <c r="S803" s="1054"/>
      <c r="T803" s="1054"/>
      <c r="V803" s="1051">
        <v>44067</v>
      </c>
      <c r="W803" s="198">
        <v>6.4820000000000002</v>
      </c>
      <c r="X803" s="198">
        <v>0.45760000000000001</v>
      </c>
      <c r="Y803" s="198">
        <v>13.926399999999999</v>
      </c>
      <c r="Z803" s="198">
        <v>0.28996</v>
      </c>
      <c r="AB803" s="1051">
        <v>44033</v>
      </c>
      <c r="AC803" s="198">
        <v>15.8047</v>
      </c>
      <c r="AD803" s="1053">
        <v>0.95550000000000002</v>
      </c>
      <c r="AE803" s="198">
        <v>5.6775000000000002</v>
      </c>
      <c r="AF803" s="198">
        <v>1.966E-2</v>
      </c>
      <c r="AH803" s="1051">
        <v>44033</v>
      </c>
      <c r="AI803" s="198">
        <v>9.7713999999999999</v>
      </c>
      <c r="AJ803" s="198">
        <v>1.6208</v>
      </c>
      <c r="AK803" s="198">
        <v>4.1021999999999998</v>
      </c>
      <c r="AL803" s="198">
        <v>1.9390000000000001E-2</v>
      </c>
      <c r="AN803" s="1051">
        <v>44040</v>
      </c>
      <c r="AO803" s="198">
        <v>11.806699999999999</v>
      </c>
      <c r="AP803" s="198">
        <v>1.2212000000000001</v>
      </c>
      <c r="AQ803" s="198">
        <v>5.9341999999999997</v>
      </c>
      <c r="AR803" s="198">
        <v>0.25336999999999998</v>
      </c>
      <c r="AT803" s="1051">
        <v>44040</v>
      </c>
      <c r="AW803" s="198">
        <v>6.2488999999999999</v>
      </c>
      <c r="AX803" s="198">
        <v>0.11848</v>
      </c>
      <c r="BA803" s="1051">
        <v>44025</v>
      </c>
      <c r="BB803" s="198">
        <v>6.8708</v>
      </c>
      <c r="BC803" s="198">
        <v>1.4092</v>
      </c>
      <c r="BD803" s="198">
        <v>6.7183000000000002</v>
      </c>
      <c r="BE803" s="198">
        <v>0.30542000000000002</v>
      </c>
      <c r="BG803" s="1051">
        <v>44025</v>
      </c>
      <c r="BH803" s="198">
        <v>13.0641</v>
      </c>
      <c r="BI803" s="198">
        <v>2.1265000000000001</v>
      </c>
      <c r="BJ803" s="198">
        <v>15.673</v>
      </c>
      <c r="BT803" s="1051">
        <v>44067</v>
      </c>
      <c r="BU803" s="198">
        <v>10.0754</v>
      </c>
      <c r="BV803" s="198">
        <v>2.6698</v>
      </c>
      <c r="BW803" s="198">
        <v>5.6634000000000002</v>
      </c>
      <c r="BX803" s="198">
        <v>1.1756</v>
      </c>
      <c r="BZ803" s="1051">
        <v>44067</v>
      </c>
      <c r="CA803" s="198">
        <v>27.4529</v>
      </c>
      <c r="CB803" s="198">
        <v>1.5058</v>
      </c>
      <c r="CC803" s="198">
        <v>18.986799999999999</v>
      </c>
      <c r="CD803" s="198">
        <v>0.57555999999999996</v>
      </c>
      <c r="CF803" s="1051">
        <v>44064</v>
      </c>
      <c r="CG803" s="198">
        <v>5.5696000000000003</v>
      </c>
      <c r="CH803" s="198">
        <v>0.83199999999999996</v>
      </c>
      <c r="CI803" s="198">
        <v>14.341900000000001</v>
      </c>
      <c r="CL803" s="1051">
        <v>44088</v>
      </c>
      <c r="CM803" s="198">
        <v>25.062899999999999</v>
      </c>
      <c r="CN803" s="198">
        <v>2.4470000000000001</v>
      </c>
      <c r="CO803" s="198">
        <v>10.490600000000001</v>
      </c>
    </row>
    <row r="804" spans="1:93" s="198" customFormat="1">
      <c r="A804" s="1051">
        <v>44064</v>
      </c>
      <c r="B804" s="1052">
        <f t="shared" si="122"/>
        <v>9.6856000000000009</v>
      </c>
      <c r="C804" s="1052">
        <f t="shared" si="124"/>
        <v>6.4420000000000002</v>
      </c>
      <c r="D804" s="1052">
        <f t="shared" si="128"/>
        <v>11.0312</v>
      </c>
      <c r="E804" s="1052">
        <f t="shared" si="129"/>
        <v>13.0639</v>
      </c>
      <c r="F804" s="1052">
        <f t="shared" si="130"/>
        <v>20.321999999999999</v>
      </c>
      <c r="G804" s="1052">
        <f t="shared" si="131"/>
        <v>8.8634000000000004</v>
      </c>
      <c r="H804" s="1047">
        <f t="shared" si="125"/>
        <v>11.0312</v>
      </c>
      <c r="I804" s="1048">
        <f t="shared" si="123"/>
        <v>-0.12198128943360642</v>
      </c>
      <c r="J804" s="1048">
        <f t="shared" si="126"/>
        <v>0.12093838824177333</v>
      </c>
      <c r="K804" s="1048">
        <f t="shared" si="127"/>
        <v>0.1</v>
      </c>
      <c r="L804" s="1048"/>
      <c r="N804" s="1051">
        <v>44064</v>
      </c>
      <c r="O804" s="1053">
        <v>9.6856000000000009</v>
      </c>
      <c r="P804" s="1053">
        <v>1.9222999999999999</v>
      </c>
      <c r="Q804" s="1053">
        <v>10.0093</v>
      </c>
      <c r="R804" s="1054">
        <f>'B. PE'!$U$23</f>
        <v>15.978235616082999</v>
      </c>
      <c r="S804" s="1054"/>
      <c r="T804" s="1054"/>
      <c r="V804" s="1051">
        <v>44064</v>
      </c>
      <c r="W804" s="198">
        <v>6.4420000000000002</v>
      </c>
      <c r="X804" s="198">
        <v>0.45469999999999999</v>
      </c>
      <c r="Y804" s="198">
        <v>13.8986</v>
      </c>
      <c r="Z804" s="198">
        <v>0.29287999999999997</v>
      </c>
      <c r="AB804" s="1051">
        <v>44032</v>
      </c>
      <c r="AC804" s="198">
        <v>15.484299999999999</v>
      </c>
      <c r="AD804" s="1053">
        <v>0.93610000000000004</v>
      </c>
      <c r="AE804" s="198">
        <v>5.5769000000000002</v>
      </c>
      <c r="AF804" s="198">
        <v>1.8710000000000001E-2</v>
      </c>
      <c r="AH804" s="1051">
        <v>44032</v>
      </c>
      <c r="AI804" s="198">
        <v>9.6351999999999993</v>
      </c>
      <c r="AJ804" s="198">
        <v>1.5982000000000001</v>
      </c>
      <c r="AK804" s="198">
        <v>4.0384000000000002</v>
      </c>
      <c r="AL804" s="198">
        <v>0.02</v>
      </c>
      <c r="AN804" s="1051">
        <v>44039</v>
      </c>
      <c r="AO804" s="198">
        <v>11.424099999999999</v>
      </c>
      <c r="AP804" s="198">
        <v>1.1817</v>
      </c>
      <c r="AQ804" s="198">
        <v>5.6200999999999999</v>
      </c>
      <c r="AR804" s="198">
        <v>0.25361</v>
      </c>
      <c r="AT804" s="1051">
        <v>44039</v>
      </c>
      <c r="AU804" s="198">
        <v>8.5106000000000002</v>
      </c>
      <c r="AV804" s="198">
        <v>0.50570000000000004</v>
      </c>
      <c r="AW804" s="198">
        <v>6.2488999999999999</v>
      </c>
      <c r="AX804" s="198">
        <v>0.12446</v>
      </c>
      <c r="BA804" s="1051">
        <v>44022</v>
      </c>
      <c r="BB804" s="198">
        <v>6.5616000000000003</v>
      </c>
      <c r="BC804" s="198">
        <v>1.3458000000000001</v>
      </c>
      <c r="BD804" s="198">
        <v>6.5103999999999997</v>
      </c>
      <c r="BE804" s="198">
        <v>0.29803000000000002</v>
      </c>
      <c r="BG804" s="1051">
        <v>44022</v>
      </c>
      <c r="BH804" s="198">
        <v>12.096399999999999</v>
      </c>
      <c r="BI804" s="198">
        <v>1.9690000000000001</v>
      </c>
      <c r="BJ804" s="198">
        <v>14.8086</v>
      </c>
      <c r="BT804" s="1051">
        <v>44064</v>
      </c>
      <c r="BU804" s="198">
        <v>9.8238000000000003</v>
      </c>
      <c r="BV804" s="198">
        <v>2.6031</v>
      </c>
      <c r="BW804" s="198">
        <v>5.5250000000000004</v>
      </c>
      <c r="BX804" s="198">
        <v>1.1771</v>
      </c>
      <c r="BZ804" s="1051">
        <v>44064</v>
      </c>
      <c r="CA804" s="198">
        <v>25.782399999999999</v>
      </c>
      <c r="CB804" s="198">
        <v>1.4141999999999999</v>
      </c>
      <c r="CC804" s="198">
        <v>18.353300000000001</v>
      </c>
      <c r="CD804" s="198">
        <v>0.57808000000000004</v>
      </c>
      <c r="CF804" s="1051">
        <v>44063</v>
      </c>
      <c r="CG804" s="198">
        <v>5.4535999999999998</v>
      </c>
      <c r="CH804" s="198">
        <v>0.81459999999999999</v>
      </c>
      <c r="CI804" s="198">
        <v>14.2813</v>
      </c>
      <c r="CL804" s="1051">
        <v>44085</v>
      </c>
      <c r="CM804" s="198">
        <v>24.863399999999999</v>
      </c>
      <c r="CN804" s="198">
        <v>2.4275000000000002</v>
      </c>
      <c r="CO804" s="198">
        <v>10.4085</v>
      </c>
    </row>
    <row r="805" spans="1:93" s="198" customFormat="1">
      <c r="A805" s="1051">
        <v>44063</v>
      </c>
      <c r="B805" s="1052">
        <f t="shared" si="122"/>
        <v>9.7383000000000006</v>
      </c>
      <c r="C805" s="1052">
        <f t="shared" si="124"/>
        <v>6.3780999999999999</v>
      </c>
      <c r="D805" s="1052">
        <f t="shared" si="128"/>
        <v>11.0312</v>
      </c>
      <c r="E805" s="1052">
        <f t="shared" si="129"/>
        <v>13.0639</v>
      </c>
      <c r="F805" s="1052">
        <f t="shared" si="130"/>
        <v>18.386500000000002</v>
      </c>
      <c r="G805" s="1052">
        <f t="shared" si="131"/>
        <v>8.7260000000000009</v>
      </c>
      <c r="H805" s="1047">
        <f t="shared" si="125"/>
        <v>11.0312</v>
      </c>
      <c r="I805" s="1048">
        <f t="shared" si="123"/>
        <v>-0.11720393066937407</v>
      </c>
      <c r="J805" s="1048">
        <f t="shared" si="126"/>
        <v>0.12093838824177333</v>
      </c>
      <c r="K805" s="1048">
        <f t="shared" si="127"/>
        <v>0.1</v>
      </c>
      <c r="L805" s="1048"/>
      <c r="N805" s="1051">
        <v>44063</v>
      </c>
      <c r="O805" s="1053">
        <v>9.7383000000000006</v>
      </c>
      <c r="P805" s="1053">
        <v>1.9328000000000001</v>
      </c>
      <c r="Q805" s="1053">
        <v>10.057399999999999</v>
      </c>
      <c r="R805" s="1054">
        <f>'B. PE'!$U$23</f>
        <v>15.978235616082999</v>
      </c>
      <c r="S805" s="1054"/>
      <c r="T805" s="1054"/>
      <c r="V805" s="1051">
        <v>44063</v>
      </c>
      <c r="W805" s="198">
        <v>6.3780999999999999</v>
      </c>
      <c r="X805" s="198">
        <v>0.45019999999999999</v>
      </c>
      <c r="Y805" s="198">
        <v>13.853999999999999</v>
      </c>
      <c r="Z805" s="198">
        <v>0.29576999999999998</v>
      </c>
      <c r="AB805" s="1051">
        <v>44029</v>
      </c>
      <c r="AC805" s="198">
        <v>15.537699999999999</v>
      </c>
      <c r="AD805" s="1053">
        <v>0.93930000000000002</v>
      </c>
      <c r="AE805" s="198">
        <v>5.5936000000000003</v>
      </c>
      <c r="AF805" s="198">
        <v>1.831E-2</v>
      </c>
      <c r="AH805" s="1051">
        <v>44029</v>
      </c>
      <c r="AI805" s="198">
        <v>9.7713999999999999</v>
      </c>
      <c r="AJ805" s="198">
        <v>1.6208</v>
      </c>
      <c r="AK805" s="198">
        <v>4.1021999999999998</v>
      </c>
      <c r="AL805" s="198">
        <v>2.0029999999999999E-2</v>
      </c>
      <c r="AN805" s="1051">
        <v>44036</v>
      </c>
      <c r="AO805" s="198">
        <v>11.806699999999999</v>
      </c>
      <c r="AP805" s="198">
        <v>1.2212000000000001</v>
      </c>
      <c r="AQ805" s="198">
        <v>5.9341999999999997</v>
      </c>
      <c r="AR805" s="198">
        <v>0.24826000000000001</v>
      </c>
      <c r="AT805" s="1051">
        <v>44036</v>
      </c>
      <c r="AU805" s="198">
        <v>8.2651000000000003</v>
      </c>
      <c r="AV805" s="198">
        <v>0.49109999999999998</v>
      </c>
      <c r="AW805" s="198">
        <v>6.1199000000000003</v>
      </c>
      <c r="BA805" s="1051">
        <v>44021</v>
      </c>
      <c r="BB805" s="198">
        <v>6.5616000000000003</v>
      </c>
      <c r="BC805" s="198">
        <v>1.3458000000000001</v>
      </c>
      <c r="BD805" s="198">
        <v>6.5103999999999997</v>
      </c>
      <c r="BE805" s="198">
        <v>0.28849000000000002</v>
      </c>
      <c r="BG805" s="1051">
        <v>44021</v>
      </c>
      <c r="BH805" s="198">
        <v>12.096399999999999</v>
      </c>
      <c r="BI805" s="198">
        <v>1.9690000000000001</v>
      </c>
      <c r="BJ805" s="198">
        <v>14.8086</v>
      </c>
      <c r="BT805" s="1051">
        <v>44063</v>
      </c>
      <c r="BU805" s="198">
        <v>9.7879000000000005</v>
      </c>
      <c r="BV805" s="198">
        <v>2.5935999999999999</v>
      </c>
      <c r="BW805" s="198">
        <v>5.5052000000000003</v>
      </c>
      <c r="BX805" s="198">
        <v>1.1713</v>
      </c>
      <c r="BZ805" s="1051">
        <v>44063</v>
      </c>
      <c r="CA805" s="198">
        <v>25.615300000000001</v>
      </c>
      <c r="CB805" s="198">
        <v>1.405</v>
      </c>
      <c r="CC805" s="198">
        <v>18.29</v>
      </c>
      <c r="CD805" s="198">
        <v>0.57430000000000003</v>
      </c>
      <c r="CF805" s="1051">
        <v>44062</v>
      </c>
      <c r="CG805" s="198">
        <v>5.3956</v>
      </c>
      <c r="CH805" s="198">
        <v>0.80600000000000005</v>
      </c>
      <c r="CI805" s="198">
        <v>14.250999999999999</v>
      </c>
      <c r="CL805" s="1051">
        <v>44084</v>
      </c>
      <c r="CM805" s="198">
        <v>24.7836</v>
      </c>
      <c r="CN805" s="198">
        <v>2.4197000000000002</v>
      </c>
      <c r="CO805" s="198">
        <v>10.3756</v>
      </c>
    </row>
    <row r="806" spans="1:93" s="198" customFormat="1">
      <c r="A806" s="1051">
        <v>44062</v>
      </c>
      <c r="B806" s="1052">
        <f t="shared" si="122"/>
        <v>9.6221999999999994</v>
      </c>
      <c r="C806" s="1052">
        <f t="shared" si="124"/>
        <v>6.4420000000000002</v>
      </c>
      <c r="D806" s="1052">
        <f t="shared" si="128"/>
        <v>10.5204</v>
      </c>
      <c r="E806" s="1052">
        <f t="shared" si="129"/>
        <v>12.2986</v>
      </c>
      <c r="F806" s="1052">
        <f t="shared" si="130"/>
        <v>17.580100000000002</v>
      </c>
      <c r="G806" s="1052">
        <f t="shared" si="131"/>
        <v>8.5884999999999998</v>
      </c>
      <c r="H806" s="1047">
        <f t="shared" si="125"/>
        <v>10.5204</v>
      </c>
      <c r="I806" s="1048">
        <f t="shared" si="123"/>
        <v>-8.5376981863807599E-2</v>
      </c>
      <c r="J806" s="1048">
        <f t="shared" si="126"/>
        <v>0.12093838824177333</v>
      </c>
      <c r="K806" s="1048">
        <f t="shared" si="127"/>
        <v>0.1</v>
      </c>
      <c r="L806" s="1048"/>
      <c r="N806" s="1051">
        <v>44062</v>
      </c>
      <c r="O806" s="1053">
        <v>9.6221999999999994</v>
      </c>
      <c r="P806" s="1053">
        <v>1.9097999999999999</v>
      </c>
      <c r="Q806" s="1053">
        <v>9.9517000000000007</v>
      </c>
      <c r="R806" s="1054">
        <f>'B. PE'!$U$23</f>
        <v>15.978235616082999</v>
      </c>
      <c r="S806" s="1054"/>
      <c r="T806" s="1054"/>
      <c r="V806" s="1051">
        <v>44062</v>
      </c>
      <c r="W806" s="198">
        <v>6.4420000000000002</v>
      </c>
      <c r="X806" s="198">
        <v>0.45469999999999999</v>
      </c>
      <c r="Y806" s="198">
        <v>13.8986</v>
      </c>
      <c r="Z806" s="198">
        <v>0.29977999999999999</v>
      </c>
      <c r="AB806" s="1051">
        <v>44028</v>
      </c>
      <c r="AC806" s="198">
        <v>14.683400000000001</v>
      </c>
      <c r="AD806" s="1053">
        <v>0.88770000000000004</v>
      </c>
      <c r="AE806" s="198">
        <v>5.3251999999999997</v>
      </c>
      <c r="AF806" s="198">
        <v>1.8370000000000001E-2</v>
      </c>
      <c r="AH806" s="1051">
        <v>44028</v>
      </c>
      <c r="AI806" s="198">
        <v>10.0097</v>
      </c>
      <c r="AJ806" s="198">
        <v>1.6604000000000001</v>
      </c>
      <c r="AK806" s="198">
        <v>4.2137000000000002</v>
      </c>
      <c r="AL806" s="198">
        <v>1.9879999999999998E-2</v>
      </c>
      <c r="AN806" s="1051">
        <v>44035</v>
      </c>
      <c r="AO806" s="198">
        <v>11.806699999999999</v>
      </c>
      <c r="AP806" s="198">
        <v>1.2212000000000001</v>
      </c>
      <c r="AQ806" s="198">
        <v>5.9341999999999997</v>
      </c>
      <c r="AR806" s="198">
        <v>0.21703</v>
      </c>
      <c r="AT806" s="1051">
        <v>44035</v>
      </c>
      <c r="AU806" s="198">
        <v>8.6743000000000006</v>
      </c>
      <c r="AV806" s="198">
        <v>0.51549999999999996</v>
      </c>
      <c r="AW806" s="198">
        <v>6.335</v>
      </c>
      <c r="AX806" s="198">
        <v>0.12200999999999999</v>
      </c>
      <c r="BA806" s="1051">
        <v>44020</v>
      </c>
      <c r="BB806" s="198">
        <v>6.3898999999999999</v>
      </c>
      <c r="BC806" s="198">
        <v>1.3106</v>
      </c>
      <c r="BD806" s="198">
        <v>6.3948999999999998</v>
      </c>
      <c r="BE806" s="198">
        <v>0.29074</v>
      </c>
      <c r="BG806" s="1051">
        <v>44020</v>
      </c>
      <c r="BH806" s="198">
        <v>12.096399999999999</v>
      </c>
      <c r="BI806" s="198">
        <v>1.9690000000000001</v>
      </c>
      <c r="BJ806" s="198">
        <v>14.8086</v>
      </c>
      <c r="BT806" s="1051">
        <v>44062</v>
      </c>
      <c r="BU806" s="198">
        <v>9.7998999999999992</v>
      </c>
      <c r="BV806" s="198">
        <v>2.5968</v>
      </c>
      <c r="BW806" s="198">
        <v>5.5118</v>
      </c>
      <c r="BX806" s="198">
        <v>1.1828000000000001</v>
      </c>
      <c r="BZ806" s="1051">
        <v>44062</v>
      </c>
      <c r="CA806" s="198">
        <v>25.726700000000001</v>
      </c>
      <c r="CB806" s="198">
        <v>1.4111</v>
      </c>
      <c r="CC806" s="198">
        <v>18.3322</v>
      </c>
      <c r="CD806" s="198">
        <v>0.56681999999999999</v>
      </c>
      <c r="CF806" s="1051">
        <v>44061</v>
      </c>
      <c r="CG806" s="198">
        <v>5.3375000000000004</v>
      </c>
      <c r="CH806" s="198">
        <v>0.79730000000000001</v>
      </c>
      <c r="CI806" s="198">
        <v>14.220800000000001</v>
      </c>
      <c r="CL806" s="1051">
        <v>44083</v>
      </c>
      <c r="CM806" s="198">
        <v>24.723700000000001</v>
      </c>
      <c r="CN806" s="198">
        <v>2.4138000000000002</v>
      </c>
      <c r="CO806" s="198">
        <v>10.351000000000001</v>
      </c>
    </row>
    <row r="807" spans="1:93" s="198" customFormat="1">
      <c r="A807" s="1051">
        <v>44061</v>
      </c>
      <c r="B807" s="1052">
        <f t="shared" si="122"/>
        <v>8.9998000000000005</v>
      </c>
      <c r="C807" s="1052">
        <f t="shared" si="124"/>
        <v>6.5060000000000002</v>
      </c>
      <c r="D807" s="1052">
        <f t="shared" si="128"/>
        <v>10.5204</v>
      </c>
      <c r="E807" s="1052">
        <f t="shared" si="129"/>
        <v>12.244</v>
      </c>
      <c r="F807" s="1052">
        <f t="shared" si="130"/>
        <v>18.064</v>
      </c>
      <c r="G807" s="1052">
        <f t="shared" si="131"/>
        <v>8.7260000000000009</v>
      </c>
      <c r="H807" s="1047">
        <f t="shared" si="125"/>
        <v>10.5204</v>
      </c>
      <c r="I807" s="1048">
        <f t="shared" si="123"/>
        <v>-0.14453823048553283</v>
      </c>
      <c r="J807" s="1048">
        <f t="shared" si="126"/>
        <v>0.12093838824177333</v>
      </c>
      <c r="K807" s="1048">
        <f t="shared" si="127"/>
        <v>0.1</v>
      </c>
      <c r="L807" s="1048"/>
      <c r="N807" s="1051">
        <v>44061</v>
      </c>
      <c r="O807" s="1053">
        <v>8.9998000000000005</v>
      </c>
      <c r="P807" s="1053">
        <v>1.7862</v>
      </c>
      <c r="Q807" s="1053">
        <v>9.3847000000000005</v>
      </c>
      <c r="R807" s="1054">
        <f>'B. PE'!$U$23</f>
        <v>15.978235616082999</v>
      </c>
      <c r="S807" s="1054"/>
      <c r="T807" s="1054"/>
      <c r="V807" s="1051">
        <v>44061</v>
      </c>
      <c r="W807" s="198">
        <v>6.5060000000000002</v>
      </c>
      <c r="X807" s="198">
        <v>0.45929999999999999</v>
      </c>
      <c r="Y807" s="198">
        <v>13.943199999999999</v>
      </c>
      <c r="Z807" s="198">
        <v>0.33341999999999999</v>
      </c>
      <c r="AB807" s="1051">
        <v>44027</v>
      </c>
      <c r="AC807" s="198">
        <v>14.2563</v>
      </c>
      <c r="AD807" s="1053">
        <v>0.8619</v>
      </c>
      <c r="AE807" s="198">
        <v>5.1909000000000001</v>
      </c>
      <c r="AF807" s="198">
        <v>1.908E-2</v>
      </c>
      <c r="AH807" s="1051">
        <v>44027</v>
      </c>
      <c r="AI807" s="198">
        <v>9.9417000000000009</v>
      </c>
      <c r="AJ807" s="198">
        <v>1.6491</v>
      </c>
      <c r="AK807" s="198">
        <v>4.1818</v>
      </c>
      <c r="AL807" s="198">
        <v>1.9699999999999999E-2</v>
      </c>
      <c r="AN807" s="1051">
        <v>44034</v>
      </c>
      <c r="AO807" s="198">
        <v>11.5334</v>
      </c>
      <c r="AP807" s="198">
        <v>1.1930000000000001</v>
      </c>
      <c r="AQ807" s="198">
        <v>5.7098000000000004</v>
      </c>
      <c r="AR807" s="198">
        <v>0.20757999999999999</v>
      </c>
      <c r="AT807" s="1051">
        <v>44034</v>
      </c>
      <c r="AW807" s="198">
        <v>6.2488999999999999</v>
      </c>
      <c r="AX807" s="198">
        <v>0.11845</v>
      </c>
      <c r="BA807" s="1051">
        <v>44019</v>
      </c>
      <c r="BB807" s="198">
        <v>6.1837999999999997</v>
      </c>
      <c r="BC807" s="198">
        <v>1.2683</v>
      </c>
      <c r="BD807" s="198">
        <v>6.2563000000000004</v>
      </c>
      <c r="BE807" s="198">
        <v>0.28810999999999998</v>
      </c>
      <c r="BG807" s="1051">
        <v>44019</v>
      </c>
      <c r="BH807" s="198">
        <v>12.177</v>
      </c>
      <c r="BI807" s="198">
        <v>1.9821</v>
      </c>
      <c r="BJ807" s="198">
        <v>14.880599999999999</v>
      </c>
      <c r="BT807" s="1051">
        <v>44061</v>
      </c>
      <c r="BU807" s="198">
        <v>9.7518999999999991</v>
      </c>
      <c r="BV807" s="198">
        <v>2.5840999999999998</v>
      </c>
      <c r="BW807" s="198">
        <v>5.4855</v>
      </c>
      <c r="BX807" s="198">
        <v>1.1952</v>
      </c>
      <c r="BZ807" s="1051">
        <v>44061</v>
      </c>
      <c r="CA807" s="198">
        <v>25.5596</v>
      </c>
      <c r="CB807" s="198">
        <v>1.4019999999999999</v>
      </c>
      <c r="CC807" s="198">
        <v>18.268899999999999</v>
      </c>
      <c r="CD807" s="198">
        <v>0.57281000000000004</v>
      </c>
      <c r="CF807" s="1051">
        <v>44060</v>
      </c>
      <c r="CG807" s="198">
        <v>5.3375000000000004</v>
      </c>
      <c r="CH807" s="198">
        <v>0.79730000000000001</v>
      </c>
      <c r="CI807" s="198">
        <v>14.220800000000001</v>
      </c>
      <c r="CL807" s="1051">
        <v>44082</v>
      </c>
      <c r="CM807" s="198">
        <v>24.504200000000001</v>
      </c>
      <c r="CN807" s="198">
        <v>2.3923999999999999</v>
      </c>
      <c r="CO807" s="198">
        <v>10.2606</v>
      </c>
    </row>
    <row r="808" spans="1:93" s="198" customFormat="1">
      <c r="A808" s="1051">
        <v>44060</v>
      </c>
      <c r="B808" s="1052">
        <f t="shared" si="122"/>
        <v>8.8414999999999999</v>
      </c>
      <c r="C808" s="1052">
        <f t="shared" si="124"/>
        <v>6.5938999999999997</v>
      </c>
      <c r="D808" s="1052">
        <f t="shared" si="128"/>
        <v>10.5204</v>
      </c>
      <c r="E808" s="1052">
        <f t="shared" si="129"/>
        <v>11.588100000000001</v>
      </c>
      <c r="F808" s="1052">
        <f t="shared" si="130"/>
        <v>17.580100000000002</v>
      </c>
      <c r="G808" s="1052">
        <f t="shared" si="131"/>
        <v>8.3824000000000005</v>
      </c>
      <c r="H808" s="1047">
        <f t="shared" si="125"/>
        <v>10.5204</v>
      </c>
      <c r="I808" s="1048">
        <f t="shared" si="123"/>
        <v>-0.15958518687502377</v>
      </c>
      <c r="J808" s="1048">
        <f t="shared" si="126"/>
        <v>0.12093838824177333</v>
      </c>
      <c r="K808" s="1048">
        <f t="shared" si="127"/>
        <v>0.1</v>
      </c>
      <c r="L808" s="1048"/>
      <c r="N808" s="1051">
        <v>44060</v>
      </c>
      <c r="O808" s="1053">
        <v>8.8414999999999999</v>
      </c>
      <c r="P808" s="1053">
        <v>1.7547999999999999</v>
      </c>
      <c r="Q808" s="1053">
        <v>9.2406000000000006</v>
      </c>
      <c r="R808" s="1054">
        <f>'B. PE'!$U$23</f>
        <v>15.978235616082999</v>
      </c>
      <c r="S808" s="1054"/>
      <c r="T808" s="1054"/>
      <c r="V808" s="1051">
        <v>44060</v>
      </c>
      <c r="W808" s="198">
        <v>6.5938999999999997</v>
      </c>
      <c r="X808" s="198">
        <v>0.46550000000000002</v>
      </c>
      <c r="Y808" s="198">
        <v>14.0045</v>
      </c>
      <c r="Z808" s="198">
        <v>0.33522999999999997</v>
      </c>
      <c r="AB808" s="1051">
        <v>44026</v>
      </c>
      <c r="AC808" s="198">
        <v>14.309699999999999</v>
      </c>
      <c r="AD808" s="1053">
        <v>0.86509999999999998</v>
      </c>
      <c r="AE808" s="198">
        <v>5.2077</v>
      </c>
      <c r="AF808" s="198">
        <v>1.8190000000000001E-2</v>
      </c>
      <c r="AH808" s="1051">
        <v>44026</v>
      </c>
      <c r="AI808" s="198">
        <v>9.8735999999999997</v>
      </c>
      <c r="AJ808" s="198">
        <v>1.6377999999999999</v>
      </c>
      <c r="AK808" s="198">
        <v>4.1500000000000004</v>
      </c>
      <c r="AL808" s="198">
        <v>1.95E-2</v>
      </c>
      <c r="AN808" s="1051">
        <v>44033</v>
      </c>
      <c r="AO808" s="198">
        <v>10.1122</v>
      </c>
      <c r="AP808" s="198">
        <v>1.046</v>
      </c>
      <c r="AQ808" s="198">
        <v>4.5431999999999997</v>
      </c>
      <c r="AR808" s="198">
        <v>0.21113999999999999</v>
      </c>
      <c r="AT808" s="1051">
        <v>44033</v>
      </c>
      <c r="AU808" s="198">
        <v>8.5106000000000002</v>
      </c>
      <c r="AV808" s="198">
        <v>0.50570000000000004</v>
      </c>
      <c r="AW808" s="198">
        <v>6.2488999999999999</v>
      </c>
      <c r="AX808" s="198">
        <v>0.11848</v>
      </c>
      <c r="BA808" s="1051">
        <v>44015</v>
      </c>
      <c r="BB808" s="198">
        <v>6.2180999999999997</v>
      </c>
      <c r="BC808" s="198">
        <v>1.2754000000000001</v>
      </c>
      <c r="BD808" s="198">
        <v>6.2793999999999999</v>
      </c>
      <c r="BE808" s="198">
        <v>0.29003000000000001</v>
      </c>
      <c r="BG808" s="1051">
        <v>44015</v>
      </c>
      <c r="BH808" s="198">
        <v>12.2577</v>
      </c>
      <c r="BI808" s="198">
        <v>1.9952000000000001</v>
      </c>
      <c r="BJ808" s="198">
        <v>14.9527</v>
      </c>
      <c r="BT808" s="1051">
        <v>44060</v>
      </c>
      <c r="BU808" s="198">
        <v>9.8477999999999994</v>
      </c>
      <c r="BV808" s="198">
        <v>2.6095000000000002</v>
      </c>
      <c r="BW808" s="198">
        <v>5.5381999999999998</v>
      </c>
      <c r="BX808" s="198">
        <v>1.1822999999999999</v>
      </c>
      <c r="BZ808" s="1051">
        <v>44060</v>
      </c>
      <c r="CA808" s="198">
        <v>25.2255</v>
      </c>
      <c r="CB808" s="198">
        <v>1.3835999999999999</v>
      </c>
      <c r="CC808" s="198">
        <v>18.142199999999999</v>
      </c>
      <c r="CD808" s="198">
        <v>0.56904999999999994</v>
      </c>
      <c r="CF808" s="1051">
        <v>44057</v>
      </c>
      <c r="CG808" s="198">
        <v>5.3956</v>
      </c>
      <c r="CH808" s="198">
        <v>0.80600000000000005</v>
      </c>
      <c r="CI808" s="198">
        <v>14.250999999999999</v>
      </c>
      <c r="CL808" s="1051">
        <v>44081</v>
      </c>
      <c r="CM808" s="198">
        <v>24.444299999999998</v>
      </c>
      <c r="CN808" s="198">
        <v>2.3866000000000001</v>
      </c>
      <c r="CO808" s="198">
        <v>10.235900000000001</v>
      </c>
    </row>
    <row r="809" spans="1:93" s="198" customFormat="1">
      <c r="A809" s="1051">
        <v>44057</v>
      </c>
      <c r="B809" s="1052">
        <f t="shared" si="122"/>
        <v>8.9680999999999997</v>
      </c>
      <c r="C809" s="1052">
        <f t="shared" si="124"/>
        <v>7.3372000000000002</v>
      </c>
      <c r="D809" s="1052">
        <f t="shared" si="128"/>
        <v>10.3843</v>
      </c>
      <c r="E809" s="1052">
        <f t="shared" si="129"/>
        <v>11.806699999999999</v>
      </c>
      <c r="F809" s="1052">
        <f t="shared" si="130"/>
        <v>18.225200000000001</v>
      </c>
      <c r="G809" s="1052">
        <f t="shared" si="131"/>
        <v>8.3137000000000008</v>
      </c>
      <c r="H809" s="1047">
        <f t="shared" si="125"/>
        <v>10.3843</v>
      </c>
      <c r="I809" s="1048">
        <f t="shared" si="123"/>
        <v>-0.13637895669424038</v>
      </c>
      <c r="J809" s="1048">
        <f t="shared" si="126"/>
        <v>0.12093838824177333</v>
      </c>
      <c r="K809" s="1048">
        <f t="shared" si="127"/>
        <v>0.1</v>
      </c>
      <c r="L809" s="1048"/>
      <c r="N809" s="1051">
        <v>44057</v>
      </c>
      <c r="O809" s="1053">
        <v>8.9680999999999997</v>
      </c>
      <c r="P809" s="1053">
        <v>1.7799</v>
      </c>
      <c r="Q809" s="1053">
        <v>9.3559000000000001</v>
      </c>
      <c r="R809" s="1054">
        <f>'B. PE'!$U$23</f>
        <v>15.978235616082999</v>
      </c>
      <c r="S809" s="1054"/>
      <c r="T809" s="1054"/>
      <c r="V809" s="1051">
        <v>44057</v>
      </c>
      <c r="W809" s="198">
        <v>7.3372000000000002</v>
      </c>
      <c r="X809" s="198">
        <v>0.51790000000000003</v>
      </c>
      <c r="Y809" s="198">
        <v>14.5229</v>
      </c>
      <c r="Z809" s="198">
        <v>0.33487</v>
      </c>
      <c r="AB809" s="1051">
        <v>44025</v>
      </c>
      <c r="AC809" s="198">
        <v>14.736800000000001</v>
      </c>
      <c r="AD809" s="1053">
        <v>0.89090000000000003</v>
      </c>
      <c r="AE809" s="198">
        <v>5.3418999999999999</v>
      </c>
      <c r="AF809" s="198">
        <v>1.7979999999999999E-2</v>
      </c>
      <c r="AH809" s="1051">
        <v>44025</v>
      </c>
      <c r="AI809" s="198">
        <v>9.7033000000000005</v>
      </c>
      <c r="AJ809" s="198">
        <v>1.6094999999999999</v>
      </c>
      <c r="AK809" s="198">
        <v>4.0702999999999996</v>
      </c>
      <c r="AL809" s="198">
        <v>1.9429999999999999E-2</v>
      </c>
      <c r="AN809" s="1051">
        <v>44032</v>
      </c>
      <c r="AO809" s="198">
        <v>9.6748999999999992</v>
      </c>
      <c r="AP809" s="198">
        <v>1.0006999999999999</v>
      </c>
      <c r="AQ809" s="198">
        <v>4.1841999999999997</v>
      </c>
      <c r="AR809" s="198">
        <v>0.20499000000000001</v>
      </c>
      <c r="AT809" s="1051">
        <v>44032</v>
      </c>
      <c r="AU809" s="198">
        <v>8.2651000000000003</v>
      </c>
      <c r="AV809" s="198">
        <v>0.49109999999999998</v>
      </c>
      <c r="AW809" s="198">
        <v>6.1199000000000003</v>
      </c>
      <c r="BA809" s="1051">
        <v>44014</v>
      </c>
      <c r="BB809" s="198">
        <v>6.1494</v>
      </c>
      <c r="BC809" s="198">
        <v>1.2613000000000001</v>
      </c>
      <c r="BD809" s="198">
        <v>6.2332000000000001</v>
      </c>
      <c r="BE809" s="198">
        <v>0.27044000000000001</v>
      </c>
      <c r="BG809" s="1051">
        <v>44014</v>
      </c>
      <c r="BH809" s="198">
        <v>12.2577</v>
      </c>
      <c r="BI809" s="198">
        <v>1.9952000000000001</v>
      </c>
      <c r="BJ809" s="198">
        <v>14.9527</v>
      </c>
      <c r="BT809" s="1051">
        <v>44057</v>
      </c>
      <c r="BU809" s="198">
        <v>9.9556000000000004</v>
      </c>
      <c r="BV809" s="198">
        <v>2.6379999999999999</v>
      </c>
      <c r="BW809" s="198">
        <v>5.5975000000000001</v>
      </c>
      <c r="BX809" s="198">
        <v>1.1476999999999999</v>
      </c>
      <c r="BZ809" s="1051">
        <v>44057</v>
      </c>
      <c r="CA809" s="198">
        <v>25.504000000000001</v>
      </c>
      <c r="CB809" s="198">
        <v>1.3989</v>
      </c>
      <c r="CC809" s="198">
        <v>18.247699999999998</v>
      </c>
      <c r="CD809" s="198">
        <v>0.56279999999999997</v>
      </c>
      <c r="CF809" s="1051">
        <v>44056</v>
      </c>
      <c r="CG809" s="198">
        <v>5.4535999999999998</v>
      </c>
      <c r="CH809" s="198">
        <v>0.81459999999999999</v>
      </c>
      <c r="CI809" s="198">
        <v>14.2813</v>
      </c>
      <c r="CL809" s="1051">
        <v>44078</v>
      </c>
      <c r="CM809" s="198">
        <v>23.945499999999999</v>
      </c>
      <c r="CN809" s="198">
        <v>2.3378999999999999</v>
      </c>
      <c r="CO809" s="198">
        <v>10.0305</v>
      </c>
    </row>
    <row r="810" spans="1:93" s="198" customFormat="1">
      <c r="A810" s="1051">
        <v>44056</v>
      </c>
      <c r="B810" s="1052">
        <f t="shared" si="122"/>
        <v>8.9680999999999997</v>
      </c>
      <c r="C810" s="1052">
        <f t="shared" si="124"/>
        <v>7.3772000000000002</v>
      </c>
      <c r="D810" s="1052">
        <f t="shared" si="128"/>
        <v>10.452400000000001</v>
      </c>
      <c r="E810" s="1052">
        <f t="shared" si="129"/>
        <v>12.735900000000001</v>
      </c>
      <c r="F810" s="1052">
        <f t="shared" si="130"/>
        <v>18.225200000000001</v>
      </c>
      <c r="G810" s="1052">
        <f t="shared" si="131"/>
        <v>8.5198</v>
      </c>
      <c r="H810" s="1047">
        <f t="shared" si="125"/>
        <v>10.452400000000001</v>
      </c>
      <c r="I810" s="1048">
        <f t="shared" si="123"/>
        <v>-0.1420056637710001</v>
      </c>
      <c r="J810" s="1048">
        <f t="shared" si="126"/>
        <v>0.12093838824177333</v>
      </c>
      <c r="K810" s="1048">
        <f t="shared" si="127"/>
        <v>0.1</v>
      </c>
      <c r="L810" s="1048"/>
      <c r="N810" s="1051">
        <v>44056</v>
      </c>
      <c r="O810" s="1053">
        <v>8.9680999999999997</v>
      </c>
      <c r="P810" s="1053">
        <v>1.7799</v>
      </c>
      <c r="Q810" s="1053">
        <v>9.3559000000000001</v>
      </c>
      <c r="R810" s="1054">
        <f>'B. PE'!$U$23</f>
        <v>15.978235616082999</v>
      </c>
      <c r="S810" s="1054"/>
      <c r="T810" s="1054"/>
      <c r="V810" s="1051">
        <v>44056</v>
      </c>
      <c r="W810" s="198">
        <v>7.3772000000000002</v>
      </c>
      <c r="X810" s="198">
        <v>0.52070000000000005</v>
      </c>
      <c r="Y810" s="198">
        <v>14.550800000000001</v>
      </c>
      <c r="Z810" s="198">
        <v>0.33394000000000001</v>
      </c>
      <c r="AB810" s="1051">
        <v>44022</v>
      </c>
      <c r="AC810" s="198">
        <v>14.0427</v>
      </c>
      <c r="AD810" s="1053">
        <v>0.84899999999999998</v>
      </c>
      <c r="AE810" s="198">
        <v>5.1238000000000001</v>
      </c>
      <c r="AF810" s="198">
        <v>1.8329999999999999E-2</v>
      </c>
      <c r="AH810" s="1051">
        <v>44022</v>
      </c>
      <c r="AI810" s="198">
        <v>9.6012000000000004</v>
      </c>
      <c r="AJ810" s="198">
        <v>1.5926</v>
      </c>
      <c r="AK810" s="198">
        <v>4.0225</v>
      </c>
      <c r="AL810" s="198">
        <v>1.9439999999999999E-2</v>
      </c>
      <c r="AN810" s="1051">
        <v>44029</v>
      </c>
      <c r="AO810" s="198">
        <v>9.8389000000000006</v>
      </c>
      <c r="AP810" s="198">
        <v>1.0177</v>
      </c>
      <c r="AQ810" s="198">
        <v>4.3188000000000004</v>
      </c>
      <c r="AR810" s="198">
        <v>0.21584</v>
      </c>
      <c r="AT810" s="1051">
        <v>44029</v>
      </c>
      <c r="AU810" s="198">
        <v>8.2651000000000003</v>
      </c>
      <c r="AV810" s="198">
        <v>0.49109999999999998</v>
      </c>
      <c r="AW810" s="198">
        <v>6.1199000000000003</v>
      </c>
      <c r="AX810" s="198">
        <v>0.11848</v>
      </c>
      <c r="BA810" s="1051">
        <v>44013</v>
      </c>
      <c r="BB810" s="198">
        <v>6.1837999999999997</v>
      </c>
      <c r="BC810" s="198">
        <v>1.2683</v>
      </c>
      <c r="BD810" s="198">
        <v>6.2563000000000004</v>
      </c>
      <c r="BE810" s="198">
        <v>0.26861000000000002</v>
      </c>
      <c r="BG810" s="1051">
        <v>44013</v>
      </c>
      <c r="BH810" s="198">
        <v>12.177</v>
      </c>
      <c r="BI810" s="198">
        <v>1.9821</v>
      </c>
      <c r="BJ810" s="198">
        <v>14.880599999999999</v>
      </c>
      <c r="BT810" s="1051">
        <v>44056</v>
      </c>
      <c r="BU810" s="198">
        <v>9.8477999999999994</v>
      </c>
      <c r="BV810" s="198">
        <v>2.6095000000000002</v>
      </c>
      <c r="BW810" s="198">
        <v>5.5381999999999998</v>
      </c>
      <c r="BX810" s="198">
        <v>1.1439999999999999</v>
      </c>
      <c r="BZ810" s="1051">
        <v>44056</v>
      </c>
      <c r="CA810" s="198">
        <v>25.3369</v>
      </c>
      <c r="CB810" s="198">
        <v>1.3897999999999999</v>
      </c>
      <c r="CC810" s="198">
        <v>18.1844</v>
      </c>
      <c r="CD810" s="198">
        <v>0.56806999999999996</v>
      </c>
      <c r="CF810" s="1051">
        <v>44055</v>
      </c>
      <c r="CG810" s="198">
        <v>5.3956</v>
      </c>
      <c r="CH810" s="198">
        <v>0.80600000000000005</v>
      </c>
      <c r="CI810" s="198">
        <v>14.250999999999999</v>
      </c>
      <c r="CL810" s="1051">
        <v>44077</v>
      </c>
      <c r="CM810" s="198">
        <v>24.3446</v>
      </c>
      <c r="CN810" s="198">
        <v>2.3767999999999998</v>
      </c>
      <c r="CO810" s="198">
        <v>10.194800000000001</v>
      </c>
    </row>
    <row r="811" spans="1:93" s="198" customFormat="1">
      <c r="A811" s="1051">
        <v>44055</v>
      </c>
      <c r="B811" s="1052">
        <f t="shared" si="122"/>
        <v>8.9047999999999998</v>
      </c>
      <c r="C811" s="1052">
        <f t="shared" si="124"/>
        <v>7.3692000000000002</v>
      </c>
      <c r="D811" s="1052">
        <f t="shared" si="128"/>
        <v>10.656599999999999</v>
      </c>
      <c r="E811" s="1052">
        <f t="shared" si="129"/>
        <v>13.118600000000001</v>
      </c>
      <c r="F811" s="1052">
        <f t="shared" si="130"/>
        <v>18.225200000000001</v>
      </c>
      <c r="G811" s="1052">
        <f t="shared" si="131"/>
        <v>8.5198</v>
      </c>
      <c r="H811" s="1047">
        <f t="shared" si="125"/>
        <v>10.656599999999999</v>
      </c>
      <c r="I811" s="1048">
        <f t="shared" si="123"/>
        <v>-0.16438638965523711</v>
      </c>
      <c r="J811" s="1048">
        <f t="shared" si="126"/>
        <v>0.12093838824177333</v>
      </c>
      <c r="K811" s="1048">
        <f t="shared" si="127"/>
        <v>0.1</v>
      </c>
      <c r="L811" s="1048"/>
      <c r="N811" s="1051">
        <v>44055</v>
      </c>
      <c r="O811" s="1053">
        <v>8.9047999999999998</v>
      </c>
      <c r="P811" s="1053">
        <v>1.7674000000000001</v>
      </c>
      <c r="Q811" s="1053">
        <v>9.2982999999999993</v>
      </c>
      <c r="R811" s="1054">
        <f>'B. PE'!$U$23</f>
        <v>15.978235616082999</v>
      </c>
      <c r="S811" s="1054"/>
      <c r="T811" s="1054"/>
      <c r="V811" s="1051">
        <v>44055</v>
      </c>
      <c r="W811" s="198">
        <v>7.3692000000000002</v>
      </c>
      <c r="X811" s="198">
        <v>0.5202</v>
      </c>
      <c r="Y811" s="198">
        <v>14.545199999999999</v>
      </c>
      <c r="Z811" s="198">
        <v>0.33538000000000001</v>
      </c>
      <c r="AB811" s="1051">
        <v>44021</v>
      </c>
      <c r="AC811" s="198">
        <v>13.8825</v>
      </c>
      <c r="AD811" s="1053">
        <v>0.83930000000000005</v>
      </c>
      <c r="AE811" s="198">
        <v>5.0735000000000001</v>
      </c>
      <c r="AF811" s="198">
        <v>1.8790000000000001E-2</v>
      </c>
      <c r="AH811" s="1051">
        <v>44021</v>
      </c>
      <c r="AI811" s="198">
        <v>9.5670999999999999</v>
      </c>
      <c r="AJ811" s="198">
        <v>1.587</v>
      </c>
      <c r="AK811" s="198">
        <v>4.0065999999999997</v>
      </c>
      <c r="AL811" s="198">
        <v>1.942E-2</v>
      </c>
      <c r="AN811" s="1051">
        <v>44028</v>
      </c>
      <c r="AO811" s="198">
        <v>9.5655999999999999</v>
      </c>
      <c r="AP811" s="198">
        <v>0.98939999999999995</v>
      </c>
      <c r="AQ811" s="198">
        <v>4.0945</v>
      </c>
      <c r="AR811" s="198">
        <v>0.20605999999999999</v>
      </c>
      <c r="AT811" s="1051">
        <v>44028</v>
      </c>
      <c r="AW811" s="198">
        <v>6.1199000000000003</v>
      </c>
      <c r="AX811" s="198">
        <v>0.11824999999999999</v>
      </c>
      <c r="BA811" s="1051">
        <v>44012</v>
      </c>
      <c r="BB811" s="198">
        <v>5.7370999999999999</v>
      </c>
      <c r="BC811" s="198">
        <v>1.1767000000000001</v>
      </c>
      <c r="BD811" s="198">
        <v>5.9561000000000002</v>
      </c>
      <c r="BE811" s="198">
        <v>0.27177000000000001</v>
      </c>
      <c r="BG811" s="1051">
        <v>44012</v>
      </c>
      <c r="BH811" s="198">
        <v>12.2577</v>
      </c>
      <c r="BI811" s="198">
        <v>1.9952000000000001</v>
      </c>
      <c r="BJ811" s="198">
        <v>14.9527</v>
      </c>
      <c r="BT811" s="1051">
        <v>44055</v>
      </c>
      <c r="BU811" s="198">
        <v>9.5602999999999998</v>
      </c>
      <c r="BV811" s="198">
        <v>2.5333000000000001</v>
      </c>
      <c r="BW811" s="198">
        <v>5.3800999999999997</v>
      </c>
      <c r="BX811" s="198">
        <v>1.1367</v>
      </c>
      <c r="BZ811" s="1051">
        <v>44055</v>
      </c>
      <c r="CA811" s="198">
        <v>25.058499999999999</v>
      </c>
      <c r="CB811" s="198">
        <v>1.3745000000000001</v>
      </c>
      <c r="CC811" s="198">
        <v>18.078800000000001</v>
      </c>
      <c r="CD811" s="198">
        <v>0.57055</v>
      </c>
      <c r="CF811" s="1051">
        <v>44054</v>
      </c>
      <c r="CG811" s="198">
        <v>5.3375000000000004</v>
      </c>
      <c r="CH811" s="198">
        <v>0.79730000000000001</v>
      </c>
      <c r="CI811" s="198">
        <v>14.220800000000001</v>
      </c>
      <c r="CL811" s="1051">
        <v>44076</v>
      </c>
      <c r="CM811" s="198">
        <v>24.863399999999999</v>
      </c>
      <c r="CN811" s="198">
        <v>2.4275000000000002</v>
      </c>
      <c r="CO811" s="198">
        <v>10.4085</v>
      </c>
    </row>
    <row r="812" spans="1:93" s="198" customFormat="1">
      <c r="A812" s="1051">
        <v>44054</v>
      </c>
      <c r="B812" s="1052">
        <f t="shared" si="122"/>
        <v>9.0208999999999993</v>
      </c>
      <c r="C812" s="1052">
        <f t="shared" si="124"/>
        <v>7.3452000000000002</v>
      </c>
      <c r="D812" s="1052">
        <f t="shared" si="128"/>
        <v>10.9971</v>
      </c>
      <c r="E812" s="1052">
        <f t="shared" si="129"/>
        <v>13.118600000000001</v>
      </c>
      <c r="F812" s="1052">
        <f t="shared" si="130"/>
        <v>19.193000000000001</v>
      </c>
      <c r="G812" s="1052">
        <f t="shared" si="131"/>
        <v>7.6952999999999996</v>
      </c>
      <c r="H812" s="1047">
        <f t="shared" si="125"/>
        <v>10.9971</v>
      </c>
      <c r="I812" s="1048">
        <f t="shared" si="123"/>
        <v>-0.179701921415646</v>
      </c>
      <c r="J812" s="1048">
        <f t="shared" si="126"/>
        <v>0.12093838824177333</v>
      </c>
      <c r="K812" s="1048">
        <f t="shared" si="127"/>
        <v>0.1</v>
      </c>
      <c r="L812" s="1048"/>
      <c r="N812" s="1051">
        <v>44054</v>
      </c>
      <c r="O812" s="1053">
        <v>9.0208999999999993</v>
      </c>
      <c r="P812" s="1053">
        <v>1.7904</v>
      </c>
      <c r="Q812" s="1053">
        <v>9.4039999999999999</v>
      </c>
      <c r="R812" s="1054">
        <f>'B. PE'!$U$23</f>
        <v>15.978235616082999</v>
      </c>
      <c r="S812" s="1054"/>
      <c r="T812" s="1054"/>
      <c r="V812" s="1051">
        <v>44054</v>
      </c>
      <c r="W812" s="198">
        <v>7.3452000000000002</v>
      </c>
      <c r="X812" s="198">
        <v>0.51849999999999996</v>
      </c>
      <c r="Y812" s="198">
        <v>14.528499999999999</v>
      </c>
      <c r="Z812" s="198">
        <v>0.33317999999999998</v>
      </c>
      <c r="AB812" s="1051">
        <v>44020</v>
      </c>
      <c r="AC812" s="198">
        <v>14.0961</v>
      </c>
      <c r="AD812" s="1053">
        <v>0.85219999999999996</v>
      </c>
      <c r="AE812" s="198">
        <v>5.1406000000000001</v>
      </c>
      <c r="AF812" s="198">
        <v>1.7309999999999999E-2</v>
      </c>
      <c r="AH812" s="1051">
        <v>44020</v>
      </c>
      <c r="AI812" s="198">
        <v>9.5330999999999992</v>
      </c>
      <c r="AJ812" s="198">
        <v>1.5812999999999999</v>
      </c>
      <c r="AK812" s="198">
        <v>3.9906000000000001</v>
      </c>
      <c r="AL812" s="198">
        <v>1.9609999999999999E-2</v>
      </c>
      <c r="AN812" s="1051">
        <v>44027</v>
      </c>
      <c r="AO812" s="198">
        <v>10.057600000000001</v>
      </c>
      <c r="AP812" s="198">
        <v>1.0403</v>
      </c>
      <c r="AQ812" s="198">
        <v>4.4983000000000004</v>
      </c>
      <c r="AR812" s="198">
        <v>0.21218999999999999</v>
      </c>
      <c r="AT812" s="1051">
        <v>44027</v>
      </c>
      <c r="AU812" s="198">
        <v>8.2651000000000003</v>
      </c>
      <c r="AV812" s="198">
        <v>0.49109999999999998</v>
      </c>
      <c r="AW812" s="198">
        <v>6.1199000000000003</v>
      </c>
      <c r="AX812" s="198">
        <v>0.11958000000000001</v>
      </c>
      <c r="BA812" s="1051">
        <v>44011</v>
      </c>
      <c r="BB812" s="198">
        <v>6.3581000000000003</v>
      </c>
      <c r="BC812" s="198">
        <v>1.1486000000000001</v>
      </c>
      <c r="BD812" s="198">
        <v>6.7854999999999999</v>
      </c>
      <c r="BE812" s="198">
        <v>0.26366000000000001</v>
      </c>
      <c r="BG812" s="1051">
        <v>44011</v>
      </c>
      <c r="BH812" s="198">
        <v>13.157500000000001</v>
      </c>
      <c r="BI812" s="198">
        <v>1.9124000000000001</v>
      </c>
      <c r="BJ812" s="198">
        <v>17.558499999999999</v>
      </c>
      <c r="BT812" s="1051">
        <v>44054</v>
      </c>
      <c r="BU812" s="198">
        <v>9.5243000000000002</v>
      </c>
      <c r="BV812" s="198">
        <v>2.5236999999999998</v>
      </c>
      <c r="BW812" s="198">
        <v>5.3602999999999996</v>
      </c>
      <c r="BX812" s="198">
        <v>1.1309</v>
      </c>
      <c r="BZ812" s="1051">
        <v>44054</v>
      </c>
      <c r="CA812" s="198">
        <v>25.281199999999998</v>
      </c>
      <c r="CB812" s="198">
        <v>1.3867</v>
      </c>
      <c r="CC812" s="198">
        <v>18.1633</v>
      </c>
      <c r="CD812" s="198">
        <v>0.54049999999999998</v>
      </c>
      <c r="CF812" s="1051">
        <v>44053</v>
      </c>
      <c r="CG812" s="198">
        <v>5.3375000000000004</v>
      </c>
      <c r="CH812" s="198">
        <v>0.79730000000000001</v>
      </c>
      <c r="CI812" s="198">
        <v>14.220800000000001</v>
      </c>
      <c r="CL812" s="1051">
        <v>44075</v>
      </c>
      <c r="CM812" s="198">
        <v>24.284700000000001</v>
      </c>
      <c r="CN812" s="198">
        <v>2.371</v>
      </c>
      <c r="CO812" s="198">
        <v>10.170199999999999</v>
      </c>
    </row>
    <row r="813" spans="1:93" s="198" customFormat="1">
      <c r="A813" s="1051">
        <v>44053</v>
      </c>
      <c r="B813" s="1052">
        <f t="shared" si="122"/>
        <v>8.9892000000000003</v>
      </c>
      <c r="C813" s="1052">
        <f t="shared" si="124"/>
        <v>7.3772000000000002</v>
      </c>
      <c r="D813" s="1052">
        <f t="shared" si="128"/>
        <v>11.065200000000001</v>
      </c>
      <c r="E813" s="1052">
        <f t="shared" si="129"/>
        <v>13.5558</v>
      </c>
      <c r="F813" s="1052">
        <f t="shared" si="130"/>
        <v>18.547799999999999</v>
      </c>
      <c r="G813" s="1052">
        <f t="shared" si="131"/>
        <v>7.8327999999999998</v>
      </c>
      <c r="H813" s="1047">
        <f t="shared" si="125"/>
        <v>11.065200000000001</v>
      </c>
      <c r="I813" s="1048">
        <f t="shared" si="123"/>
        <v>-0.18761522611430437</v>
      </c>
      <c r="J813" s="1048">
        <f t="shared" si="126"/>
        <v>0.12093838824177333</v>
      </c>
      <c r="K813" s="1048">
        <f t="shared" si="127"/>
        <v>0.1</v>
      </c>
      <c r="L813" s="1048"/>
      <c r="N813" s="1051">
        <v>44053</v>
      </c>
      <c r="O813" s="1053">
        <v>8.9892000000000003</v>
      </c>
      <c r="P813" s="1053">
        <v>1.7841</v>
      </c>
      <c r="Q813" s="1053">
        <v>9.3750999999999998</v>
      </c>
      <c r="R813" s="1054">
        <f>'B. PE'!$U$23</f>
        <v>15.978235616082999</v>
      </c>
      <c r="S813" s="1054"/>
      <c r="T813" s="1054"/>
      <c r="V813" s="1051">
        <v>44053</v>
      </c>
      <c r="W813" s="198">
        <v>7.3772000000000002</v>
      </c>
      <c r="X813" s="198">
        <v>0.52070000000000005</v>
      </c>
      <c r="Y813" s="198">
        <v>14.550800000000001</v>
      </c>
      <c r="Z813" s="198">
        <v>0.32958999999999999</v>
      </c>
      <c r="AB813" s="1051">
        <v>44019</v>
      </c>
      <c r="AC813" s="198">
        <v>14.416499999999999</v>
      </c>
      <c r="AD813" s="1053">
        <v>0.87160000000000004</v>
      </c>
      <c r="AE813" s="198">
        <v>5.2412999999999998</v>
      </c>
      <c r="AF813" s="198">
        <v>1.694E-2</v>
      </c>
      <c r="AH813" s="1051">
        <v>44019</v>
      </c>
      <c r="AI813" s="198">
        <v>9.4990000000000006</v>
      </c>
      <c r="AJ813" s="198">
        <v>1.5757000000000001</v>
      </c>
      <c r="AK813" s="198">
        <v>3.9746999999999999</v>
      </c>
      <c r="AL813" s="198">
        <v>1.949E-2</v>
      </c>
      <c r="AN813" s="1051">
        <v>44026</v>
      </c>
      <c r="AO813" s="198">
        <v>9.6203000000000003</v>
      </c>
      <c r="AP813" s="198">
        <v>0.99509999999999998</v>
      </c>
      <c r="AQ813" s="198">
        <v>4.1393000000000004</v>
      </c>
      <c r="AR813" s="198">
        <v>0.21446000000000001</v>
      </c>
      <c r="AT813" s="1051">
        <v>44026</v>
      </c>
      <c r="AU813" s="198">
        <v>8.2651000000000003</v>
      </c>
      <c r="AV813" s="198">
        <v>0.49109999999999998</v>
      </c>
      <c r="AW813" s="198">
        <v>6.1199000000000003</v>
      </c>
      <c r="AX813" s="198">
        <v>0.11953999999999999</v>
      </c>
      <c r="BA813" s="1051">
        <v>44008</v>
      </c>
      <c r="BB813" s="198">
        <v>6.4347000000000003</v>
      </c>
      <c r="BC813" s="198">
        <v>1.1624000000000001</v>
      </c>
      <c r="BD813" s="198">
        <v>6.8404999999999996</v>
      </c>
      <c r="BE813" s="198">
        <v>0.26729999999999998</v>
      </c>
      <c r="BG813" s="1051">
        <v>44008</v>
      </c>
      <c r="BH813" s="198">
        <v>13.3329</v>
      </c>
      <c r="BI813" s="198">
        <v>1.9379</v>
      </c>
      <c r="BJ813" s="198">
        <v>17.712299999999999</v>
      </c>
      <c r="BT813" s="1051">
        <v>44053</v>
      </c>
      <c r="BU813" s="198">
        <v>9.4643999999999995</v>
      </c>
      <c r="BV813" s="198">
        <v>2.5078999999999998</v>
      </c>
      <c r="BW813" s="198">
        <v>5.3273999999999999</v>
      </c>
      <c r="BX813" s="198">
        <v>1.1411</v>
      </c>
      <c r="BZ813" s="1051">
        <v>44053</v>
      </c>
      <c r="CA813" s="198">
        <v>25.392600000000002</v>
      </c>
      <c r="CB813" s="198">
        <v>1.3928</v>
      </c>
      <c r="CC813" s="198">
        <v>18.205500000000001</v>
      </c>
      <c r="CD813" s="198">
        <v>0.53807000000000005</v>
      </c>
      <c r="CF813" s="1051">
        <v>44050</v>
      </c>
      <c r="CG813" s="198">
        <v>5.2794999999999996</v>
      </c>
      <c r="CH813" s="198">
        <v>0.78859999999999997</v>
      </c>
      <c r="CI813" s="198">
        <v>14.1905</v>
      </c>
      <c r="CL813" s="1051">
        <v>44074</v>
      </c>
      <c r="CM813" s="198">
        <v>24.145</v>
      </c>
      <c r="CN813" s="198">
        <v>2.3573</v>
      </c>
      <c r="CO813" s="198">
        <v>10.1127</v>
      </c>
    </row>
    <row r="814" spans="1:93" s="198" customFormat="1">
      <c r="A814" s="1051">
        <v>44050</v>
      </c>
      <c r="B814" s="1052">
        <f t="shared" si="122"/>
        <v>8.9892000000000003</v>
      </c>
      <c r="C814" s="1052">
        <f t="shared" si="124"/>
        <v>7.3292000000000002</v>
      </c>
      <c r="D814" s="1052">
        <f t="shared" si="128"/>
        <v>10.6907</v>
      </c>
      <c r="E814" s="1052">
        <f t="shared" si="129"/>
        <v>14.047800000000001</v>
      </c>
      <c r="F814" s="1052">
        <f t="shared" si="130"/>
        <v>18.225200000000001</v>
      </c>
      <c r="G814" s="1052">
        <f t="shared" si="131"/>
        <v>7.8327999999999998</v>
      </c>
      <c r="H814" s="1047">
        <f t="shared" si="125"/>
        <v>10.6907</v>
      </c>
      <c r="I814" s="1048">
        <f t="shared" si="123"/>
        <v>-0.15915702432955736</v>
      </c>
      <c r="J814" s="1048">
        <f t="shared" si="126"/>
        <v>0.12093838824177333</v>
      </c>
      <c r="K814" s="1048">
        <f t="shared" si="127"/>
        <v>0.1</v>
      </c>
      <c r="L814" s="1048"/>
      <c r="N814" s="1051">
        <v>44050</v>
      </c>
      <c r="O814" s="1053">
        <v>8.9892000000000003</v>
      </c>
      <c r="P814" s="1053">
        <v>1.7841</v>
      </c>
      <c r="Q814" s="1053">
        <v>9.3750999999999998</v>
      </c>
      <c r="R814" s="1054">
        <f>'B. PE'!$U$23</f>
        <v>15.978235616082999</v>
      </c>
      <c r="S814" s="1054"/>
      <c r="T814" s="1054"/>
      <c r="V814" s="1051">
        <v>44050</v>
      </c>
      <c r="W814" s="198">
        <v>7.3292000000000002</v>
      </c>
      <c r="X814" s="198">
        <v>0.51739999999999997</v>
      </c>
      <c r="Y814" s="198">
        <v>14.5174</v>
      </c>
      <c r="Z814" s="198">
        <v>0.33211000000000002</v>
      </c>
      <c r="AB814" s="1051">
        <v>44018</v>
      </c>
      <c r="AC814" s="198">
        <v>13.295199999999999</v>
      </c>
      <c r="AD814" s="1053">
        <v>0.80379999999999996</v>
      </c>
      <c r="AE814" s="198">
        <v>4.8888999999999996</v>
      </c>
      <c r="AF814" s="198">
        <v>1.72E-2</v>
      </c>
      <c r="AH814" s="1051">
        <v>44018</v>
      </c>
      <c r="AI814" s="198">
        <v>9.6012000000000004</v>
      </c>
      <c r="AJ814" s="198">
        <v>1.5926</v>
      </c>
      <c r="AK814" s="198">
        <v>4.0225</v>
      </c>
      <c r="AL814" s="198">
        <v>1.934E-2</v>
      </c>
      <c r="AN814" s="1051">
        <v>44025</v>
      </c>
      <c r="AO814" s="198">
        <v>9.8935999999999993</v>
      </c>
      <c r="AP814" s="198">
        <v>1.0233000000000001</v>
      </c>
      <c r="AQ814" s="198">
        <v>4.3636999999999997</v>
      </c>
      <c r="AR814" s="198">
        <v>0.20286000000000001</v>
      </c>
      <c r="AT814" s="1051">
        <v>44025</v>
      </c>
      <c r="AU814" s="198">
        <v>8.3469999999999995</v>
      </c>
      <c r="AV814" s="198">
        <v>0.496</v>
      </c>
      <c r="AW814" s="198">
        <v>6.1628999999999996</v>
      </c>
      <c r="BA814" s="1051">
        <v>44007</v>
      </c>
      <c r="BB814" s="198">
        <v>6.2431999999999999</v>
      </c>
      <c r="BC814" s="198">
        <v>1.1277999999999999</v>
      </c>
      <c r="BD814" s="198">
        <v>6.7030000000000003</v>
      </c>
      <c r="BE814" s="198">
        <v>0.27032</v>
      </c>
      <c r="BG814" s="1051">
        <v>44007</v>
      </c>
      <c r="BH814" s="198">
        <v>13.245200000000001</v>
      </c>
      <c r="BI814" s="198">
        <v>1.9251</v>
      </c>
      <c r="BJ814" s="198">
        <v>17.635400000000001</v>
      </c>
      <c r="BT814" s="1051">
        <v>44050</v>
      </c>
      <c r="BU814" s="198">
        <v>9.4164999999999992</v>
      </c>
      <c r="BV814" s="198">
        <v>2.4952000000000001</v>
      </c>
      <c r="BW814" s="198">
        <v>5.3010000000000002</v>
      </c>
      <c r="BX814" s="198">
        <v>1.1395999999999999</v>
      </c>
      <c r="BZ814" s="1051">
        <v>44050</v>
      </c>
      <c r="CA814" s="198">
        <v>24.056100000000001</v>
      </c>
      <c r="CB814" s="198">
        <v>1.3194999999999999</v>
      </c>
      <c r="CC814" s="198">
        <v>17.698699999999999</v>
      </c>
      <c r="CD814" s="198">
        <v>0.54678000000000004</v>
      </c>
      <c r="CF814" s="1051">
        <v>44049</v>
      </c>
      <c r="CG814" s="198">
        <v>5.2794999999999996</v>
      </c>
      <c r="CH814" s="198">
        <v>0.78859999999999997</v>
      </c>
      <c r="CI814" s="198">
        <v>14.1905</v>
      </c>
      <c r="CL814" s="1051">
        <v>44071</v>
      </c>
      <c r="CM814" s="198">
        <v>23.9255</v>
      </c>
      <c r="CN814" s="198">
        <v>2.3359000000000001</v>
      </c>
      <c r="CO814" s="198">
        <v>10.0223</v>
      </c>
    </row>
    <row r="815" spans="1:93" s="198" customFormat="1">
      <c r="A815" s="1051">
        <v>44049</v>
      </c>
      <c r="B815" s="1052">
        <f t="shared" si="122"/>
        <v>9.0419999999999998</v>
      </c>
      <c r="C815" s="1052">
        <f t="shared" si="124"/>
        <v>7.2492999999999999</v>
      </c>
      <c r="D815" s="1052">
        <f t="shared" si="128"/>
        <v>10.7247</v>
      </c>
      <c r="E815" s="1052">
        <f t="shared" si="129"/>
        <v>14.649100000000001</v>
      </c>
      <c r="F815" s="1052">
        <f t="shared" si="130"/>
        <v>18.225200000000001</v>
      </c>
      <c r="G815" s="1052">
        <f t="shared" si="131"/>
        <v>7.9702000000000002</v>
      </c>
      <c r="H815" s="1047">
        <f t="shared" si="125"/>
        <v>10.7247</v>
      </c>
      <c r="I815" s="1048">
        <f t="shared" si="123"/>
        <v>-0.1568994936921313</v>
      </c>
      <c r="J815" s="1048">
        <f t="shared" si="126"/>
        <v>0.12093838824177333</v>
      </c>
      <c r="K815" s="1048">
        <f t="shared" si="127"/>
        <v>0.1</v>
      </c>
      <c r="L815" s="1048"/>
      <c r="N815" s="1051">
        <v>44049</v>
      </c>
      <c r="O815" s="1053">
        <v>9.0419999999999998</v>
      </c>
      <c r="P815" s="1053">
        <v>1.7946</v>
      </c>
      <c r="Q815" s="1053">
        <v>9.4231999999999996</v>
      </c>
      <c r="R815" s="1054">
        <f>'B. PE'!$U$23</f>
        <v>15.978235616082999</v>
      </c>
      <c r="S815" s="1054"/>
      <c r="T815" s="1054"/>
      <c r="V815" s="1051">
        <v>44049</v>
      </c>
      <c r="W815" s="198">
        <v>7.2492999999999999</v>
      </c>
      <c r="X815" s="198">
        <v>0.51170000000000004</v>
      </c>
      <c r="Y815" s="198">
        <v>14.461600000000001</v>
      </c>
      <c r="Z815" s="198">
        <v>0.33050000000000002</v>
      </c>
      <c r="AB815" s="1051">
        <v>44015</v>
      </c>
      <c r="AC815" s="198">
        <v>13.135</v>
      </c>
      <c r="AD815" s="1053">
        <v>0.79410000000000003</v>
      </c>
      <c r="AE815" s="198">
        <v>4.8385999999999996</v>
      </c>
      <c r="AF815" s="198">
        <v>1.7409999999999998E-2</v>
      </c>
      <c r="AH815" s="1051">
        <v>44015</v>
      </c>
      <c r="AI815" s="198">
        <v>9.6351999999999993</v>
      </c>
      <c r="AJ815" s="198">
        <v>1.5982000000000001</v>
      </c>
      <c r="AK815" s="198">
        <v>4.0384000000000002</v>
      </c>
      <c r="AL815" s="198">
        <v>1.9560000000000001E-2</v>
      </c>
      <c r="AN815" s="1051">
        <v>44022</v>
      </c>
      <c r="AO815" s="198">
        <v>10.0029</v>
      </c>
      <c r="AP815" s="198">
        <v>1.0347</v>
      </c>
      <c r="AQ815" s="198">
        <v>4.4534000000000002</v>
      </c>
      <c r="AR815" s="198">
        <v>0.18385000000000001</v>
      </c>
      <c r="AT815" s="1051">
        <v>44022</v>
      </c>
      <c r="AU815" s="198">
        <v>8.3469999999999995</v>
      </c>
      <c r="AV815" s="198">
        <v>0.496</v>
      </c>
      <c r="AW815" s="198">
        <v>6.1628999999999996</v>
      </c>
      <c r="BA815" s="1051">
        <v>44006</v>
      </c>
      <c r="BB815" s="198">
        <v>6.3197999999999999</v>
      </c>
      <c r="BC815" s="198">
        <v>1.1416999999999999</v>
      </c>
      <c r="BD815" s="198">
        <v>6.758</v>
      </c>
      <c r="BE815" s="198">
        <v>0.26811000000000001</v>
      </c>
      <c r="BG815" s="1051">
        <v>44006</v>
      </c>
      <c r="BH815" s="198">
        <v>13.5083</v>
      </c>
      <c r="BI815" s="198">
        <v>1.9634</v>
      </c>
      <c r="BJ815" s="198">
        <v>17.866099999999999</v>
      </c>
      <c r="BT815" s="1051">
        <v>44049</v>
      </c>
      <c r="BU815" s="198">
        <v>9.5002999999999993</v>
      </c>
      <c r="BV815" s="198">
        <v>2.5173999999999999</v>
      </c>
      <c r="BW815" s="198">
        <v>5.3471000000000002</v>
      </c>
      <c r="BX815" s="198">
        <v>1.1073999999999999</v>
      </c>
      <c r="BZ815" s="1051">
        <v>44049</v>
      </c>
      <c r="CA815" s="198">
        <v>23.944800000000001</v>
      </c>
      <c r="CB815" s="198">
        <v>1.3133999999999999</v>
      </c>
      <c r="CC815" s="198">
        <v>17.656500000000001</v>
      </c>
      <c r="CD815" s="198">
        <v>0.53776000000000002</v>
      </c>
      <c r="CF815" s="1051">
        <v>44048</v>
      </c>
      <c r="CG815" s="198">
        <v>5.2214999999999998</v>
      </c>
      <c r="CH815" s="198">
        <v>0.78</v>
      </c>
      <c r="CI815" s="198">
        <v>14.1602</v>
      </c>
      <c r="CL815" s="1051">
        <v>44070</v>
      </c>
      <c r="CM815" s="198">
        <v>24.424399999999999</v>
      </c>
      <c r="CN815" s="198">
        <v>2.3845999999999998</v>
      </c>
      <c r="CO815" s="198">
        <v>10.2277</v>
      </c>
    </row>
    <row r="816" spans="1:93" s="198" customFormat="1">
      <c r="A816" s="1051">
        <v>44048</v>
      </c>
      <c r="B816" s="1052">
        <f t="shared" si="122"/>
        <v>9.0419999999999998</v>
      </c>
      <c r="C816" s="1052">
        <f t="shared" si="124"/>
        <v>7.3052000000000001</v>
      </c>
      <c r="D816" s="1052">
        <f t="shared" si="128"/>
        <v>10.0097</v>
      </c>
      <c r="E816" s="1052">
        <f t="shared" si="129"/>
        <v>14.5944</v>
      </c>
      <c r="F816" s="1052">
        <f t="shared" si="130"/>
        <v>18.225200000000001</v>
      </c>
      <c r="G816" s="1052">
        <f t="shared" si="131"/>
        <v>7.4204999999999997</v>
      </c>
      <c r="H816" s="1047">
        <f t="shared" si="125"/>
        <v>10.0097</v>
      </c>
      <c r="I816" s="1048">
        <f t="shared" si="123"/>
        <v>-9.6676224062659299E-2</v>
      </c>
      <c r="J816" s="1048">
        <f t="shared" si="126"/>
        <v>0.12093838824177333</v>
      </c>
      <c r="K816" s="1048">
        <f t="shared" si="127"/>
        <v>0.1</v>
      </c>
      <c r="L816" s="1048"/>
      <c r="N816" s="1051">
        <v>44048</v>
      </c>
      <c r="O816" s="1053">
        <v>9.0419999999999998</v>
      </c>
      <c r="P816" s="1053">
        <v>1.7946</v>
      </c>
      <c r="Q816" s="1053">
        <v>9.4231999999999996</v>
      </c>
      <c r="R816" s="1054">
        <f>'B. PE'!$U$23</f>
        <v>15.978235616082999</v>
      </c>
      <c r="S816" s="1054"/>
      <c r="T816" s="1054"/>
      <c r="V816" s="1051">
        <v>44048</v>
      </c>
      <c r="W816" s="198">
        <v>7.3052000000000001</v>
      </c>
      <c r="X816" s="198">
        <v>0.51570000000000005</v>
      </c>
      <c r="Y816" s="198">
        <v>14.5006</v>
      </c>
      <c r="Z816" s="198">
        <v>0.31067</v>
      </c>
      <c r="AB816" s="1051">
        <v>44014</v>
      </c>
      <c r="AC816" s="198">
        <v>13.295199999999999</v>
      </c>
      <c r="AD816" s="1053">
        <v>0.80379999999999996</v>
      </c>
      <c r="AE816" s="198">
        <v>4.8888999999999996</v>
      </c>
      <c r="AF816" s="198">
        <v>1.737E-2</v>
      </c>
      <c r="AH816" s="1051">
        <v>44014</v>
      </c>
      <c r="AI816" s="198">
        <v>9.5330999999999992</v>
      </c>
      <c r="AJ816" s="198">
        <v>1.5812999999999999</v>
      </c>
      <c r="AK816" s="198">
        <v>3.9906000000000001</v>
      </c>
      <c r="AL816" s="198">
        <v>1.7930000000000001E-2</v>
      </c>
      <c r="AN816" s="1051">
        <v>44021</v>
      </c>
      <c r="AO816" s="198">
        <v>9.4563000000000006</v>
      </c>
      <c r="AP816" s="198">
        <v>0.97809999999999997</v>
      </c>
      <c r="AQ816" s="198">
        <v>4.0046999999999997</v>
      </c>
      <c r="AR816" s="198">
        <v>0.17663000000000001</v>
      </c>
      <c r="AT816" s="1051">
        <v>44021</v>
      </c>
      <c r="AW816" s="198">
        <v>6.1628999999999996</v>
      </c>
      <c r="AX816" s="198">
        <v>0.11931</v>
      </c>
      <c r="BA816" s="1051">
        <v>44005</v>
      </c>
      <c r="BB816" s="198">
        <v>6.3963999999999999</v>
      </c>
      <c r="BC816" s="198">
        <v>1.1555</v>
      </c>
      <c r="BD816" s="198">
        <v>6.8129999999999997</v>
      </c>
      <c r="BE816" s="198">
        <v>0.27278000000000002</v>
      </c>
      <c r="BG816" s="1051">
        <v>44005</v>
      </c>
      <c r="BH816" s="198">
        <v>13.5083</v>
      </c>
      <c r="BI816" s="198">
        <v>1.9634</v>
      </c>
      <c r="BJ816" s="198">
        <v>17.866099999999999</v>
      </c>
      <c r="BT816" s="1051">
        <v>44048</v>
      </c>
      <c r="BU816" s="198">
        <v>9.4884000000000004</v>
      </c>
      <c r="BV816" s="198">
        <v>2.5142000000000002</v>
      </c>
      <c r="BW816" s="198">
        <v>5.3404999999999996</v>
      </c>
      <c r="BX816" s="198">
        <v>1.0935999999999999</v>
      </c>
      <c r="BZ816" s="1051">
        <v>44048</v>
      </c>
      <c r="CA816" s="198">
        <v>24.334599999999998</v>
      </c>
      <c r="CB816" s="198">
        <v>1.3348</v>
      </c>
      <c r="CC816" s="198">
        <v>17.804300000000001</v>
      </c>
      <c r="CD816" s="198">
        <v>0.52551000000000003</v>
      </c>
      <c r="CF816" s="1051">
        <v>44047</v>
      </c>
      <c r="CG816" s="198">
        <v>5.2214999999999998</v>
      </c>
      <c r="CH816" s="198">
        <v>0.78</v>
      </c>
      <c r="CI816" s="198">
        <v>14.1602</v>
      </c>
      <c r="CL816" s="1051">
        <v>44069</v>
      </c>
      <c r="CM816" s="198">
        <v>24.5441</v>
      </c>
      <c r="CN816" s="198">
        <v>2.3963000000000001</v>
      </c>
      <c r="CO816" s="198">
        <v>10.276999999999999</v>
      </c>
    </row>
    <row r="817" spans="1:93" s="198" customFormat="1">
      <c r="A817" s="1051">
        <v>44047</v>
      </c>
      <c r="B817" s="1052">
        <f t="shared" si="122"/>
        <v>8.6516000000000002</v>
      </c>
      <c r="C817" s="1052">
        <f t="shared" si="124"/>
        <v>7.2732000000000001</v>
      </c>
      <c r="D817" s="1052">
        <f t="shared" si="128"/>
        <v>9.9417000000000009</v>
      </c>
      <c r="E817" s="1052">
        <f t="shared" si="129"/>
        <v>13.1732</v>
      </c>
      <c r="F817" s="1052">
        <f t="shared" si="130"/>
        <v>18.225200000000001</v>
      </c>
      <c r="G817" s="1052">
        <f t="shared" si="131"/>
        <v>7.4204999999999997</v>
      </c>
      <c r="H817" s="1047">
        <f t="shared" si="125"/>
        <v>9.9417000000000009</v>
      </c>
      <c r="I817" s="1048">
        <f t="shared" si="123"/>
        <v>-0.12976653892191481</v>
      </c>
      <c r="J817" s="1048">
        <f t="shared" si="126"/>
        <v>0.12093838824177333</v>
      </c>
      <c r="K817" s="1048">
        <f t="shared" si="127"/>
        <v>0.1</v>
      </c>
      <c r="L817" s="1048"/>
      <c r="N817" s="1051">
        <v>44047</v>
      </c>
      <c r="O817" s="1053">
        <v>8.6516000000000002</v>
      </c>
      <c r="P817" s="1053">
        <v>1.7171000000000001</v>
      </c>
      <c r="Q817" s="1053">
        <v>9.0676000000000005</v>
      </c>
      <c r="R817" s="1054">
        <f>'B. PE'!$U$23</f>
        <v>15.978235616082999</v>
      </c>
      <c r="S817" s="1054"/>
      <c r="T817" s="1054"/>
      <c r="V817" s="1051">
        <v>44047</v>
      </c>
      <c r="W817" s="198">
        <v>7.2732000000000001</v>
      </c>
      <c r="X817" s="198">
        <v>0.51339999999999997</v>
      </c>
      <c r="Y817" s="198">
        <v>14.478300000000001</v>
      </c>
      <c r="Z817" s="198">
        <v>0.30447999999999997</v>
      </c>
      <c r="AB817" s="1051">
        <v>44013</v>
      </c>
      <c r="AC817" s="198">
        <v>13.401999999999999</v>
      </c>
      <c r="AD817" s="1053">
        <v>0.81020000000000003</v>
      </c>
      <c r="AE817" s="198">
        <v>4.9225000000000003</v>
      </c>
      <c r="AF817" s="198">
        <v>1.6930000000000001E-2</v>
      </c>
      <c r="AH817" s="1051">
        <v>44013</v>
      </c>
      <c r="AI817" s="198">
        <v>9.6012000000000004</v>
      </c>
      <c r="AJ817" s="198">
        <v>1.5926</v>
      </c>
      <c r="AK817" s="198">
        <v>4.0225</v>
      </c>
      <c r="AL817" s="198">
        <v>1.8530000000000001E-2</v>
      </c>
      <c r="AN817" s="1051">
        <v>44020</v>
      </c>
      <c r="AO817" s="198">
        <v>8.5816999999999997</v>
      </c>
      <c r="AP817" s="198">
        <v>0.88770000000000004</v>
      </c>
      <c r="AQ817" s="198">
        <v>3.2867999999999999</v>
      </c>
      <c r="AR817" s="198">
        <v>0.17884</v>
      </c>
      <c r="AT817" s="1051">
        <v>44020</v>
      </c>
      <c r="AW817" s="198">
        <v>6.1628999999999996</v>
      </c>
      <c r="AX817" s="198">
        <v>0.11688999999999999</v>
      </c>
      <c r="BA817" s="1051">
        <v>44004</v>
      </c>
      <c r="BB817" s="198">
        <v>6.3581000000000003</v>
      </c>
      <c r="BC817" s="198">
        <v>1.1486000000000001</v>
      </c>
      <c r="BD817" s="198">
        <v>6.7854999999999999</v>
      </c>
      <c r="BE817" s="198">
        <v>0.27195999999999998</v>
      </c>
      <c r="BG817" s="1051">
        <v>44004</v>
      </c>
      <c r="BH817" s="198">
        <v>13.3329</v>
      </c>
      <c r="BI817" s="198">
        <v>1.9379</v>
      </c>
      <c r="BJ817" s="198">
        <v>17.712299999999999</v>
      </c>
      <c r="BT817" s="1051">
        <v>44047</v>
      </c>
      <c r="BU817" s="198">
        <v>9.2248000000000001</v>
      </c>
      <c r="BV817" s="198">
        <v>2.4443999999999999</v>
      </c>
      <c r="BW817" s="198">
        <v>5.1955999999999998</v>
      </c>
      <c r="BX817" s="198">
        <v>1.0719000000000001</v>
      </c>
      <c r="BZ817" s="1051">
        <v>44047</v>
      </c>
      <c r="CA817" s="198">
        <v>23.944800000000001</v>
      </c>
      <c r="CB817" s="198">
        <v>1.3133999999999999</v>
      </c>
      <c r="CC817" s="198">
        <v>17.656500000000001</v>
      </c>
      <c r="CD817" s="198">
        <v>0.51046999999999998</v>
      </c>
      <c r="CF817" s="1051">
        <v>44046</v>
      </c>
      <c r="CG817" s="198">
        <v>5.0475000000000003</v>
      </c>
      <c r="CH817" s="198">
        <v>0.754</v>
      </c>
      <c r="CI817" s="198">
        <v>14.0694</v>
      </c>
      <c r="CL817" s="1051">
        <v>44068</v>
      </c>
      <c r="CM817" s="198">
        <v>24.643899999999999</v>
      </c>
      <c r="CN817" s="198">
        <v>2.4060000000000001</v>
      </c>
      <c r="CO817" s="198">
        <v>10.318099999999999</v>
      </c>
    </row>
    <row r="818" spans="1:93" s="198" customFormat="1">
      <c r="A818" s="1051">
        <v>44046</v>
      </c>
      <c r="B818" s="1052">
        <f t="shared" si="122"/>
        <v>8.5355000000000008</v>
      </c>
      <c r="C818" s="1052">
        <f t="shared" si="124"/>
        <v>6.8337000000000003</v>
      </c>
      <c r="D818" s="1052">
        <f t="shared" si="128"/>
        <v>9.6012000000000004</v>
      </c>
      <c r="E818" s="1052">
        <f t="shared" si="129"/>
        <v>12.6813</v>
      </c>
      <c r="F818" s="1052">
        <f t="shared" si="130"/>
        <v>18.547799999999999</v>
      </c>
      <c r="G818" s="1052">
        <f t="shared" si="131"/>
        <v>7.3517999999999999</v>
      </c>
      <c r="H818" s="1047">
        <f t="shared" si="125"/>
        <v>9.6012000000000004</v>
      </c>
      <c r="I818" s="1048">
        <f t="shared" si="123"/>
        <v>-0.11099654209890431</v>
      </c>
      <c r="J818" s="1048">
        <f t="shared" si="126"/>
        <v>0.12093838824177333</v>
      </c>
      <c r="K818" s="1048">
        <f t="shared" si="127"/>
        <v>0.1</v>
      </c>
      <c r="L818" s="1048"/>
      <c r="N818" s="1051">
        <v>44046</v>
      </c>
      <c r="O818" s="1053">
        <v>8.5355000000000008</v>
      </c>
      <c r="P818" s="1053">
        <v>1.6940999999999999</v>
      </c>
      <c r="Q818" s="1053">
        <v>8.9619</v>
      </c>
      <c r="R818" s="1054">
        <f>'B. PE'!$U$23</f>
        <v>15.978235616082999</v>
      </c>
      <c r="S818" s="1054"/>
      <c r="T818" s="1054"/>
      <c r="V818" s="1051">
        <v>44046</v>
      </c>
      <c r="W818" s="198">
        <v>6.8337000000000003</v>
      </c>
      <c r="X818" s="198">
        <v>0.4824</v>
      </c>
      <c r="Y818" s="198">
        <v>14.1717</v>
      </c>
      <c r="Z818" s="198">
        <v>0.30882999999999999</v>
      </c>
      <c r="AB818" s="1051">
        <v>44012</v>
      </c>
      <c r="AC818" s="198">
        <v>13.401999999999999</v>
      </c>
      <c r="AD818" s="1053">
        <v>0.81020000000000003</v>
      </c>
      <c r="AE818" s="198">
        <v>4.9225000000000003</v>
      </c>
      <c r="AF818" s="198">
        <v>1.719E-2</v>
      </c>
      <c r="AH818" s="1051">
        <v>44012</v>
      </c>
      <c r="AI818" s="198">
        <v>8.8180999999999994</v>
      </c>
      <c r="AJ818" s="198">
        <v>1.4626999999999999</v>
      </c>
      <c r="AK818" s="198">
        <v>3.6560000000000001</v>
      </c>
      <c r="AL818" s="198">
        <v>1.8370000000000001E-2</v>
      </c>
      <c r="AN818" s="1051">
        <v>44019</v>
      </c>
      <c r="AO818" s="198">
        <v>8.2538</v>
      </c>
      <c r="AP818" s="198">
        <v>0.85370000000000001</v>
      </c>
      <c r="AQ818" s="198">
        <v>3.0175999999999998</v>
      </c>
      <c r="AR818" s="198">
        <v>0.17726</v>
      </c>
      <c r="AT818" s="1051">
        <v>44019</v>
      </c>
      <c r="AU818" s="198">
        <v>8.3469999999999995</v>
      </c>
      <c r="AV818" s="198">
        <v>0.496</v>
      </c>
      <c r="AW818" s="198">
        <v>6.1628999999999996</v>
      </c>
      <c r="AX818" s="198">
        <v>0.11429</v>
      </c>
      <c r="BA818" s="1051">
        <v>44001</v>
      </c>
      <c r="BB818" s="198">
        <v>6.4729999999999999</v>
      </c>
      <c r="BC818" s="198">
        <v>1.1693</v>
      </c>
      <c r="BD818" s="198">
        <v>6.8680000000000003</v>
      </c>
      <c r="BE818" s="198">
        <v>0.26984000000000002</v>
      </c>
      <c r="BG818" s="1051">
        <v>44001</v>
      </c>
      <c r="BH818" s="198">
        <v>13.596</v>
      </c>
      <c r="BI818" s="198">
        <v>1.9761</v>
      </c>
      <c r="BJ818" s="198">
        <v>17.943000000000001</v>
      </c>
      <c r="BT818" s="1051">
        <v>44046</v>
      </c>
      <c r="BU818" s="198">
        <v>9.1050000000000004</v>
      </c>
      <c r="BV818" s="198">
        <v>2.4125999999999999</v>
      </c>
      <c r="BW818" s="198">
        <v>5.1296999999999997</v>
      </c>
      <c r="BX818" s="198">
        <v>1.069</v>
      </c>
      <c r="BZ818" s="1051">
        <v>44046</v>
      </c>
      <c r="CA818" s="198">
        <v>23.387899999999998</v>
      </c>
      <c r="CB818" s="198">
        <v>1.2827999999999999</v>
      </c>
      <c r="CC818" s="198">
        <v>17.4453</v>
      </c>
      <c r="CD818" s="198">
        <v>0.53171999999999997</v>
      </c>
      <c r="CF818" s="1051">
        <v>44043</v>
      </c>
      <c r="CG818" s="198">
        <v>4.9314</v>
      </c>
      <c r="CH818" s="198">
        <v>0.73660000000000003</v>
      </c>
      <c r="CI818" s="198">
        <v>14.008800000000001</v>
      </c>
      <c r="CL818" s="1051">
        <v>44067</v>
      </c>
      <c r="CM818" s="198">
        <v>24.7836</v>
      </c>
      <c r="CN818" s="198">
        <v>2.4197000000000002</v>
      </c>
      <c r="CO818" s="198">
        <v>10.3756</v>
      </c>
    </row>
    <row r="819" spans="1:93" s="198" customFormat="1">
      <c r="A819" s="1051">
        <v>44043</v>
      </c>
      <c r="B819" s="1052">
        <f t="shared" si="122"/>
        <v>8.1768000000000001</v>
      </c>
      <c r="C819" s="1052">
        <f t="shared" si="124"/>
        <v>6.6978</v>
      </c>
      <c r="D819" s="1052">
        <f t="shared" si="128"/>
        <v>9.6012000000000004</v>
      </c>
      <c r="E819" s="1052">
        <f t="shared" si="129"/>
        <v>12.6813</v>
      </c>
      <c r="F819" s="1052">
        <f t="shared" si="130"/>
        <v>18.386500000000002</v>
      </c>
      <c r="G819" s="1052">
        <f t="shared" si="131"/>
        <v>7.0083000000000002</v>
      </c>
      <c r="H819" s="1047">
        <f t="shared" si="125"/>
        <v>9.6012000000000004</v>
      </c>
      <c r="I819" s="1048">
        <f t="shared" si="123"/>
        <v>-0.14835645544306963</v>
      </c>
      <c r="J819" s="1048">
        <f t="shared" si="126"/>
        <v>0.12093838824177333</v>
      </c>
      <c r="K819" s="1048">
        <f t="shared" si="127"/>
        <v>0.1</v>
      </c>
      <c r="L819" s="1048"/>
      <c r="N819" s="1051">
        <v>44043</v>
      </c>
      <c r="O819" s="1053">
        <v>8.1768000000000001</v>
      </c>
      <c r="P819" s="1053">
        <v>1.6229</v>
      </c>
      <c r="Q819" s="1053">
        <v>8.6351999999999993</v>
      </c>
      <c r="R819" s="1054">
        <f>'B. PE'!$U$23</f>
        <v>15.978235616082999</v>
      </c>
      <c r="S819" s="1054"/>
      <c r="T819" s="1054"/>
      <c r="V819" s="1051">
        <v>44043</v>
      </c>
      <c r="W819" s="198">
        <v>6.6978</v>
      </c>
      <c r="X819" s="198">
        <v>0.4728</v>
      </c>
      <c r="Y819" s="198">
        <v>14.0769</v>
      </c>
      <c r="Z819" s="198">
        <v>0.30336000000000002</v>
      </c>
      <c r="AB819" s="1051">
        <v>44011</v>
      </c>
      <c r="AC819" s="198">
        <v>11.081200000000001</v>
      </c>
      <c r="AD819" s="1053">
        <v>0.78290000000000004</v>
      </c>
      <c r="AE819" s="198">
        <v>6.6178999999999997</v>
      </c>
      <c r="AF819" s="198">
        <v>1.753E-2</v>
      </c>
      <c r="AH819" s="1051">
        <v>44011</v>
      </c>
      <c r="AI819" s="198">
        <v>8.9298999999999999</v>
      </c>
      <c r="AJ819" s="198">
        <v>1.4891000000000001</v>
      </c>
      <c r="AK819" s="198">
        <v>4.8592000000000004</v>
      </c>
      <c r="AL819" s="198">
        <v>1.8239999999999999E-2</v>
      </c>
      <c r="AN819" s="1051">
        <v>44018</v>
      </c>
      <c r="AO819" s="198">
        <v>8.3630999999999993</v>
      </c>
      <c r="AP819" s="198">
        <v>0.86499999999999999</v>
      </c>
      <c r="AQ819" s="198">
        <v>3.1073</v>
      </c>
      <c r="AR819" s="198">
        <v>0.18201000000000001</v>
      </c>
      <c r="AT819" s="1051">
        <v>44018</v>
      </c>
      <c r="AU819" s="198">
        <v>8.1832999999999991</v>
      </c>
      <c r="AV819" s="198">
        <v>0.48630000000000001</v>
      </c>
      <c r="AW819" s="198">
        <v>6.0769000000000002</v>
      </c>
      <c r="AX819" s="198">
        <v>0.11317000000000001</v>
      </c>
      <c r="BA819" s="1051">
        <v>44000</v>
      </c>
      <c r="BB819" s="198">
        <v>6.4729999999999999</v>
      </c>
      <c r="BC819" s="198">
        <v>1.1693</v>
      </c>
      <c r="BD819" s="198">
        <v>6.8680000000000003</v>
      </c>
      <c r="BE819" s="198">
        <v>0.26551000000000002</v>
      </c>
      <c r="BG819" s="1051">
        <v>44000</v>
      </c>
      <c r="BH819" s="198">
        <v>13.6838</v>
      </c>
      <c r="BI819" s="198">
        <v>1.9888999999999999</v>
      </c>
      <c r="BJ819" s="198">
        <v>18.0199</v>
      </c>
      <c r="BT819" s="1051">
        <v>44043</v>
      </c>
      <c r="BU819" s="198">
        <v>8.9253</v>
      </c>
      <c r="BV819" s="198">
        <v>2.3650000000000002</v>
      </c>
      <c r="BW819" s="198">
        <v>5.0308999999999999</v>
      </c>
      <c r="BX819" s="198">
        <v>1.0503</v>
      </c>
      <c r="BZ819" s="1051">
        <v>44043</v>
      </c>
      <c r="CA819" s="198">
        <v>22.7197</v>
      </c>
      <c r="CB819" s="198">
        <v>1.2462</v>
      </c>
      <c r="CC819" s="198">
        <v>17.1919</v>
      </c>
      <c r="CD819" s="198">
        <v>0.52293999999999996</v>
      </c>
      <c r="CF819" s="1051">
        <v>44042</v>
      </c>
      <c r="CG819" s="198">
        <v>5.0475000000000003</v>
      </c>
      <c r="CH819" s="198">
        <v>0.754</v>
      </c>
      <c r="CI819" s="198">
        <v>14.0694</v>
      </c>
      <c r="CL819" s="1051">
        <v>44064</v>
      </c>
      <c r="CM819" s="198">
        <v>24.5641</v>
      </c>
      <c r="CN819" s="198">
        <v>2.3982000000000001</v>
      </c>
      <c r="CO819" s="198">
        <v>10.2852</v>
      </c>
    </row>
    <row r="820" spans="1:93" s="198" customFormat="1">
      <c r="A820" s="1051">
        <v>44042</v>
      </c>
      <c r="B820" s="1052">
        <f t="shared" si="122"/>
        <v>8.4194999999999993</v>
      </c>
      <c r="C820" s="1052">
        <f t="shared" si="124"/>
        <v>6.7937000000000003</v>
      </c>
      <c r="D820" s="1052">
        <f t="shared" si="128"/>
        <v>9.8055000000000003</v>
      </c>
      <c r="E820" s="1052">
        <f t="shared" si="129"/>
        <v>12.244</v>
      </c>
      <c r="F820" s="1052">
        <f t="shared" si="130"/>
        <v>18.709099999999999</v>
      </c>
      <c r="G820" s="1052">
        <f t="shared" si="131"/>
        <v>7.2831000000000001</v>
      </c>
      <c r="H820" s="1047">
        <f t="shared" si="125"/>
        <v>9.8055000000000003</v>
      </c>
      <c r="I820" s="1048">
        <f t="shared" si="123"/>
        <v>-0.14134924277191385</v>
      </c>
      <c r="J820" s="1048">
        <f t="shared" si="126"/>
        <v>0.12093838824177333</v>
      </c>
      <c r="K820" s="1048">
        <f t="shared" si="127"/>
        <v>0.1</v>
      </c>
      <c r="L820" s="1048"/>
      <c r="N820" s="1051">
        <v>44042</v>
      </c>
      <c r="O820" s="1053">
        <v>8.4194999999999993</v>
      </c>
      <c r="P820" s="1053">
        <v>1.6711</v>
      </c>
      <c r="Q820" s="1053">
        <v>8.8561999999999994</v>
      </c>
      <c r="R820" s="1054">
        <f>'B. PE'!$U$23</f>
        <v>15.978235616082999</v>
      </c>
      <c r="S820" s="1054"/>
      <c r="T820" s="1054"/>
      <c r="V820" s="1051">
        <v>44042</v>
      </c>
      <c r="W820" s="198">
        <v>6.7937000000000003</v>
      </c>
      <c r="X820" s="198">
        <v>0.47960000000000003</v>
      </c>
      <c r="Y820" s="198">
        <v>14.143800000000001</v>
      </c>
      <c r="Z820" s="198">
        <v>0.31207000000000001</v>
      </c>
      <c r="AB820" s="1051">
        <v>44008</v>
      </c>
      <c r="AC820" s="198">
        <v>11.2636</v>
      </c>
      <c r="AD820" s="1053">
        <v>0.79579999999999995</v>
      </c>
      <c r="AE820" s="198">
        <v>6.6830999999999996</v>
      </c>
      <c r="AF820" s="198">
        <v>1.8120000000000001E-2</v>
      </c>
      <c r="AH820" s="1051">
        <v>44008</v>
      </c>
      <c r="AI820" s="198">
        <v>8.8627000000000002</v>
      </c>
      <c r="AJ820" s="198">
        <v>1.4779</v>
      </c>
      <c r="AK820" s="198">
        <v>4.8266</v>
      </c>
      <c r="AL820" s="198">
        <v>1.8759999999999999E-2</v>
      </c>
      <c r="AN820" s="1051">
        <v>44015</v>
      </c>
      <c r="AO820" s="198">
        <v>8.3084000000000007</v>
      </c>
      <c r="AP820" s="198">
        <v>0.85940000000000005</v>
      </c>
      <c r="AQ820" s="198">
        <v>3.0623999999999998</v>
      </c>
      <c r="AR820" s="198">
        <v>0.17149</v>
      </c>
      <c r="AT820" s="1051">
        <v>44015</v>
      </c>
      <c r="AU820" s="198">
        <v>8.0196000000000005</v>
      </c>
      <c r="AV820" s="198">
        <v>0.47649999999999998</v>
      </c>
      <c r="AW820" s="198">
        <v>5.9912000000000001</v>
      </c>
      <c r="BA820" s="1051">
        <v>43999</v>
      </c>
      <c r="BB820" s="198">
        <v>6.4347000000000003</v>
      </c>
      <c r="BC820" s="198">
        <v>1.1624000000000001</v>
      </c>
      <c r="BD820" s="198">
        <v>6.8404999999999996</v>
      </c>
      <c r="BE820" s="198">
        <v>0.26273000000000002</v>
      </c>
      <c r="BG820" s="1051">
        <v>43999</v>
      </c>
      <c r="BH820" s="198">
        <v>13.6838</v>
      </c>
      <c r="BI820" s="198">
        <v>1.9888999999999999</v>
      </c>
      <c r="BJ820" s="198">
        <v>18.0199</v>
      </c>
      <c r="BT820" s="1051">
        <v>44042</v>
      </c>
      <c r="BU820" s="198">
        <v>8.9013000000000009</v>
      </c>
      <c r="BV820" s="198">
        <v>2.3586999999999998</v>
      </c>
      <c r="BW820" s="198">
        <v>5.0176999999999996</v>
      </c>
      <c r="BX820" s="198">
        <v>1.0933999999999999</v>
      </c>
      <c r="BZ820" s="1051">
        <v>44042</v>
      </c>
      <c r="CA820" s="198">
        <v>23.6663</v>
      </c>
      <c r="CB820" s="198">
        <v>1.2981</v>
      </c>
      <c r="CC820" s="198">
        <v>17.550899999999999</v>
      </c>
      <c r="CD820" s="198">
        <v>0.56169999999999998</v>
      </c>
      <c r="CF820" s="1051">
        <v>44041</v>
      </c>
      <c r="CG820" s="198">
        <v>5.0475000000000003</v>
      </c>
      <c r="CH820" s="198">
        <v>0.754</v>
      </c>
      <c r="CI820" s="198">
        <v>14.0694</v>
      </c>
      <c r="CL820" s="1051">
        <v>44063</v>
      </c>
      <c r="CM820" s="198">
        <v>24.8035</v>
      </c>
      <c r="CN820" s="198">
        <v>2.4216000000000002</v>
      </c>
      <c r="CO820" s="198">
        <v>10.383800000000001</v>
      </c>
    </row>
    <row r="821" spans="1:93" s="198" customFormat="1">
      <c r="A821" s="1051">
        <v>44041</v>
      </c>
      <c r="B821" s="1052">
        <f t="shared" si="122"/>
        <v>8.4194999999999993</v>
      </c>
      <c r="C821" s="1052">
        <f t="shared" si="124"/>
        <v>6.6738</v>
      </c>
      <c r="D821" s="1052">
        <f t="shared" si="128"/>
        <v>9.8735999999999997</v>
      </c>
      <c r="E821" s="1052">
        <f t="shared" si="129"/>
        <v>12.6266</v>
      </c>
      <c r="F821" s="1052">
        <f t="shared" si="130"/>
        <v>18.064</v>
      </c>
      <c r="G821" s="1052">
        <f t="shared" si="131"/>
        <v>7.3517999999999999</v>
      </c>
      <c r="H821" s="1047">
        <f t="shared" si="125"/>
        <v>9.8735999999999997</v>
      </c>
      <c r="I821" s="1048">
        <f t="shared" si="123"/>
        <v>-0.14727151191054944</v>
      </c>
      <c r="J821" s="1048">
        <f t="shared" si="126"/>
        <v>0.12093838824177333</v>
      </c>
      <c r="K821" s="1048">
        <f t="shared" si="127"/>
        <v>0.1</v>
      </c>
      <c r="L821" s="1048"/>
      <c r="N821" s="1051">
        <v>44041</v>
      </c>
      <c r="O821" s="1053">
        <v>8.4194999999999993</v>
      </c>
      <c r="P821" s="1053">
        <v>1.6711</v>
      </c>
      <c r="Q821" s="1053">
        <v>8.8561999999999994</v>
      </c>
      <c r="R821" s="1054">
        <f>'B. PE'!$U$23</f>
        <v>15.978235616082999</v>
      </c>
      <c r="S821" s="1054"/>
      <c r="T821" s="1054"/>
      <c r="V821" s="1051">
        <v>44041</v>
      </c>
      <c r="W821" s="198">
        <v>6.6738</v>
      </c>
      <c r="X821" s="198">
        <v>0.47110000000000002</v>
      </c>
      <c r="Y821" s="198">
        <v>14.0602</v>
      </c>
      <c r="Z821" s="198">
        <v>0.29265000000000002</v>
      </c>
      <c r="AB821" s="1051">
        <v>44007</v>
      </c>
      <c r="AC821" s="198">
        <v>11.400399999999999</v>
      </c>
      <c r="AD821" s="1053">
        <v>0.80549999999999999</v>
      </c>
      <c r="AE821" s="198">
        <v>6.7319000000000004</v>
      </c>
      <c r="AF821" s="198">
        <v>1.7639999999999999E-2</v>
      </c>
      <c r="AH821" s="1051">
        <v>44007</v>
      </c>
      <c r="AI821" s="198">
        <v>8.7285000000000004</v>
      </c>
      <c r="AJ821" s="198">
        <v>1.4555</v>
      </c>
      <c r="AK821" s="198">
        <v>4.7614000000000001</v>
      </c>
      <c r="AL821" s="198">
        <v>1.8419999999999999E-2</v>
      </c>
      <c r="AN821" s="1051">
        <v>44014</v>
      </c>
      <c r="AO821" s="198">
        <v>8.5271000000000008</v>
      </c>
      <c r="AP821" s="198">
        <v>0.88200000000000001</v>
      </c>
      <c r="AQ821" s="198">
        <v>3.2418999999999998</v>
      </c>
      <c r="AR821" s="198">
        <v>0.17155000000000001</v>
      </c>
      <c r="AT821" s="1051">
        <v>44014</v>
      </c>
      <c r="AU821" s="198">
        <v>7.9378000000000002</v>
      </c>
      <c r="AV821" s="198">
        <v>0.47170000000000001</v>
      </c>
      <c r="AW821" s="198">
        <v>5.9484000000000004</v>
      </c>
      <c r="AX821" s="198">
        <v>0.11437</v>
      </c>
      <c r="BA821" s="1051">
        <v>43998</v>
      </c>
      <c r="BB821" s="198">
        <v>6.3197999999999999</v>
      </c>
      <c r="BC821" s="198">
        <v>1.1416999999999999</v>
      </c>
      <c r="BD821" s="198">
        <v>6.758</v>
      </c>
      <c r="BE821" s="198">
        <v>0.26315</v>
      </c>
      <c r="BG821" s="1051">
        <v>43998</v>
      </c>
      <c r="BH821" s="198">
        <v>13.3329</v>
      </c>
      <c r="BI821" s="198">
        <v>1.9379</v>
      </c>
      <c r="BJ821" s="198">
        <v>17.712299999999999</v>
      </c>
      <c r="BT821" s="1051">
        <v>44041</v>
      </c>
      <c r="BU821" s="198">
        <v>8.7455999999999996</v>
      </c>
      <c r="BV821" s="198">
        <v>2.3174000000000001</v>
      </c>
      <c r="BW821" s="198">
        <v>4.9321000000000002</v>
      </c>
      <c r="BX821" s="198">
        <v>1.0597000000000001</v>
      </c>
      <c r="BZ821" s="1051">
        <v>44041</v>
      </c>
      <c r="CA821" s="198">
        <v>23.276499999999999</v>
      </c>
      <c r="CB821" s="198">
        <v>1.2766999999999999</v>
      </c>
      <c r="CC821" s="198">
        <v>17.403099999999998</v>
      </c>
      <c r="CD821" s="198">
        <v>0.53512000000000004</v>
      </c>
      <c r="CF821" s="1051">
        <v>44040</v>
      </c>
      <c r="CG821" s="198">
        <v>5.0475000000000003</v>
      </c>
      <c r="CH821" s="198">
        <v>0.754</v>
      </c>
      <c r="CI821" s="198">
        <v>14.0694</v>
      </c>
      <c r="CL821" s="1051">
        <v>44062</v>
      </c>
      <c r="CM821" s="198">
        <v>24.524100000000001</v>
      </c>
      <c r="CN821" s="198">
        <v>2.3944000000000001</v>
      </c>
      <c r="CO821" s="198">
        <v>10.268800000000001</v>
      </c>
    </row>
    <row r="822" spans="1:93" s="198" customFormat="1">
      <c r="A822" s="1051">
        <v>44040</v>
      </c>
      <c r="B822" s="1052">
        <f t="shared" si="122"/>
        <v>8.5565999999999995</v>
      </c>
      <c r="C822" s="1052">
        <f t="shared" si="124"/>
        <v>6.8655999999999997</v>
      </c>
      <c r="D822" s="1052">
        <f t="shared" si="128"/>
        <v>9.8735999999999997</v>
      </c>
      <c r="E822" s="1052">
        <f t="shared" si="129"/>
        <v>11.806699999999999</v>
      </c>
      <c r="F822" s="1052">
        <f t="shared" si="130"/>
        <v>18.064</v>
      </c>
      <c r="G822" s="1052">
        <f t="shared" si="131"/>
        <v>7.3517999999999999</v>
      </c>
      <c r="H822" s="1047">
        <f t="shared" si="125"/>
        <v>9.8735999999999997</v>
      </c>
      <c r="I822" s="1048">
        <f t="shared" si="123"/>
        <v>-0.13338599902771031</v>
      </c>
      <c r="J822" s="1048">
        <f t="shared" si="126"/>
        <v>0.12093838824177333</v>
      </c>
      <c r="K822" s="1048">
        <f t="shared" si="127"/>
        <v>0.1</v>
      </c>
      <c r="L822" s="1048"/>
      <c r="N822" s="1051">
        <v>44040</v>
      </c>
      <c r="O822" s="1053">
        <v>8.5565999999999995</v>
      </c>
      <c r="P822" s="1053">
        <v>1.6982999999999999</v>
      </c>
      <c r="Q822" s="1053">
        <v>8.9811999999999994</v>
      </c>
      <c r="R822" s="1054">
        <f>'B. PE'!$U$23</f>
        <v>15.978235616082999</v>
      </c>
      <c r="S822" s="1054"/>
      <c r="T822" s="1054"/>
      <c r="V822" s="1051">
        <v>44040</v>
      </c>
      <c r="W822" s="198">
        <v>6.8655999999999997</v>
      </c>
      <c r="X822" s="198">
        <v>0.48459999999999998</v>
      </c>
      <c r="Y822" s="198">
        <v>14.194000000000001</v>
      </c>
      <c r="Z822" s="198">
        <v>0.30915999999999999</v>
      </c>
      <c r="AB822" s="1051">
        <v>44006</v>
      </c>
      <c r="AC822" s="198">
        <v>11.7196</v>
      </c>
      <c r="AD822" s="1053">
        <v>0.82799999999999996</v>
      </c>
      <c r="AE822" s="198">
        <v>6.8460000000000001</v>
      </c>
      <c r="AF822" s="198">
        <v>1.7919999999999998E-2</v>
      </c>
      <c r="AH822" s="1051">
        <v>44006</v>
      </c>
      <c r="AI822" s="198">
        <v>8.9298999999999999</v>
      </c>
      <c r="AJ822" s="198">
        <v>1.4891000000000001</v>
      </c>
      <c r="AK822" s="198">
        <v>4.8592000000000004</v>
      </c>
      <c r="AL822" s="198">
        <v>1.8700000000000001E-2</v>
      </c>
      <c r="AN822" s="1051">
        <v>44013</v>
      </c>
      <c r="AO822" s="198">
        <v>8.0350999999999999</v>
      </c>
      <c r="AP822" s="198">
        <v>0.83109999999999995</v>
      </c>
      <c r="AQ822" s="198">
        <v>2.8380999999999998</v>
      </c>
      <c r="AR822" s="198">
        <v>0.17385999999999999</v>
      </c>
      <c r="AT822" s="1051">
        <v>44013</v>
      </c>
      <c r="AW822" s="198">
        <v>5.9913999999999996</v>
      </c>
      <c r="AX822" s="198">
        <v>0.10985</v>
      </c>
      <c r="BA822" s="1051">
        <v>43997</v>
      </c>
      <c r="BB822" s="198">
        <v>6.2431999999999999</v>
      </c>
      <c r="BC822" s="198">
        <v>1.1277999999999999</v>
      </c>
      <c r="BD822" s="198">
        <v>6.7030000000000003</v>
      </c>
      <c r="BE822" s="198">
        <v>0.25985000000000003</v>
      </c>
      <c r="BG822" s="1051">
        <v>43997</v>
      </c>
      <c r="BH822" s="198">
        <v>13.245200000000001</v>
      </c>
      <c r="BI822" s="198">
        <v>1.9251</v>
      </c>
      <c r="BJ822" s="198">
        <v>17.635400000000001</v>
      </c>
      <c r="BT822" s="1051">
        <v>44040</v>
      </c>
      <c r="BU822" s="198">
        <v>9.1050000000000004</v>
      </c>
      <c r="BV822" s="198">
        <v>2.4125999999999999</v>
      </c>
      <c r="BW822" s="198">
        <v>5.1296999999999997</v>
      </c>
      <c r="BX822" s="198">
        <v>1.1394</v>
      </c>
      <c r="BZ822" s="1051">
        <v>44040</v>
      </c>
      <c r="CA822" s="198">
        <v>25.002800000000001</v>
      </c>
      <c r="CB822" s="198">
        <v>1.3714</v>
      </c>
      <c r="CC822" s="198">
        <v>18.057700000000001</v>
      </c>
      <c r="CD822" s="198">
        <v>0.57545999999999997</v>
      </c>
      <c r="CF822" s="1051">
        <v>44039</v>
      </c>
      <c r="CG822" s="198">
        <v>5.0475000000000003</v>
      </c>
      <c r="CH822" s="198">
        <v>0.754</v>
      </c>
      <c r="CI822" s="198">
        <v>14.0694</v>
      </c>
      <c r="CL822" s="1051">
        <v>44061</v>
      </c>
      <c r="CM822" s="198">
        <v>24.3246</v>
      </c>
      <c r="CN822" s="198">
        <v>2.3748999999999998</v>
      </c>
      <c r="CO822" s="198">
        <v>10.1866</v>
      </c>
    </row>
    <row r="823" spans="1:93" s="198" customFormat="1">
      <c r="A823" s="1051">
        <v>44039</v>
      </c>
      <c r="B823" s="1052">
        <f t="shared" si="122"/>
        <v>7.9973999999999998</v>
      </c>
      <c r="C823" s="1052">
        <f t="shared" si="124"/>
        <v>6.4420000000000002</v>
      </c>
      <c r="D823" s="1052">
        <f t="shared" si="128"/>
        <v>9.8735999999999997</v>
      </c>
      <c r="E823" s="1052">
        <f t="shared" si="129"/>
        <v>11.424099999999999</v>
      </c>
      <c r="F823" s="1052">
        <f t="shared" si="130"/>
        <v>18.064</v>
      </c>
      <c r="G823" s="1052">
        <f t="shared" si="131"/>
        <v>7.3517999999999999</v>
      </c>
      <c r="H823" s="1047">
        <f t="shared" si="125"/>
        <v>9.8735999999999997</v>
      </c>
      <c r="I823" s="1048">
        <f t="shared" si="123"/>
        <v>-0.19002187651920266</v>
      </c>
      <c r="J823" s="1048">
        <f t="shared" si="126"/>
        <v>0.12093838824177333</v>
      </c>
      <c r="K823" s="1048">
        <f t="shared" si="127"/>
        <v>0.1</v>
      </c>
      <c r="L823" s="1048"/>
      <c r="N823" s="1051">
        <v>44039</v>
      </c>
      <c r="O823" s="1053">
        <v>7.9973999999999998</v>
      </c>
      <c r="P823" s="1053">
        <v>1.5872999999999999</v>
      </c>
      <c r="Q823" s="1053">
        <v>8.4718999999999998</v>
      </c>
      <c r="R823" s="1054">
        <f>'B. PE'!$U$23</f>
        <v>15.978235616082999</v>
      </c>
      <c r="S823" s="1054"/>
      <c r="T823" s="1054"/>
      <c r="V823" s="1051">
        <v>44039</v>
      </c>
      <c r="W823" s="198">
        <v>6.4420000000000002</v>
      </c>
      <c r="X823" s="198">
        <v>0.45469999999999999</v>
      </c>
      <c r="Y823" s="198">
        <v>13.8986</v>
      </c>
      <c r="Z823" s="198">
        <v>0.33166000000000001</v>
      </c>
      <c r="AB823" s="1051">
        <v>44005</v>
      </c>
      <c r="AC823" s="198">
        <v>11.400399999999999</v>
      </c>
      <c r="AD823" s="1053">
        <v>0.80549999999999999</v>
      </c>
      <c r="AE823" s="198">
        <v>6.7319000000000004</v>
      </c>
      <c r="AF823" s="198">
        <v>1.7919999999999998E-2</v>
      </c>
      <c r="AH823" s="1051">
        <v>44005</v>
      </c>
      <c r="AI823" s="198">
        <v>8.7620000000000005</v>
      </c>
      <c r="AJ823" s="198">
        <v>1.4611000000000001</v>
      </c>
      <c r="AK823" s="198">
        <v>4.7777000000000003</v>
      </c>
      <c r="AL823" s="198">
        <v>1.9609999999999999E-2</v>
      </c>
      <c r="AN823" s="1051">
        <v>44012</v>
      </c>
      <c r="AO823" s="198">
        <v>8.0350999999999999</v>
      </c>
      <c r="AP823" s="198">
        <v>0.83109999999999995</v>
      </c>
      <c r="AQ823" s="198">
        <v>2.8380999999999998</v>
      </c>
      <c r="AR823" s="198">
        <v>0.17788000000000001</v>
      </c>
      <c r="AT823" s="1051">
        <v>44012</v>
      </c>
      <c r="AU823" s="198">
        <v>8.0196000000000005</v>
      </c>
      <c r="AV823" s="198">
        <v>0.47649999999999998</v>
      </c>
      <c r="AW823" s="198">
        <v>5.9913999999999996</v>
      </c>
      <c r="AX823" s="198">
        <v>0.10291</v>
      </c>
      <c r="BA823" s="1051">
        <v>43994</v>
      </c>
      <c r="BB823" s="198">
        <v>6.2431999999999999</v>
      </c>
      <c r="BC823" s="198">
        <v>1.1277999999999999</v>
      </c>
      <c r="BD823" s="198">
        <v>6.7030000000000003</v>
      </c>
      <c r="BE823" s="198">
        <v>0.26171</v>
      </c>
      <c r="BG823" s="1051">
        <v>43994</v>
      </c>
      <c r="BH823" s="198">
        <v>13.245200000000001</v>
      </c>
      <c r="BI823" s="198">
        <v>1.9251</v>
      </c>
      <c r="BJ823" s="198">
        <v>17.635400000000001</v>
      </c>
      <c r="BT823" s="1051">
        <v>44039</v>
      </c>
      <c r="BU823" s="198">
        <v>8.8294999999999995</v>
      </c>
      <c r="BV823" s="198">
        <v>2.3395999999999999</v>
      </c>
      <c r="BW823" s="198">
        <v>4.9782000000000002</v>
      </c>
      <c r="BX823" s="198">
        <v>1.194</v>
      </c>
      <c r="BZ823" s="1051">
        <v>44039</v>
      </c>
      <c r="CA823" s="198">
        <v>23.833400000000001</v>
      </c>
      <c r="CB823" s="198">
        <v>1.3072999999999999</v>
      </c>
      <c r="CC823" s="198">
        <v>17.6142</v>
      </c>
      <c r="CD823" s="198">
        <v>0.61794000000000004</v>
      </c>
      <c r="CF823" s="1051">
        <v>44036</v>
      </c>
      <c r="CG823" s="198">
        <v>5.2794999999999996</v>
      </c>
      <c r="CH823" s="198">
        <v>0.78859999999999997</v>
      </c>
      <c r="CI823" s="198">
        <v>14.1905</v>
      </c>
      <c r="CL823" s="1051">
        <v>44060</v>
      </c>
      <c r="CM823" s="198">
        <v>24.3645</v>
      </c>
      <c r="CN823" s="198">
        <v>2.3788</v>
      </c>
      <c r="CO823" s="198">
        <v>10.203099999999999</v>
      </c>
    </row>
    <row r="824" spans="1:93" s="198" customFormat="1">
      <c r="A824" s="1051">
        <v>44036</v>
      </c>
      <c r="B824" s="1052">
        <f t="shared" si="122"/>
        <v>8.3245000000000005</v>
      </c>
      <c r="C824" s="1052">
        <f t="shared" si="124"/>
        <v>6.8017000000000003</v>
      </c>
      <c r="D824" s="1052">
        <f t="shared" si="128"/>
        <v>9.8055000000000003</v>
      </c>
      <c r="E824" s="1052">
        <f t="shared" si="129"/>
        <v>11.806699999999999</v>
      </c>
      <c r="F824" s="1052">
        <f t="shared" si="130"/>
        <v>16.128499999999999</v>
      </c>
      <c r="G824" s="1052">
        <f t="shared" si="131"/>
        <v>7.4892000000000003</v>
      </c>
      <c r="H824" s="1047">
        <f t="shared" si="125"/>
        <v>9.8055000000000003</v>
      </c>
      <c r="I824" s="1048">
        <f t="shared" si="123"/>
        <v>-0.15103768293304776</v>
      </c>
      <c r="J824" s="1048">
        <f t="shared" si="126"/>
        <v>0.12093838824177333</v>
      </c>
      <c r="K824" s="1048">
        <f t="shared" si="127"/>
        <v>0.1</v>
      </c>
      <c r="L824" s="1048"/>
      <c r="N824" s="1051">
        <v>44036</v>
      </c>
      <c r="O824" s="1053">
        <v>8.3245000000000005</v>
      </c>
      <c r="P824" s="1053">
        <v>1.6521999999999999</v>
      </c>
      <c r="Q824" s="1053">
        <v>8.7697000000000003</v>
      </c>
      <c r="R824" s="1054">
        <f>'B. PE'!$U$23</f>
        <v>15.978235616082999</v>
      </c>
      <c r="S824" s="1054"/>
      <c r="T824" s="1054"/>
      <c r="V824" s="1051">
        <v>44036</v>
      </c>
      <c r="W824" s="198">
        <v>6.8017000000000003</v>
      </c>
      <c r="X824" s="198">
        <v>0.48010000000000003</v>
      </c>
      <c r="Y824" s="198">
        <v>14.1494</v>
      </c>
      <c r="Z824" s="198">
        <v>0.32131999999999999</v>
      </c>
      <c r="AB824" s="1051">
        <v>44004</v>
      </c>
      <c r="AC824" s="198">
        <v>11.628399999999999</v>
      </c>
      <c r="AD824" s="1053">
        <v>0.8216</v>
      </c>
      <c r="AE824" s="198">
        <v>6.8133999999999997</v>
      </c>
      <c r="AF824" s="198">
        <v>1.8100000000000002E-2</v>
      </c>
      <c r="AH824" s="1051">
        <v>44004</v>
      </c>
      <c r="AI824" s="198">
        <v>8.9298999999999999</v>
      </c>
      <c r="AJ824" s="198">
        <v>1.4891000000000001</v>
      </c>
      <c r="AK824" s="198">
        <v>4.8592000000000004</v>
      </c>
      <c r="AL824" s="198">
        <v>1.9709999999999998E-2</v>
      </c>
      <c r="AN824" s="1051">
        <v>44011</v>
      </c>
      <c r="AO824" s="198">
        <v>8.3264999999999993</v>
      </c>
      <c r="AP824" s="198">
        <v>0.84930000000000005</v>
      </c>
      <c r="AQ824" s="198">
        <v>4.6764000000000001</v>
      </c>
      <c r="AR824" s="198">
        <v>0.17413000000000001</v>
      </c>
      <c r="AT824" s="1051">
        <v>44006</v>
      </c>
      <c r="AU824" s="198">
        <v>6.7625999999999999</v>
      </c>
      <c r="AV824" s="198">
        <v>0.4713</v>
      </c>
      <c r="AX824" s="198">
        <v>0.11105</v>
      </c>
      <c r="BA824" s="1051">
        <v>43993</v>
      </c>
      <c r="BB824" s="198">
        <v>6.1665999999999999</v>
      </c>
      <c r="BC824" s="198">
        <v>1.1140000000000001</v>
      </c>
      <c r="BD824" s="198">
        <v>6.6478999999999999</v>
      </c>
      <c r="BE824" s="198">
        <v>0.26185999999999998</v>
      </c>
      <c r="BG824" s="1051">
        <v>43993</v>
      </c>
      <c r="BH824" s="198">
        <v>12.6312</v>
      </c>
      <c r="BI824" s="198">
        <v>1.8359000000000001</v>
      </c>
      <c r="BJ824" s="198">
        <v>17.097100000000001</v>
      </c>
      <c r="BT824" s="1051">
        <v>44036</v>
      </c>
      <c r="BU824" s="198">
        <v>9.4884000000000004</v>
      </c>
      <c r="BV824" s="198">
        <v>2.5142000000000002</v>
      </c>
      <c r="BW824" s="198">
        <v>5.3404999999999996</v>
      </c>
      <c r="BX824" s="198">
        <v>1.1961999999999999</v>
      </c>
      <c r="BZ824" s="1051">
        <v>44036</v>
      </c>
      <c r="CA824" s="198">
        <v>25.615300000000001</v>
      </c>
      <c r="CB824" s="198">
        <v>1.405</v>
      </c>
      <c r="CC824" s="198">
        <v>18.29</v>
      </c>
      <c r="CD824" s="198">
        <v>0.62261999999999995</v>
      </c>
      <c r="CF824" s="1051">
        <v>44035</v>
      </c>
      <c r="CG824" s="198">
        <v>5.3375000000000004</v>
      </c>
      <c r="CH824" s="198">
        <v>0.79730000000000001</v>
      </c>
      <c r="CI824" s="198">
        <v>14.220800000000001</v>
      </c>
      <c r="CL824" s="1051">
        <v>44057</v>
      </c>
      <c r="CM824" s="198">
        <v>24.284700000000001</v>
      </c>
      <c r="CN824" s="198">
        <v>2.371</v>
      </c>
      <c r="CO824" s="198">
        <v>10.170199999999999</v>
      </c>
    </row>
    <row r="825" spans="1:93" s="198" customFormat="1">
      <c r="A825" s="1051">
        <v>44035</v>
      </c>
      <c r="B825" s="1052">
        <f t="shared" si="122"/>
        <v>8.9469999999999992</v>
      </c>
      <c r="C825" s="1052">
        <f t="shared" si="124"/>
        <v>7.2972000000000001</v>
      </c>
      <c r="D825" s="1052">
        <f t="shared" si="128"/>
        <v>9.9417000000000009</v>
      </c>
      <c r="E825" s="1052">
        <f t="shared" si="129"/>
        <v>11.806699999999999</v>
      </c>
      <c r="F825" s="1052">
        <f t="shared" si="130"/>
        <v>15.805999999999999</v>
      </c>
      <c r="G825" s="1052">
        <f t="shared" si="131"/>
        <v>7.6265999999999998</v>
      </c>
      <c r="H825" s="1047">
        <f t="shared" si="125"/>
        <v>9.9417000000000009</v>
      </c>
      <c r="I825" s="1048">
        <f t="shared" si="123"/>
        <v>-0.10005331080197566</v>
      </c>
      <c r="J825" s="1048">
        <f t="shared" si="126"/>
        <v>0.12093838824177333</v>
      </c>
      <c r="K825" s="1048">
        <f t="shared" si="127"/>
        <v>0.1</v>
      </c>
      <c r="L825" s="1048"/>
      <c r="N825" s="1051">
        <v>44035</v>
      </c>
      <c r="O825" s="1053">
        <v>8.9469999999999992</v>
      </c>
      <c r="P825" s="1053">
        <v>1.7758</v>
      </c>
      <c r="Q825" s="1053">
        <v>9.3367000000000004</v>
      </c>
      <c r="R825" s="1054">
        <f>'B. PE'!$U$23</f>
        <v>15.978235616082999</v>
      </c>
      <c r="S825" s="1054"/>
      <c r="T825" s="1054"/>
      <c r="V825" s="1051">
        <v>44035</v>
      </c>
      <c r="W825" s="198">
        <v>7.2972000000000001</v>
      </c>
      <c r="X825" s="198">
        <v>0.5151</v>
      </c>
      <c r="Y825" s="198">
        <v>14.495100000000001</v>
      </c>
      <c r="Z825" s="198">
        <v>0.33055000000000001</v>
      </c>
      <c r="AB825" s="1051">
        <v>44001</v>
      </c>
      <c r="AC825" s="198">
        <v>11.628399999999999</v>
      </c>
      <c r="AD825" s="1053">
        <v>0.8216</v>
      </c>
      <c r="AE825" s="198">
        <v>6.8133999999999997</v>
      </c>
      <c r="AF825" s="198">
        <v>1.8550000000000001E-2</v>
      </c>
      <c r="AH825" s="1051">
        <v>44001</v>
      </c>
      <c r="AI825" s="198">
        <v>9.3663000000000007</v>
      </c>
      <c r="AJ825" s="198">
        <v>1.5618000000000001</v>
      </c>
      <c r="AK825" s="198">
        <v>5.0712000000000002</v>
      </c>
      <c r="AL825" s="198">
        <v>1.968E-2</v>
      </c>
      <c r="AN825" s="1051">
        <v>44008</v>
      </c>
      <c r="AO825" s="198">
        <v>8.4940999999999995</v>
      </c>
      <c r="AP825" s="198">
        <v>0.86639999999999995</v>
      </c>
      <c r="AQ825" s="198">
        <v>4.8106999999999998</v>
      </c>
      <c r="AR825" s="198">
        <v>0.17296</v>
      </c>
      <c r="AT825" s="1051">
        <v>44005</v>
      </c>
      <c r="AU825" s="198">
        <v>6.3308999999999997</v>
      </c>
      <c r="AV825" s="198">
        <v>0.44119999999999998</v>
      </c>
      <c r="AX825" s="198">
        <v>0.11248</v>
      </c>
      <c r="BA825" s="1051">
        <v>43992</v>
      </c>
      <c r="BB825" s="198">
        <v>6.2431999999999999</v>
      </c>
      <c r="BC825" s="198">
        <v>1.1277999999999999</v>
      </c>
      <c r="BD825" s="198">
        <v>6.7030000000000003</v>
      </c>
      <c r="BE825" s="198">
        <v>0.26427</v>
      </c>
      <c r="BG825" s="1051">
        <v>43992</v>
      </c>
      <c r="BH825" s="198">
        <v>12.6312</v>
      </c>
      <c r="BI825" s="198">
        <v>1.8359000000000001</v>
      </c>
      <c r="BJ825" s="198">
        <v>17.097100000000001</v>
      </c>
      <c r="BT825" s="1051">
        <v>44035</v>
      </c>
      <c r="BU825" s="198">
        <v>9.9436</v>
      </c>
      <c r="BV825" s="198">
        <v>2.6349</v>
      </c>
      <c r="BW825" s="198">
        <v>5.5909000000000004</v>
      </c>
      <c r="BX825" s="198">
        <v>1.204</v>
      </c>
      <c r="BZ825" s="1051">
        <v>44035</v>
      </c>
      <c r="CA825" s="198">
        <v>27.508600000000001</v>
      </c>
      <c r="CB825" s="198">
        <v>1.5088999999999999</v>
      </c>
      <c r="CC825" s="198">
        <v>19.007899999999999</v>
      </c>
      <c r="CD825" s="198">
        <v>0.62041000000000002</v>
      </c>
      <c r="CF825" s="1051">
        <v>44034</v>
      </c>
      <c r="CG825" s="198">
        <v>5.2794999999999996</v>
      </c>
      <c r="CH825" s="198">
        <v>0.78859999999999997</v>
      </c>
      <c r="CI825" s="198">
        <v>14.1905</v>
      </c>
      <c r="CL825" s="1051">
        <v>44056</v>
      </c>
      <c r="CM825" s="198">
        <v>24.184899999999999</v>
      </c>
      <c r="CN825" s="198">
        <v>2.3612000000000002</v>
      </c>
      <c r="CO825" s="198">
        <v>10.129099999999999</v>
      </c>
    </row>
    <row r="826" spans="1:93" s="198" customFormat="1">
      <c r="A826" s="1051">
        <v>44034</v>
      </c>
      <c r="B826" s="1052">
        <f t="shared" si="122"/>
        <v>9.1369000000000007</v>
      </c>
      <c r="C826" s="1052">
        <f t="shared" si="124"/>
        <v>7.0734000000000004</v>
      </c>
      <c r="D826" s="1052">
        <f t="shared" si="128"/>
        <v>9.7373999999999992</v>
      </c>
      <c r="E826" s="1052">
        <f t="shared" si="129"/>
        <v>11.5334</v>
      </c>
      <c r="F826" s="1052">
        <f t="shared" si="130"/>
        <v>14.8383</v>
      </c>
      <c r="G826" s="1052">
        <f t="shared" si="131"/>
        <v>7.6265999999999998</v>
      </c>
      <c r="H826" s="1047">
        <f t="shared" si="125"/>
        <v>9.7373999999999992</v>
      </c>
      <c r="I826" s="1048">
        <f t="shared" si="123"/>
        <v>-6.1669439480764754E-2</v>
      </c>
      <c r="J826" s="1048">
        <f t="shared" si="126"/>
        <v>0.12093838824177333</v>
      </c>
      <c r="K826" s="1048">
        <f t="shared" si="127"/>
        <v>0.1</v>
      </c>
      <c r="L826" s="1048"/>
      <c r="N826" s="1051">
        <v>44034</v>
      </c>
      <c r="O826" s="1053">
        <v>9.1369000000000007</v>
      </c>
      <c r="P826" s="1053">
        <v>1.8134999999999999</v>
      </c>
      <c r="Q826" s="1053">
        <v>9.5097000000000005</v>
      </c>
      <c r="R826" s="1054">
        <f>'B. PE'!$U$23</f>
        <v>15.978235616082999</v>
      </c>
      <c r="S826" s="1054"/>
      <c r="T826" s="1054"/>
      <c r="V826" s="1051">
        <v>44034</v>
      </c>
      <c r="W826" s="198">
        <v>7.0734000000000004</v>
      </c>
      <c r="X826" s="198">
        <v>0.49930000000000002</v>
      </c>
      <c r="Y826" s="198">
        <v>14.339</v>
      </c>
      <c r="Z826" s="198">
        <v>0.32828000000000002</v>
      </c>
      <c r="AB826" s="1051">
        <v>44000</v>
      </c>
      <c r="AC826" s="198">
        <v>11.7652</v>
      </c>
      <c r="AD826" s="1053">
        <v>0.83130000000000004</v>
      </c>
      <c r="AE826" s="198">
        <v>6.8621999999999996</v>
      </c>
      <c r="AF826" s="198">
        <v>1.856E-2</v>
      </c>
      <c r="AH826" s="1051">
        <v>44000</v>
      </c>
      <c r="AI826" s="198">
        <v>9.4335000000000004</v>
      </c>
      <c r="AJ826" s="198">
        <v>1.573</v>
      </c>
      <c r="AK826" s="198">
        <v>5.1037999999999997</v>
      </c>
      <c r="AL826" s="198">
        <v>1.976E-2</v>
      </c>
      <c r="AN826" s="1051">
        <v>44007</v>
      </c>
      <c r="AO826" s="198">
        <v>8.3264999999999993</v>
      </c>
      <c r="AP826" s="198">
        <v>0.84930000000000005</v>
      </c>
      <c r="AQ826" s="198">
        <v>4.6764000000000001</v>
      </c>
      <c r="AR826" s="198">
        <v>0.15437000000000001</v>
      </c>
      <c r="AT826" s="1051">
        <v>44004</v>
      </c>
      <c r="AU826" s="198">
        <v>6.8345000000000002</v>
      </c>
      <c r="AV826" s="198">
        <v>0.4763</v>
      </c>
      <c r="AX826" s="198">
        <v>0.11325</v>
      </c>
      <c r="BA826" s="1051">
        <v>43991</v>
      </c>
      <c r="BB826" s="198">
        <v>6.2815000000000003</v>
      </c>
      <c r="BC826" s="198">
        <v>1.1347</v>
      </c>
      <c r="BD826" s="198">
        <v>6.7305000000000001</v>
      </c>
      <c r="BE826" s="198">
        <v>0.26027</v>
      </c>
      <c r="BG826" s="1051">
        <v>43991</v>
      </c>
      <c r="BH826" s="198">
        <v>12.6312</v>
      </c>
      <c r="BI826" s="198">
        <v>1.8359000000000001</v>
      </c>
      <c r="BJ826" s="198">
        <v>17.097100000000001</v>
      </c>
      <c r="BT826" s="1051">
        <v>44034</v>
      </c>
      <c r="BU826" s="198">
        <v>9.9675999999999991</v>
      </c>
      <c r="BV826" s="198">
        <v>2.6412</v>
      </c>
      <c r="BW826" s="198">
        <v>5.6040999999999999</v>
      </c>
      <c r="BX826" s="198">
        <v>1.1979</v>
      </c>
      <c r="BZ826" s="1051">
        <v>44034</v>
      </c>
      <c r="CA826" s="198">
        <v>27.731400000000001</v>
      </c>
      <c r="CB826" s="198">
        <v>1.5210999999999999</v>
      </c>
      <c r="CC826" s="198">
        <v>19.092400000000001</v>
      </c>
      <c r="CD826" s="198">
        <v>0.61146999999999996</v>
      </c>
      <c r="CF826" s="1051">
        <v>44033</v>
      </c>
      <c r="CG826" s="198">
        <v>5.2794999999999996</v>
      </c>
      <c r="CH826" s="198">
        <v>0.78859999999999997</v>
      </c>
      <c r="CI826" s="198">
        <v>14.1905</v>
      </c>
      <c r="CL826" s="1051">
        <v>44055</v>
      </c>
      <c r="CM826" s="198">
        <v>24.145</v>
      </c>
      <c r="CN826" s="198">
        <v>2.3573</v>
      </c>
      <c r="CO826" s="198">
        <v>10.1127</v>
      </c>
    </row>
    <row r="827" spans="1:93" s="198" customFormat="1">
      <c r="A827" s="1051">
        <v>44033</v>
      </c>
      <c r="B827" s="1052">
        <f t="shared" si="122"/>
        <v>9.2530000000000001</v>
      </c>
      <c r="C827" s="1052">
        <f t="shared" si="124"/>
        <v>7.2732000000000001</v>
      </c>
      <c r="D827" s="1052">
        <f t="shared" si="128"/>
        <v>9.7713999999999999</v>
      </c>
      <c r="E827" s="1052">
        <f t="shared" si="129"/>
        <v>10.1122</v>
      </c>
      <c r="F827" s="1052">
        <f t="shared" si="130"/>
        <v>15.1608</v>
      </c>
      <c r="G827" s="1052">
        <f t="shared" si="131"/>
        <v>7.5579000000000001</v>
      </c>
      <c r="H827" s="1047">
        <f t="shared" si="125"/>
        <v>9.7713999999999999</v>
      </c>
      <c r="I827" s="1048">
        <f t="shared" si="123"/>
        <v>-5.3052786704054666E-2</v>
      </c>
      <c r="J827" s="1048">
        <f t="shared" si="126"/>
        <v>0.12093838824177333</v>
      </c>
      <c r="K827" s="1048">
        <f t="shared" si="127"/>
        <v>0.1</v>
      </c>
      <c r="L827" s="1048"/>
      <c r="N827" s="1051">
        <v>44033</v>
      </c>
      <c r="O827" s="1053">
        <v>9.2530000000000001</v>
      </c>
      <c r="P827" s="1053">
        <v>1.8365</v>
      </c>
      <c r="Q827" s="1053">
        <v>9.6153999999999993</v>
      </c>
      <c r="R827" s="1054">
        <f>'B. PE'!$U$23</f>
        <v>15.978235616082999</v>
      </c>
      <c r="S827" s="1054"/>
      <c r="T827" s="1054"/>
      <c r="V827" s="1051">
        <v>44033</v>
      </c>
      <c r="W827" s="198">
        <v>7.2732000000000001</v>
      </c>
      <c r="X827" s="198">
        <v>0.51339999999999997</v>
      </c>
      <c r="Y827" s="198">
        <v>14.478300000000001</v>
      </c>
      <c r="Z827" s="198">
        <v>0.33406999999999998</v>
      </c>
      <c r="AB827" s="1051">
        <v>43999</v>
      </c>
      <c r="AC827" s="198">
        <v>12.0388</v>
      </c>
      <c r="AD827" s="1053">
        <v>0.85060000000000002</v>
      </c>
      <c r="AE827" s="198">
        <v>6.96</v>
      </c>
      <c r="AF827" s="198">
        <v>1.7430000000000001E-2</v>
      </c>
      <c r="AH827" s="1051">
        <v>43999</v>
      </c>
      <c r="AI827" s="198">
        <v>9.3999000000000006</v>
      </c>
      <c r="AJ827" s="198">
        <v>1.5673999999999999</v>
      </c>
      <c r="AK827" s="198">
        <v>5.0875000000000004</v>
      </c>
      <c r="AL827" s="198">
        <v>1.9879999999999998E-2</v>
      </c>
      <c r="AN827" s="1051">
        <v>44006</v>
      </c>
      <c r="AO827" s="198">
        <v>8.2706</v>
      </c>
      <c r="AP827" s="198">
        <v>0.84360000000000002</v>
      </c>
      <c r="AQ827" s="198">
        <v>4.6317000000000004</v>
      </c>
      <c r="AR827" s="198">
        <v>0.15662999999999999</v>
      </c>
      <c r="AT827" s="1051">
        <v>44001</v>
      </c>
      <c r="AU827" s="198">
        <v>6.9065000000000003</v>
      </c>
      <c r="AV827" s="198">
        <v>0.48130000000000001</v>
      </c>
      <c r="AX827" s="198">
        <v>0.11337999999999999</v>
      </c>
      <c r="BA827" s="1051">
        <v>43990</v>
      </c>
      <c r="BB827" s="198">
        <v>6.3581000000000003</v>
      </c>
      <c r="BC827" s="198">
        <v>1.1486000000000001</v>
      </c>
      <c r="BD827" s="198">
        <v>6.7854999999999999</v>
      </c>
      <c r="BE827" s="198">
        <v>0.26307000000000003</v>
      </c>
      <c r="BG827" s="1051">
        <v>43990</v>
      </c>
      <c r="BH827" s="198">
        <v>12.7189</v>
      </c>
      <c r="BI827" s="198">
        <v>1.8486</v>
      </c>
      <c r="BJ827" s="198">
        <v>17.173999999999999</v>
      </c>
      <c r="BT827" s="1051">
        <v>44033</v>
      </c>
      <c r="BU827" s="198">
        <v>10.0275</v>
      </c>
      <c r="BV827" s="198">
        <v>2.6570999999999998</v>
      </c>
      <c r="BW827" s="198">
        <v>5.6369999999999996</v>
      </c>
      <c r="BX827" s="198">
        <v>1.2079</v>
      </c>
      <c r="BZ827" s="1051">
        <v>44033</v>
      </c>
      <c r="CA827" s="198">
        <v>27.62</v>
      </c>
      <c r="CB827" s="198">
        <v>1.5149999999999999</v>
      </c>
      <c r="CC827" s="198">
        <v>19.0502</v>
      </c>
      <c r="CD827" s="198">
        <v>0.64271</v>
      </c>
      <c r="CF827" s="1051">
        <v>44032</v>
      </c>
      <c r="CI827" s="198">
        <v>14.2813</v>
      </c>
      <c r="CL827" s="1051">
        <v>44054</v>
      </c>
      <c r="CM827" s="198">
        <v>23.4466</v>
      </c>
      <c r="CN827" s="198">
        <v>2.2890999999999999</v>
      </c>
      <c r="CO827" s="198">
        <v>9.8251000000000008</v>
      </c>
    </row>
    <row r="828" spans="1:93" s="198" customFormat="1">
      <c r="A828" s="1051">
        <v>44032</v>
      </c>
      <c r="B828" s="1052">
        <f t="shared" si="122"/>
        <v>8.6516000000000002</v>
      </c>
      <c r="C828" s="1052">
        <f t="shared" si="124"/>
        <v>7.2252999999999998</v>
      </c>
      <c r="D828" s="1052">
        <f t="shared" si="128"/>
        <v>9.6351999999999993</v>
      </c>
      <c r="E828" s="1052">
        <f t="shared" si="129"/>
        <v>9.6748999999999992</v>
      </c>
      <c r="F828" s="1052">
        <f t="shared" si="130"/>
        <v>14.8383</v>
      </c>
      <c r="G828" s="1052">
        <f t="shared" si="131"/>
        <v>7.4892000000000003</v>
      </c>
      <c r="H828" s="1047">
        <f t="shared" si="125"/>
        <v>9.6351999999999993</v>
      </c>
      <c r="I828" s="1048">
        <f t="shared" si="123"/>
        <v>-0.10208402524078375</v>
      </c>
      <c r="J828" s="1048">
        <f t="shared" si="126"/>
        <v>0.12093838824177333</v>
      </c>
      <c r="K828" s="1048">
        <f t="shared" si="127"/>
        <v>0.1</v>
      </c>
      <c r="L828" s="1048"/>
      <c r="N828" s="1051">
        <v>44032</v>
      </c>
      <c r="O828" s="1053">
        <v>8.6516000000000002</v>
      </c>
      <c r="P828" s="1053">
        <v>1.7171000000000001</v>
      </c>
      <c r="Q828" s="1053">
        <v>9.0676000000000005</v>
      </c>
      <c r="R828" s="1054">
        <f>'B. PE'!$U$23</f>
        <v>15.978235616082999</v>
      </c>
      <c r="S828" s="1054"/>
      <c r="T828" s="1054"/>
      <c r="V828" s="1051">
        <v>44032</v>
      </c>
      <c r="W828" s="198">
        <v>7.2252999999999998</v>
      </c>
      <c r="X828" s="198">
        <v>0.51</v>
      </c>
      <c r="Y828" s="198">
        <v>14.444900000000001</v>
      </c>
      <c r="Z828" s="198">
        <v>0.33038000000000001</v>
      </c>
      <c r="AB828" s="1051">
        <v>43998</v>
      </c>
      <c r="AC828" s="198">
        <v>11.9932</v>
      </c>
      <c r="AD828" s="1053">
        <v>0.84740000000000004</v>
      </c>
      <c r="AE828" s="198">
        <v>6.9436999999999998</v>
      </c>
      <c r="AF828" s="198">
        <v>1.763E-2</v>
      </c>
      <c r="AH828" s="1051">
        <v>43998</v>
      </c>
      <c r="AI828" s="198">
        <v>9.3999000000000006</v>
      </c>
      <c r="AJ828" s="198">
        <v>1.5673999999999999</v>
      </c>
      <c r="AK828" s="198">
        <v>5.0875000000000004</v>
      </c>
      <c r="AL828" s="198">
        <v>1.9879999999999998E-2</v>
      </c>
      <c r="AN828" s="1051">
        <v>44005</v>
      </c>
      <c r="AO828" s="198">
        <v>7.3765000000000001</v>
      </c>
      <c r="AP828" s="198">
        <v>0.75239999999999996</v>
      </c>
      <c r="AQ828" s="198">
        <v>3.9156</v>
      </c>
      <c r="AR828" s="198">
        <v>0.157</v>
      </c>
      <c r="AT828" s="1051">
        <v>43999</v>
      </c>
      <c r="AU828" s="198">
        <v>6.9783999999999997</v>
      </c>
      <c r="AV828" s="198">
        <v>0.48630000000000001</v>
      </c>
      <c r="AX828" s="198">
        <v>0.11337</v>
      </c>
      <c r="BA828" s="1051">
        <v>43987</v>
      </c>
      <c r="BB828" s="198">
        <v>6.2815000000000003</v>
      </c>
      <c r="BC828" s="198">
        <v>1.1347</v>
      </c>
      <c r="BD828" s="198">
        <v>6.7305000000000001</v>
      </c>
      <c r="BE828" s="198">
        <v>0.24565000000000001</v>
      </c>
      <c r="BG828" s="1051">
        <v>43987</v>
      </c>
      <c r="BH828" s="198">
        <v>12.5434</v>
      </c>
      <c r="BI828" s="198">
        <v>1.8230999999999999</v>
      </c>
      <c r="BJ828" s="198">
        <v>17.020199999999999</v>
      </c>
      <c r="BT828" s="1051">
        <v>44032</v>
      </c>
      <c r="BU828" s="198">
        <v>9.9795999999999996</v>
      </c>
      <c r="BV828" s="198">
        <v>2.6444000000000001</v>
      </c>
      <c r="BW828" s="198">
        <v>5.6105999999999998</v>
      </c>
      <c r="BX828" s="198">
        <v>1.2192000000000001</v>
      </c>
      <c r="BZ828" s="1051">
        <v>44032</v>
      </c>
      <c r="CA828" s="198">
        <v>27.2302</v>
      </c>
      <c r="CB828" s="198">
        <v>1.4936</v>
      </c>
      <c r="CC828" s="198">
        <v>18.9024</v>
      </c>
      <c r="CD828" s="198">
        <v>0.64509000000000005</v>
      </c>
      <c r="CF828" s="1051">
        <v>44029</v>
      </c>
      <c r="CG828" s="198">
        <v>5.4535999999999998</v>
      </c>
      <c r="CH828" s="198">
        <v>0.81459999999999999</v>
      </c>
      <c r="CI828" s="198">
        <v>14.2813</v>
      </c>
      <c r="CL828" s="1051">
        <v>44053</v>
      </c>
      <c r="CM828" s="198">
        <v>23.207100000000001</v>
      </c>
      <c r="CN828" s="198">
        <v>2.2658</v>
      </c>
      <c r="CO828" s="198">
        <v>9.7264999999999997</v>
      </c>
    </row>
    <row r="829" spans="1:93" s="198" customFormat="1">
      <c r="A829" s="1051">
        <v>44029</v>
      </c>
      <c r="B829" s="1052">
        <f t="shared" si="122"/>
        <v>8.9680999999999997</v>
      </c>
      <c r="C829" s="1052">
        <f t="shared" si="124"/>
        <v>7.3532000000000002</v>
      </c>
      <c r="D829" s="1052">
        <f t="shared" si="128"/>
        <v>9.7713999999999999</v>
      </c>
      <c r="E829" s="1052">
        <f t="shared" si="129"/>
        <v>9.8389000000000006</v>
      </c>
      <c r="F829" s="1052">
        <f t="shared" si="130"/>
        <v>14.3544</v>
      </c>
      <c r="G829" s="1052">
        <f t="shared" si="131"/>
        <v>7.6265999999999998</v>
      </c>
      <c r="H829" s="1047">
        <f t="shared" si="125"/>
        <v>9.7713999999999999</v>
      </c>
      <c r="I829" s="1048">
        <f t="shared" si="123"/>
        <v>-8.2209304705569308E-2</v>
      </c>
      <c r="J829" s="1048">
        <f t="shared" si="126"/>
        <v>0.12093838824177333</v>
      </c>
      <c r="K829" s="1048">
        <f t="shared" si="127"/>
        <v>0.1</v>
      </c>
      <c r="L829" s="1048"/>
      <c r="N829" s="1051">
        <v>44029</v>
      </c>
      <c r="O829" s="1053">
        <v>8.9680999999999997</v>
      </c>
      <c r="P829" s="1053">
        <v>1.7799</v>
      </c>
      <c r="Q829" s="1053">
        <v>9.3559000000000001</v>
      </c>
      <c r="R829" s="1054">
        <f>'B. PE'!$U$23</f>
        <v>15.978235616082999</v>
      </c>
      <c r="S829" s="1054"/>
      <c r="T829" s="1054"/>
      <c r="V829" s="1051">
        <v>44029</v>
      </c>
      <c r="W829" s="198">
        <v>7.3532000000000002</v>
      </c>
      <c r="X829" s="198">
        <v>0.51910000000000001</v>
      </c>
      <c r="Y829" s="198">
        <v>14.5341</v>
      </c>
      <c r="Z829" s="198">
        <v>0.33418999999999999</v>
      </c>
      <c r="AB829" s="1051">
        <v>43997</v>
      </c>
      <c r="AC829" s="198">
        <v>11.309200000000001</v>
      </c>
      <c r="AD829" s="1053">
        <v>0.79900000000000004</v>
      </c>
      <c r="AE829" s="198">
        <v>6.6993999999999998</v>
      </c>
      <c r="AF829" s="198">
        <v>1.7389999999999999E-2</v>
      </c>
      <c r="AH829" s="1051">
        <v>43997</v>
      </c>
      <c r="AI829" s="198">
        <v>9.5006000000000004</v>
      </c>
      <c r="AJ829" s="198">
        <v>1.5842000000000001</v>
      </c>
      <c r="AK829" s="198">
        <v>5.1364000000000001</v>
      </c>
      <c r="AL829" s="198">
        <v>1.9699999999999999E-2</v>
      </c>
      <c r="AN829" s="1051">
        <v>44004</v>
      </c>
      <c r="AO829" s="198">
        <v>7.4882999999999997</v>
      </c>
      <c r="AP829" s="198">
        <v>0.76380000000000003</v>
      </c>
      <c r="AQ829" s="198">
        <v>4.0050999999999997</v>
      </c>
      <c r="AR829" s="198">
        <v>0.15076999999999999</v>
      </c>
      <c r="AT829" s="1051">
        <v>43998</v>
      </c>
      <c r="AU829" s="198">
        <v>6.9783999999999997</v>
      </c>
      <c r="AV829" s="198">
        <v>0.48630000000000001</v>
      </c>
      <c r="AX829" s="198">
        <v>0.11708</v>
      </c>
      <c r="BA829" s="1051">
        <v>43986</v>
      </c>
      <c r="BB829" s="198">
        <v>6.3581000000000003</v>
      </c>
      <c r="BC829" s="198">
        <v>1.1486000000000001</v>
      </c>
      <c r="BD829" s="198">
        <v>6.7854999999999999</v>
      </c>
      <c r="BE829" s="198">
        <v>0.24163999999999999</v>
      </c>
      <c r="BG829" s="1051">
        <v>43986</v>
      </c>
      <c r="BH829" s="198">
        <v>12.6312</v>
      </c>
      <c r="BI829" s="198">
        <v>1.8359000000000001</v>
      </c>
      <c r="BJ829" s="198">
        <v>17.097100000000001</v>
      </c>
      <c r="BT829" s="1051">
        <v>44029</v>
      </c>
      <c r="BU829" s="198">
        <v>10.0634</v>
      </c>
      <c r="BV829" s="198">
        <v>2.6665999999999999</v>
      </c>
      <c r="BW829" s="198">
        <v>5.6567999999999996</v>
      </c>
      <c r="BX829" s="198">
        <v>1.2169000000000001</v>
      </c>
      <c r="BZ829" s="1051">
        <v>44029</v>
      </c>
      <c r="CA829" s="198">
        <v>28.622299999999999</v>
      </c>
      <c r="CB829" s="198">
        <v>1.57</v>
      </c>
      <c r="CC829" s="198">
        <v>19.430299999999999</v>
      </c>
      <c r="CD829" s="198">
        <v>0.63541999999999998</v>
      </c>
      <c r="CF829" s="1051">
        <v>44028</v>
      </c>
      <c r="CG829" s="198">
        <v>5.3375000000000004</v>
      </c>
      <c r="CH829" s="198">
        <v>0.79730000000000001</v>
      </c>
      <c r="CI829" s="198">
        <v>14.220800000000001</v>
      </c>
      <c r="CL829" s="1051">
        <v>44050</v>
      </c>
      <c r="CM829" s="198">
        <v>23.266999999999999</v>
      </c>
      <c r="CN829" s="198">
        <v>2.2715999999999998</v>
      </c>
      <c r="CO829" s="198">
        <v>9.7510999999999992</v>
      </c>
    </row>
    <row r="830" spans="1:93" s="198" customFormat="1">
      <c r="A830" s="1051">
        <v>44028</v>
      </c>
      <c r="B830" s="1052">
        <f t="shared" si="122"/>
        <v>9.0313999999999997</v>
      </c>
      <c r="C830" s="1052">
        <f t="shared" si="124"/>
        <v>7.2732000000000001</v>
      </c>
      <c r="D830" s="1052">
        <f t="shared" si="128"/>
        <v>10.0097</v>
      </c>
      <c r="E830" s="1052">
        <f t="shared" si="129"/>
        <v>9.5655999999999999</v>
      </c>
      <c r="F830" s="1052">
        <f t="shared" si="130"/>
        <v>13.2254</v>
      </c>
      <c r="G830" s="1052">
        <f t="shared" si="131"/>
        <v>7.4892000000000003</v>
      </c>
      <c r="H830" s="1047">
        <f t="shared" si="125"/>
        <v>9.5655999999999999</v>
      </c>
      <c r="I830" s="1048">
        <f t="shared" si="123"/>
        <v>-5.5845947980262656E-2</v>
      </c>
      <c r="J830" s="1048">
        <f t="shared" si="126"/>
        <v>0.12093838824177333</v>
      </c>
      <c r="K830" s="1048">
        <f t="shared" si="127"/>
        <v>0.1</v>
      </c>
      <c r="L830" s="1048"/>
      <c r="N830" s="1051">
        <v>44028</v>
      </c>
      <c r="O830" s="1053">
        <v>9.0313999999999997</v>
      </c>
      <c r="P830" s="1053">
        <v>1.7925</v>
      </c>
      <c r="Q830" s="1053">
        <v>9.4136000000000006</v>
      </c>
      <c r="R830" s="1054">
        <f>'B. PE'!$U$23</f>
        <v>15.978235616082999</v>
      </c>
      <c r="S830" s="1054"/>
      <c r="T830" s="1054"/>
      <c r="V830" s="1051">
        <v>44028</v>
      </c>
      <c r="W830" s="198">
        <v>7.2732000000000001</v>
      </c>
      <c r="X830" s="198">
        <v>0.51339999999999997</v>
      </c>
      <c r="Y830" s="198">
        <v>14.478300000000001</v>
      </c>
      <c r="Z830" s="198">
        <v>0.33707999999999999</v>
      </c>
      <c r="AB830" s="1051">
        <v>43994</v>
      </c>
      <c r="AC830" s="198">
        <v>11.446</v>
      </c>
      <c r="AD830" s="1053">
        <v>0.80869999999999997</v>
      </c>
      <c r="AE830" s="198">
        <v>6.7481999999999998</v>
      </c>
      <c r="AF830" s="198">
        <v>1.8259999999999998E-2</v>
      </c>
      <c r="AH830" s="1051">
        <v>43994</v>
      </c>
      <c r="AI830" s="198">
        <v>9.5006000000000004</v>
      </c>
      <c r="AJ830" s="198">
        <v>1.5842000000000001</v>
      </c>
      <c r="AK830" s="198">
        <v>5.1364000000000001</v>
      </c>
      <c r="AL830" s="198">
        <v>2.0310000000000002E-2</v>
      </c>
      <c r="AN830" s="1051">
        <v>44001</v>
      </c>
      <c r="AO830" s="198">
        <v>7.4882999999999997</v>
      </c>
      <c r="AP830" s="198">
        <v>0.76380000000000003</v>
      </c>
      <c r="AQ830" s="198">
        <v>4.0050999999999997</v>
      </c>
      <c r="AR830" s="198">
        <v>0.15060999999999999</v>
      </c>
      <c r="AT830" s="1051">
        <v>43997</v>
      </c>
      <c r="AU830" s="198">
        <v>6.9783999999999997</v>
      </c>
      <c r="AV830" s="198">
        <v>0.48630000000000001</v>
      </c>
      <c r="AX830" s="198">
        <v>0.11695</v>
      </c>
      <c r="BA830" s="1051">
        <v>43984</v>
      </c>
      <c r="BB830" s="198">
        <v>5.9367999999999999</v>
      </c>
      <c r="BC830" s="198">
        <v>1.0725</v>
      </c>
      <c r="BD830" s="198">
        <v>6.4828000000000001</v>
      </c>
      <c r="BE830" s="198">
        <v>0.23882</v>
      </c>
      <c r="BG830" s="1051">
        <v>43984</v>
      </c>
      <c r="BH830" s="198">
        <v>12.017099999999999</v>
      </c>
      <c r="BI830" s="198">
        <v>1.7465999999999999</v>
      </c>
      <c r="BJ830" s="198">
        <v>16.558800000000002</v>
      </c>
      <c r="BT830" s="1051">
        <v>44028</v>
      </c>
      <c r="BU830" s="198">
        <v>10.1593</v>
      </c>
      <c r="BV830" s="198">
        <v>2.6920000000000002</v>
      </c>
      <c r="BW830" s="198">
        <v>5.7095000000000002</v>
      </c>
      <c r="BX830" s="198">
        <v>1.1923999999999999</v>
      </c>
      <c r="BZ830" s="1051">
        <v>44028</v>
      </c>
      <c r="CA830" s="198">
        <v>28.733699999999999</v>
      </c>
      <c r="CB830" s="198">
        <v>1.5761000000000001</v>
      </c>
      <c r="CC830" s="198">
        <v>19.4725</v>
      </c>
      <c r="CD830" s="198">
        <v>0.60787999999999998</v>
      </c>
      <c r="CF830" s="1051">
        <v>44027</v>
      </c>
      <c r="CG830" s="198">
        <v>5.3375000000000004</v>
      </c>
      <c r="CH830" s="198">
        <v>0.79730000000000001</v>
      </c>
      <c r="CI830" s="198">
        <v>14.220800000000001</v>
      </c>
      <c r="CL830" s="1051">
        <v>44049</v>
      </c>
      <c r="CM830" s="198">
        <v>23.386700000000001</v>
      </c>
      <c r="CN830" s="198">
        <v>2.2833000000000001</v>
      </c>
      <c r="CO830" s="198">
        <v>9.8003999999999998</v>
      </c>
    </row>
    <row r="831" spans="1:93" s="198" customFormat="1">
      <c r="A831" s="1051">
        <v>44027</v>
      </c>
      <c r="B831" s="1052">
        <f t="shared" si="122"/>
        <v>9.0419999999999998</v>
      </c>
      <c r="C831" s="1052">
        <f t="shared" si="124"/>
        <v>7.3532000000000002</v>
      </c>
      <c r="D831" s="1052">
        <f t="shared" si="128"/>
        <v>9.9417000000000009</v>
      </c>
      <c r="E831" s="1052">
        <f t="shared" si="129"/>
        <v>10.057600000000001</v>
      </c>
      <c r="F831" s="1052">
        <f t="shared" si="130"/>
        <v>13.305999999999999</v>
      </c>
      <c r="G831" s="1052">
        <f t="shared" si="131"/>
        <v>7.3517999999999999</v>
      </c>
      <c r="H831" s="1047">
        <f t="shared" si="125"/>
        <v>9.9417000000000009</v>
      </c>
      <c r="I831" s="1048">
        <f t="shared" si="123"/>
        <v>-9.0497601013911244E-2</v>
      </c>
      <c r="J831" s="1048">
        <f t="shared" si="126"/>
        <v>0.12093838824177333</v>
      </c>
      <c r="K831" s="1048">
        <f t="shared" si="127"/>
        <v>0.1</v>
      </c>
      <c r="L831" s="1048"/>
      <c r="N831" s="1051">
        <v>44027</v>
      </c>
      <c r="O831" s="1053">
        <v>9.0419999999999998</v>
      </c>
      <c r="P831" s="1053">
        <v>1.7946</v>
      </c>
      <c r="Q831" s="1053">
        <v>9.4231999999999996</v>
      </c>
      <c r="R831" s="1054">
        <f>'B. PE'!$U$23</f>
        <v>15.978235616082999</v>
      </c>
      <c r="S831" s="1054"/>
      <c r="T831" s="1054"/>
      <c r="V831" s="1051">
        <v>44027</v>
      </c>
      <c r="W831" s="198">
        <v>7.3532000000000002</v>
      </c>
      <c r="X831" s="198">
        <v>0.51910000000000001</v>
      </c>
      <c r="Y831" s="198">
        <v>14.5341</v>
      </c>
      <c r="Z831" s="198">
        <v>0.33916000000000002</v>
      </c>
      <c r="AB831" s="1051">
        <v>43993</v>
      </c>
      <c r="AC831" s="198">
        <v>11.309200000000001</v>
      </c>
      <c r="AD831" s="1053">
        <v>0.79900000000000004</v>
      </c>
      <c r="AE831" s="198">
        <v>6.6993999999999998</v>
      </c>
      <c r="AF831" s="198">
        <v>1.848E-2</v>
      </c>
      <c r="AH831" s="1051">
        <v>43993</v>
      </c>
      <c r="AI831" s="198">
        <v>9.4335000000000004</v>
      </c>
      <c r="AJ831" s="198">
        <v>1.573</v>
      </c>
      <c r="AK831" s="198">
        <v>5.1037999999999997</v>
      </c>
      <c r="AL831" s="198">
        <v>2.053E-2</v>
      </c>
      <c r="AN831" s="1051">
        <v>44000</v>
      </c>
      <c r="AO831" s="198">
        <v>7.2088000000000001</v>
      </c>
      <c r="AP831" s="198">
        <v>0.73529999999999995</v>
      </c>
      <c r="AQ831" s="198">
        <v>3.7812999999999999</v>
      </c>
      <c r="AR831" s="198">
        <v>0.13793</v>
      </c>
      <c r="AT831" s="1051">
        <v>43994</v>
      </c>
      <c r="AU831" s="198">
        <v>7.1942000000000004</v>
      </c>
      <c r="AV831" s="198">
        <v>0.50139999999999996</v>
      </c>
      <c r="AX831" s="198">
        <v>0.11996</v>
      </c>
      <c r="BA831" s="1051">
        <v>43983</v>
      </c>
      <c r="BB831" s="198">
        <v>5.8601999999999999</v>
      </c>
      <c r="BC831" s="198">
        <v>1.0586</v>
      </c>
      <c r="BD831" s="198">
        <v>6.4278000000000004</v>
      </c>
      <c r="BE831" s="198">
        <v>0.23860000000000001</v>
      </c>
      <c r="BG831" s="1051">
        <v>43983</v>
      </c>
      <c r="BH831" s="198">
        <v>11.841699999999999</v>
      </c>
      <c r="BI831" s="198">
        <v>1.7212000000000001</v>
      </c>
      <c r="BJ831" s="198">
        <v>16.405000000000001</v>
      </c>
      <c r="BT831" s="1051">
        <v>44027</v>
      </c>
      <c r="BU831" s="198">
        <v>10.135300000000001</v>
      </c>
      <c r="BV831" s="198">
        <v>2.6856</v>
      </c>
      <c r="BW831" s="198">
        <v>5.6962999999999999</v>
      </c>
      <c r="BX831" s="198">
        <v>1.1906000000000001</v>
      </c>
      <c r="BZ831" s="1051">
        <v>44027</v>
      </c>
      <c r="CA831" s="198">
        <v>28.2882</v>
      </c>
      <c r="CB831" s="198">
        <v>1.5516000000000001</v>
      </c>
      <c r="CC831" s="198">
        <v>19.303599999999999</v>
      </c>
      <c r="CD831" s="198">
        <v>0.60768999999999995</v>
      </c>
      <c r="CF831" s="1051">
        <v>44026</v>
      </c>
      <c r="CG831" s="198">
        <v>5.3375000000000004</v>
      </c>
      <c r="CH831" s="198">
        <v>0.79730000000000001</v>
      </c>
      <c r="CI831" s="198">
        <v>14.220800000000001</v>
      </c>
      <c r="CL831" s="1051">
        <v>44048</v>
      </c>
      <c r="CM831" s="198">
        <v>23.506499999999999</v>
      </c>
      <c r="CN831" s="198">
        <v>2.2949999999999999</v>
      </c>
      <c r="CO831" s="198">
        <v>9.8497000000000003</v>
      </c>
    </row>
    <row r="832" spans="1:93" s="198" customFormat="1">
      <c r="A832" s="1051">
        <v>44026</v>
      </c>
      <c r="B832" s="1052">
        <f t="shared" si="122"/>
        <v>9.1369000000000007</v>
      </c>
      <c r="C832" s="1052">
        <f t="shared" si="124"/>
        <v>7.4170999999999996</v>
      </c>
      <c r="D832" s="1052">
        <f t="shared" si="128"/>
        <v>9.8735999999999997</v>
      </c>
      <c r="E832" s="1052">
        <f t="shared" si="129"/>
        <v>9.6203000000000003</v>
      </c>
      <c r="F832" s="1052">
        <f t="shared" si="130"/>
        <v>13.0641</v>
      </c>
      <c r="G832" s="1052">
        <f t="shared" si="131"/>
        <v>6.8708</v>
      </c>
      <c r="H832" s="1047">
        <f t="shared" si="125"/>
        <v>9.6203000000000003</v>
      </c>
      <c r="I832" s="1048">
        <f t="shared" si="123"/>
        <v>-5.0247913266738053E-2</v>
      </c>
      <c r="J832" s="1048">
        <f t="shared" si="126"/>
        <v>0.12093838824177333</v>
      </c>
      <c r="K832" s="1048">
        <f t="shared" si="127"/>
        <v>0.1</v>
      </c>
      <c r="L832" s="1048"/>
      <c r="N832" s="1051">
        <v>44026</v>
      </c>
      <c r="O832" s="1053">
        <v>9.1369000000000007</v>
      </c>
      <c r="P832" s="1053">
        <v>1.8134999999999999</v>
      </c>
      <c r="Q832" s="1053">
        <v>9.5097000000000005</v>
      </c>
      <c r="R832" s="1054">
        <f>'B. PE'!$U$23</f>
        <v>15.978235616082999</v>
      </c>
      <c r="S832" s="1054"/>
      <c r="T832" s="1054"/>
      <c r="V832" s="1051">
        <v>44026</v>
      </c>
      <c r="W832" s="198">
        <v>7.4170999999999996</v>
      </c>
      <c r="X832" s="198">
        <v>0.52359999999999995</v>
      </c>
      <c r="Y832" s="198">
        <v>14.5787</v>
      </c>
      <c r="Z832" s="198">
        <v>0.34764</v>
      </c>
      <c r="AB832" s="1051">
        <v>43992</v>
      </c>
      <c r="AC832" s="198">
        <v>11.7652</v>
      </c>
      <c r="AD832" s="1053">
        <v>0.83130000000000004</v>
      </c>
      <c r="AE832" s="198">
        <v>6.8621999999999996</v>
      </c>
      <c r="AF832" s="198">
        <v>1.9359999999999999E-2</v>
      </c>
      <c r="AH832" s="1051">
        <v>43992</v>
      </c>
      <c r="AI832" s="198">
        <v>9.6349</v>
      </c>
      <c r="AJ832" s="198">
        <v>1.6066</v>
      </c>
      <c r="AK832" s="198">
        <v>5.2016999999999998</v>
      </c>
      <c r="AL832" s="198">
        <v>2.0500000000000001E-2</v>
      </c>
      <c r="AN832" s="1051">
        <v>43999</v>
      </c>
      <c r="AO832" s="198">
        <v>7.2088000000000001</v>
      </c>
      <c r="AP832" s="198">
        <v>0.73529999999999995</v>
      </c>
      <c r="AQ832" s="198">
        <v>3.7812999999999999</v>
      </c>
      <c r="AR832" s="198">
        <v>0.13324</v>
      </c>
      <c r="AT832" s="1051">
        <v>43993</v>
      </c>
      <c r="AU832" s="198">
        <v>7.1942000000000004</v>
      </c>
      <c r="AV832" s="198">
        <v>0.50139999999999996</v>
      </c>
      <c r="AX832" s="198">
        <v>0.12396</v>
      </c>
      <c r="BA832" s="1051">
        <v>43980</v>
      </c>
      <c r="BB832" s="198">
        <v>5.8217999999999996</v>
      </c>
      <c r="BC832" s="198">
        <v>1.0517000000000001</v>
      </c>
      <c r="BD832" s="198">
        <v>6.4002999999999997</v>
      </c>
      <c r="BE832" s="198">
        <v>0.23807</v>
      </c>
      <c r="BG832" s="1051">
        <v>43980</v>
      </c>
      <c r="BH832" s="198">
        <v>11.4908</v>
      </c>
      <c r="BI832" s="198">
        <v>1.6701999999999999</v>
      </c>
      <c r="BJ832" s="198">
        <v>16.0975</v>
      </c>
      <c r="BT832" s="1051">
        <v>44026</v>
      </c>
      <c r="BU832" s="198">
        <v>9.9315999999999995</v>
      </c>
      <c r="BV832" s="198">
        <v>2.6316999999999999</v>
      </c>
      <c r="BW832" s="198">
        <v>5.5842999999999998</v>
      </c>
      <c r="BX832" s="198">
        <v>1.1924999999999999</v>
      </c>
      <c r="BZ832" s="1051">
        <v>44026</v>
      </c>
      <c r="CA832" s="198">
        <v>27.063099999999999</v>
      </c>
      <c r="CB832" s="198">
        <v>1.4843999999999999</v>
      </c>
      <c r="CC832" s="198">
        <v>18.838999999999999</v>
      </c>
      <c r="CD832" s="198">
        <v>0.60543000000000002</v>
      </c>
      <c r="CF832" s="1051">
        <v>44025</v>
      </c>
      <c r="CG832" s="198">
        <v>5.3375000000000004</v>
      </c>
      <c r="CH832" s="198">
        <v>0.79730000000000001</v>
      </c>
      <c r="CI832" s="198">
        <v>14.220800000000001</v>
      </c>
      <c r="CL832" s="1051">
        <v>44047</v>
      </c>
      <c r="CM832" s="198">
        <v>23.426600000000001</v>
      </c>
      <c r="CN832" s="198">
        <v>2.2871999999999999</v>
      </c>
      <c r="CO832" s="198">
        <v>9.8169000000000004</v>
      </c>
    </row>
    <row r="833" spans="1:93" s="198" customFormat="1">
      <c r="A833" s="1051">
        <v>44025</v>
      </c>
      <c r="B833" s="1052">
        <f t="shared" si="122"/>
        <v>9.0736000000000008</v>
      </c>
      <c r="C833" s="1052">
        <f t="shared" si="124"/>
        <v>7.4650999999999996</v>
      </c>
      <c r="D833" s="1052">
        <f t="shared" si="128"/>
        <v>9.7033000000000005</v>
      </c>
      <c r="E833" s="1052">
        <f t="shared" si="129"/>
        <v>9.8935999999999993</v>
      </c>
      <c r="F833" s="1052">
        <f t="shared" si="130"/>
        <v>13.0641</v>
      </c>
      <c r="G833" s="1052">
        <f t="shared" si="131"/>
        <v>6.8708</v>
      </c>
      <c r="H833" s="1047">
        <f t="shared" si="125"/>
        <v>9.7033000000000005</v>
      </c>
      <c r="I833" s="1048">
        <f t="shared" si="123"/>
        <v>-6.4895447940391371E-2</v>
      </c>
      <c r="J833" s="1048">
        <f t="shared" si="126"/>
        <v>0.12093838824177333</v>
      </c>
      <c r="K833" s="1048">
        <f t="shared" si="127"/>
        <v>0.1</v>
      </c>
      <c r="L833" s="1048"/>
      <c r="N833" s="1051">
        <v>44025</v>
      </c>
      <c r="O833" s="1053">
        <v>9.0736000000000008</v>
      </c>
      <c r="P833" s="1053">
        <v>1.8008999999999999</v>
      </c>
      <c r="Q833" s="1053">
        <v>9.452</v>
      </c>
      <c r="R833" s="1054">
        <f>'B. PE'!$U$23</f>
        <v>15.978235616082999</v>
      </c>
      <c r="S833" s="1054"/>
      <c r="T833" s="1054"/>
      <c r="V833" s="1051">
        <v>44025</v>
      </c>
      <c r="W833" s="198">
        <v>7.4650999999999996</v>
      </c>
      <c r="X833" s="198">
        <v>0.52700000000000002</v>
      </c>
      <c r="Y833" s="198">
        <v>14.6121</v>
      </c>
      <c r="Z833" s="198">
        <v>0.35031000000000001</v>
      </c>
      <c r="AB833" s="1051">
        <v>43991</v>
      </c>
      <c r="AC833" s="198">
        <v>11.901999999999999</v>
      </c>
      <c r="AD833" s="1053">
        <v>0.84089999999999998</v>
      </c>
      <c r="AE833" s="198">
        <v>6.9111000000000002</v>
      </c>
      <c r="AF833" s="198">
        <v>1.8859999999999998E-2</v>
      </c>
      <c r="AH833" s="1051">
        <v>43991</v>
      </c>
      <c r="AI833" s="198">
        <v>9.7355999999999998</v>
      </c>
      <c r="AJ833" s="198">
        <v>1.6234</v>
      </c>
      <c r="AK833" s="198">
        <v>5.2506000000000004</v>
      </c>
      <c r="AL833" s="198">
        <v>1.95E-2</v>
      </c>
      <c r="AN833" s="1051">
        <v>43998</v>
      </c>
      <c r="AO833" s="198">
        <v>6.5941000000000001</v>
      </c>
      <c r="AP833" s="198">
        <v>0.67259999999999998</v>
      </c>
      <c r="AQ833" s="198">
        <v>3.2890999999999999</v>
      </c>
      <c r="AR833" s="198">
        <v>0.13816000000000001</v>
      </c>
      <c r="AT833" s="1051">
        <v>43992</v>
      </c>
      <c r="AU833" s="198">
        <v>7.3380999999999998</v>
      </c>
      <c r="AV833" s="198">
        <v>0.51139999999999997</v>
      </c>
      <c r="AX833" s="198">
        <v>0.12537000000000001</v>
      </c>
      <c r="BA833" s="1051">
        <v>43979</v>
      </c>
      <c r="BB833" s="198">
        <v>5.8217999999999996</v>
      </c>
      <c r="BC833" s="198">
        <v>1.0517000000000001</v>
      </c>
      <c r="BD833" s="198">
        <v>6.4002999999999997</v>
      </c>
      <c r="BE833" s="198">
        <v>0.23841999999999999</v>
      </c>
      <c r="BG833" s="1051">
        <v>43979</v>
      </c>
      <c r="BH833" s="198">
        <v>11.4031</v>
      </c>
      <c r="BI833" s="198">
        <v>1.6574</v>
      </c>
      <c r="BJ833" s="198">
        <v>16.020600000000002</v>
      </c>
      <c r="BT833" s="1051">
        <v>44025</v>
      </c>
      <c r="BU833" s="198">
        <v>9.9197000000000006</v>
      </c>
      <c r="BV833" s="198">
        <v>2.6284999999999998</v>
      </c>
      <c r="BW833" s="198">
        <v>5.5777000000000001</v>
      </c>
      <c r="BX833" s="198">
        <v>1.2075</v>
      </c>
      <c r="BZ833" s="1051">
        <v>44025</v>
      </c>
      <c r="CA833" s="198">
        <v>27.063099999999999</v>
      </c>
      <c r="CB833" s="198">
        <v>1.4843999999999999</v>
      </c>
      <c r="CC833" s="198">
        <v>18.838999999999999</v>
      </c>
      <c r="CD833" s="198">
        <v>0.61251</v>
      </c>
      <c r="CF833" s="1051">
        <v>44022</v>
      </c>
      <c r="CG833" s="198">
        <v>5.3956</v>
      </c>
      <c r="CH833" s="198">
        <v>0.80600000000000005</v>
      </c>
      <c r="CI833" s="198">
        <v>14.250999999999999</v>
      </c>
      <c r="CL833" s="1051">
        <v>44046</v>
      </c>
      <c r="CM833" s="198">
        <v>23.785799999999998</v>
      </c>
      <c r="CN833" s="198">
        <v>2.3222999999999998</v>
      </c>
      <c r="CO833" s="198">
        <v>9.9648000000000003</v>
      </c>
    </row>
    <row r="834" spans="1:93" s="198" customFormat="1">
      <c r="A834" s="1051">
        <v>44022</v>
      </c>
      <c r="B834" s="1052">
        <f t="shared" si="122"/>
        <v>9.5694999999999997</v>
      </c>
      <c r="C834" s="1052">
        <f t="shared" si="124"/>
        <v>7.6489000000000003</v>
      </c>
      <c r="D834" s="1052">
        <f t="shared" si="128"/>
        <v>9.6012000000000004</v>
      </c>
      <c r="E834" s="1052">
        <f t="shared" si="129"/>
        <v>10.0029</v>
      </c>
      <c r="F834" s="1052">
        <f t="shared" si="130"/>
        <v>12.096399999999999</v>
      </c>
      <c r="G834" s="1052">
        <f t="shared" si="131"/>
        <v>6.5616000000000003</v>
      </c>
      <c r="H834" s="1047">
        <f t="shared" si="125"/>
        <v>9.6012000000000004</v>
      </c>
      <c r="I834" s="1048">
        <f t="shared" si="123"/>
        <v>-3.3016706245053706E-3</v>
      </c>
      <c r="J834" s="1048">
        <f t="shared" si="126"/>
        <v>0.12093838824177333</v>
      </c>
      <c r="K834" s="1048">
        <f t="shared" si="127"/>
        <v>0.1</v>
      </c>
      <c r="L834" s="1048"/>
      <c r="N834" s="1051">
        <v>44022</v>
      </c>
      <c r="O834" s="1053">
        <v>9.5694999999999997</v>
      </c>
      <c r="P834" s="1053">
        <v>1.8993</v>
      </c>
      <c r="Q834" s="1053">
        <v>9.9036000000000008</v>
      </c>
      <c r="R834" s="1054">
        <f>'B. PE'!$U$23</f>
        <v>15.978235616082999</v>
      </c>
      <c r="S834" s="1054"/>
      <c r="T834" s="1054"/>
      <c r="V834" s="1051">
        <v>44022</v>
      </c>
      <c r="W834" s="198">
        <v>7.6489000000000003</v>
      </c>
      <c r="X834" s="198">
        <v>0.53990000000000005</v>
      </c>
      <c r="Y834" s="198">
        <v>14.7403</v>
      </c>
      <c r="Z834" s="198">
        <v>0.34494000000000002</v>
      </c>
      <c r="AB834" s="1051">
        <v>43990</v>
      </c>
      <c r="AC834" s="198">
        <v>12.403600000000001</v>
      </c>
      <c r="AD834" s="1053">
        <v>0.87639999999999996</v>
      </c>
      <c r="AE834" s="198">
        <v>7.0903</v>
      </c>
      <c r="AF834" s="198">
        <v>1.8599999999999998E-2</v>
      </c>
      <c r="AH834" s="1051">
        <v>43990</v>
      </c>
      <c r="AI834" s="198">
        <v>9.6684999999999999</v>
      </c>
      <c r="AJ834" s="198">
        <v>1.6122000000000001</v>
      </c>
      <c r="AK834" s="198">
        <v>5.218</v>
      </c>
      <c r="AL834" s="198">
        <v>1.924E-2</v>
      </c>
      <c r="AN834" s="1051">
        <v>43997</v>
      </c>
      <c r="AO834" s="198">
        <v>6.3705999999999996</v>
      </c>
      <c r="AP834" s="198">
        <v>0.64980000000000004</v>
      </c>
      <c r="AQ834" s="198">
        <v>3.11</v>
      </c>
      <c r="AR834" s="198">
        <v>0.13916999999999999</v>
      </c>
      <c r="AT834" s="1051">
        <v>43991</v>
      </c>
      <c r="AU834" s="198">
        <v>7.6258999999999997</v>
      </c>
      <c r="AV834" s="198">
        <v>0.53139999999999998</v>
      </c>
      <c r="AX834" s="198">
        <v>0.12053999999999999</v>
      </c>
      <c r="BA834" s="1051">
        <v>43978</v>
      </c>
      <c r="BB834" s="198">
        <v>5.8217999999999996</v>
      </c>
      <c r="BC834" s="198">
        <v>1.0517000000000001</v>
      </c>
      <c r="BD834" s="198">
        <v>6.4002999999999997</v>
      </c>
      <c r="BE834" s="198">
        <v>0.23613999999999999</v>
      </c>
      <c r="BG834" s="1051">
        <v>43978</v>
      </c>
      <c r="BH834" s="198">
        <v>11.2277</v>
      </c>
      <c r="BI834" s="198">
        <v>1.6318999999999999</v>
      </c>
      <c r="BJ834" s="198">
        <v>15.8668</v>
      </c>
      <c r="BT834" s="1051">
        <v>44022</v>
      </c>
      <c r="BU834" s="198">
        <v>9.9315999999999995</v>
      </c>
      <c r="BV834" s="198">
        <v>2.6316999999999999</v>
      </c>
      <c r="BW834" s="198">
        <v>5.5842999999999998</v>
      </c>
      <c r="BX834" s="198">
        <v>1.202</v>
      </c>
      <c r="BZ834" s="1051">
        <v>44022</v>
      </c>
      <c r="CA834" s="198">
        <v>26.951799999999999</v>
      </c>
      <c r="CB834" s="198">
        <v>1.4782999999999999</v>
      </c>
      <c r="CC834" s="198">
        <v>18.796800000000001</v>
      </c>
      <c r="CD834" s="198">
        <v>0.60514000000000001</v>
      </c>
      <c r="CF834" s="1051">
        <v>44021</v>
      </c>
      <c r="CG834" s="198">
        <v>5.5115999999999996</v>
      </c>
      <c r="CH834" s="198">
        <v>0.82330000000000003</v>
      </c>
      <c r="CI834" s="198">
        <v>14.3116</v>
      </c>
      <c r="CL834" s="1051">
        <v>44043</v>
      </c>
      <c r="CM834" s="198">
        <v>23.366800000000001</v>
      </c>
      <c r="CN834" s="198">
        <v>2.2814000000000001</v>
      </c>
      <c r="CO834" s="198">
        <v>9.7921999999999993</v>
      </c>
    </row>
    <row r="835" spans="1:93" s="198" customFormat="1">
      <c r="A835" s="1051">
        <v>44021</v>
      </c>
      <c r="B835" s="1052">
        <f t="shared" si="122"/>
        <v>9.1791</v>
      </c>
      <c r="C835" s="1052">
        <f t="shared" si="124"/>
        <v>7.7127999999999997</v>
      </c>
      <c r="D835" s="1052">
        <f t="shared" si="128"/>
        <v>9.5670999999999999</v>
      </c>
      <c r="E835" s="1052">
        <f t="shared" si="129"/>
        <v>9.4563000000000006</v>
      </c>
      <c r="F835" s="1052">
        <f t="shared" si="130"/>
        <v>12.096399999999999</v>
      </c>
      <c r="G835" s="1052">
        <f t="shared" si="131"/>
        <v>6.5616000000000003</v>
      </c>
      <c r="H835" s="1047">
        <f t="shared" si="125"/>
        <v>9.4563000000000006</v>
      </c>
      <c r="I835" s="1048">
        <f t="shared" si="123"/>
        <v>-2.9313790806129281E-2</v>
      </c>
      <c r="J835" s="1048">
        <f t="shared" si="126"/>
        <v>0.12093838824177333</v>
      </c>
      <c r="K835" s="1048">
        <f t="shared" si="127"/>
        <v>0.1</v>
      </c>
      <c r="L835" s="1048"/>
      <c r="N835" s="1051">
        <v>44021</v>
      </c>
      <c r="O835" s="1053">
        <v>9.1791</v>
      </c>
      <c r="P835" s="1053">
        <v>1.8218000000000001</v>
      </c>
      <c r="Q835" s="1053">
        <v>9.5480999999999998</v>
      </c>
      <c r="R835" s="1054">
        <f>'B. PE'!$U$23</f>
        <v>15.978235616082999</v>
      </c>
      <c r="S835" s="1054"/>
      <c r="T835" s="1054"/>
      <c r="V835" s="1051">
        <v>44021</v>
      </c>
      <c r="W835" s="198">
        <v>7.7127999999999997</v>
      </c>
      <c r="X835" s="198">
        <v>0.5444</v>
      </c>
      <c r="Y835" s="198">
        <v>14.7849</v>
      </c>
      <c r="Z835" s="198">
        <v>0.34486</v>
      </c>
      <c r="AB835" s="1051">
        <v>43987</v>
      </c>
      <c r="AC835" s="198">
        <v>12.0388</v>
      </c>
      <c r="AD835" s="1053">
        <v>0.85060000000000002</v>
      </c>
      <c r="AE835" s="198">
        <v>6.96</v>
      </c>
      <c r="AF835" s="198">
        <v>1.821E-2</v>
      </c>
      <c r="AH835" s="1051">
        <v>43987</v>
      </c>
      <c r="AI835" s="198">
        <v>9.1648999999999994</v>
      </c>
      <c r="AJ835" s="198">
        <v>1.5282</v>
      </c>
      <c r="AK835" s="198">
        <v>4.9733999999999998</v>
      </c>
      <c r="AL835" s="198">
        <v>1.9630000000000002E-2</v>
      </c>
      <c r="AN835" s="1051">
        <v>43994</v>
      </c>
      <c r="AO835" s="198">
        <v>6.5941000000000001</v>
      </c>
      <c r="AP835" s="198">
        <v>0.67259999999999998</v>
      </c>
      <c r="AQ835" s="198">
        <v>3.2890999999999999</v>
      </c>
      <c r="AR835" s="198">
        <v>0.14582999999999999</v>
      </c>
      <c r="AT835" s="1051">
        <v>43987</v>
      </c>
      <c r="AU835" s="198">
        <v>7.6978</v>
      </c>
      <c r="AV835" s="198">
        <v>0.53639999999999999</v>
      </c>
      <c r="AX835" s="198">
        <v>0.12214</v>
      </c>
      <c r="BA835" s="1051">
        <v>43977</v>
      </c>
      <c r="BB835" s="198">
        <v>5.8217999999999996</v>
      </c>
      <c r="BC835" s="198">
        <v>1.0517000000000001</v>
      </c>
      <c r="BD835" s="198">
        <v>6.4002999999999997</v>
      </c>
      <c r="BE835" s="198">
        <v>0.23502000000000001</v>
      </c>
      <c r="BG835" s="1051">
        <v>43977</v>
      </c>
      <c r="BH835" s="198">
        <v>11.14</v>
      </c>
      <c r="BI835" s="198">
        <v>1.6192</v>
      </c>
      <c r="BJ835" s="198">
        <v>15.789899999999999</v>
      </c>
      <c r="BT835" s="1051">
        <v>44021</v>
      </c>
      <c r="BU835" s="198">
        <v>10.0634</v>
      </c>
      <c r="BV835" s="198">
        <v>2.6665999999999999</v>
      </c>
      <c r="BW835" s="198">
        <v>5.6567999999999996</v>
      </c>
      <c r="BX835" s="198">
        <v>1.2032</v>
      </c>
      <c r="BZ835" s="1051">
        <v>44021</v>
      </c>
      <c r="CA835" s="198">
        <v>27.285900000000002</v>
      </c>
      <c r="CB835" s="198">
        <v>1.4966999999999999</v>
      </c>
      <c r="CC835" s="198">
        <v>18.923500000000001</v>
      </c>
      <c r="CD835" s="198">
        <v>0.60001000000000004</v>
      </c>
      <c r="CF835" s="1051">
        <v>44020</v>
      </c>
      <c r="CG835" s="198">
        <v>5.3956</v>
      </c>
      <c r="CH835" s="198">
        <v>0.80600000000000005</v>
      </c>
      <c r="CI835" s="198">
        <v>14.250999999999999</v>
      </c>
      <c r="CL835" s="1051">
        <v>44042</v>
      </c>
      <c r="CM835" s="198">
        <v>23.326899999999998</v>
      </c>
      <c r="CN835" s="198">
        <v>2.2774999999999999</v>
      </c>
      <c r="CO835" s="198">
        <v>9.7758000000000003</v>
      </c>
    </row>
    <row r="836" spans="1:93" s="198" customFormat="1">
      <c r="A836" s="1051">
        <v>44020</v>
      </c>
      <c r="B836" s="1052">
        <f t="shared" si="122"/>
        <v>8.5883000000000003</v>
      </c>
      <c r="C836" s="1052">
        <f t="shared" si="124"/>
        <v>7.593</v>
      </c>
      <c r="D836" s="1052">
        <f t="shared" si="128"/>
        <v>9.5330999999999992</v>
      </c>
      <c r="E836" s="1052">
        <f t="shared" si="129"/>
        <v>8.5816999999999997</v>
      </c>
      <c r="F836" s="1052">
        <f t="shared" si="130"/>
        <v>12.096399999999999</v>
      </c>
      <c r="G836" s="1052">
        <f t="shared" si="131"/>
        <v>6.3898999999999999</v>
      </c>
      <c r="H836" s="1047">
        <f t="shared" si="125"/>
        <v>8.5816999999999997</v>
      </c>
      <c r="I836" s="1048">
        <f t="shared" si="123"/>
        <v>7.690783877321028E-4</v>
      </c>
      <c r="J836" s="1048">
        <f t="shared" si="126"/>
        <v>0.12093838824177333</v>
      </c>
      <c r="K836" s="1048">
        <f t="shared" si="127"/>
        <v>0.1</v>
      </c>
      <c r="L836" s="1048"/>
      <c r="N836" s="1051">
        <v>44020</v>
      </c>
      <c r="O836" s="1053">
        <v>8.5883000000000003</v>
      </c>
      <c r="P836" s="1053">
        <v>1.7045999999999999</v>
      </c>
      <c r="Q836" s="1053">
        <v>9.01</v>
      </c>
      <c r="R836" s="1054">
        <f>'B. PE'!$U$23</f>
        <v>15.978235616082999</v>
      </c>
      <c r="S836" s="1054"/>
      <c r="T836" s="1054"/>
      <c r="V836" s="1051">
        <v>44020</v>
      </c>
      <c r="W836" s="198">
        <v>7.593</v>
      </c>
      <c r="X836" s="198">
        <v>0.53600000000000003</v>
      </c>
      <c r="Y836" s="198">
        <v>14.7013</v>
      </c>
      <c r="Z836" s="198">
        <v>0.35022999999999999</v>
      </c>
      <c r="AB836" s="1051">
        <v>43986</v>
      </c>
      <c r="AC836" s="198">
        <v>11.9932</v>
      </c>
      <c r="AD836" s="1053">
        <v>0.84740000000000004</v>
      </c>
      <c r="AE836" s="198">
        <v>6.9436999999999998</v>
      </c>
      <c r="AF836" s="198">
        <v>1.7579999999999998E-2</v>
      </c>
      <c r="AH836" s="1051">
        <v>43986</v>
      </c>
      <c r="AI836" s="198">
        <v>9.1312999999999995</v>
      </c>
      <c r="AJ836" s="198">
        <v>1.5226</v>
      </c>
      <c r="AK836" s="198">
        <v>4.9570999999999996</v>
      </c>
      <c r="AL836" s="198">
        <v>1.9529999999999999E-2</v>
      </c>
      <c r="AN836" s="1051">
        <v>43993</v>
      </c>
      <c r="AO836" s="198">
        <v>6.65</v>
      </c>
      <c r="AP836" s="198">
        <v>0.67830000000000001</v>
      </c>
      <c r="AQ836" s="198">
        <v>3.3338000000000001</v>
      </c>
      <c r="AR836" s="198">
        <v>0.14149999999999999</v>
      </c>
      <c r="AT836" s="1051">
        <v>43986</v>
      </c>
      <c r="AU836" s="198">
        <v>7.4100999999999999</v>
      </c>
      <c r="AV836" s="198">
        <v>0.51639999999999997</v>
      </c>
      <c r="AX836" s="198">
        <v>0.12048</v>
      </c>
      <c r="BA836" s="1051">
        <v>43976</v>
      </c>
      <c r="BB836" s="198">
        <v>5.7835000000000001</v>
      </c>
      <c r="BC836" s="198">
        <v>1.0448</v>
      </c>
      <c r="BD836" s="198">
        <v>6.3727999999999998</v>
      </c>
      <c r="BE836" s="198">
        <v>0.2339</v>
      </c>
      <c r="BG836" s="1051">
        <v>43976</v>
      </c>
      <c r="BH836" s="198">
        <v>11.052300000000001</v>
      </c>
      <c r="BI836" s="198">
        <v>1.6064000000000001</v>
      </c>
      <c r="BJ836" s="198">
        <v>15.712999999999999</v>
      </c>
      <c r="BT836" s="1051">
        <v>44020</v>
      </c>
      <c r="BU836" s="198">
        <v>10.015499999999999</v>
      </c>
      <c r="BV836" s="198">
        <v>2.6539000000000001</v>
      </c>
      <c r="BW836" s="198">
        <v>5.6303999999999998</v>
      </c>
      <c r="BX836" s="198">
        <v>1.2000999999999999</v>
      </c>
      <c r="BZ836" s="1051">
        <v>44020</v>
      </c>
      <c r="CA836" s="198">
        <v>26.951799999999999</v>
      </c>
      <c r="CB836" s="198">
        <v>1.4782999999999999</v>
      </c>
      <c r="CC836" s="198">
        <v>18.796800000000001</v>
      </c>
      <c r="CD836" s="198">
        <v>0.60612999999999995</v>
      </c>
      <c r="CF836" s="1051">
        <v>44019</v>
      </c>
      <c r="CG836" s="198">
        <v>5.3956</v>
      </c>
      <c r="CH836" s="198">
        <v>0.80600000000000005</v>
      </c>
      <c r="CI836" s="198">
        <v>14.250999999999999</v>
      </c>
      <c r="CL836" s="1051">
        <v>44041</v>
      </c>
      <c r="CM836" s="198">
        <v>23.765899999999998</v>
      </c>
      <c r="CN836" s="198">
        <v>2.3203</v>
      </c>
      <c r="CO836" s="198">
        <v>9.9565999999999999</v>
      </c>
    </row>
    <row r="837" spans="1:93" s="198" customFormat="1">
      <c r="A837" s="1051">
        <v>44019</v>
      </c>
      <c r="B837" s="1052">
        <f t="shared" si="122"/>
        <v>8.8414999999999999</v>
      </c>
      <c r="C837" s="1052">
        <f t="shared" si="124"/>
        <v>7.593</v>
      </c>
      <c r="D837" s="1052">
        <f t="shared" si="128"/>
        <v>9.4990000000000006</v>
      </c>
      <c r="E837" s="1052">
        <f t="shared" si="129"/>
        <v>8.2538</v>
      </c>
      <c r="F837" s="1052">
        <f t="shared" si="130"/>
        <v>12.177</v>
      </c>
      <c r="G837" s="1052">
        <f t="shared" si="131"/>
        <v>6.1837999999999997</v>
      </c>
      <c r="H837" s="1047">
        <f t="shared" si="125"/>
        <v>8.2538</v>
      </c>
      <c r="I837" s="1048">
        <f t="shared" si="123"/>
        <v>7.1203566841939514E-2</v>
      </c>
      <c r="J837" s="1048">
        <f t="shared" si="126"/>
        <v>0.12093838824177333</v>
      </c>
      <c r="K837" s="1048">
        <f t="shared" si="127"/>
        <v>0.1</v>
      </c>
      <c r="L837" s="1048"/>
      <c r="N837" s="1051">
        <v>44019</v>
      </c>
      <c r="O837" s="1053">
        <v>8.8414999999999999</v>
      </c>
      <c r="P837" s="1053">
        <v>1.7547999999999999</v>
      </c>
      <c r="Q837" s="1053">
        <v>9.2406000000000006</v>
      </c>
      <c r="R837" s="1054">
        <f>'B. PE'!$U$23</f>
        <v>15.978235616082999</v>
      </c>
      <c r="S837" s="1054"/>
      <c r="T837" s="1054"/>
      <c r="V837" s="1051">
        <v>44019</v>
      </c>
      <c r="W837" s="198">
        <v>7.593</v>
      </c>
      <c r="X837" s="198">
        <v>0.53600000000000003</v>
      </c>
      <c r="Y837" s="198">
        <v>14.7013</v>
      </c>
      <c r="Z837" s="198">
        <v>0.33341999999999999</v>
      </c>
      <c r="AB837" s="1051">
        <v>43985</v>
      </c>
      <c r="AC837" s="198">
        <v>11.7196</v>
      </c>
      <c r="AD837" s="1053">
        <v>0.82799999999999996</v>
      </c>
      <c r="AE837" s="198">
        <v>6.8460000000000001</v>
      </c>
      <c r="AF837" s="198">
        <v>1.7090000000000001E-2</v>
      </c>
      <c r="AH837" s="1051">
        <v>43985</v>
      </c>
      <c r="AI837" s="198">
        <v>9.2992000000000008</v>
      </c>
      <c r="AJ837" s="198">
        <v>1.5506</v>
      </c>
      <c r="AK837" s="198">
        <v>5.0385999999999997</v>
      </c>
      <c r="AL837" s="198">
        <v>1.7770000000000001E-2</v>
      </c>
      <c r="AN837" s="1051">
        <v>43992</v>
      </c>
      <c r="AO837" s="198">
        <v>6.9294000000000002</v>
      </c>
      <c r="AP837" s="198">
        <v>0.70679999999999998</v>
      </c>
      <c r="AQ837" s="198">
        <v>3.5575999999999999</v>
      </c>
      <c r="AR837" s="198">
        <v>0.13825000000000001</v>
      </c>
      <c r="AT837" s="1051">
        <v>43985</v>
      </c>
      <c r="AU837" s="198">
        <v>7.4820000000000002</v>
      </c>
      <c r="AV837" s="198">
        <v>0.52139999999999997</v>
      </c>
      <c r="AX837" s="198">
        <v>0.11935999999999999</v>
      </c>
      <c r="BA837" s="1051">
        <v>43973</v>
      </c>
      <c r="BB837" s="198">
        <v>5.7451999999999996</v>
      </c>
      <c r="BC837" s="198">
        <v>1.0379</v>
      </c>
      <c r="BD837" s="198">
        <v>6.3452000000000002</v>
      </c>
      <c r="BE837" s="198">
        <v>0.23411999999999999</v>
      </c>
      <c r="BG837" s="1051">
        <v>43973</v>
      </c>
      <c r="BH837" s="198">
        <v>10.7014</v>
      </c>
      <c r="BI837" s="198">
        <v>1.5553999999999999</v>
      </c>
      <c r="BJ837" s="198">
        <v>15.4054</v>
      </c>
      <c r="BT837" s="1051">
        <v>44019</v>
      </c>
      <c r="BU837" s="198">
        <v>10.0275</v>
      </c>
      <c r="BV837" s="198">
        <v>2.6570999999999998</v>
      </c>
      <c r="BW837" s="198">
        <v>5.6369999999999996</v>
      </c>
      <c r="BX837" s="198">
        <v>1.1738</v>
      </c>
      <c r="BZ837" s="1051">
        <v>44019</v>
      </c>
      <c r="CA837" s="198">
        <v>26.728999999999999</v>
      </c>
      <c r="CB837" s="198">
        <v>1.4661</v>
      </c>
      <c r="CC837" s="198">
        <v>18.712299999999999</v>
      </c>
      <c r="CD837" s="198">
        <v>0.58592999999999995</v>
      </c>
      <c r="CF837" s="1051">
        <v>44018</v>
      </c>
      <c r="CG837" s="198">
        <v>5.9177</v>
      </c>
      <c r="CH837" s="198">
        <v>0.88400000000000001</v>
      </c>
      <c r="CI837" s="198">
        <v>14.5236</v>
      </c>
      <c r="CL837" s="1051">
        <v>44040</v>
      </c>
      <c r="CM837" s="198">
        <v>23.725999999999999</v>
      </c>
      <c r="CN837" s="198">
        <v>2.3163999999999998</v>
      </c>
      <c r="CO837" s="198">
        <v>9.9400999999999993</v>
      </c>
    </row>
    <row r="838" spans="1:93" s="198" customFormat="1">
      <c r="A838" s="1051">
        <v>44018</v>
      </c>
      <c r="B838" s="1052">
        <f t="shared" ref="B838:B901" si="132">O838</f>
        <v>8.7149000000000001</v>
      </c>
      <c r="C838" s="1052">
        <f t="shared" si="124"/>
        <v>7.7127999999999997</v>
      </c>
      <c r="D838" s="1052">
        <f t="shared" si="128"/>
        <v>9.6012000000000004</v>
      </c>
      <c r="E838" s="1052">
        <f t="shared" si="129"/>
        <v>8.3630999999999993</v>
      </c>
      <c r="F838" s="1052">
        <f t="shared" si="130"/>
        <v>12.177</v>
      </c>
      <c r="G838" s="1052">
        <f t="shared" si="131"/>
        <v>6.1837999999999997</v>
      </c>
      <c r="H838" s="1047">
        <f t="shared" si="125"/>
        <v>8.3630999999999993</v>
      </c>
      <c r="I838" s="1048">
        <f t="shared" ref="I838:I901" si="133">B838/H838-1</f>
        <v>4.2065741172531812E-2</v>
      </c>
      <c r="J838" s="1048">
        <f t="shared" si="126"/>
        <v>0.12093838824177333</v>
      </c>
      <c r="K838" s="1048">
        <f t="shared" si="127"/>
        <v>0.1</v>
      </c>
      <c r="L838" s="1048"/>
      <c r="N838" s="1051">
        <v>44018</v>
      </c>
      <c r="O838" s="1053">
        <v>8.7149000000000001</v>
      </c>
      <c r="P838" s="1053">
        <v>1.7297</v>
      </c>
      <c r="Q838" s="1053">
        <v>9.1252999999999993</v>
      </c>
      <c r="R838" s="1054">
        <f>'B. PE'!$U$23</f>
        <v>15.978235616082999</v>
      </c>
      <c r="S838" s="1054"/>
      <c r="T838" s="1054"/>
      <c r="V838" s="1051">
        <v>44018</v>
      </c>
      <c r="W838" s="198">
        <v>7.7127999999999997</v>
      </c>
      <c r="X838" s="198">
        <v>0.5444</v>
      </c>
      <c r="Y838" s="198">
        <v>14.7849</v>
      </c>
      <c r="Z838" s="198">
        <v>0.31159999999999999</v>
      </c>
      <c r="AB838" s="1051">
        <v>43984</v>
      </c>
      <c r="AC838" s="198">
        <v>11.4916</v>
      </c>
      <c r="AD838" s="1053">
        <v>0.81189999999999996</v>
      </c>
      <c r="AE838" s="198">
        <v>6.7645</v>
      </c>
      <c r="AF838" s="198">
        <v>1.7100000000000001E-2</v>
      </c>
      <c r="AH838" s="1051">
        <v>43984</v>
      </c>
      <c r="AI838" s="198">
        <v>9.3999000000000006</v>
      </c>
      <c r="AJ838" s="198">
        <v>1.5673999999999999</v>
      </c>
      <c r="AK838" s="198">
        <v>5.0875000000000004</v>
      </c>
      <c r="AL838" s="198">
        <v>1.7909999999999999E-2</v>
      </c>
      <c r="AN838" s="1051">
        <v>43991</v>
      </c>
      <c r="AO838" s="198">
        <v>6.7618</v>
      </c>
      <c r="AP838" s="198">
        <v>0.68969999999999998</v>
      </c>
      <c r="AQ838" s="198">
        <v>3.4232999999999998</v>
      </c>
      <c r="AR838" s="198">
        <v>0.13808999999999999</v>
      </c>
      <c r="AT838" s="1051">
        <v>43984</v>
      </c>
      <c r="AU838" s="198">
        <v>7.4100999999999999</v>
      </c>
      <c r="AV838" s="198">
        <v>0.51639999999999997</v>
      </c>
      <c r="AX838" s="198">
        <v>0.11723</v>
      </c>
      <c r="BA838" s="1051">
        <v>43972</v>
      </c>
      <c r="BB838" s="198">
        <v>5.7069000000000001</v>
      </c>
      <c r="BC838" s="198">
        <v>1.0309999999999999</v>
      </c>
      <c r="BD838" s="198">
        <v>6.3177000000000003</v>
      </c>
      <c r="BE838" s="198">
        <v>0.23374</v>
      </c>
      <c r="BG838" s="1051">
        <v>43972</v>
      </c>
      <c r="BH838" s="198">
        <v>11.052300000000001</v>
      </c>
      <c r="BI838" s="198">
        <v>1.6064000000000001</v>
      </c>
      <c r="BJ838" s="198">
        <v>15.712999999999999</v>
      </c>
      <c r="BT838" s="1051">
        <v>44018</v>
      </c>
      <c r="BU838" s="198">
        <v>10.003500000000001</v>
      </c>
      <c r="BV838" s="198">
        <v>2.6507000000000001</v>
      </c>
      <c r="BW838" s="198">
        <v>5.6238000000000001</v>
      </c>
      <c r="BX838" s="198">
        <v>1.175</v>
      </c>
      <c r="BZ838" s="1051">
        <v>44018</v>
      </c>
      <c r="CA838" s="198">
        <v>27.0075</v>
      </c>
      <c r="CB838" s="198">
        <v>1.4814000000000001</v>
      </c>
      <c r="CC838" s="198">
        <v>18.817900000000002</v>
      </c>
      <c r="CD838" s="198">
        <v>0.59082999999999997</v>
      </c>
      <c r="CF838" s="1051">
        <v>44015</v>
      </c>
      <c r="CG838" s="198">
        <v>5.6276000000000002</v>
      </c>
      <c r="CH838" s="198">
        <v>0.84060000000000001</v>
      </c>
      <c r="CI838" s="198">
        <v>14.372199999999999</v>
      </c>
      <c r="CL838" s="1051">
        <v>44039</v>
      </c>
      <c r="CM838" s="198">
        <v>23.8856</v>
      </c>
      <c r="CN838" s="198">
        <v>2.3319999999999999</v>
      </c>
      <c r="CO838" s="198">
        <v>10.0059</v>
      </c>
    </row>
    <row r="839" spans="1:93" s="198" customFormat="1">
      <c r="A839" s="1051">
        <v>44015</v>
      </c>
      <c r="B839" s="1052">
        <f t="shared" si="132"/>
        <v>8.8414999999999999</v>
      </c>
      <c r="C839" s="1052">
        <f t="shared" ref="C839:C902" si="134">IF(W839=0,W838,W839)</f>
        <v>7.3452000000000002</v>
      </c>
      <c r="D839" s="1052">
        <f t="shared" si="128"/>
        <v>9.6351999999999993</v>
      </c>
      <c r="E839" s="1052">
        <f t="shared" si="129"/>
        <v>8.3084000000000007</v>
      </c>
      <c r="F839" s="1052">
        <f t="shared" si="130"/>
        <v>12.2577</v>
      </c>
      <c r="G839" s="1052">
        <f t="shared" si="131"/>
        <v>6.2180999999999997</v>
      </c>
      <c r="H839" s="1047">
        <f t="shared" ref="H839:H902" si="135">MEDIAN(C839:G839)</f>
        <v>8.3084000000000007</v>
      </c>
      <c r="I839" s="1048">
        <f t="shared" si="133"/>
        <v>6.4163978624043105E-2</v>
      </c>
      <c r="J839" s="1048">
        <f t="shared" ref="J839:J902" si="136">$I$3</f>
        <v>0.12093838824177333</v>
      </c>
      <c r="K839" s="1048">
        <f t="shared" si="127"/>
        <v>0.1</v>
      </c>
      <c r="L839" s="1048"/>
      <c r="N839" s="1051">
        <v>44015</v>
      </c>
      <c r="O839" s="1053">
        <v>8.8414999999999999</v>
      </c>
      <c r="P839" s="1053">
        <v>1.7547999999999999</v>
      </c>
      <c r="Q839" s="1053">
        <v>9.2406000000000006</v>
      </c>
      <c r="R839" s="1054">
        <f>'B. PE'!$U$23</f>
        <v>15.978235616082999</v>
      </c>
      <c r="S839" s="1054"/>
      <c r="T839" s="1054"/>
      <c r="V839" s="1051">
        <v>44015</v>
      </c>
      <c r="W839" s="198">
        <v>7.3452000000000002</v>
      </c>
      <c r="X839" s="198">
        <v>0.51849999999999996</v>
      </c>
      <c r="Y839" s="198">
        <v>14.528499999999999</v>
      </c>
      <c r="Z839" s="198">
        <v>0.31922</v>
      </c>
      <c r="AB839" s="1051">
        <v>43980</v>
      </c>
      <c r="AC839" s="198">
        <v>11.446</v>
      </c>
      <c r="AD839" s="1053">
        <v>0.80869999999999997</v>
      </c>
      <c r="AE839" s="198">
        <v>6.7481999999999998</v>
      </c>
      <c r="AF839" s="198">
        <v>1.66E-2</v>
      </c>
      <c r="AH839" s="1051">
        <v>43980</v>
      </c>
      <c r="AI839" s="198">
        <v>8.7620000000000005</v>
      </c>
      <c r="AJ839" s="198">
        <v>1.4611000000000001</v>
      </c>
      <c r="AK839" s="198">
        <v>4.7777000000000003</v>
      </c>
      <c r="AL839" s="198">
        <v>1.8350000000000002E-2</v>
      </c>
      <c r="AN839" s="1051">
        <v>43987</v>
      </c>
      <c r="AO839" s="198">
        <v>6.5941000000000001</v>
      </c>
      <c r="AP839" s="198">
        <v>0.67259999999999998</v>
      </c>
      <c r="AQ839" s="198">
        <v>3.2890999999999999</v>
      </c>
      <c r="AR839" s="198">
        <v>0.14327999999999999</v>
      </c>
      <c r="AT839" s="1051">
        <v>43983</v>
      </c>
      <c r="AU839" s="198">
        <v>7.4100999999999999</v>
      </c>
      <c r="AV839" s="198">
        <v>0.51639999999999997</v>
      </c>
      <c r="AX839" s="198">
        <v>0.11953</v>
      </c>
      <c r="BA839" s="1051">
        <v>43971</v>
      </c>
      <c r="BB839" s="198">
        <v>5.7069000000000001</v>
      </c>
      <c r="BC839" s="198">
        <v>1.0309999999999999</v>
      </c>
      <c r="BD839" s="198">
        <v>6.3177000000000003</v>
      </c>
      <c r="BE839" s="198">
        <v>0.22642000000000001</v>
      </c>
      <c r="BG839" s="1051">
        <v>43971</v>
      </c>
      <c r="BH839" s="198">
        <v>11.4031</v>
      </c>
      <c r="BI839" s="198">
        <v>1.6574</v>
      </c>
      <c r="BJ839" s="198">
        <v>16.020600000000002</v>
      </c>
      <c r="BT839" s="1051">
        <v>44015</v>
      </c>
      <c r="BU839" s="198">
        <v>9.7879000000000005</v>
      </c>
      <c r="BV839" s="198">
        <v>2.5935999999999999</v>
      </c>
      <c r="BW839" s="198">
        <v>5.5052000000000003</v>
      </c>
      <c r="BX839" s="198">
        <v>1.1778999999999999</v>
      </c>
      <c r="BZ839" s="1051">
        <v>44015</v>
      </c>
      <c r="CA839" s="198">
        <v>26.116499999999998</v>
      </c>
      <c r="CB839" s="198">
        <v>1.4325000000000001</v>
      </c>
      <c r="CC839" s="198">
        <v>18.48</v>
      </c>
      <c r="CD839" s="198">
        <v>0.58708000000000005</v>
      </c>
      <c r="CF839" s="1051">
        <v>44014</v>
      </c>
      <c r="CG839" s="198">
        <v>5.6276000000000002</v>
      </c>
      <c r="CH839" s="198">
        <v>0.84060000000000001</v>
      </c>
      <c r="CI839" s="198">
        <v>14.372199999999999</v>
      </c>
      <c r="CL839" s="1051">
        <v>44036</v>
      </c>
      <c r="CM839" s="198">
        <v>23.765899999999998</v>
      </c>
      <c r="CN839" s="198">
        <v>2.3203</v>
      </c>
      <c r="CO839" s="198">
        <v>9.9565999999999999</v>
      </c>
    </row>
    <row r="840" spans="1:93" s="198" customFormat="1">
      <c r="A840" s="1051">
        <v>44014</v>
      </c>
      <c r="B840" s="1052">
        <f t="shared" si="132"/>
        <v>9.2002000000000006</v>
      </c>
      <c r="C840" s="1052">
        <f t="shared" si="134"/>
        <v>6.8655999999999997</v>
      </c>
      <c r="D840" s="1052">
        <f t="shared" si="128"/>
        <v>9.5330999999999992</v>
      </c>
      <c r="E840" s="1052">
        <f t="shared" si="129"/>
        <v>8.5271000000000008</v>
      </c>
      <c r="F840" s="1052">
        <f t="shared" si="130"/>
        <v>12.2577</v>
      </c>
      <c r="G840" s="1052">
        <f t="shared" si="131"/>
        <v>6.1494</v>
      </c>
      <c r="H840" s="1047">
        <f t="shared" si="135"/>
        <v>8.5271000000000008</v>
      </c>
      <c r="I840" s="1048">
        <f t="shared" si="133"/>
        <v>7.8936566945385866E-2</v>
      </c>
      <c r="J840" s="1048">
        <f t="shared" si="136"/>
        <v>0.12093838824177333</v>
      </c>
      <c r="K840" s="1048">
        <f t="shared" ref="K840:K903" si="137">K839</f>
        <v>0.1</v>
      </c>
      <c r="L840" s="1048"/>
      <c r="N840" s="1051">
        <v>44014</v>
      </c>
      <c r="O840" s="1053">
        <v>9.2002000000000006</v>
      </c>
      <c r="P840" s="1053">
        <v>1.8260000000000001</v>
      </c>
      <c r="Q840" s="1053">
        <v>9.5672999999999995</v>
      </c>
      <c r="R840" s="1054">
        <f>'B. PE'!$U$23</f>
        <v>15.978235616082999</v>
      </c>
      <c r="S840" s="1054"/>
      <c r="T840" s="1054"/>
      <c r="V840" s="1051">
        <v>44014</v>
      </c>
      <c r="W840" s="198">
        <v>6.8655999999999997</v>
      </c>
      <c r="X840" s="198">
        <v>0.48459999999999998</v>
      </c>
      <c r="Y840" s="198">
        <v>14.194000000000001</v>
      </c>
      <c r="Z840" s="198">
        <v>0.30227999999999999</v>
      </c>
      <c r="AB840" s="1051">
        <v>43979</v>
      </c>
      <c r="AC840" s="198">
        <v>11.4916</v>
      </c>
      <c r="AD840" s="1053">
        <v>0.81189999999999996</v>
      </c>
      <c r="AE840" s="198">
        <v>6.7645</v>
      </c>
      <c r="AF840" s="198">
        <v>1.567E-2</v>
      </c>
      <c r="AH840" s="1051">
        <v>43979</v>
      </c>
      <c r="AI840" s="198">
        <v>8.8627000000000002</v>
      </c>
      <c r="AJ840" s="198">
        <v>1.4779</v>
      </c>
      <c r="AK840" s="198">
        <v>4.8266</v>
      </c>
      <c r="AL840" s="198">
        <v>1.804E-2</v>
      </c>
      <c r="AN840" s="1051">
        <v>43986</v>
      </c>
      <c r="AO840" s="198">
        <v>6.5941000000000001</v>
      </c>
      <c r="AP840" s="198">
        <v>0.67259999999999998</v>
      </c>
      <c r="AQ840" s="198">
        <v>3.2890999999999999</v>
      </c>
      <c r="AR840" s="198">
        <v>0.14036999999999999</v>
      </c>
      <c r="AT840" s="1051">
        <v>43980</v>
      </c>
      <c r="AU840" s="198">
        <v>7.3380999999999998</v>
      </c>
      <c r="AV840" s="198">
        <v>0.51139999999999997</v>
      </c>
      <c r="AX840" s="198">
        <v>0.12642</v>
      </c>
      <c r="BA840" s="1051">
        <v>43970</v>
      </c>
      <c r="BB840" s="198">
        <v>5.7069000000000001</v>
      </c>
      <c r="BC840" s="198">
        <v>1.0309999999999999</v>
      </c>
      <c r="BD840" s="198">
        <v>6.3177000000000003</v>
      </c>
      <c r="BE840" s="198">
        <v>0.22617000000000001</v>
      </c>
      <c r="BG840" s="1051">
        <v>43970</v>
      </c>
      <c r="BH840" s="198">
        <v>11.4031</v>
      </c>
      <c r="BI840" s="198">
        <v>1.6574</v>
      </c>
      <c r="BJ840" s="198">
        <v>16.020600000000002</v>
      </c>
      <c r="BT840" s="1051">
        <v>44014</v>
      </c>
      <c r="BU840" s="198">
        <v>9.7998999999999992</v>
      </c>
      <c r="BV840" s="198">
        <v>2.5968</v>
      </c>
      <c r="BW840" s="198">
        <v>5.5118</v>
      </c>
      <c r="BX840" s="198">
        <v>1.1611</v>
      </c>
      <c r="BZ840" s="1051">
        <v>44014</v>
      </c>
      <c r="CA840" s="198">
        <v>26.339200000000002</v>
      </c>
      <c r="CB840" s="198">
        <v>1.4447000000000001</v>
      </c>
      <c r="CC840" s="198">
        <v>18.564499999999999</v>
      </c>
      <c r="CD840" s="198">
        <v>0.54981999999999998</v>
      </c>
      <c r="CF840" s="1051">
        <v>44013</v>
      </c>
      <c r="CG840" s="198">
        <v>5.6276000000000002</v>
      </c>
      <c r="CH840" s="198">
        <v>0.84060000000000001</v>
      </c>
      <c r="CI840" s="198">
        <v>14.372199999999999</v>
      </c>
      <c r="CL840" s="1051">
        <v>44035</v>
      </c>
      <c r="CM840" s="198">
        <v>24.244800000000001</v>
      </c>
      <c r="CN840" s="198">
        <v>2.3671000000000002</v>
      </c>
      <c r="CO840" s="198">
        <v>10.1538</v>
      </c>
    </row>
    <row r="841" spans="1:93" s="198" customFormat="1">
      <c r="A841" s="1051">
        <v>44013</v>
      </c>
      <c r="B841" s="1052">
        <f t="shared" si="132"/>
        <v>8.641</v>
      </c>
      <c r="C841" s="1052">
        <f t="shared" si="134"/>
        <v>7.0335000000000001</v>
      </c>
      <c r="D841" s="1052">
        <f t="shared" si="128"/>
        <v>9.6012000000000004</v>
      </c>
      <c r="E841" s="1052">
        <f t="shared" si="129"/>
        <v>8.0350999999999999</v>
      </c>
      <c r="F841" s="1052">
        <f t="shared" si="130"/>
        <v>12.177</v>
      </c>
      <c r="G841" s="1052">
        <f t="shared" si="131"/>
        <v>6.1837999999999997</v>
      </c>
      <c r="H841" s="1047">
        <f t="shared" si="135"/>
        <v>8.0350999999999999</v>
      </c>
      <c r="I841" s="1048">
        <f t="shared" si="133"/>
        <v>7.5406653308608407E-2</v>
      </c>
      <c r="J841" s="1048">
        <f t="shared" si="136"/>
        <v>0.12093838824177333</v>
      </c>
      <c r="K841" s="1048">
        <f t="shared" si="137"/>
        <v>0.1</v>
      </c>
      <c r="L841" s="1048"/>
      <c r="N841" s="1051">
        <v>44013</v>
      </c>
      <c r="O841" s="1053">
        <v>8.641</v>
      </c>
      <c r="P841" s="1053">
        <v>1.7150000000000001</v>
      </c>
      <c r="Q841" s="1053">
        <v>9.0579999999999998</v>
      </c>
      <c r="R841" s="1054">
        <f>'B. PE'!$U$23</f>
        <v>15.978235616082999</v>
      </c>
      <c r="S841" s="1054"/>
      <c r="T841" s="1054"/>
      <c r="V841" s="1051">
        <v>44013</v>
      </c>
      <c r="W841" s="198">
        <v>7.0335000000000001</v>
      </c>
      <c r="X841" s="198">
        <v>0.4965</v>
      </c>
      <c r="Y841" s="198">
        <v>14.3111</v>
      </c>
      <c r="Z841" s="198">
        <v>0.30234</v>
      </c>
      <c r="AB841" s="1051">
        <v>43978</v>
      </c>
      <c r="AC841" s="198">
        <v>11.218</v>
      </c>
      <c r="AD841" s="1053">
        <v>0.79259999999999997</v>
      </c>
      <c r="AE841" s="198">
        <v>6.6668000000000003</v>
      </c>
      <c r="AF841" s="198">
        <v>1.5429999999999999E-2</v>
      </c>
      <c r="AH841" s="1051">
        <v>43978</v>
      </c>
      <c r="AI841" s="198">
        <v>9.1312999999999995</v>
      </c>
      <c r="AJ841" s="198">
        <v>1.5226</v>
      </c>
      <c r="AK841" s="198">
        <v>4.9570999999999996</v>
      </c>
      <c r="AL841" s="198">
        <v>1.6650000000000002E-2</v>
      </c>
      <c r="AN841" s="1051">
        <v>43985</v>
      </c>
      <c r="AO841" s="198">
        <v>6.8177000000000003</v>
      </c>
      <c r="AP841" s="198">
        <v>0.69540000000000002</v>
      </c>
      <c r="AQ841" s="198">
        <v>3.4681000000000002</v>
      </c>
      <c r="AR841" s="198">
        <v>0.13442999999999999</v>
      </c>
      <c r="AT841" s="1051">
        <v>43979</v>
      </c>
      <c r="AU841" s="198">
        <v>7.4820000000000002</v>
      </c>
      <c r="AV841" s="198">
        <v>0.52139999999999997</v>
      </c>
      <c r="AX841" s="198">
        <v>0.11459</v>
      </c>
      <c r="BA841" s="1051">
        <v>43969</v>
      </c>
      <c r="BB841" s="198">
        <v>5.5537000000000001</v>
      </c>
      <c r="BC841" s="198">
        <v>1.0033000000000001</v>
      </c>
      <c r="BD841" s="198">
        <v>6.2077</v>
      </c>
      <c r="BE841" s="198">
        <v>0.22599</v>
      </c>
      <c r="BG841" s="1051">
        <v>43969</v>
      </c>
      <c r="BH841" s="198">
        <v>11.14</v>
      </c>
      <c r="BI841" s="198">
        <v>1.6192</v>
      </c>
      <c r="BJ841" s="198">
        <v>15.789899999999999</v>
      </c>
      <c r="BT841" s="1051">
        <v>44013</v>
      </c>
      <c r="BU841" s="198">
        <v>9.8238000000000003</v>
      </c>
      <c r="BV841" s="198">
        <v>2.6031</v>
      </c>
      <c r="BW841" s="198">
        <v>5.5250000000000004</v>
      </c>
      <c r="BX841" s="198">
        <v>1.1714</v>
      </c>
      <c r="BZ841" s="1051">
        <v>44013</v>
      </c>
      <c r="CA841" s="198">
        <v>26.1722</v>
      </c>
      <c r="CB841" s="198">
        <v>1.4356</v>
      </c>
      <c r="CC841" s="198">
        <v>18.501100000000001</v>
      </c>
      <c r="CD841" s="198">
        <v>0.55740999999999996</v>
      </c>
      <c r="CF841" s="1051">
        <v>44012</v>
      </c>
      <c r="CI841" s="198">
        <v>14.3116</v>
      </c>
      <c r="CL841" s="1051">
        <v>44034</v>
      </c>
      <c r="CM841" s="198">
        <v>24.3446</v>
      </c>
      <c r="CN841" s="198">
        <v>2.3767999999999998</v>
      </c>
      <c r="CO841" s="198">
        <v>10.194800000000001</v>
      </c>
    </row>
    <row r="842" spans="1:93" s="198" customFormat="1">
      <c r="A842" s="1051">
        <v>44012</v>
      </c>
      <c r="B842" s="1052">
        <f t="shared" si="132"/>
        <v>8.0817999999999994</v>
      </c>
      <c r="C842" s="1052">
        <f t="shared" si="134"/>
        <v>6.6577999999999999</v>
      </c>
      <c r="D842" s="1052">
        <f t="shared" ref="D842:D905" si="138">IFERROR(          IF(VLOOKUP(A842,$AH$5:$AI$1301,2,)=0,D841,VLOOKUP(A842,$AH$5:$AI$1301,2,)),D841)</f>
        <v>8.8180999999999994</v>
      </c>
      <c r="E842" s="1052">
        <f t="shared" ref="E842:E905" si="139">IFERROR(IF(VLOOKUP(A842,$AN$5:$AO$1301,2,)=0, E841, VLOOKUP(A842,$AN$5:$AO$1301,2,)),E841)</f>
        <v>8.0350999999999999</v>
      </c>
      <c r="F842" s="1052">
        <f t="shared" ref="F842:F905" si="140">IFERROR(IF(VLOOKUP(A842,$BG$5:$BH$1301,2,)=0,F841,VLOOKUP(A842,$BG$5:$BH$1301,2,)),F841)</f>
        <v>12.2577</v>
      </c>
      <c r="G842" s="1052">
        <f t="shared" ref="G842:G905" si="141">IFERROR(IF(VLOOKUP(A842,$BA$5:$BB$1301,2,)=0,G841,VLOOKUP(A842,$BA$5:$BB$1301,2,)),G841)</f>
        <v>5.7370999999999999</v>
      </c>
      <c r="H842" s="1047">
        <f t="shared" si="135"/>
        <v>8.0350999999999999</v>
      </c>
      <c r="I842" s="1048">
        <f t="shared" si="133"/>
        <v>5.8119998506551696E-3</v>
      </c>
      <c r="J842" s="1048">
        <f t="shared" si="136"/>
        <v>0.12093838824177333</v>
      </c>
      <c r="K842" s="1048">
        <f t="shared" si="137"/>
        <v>0.1</v>
      </c>
      <c r="L842" s="1048"/>
      <c r="N842" s="1051">
        <v>44012</v>
      </c>
      <c r="O842" s="1053">
        <v>8.0817999999999994</v>
      </c>
      <c r="P842" s="1053">
        <v>1.6040000000000001</v>
      </c>
      <c r="Q842" s="1053">
        <v>8.5487000000000002</v>
      </c>
      <c r="R842" s="1054">
        <f>'B. PE'!$U$23</f>
        <v>15.978235616082999</v>
      </c>
      <c r="S842" s="1054"/>
      <c r="T842" s="1054"/>
      <c r="V842" s="1051">
        <v>44012</v>
      </c>
      <c r="W842" s="198">
        <v>6.6577999999999999</v>
      </c>
      <c r="X842" s="198">
        <v>0.47</v>
      </c>
      <c r="Y842" s="198">
        <v>14.049099999999999</v>
      </c>
      <c r="Z842" s="198">
        <v>0.31946999999999998</v>
      </c>
      <c r="AB842" s="1051">
        <v>43977</v>
      </c>
      <c r="AC842" s="198">
        <v>10.534000000000001</v>
      </c>
      <c r="AD842" s="1053">
        <v>0.74429999999999996</v>
      </c>
      <c r="AE842" s="198">
        <v>6.4225000000000003</v>
      </c>
      <c r="AF842" s="198">
        <v>1.584E-2</v>
      </c>
      <c r="AH842" s="1051">
        <v>43977</v>
      </c>
      <c r="AI842" s="198">
        <v>8.9298999999999999</v>
      </c>
      <c r="AJ842" s="198">
        <v>1.4891000000000001</v>
      </c>
      <c r="AK842" s="198">
        <v>4.8592000000000004</v>
      </c>
      <c r="AL842" s="198">
        <v>1.6250000000000001E-2</v>
      </c>
      <c r="AN842" s="1051">
        <v>43984</v>
      </c>
      <c r="AO842" s="198">
        <v>6.7058999999999997</v>
      </c>
      <c r="AP842" s="198">
        <v>0.68400000000000005</v>
      </c>
      <c r="AQ842" s="198">
        <v>3.3786</v>
      </c>
      <c r="AR842" s="198">
        <v>0.12987000000000001</v>
      </c>
      <c r="AT842" s="1051">
        <v>43978</v>
      </c>
      <c r="AU842" s="198">
        <v>7.9137000000000004</v>
      </c>
      <c r="AV842" s="198">
        <v>0.55149999999999999</v>
      </c>
      <c r="AX842" s="198">
        <v>0.11504</v>
      </c>
      <c r="BA842" s="1051">
        <v>43966</v>
      </c>
      <c r="BB842" s="198">
        <v>5.5537000000000001</v>
      </c>
      <c r="BC842" s="198">
        <v>1.0033000000000001</v>
      </c>
      <c r="BD842" s="198">
        <v>6.2077</v>
      </c>
      <c r="BE842" s="198">
        <v>0.22758</v>
      </c>
      <c r="BG842" s="1051">
        <v>43966</v>
      </c>
      <c r="BH842" s="198">
        <v>10.964499999999999</v>
      </c>
      <c r="BI842" s="198">
        <v>1.5936999999999999</v>
      </c>
      <c r="BJ842" s="198">
        <v>15.636100000000001</v>
      </c>
      <c r="BT842" s="1051">
        <v>44012</v>
      </c>
      <c r="BU842" s="198">
        <v>9.6800999999999995</v>
      </c>
      <c r="BV842" s="198">
        <v>2.5649999999999999</v>
      </c>
      <c r="BW842" s="198">
        <v>5.4459</v>
      </c>
      <c r="BX842" s="198">
        <v>1.2091000000000001</v>
      </c>
      <c r="BZ842" s="1051">
        <v>44012</v>
      </c>
      <c r="CA842" s="198">
        <v>24.5016</v>
      </c>
      <c r="CB842" s="198">
        <v>1.3439000000000001</v>
      </c>
      <c r="CC842" s="198">
        <v>17.867599999999999</v>
      </c>
      <c r="CD842" s="198">
        <v>0.59187000000000001</v>
      </c>
      <c r="CF842" s="1051">
        <v>44011</v>
      </c>
      <c r="CG842" s="198">
        <v>5.3231000000000002</v>
      </c>
      <c r="CH842" s="198">
        <v>0.85429999999999995</v>
      </c>
      <c r="CI842" s="198">
        <v>13.4892</v>
      </c>
      <c r="CL842" s="1051">
        <v>44033</v>
      </c>
      <c r="CM842" s="198">
        <v>24.244800000000001</v>
      </c>
      <c r="CN842" s="198">
        <v>2.3671000000000002</v>
      </c>
      <c r="CO842" s="198">
        <v>10.1538</v>
      </c>
    </row>
    <row r="843" spans="1:93" s="198" customFormat="1">
      <c r="A843" s="1051">
        <v>44011</v>
      </c>
      <c r="B843" s="1052">
        <f t="shared" si="132"/>
        <v>8.0187000000000008</v>
      </c>
      <c r="C843" s="1052">
        <f t="shared" si="134"/>
        <v>6.2366000000000001</v>
      </c>
      <c r="D843" s="1052">
        <f t="shared" si="138"/>
        <v>8.9298999999999999</v>
      </c>
      <c r="E843" s="1052">
        <f t="shared" si="139"/>
        <v>8.3264999999999993</v>
      </c>
      <c r="F843" s="1052">
        <f t="shared" si="140"/>
        <v>13.157500000000001</v>
      </c>
      <c r="G843" s="1052">
        <f t="shared" si="141"/>
        <v>6.3581000000000003</v>
      </c>
      <c r="H843" s="1047">
        <f t="shared" si="135"/>
        <v>8.3264999999999993</v>
      </c>
      <c r="I843" s="1048">
        <f t="shared" si="133"/>
        <v>-3.6966312376148225E-2</v>
      </c>
      <c r="J843" s="1048">
        <f t="shared" si="136"/>
        <v>0.12093838824177333</v>
      </c>
      <c r="K843" s="1048">
        <f t="shared" si="137"/>
        <v>0.1</v>
      </c>
      <c r="L843" s="1048"/>
      <c r="N843" s="1051">
        <v>44011</v>
      </c>
      <c r="O843" s="1053">
        <v>8.0187000000000008</v>
      </c>
      <c r="P843" s="1053">
        <v>1.5495000000000001</v>
      </c>
      <c r="Q843" s="1053">
        <v>8.6138999999999992</v>
      </c>
      <c r="R843" s="1054">
        <f>'B. PE'!$U$23</f>
        <v>15.978235616082999</v>
      </c>
      <c r="S843" s="1054"/>
      <c r="T843" s="1054"/>
      <c r="V843" s="1051">
        <v>44011</v>
      </c>
      <c r="W843" s="198">
        <v>6.2366000000000001</v>
      </c>
      <c r="X843" s="198">
        <v>0.45960000000000001</v>
      </c>
      <c r="Y843" s="198">
        <v>12.1389</v>
      </c>
      <c r="Z843" s="198">
        <v>0.33310000000000001</v>
      </c>
      <c r="AB843" s="1051">
        <v>43971</v>
      </c>
      <c r="AC843" s="198">
        <v>10.351599999999999</v>
      </c>
      <c r="AD843" s="1053">
        <v>0.73140000000000005</v>
      </c>
      <c r="AE843" s="198">
        <v>6.3573000000000004</v>
      </c>
      <c r="AF843" s="198">
        <v>1.6230000000000001E-2</v>
      </c>
      <c r="AH843" s="1051">
        <v>43971</v>
      </c>
      <c r="AI843" s="198">
        <v>8.2248999999999999</v>
      </c>
      <c r="AJ843" s="198">
        <v>1.3714999999999999</v>
      </c>
      <c r="AK843" s="198">
        <v>4.5167000000000002</v>
      </c>
      <c r="AL843" s="198">
        <v>1.61E-2</v>
      </c>
      <c r="AN843" s="1051">
        <v>43983</v>
      </c>
      <c r="AO843" s="198">
        <v>6.4824000000000002</v>
      </c>
      <c r="AP843" s="198">
        <v>0.66120000000000001</v>
      </c>
      <c r="AQ843" s="198">
        <v>3.1995</v>
      </c>
      <c r="AR843" s="198">
        <v>0.13447000000000001</v>
      </c>
      <c r="AT843" s="1051">
        <v>43973</v>
      </c>
      <c r="AU843" s="198">
        <v>7.1942000000000004</v>
      </c>
      <c r="AV843" s="198">
        <v>0.50139999999999996</v>
      </c>
      <c r="AX843" s="198">
        <v>0.11267000000000001</v>
      </c>
      <c r="BA843" s="1051">
        <v>43965</v>
      </c>
      <c r="BB843" s="198">
        <v>5.5537000000000001</v>
      </c>
      <c r="BC843" s="198">
        <v>1.0033000000000001</v>
      </c>
      <c r="BD843" s="198">
        <v>6.2077</v>
      </c>
      <c r="BE843" s="198">
        <v>0.20866000000000001</v>
      </c>
      <c r="BG843" s="1051">
        <v>43965</v>
      </c>
      <c r="BH843" s="198">
        <v>10.876799999999999</v>
      </c>
      <c r="BI843" s="198">
        <v>1.5809</v>
      </c>
      <c r="BJ843" s="198">
        <v>15.559200000000001</v>
      </c>
      <c r="BT843" s="1051">
        <v>44011</v>
      </c>
      <c r="BU843" s="198">
        <v>9.2530000000000001</v>
      </c>
      <c r="BV843" s="198">
        <v>2.7602000000000002</v>
      </c>
      <c r="BW843" s="198">
        <v>6.0772000000000004</v>
      </c>
      <c r="BX843" s="198">
        <v>1.2013</v>
      </c>
      <c r="BZ843" s="1051">
        <v>44011</v>
      </c>
      <c r="CA843" s="198">
        <v>9.4760000000000009</v>
      </c>
      <c r="CB843" s="198">
        <v>1.3439000000000001</v>
      </c>
      <c r="CC843" s="198">
        <v>13.36</v>
      </c>
      <c r="CD843" s="198">
        <v>0.59975000000000001</v>
      </c>
      <c r="CF843" s="1051">
        <v>44008</v>
      </c>
      <c r="CG843" s="198">
        <v>5.3792</v>
      </c>
      <c r="CH843" s="198">
        <v>0.86319999999999997</v>
      </c>
      <c r="CI843" s="198">
        <v>13.517200000000001</v>
      </c>
      <c r="CL843" s="1051">
        <v>44032</v>
      </c>
      <c r="CM843" s="198">
        <v>24.065200000000001</v>
      </c>
      <c r="CN843" s="198">
        <v>2.3494999999999999</v>
      </c>
      <c r="CO843" s="198">
        <v>10.079800000000001</v>
      </c>
    </row>
    <row r="844" spans="1:93" s="198" customFormat="1">
      <c r="A844" s="1051">
        <v>44008</v>
      </c>
      <c r="B844" s="1052">
        <f t="shared" si="132"/>
        <v>8.5563000000000002</v>
      </c>
      <c r="C844" s="1052">
        <f t="shared" si="134"/>
        <v>6.5960000000000001</v>
      </c>
      <c r="D844" s="1052">
        <f t="shared" si="138"/>
        <v>8.8627000000000002</v>
      </c>
      <c r="E844" s="1052">
        <f t="shared" si="139"/>
        <v>8.4940999999999995</v>
      </c>
      <c r="F844" s="1052">
        <f t="shared" si="140"/>
        <v>13.3329</v>
      </c>
      <c r="G844" s="1052">
        <f t="shared" si="141"/>
        <v>6.4347000000000003</v>
      </c>
      <c r="H844" s="1047">
        <f t="shared" si="135"/>
        <v>8.4940999999999995</v>
      </c>
      <c r="I844" s="1048">
        <f t="shared" si="133"/>
        <v>7.3227298948683739E-3</v>
      </c>
      <c r="J844" s="1048">
        <f t="shared" si="136"/>
        <v>0.12093838824177333</v>
      </c>
      <c r="K844" s="1048">
        <f t="shared" si="137"/>
        <v>0.1</v>
      </c>
      <c r="L844" s="1048"/>
      <c r="N844" s="1051">
        <v>44008</v>
      </c>
      <c r="O844" s="1053">
        <v>8.5563000000000002</v>
      </c>
      <c r="P844" s="1053">
        <v>1.6534</v>
      </c>
      <c r="Q844" s="1053">
        <v>9.0670000000000002</v>
      </c>
      <c r="R844" s="1054">
        <f>'B. PE'!$U$23</f>
        <v>15.978235616082999</v>
      </c>
      <c r="S844" s="1054"/>
      <c r="T844" s="1054"/>
      <c r="V844" s="1051">
        <v>44008</v>
      </c>
      <c r="W844" s="198">
        <v>6.5960000000000001</v>
      </c>
      <c r="X844" s="198">
        <v>0.48599999999999999</v>
      </c>
      <c r="Y844" s="198">
        <v>12.379099999999999</v>
      </c>
      <c r="Z844" s="198">
        <v>0.34390999999999999</v>
      </c>
      <c r="AB844" s="1051">
        <v>43970</v>
      </c>
      <c r="AC844" s="198">
        <v>10.6708</v>
      </c>
      <c r="AD844" s="1053">
        <v>0.75390000000000001</v>
      </c>
      <c r="AE844" s="198">
        <v>6.4714</v>
      </c>
      <c r="AF844" s="198">
        <v>1.4789999999999999E-2</v>
      </c>
      <c r="AH844" s="1051">
        <v>43970</v>
      </c>
      <c r="AI844" s="198">
        <v>8.0570000000000004</v>
      </c>
      <c r="AJ844" s="198">
        <v>1.3434999999999999</v>
      </c>
      <c r="AK844" s="198">
        <v>4.4352</v>
      </c>
      <c r="AL844" s="198">
        <v>1.5869999999999999E-2</v>
      </c>
      <c r="AN844" s="1051">
        <v>43980</v>
      </c>
      <c r="AO844" s="198">
        <v>6.3147000000000002</v>
      </c>
      <c r="AP844" s="198">
        <v>0.64410000000000001</v>
      </c>
      <c r="AQ844" s="198">
        <v>3.0653000000000001</v>
      </c>
      <c r="AR844" s="198">
        <v>0.14021</v>
      </c>
      <c r="AT844" s="1051">
        <v>43972</v>
      </c>
      <c r="AU844" s="198">
        <v>7.1942000000000004</v>
      </c>
      <c r="AV844" s="198">
        <v>0.50139999999999996</v>
      </c>
      <c r="AX844" s="198">
        <v>0.11117</v>
      </c>
      <c r="BA844" s="1051">
        <v>43964</v>
      </c>
      <c r="BB844" s="198">
        <v>5.5919999999999996</v>
      </c>
      <c r="BC844" s="198">
        <v>1.0102</v>
      </c>
      <c r="BD844" s="198">
        <v>6.2351999999999999</v>
      </c>
      <c r="BE844" s="198">
        <v>0.20673</v>
      </c>
      <c r="BG844" s="1051">
        <v>43964</v>
      </c>
      <c r="BH844" s="198">
        <v>11.2277</v>
      </c>
      <c r="BI844" s="198">
        <v>1.6318999999999999</v>
      </c>
      <c r="BJ844" s="198">
        <v>15.8668</v>
      </c>
      <c r="BT844" s="1051">
        <v>44008</v>
      </c>
      <c r="BU844" s="198">
        <v>9.5594999999999999</v>
      </c>
      <c r="BV844" s="198">
        <v>2.8515999999999999</v>
      </c>
      <c r="BW844" s="198">
        <v>6.2564000000000002</v>
      </c>
      <c r="BX844" s="198">
        <v>1.2211000000000001</v>
      </c>
      <c r="BZ844" s="1051">
        <v>44008</v>
      </c>
      <c r="CA844" s="198">
        <v>10.0709</v>
      </c>
      <c r="CB844" s="198">
        <v>1.4281999999999999</v>
      </c>
      <c r="CC844" s="198">
        <v>13.7117</v>
      </c>
      <c r="CD844" s="198">
        <v>0.60211999999999999</v>
      </c>
      <c r="CF844" s="1051">
        <v>44007</v>
      </c>
      <c r="CG844" s="198">
        <v>5.3231000000000002</v>
      </c>
      <c r="CH844" s="198">
        <v>0.85429999999999995</v>
      </c>
      <c r="CI844" s="198">
        <v>13.4892</v>
      </c>
      <c r="CL844" s="1051">
        <v>44029</v>
      </c>
      <c r="CM844" s="198">
        <v>24.045200000000001</v>
      </c>
      <c r="CN844" s="198">
        <v>2.3475999999999999</v>
      </c>
      <c r="CO844" s="198">
        <v>10.0716</v>
      </c>
    </row>
    <row r="845" spans="1:93" s="198" customFormat="1">
      <c r="A845" s="1051">
        <v>44007</v>
      </c>
      <c r="B845" s="1052">
        <f t="shared" si="132"/>
        <v>8.7802000000000007</v>
      </c>
      <c r="C845" s="1052">
        <f t="shared" si="134"/>
        <v>6.8730000000000002</v>
      </c>
      <c r="D845" s="1052">
        <f t="shared" si="138"/>
        <v>8.7285000000000004</v>
      </c>
      <c r="E845" s="1052">
        <f t="shared" si="139"/>
        <v>8.3264999999999993</v>
      </c>
      <c r="F845" s="1052">
        <f t="shared" si="140"/>
        <v>13.245200000000001</v>
      </c>
      <c r="G845" s="1052">
        <f t="shared" si="141"/>
        <v>6.2431999999999999</v>
      </c>
      <c r="H845" s="1047">
        <f t="shared" si="135"/>
        <v>8.3264999999999993</v>
      </c>
      <c r="I845" s="1048">
        <f t="shared" si="133"/>
        <v>5.448868071818902E-2</v>
      </c>
      <c r="J845" s="1048">
        <f t="shared" si="136"/>
        <v>0.12093838824177333</v>
      </c>
      <c r="K845" s="1048">
        <f t="shared" si="137"/>
        <v>0.1</v>
      </c>
      <c r="L845" s="1048"/>
      <c r="N845" s="1051">
        <v>44007</v>
      </c>
      <c r="O845" s="1053">
        <v>8.7802000000000007</v>
      </c>
      <c r="P845" s="1053">
        <v>1.6967000000000001</v>
      </c>
      <c r="Q845" s="1053">
        <v>9.2556999999999992</v>
      </c>
      <c r="R845" s="1054">
        <f>'B. PE'!$U$23</f>
        <v>15.978235616082999</v>
      </c>
      <c r="S845" s="1054"/>
      <c r="T845" s="1054"/>
      <c r="V845" s="1051">
        <v>44007</v>
      </c>
      <c r="W845" s="198">
        <v>6.8730000000000002</v>
      </c>
      <c r="X845" s="198">
        <v>0.50649999999999995</v>
      </c>
      <c r="Y845" s="198">
        <v>12.5642</v>
      </c>
      <c r="Z845" s="198">
        <v>0.32650000000000001</v>
      </c>
      <c r="AB845" s="1051">
        <v>43969</v>
      </c>
      <c r="AC845" s="198">
        <v>10.9444</v>
      </c>
      <c r="AD845" s="1053">
        <v>0.77329999999999999</v>
      </c>
      <c r="AE845" s="198">
        <v>6.5690999999999997</v>
      </c>
      <c r="AF845" s="198">
        <v>1.4919999999999999E-2</v>
      </c>
      <c r="AH845" s="1051">
        <v>43969</v>
      </c>
      <c r="AI845" s="198">
        <v>7.9898999999999996</v>
      </c>
      <c r="AJ845" s="198">
        <v>1.3323</v>
      </c>
      <c r="AK845" s="198">
        <v>4.4025999999999996</v>
      </c>
      <c r="AL845" s="198">
        <v>1.5789999999999998E-2</v>
      </c>
      <c r="AN845" s="1051">
        <v>43979</v>
      </c>
      <c r="AO845" s="198">
        <v>6.5381999999999998</v>
      </c>
      <c r="AP845" s="198">
        <v>0.66690000000000005</v>
      </c>
      <c r="AQ845" s="198">
        <v>3.2443</v>
      </c>
      <c r="AR845" s="198">
        <v>0.14208999999999999</v>
      </c>
      <c r="AT845" s="1051">
        <v>43971</v>
      </c>
      <c r="AU845" s="198">
        <v>7.0503999999999998</v>
      </c>
      <c r="AV845" s="198">
        <v>0.49130000000000001</v>
      </c>
      <c r="AX845" s="198">
        <v>0.11083999999999999</v>
      </c>
      <c r="BA845" s="1051">
        <v>43963</v>
      </c>
      <c r="BB845" s="198">
        <v>5.1323999999999996</v>
      </c>
      <c r="BC845" s="198">
        <v>0.92720000000000002</v>
      </c>
      <c r="BD845" s="198">
        <v>5.9050000000000002</v>
      </c>
      <c r="BE845" s="198">
        <v>0.19878000000000001</v>
      </c>
      <c r="BG845" s="1051">
        <v>43963</v>
      </c>
      <c r="BH845" s="198">
        <v>10.7014</v>
      </c>
      <c r="BI845" s="198">
        <v>1.5553999999999999</v>
      </c>
      <c r="BJ845" s="198">
        <v>15.4054</v>
      </c>
      <c r="BT845" s="1051">
        <v>44007</v>
      </c>
      <c r="BU845" s="198">
        <v>9.4914000000000005</v>
      </c>
      <c r="BV845" s="198">
        <v>2.8313000000000001</v>
      </c>
      <c r="BW845" s="198">
        <v>6.2165999999999997</v>
      </c>
      <c r="BX845" s="198">
        <v>1.2254</v>
      </c>
      <c r="BZ845" s="1051">
        <v>44007</v>
      </c>
      <c r="CA845" s="198">
        <v>10.198399999999999</v>
      </c>
      <c r="CB845" s="198">
        <v>1.4462999999999999</v>
      </c>
      <c r="CC845" s="198">
        <v>13.787000000000001</v>
      </c>
      <c r="CD845" s="198">
        <v>0.62834999999999996</v>
      </c>
      <c r="CF845" s="1051">
        <v>44006</v>
      </c>
      <c r="CG845" s="198">
        <v>5.3792</v>
      </c>
      <c r="CH845" s="198">
        <v>0.86319999999999997</v>
      </c>
      <c r="CI845" s="198">
        <v>13.517200000000001</v>
      </c>
      <c r="CL845" s="1051">
        <v>44028</v>
      </c>
      <c r="CM845" s="198">
        <v>24.643899999999999</v>
      </c>
      <c r="CN845" s="198">
        <v>2.4060000000000001</v>
      </c>
      <c r="CO845" s="198">
        <v>10.318099999999999</v>
      </c>
    </row>
    <row r="846" spans="1:93" s="198" customFormat="1">
      <c r="A846" s="1051">
        <v>44006</v>
      </c>
      <c r="B846" s="1052">
        <f t="shared" si="132"/>
        <v>8.6682000000000006</v>
      </c>
      <c r="C846" s="1052">
        <f t="shared" si="134"/>
        <v>7.0975999999999999</v>
      </c>
      <c r="D846" s="1052">
        <f t="shared" si="138"/>
        <v>8.9298999999999999</v>
      </c>
      <c r="E846" s="1052">
        <f t="shared" si="139"/>
        <v>8.2706</v>
      </c>
      <c r="F846" s="1052">
        <f t="shared" si="140"/>
        <v>13.5083</v>
      </c>
      <c r="G846" s="1052">
        <f t="shared" si="141"/>
        <v>6.3197999999999999</v>
      </c>
      <c r="H846" s="1047">
        <f t="shared" si="135"/>
        <v>8.2706</v>
      </c>
      <c r="I846" s="1048">
        <f t="shared" si="133"/>
        <v>4.8073900321621288E-2</v>
      </c>
      <c r="J846" s="1048">
        <f t="shared" si="136"/>
        <v>0.12093838824177333</v>
      </c>
      <c r="K846" s="1048">
        <f t="shared" si="137"/>
        <v>0.1</v>
      </c>
      <c r="L846" s="1048"/>
      <c r="N846" s="1051">
        <v>44006</v>
      </c>
      <c r="O846" s="1053">
        <v>8.6682000000000006</v>
      </c>
      <c r="P846" s="1053">
        <v>1.6751</v>
      </c>
      <c r="Q846" s="1053">
        <v>9.1614000000000004</v>
      </c>
      <c r="R846" s="1054">
        <f>'B. PE'!$U$23</f>
        <v>15.978235616082999</v>
      </c>
      <c r="S846" s="1054"/>
      <c r="T846" s="1054"/>
      <c r="V846" s="1051">
        <v>44006</v>
      </c>
      <c r="W846" s="198">
        <v>7.0975999999999999</v>
      </c>
      <c r="X846" s="198">
        <v>0.52300000000000002</v>
      </c>
      <c r="Y846" s="198">
        <v>12.7143</v>
      </c>
      <c r="Z846" s="198">
        <v>0.30714000000000002</v>
      </c>
      <c r="AB846" s="1051">
        <v>43966</v>
      </c>
      <c r="AC846" s="198">
        <v>10.032299999999999</v>
      </c>
      <c r="AD846" s="1053">
        <v>0.70879999999999999</v>
      </c>
      <c r="AE846" s="198">
        <v>6.2432999999999996</v>
      </c>
      <c r="AF846" s="198">
        <v>1.5699999999999999E-2</v>
      </c>
      <c r="AH846" s="1051">
        <v>43966</v>
      </c>
      <c r="AI846" s="198">
        <v>7.9227999999999996</v>
      </c>
      <c r="AJ846" s="198">
        <v>1.3210999999999999</v>
      </c>
      <c r="AK846" s="198">
        <v>4.37</v>
      </c>
      <c r="AL846" s="198">
        <v>1.5900000000000001E-2</v>
      </c>
      <c r="AN846" s="1051">
        <v>43978</v>
      </c>
      <c r="AO846" s="198">
        <v>6.8177000000000003</v>
      </c>
      <c r="AP846" s="198">
        <v>0.69540000000000002</v>
      </c>
      <c r="AQ846" s="198">
        <v>3.4681000000000002</v>
      </c>
      <c r="AR846" s="198">
        <v>0.14379</v>
      </c>
      <c r="AT846" s="1051">
        <v>43969</v>
      </c>
      <c r="AU846" s="198">
        <v>6.9783999999999997</v>
      </c>
      <c r="AV846" s="198">
        <v>0.48630000000000001</v>
      </c>
      <c r="AX846" s="198">
        <v>0.11323</v>
      </c>
      <c r="BA846" s="1051">
        <v>43962</v>
      </c>
      <c r="BB846" s="198">
        <v>5.0941000000000001</v>
      </c>
      <c r="BC846" s="198">
        <v>0.92020000000000002</v>
      </c>
      <c r="BD846" s="198">
        <v>5.8775000000000004</v>
      </c>
      <c r="BE846" s="198">
        <v>0.19778999999999999</v>
      </c>
      <c r="BG846" s="1051">
        <v>43962</v>
      </c>
      <c r="BH846" s="198">
        <v>10.7014</v>
      </c>
      <c r="BI846" s="198">
        <v>1.5553999999999999</v>
      </c>
      <c r="BJ846" s="198">
        <v>15.4054</v>
      </c>
      <c r="BT846" s="1051">
        <v>44006</v>
      </c>
      <c r="BU846" s="198">
        <v>9.6503999999999994</v>
      </c>
      <c r="BV846" s="198">
        <v>2.8786999999999998</v>
      </c>
      <c r="BW846" s="198">
        <v>6.3094999999999999</v>
      </c>
      <c r="BX846" s="198">
        <v>1.2335</v>
      </c>
      <c r="BZ846" s="1051">
        <v>44006</v>
      </c>
      <c r="CA846" s="198">
        <v>10.2409</v>
      </c>
      <c r="CB846" s="198">
        <v>1.4522999999999999</v>
      </c>
      <c r="CC846" s="198">
        <v>13.812099999999999</v>
      </c>
      <c r="CD846" s="198">
        <v>0.63682000000000005</v>
      </c>
      <c r="CF846" s="1051">
        <v>44005</v>
      </c>
      <c r="CG846" s="198">
        <v>5.3231000000000002</v>
      </c>
      <c r="CH846" s="198">
        <v>0.85429999999999995</v>
      </c>
      <c r="CI846" s="198">
        <v>13.4892</v>
      </c>
      <c r="CL846" s="1051">
        <v>44027</v>
      </c>
      <c r="CM846" s="198">
        <v>24.464300000000001</v>
      </c>
      <c r="CN846" s="198">
        <v>2.3885000000000001</v>
      </c>
      <c r="CO846" s="198">
        <v>10.2441</v>
      </c>
    </row>
    <row r="847" spans="1:93" s="198" customFormat="1">
      <c r="A847" s="1051">
        <v>44005</v>
      </c>
      <c r="B847" s="1052">
        <f t="shared" si="132"/>
        <v>8.1082999999999998</v>
      </c>
      <c r="C847" s="1052">
        <f t="shared" si="134"/>
        <v>6.7382999999999997</v>
      </c>
      <c r="D847" s="1052">
        <f t="shared" si="138"/>
        <v>8.7620000000000005</v>
      </c>
      <c r="E847" s="1052">
        <f t="shared" si="139"/>
        <v>7.3765000000000001</v>
      </c>
      <c r="F847" s="1052">
        <f t="shared" si="140"/>
        <v>13.5083</v>
      </c>
      <c r="G847" s="1052">
        <f t="shared" si="141"/>
        <v>6.3963999999999999</v>
      </c>
      <c r="H847" s="1047">
        <f t="shared" si="135"/>
        <v>7.3765000000000001</v>
      </c>
      <c r="I847" s="1048">
        <f t="shared" si="133"/>
        <v>9.920694096116045E-2</v>
      </c>
      <c r="J847" s="1048">
        <f t="shared" si="136"/>
        <v>0.12093838824177333</v>
      </c>
      <c r="K847" s="1048">
        <f t="shared" si="137"/>
        <v>0.1</v>
      </c>
      <c r="L847" s="1048"/>
      <c r="N847" s="1051">
        <v>44005</v>
      </c>
      <c r="O847" s="1053">
        <v>8.1082999999999998</v>
      </c>
      <c r="P847" s="1053">
        <v>1.5669</v>
      </c>
      <c r="Q847" s="1053">
        <v>8.6893999999999991</v>
      </c>
      <c r="R847" s="1054">
        <f>'B. PE'!$U$23</f>
        <v>15.978235616082999</v>
      </c>
      <c r="S847" s="1054"/>
      <c r="T847" s="1054"/>
      <c r="V847" s="1051">
        <v>44005</v>
      </c>
      <c r="W847" s="198">
        <v>6.7382999999999997</v>
      </c>
      <c r="X847" s="198">
        <v>0.4965</v>
      </c>
      <c r="Y847" s="198">
        <v>12.4741</v>
      </c>
      <c r="Z847" s="198">
        <v>0.30065999999999998</v>
      </c>
      <c r="AB847" s="1051">
        <v>43965</v>
      </c>
      <c r="AC847" s="198">
        <v>10.1692</v>
      </c>
      <c r="AD847" s="1053">
        <v>0.71850000000000003</v>
      </c>
      <c r="AE847" s="198">
        <v>6.2922000000000002</v>
      </c>
      <c r="AF847" s="198">
        <v>1.5689999999999999E-2</v>
      </c>
      <c r="AH847" s="1051">
        <v>43965</v>
      </c>
      <c r="AI847" s="198">
        <v>7.9227999999999996</v>
      </c>
      <c r="AJ847" s="198">
        <v>1.3210999999999999</v>
      </c>
      <c r="AK847" s="198">
        <v>4.37</v>
      </c>
      <c r="AL847" s="198">
        <v>1.6160000000000001E-2</v>
      </c>
      <c r="AN847" s="1051">
        <v>43973</v>
      </c>
      <c r="AO847" s="198">
        <v>6.9294000000000002</v>
      </c>
      <c r="AP847" s="198">
        <v>0.70679999999999998</v>
      </c>
      <c r="AQ847" s="198">
        <v>3.5575999999999999</v>
      </c>
      <c r="AR847" s="198">
        <v>0.14601</v>
      </c>
      <c r="AT847" s="1051">
        <v>43964</v>
      </c>
      <c r="AU847" s="198">
        <v>6.9065000000000003</v>
      </c>
      <c r="AV847" s="198">
        <v>0.48130000000000001</v>
      </c>
      <c r="AX847" s="198">
        <v>0.11537</v>
      </c>
      <c r="BA847" s="1051">
        <v>43959</v>
      </c>
      <c r="BB847" s="198">
        <v>4.9025999999999996</v>
      </c>
      <c r="BC847" s="198">
        <v>0.88560000000000005</v>
      </c>
      <c r="BD847" s="198">
        <v>5.7398999999999996</v>
      </c>
      <c r="BE847" s="198">
        <v>0.20383999999999999</v>
      </c>
      <c r="BG847" s="1051">
        <v>43959</v>
      </c>
      <c r="BH847" s="198">
        <v>10.1751</v>
      </c>
      <c r="BI847" s="198">
        <v>1.4789000000000001</v>
      </c>
      <c r="BJ847" s="198">
        <v>14.944000000000001</v>
      </c>
      <c r="BT847" s="1051">
        <v>44005</v>
      </c>
      <c r="BU847" s="198">
        <v>9.6844000000000001</v>
      </c>
      <c r="BV847" s="198">
        <v>2.8889</v>
      </c>
      <c r="BW847" s="198">
        <v>6.3293999999999997</v>
      </c>
      <c r="BX847" s="198">
        <v>1.2136</v>
      </c>
      <c r="BZ847" s="1051">
        <v>44005</v>
      </c>
      <c r="CA847" s="198">
        <v>10.687099999999999</v>
      </c>
      <c r="CB847" s="198">
        <v>1.5156000000000001</v>
      </c>
      <c r="CC847" s="198">
        <v>14.075799999999999</v>
      </c>
      <c r="CD847" s="198">
        <v>0.62444999999999995</v>
      </c>
      <c r="CF847" s="1051">
        <v>44004</v>
      </c>
      <c r="CG847" s="198">
        <v>5.3231000000000002</v>
      </c>
      <c r="CH847" s="198">
        <v>0.85429999999999995</v>
      </c>
      <c r="CI847" s="198">
        <v>13.4892</v>
      </c>
      <c r="CL847" s="1051">
        <v>44026</v>
      </c>
      <c r="CM847" s="198">
        <v>25.4421</v>
      </c>
      <c r="CN847" s="198">
        <v>2.484</v>
      </c>
      <c r="CO847" s="198">
        <v>10.646800000000001</v>
      </c>
    </row>
    <row r="848" spans="1:93" s="198" customFormat="1">
      <c r="A848" s="1051">
        <v>44004</v>
      </c>
      <c r="B848" s="1052">
        <f t="shared" si="132"/>
        <v>8.2874999999999996</v>
      </c>
      <c r="C848" s="1052">
        <f t="shared" si="134"/>
        <v>6.3414999999999999</v>
      </c>
      <c r="D848" s="1052">
        <f t="shared" si="138"/>
        <v>8.9298999999999999</v>
      </c>
      <c r="E848" s="1052">
        <f t="shared" si="139"/>
        <v>7.4882999999999997</v>
      </c>
      <c r="F848" s="1052">
        <f t="shared" si="140"/>
        <v>13.3329</v>
      </c>
      <c r="G848" s="1052">
        <f t="shared" si="141"/>
        <v>6.3581000000000003</v>
      </c>
      <c r="H848" s="1047">
        <f t="shared" si="135"/>
        <v>7.4882999999999997</v>
      </c>
      <c r="I848" s="1048">
        <f t="shared" si="133"/>
        <v>0.10672649332959416</v>
      </c>
      <c r="J848" s="1048">
        <f t="shared" si="136"/>
        <v>0.12093838824177333</v>
      </c>
      <c r="K848" s="1048">
        <f t="shared" si="137"/>
        <v>0.1</v>
      </c>
      <c r="L848" s="1048"/>
      <c r="N848" s="1051">
        <v>44004</v>
      </c>
      <c r="O848" s="1053">
        <v>8.2874999999999996</v>
      </c>
      <c r="P848" s="1053">
        <v>1.6014999999999999</v>
      </c>
      <c r="Q848" s="1053">
        <v>8.8405000000000005</v>
      </c>
      <c r="R848" s="1054">
        <f>'B. PE'!$U$23</f>
        <v>15.978235616082999</v>
      </c>
      <c r="S848" s="1054"/>
      <c r="T848" s="1054"/>
      <c r="V848" s="1051">
        <v>44004</v>
      </c>
      <c r="W848" s="198">
        <v>6.3414999999999999</v>
      </c>
      <c r="X848" s="198">
        <v>0.46729999999999999</v>
      </c>
      <c r="Y848" s="198">
        <v>12.209</v>
      </c>
      <c r="Z848" s="198">
        <v>0.29672999999999999</v>
      </c>
      <c r="AB848" s="1051">
        <v>43964</v>
      </c>
      <c r="AC848" s="198">
        <v>10.6252</v>
      </c>
      <c r="AD848" s="1053">
        <v>0.75070000000000003</v>
      </c>
      <c r="AE848" s="198">
        <v>6.4550999999999998</v>
      </c>
      <c r="AF848" s="198">
        <v>1.636E-2</v>
      </c>
      <c r="AH848" s="1051">
        <v>43964</v>
      </c>
      <c r="AI848" s="198">
        <v>7.9227999999999996</v>
      </c>
      <c r="AJ848" s="198">
        <v>1.3210999999999999</v>
      </c>
      <c r="AK848" s="198">
        <v>4.37</v>
      </c>
      <c r="AL848" s="198">
        <v>1.5959999999999998E-2</v>
      </c>
      <c r="AN848" s="1051">
        <v>43972</v>
      </c>
      <c r="AO848" s="198">
        <v>6.9852999999999996</v>
      </c>
      <c r="AP848" s="198">
        <v>0.71250000000000002</v>
      </c>
      <c r="AQ848" s="198">
        <v>3.6023000000000001</v>
      </c>
      <c r="AR848" s="198">
        <v>0.14487</v>
      </c>
      <c r="AT848" s="1051">
        <v>43963</v>
      </c>
      <c r="AU848" s="198">
        <v>7.0503999999999998</v>
      </c>
      <c r="AV848" s="198">
        <v>0.49130000000000001</v>
      </c>
      <c r="AX848" s="198">
        <v>0.11620999999999999</v>
      </c>
      <c r="BA848" s="1051">
        <v>43958</v>
      </c>
      <c r="BB848" s="198">
        <v>4.9025999999999996</v>
      </c>
      <c r="BC848" s="198">
        <v>0.88560000000000005</v>
      </c>
      <c r="BD848" s="198">
        <v>5.7398999999999996</v>
      </c>
      <c r="BE848" s="198">
        <v>0.20627999999999999</v>
      </c>
      <c r="BG848" s="1051">
        <v>43958</v>
      </c>
      <c r="BH848" s="198">
        <v>9.9120000000000008</v>
      </c>
      <c r="BI848" s="198">
        <v>1.4407000000000001</v>
      </c>
      <c r="BJ848" s="198">
        <v>14.7134</v>
      </c>
      <c r="BT848" s="1051">
        <v>44004</v>
      </c>
      <c r="BU848" s="198">
        <v>9.7525999999999993</v>
      </c>
      <c r="BV848" s="198">
        <v>2.9091999999999998</v>
      </c>
      <c r="BW848" s="198">
        <v>6.3692000000000002</v>
      </c>
      <c r="BX848" s="198">
        <v>1.2038</v>
      </c>
      <c r="BZ848" s="1051">
        <v>44004</v>
      </c>
      <c r="CA848" s="198">
        <v>10.835800000000001</v>
      </c>
      <c r="CB848" s="198">
        <v>1.5367</v>
      </c>
      <c r="CC848" s="198">
        <v>14.1637</v>
      </c>
      <c r="CD848" s="198">
        <v>0.59457000000000004</v>
      </c>
      <c r="CF848" s="1051">
        <v>44001</v>
      </c>
      <c r="CI848" s="198">
        <v>13.405099999999999</v>
      </c>
      <c r="CL848" s="1051">
        <v>44025</v>
      </c>
      <c r="CM848" s="198">
        <v>25.501899999999999</v>
      </c>
      <c r="CN848" s="198">
        <v>2.4897999999999998</v>
      </c>
      <c r="CO848" s="198">
        <v>10.6714</v>
      </c>
    </row>
    <row r="849" spans="1:93" s="198" customFormat="1">
      <c r="A849" s="1051">
        <v>44001</v>
      </c>
      <c r="B849" s="1052">
        <f t="shared" si="132"/>
        <v>7.7499000000000002</v>
      </c>
      <c r="C849" s="1052">
        <f t="shared" si="134"/>
        <v>6.2066999999999997</v>
      </c>
      <c r="D849" s="1052">
        <f t="shared" si="138"/>
        <v>9.3663000000000007</v>
      </c>
      <c r="E849" s="1052">
        <f t="shared" si="139"/>
        <v>7.4882999999999997</v>
      </c>
      <c r="F849" s="1052">
        <f t="shared" si="140"/>
        <v>13.596</v>
      </c>
      <c r="G849" s="1052">
        <f t="shared" si="141"/>
        <v>6.4729999999999999</v>
      </c>
      <c r="H849" s="1047">
        <f t="shared" si="135"/>
        <v>7.4882999999999997</v>
      </c>
      <c r="I849" s="1048">
        <f t="shared" si="133"/>
        <v>3.4934497816593968E-2</v>
      </c>
      <c r="J849" s="1048">
        <f t="shared" si="136"/>
        <v>0.12093838824177333</v>
      </c>
      <c r="K849" s="1048">
        <f t="shared" si="137"/>
        <v>0.1</v>
      </c>
      <c r="L849" s="1048"/>
      <c r="N849" s="1051">
        <v>44001</v>
      </c>
      <c r="O849" s="1053">
        <v>7.7499000000000002</v>
      </c>
      <c r="P849" s="1053">
        <v>1.4976</v>
      </c>
      <c r="Q849" s="1053">
        <v>8.3873999999999995</v>
      </c>
      <c r="R849" s="1054">
        <f>'B. PE'!$U$23</f>
        <v>15.978235616082999</v>
      </c>
      <c r="S849" s="1054"/>
      <c r="T849" s="1054"/>
      <c r="V849" s="1051">
        <v>44001</v>
      </c>
      <c r="W849" s="198">
        <v>6.2066999999999997</v>
      </c>
      <c r="X849" s="198">
        <v>0.45739999999999997</v>
      </c>
      <c r="Y849" s="198">
        <v>12.1189</v>
      </c>
      <c r="Z849" s="198">
        <v>0.29669000000000001</v>
      </c>
      <c r="AB849" s="1051">
        <v>43963</v>
      </c>
      <c r="AC849" s="198">
        <v>10.6252</v>
      </c>
      <c r="AD849" s="1053">
        <v>0.75070000000000003</v>
      </c>
      <c r="AE849" s="198">
        <v>6.4550999999999998</v>
      </c>
      <c r="AF849" s="198">
        <v>1.6559999999999998E-2</v>
      </c>
      <c r="AH849" s="1051">
        <v>43963</v>
      </c>
      <c r="AI849" s="198">
        <v>8.0570000000000004</v>
      </c>
      <c r="AJ849" s="198">
        <v>1.3434999999999999</v>
      </c>
      <c r="AK849" s="198">
        <v>4.4352</v>
      </c>
      <c r="AL849" s="198">
        <v>1.5820000000000001E-2</v>
      </c>
      <c r="AN849" s="1051">
        <v>43971</v>
      </c>
      <c r="AO849" s="198">
        <v>7.0971000000000002</v>
      </c>
      <c r="AP849" s="198">
        <v>0.72389999999999999</v>
      </c>
      <c r="AQ849" s="198">
        <v>3.6918000000000002</v>
      </c>
      <c r="AR849" s="198">
        <v>0.13982</v>
      </c>
      <c r="AT849" s="1051">
        <v>43959</v>
      </c>
      <c r="AU849" s="198">
        <v>7.1942000000000004</v>
      </c>
      <c r="AV849" s="198">
        <v>0.50139999999999996</v>
      </c>
      <c r="AX849" s="198">
        <v>0.11284</v>
      </c>
      <c r="BA849" s="1051">
        <v>43956</v>
      </c>
      <c r="BB849" s="198">
        <v>5.0557999999999996</v>
      </c>
      <c r="BC849" s="198">
        <v>0.9133</v>
      </c>
      <c r="BD849" s="198">
        <v>5.85</v>
      </c>
      <c r="BE849" s="198">
        <v>0.20677999999999999</v>
      </c>
      <c r="BG849" s="1051">
        <v>43956</v>
      </c>
      <c r="BH849" s="198">
        <v>10.4382</v>
      </c>
      <c r="BI849" s="198">
        <v>1.5172000000000001</v>
      </c>
      <c r="BJ849" s="198">
        <v>15.1747</v>
      </c>
      <c r="BT849" s="1051">
        <v>44001</v>
      </c>
      <c r="BU849" s="198">
        <v>9.5936000000000003</v>
      </c>
      <c r="BV849" s="198">
        <v>2.8618000000000001</v>
      </c>
      <c r="BW849" s="198">
        <v>6.2763</v>
      </c>
      <c r="BX849" s="198">
        <v>1.2036</v>
      </c>
      <c r="BZ849" s="1051">
        <v>44001</v>
      </c>
      <c r="CA849" s="198">
        <v>10.6234</v>
      </c>
      <c r="CB849" s="198">
        <v>1.5065999999999999</v>
      </c>
      <c r="CC849" s="198">
        <v>14.0382</v>
      </c>
      <c r="CD849" s="198">
        <v>0.60324</v>
      </c>
      <c r="CF849" s="1051">
        <v>44000</v>
      </c>
      <c r="CG849" s="198">
        <v>5.1550000000000002</v>
      </c>
      <c r="CH849" s="198">
        <v>0.82730000000000004</v>
      </c>
      <c r="CI849" s="198">
        <v>13.405099999999999</v>
      </c>
      <c r="CL849" s="1051">
        <v>44022</v>
      </c>
      <c r="CM849" s="198">
        <v>25.342300000000002</v>
      </c>
      <c r="CN849" s="198">
        <v>2.4742000000000002</v>
      </c>
      <c r="CO849" s="198">
        <v>10.605700000000001</v>
      </c>
    </row>
    <row r="850" spans="1:93" s="198" customFormat="1">
      <c r="A850" s="1051">
        <v>44000</v>
      </c>
      <c r="B850" s="1052">
        <f t="shared" si="132"/>
        <v>7.2458999999999998</v>
      </c>
      <c r="C850" s="1052">
        <f t="shared" si="134"/>
        <v>6.1242999999999999</v>
      </c>
      <c r="D850" s="1052">
        <f t="shared" si="138"/>
        <v>9.4335000000000004</v>
      </c>
      <c r="E850" s="1052">
        <f t="shared" si="139"/>
        <v>7.2088000000000001</v>
      </c>
      <c r="F850" s="1052">
        <f t="shared" si="140"/>
        <v>13.6838</v>
      </c>
      <c r="G850" s="1052">
        <f t="shared" si="141"/>
        <v>6.4729999999999999</v>
      </c>
      <c r="H850" s="1047">
        <f t="shared" si="135"/>
        <v>7.2088000000000001</v>
      </c>
      <c r="I850" s="1048">
        <f t="shared" si="133"/>
        <v>5.1464876262345971E-3</v>
      </c>
      <c r="J850" s="1048">
        <f t="shared" si="136"/>
        <v>0.12093838824177333</v>
      </c>
      <c r="K850" s="1048">
        <f t="shared" si="137"/>
        <v>0.1</v>
      </c>
      <c r="L850" s="1048"/>
      <c r="N850" s="1051">
        <v>44000</v>
      </c>
      <c r="O850" s="1053">
        <v>7.2458999999999998</v>
      </c>
      <c r="P850" s="1053">
        <v>1.4001999999999999</v>
      </c>
      <c r="Q850" s="1053">
        <v>7.9626999999999999</v>
      </c>
      <c r="R850" s="1054">
        <f>'B. PE'!$U$23</f>
        <v>15.978235616082999</v>
      </c>
      <c r="S850" s="1054"/>
      <c r="T850" s="1054"/>
      <c r="V850" s="1051">
        <v>44000</v>
      </c>
      <c r="W850" s="198">
        <v>6.1242999999999999</v>
      </c>
      <c r="X850" s="198">
        <v>0.45129999999999998</v>
      </c>
      <c r="Y850" s="198">
        <v>12.0639</v>
      </c>
      <c r="Z850" s="198">
        <v>0.29596</v>
      </c>
      <c r="AB850" s="1051">
        <v>43962</v>
      </c>
      <c r="AC850" s="198">
        <v>11.126799999999999</v>
      </c>
      <c r="AD850" s="1053">
        <v>0.78620000000000001</v>
      </c>
      <c r="AE850" s="198">
        <v>6.6341999999999999</v>
      </c>
      <c r="AF850" s="198">
        <v>1.5730000000000001E-2</v>
      </c>
      <c r="AH850" s="1051">
        <v>43962</v>
      </c>
      <c r="AI850" s="198">
        <v>7.9898999999999996</v>
      </c>
      <c r="AJ850" s="198">
        <v>1.3323</v>
      </c>
      <c r="AK850" s="198">
        <v>4.4025999999999996</v>
      </c>
      <c r="AL850" s="198">
        <v>1.553E-2</v>
      </c>
      <c r="AN850" s="1051">
        <v>43970</v>
      </c>
      <c r="AO850" s="198">
        <v>7.0411999999999999</v>
      </c>
      <c r="AP850" s="198">
        <v>0.71819999999999995</v>
      </c>
      <c r="AQ850" s="198">
        <v>3.6471</v>
      </c>
      <c r="AR850" s="198">
        <v>0.14247000000000001</v>
      </c>
      <c r="AT850" s="1051">
        <v>43956</v>
      </c>
      <c r="AU850" s="198">
        <v>7.1942000000000004</v>
      </c>
      <c r="AV850" s="198">
        <v>0.50139999999999996</v>
      </c>
      <c r="AX850" s="198">
        <v>0.11166</v>
      </c>
      <c r="BA850" s="1051">
        <v>43951</v>
      </c>
      <c r="BB850" s="198">
        <v>5.1323999999999996</v>
      </c>
      <c r="BC850" s="198">
        <v>0.92720000000000002</v>
      </c>
      <c r="BD850" s="198">
        <v>5.9050000000000002</v>
      </c>
      <c r="BE850" s="198">
        <v>0.20638000000000001</v>
      </c>
      <c r="BG850" s="1051">
        <v>43951</v>
      </c>
      <c r="BH850" s="198">
        <v>10.876799999999999</v>
      </c>
      <c r="BI850" s="198">
        <v>1.5809</v>
      </c>
      <c r="BJ850" s="198">
        <v>15.559200000000001</v>
      </c>
      <c r="BT850" s="1051">
        <v>44000</v>
      </c>
      <c r="BU850" s="198">
        <v>9.5140999999999991</v>
      </c>
      <c r="BV850" s="198">
        <v>2.8380999999999998</v>
      </c>
      <c r="BW850" s="198">
        <v>6.2298</v>
      </c>
      <c r="BX850" s="198">
        <v>1.2121999999999999</v>
      </c>
      <c r="BZ850" s="1051">
        <v>44000</v>
      </c>
      <c r="CA850" s="198">
        <v>10.1134</v>
      </c>
      <c r="CB850" s="198">
        <v>1.4342999999999999</v>
      </c>
      <c r="CC850" s="198">
        <v>13.736800000000001</v>
      </c>
      <c r="CD850" s="198">
        <v>0.60948000000000002</v>
      </c>
      <c r="CF850" s="1051">
        <v>43999</v>
      </c>
      <c r="CG850" s="198">
        <v>5.0990000000000002</v>
      </c>
      <c r="CH850" s="198">
        <v>0.81830000000000003</v>
      </c>
      <c r="CI850" s="198">
        <v>13.3771</v>
      </c>
      <c r="CL850" s="1051">
        <v>44021</v>
      </c>
      <c r="CM850" s="198">
        <v>25.062899999999999</v>
      </c>
      <c r="CN850" s="198">
        <v>2.4470000000000001</v>
      </c>
      <c r="CO850" s="198">
        <v>10.490600000000001</v>
      </c>
    </row>
    <row r="851" spans="1:93" s="198" customFormat="1">
      <c r="A851" s="1051">
        <v>43999</v>
      </c>
      <c r="B851" s="1052">
        <f t="shared" si="132"/>
        <v>6.7755999999999998</v>
      </c>
      <c r="C851" s="1052">
        <f t="shared" si="134"/>
        <v>6.1242999999999999</v>
      </c>
      <c r="D851" s="1052">
        <f t="shared" si="138"/>
        <v>9.3999000000000006</v>
      </c>
      <c r="E851" s="1052">
        <f t="shared" si="139"/>
        <v>7.2088000000000001</v>
      </c>
      <c r="F851" s="1052">
        <f t="shared" si="140"/>
        <v>13.6838</v>
      </c>
      <c r="G851" s="1052">
        <f t="shared" si="141"/>
        <v>6.4347000000000003</v>
      </c>
      <c r="H851" s="1047">
        <f t="shared" si="135"/>
        <v>7.2088000000000001</v>
      </c>
      <c r="I851" s="1048">
        <f t="shared" si="133"/>
        <v>-6.0093219398512976E-2</v>
      </c>
      <c r="J851" s="1048">
        <f t="shared" si="136"/>
        <v>0.12093838824177333</v>
      </c>
      <c r="K851" s="1048">
        <f t="shared" si="137"/>
        <v>0.1</v>
      </c>
      <c r="L851" s="1048"/>
      <c r="N851" s="1051">
        <v>43999</v>
      </c>
      <c r="O851" s="1053">
        <v>6.7755999999999998</v>
      </c>
      <c r="P851" s="1053">
        <v>1.3092999999999999</v>
      </c>
      <c r="Q851" s="1053">
        <v>7.5663</v>
      </c>
      <c r="R851" s="1054">
        <f>'B. PE'!$U$23</f>
        <v>15.978235616082999</v>
      </c>
      <c r="S851" s="1054"/>
      <c r="T851" s="1054"/>
      <c r="V851" s="1051">
        <v>43999</v>
      </c>
      <c r="W851" s="198">
        <v>6.1242999999999999</v>
      </c>
      <c r="X851" s="198">
        <v>0.45129999999999998</v>
      </c>
      <c r="Y851" s="198">
        <v>12.0639</v>
      </c>
      <c r="Z851" s="198">
        <v>0.29618</v>
      </c>
      <c r="AB851" s="1051">
        <v>43959</v>
      </c>
      <c r="AC851" s="198">
        <v>11.2636</v>
      </c>
      <c r="AD851" s="1053">
        <v>0.79579999999999995</v>
      </c>
      <c r="AE851" s="198">
        <v>6.6830999999999996</v>
      </c>
      <c r="AF851" s="198">
        <v>1.6150000000000001E-2</v>
      </c>
      <c r="AH851" s="1051">
        <v>43959</v>
      </c>
      <c r="AI851" s="198">
        <v>7.9227999999999996</v>
      </c>
      <c r="AJ851" s="198">
        <v>1.3210999999999999</v>
      </c>
      <c r="AK851" s="198">
        <v>4.37</v>
      </c>
      <c r="AL851" s="198">
        <v>1.5689999999999999E-2</v>
      </c>
      <c r="AN851" s="1051">
        <v>43969</v>
      </c>
      <c r="AO851" s="198">
        <v>6.8177000000000003</v>
      </c>
      <c r="AP851" s="198">
        <v>0.69540000000000002</v>
      </c>
      <c r="AQ851" s="198">
        <v>3.4681000000000002</v>
      </c>
      <c r="AR851" s="198">
        <v>0.14169000000000001</v>
      </c>
      <c r="AT851" s="1051">
        <v>43951</v>
      </c>
      <c r="AU851" s="198">
        <v>6.9783999999999997</v>
      </c>
      <c r="AV851" s="198">
        <v>0.48630000000000001</v>
      </c>
      <c r="AX851" s="198">
        <v>0.11119999999999999</v>
      </c>
      <c r="BA851" s="1051">
        <v>43950</v>
      </c>
      <c r="BB851" s="198">
        <v>5.1323999999999996</v>
      </c>
      <c r="BC851" s="198">
        <v>0.92720000000000002</v>
      </c>
      <c r="BD851" s="198">
        <v>5.9050000000000002</v>
      </c>
      <c r="BE851" s="198">
        <v>0.22166</v>
      </c>
      <c r="BG851" s="1051">
        <v>43950</v>
      </c>
      <c r="BH851" s="198">
        <v>10.1751</v>
      </c>
      <c r="BI851" s="198">
        <v>1.4789000000000001</v>
      </c>
      <c r="BJ851" s="198">
        <v>14.944000000000001</v>
      </c>
      <c r="BT851" s="1051">
        <v>43999</v>
      </c>
      <c r="BU851" s="198">
        <v>9.5140999999999991</v>
      </c>
      <c r="BV851" s="198">
        <v>2.8380999999999998</v>
      </c>
      <c r="BW851" s="198">
        <v>6.2298</v>
      </c>
      <c r="BX851" s="198">
        <v>1.1843999999999999</v>
      </c>
      <c r="BZ851" s="1051">
        <v>43999</v>
      </c>
      <c r="CA851" s="198">
        <v>10.2622</v>
      </c>
      <c r="CB851" s="198">
        <v>1.4554</v>
      </c>
      <c r="CC851" s="198">
        <v>13.8247</v>
      </c>
      <c r="CD851" s="198">
        <v>0.59796000000000005</v>
      </c>
      <c r="CF851" s="1051">
        <v>43998</v>
      </c>
      <c r="CG851" s="198">
        <v>5.0990000000000002</v>
      </c>
      <c r="CH851" s="198">
        <v>0.81830000000000003</v>
      </c>
      <c r="CI851" s="198">
        <v>13.3771</v>
      </c>
      <c r="CL851" s="1051">
        <v>44020</v>
      </c>
      <c r="CM851" s="198">
        <v>25.501899999999999</v>
      </c>
      <c r="CN851" s="198">
        <v>2.4897999999999998</v>
      </c>
      <c r="CO851" s="198">
        <v>10.6714</v>
      </c>
    </row>
    <row r="852" spans="1:93" s="198" customFormat="1">
      <c r="A852" s="1051">
        <v>43998</v>
      </c>
      <c r="B852" s="1052">
        <f t="shared" si="132"/>
        <v>6.3388</v>
      </c>
      <c r="C852" s="1052">
        <f t="shared" si="134"/>
        <v>6.1093999999999999</v>
      </c>
      <c r="D852" s="1052">
        <f t="shared" si="138"/>
        <v>9.3999000000000006</v>
      </c>
      <c r="E852" s="1052">
        <f t="shared" si="139"/>
        <v>6.5941000000000001</v>
      </c>
      <c r="F852" s="1052">
        <f t="shared" si="140"/>
        <v>13.3329</v>
      </c>
      <c r="G852" s="1052">
        <f t="shared" si="141"/>
        <v>6.3197999999999999</v>
      </c>
      <c r="H852" s="1047">
        <f t="shared" si="135"/>
        <v>6.5941000000000001</v>
      </c>
      <c r="I852" s="1048">
        <f t="shared" si="133"/>
        <v>-3.8716428322288166E-2</v>
      </c>
      <c r="J852" s="1048">
        <f t="shared" si="136"/>
        <v>0.12093838824177333</v>
      </c>
      <c r="K852" s="1048">
        <f t="shared" si="137"/>
        <v>0.1</v>
      </c>
      <c r="L852" s="1048"/>
      <c r="N852" s="1051">
        <v>43998</v>
      </c>
      <c r="O852" s="1053">
        <v>6.3388</v>
      </c>
      <c r="P852" s="1053">
        <v>1.2249000000000001</v>
      </c>
      <c r="Q852" s="1053">
        <v>7.1981999999999999</v>
      </c>
      <c r="R852" s="1054">
        <f>'B. PE'!$U$23</f>
        <v>15.978235616082999</v>
      </c>
      <c r="S852" s="1054"/>
      <c r="T852" s="1054"/>
      <c r="V852" s="1051">
        <v>43998</v>
      </c>
      <c r="W852" s="198">
        <v>6.1093999999999999</v>
      </c>
      <c r="X852" s="198">
        <v>0.45019999999999999</v>
      </c>
      <c r="Y852" s="198">
        <v>12.053900000000001</v>
      </c>
      <c r="Z852" s="198">
        <v>0.30002000000000001</v>
      </c>
      <c r="AB852" s="1051">
        <v>43957</v>
      </c>
      <c r="AC852" s="198">
        <v>10.8988</v>
      </c>
      <c r="AD852" s="1053">
        <v>0.77</v>
      </c>
      <c r="AE852" s="198">
        <v>6.5528000000000004</v>
      </c>
      <c r="AF852" s="198">
        <v>1.5869999999999999E-2</v>
      </c>
      <c r="AH852" s="1051">
        <v>43957</v>
      </c>
      <c r="AI852" s="198">
        <v>7.9227999999999996</v>
      </c>
      <c r="AJ852" s="198">
        <v>1.3210999999999999</v>
      </c>
      <c r="AK852" s="198">
        <v>4.37</v>
      </c>
      <c r="AL852" s="198">
        <v>1.5270000000000001E-2</v>
      </c>
      <c r="AN852" s="1051">
        <v>43966</v>
      </c>
      <c r="AO852" s="198">
        <v>6.9294000000000002</v>
      </c>
      <c r="AP852" s="198">
        <v>0.70679999999999998</v>
      </c>
      <c r="AQ852" s="198">
        <v>3.5575999999999999</v>
      </c>
      <c r="AR852" s="198">
        <v>0.14433000000000001</v>
      </c>
      <c r="AT852" s="1051">
        <v>43950</v>
      </c>
      <c r="AU852" s="198">
        <v>6.9783999999999997</v>
      </c>
      <c r="AV852" s="198">
        <v>0.48630000000000001</v>
      </c>
      <c r="AX852" s="198">
        <v>0.1101</v>
      </c>
      <c r="BA852" s="1051">
        <v>43949</v>
      </c>
      <c r="BB852" s="198">
        <v>5.1323999999999996</v>
      </c>
      <c r="BC852" s="198">
        <v>0.92720000000000002</v>
      </c>
      <c r="BD852" s="198">
        <v>5.9050000000000002</v>
      </c>
      <c r="BE852" s="198">
        <v>0.22209000000000001</v>
      </c>
      <c r="BG852" s="1051">
        <v>43949</v>
      </c>
      <c r="BH852" s="198">
        <v>10.2628</v>
      </c>
      <c r="BI852" s="198">
        <v>1.4917</v>
      </c>
      <c r="BJ852" s="198">
        <v>15.020899999999999</v>
      </c>
      <c r="BT852" s="1051">
        <v>43998</v>
      </c>
      <c r="BU852" s="198">
        <v>9.5823</v>
      </c>
      <c r="BV852" s="198">
        <v>2.8584000000000001</v>
      </c>
      <c r="BW852" s="198">
        <v>6.2697000000000003</v>
      </c>
      <c r="BX852" s="198">
        <v>1.2355</v>
      </c>
      <c r="BZ852" s="1051">
        <v>43998</v>
      </c>
      <c r="CA852" s="198">
        <v>10.368399999999999</v>
      </c>
      <c r="CB852" s="198">
        <v>1.4703999999999999</v>
      </c>
      <c r="CC852" s="198">
        <v>13.887499999999999</v>
      </c>
      <c r="CD852" s="198">
        <v>0.6421</v>
      </c>
      <c r="CF852" s="1051">
        <v>43997</v>
      </c>
      <c r="CG852" s="198">
        <v>5.0990000000000002</v>
      </c>
      <c r="CH852" s="198">
        <v>0.81830000000000003</v>
      </c>
      <c r="CI852" s="198">
        <v>13.3771</v>
      </c>
      <c r="CL852" s="1051">
        <v>44019</v>
      </c>
      <c r="CM852" s="198">
        <v>25.4421</v>
      </c>
      <c r="CN852" s="198">
        <v>2.484</v>
      </c>
      <c r="CO852" s="198">
        <v>10.646800000000001</v>
      </c>
    </row>
    <row r="853" spans="1:93" s="198" customFormat="1">
      <c r="A853" s="1051">
        <v>43997</v>
      </c>
      <c r="B853" s="1052">
        <f t="shared" si="132"/>
        <v>6.0923999999999996</v>
      </c>
      <c r="C853" s="1052">
        <f t="shared" si="134"/>
        <v>6.1169000000000002</v>
      </c>
      <c r="D853" s="1052">
        <f t="shared" si="138"/>
        <v>9.5006000000000004</v>
      </c>
      <c r="E853" s="1052">
        <f t="shared" si="139"/>
        <v>6.3705999999999996</v>
      </c>
      <c r="F853" s="1052">
        <f t="shared" si="140"/>
        <v>13.245200000000001</v>
      </c>
      <c r="G853" s="1052">
        <f t="shared" si="141"/>
        <v>6.2431999999999999</v>
      </c>
      <c r="H853" s="1047">
        <f t="shared" si="135"/>
        <v>6.3705999999999996</v>
      </c>
      <c r="I853" s="1048">
        <f t="shared" si="133"/>
        <v>-4.3669356104605539E-2</v>
      </c>
      <c r="J853" s="1048">
        <f t="shared" si="136"/>
        <v>0.12093838824177333</v>
      </c>
      <c r="K853" s="1048">
        <f t="shared" si="137"/>
        <v>0.1</v>
      </c>
      <c r="L853" s="1048"/>
      <c r="N853" s="1051">
        <v>43997</v>
      </c>
      <c r="O853" s="1053">
        <v>6.0923999999999996</v>
      </c>
      <c r="P853" s="1053">
        <v>1.1773</v>
      </c>
      <c r="Q853" s="1053">
        <v>6.9904999999999999</v>
      </c>
      <c r="R853" s="1054">
        <f>'B. PE'!$U$23</f>
        <v>15.978235616082999</v>
      </c>
      <c r="S853" s="1054"/>
      <c r="T853" s="1054"/>
      <c r="V853" s="1051">
        <v>43997</v>
      </c>
      <c r="W853" s="198">
        <v>6.1169000000000002</v>
      </c>
      <c r="X853" s="198">
        <v>0.45069999999999999</v>
      </c>
      <c r="Y853" s="198">
        <v>12.0589</v>
      </c>
      <c r="Z853" s="198">
        <v>0.30442000000000002</v>
      </c>
      <c r="AB853" s="1051">
        <v>43956</v>
      </c>
      <c r="AC853" s="198">
        <v>11.126799999999999</v>
      </c>
      <c r="AD853" s="1053">
        <v>0.78620000000000001</v>
      </c>
      <c r="AE853" s="198">
        <v>6.6341999999999999</v>
      </c>
      <c r="AF853" s="198">
        <v>1.6719999999999999E-2</v>
      </c>
      <c r="AH853" s="1051">
        <v>43956</v>
      </c>
      <c r="AI853" s="198">
        <v>7.9562999999999997</v>
      </c>
      <c r="AJ853" s="198">
        <v>1.3267</v>
      </c>
      <c r="AK853" s="198">
        <v>4.3863000000000003</v>
      </c>
      <c r="AL853" s="198">
        <v>1.6119999999999999E-2</v>
      </c>
      <c r="AN853" s="1051">
        <v>43965</v>
      </c>
      <c r="AO853" s="198">
        <v>6.8734999999999999</v>
      </c>
      <c r="AP853" s="198">
        <v>0.70109999999999995</v>
      </c>
      <c r="AQ853" s="198">
        <v>3.5127999999999999</v>
      </c>
      <c r="AR853" s="198">
        <v>0.14904999999999999</v>
      </c>
      <c r="AT853" s="1051">
        <v>43949</v>
      </c>
      <c r="AU853" s="198">
        <v>6.9783999999999997</v>
      </c>
      <c r="AV853" s="198">
        <v>0.48630000000000001</v>
      </c>
      <c r="AX853" s="198">
        <v>0.11008999999999999</v>
      </c>
      <c r="BA853" s="1051">
        <v>43948</v>
      </c>
      <c r="BB853" s="198">
        <v>5.5153999999999996</v>
      </c>
      <c r="BC853" s="198">
        <v>0.99639999999999995</v>
      </c>
      <c r="BD853" s="198">
        <v>6.1802000000000001</v>
      </c>
      <c r="BE853" s="198">
        <v>0.22267000000000001</v>
      </c>
      <c r="BG853" s="1051">
        <v>43948</v>
      </c>
      <c r="BH853" s="198">
        <v>10.3505</v>
      </c>
      <c r="BI853" s="198">
        <v>1.5044</v>
      </c>
      <c r="BJ853" s="198">
        <v>15.097799999999999</v>
      </c>
      <c r="BT853" s="1051">
        <v>43997</v>
      </c>
      <c r="BU853" s="198">
        <v>9.3665000000000003</v>
      </c>
      <c r="BV853" s="198">
        <v>2.794</v>
      </c>
      <c r="BW853" s="198">
        <v>6.1435000000000004</v>
      </c>
      <c r="BX853" s="198">
        <v>1.1955</v>
      </c>
      <c r="BZ853" s="1051">
        <v>43997</v>
      </c>
      <c r="CA853" s="198">
        <v>10.177199999999999</v>
      </c>
      <c r="CB853" s="198">
        <v>1.4433</v>
      </c>
      <c r="CC853" s="198">
        <v>13.7744</v>
      </c>
      <c r="CD853" s="198">
        <v>0.64595000000000002</v>
      </c>
      <c r="CF853" s="1051">
        <v>43994</v>
      </c>
      <c r="CG853" s="198">
        <v>5.0990000000000002</v>
      </c>
      <c r="CH853" s="198">
        <v>0.81830000000000003</v>
      </c>
      <c r="CI853" s="198">
        <v>13.3771</v>
      </c>
      <c r="CL853" s="1051">
        <v>44018</v>
      </c>
      <c r="CM853" s="198">
        <v>25.082899999999999</v>
      </c>
      <c r="CN853" s="198">
        <v>2.4489000000000001</v>
      </c>
      <c r="CO853" s="198">
        <v>10.498900000000001</v>
      </c>
    </row>
    <row r="854" spans="1:93" s="198" customFormat="1">
      <c r="A854" s="1051">
        <v>43994</v>
      </c>
      <c r="B854" s="1052">
        <f t="shared" si="132"/>
        <v>6.5404</v>
      </c>
      <c r="C854" s="1052">
        <f t="shared" si="134"/>
        <v>6.1917</v>
      </c>
      <c r="D854" s="1052">
        <f t="shared" si="138"/>
        <v>9.5006000000000004</v>
      </c>
      <c r="E854" s="1052">
        <f t="shared" si="139"/>
        <v>6.5941000000000001</v>
      </c>
      <c r="F854" s="1052">
        <f t="shared" si="140"/>
        <v>13.245200000000001</v>
      </c>
      <c r="G854" s="1052">
        <f t="shared" si="141"/>
        <v>6.2431999999999999</v>
      </c>
      <c r="H854" s="1047">
        <f t="shared" si="135"/>
        <v>6.5941000000000001</v>
      </c>
      <c r="I854" s="1048">
        <f t="shared" si="133"/>
        <v>-8.1436435601522916E-3</v>
      </c>
      <c r="J854" s="1048">
        <f t="shared" si="136"/>
        <v>0.12093838824177333</v>
      </c>
      <c r="K854" s="1048">
        <f t="shared" si="137"/>
        <v>0.1</v>
      </c>
      <c r="L854" s="1048"/>
      <c r="N854" s="1051">
        <v>43994</v>
      </c>
      <c r="O854" s="1053">
        <v>6.5404</v>
      </c>
      <c r="P854" s="1053">
        <v>1.2639</v>
      </c>
      <c r="Q854" s="1053">
        <v>7.3681000000000001</v>
      </c>
      <c r="R854" s="1054">
        <f>'B. PE'!$U$23</f>
        <v>15.978235616082999</v>
      </c>
      <c r="S854" s="1054"/>
      <c r="T854" s="1054"/>
      <c r="V854" s="1051">
        <v>43994</v>
      </c>
      <c r="W854" s="198">
        <v>6.1917</v>
      </c>
      <c r="X854" s="198">
        <v>0.45629999999999998</v>
      </c>
      <c r="Y854" s="198">
        <v>12.1089</v>
      </c>
      <c r="Z854" s="198">
        <v>0.31041000000000002</v>
      </c>
      <c r="AB854" s="1051">
        <v>43955</v>
      </c>
      <c r="AC854" s="198">
        <v>10.99</v>
      </c>
      <c r="AD854" s="1053">
        <v>0.77649999999999997</v>
      </c>
      <c r="AE854" s="198">
        <v>6.5853999999999999</v>
      </c>
      <c r="AF854" s="198">
        <v>1.6410000000000001E-2</v>
      </c>
      <c r="AH854" s="1051">
        <v>43955</v>
      </c>
      <c r="AI854" s="198">
        <v>7.7885</v>
      </c>
      <c r="AJ854" s="198">
        <v>1.2987</v>
      </c>
      <c r="AK854" s="198">
        <v>4.3047000000000004</v>
      </c>
      <c r="AL854" s="198">
        <v>1.515E-2</v>
      </c>
      <c r="AN854" s="1051">
        <v>43964</v>
      </c>
      <c r="AO854" s="198">
        <v>6.9852999999999996</v>
      </c>
      <c r="AP854" s="198">
        <v>0.71250000000000002</v>
      </c>
      <c r="AQ854" s="198">
        <v>3.6023000000000001</v>
      </c>
      <c r="AR854" s="198">
        <v>0.14421</v>
      </c>
      <c r="AT854" s="1051">
        <v>43948</v>
      </c>
      <c r="AU854" s="198">
        <v>6.9065000000000003</v>
      </c>
      <c r="AV854" s="198">
        <v>0.48130000000000001</v>
      </c>
      <c r="AX854" s="198">
        <v>0.11002000000000001</v>
      </c>
      <c r="BA854" s="1051">
        <v>43945</v>
      </c>
      <c r="BB854" s="198">
        <v>5.5153999999999996</v>
      </c>
      <c r="BC854" s="198">
        <v>0.99639999999999995</v>
      </c>
      <c r="BD854" s="198">
        <v>6.1802000000000001</v>
      </c>
      <c r="BE854" s="198">
        <v>0.21803</v>
      </c>
      <c r="BG854" s="1051">
        <v>43945</v>
      </c>
      <c r="BH854" s="198">
        <v>10.1751</v>
      </c>
      <c r="BI854" s="198">
        <v>1.4789000000000001</v>
      </c>
      <c r="BJ854" s="198">
        <v>14.944000000000001</v>
      </c>
      <c r="BT854" s="1051">
        <v>43994</v>
      </c>
      <c r="BU854" s="198">
        <v>9.7638999999999996</v>
      </c>
      <c r="BV854" s="198">
        <v>2.9125999999999999</v>
      </c>
      <c r="BW854" s="198">
        <v>6.3758999999999997</v>
      </c>
      <c r="BX854" s="198">
        <v>1.2853000000000001</v>
      </c>
      <c r="BZ854" s="1051">
        <v>43994</v>
      </c>
      <c r="CA854" s="198">
        <v>10.9208</v>
      </c>
      <c r="CB854" s="198">
        <v>1.5488</v>
      </c>
      <c r="CC854" s="198">
        <v>14.214</v>
      </c>
      <c r="CD854" s="198">
        <v>0.69384999999999997</v>
      </c>
      <c r="CF854" s="1051">
        <v>43993</v>
      </c>
      <c r="CG854" s="198">
        <v>5.2111000000000001</v>
      </c>
      <c r="CH854" s="198">
        <v>0.83630000000000004</v>
      </c>
      <c r="CI854" s="198">
        <v>13.4331</v>
      </c>
      <c r="CL854" s="1051">
        <v>44015</v>
      </c>
      <c r="CM854" s="198">
        <v>24.584</v>
      </c>
      <c r="CN854" s="198">
        <v>2.4001999999999999</v>
      </c>
      <c r="CO854" s="198">
        <v>10.2934</v>
      </c>
    </row>
    <row r="855" spans="1:93" s="198" customFormat="1">
      <c r="A855" s="1051">
        <v>43993</v>
      </c>
      <c r="B855" s="1052">
        <f t="shared" si="132"/>
        <v>6.5852000000000004</v>
      </c>
      <c r="C855" s="1052">
        <f t="shared" si="134"/>
        <v>6.2816000000000001</v>
      </c>
      <c r="D855" s="1052">
        <f t="shared" si="138"/>
        <v>9.4335000000000004</v>
      </c>
      <c r="E855" s="1052">
        <f t="shared" si="139"/>
        <v>6.65</v>
      </c>
      <c r="F855" s="1052">
        <f t="shared" si="140"/>
        <v>12.6312</v>
      </c>
      <c r="G855" s="1052">
        <f t="shared" si="141"/>
        <v>6.1665999999999999</v>
      </c>
      <c r="H855" s="1047">
        <f t="shared" si="135"/>
        <v>6.65</v>
      </c>
      <c r="I855" s="1048">
        <f t="shared" si="133"/>
        <v>-9.744360902255611E-3</v>
      </c>
      <c r="J855" s="1048">
        <f t="shared" si="136"/>
        <v>0.12093838824177333</v>
      </c>
      <c r="K855" s="1048">
        <f t="shared" si="137"/>
        <v>0.1</v>
      </c>
      <c r="L855" s="1048"/>
      <c r="N855" s="1051">
        <v>43993</v>
      </c>
      <c r="O855" s="1053">
        <v>6.5852000000000004</v>
      </c>
      <c r="P855" s="1053">
        <v>1.2725</v>
      </c>
      <c r="Q855" s="1053">
        <v>7.4058000000000002</v>
      </c>
      <c r="R855" s="1054">
        <f>'B. PE'!$U$23</f>
        <v>15.978235616082999</v>
      </c>
      <c r="S855" s="1054"/>
      <c r="T855" s="1054"/>
      <c r="V855" s="1051">
        <v>43993</v>
      </c>
      <c r="W855" s="198">
        <v>6.2816000000000001</v>
      </c>
      <c r="X855" s="198">
        <v>0.46289999999999998</v>
      </c>
      <c r="Y855" s="198">
        <v>12.168900000000001</v>
      </c>
      <c r="Z855" s="198">
        <v>0.31002999999999997</v>
      </c>
      <c r="AB855" s="1051">
        <v>43951</v>
      </c>
      <c r="AC855" s="198">
        <v>11.4916</v>
      </c>
      <c r="AD855" s="1053">
        <v>0.81189999999999996</v>
      </c>
      <c r="AE855" s="198">
        <v>6.7645</v>
      </c>
      <c r="AF855" s="198">
        <v>1.5259999999999999E-2</v>
      </c>
      <c r="AH855" s="1051">
        <v>43951</v>
      </c>
      <c r="AI855" s="198">
        <v>8.1577999999999999</v>
      </c>
      <c r="AJ855" s="198">
        <v>1.3603000000000001</v>
      </c>
      <c r="AK855" s="198">
        <v>4.4840999999999998</v>
      </c>
      <c r="AL855" s="198">
        <v>1.4409999999999999E-2</v>
      </c>
      <c r="AN855" s="1051">
        <v>43963</v>
      </c>
      <c r="AO855" s="198">
        <v>7.2088000000000001</v>
      </c>
      <c r="AP855" s="198">
        <v>0.73529999999999995</v>
      </c>
      <c r="AQ855" s="198">
        <v>3.7812999999999999</v>
      </c>
      <c r="AR855" s="198">
        <v>0.13643</v>
      </c>
      <c r="AT855" s="1051">
        <v>43944</v>
      </c>
      <c r="AU855" s="198">
        <v>6.9065000000000003</v>
      </c>
      <c r="AV855" s="198">
        <v>0.48130000000000001</v>
      </c>
      <c r="AX855" s="198">
        <v>0.10920000000000001</v>
      </c>
      <c r="BA855" s="1051">
        <v>43944</v>
      </c>
      <c r="BB855" s="198">
        <v>5.5153999999999996</v>
      </c>
      <c r="BC855" s="198">
        <v>0.99639999999999995</v>
      </c>
      <c r="BD855" s="198">
        <v>6.1802000000000001</v>
      </c>
      <c r="BE855" s="198">
        <v>0.21834999999999999</v>
      </c>
      <c r="BG855" s="1051">
        <v>43944</v>
      </c>
      <c r="BH855" s="198">
        <v>10.4382</v>
      </c>
      <c r="BI855" s="198">
        <v>1.5172000000000001</v>
      </c>
      <c r="BJ855" s="198">
        <v>15.1747</v>
      </c>
      <c r="BT855" s="1051">
        <v>43993</v>
      </c>
      <c r="BU855" s="198">
        <v>9.4459999999999997</v>
      </c>
      <c r="BV855" s="198">
        <v>2.8178000000000001</v>
      </c>
      <c r="BW855" s="198">
        <v>6.19</v>
      </c>
      <c r="BX855" s="198">
        <v>1.2722</v>
      </c>
      <c r="BZ855" s="1051">
        <v>43993</v>
      </c>
      <c r="CA855" s="198">
        <v>10.9846</v>
      </c>
      <c r="CB855" s="198">
        <v>1.5578000000000001</v>
      </c>
      <c r="CC855" s="198">
        <v>14.2516</v>
      </c>
      <c r="CD855" s="198">
        <v>0.68345</v>
      </c>
      <c r="CF855" s="1051">
        <v>43992</v>
      </c>
      <c r="CG855" s="198">
        <v>5.3231000000000002</v>
      </c>
      <c r="CH855" s="198">
        <v>0.85429999999999995</v>
      </c>
      <c r="CI855" s="198">
        <v>13.4892</v>
      </c>
      <c r="CL855" s="1051">
        <v>44014</v>
      </c>
      <c r="CM855" s="198">
        <v>24.643899999999999</v>
      </c>
      <c r="CN855" s="198">
        <v>2.4060000000000001</v>
      </c>
      <c r="CO855" s="198">
        <v>10.318099999999999</v>
      </c>
    </row>
    <row r="856" spans="1:93" s="198" customFormat="1">
      <c r="A856" s="1051">
        <v>43992</v>
      </c>
      <c r="B856" s="1052">
        <f t="shared" si="132"/>
        <v>7.0778999999999996</v>
      </c>
      <c r="C856" s="1052">
        <f t="shared" si="134"/>
        <v>6.4013999999999998</v>
      </c>
      <c r="D856" s="1052">
        <f t="shared" si="138"/>
        <v>9.6349</v>
      </c>
      <c r="E856" s="1052">
        <f t="shared" si="139"/>
        <v>6.9294000000000002</v>
      </c>
      <c r="F856" s="1052">
        <f t="shared" si="140"/>
        <v>12.6312</v>
      </c>
      <c r="G856" s="1052">
        <f t="shared" si="141"/>
        <v>6.2431999999999999</v>
      </c>
      <c r="H856" s="1047">
        <f t="shared" si="135"/>
        <v>6.9294000000000002</v>
      </c>
      <c r="I856" s="1048">
        <f t="shared" si="133"/>
        <v>2.1430426876785758E-2</v>
      </c>
      <c r="J856" s="1048">
        <f t="shared" si="136"/>
        <v>0.12093838824177333</v>
      </c>
      <c r="K856" s="1048">
        <f t="shared" si="137"/>
        <v>0.1</v>
      </c>
      <c r="L856" s="1048"/>
      <c r="N856" s="1051">
        <v>43992</v>
      </c>
      <c r="O856" s="1053">
        <v>7.0778999999999996</v>
      </c>
      <c r="P856" s="1053">
        <v>1.3677999999999999</v>
      </c>
      <c r="Q856" s="1053">
        <v>7.8211000000000004</v>
      </c>
      <c r="R856" s="1054">
        <f>'B. PE'!$U$23</f>
        <v>15.978235616082999</v>
      </c>
      <c r="S856" s="1054"/>
      <c r="T856" s="1054"/>
      <c r="V856" s="1051">
        <v>43992</v>
      </c>
      <c r="W856" s="198">
        <v>6.4013999999999998</v>
      </c>
      <c r="X856" s="198">
        <v>0.47170000000000001</v>
      </c>
      <c r="Y856" s="198">
        <v>12.249000000000001</v>
      </c>
      <c r="Z856" s="198">
        <v>0.31039</v>
      </c>
      <c r="AB856" s="1051">
        <v>43950</v>
      </c>
      <c r="AC856" s="198">
        <v>11.354799999999999</v>
      </c>
      <c r="AD856" s="1053">
        <v>0.80230000000000001</v>
      </c>
      <c r="AE856" s="198">
        <v>6.7157</v>
      </c>
      <c r="AF856" s="198">
        <v>1.5089999999999999E-2</v>
      </c>
      <c r="AH856" s="1051">
        <v>43950</v>
      </c>
      <c r="AI856" s="198">
        <v>7.7213000000000003</v>
      </c>
      <c r="AJ856" s="198">
        <v>1.2875000000000001</v>
      </c>
      <c r="AK856" s="198">
        <v>4.2721</v>
      </c>
      <c r="AL856" s="198">
        <v>1.38E-2</v>
      </c>
      <c r="AN856" s="1051">
        <v>43959</v>
      </c>
      <c r="AO856" s="198">
        <v>6.9852999999999996</v>
      </c>
      <c r="AP856" s="198">
        <v>0.71250000000000002</v>
      </c>
      <c r="AQ856" s="198">
        <v>3.6023000000000001</v>
      </c>
      <c r="AR856" s="198">
        <v>0.13597000000000001</v>
      </c>
      <c r="AT856" s="1051">
        <v>43943</v>
      </c>
      <c r="AU856" s="198">
        <v>6.9065000000000003</v>
      </c>
      <c r="AV856" s="198">
        <v>0.48130000000000001</v>
      </c>
      <c r="AX856" s="198">
        <v>0.10743999999999999</v>
      </c>
      <c r="BA856" s="1051">
        <v>43943</v>
      </c>
      <c r="BB856" s="198">
        <v>5.4005000000000001</v>
      </c>
      <c r="BC856" s="198">
        <v>0.97560000000000002</v>
      </c>
      <c r="BD856" s="198">
        <v>6.0975999999999999</v>
      </c>
      <c r="BE856" s="198">
        <v>0.20943999999999999</v>
      </c>
      <c r="BG856" s="1051">
        <v>43943</v>
      </c>
      <c r="BH856" s="198">
        <v>10.087400000000001</v>
      </c>
      <c r="BI856" s="198">
        <v>1.4661999999999999</v>
      </c>
      <c r="BJ856" s="198">
        <v>14.867100000000001</v>
      </c>
      <c r="BT856" s="1051">
        <v>43992</v>
      </c>
      <c r="BU856" s="198">
        <v>10.149900000000001</v>
      </c>
      <c r="BV856" s="198">
        <v>3.0276999999999998</v>
      </c>
      <c r="BW856" s="198">
        <v>6.6014999999999997</v>
      </c>
      <c r="BX856" s="198">
        <v>1.2923</v>
      </c>
      <c r="BZ856" s="1051">
        <v>43992</v>
      </c>
      <c r="CA856" s="198">
        <v>11.7919</v>
      </c>
      <c r="CB856" s="198">
        <v>1.6722999999999999</v>
      </c>
      <c r="CC856" s="198">
        <v>14.7288</v>
      </c>
      <c r="CD856" s="198">
        <v>0.69842000000000004</v>
      </c>
      <c r="CF856" s="1051">
        <v>43991</v>
      </c>
      <c r="CG856" s="198">
        <v>5.2111000000000001</v>
      </c>
      <c r="CH856" s="198">
        <v>0.83630000000000004</v>
      </c>
      <c r="CI856" s="198">
        <v>13.4331</v>
      </c>
      <c r="CL856" s="1051">
        <v>44013</v>
      </c>
      <c r="CM856" s="198">
        <v>24.683800000000002</v>
      </c>
      <c r="CN856" s="198">
        <v>2.4098999999999999</v>
      </c>
      <c r="CO856" s="198">
        <v>10.3345</v>
      </c>
    </row>
    <row r="857" spans="1:93" s="198" customFormat="1">
      <c r="A857" s="1051">
        <v>43991</v>
      </c>
      <c r="B857" s="1052">
        <f t="shared" si="132"/>
        <v>6.9211999999999998</v>
      </c>
      <c r="C857" s="1052">
        <f t="shared" si="134"/>
        <v>6.4088000000000003</v>
      </c>
      <c r="D857" s="1052">
        <f t="shared" si="138"/>
        <v>9.7355999999999998</v>
      </c>
      <c r="E857" s="1052">
        <f t="shared" si="139"/>
        <v>6.7618</v>
      </c>
      <c r="F857" s="1052">
        <f t="shared" si="140"/>
        <v>12.6312</v>
      </c>
      <c r="G857" s="1052">
        <f t="shared" si="141"/>
        <v>6.2815000000000003</v>
      </c>
      <c r="H857" s="1047">
        <f t="shared" si="135"/>
        <v>6.7618</v>
      </c>
      <c r="I857" s="1048">
        <f t="shared" si="133"/>
        <v>2.3573604661480729E-2</v>
      </c>
      <c r="J857" s="1048">
        <f t="shared" si="136"/>
        <v>0.12093838824177333</v>
      </c>
      <c r="K857" s="1048">
        <f t="shared" si="137"/>
        <v>0.1</v>
      </c>
      <c r="L857" s="1048"/>
      <c r="N857" s="1051">
        <v>43991</v>
      </c>
      <c r="O857" s="1053">
        <v>6.9211999999999998</v>
      </c>
      <c r="P857" s="1053">
        <v>1.3374999999999999</v>
      </c>
      <c r="Q857" s="1053">
        <v>7.6890000000000001</v>
      </c>
      <c r="R857" s="1054">
        <f>'B. PE'!$U$23</f>
        <v>15.978235616082999</v>
      </c>
      <c r="S857" s="1054"/>
      <c r="T857" s="1054"/>
      <c r="V857" s="1051">
        <v>43991</v>
      </c>
      <c r="W857" s="198">
        <v>6.4088000000000003</v>
      </c>
      <c r="X857" s="198">
        <v>0.4723</v>
      </c>
      <c r="Y857" s="198">
        <v>12.254</v>
      </c>
      <c r="Z857" s="198">
        <v>0.30941000000000002</v>
      </c>
      <c r="AB857" s="1051">
        <v>43949</v>
      </c>
      <c r="AC857" s="198">
        <v>10.7164</v>
      </c>
      <c r="AD857" s="1053">
        <v>0.75719999999999998</v>
      </c>
      <c r="AE857" s="198">
        <v>6.4875999999999996</v>
      </c>
      <c r="AF857" s="198">
        <v>1.472E-2</v>
      </c>
      <c r="AH857" s="1051">
        <v>43949</v>
      </c>
      <c r="AI857" s="198">
        <v>7.4527999999999999</v>
      </c>
      <c r="AJ857" s="198">
        <v>1.2426999999999999</v>
      </c>
      <c r="AK857" s="198">
        <v>4.1417000000000002</v>
      </c>
      <c r="AL857" s="198">
        <v>1.3509999999999999E-2</v>
      </c>
      <c r="AN857" s="1051">
        <v>43957</v>
      </c>
      <c r="AO857" s="198">
        <v>6.5941000000000001</v>
      </c>
      <c r="AP857" s="198">
        <v>0.67259999999999998</v>
      </c>
      <c r="AQ857" s="198">
        <v>3.2890999999999999</v>
      </c>
      <c r="AR857" s="198">
        <v>0.12509999999999999</v>
      </c>
      <c r="AT857" s="1051">
        <v>43942</v>
      </c>
      <c r="AU857" s="198">
        <v>6.9065000000000003</v>
      </c>
      <c r="AV857" s="198">
        <v>0.48130000000000001</v>
      </c>
      <c r="AX857" s="198">
        <v>0.1087</v>
      </c>
      <c r="BA857" s="1051">
        <v>43942</v>
      </c>
      <c r="BB857" s="198">
        <v>5.4387999999999996</v>
      </c>
      <c r="BC857" s="198">
        <v>0.98250000000000004</v>
      </c>
      <c r="BD857" s="198">
        <v>6.1250999999999998</v>
      </c>
      <c r="BE857" s="198">
        <v>0.19700999999999999</v>
      </c>
      <c r="BG857" s="1051">
        <v>43942</v>
      </c>
      <c r="BH857" s="198">
        <v>9.2102000000000004</v>
      </c>
      <c r="BI857" s="198">
        <v>1.3387</v>
      </c>
      <c r="BJ857" s="198">
        <v>14.0982</v>
      </c>
      <c r="BT857" s="1051">
        <v>43991</v>
      </c>
      <c r="BU857" s="198">
        <v>10.070399999999999</v>
      </c>
      <c r="BV857" s="198">
        <v>3.004</v>
      </c>
      <c r="BW857" s="198">
        <v>6.5551000000000004</v>
      </c>
      <c r="BX857" s="198">
        <v>1.2339</v>
      </c>
      <c r="BZ857" s="1051">
        <v>43991</v>
      </c>
      <c r="CA857" s="198">
        <v>11.6432</v>
      </c>
      <c r="CB857" s="198">
        <v>1.6512</v>
      </c>
      <c r="CC857" s="198">
        <v>14.6409</v>
      </c>
      <c r="CD857" s="198">
        <v>0.68413999999999997</v>
      </c>
      <c r="CF857" s="1051">
        <v>43990</v>
      </c>
      <c r="CG857" s="198">
        <v>5.2111000000000001</v>
      </c>
      <c r="CH857" s="198">
        <v>0.83630000000000004</v>
      </c>
      <c r="CI857" s="198">
        <v>13.4331</v>
      </c>
      <c r="CL857" s="1051">
        <v>44012</v>
      </c>
      <c r="CM857" s="198">
        <v>24.264700000000001</v>
      </c>
      <c r="CN857" s="198">
        <v>2.3690000000000002</v>
      </c>
      <c r="CO857" s="198">
        <v>10.162000000000001</v>
      </c>
    </row>
    <row r="858" spans="1:93" s="198" customFormat="1">
      <c r="A858" s="1051">
        <v>43990</v>
      </c>
      <c r="B858" s="1052">
        <f t="shared" si="132"/>
        <v>7.0555000000000003</v>
      </c>
      <c r="C858" s="1052">
        <f t="shared" si="134"/>
        <v>6.4162999999999997</v>
      </c>
      <c r="D858" s="1052">
        <f t="shared" si="138"/>
        <v>9.6684999999999999</v>
      </c>
      <c r="E858" s="1052">
        <f t="shared" si="139"/>
        <v>6.7618</v>
      </c>
      <c r="F858" s="1052">
        <f t="shared" si="140"/>
        <v>12.7189</v>
      </c>
      <c r="G858" s="1052">
        <f t="shared" si="141"/>
        <v>6.3581000000000003</v>
      </c>
      <c r="H858" s="1047">
        <f t="shared" si="135"/>
        <v>6.7618</v>
      </c>
      <c r="I858" s="1048">
        <f t="shared" si="133"/>
        <v>4.3435179981661687E-2</v>
      </c>
      <c r="J858" s="1048">
        <f t="shared" si="136"/>
        <v>0.12093838824177333</v>
      </c>
      <c r="K858" s="1048">
        <f t="shared" si="137"/>
        <v>0.1</v>
      </c>
      <c r="L858" s="1048"/>
      <c r="N858" s="1051">
        <v>43990</v>
      </c>
      <c r="O858" s="1053">
        <v>7.0555000000000003</v>
      </c>
      <c r="P858" s="1053">
        <v>1.3633999999999999</v>
      </c>
      <c r="Q858" s="1053">
        <v>7.8022</v>
      </c>
      <c r="R858" s="1054">
        <f>'B. PE'!$U$23</f>
        <v>15.978235616082999</v>
      </c>
      <c r="S858" s="1054"/>
      <c r="T858" s="1054"/>
      <c r="V858" s="1051">
        <v>43990</v>
      </c>
      <c r="W858" s="198">
        <v>6.4162999999999997</v>
      </c>
      <c r="X858" s="198">
        <v>0.4728</v>
      </c>
      <c r="Y858" s="198">
        <v>12.259</v>
      </c>
      <c r="Z858" s="198">
        <v>0.30387999999999998</v>
      </c>
      <c r="AB858" s="1051">
        <v>43948</v>
      </c>
      <c r="AC858" s="198">
        <v>10.6708</v>
      </c>
      <c r="AD858" s="1053">
        <v>0.75390000000000001</v>
      </c>
      <c r="AE858" s="198">
        <v>6.4714</v>
      </c>
      <c r="AF858" s="198">
        <v>1.5810000000000001E-2</v>
      </c>
      <c r="AH858" s="1051">
        <v>43948</v>
      </c>
      <c r="AI858" s="198">
        <v>7.1841999999999997</v>
      </c>
      <c r="AJ858" s="198">
        <v>1.198</v>
      </c>
      <c r="AK858" s="198">
        <v>4.0111999999999997</v>
      </c>
      <c r="AL858" s="198">
        <v>1.3100000000000001E-2</v>
      </c>
      <c r="AN858" s="1051">
        <v>43956</v>
      </c>
      <c r="AO858" s="198">
        <v>6.5381999999999998</v>
      </c>
      <c r="AP858" s="198">
        <v>0.66690000000000005</v>
      </c>
      <c r="AQ858" s="198">
        <v>3.2443</v>
      </c>
      <c r="AR858" s="198">
        <v>0.12797</v>
      </c>
      <c r="AT858" s="1051">
        <v>43941</v>
      </c>
      <c r="AU858" s="198">
        <v>6.7625999999999999</v>
      </c>
      <c r="AV858" s="198">
        <v>0.4713</v>
      </c>
      <c r="AX858" s="198">
        <v>0.10514999999999999</v>
      </c>
      <c r="BA858" s="1051">
        <v>43941</v>
      </c>
      <c r="BB858" s="198">
        <v>5.2089999999999996</v>
      </c>
      <c r="BC858" s="198">
        <v>0.94099999999999995</v>
      </c>
      <c r="BD858" s="198">
        <v>5.96</v>
      </c>
      <c r="BE858" s="198">
        <v>0.18965000000000001</v>
      </c>
      <c r="BG858" s="1051">
        <v>43941</v>
      </c>
      <c r="BH858" s="198">
        <v>9.2979000000000003</v>
      </c>
      <c r="BI858" s="198">
        <v>1.3513999999999999</v>
      </c>
      <c r="BJ858" s="198">
        <v>14.1751</v>
      </c>
      <c r="BT858" s="1051">
        <v>43990</v>
      </c>
      <c r="BU858" s="198">
        <v>10.2294</v>
      </c>
      <c r="BV858" s="198">
        <v>3.0514000000000001</v>
      </c>
      <c r="BW858" s="198">
        <v>6.6479999999999997</v>
      </c>
      <c r="BX858" s="198">
        <v>1.2249000000000001</v>
      </c>
      <c r="BZ858" s="1051">
        <v>43990</v>
      </c>
      <c r="CA858" s="198">
        <v>11.898199999999999</v>
      </c>
      <c r="CB858" s="198">
        <v>1.6874</v>
      </c>
      <c r="CC858" s="198">
        <v>14.791600000000001</v>
      </c>
      <c r="CD858" s="198">
        <v>0.64029999999999998</v>
      </c>
      <c r="CF858" s="1051">
        <v>43987</v>
      </c>
      <c r="CG858" s="198">
        <v>5.3792</v>
      </c>
      <c r="CH858" s="198">
        <v>0.86319999999999997</v>
      </c>
      <c r="CI858" s="198">
        <v>13.517200000000001</v>
      </c>
      <c r="CL858" s="1051">
        <v>44011</v>
      </c>
      <c r="CM858" s="198">
        <v>22.724799999999998</v>
      </c>
      <c r="CN858" s="198">
        <v>2.2122999999999999</v>
      </c>
      <c r="CO858" s="198">
        <v>9.8256999999999994</v>
      </c>
    </row>
    <row r="859" spans="1:93" s="198" customFormat="1">
      <c r="A859" s="1051">
        <v>43987</v>
      </c>
      <c r="B859" s="1052">
        <f t="shared" si="132"/>
        <v>6.9211999999999998</v>
      </c>
      <c r="C859" s="1052">
        <f t="shared" si="134"/>
        <v>6.4013999999999998</v>
      </c>
      <c r="D859" s="1052">
        <f t="shared" si="138"/>
        <v>9.1648999999999994</v>
      </c>
      <c r="E859" s="1052">
        <f t="shared" si="139"/>
        <v>6.5941000000000001</v>
      </c>
      <c r="F859" s="1052">
        <f t="shared" si="140"/>
        <v>12.5434</v>
      </c>
      <c r="G859" s="1052">
        <f t="shared" si="141"/>
        <v>6.2815000000000003</v>
      </c>
      <c r="H859" s="1047">
        <f t="shared" si="135"/>
        <v>6.5941000000000001</v>
      </c>
      <c r="I859" s="1048">
        <f t="shared" si="133"/>
        <v>4.9604949879437532E-2</v>
      </c>
      <c r="J859" s="1048">
        <f t="shared" si="136"/>
        <v>0.12093838824177333</v>
      </c>
      <c r="K859" s="1048">
        <f t="shared" si="137"/>
        <v>0.1</v>
      </c>
      <c r="L859" s="1048"/>
      <c r="N859" s="1051">
        <v>43987</v>
      </c>
      <c r="O859" s="1053">
        <v>6.9211999999999998</v>
      </c>
      <c r="P859" s="1053">
        <v>1.3374999999999999</v>
      </c>
      <c r="Q859" s="1053">
        <v>7.6890000000000001</v>
      </c>
      <c r="R859" s="1054">
        <f>'B. PE'!$U$23</f>
        <v>15.978235616082999</v>
      </c>
      <c r="S859" s="1054"/>
      <c r="T859" s="1054"/>
      <c r="V859" s="1051">
        <v>43987</v>
      </c>
      <c r="W859" s="198">
        <v>6.4013999999999998</v>
      </c>
      <c r="X859" s="198">
        <v>0.47170000000000001</v>
      </c>
      <c r="Y859" s="198">
        <v>12.249000000000001</v>
      </c>
      <c r="Z859" s="198">
        <v>0.29670000000000002</v>
      </c>
      <c r="AB859" s="1051">
        <v>43945</v>
      </c>
      <c r="AC859" s="198">
        <v>10.4884</v>
      </c>
      <c r="AD859" s="1053">
        <v>0.74109999999999998</v>
      </c>
      <c r="AE859" s="198">
        <v>6.4062000000000001</v>
      </c>
      <c r="AF859" s="198">
        <v>1.538E-2</v>
      </c>
      <c r="AH859" s="1051">
        <v>43945</v>
      </c>
      <c r="AI859" s="198">
        <v>7.0834999999999999</v>
      </c>
      <c r="AJ859" s="198">
        <v>1.1812</v>
      </c>
      <c r="AK859" s="198">
        <v>3.9622999999999999</v>
      </c>
      <c r="AL859" s="198">
        <v>1.2880000000000001E-2</v>
      </c>
      <c r="AN859" s="1051">
        <v>43955</v>
      </c>
      <c r="AO859" s="198">
        <v>6.0353000000000003</v>
      </c>
      <c r="AP859" s="198">
        <v>0.61560000000000004</v>
      </c>
      <c r="AQ859" s="198">
        <v>2.8414999999999999</v>
      </c>
      <c r="AR859" s="198">
        <v>0.12317</v>
      </c>
      <c r="AT859" s="1051">
        <v>43938</v>
      </c>
      <c r="AU859" s="198">
        <v>6.8345000000000002</v>
      </c>
      <c r="AV859" s="198">
        <v>0.4763</v>
      </c>
      <c r="AX859" s="198">
        <v>0.10599</v>
      </c>
      <c r="BA859" s="1051">
        <v>43938</v>
      </c>
      <c r="BB859" s="198">
        <v>4.9025999999999996</v>
      </c>
      <c r="BC859" s="198">
        <v>0.88560000000000005</v>
      </c>
      <c r="BD859" s="198">
        <v>5.7398999999999996</v>
      </c>
      <c r="BE859" s="198">
        <v>0.19869000000000001</v>
      </c>
      <c r="BG859" s="1051">
        <v>43938</v>
      </c>
      <c r="BH859" s="198">
        <v>8.9471000000000007</v>
      </c>
      <c r="BI859" s="198">
        <v>1.3004</v>
      </c>
      <c r="BJ859" s="198">
        <v>13.8675</v>
      </c>
      <c r="BT859" s="1051">
        <v>43987</v>
      </c>
      <c r="BU859" s="198">
        <v>9.7752999999999997</v>
      </c>
      <c r="BV859" s="198">
        <v>2.9159999999999999</v>
      </c>
      <c r="BW859" s="198">
        <v>6.3825000000000003</v>
      </c>
      <c r="BX859" s="198">
        <v>1.2236</v>
      </c>
      <c r="BZ859" s="1051">
        <v>43987</v>
      </c>
      <c r="CA859" s="198">
        <v>11.6645</v>
      </c>
      <c r="CB859" s="198">
        <v>1.6541999999999999</v>
      </c>
      <c r="CC859" s="198">
        <v>14.653499999999999</v>
      </c>
      <c r="CD859" s="198">
        <v>0.65286999999999995</v>
      </c>
      <c r="CF859" s="1051">
        <v>43986</v>
      </c>
      <c r="CI859" s="198">
        <v>13.545299999999999</v>
      </c>
      <c r="CL859" s="1051">
        <v>44008</v>
      </c>
      <c r="CM859" s="198">
        <v>22.724799999999998</v>
      </c>
      <c r="CN859" s="198">
        <v>2.2122999999999999</v>
      </c>
      <c r="CO859" s="198">
        <v>9.8256999999999994</v>
      </c>
    </row>
    <row r="860" spans="1:93" s="198" customFormat="1">
      <c r="A860" s="1051">
        <v>43986</v>
      </c>
      <c r="B860" s="1052">
        <f t="shared" si="132"/>
        <v>6.6971999999999996</v>
      </c>
      <c r="C860" s="1052">
        <f t="shared" si="134"/>
        <v>6.2891000000000004</v>
      </c>
      <c r="D860" s="1052">
        <f t="shared" si="138"/>
        <v>9.1312999999999995</v>
      </c>
      <c r="E860" s="1052">
        <f t="shared" si="139"/>
        <v>6.5941000000000001</v>
      </c>
      <c r="F860" s="1052">
        <f t="shared" si="140"/>
        <v>12.6312</v>
      </c>
      <c r="G860" s="1052">
        <f t="shared" si="141"/>
        <v>6.3581000000000003</v>
      </c>
      <c r="H860" s="1047">
        <f t="shared" si="135"/>
        <v>6.5941000000000001</v>
      </c>
      <c r="I860" s="1048">
        <f t="shared" si="133"/>
        <v>1.5635189032620067E-2</v>
      </c>
      <c r="J860" s="1048">
        <f t="shared" si="136"/>
        <v>0.12093838824177333</v>
      </c>
      <c r="K860" s="1048">
        <f t="shared" si="137"/>
        <v>0.1</v>
      </c>
      <c r="L860" s="1048"/>
      <c r="N860" s="1051">
        <v>43986</v>
      </c>
      <c r="O860" s="1053">
        <v>6.6971999999999996</v>
      </c>
      <c r="P860" s="1053">
        <v>1.2942</v>
      </c>
      <c r="Q860" s="1053">
        <v>7.5002000000000004</v>
      </c>
      <c r="R860" s="1054">
        <f>'B. PE'!$U$23</f>
        <v>15.978235616082999</v>
      </c>
      <c r="S860" s="1054"/>
      <c r="T860" s="1054"/>
      <c r="V860" s="1051">
        <v>43986</v>
      </c>
      <c r="W860" s="198">
        <v>6.2891000000000004</v>
      </c>
      <c r="X860" s="198">
        <v>0.46339999999999998</v>
      </c>
      <c r="Y860" s="198">
        <v>12.1739</v>
      </c>
      <c r="Z860" s="198">
        <v>0.30259000000000003</v>
      </c>
      <c r="AB860" s="1051">
        <v>43944</v>
      </c>
      <c r="AC860" s="198">
        <v>11.1724</v>
      </c>
      <c r="AD860" s="1053">
        <v>0.78939999999999999</v>
      </c>
      <c r="AE860" s="198">
        <v>6.6505000000000001</v>
      </c>
      <c r="AF860" s="198">
        <v>1.5140000000000001E-2</v>
      </c>
      <c r="AH860" s="1051">
        <v>43944</v>
      </c>
      <c r="AI860" s="198">
        <v>6.8148999999999997</v>
      </c>
      <c r="AJ860" s="198">
        <v>1.1364000000000001</v>
      </c>
      <c r="AK860" s="198">
        <v>3.8317999999999999</v>
      </c>
      <c r="AL860" s="198">
        <v>1.278E-2</v>
      </c>
      <c r="AN860" s="1051">
        <v>43951</v>
      </c>
      <c r="AO860" s="198">
        <v>6.1471</v>
      </c>
      <c r="AP860" s="198">
        <v>0.627</v>
      </c>
      <c r="AQ860" s="198">
        <v>2.931</v>
      </c>
      <c r="AR860" s="198">
        <v>0.12152</v>
      </c>
      <c r="AT860" s="1051">
        <v>43937</v>
      </c>
      <c r="AU860" s="198">
        <v>6.6186999999999996</v>
      </c>
      <c r="AV860" s="198">
        <v>0.4612</v>
      </c>
      <c r="AX860" s="198">
        <v>0.10617</v>
      </c>
      <c r="BA860" s="1051">
        <v>43937</v>
      </c>
      <c r="BB860" s="198">
        <v>4.7493999999999996</v>
      </c>
      <c r="BC860" s="198">
        <v>0.85799999999999998</v>
      </c>
      <c r="BD860" s="198">
        <v>5.6298000000000004</v>
      </c>
      <c r="BE860" s="198">
        <v>0.19764999999999999</v>
      </c>
      <c r="BG860" s="1051">
        <v>43937</v>
      </c>
      <c r="BH860" s="198">
        <v>8.5961999999999996</v>
      </c>
      <c r="BI860" s="198">
        <v>1.2494000000000001</v>
      </c>
      <c r="BJ860" s="198">
        <v>13.559900000000001</v>
      </c>
      <c r="BT860" s="1051">
        <v>43986</v>
      </c>
      <c r="BU860" s="198">
        <v>9.7071000000000005</v>
      </c>
      <c r="BV860" s="198">
        <v>2.8956</v>
      </c>
      <c r="BW860" s="198">
        <v>6.3426999999999998</v>
      </c>
      <c r="BX860" s="198">
        <v>1.2225999999999999</v>
      </c>
      <c r="BZ860" s="1051">
        <v>43986</v>
      </c>
      <c r="CA860" s="198">
        <v>10.9208</v>
      </c>
      <c r="CB860" s="198">
        <v>1.5488</v>
      </c>
      <c r="CC860" s="198">
        <v>14.214</v>
      </c>
      <c r="CD860" s="198">
        <v>0.63688999999999996</v>
      </c>
      <c r="CF860" s="1051">
        <v>43985</v>
      </c>
      <c r="CI860" s="198">
        <v>13.545299999999999</v>
      </c>
      <c r="CL860" s="1051">
        <v>44007</v>
      </c>
      <c r="CM860" s="198">
        <v>22.461200000000002</v>
      </c>
      <c r="CN860" s="198">
        <v>2.1867000000000001</v>
      </c>
      <c r="CO860" s="198">
        <v>9.7109000000000005</v>
      </c>
    </row>
    <row r="861" spans="1:93" s="198" customFormat="1">
      <c r="A861" s="1051">
        <v>43985</v>
      </c>
      <c r="B861" s="1052">
        <f t="shared" si="132"/>
        <v>6.2603999999999997</v>
      </c>
      <c r="C861" s="1052">
        <f t="shared" si="134"/>
        <v>6.1393000000000004</v>
      </c>
      <c r="D861" s="1052">
        <f t="shared" si="138"/>
        <v>9.2992000000000008</v>
      </c>
      <c r="E861" s="1052">
        <f t="shared" si="139"/>
        <v>6.8177000000000003</v>
      </c>
      <c r="F861" s="1052">
        <f t="shared" si="140"/>
        <v>12.6312</v>
      </c>
      <c r="G861" s="1052">
        <f t="shared" si="141"/>
        <v>6.3581000000000003</v>
      </c>
      <c r="H861" s="1047">
        <f t="shared" si="135"/>
        <v>6.8177000000000003</v>
      </c>
      <c r="I861" s="1048">
        <f t="shared" si="133"/>
        <v>-8.1743109846429185E-2</v>
      </c>
      <c r="J861" s="1048">
        <f t="shared" si="136"/>
        <v>0.12093838824177333</v>
      </c>
      <c r="K861" s="1048">
        <f t="shared" si="137"/>
        <v>0.1</v>
      </c>
      <c r="L861" s="1048"/>
      <c r="N861" s="1051">
        <v>43985</v>
      </c>
      <c r="O861" s="1053">
        <v>6.2603999999999997</v>
      </c>
      <c r="P861" s="1053">
        <v>1.2098</v>
      </c>
      <c r="Q861" s="1053">
        <v>7.1321000000000003</v>
      </c>
      <c r="R861" s="1054">
        <f>'B. PE'!$U$23</f>
        <v>15.978235616082999</v>
      </c>
      <c r="S861" s="1054"/>
      <c r="T861" s="1054"/>
      <c r="V861" s="1051">
        <v>43985</v>
      </c>
      <c r="W861" s="198">
        <v>6.1393000000000004</v>
      </c>
      <c r="X861" s="198">
        <v>0.45240000000000002</v>
      </c>
      <c r="Y861" s="198">
        <v>12.0739</v>
      </c>
      <c r="Z861" s="198">
        <v>0.30320000000000003</v>
      </c>
      <c r="AB861" s="1051">
        <v>43943</v>
      </c>
      <c r="AC861" s="198">
        <v>10.9444</v>
      </c>
      <c r="AD861" s="1053">
        <v>0.77329999999999999</v>
      </c>
      <c r="AE861" s="198">
        <v>6.5690999999999997</v>
      </c>
      <c r="AF861" s="198">
        <v>1.576E-2</v>
      </c>
      <c r="AH861" s="1051">
        <v>43943</v>
      </c>
      <c r="AI861" s="198">
        <v>6.7477999999999998</v>
      </c>
      <c r="AJ861" s="198">
        <v>1.1252</v>
      </c>
      <c r="AK861" s="198">
        <v>3.7991999999999999</v>
      </c>
      <c r="AL861" s="198">
        <v>1.2930000000000001E-2</v>
      </c>
      <c r="AN861" s="1051">
        <v>43950</v>
      </c>
      <c r="AO861" s="198">
        <v>5.9794</v>
      </c>
      <c r="AP861" s="198">
        <v>0.6099</v>
      </c>
      <c r="AQ861" s="198">
        <v>2.7968000000000002</v>
      </c>
      <c r="AR861" s="198">
        <v>0.12501000000000001</v>
      </c>
      <c r="AT861" s="1051">
        <v>43936</v>
      </c>
      <c r="AU861" s="198">
        <v>6.6186999999999996</v>
      </c>
      <c r="AV861" s="198">
        <v>0.4612</v>
      </c>
      <c r="AX861" s="198">
        <v>0.10466</v>
      </c>
      <c r="BA861" s="1051">
        <v>43936</v>
      </c>
      <c r="BB861" s="198">
        <v>4.9791999999999996</v>
      </c>
      <c r="BC861" s="198">
        <v>0.89949999999999997</v>
      </c>
      <c r="BD861" s="198">
        <v>5.7949000000000002</v>
      </c>
      <c r="BE861" s="198">
        <v>0.19263</v>
      </c>
      <c r="BG861" s="1051">
        <v>43936</v>
      </c>
      <c r="BH861" s="198">
        <v>9.0348000000000006</v>
      </c>
      <c r="BI861" s="198">
        <v>1.3131999999999999</v>
      </c>
      <c r="BJ861" s="198">
        <v>13.9444</v>
      </c>
      <c r="BT861" s="1051">
        <v>43985</v>
      </c>
      <c r="BU861" s="198">
        <v>9.6958000000000002</v>
      </c>
      <c r="BV861" s="198">
        <v>2.8923000000000001</v>
      </c>
      <c r="BW861" s="198">
        <v>6.3360000000000003</v>
      </c>
      <c r="BX861" s="198">
        <v>1.2322</v>
      </c>
      <c r="BZ861" s="1051">
        <v>43985</v>
      </c>
      <c r="CA861" s="198">
        <v>11.1333</v>
      </c>
      <c r="CB861" s="198">
        <v>1.5789</v>
      </c>
      <c r="CC861" s="198">
        <v>14.339499999999999</v>
      </c>
      <c r="CD861" s="198">
        <v>0.66032000000000002</v>
      </c>
      <c r="CF861" s="1051">
        <v>43984</v>
      </c>
      <c r="CG861" s="198">
        <v>5.4352</v>
      </c>
      <c r="CH861" s="198">
        <v>0.87219999999999998</v>
      </c>
      <c r="CI861" s="198">
        <v>13.545299999999999</v>
      </c>
      <c r="CL861" s="1051">
        <v>44006</v>
      </c>
      <c r="CM861" s="198">
        <v>22.2164</v>
      </c>
      <c r="CN861" s="198">
        <v>2.1627999999999998</v>
      </c>
      <c r="CO861" s="198">
        <v>9.6042000000000005</v>
      </c>
    </row>
    <row r="862" spans="1:93" s="198" customFormat="1">
      <c r="A862" s="1051">
        <v>43984</v>
      </c>
      <c r="B862" s="1052">
        <f t="shared" si="132"/>
        <v>5.8571999999999997</v>
      </c>
      <c r="C862" s="1052">
        <f t="shared" si="134"/>
        <v>6.2591000000000001</v>
      </c>
      <c r="D862" s="1052">
        <f t="shared" si="138"/>
        <v>9.3999000000000006</v>
      </c>
      <c r="E862" s="1052">
        <f t="shared" si="139"/>
        <v>6.7058999999999997</v>
      </c>
      <c r="F862" s="1052">
        <f t="shared" si="140"/>
        <v>12.017099999999999</v>
      </c>
      <c r="G862" s="1052">
        <f t="shared" si="141"/>
        <v>5.9367999999999999</v>
      </c>
      <c r="H862" s="1047">
        <f t="shared" si="135"/>
        <v>6.7058999999999997</v>
      </c>
      <c r="I862" s="1048">
        <f t="shared" si="133"/>
        <v>-0.12656019326264933</v>
      </c>
      <c r="J862" s="1048">
        <f t="shared" si="136"/>
        <v>0.12093838824177333</v>
      </c>
      <c r="K862" s="1048">
        <f t="shared" si="137"/>
        <v>0.1</v>
      </c>
      <c r="L862" s="1048"/>
      <c r="N862" s="1051">
        <v>43984</v>
      </c>
      <c r="O862" s="1053">
        <v>5.8571999999999997</v>
      </c>
      <c r="P862" s="1053">
        <v>1.1318999999999999</v>
      </c>
      <c r="Q862" s="1053">
        <v>6.7923</v>
      </c>
      <c r="R862" s="1054">
        <f>'B. PE'!$U$23</f>
        <v>15.978235616082999</v>
      </c>
      <c r="S862" s="1054"/>
      <c r="T862" s="1054"/>
      <c r="V862" s="1051">
        <v>43984</v>
      </c>
      <c r="W862" s="198">
        <v>6.2591000000000001</v>
      </c>
      <c r="X862" s="198">
        <v>0.4612</v>
      </c>
      <c r="Y862" s="198">
        <v>12.1539</v>
      </c>
      <c r="Z862" s="198">
        <v>0.30008000000000001</v>
      </c>
      <c r="AB862" s="1051">
        <v>43942</v>
      </c>
      <c r="AC862" s="198">
        <v>10.853199999999999</v>
      </c>
      <c r="AD862" s="1053">
        <v>0.76680000000000004</v>
      </c>
      <c r="AE862" s="198">
        <v>6.5365000000000002</v>
      </c>
      <c r="AF862" s="198">
        <v>1.6119999999999999E-2</v>
      </c>
      <c r="AH862" s="1051">
        <v>43942</v>
      </c>
      <c r="AI862" s="198">
        <v>6.7477999999999998</v>
      </c>
      <c r="AJ862" s="198">
        <v>1.1252</v>
      </c>
      <c r="AK862" s="198">
        <v>3.7991999999999999</v>
      </c>
      <c r="AL862" s="198">
        <v>1.323E-2</v>
      </c>
      <c r="AN862" s="1051">
        <v>43949</v>
      </c>
      <c r="AO862" s="198">
        <v>5.9234999999999998</v>
      </c>
      <c r="AP862" s="198">
        <v>0.60419999999999996</v>
      </c>
      <c r="AQ862" s="198">
        <v>2.7519999999999998</v>
      </c>
      <c r="AR862" s="198">
        <v>0.12615999999999999</v>
      </c>
      <c r="AT862" s="1051">
        <v>43930</v>
      </c>
      <c r="AU862" s="198">
        <v>6.6186999999999996</v>
      </c>
      <c r="AV862" s="198">
        <v>0.4612</v>
      </c>
      <c r="AX862" s="198">
        <v>0.10144</v>
      </c>
      <c r="BA862" s="1051">
        <v>43935</v>
      </c>
      <c r="BB862" s="198">
        <v>4.9409000000000001</v>
      </c>
      <c r="BC862" s="198">
        <v>0.89259999999999995</v>
      </c>
      <c r="BD862" s="198">
        <v>5.7674000000000003</v>
      </c>
      <c r="BE862" s="198">
        <v>0.17892</v>
      </c>
      <c r="BG862" s="1051">
        <v>43935</v>
      </c>
      <c r="BH862" s="198">
        <v>9.2979000000000003</v>
      </c>
      <c r="BI862" s="198">
        <v>1.3513999999999999</v>
      </c>
      <c r="BJ862" s="198">
        <v>14.1751</v>
      </c>
      <c r="BT862" s="1051">
        <v>43984</v>
      </c>
      <c r="BU862" s="198">
        <v>9.6844000000000001</v>
      </c>
      <c r="BV862" s="198">
        <v>2.8889</v>
      </c>
      <c r="BW862" s="198">
        <v>6.3293999999999997</v>
      </c>
      <c r="BX862" s="198">
        <v>1.2112000000000001</v>
      </c>
      <c r="BZ862" s="1051">
        <v>43984</v>
      </c>
      <c r="CA862" s="198">
        <v>10.857100000000001</v>
      </c>
      <c r="CB862" s="198">
        <v>1.5397000000000001</v>
      </c>
      <c r="CC862" s="198">
        <v>14.176299999999999</v>
      </c>
      <c r="CD862" s="198">
        <v>0.65237000000000001</v>
      </c>
      <c r="CF862" s="1051">
        <v>43983</v>
      </c>
      <c r="CG862" s="198">
        <v>5.3792</v>
      </c>
      <c r="CH862" s="198">
        <v>0.86319999999999997</v>
      </c>
      <c r="CI862" s="198">
        <v>13.517200000000001</v>
      </c>
      <c r="CL862" s="1051">
        <v>44005</v>
      </c>
      <c r="CM862" s="198">
        <v>22.593</v>
      </c>
      <c r="CN862" s="198">
        <v>2.1995</v>
      </c>
      <c r="CO862" s="198">
        <v>9.7683</v>
      </c>
    </row>
    <row r="863" spans="1:93" s="198" customFormat="1">
      <c r="A863" s="1051">
        <v>43983</v>
      </c>
      <c r="B863" s="1052">
        <f t="shared" si="132"/>
        <v>6.0476000000000001</v>
      </c>
      <c r="C863" s="1052">
        <f t="shared" si="134"/>
        <v>6.2740999999999998</v>
      </c>
      <c r="D863" s="1052">
        <f t="shared" si="138"/>
        <v>9.3999000000000006</v>
      </c>
      <c r="E863" s="1052">
        <f t="shared" si="139"/>
        <v>6.4824000000000002</v>
      </c>
      <c r="F863" s="1052">
        <f t="shared" si="140"/>
        <v>11.841699999999999</v>
      </c>
      <c r="G863" s="1052">
        <f t="shared" si="141"/>
        <v>5.8601999999999999</v>
      </c>
      <c r="H863" s="1047">
        <f t="shared" si="135"/>
        <v>6.4824000000000002</v>
      </c>
      <c r="I863" s="1048">
        <f t="shared" si="133"/>
        <v>-6.7073923238306854E-2</v>
      </c>
      <c r="J863" s="1048">
        <f t="shared" si="136"/>
        <v>0.12093838824177333</v>
      </c>
      <c r="K863" s="1048">
        <f t="shared" si="137"/>
        <v>0.1</v>
      </c>
      <c r="L863" s="1048"/>
      <c r="N863" s="1051">
        <v>43983</v>
      </c>
      <c r="O863" s="1053">
        <v>6.0476000000000001</v>
      </c>
      <c r="P863" s="1053">
        <v>1.1687000000000001</v>
      </c>
      <c r="Q863" s="1053">
        <v>6.9527999999999999</v>
      </c>
      <c r="R863" s="1054">
        <f>'B. PE'!$U$23</f>
        <v>15.978235616082999</v>
      </c>
      <c r="S863" s="1054"/>
      <c r="T863" s="1054"/>
      <c r="V863" s="1051">
        <v>43983</v>
      </c>
      <c r="W863" s="198">
        <v>6.2740999999999998</v>
      </c>
      <c r="X863" s="198">
        <v>0.46229999999999999</v>
      </c>
      <c r="Y863" s="198">
        <v>12.1639</v>
      </c>
      <c r="Z863" s="198">
        <v>0.30553000000000002</v>
      </c>
      <c r="AB863" s="1051">
        <v>43941</v>
      </c>
      <c r="AC863" s="198">
        <v>11.1724</v>
      </c>
      <c r="AD863" s="1053">
        <v>0.78939999999999999</v>
      </c>
      <c r="AE863" s="198">
        <v>6.6505000000000001</v>
      </c>
      <c r="AF863" s="198">
        <v>1.519E-2</v>
      </c>
      <c r="AH863" s="1051">
        <v>43941</v>
      </c>
      <c r="AI863" s="198">
        <v>6.7477999999999998</v>
      </c>
      <c r="AJ863" s="198">
        <v>1.1252</v>
      </c>
      <c r="AK863" s="198">
        <v>3.7991999999999999</v>
      </c>
      <c r="AL863" s="198">
        <v>1.3990000000000001E-2</v>
      </c>
      <c r="AN863" s="1051">
        <v>43948</v>
      </c>
      <c r="AO863" s="198">
        <v>6.0911999999999997</v>
      </c>
      <c r="AP863" s="198">
        <v>0.62129999999999996</v>
      </c>
      <c r="AQ863" s="198">
        <v>2.8862999999999999</v>
      </c>
      <c r="AR863" s="198">
        <v>0.12385</v>
      </c>
      <c r="AT863" s="1051">
        <v>43929</v>
      </c>
      <c r="AU863" s="198">
        <v>6.5468000000000002</v>
      </c>
      <c r="AV863" s="198">
        <v>0.45619999999999999</v>
      </c>
      <c r="AX863" s="198">
        <v>9.9690000000000001E-2</v>
      </c>
      <c r="BA863" s="1051">
        <v>43934</v>
      </c>
      <c r="BB863" s="198">
        <v>4.8259999999999996</v>
      </c>
      <c r="BC863" s="198">
        <v>0.87180000000000002</v>
      </c>
      <c r="BD863" s="198">
        <v>5.6848999999999998</v>
      </c>
      <c r="BE863" s="198">
        <v>0.17605000000000001</v>
      </c>
      <c r="BG863" s="1051">
        <v>43934</v>
      </c>
      <c r="BH863" s="198">
        <v>8.9471000000000007</v>
      </c>
      <c r="BI863" s="198">
        <v>1.3004</v>
      </c>
      <c r="BJ863" s="198">
        <v>13.8675</v>
      </c>
      <c r="BT863" s="1051">
        <v>43983</v>
      </c>
      <c r="BU863" s="198">
        <v>9.7638999999999996</v>
      </c>
      <c r="BV863" s="198">
        <v>2.9125999999999999</v>
      </c>
      <c r="BW863" s="198">
        <v>6.3758999999999997</v>
      </c>
      <c r="BX863" s="198">
        <v>1.2113</v>
      </c>
      <c r="BZ863" s="1051">
        <v>43983</v>
      </c>
      <c r="CA863" s="198">
        <v>11.2608</v>
      </c>
      <c r="CB863" s="198">
        <v>1.597</v>
      </c>
      <c r="CC863" s="198">
        <v>14.414899999999999</v>
      </c>
      <c r="CD863" s="198">
        <v>0.61931000000000003</v>
      </c>
      <c r="CF863" s="1051">
        <v>43980</v>
      </c>
      <c r="CI863" s="198">
        <v>13.6294</v>
      </c>
      <c r="CL863" s="1051">
        <v>44004</v>
      </c>
      <c r="CM863" s="198">
        <v>22.630600000000001</v>
      </c>
      <c r="CN863" s="198">
        <v>2.2031999999999998</v>
      </c>
      <c r="CO863" s="198">
        <v>9.7847000000000008</v>
      </c>
    </row>
    <row r="864" spans="1:93" s="198" customFormat="1">
      <c r="A864" s="1051">
        <v>43980</v>
      </c>
      <c r="B864" s="1052">
        <f t="shared" si="132"/>
        <v>6.0476000000000001</v>
      </c>
      <c r="C864" s="1052">
        <f t="shared" si="134"/>
        <v>6.2141999999999999</v>
      </c>
      <c r="D864" s="1052">
        <f t="shared" si="138"/>
        <v>8.7620000000000005</v>
      </c>
      <c r="E864" s="1052">
        <f t="shared" si="139"/>
        <v>6.3147000000000002</v>
      </c>
      <c r="F864" s="1052">
        <f t="shared" si="140"/>
        <v>11.4908</v>
      </c>
      <c r="G864" s="1052">
        <f t="shared" si="141"/>
        <v>5.8217999999999996</v>
      </c>
      <c r="H864" s="1047">
        <f t="shared" si="135"/>
        <v>6.3147000000000002</v>
      </c>
      <c r="I864" s="1048">
        <f t="shared" si="133"/>
        <v>-4.2298129760717118E-2</v>
      </c>
      <c r="J864" s="1048">
        <f t="shared" si="136"/>
        <v>0.12093838824177333</v>
      </c>
      <c r="K864" s="1048">
        <f t="shared" si="137"/>
        <v>0.1</v>
      </c>
      <c r="L864" s="1048"/>
      <c r="N864" s="1051">
        <v>43980</v>
      </c>
      <c r="O864" s="1053">
        <v>6.0476000000000001</v>
      </c>
      <c r="P864" s="1053">
        <v>1.1687000000000001</v>
      </c>
      <c r="Q864" s="1053">
        <v>6.9527999999999999</v>
      </c>
      <c r="R864" s="1054">
        <f>'B. PE'!$U$23</f>
        <v>15.978235616082999</v>
      </c>
      <c r="S864" s="1054"/>
      <c r="T864" s="1054"/>
      <c r="V864" s="1051">
        <v>43980</v>
      </c>
      <c r="W864" s="198">
        <v>6.2141999999999999</v>
      </c>
      <c r="X864" s="198">
        <v>0.45789999999999997</v>
      </c>
      <c r="Y864" s="198">
        <v>12.123900000000001</v>
      </c>
      <c r="Z864" s="198">
        <v>0.31612000000000001</v>
      </c>
      <c r="AB864" s="1051">
        <v>43938</v>
      </c>
      <c r="AC864" s="198">
        <v>11.446</v>
      </c>
      <c r="AD864" s="1053">
        <v>0.80869999999999997</v>
      </c>
      <c r="AE864" s="198">
        <v>6.7481999999999998</v>
      </c>
      <c r="AF864" s="198">
        <v>1.438E-2</v>
      </c>
      <c r="AH864" s="1051">
        <v>43938</v>
      </c>
      <c r="AI864" s="198">
        <v>6.9156000000000004</v>
      </c>
      <c r="AJ864" s="198">
        <v>1.1532</v>
      </c>
      <c r="AK864" s="198">
        <v>3.8807</v>
      </c>
      <c r="AL864" s="198">
        <v>1.4250000000000001E-2</v>
      </c>
      <c r="AN864" s="1051">
        <v>43945</v>
      </c>
      <c r="AO864" s="198">
        <v>6.1471</v>
      </c>
      <c r="AP864" s="198">
        <v>0.627</v>
      </c>
      <c r="AQ864" s="198">
        <v>2.931</v>
      </c>
      <c r="AR864" s="198">
        <v>0.12492</v>
      </c>
      <c r="AT864" s="1051">
        <v>43928</v>
      </c>
      <c r="AU864" s="198">
        <v>6.3308999999999997</v>
      </c>
      <c r="AV864" s="198">
        <v>0.44119999999999998</v>
      </c>
      <c r="AX864" s="198">
        <v>9.6360000000000001E-2</v>
      </c>
      <c r="BA864" s="1051">
        <v>43931</v>
      </c>
      <c r="BB864" s="198">
        <v>4.4813000000000001</v>
      </c>
      <c r="BC864" s="198">
        <v>0.8095</v>
      </c>
      <c r="BD864" s="198">
        <v>5.4371999999999998</v>
      </c>
      <c r="BE864" s="198">
        <v>0.17261000000000001</v>
      </c>
      <c r="BG864" s="1051">
        <v>43931</v>
      </c>
      <c r="BH864" s="198">
        <v>7.9996999999999998</v>
      </c>
      <c r="BI864" s="198">
        <v>1.1627000000000001</v>
      </c>
      <c r="BJ864" s="198">
        <v>13.037000000000001</v>
      </c>
      <c r="BT864" s="1051">
        <v>43980</v>
      </c>
      <c r="BU864" s="198">
        <v>9.6050000000000004</v>
      </c>
      <c r="BV864" s="198">
        <v>2.8652000000000002</v>
      </c>
      <c r="BW864" s="198">
        <v>6.2828999999999997</v>
      </c>
      <c r="BX864" s="198">
        <v>1.2118</v>
      </c>
      <c r="BZ864" s="1051">
        <v>43980</v>
      </c>
      <c r="CA864" s="198">
        <v>11.1333</v>
      </c>
      <c r="CB864" s="198">
        <v>1.5789</v>
      </c>
      <c r="CC864" s="198">
        <v>14.339499999999999</v>
      </c>
      <c r="CD864" s="198">
        <v>0.63124999999999998</v>
      </c>
      <c r="CF864" s="1051">
        <v>43979</v>
      </c>
      <c r="CG864" s="198">
        <v>5.6032999999999999</v>
      </c>
      <c r="CH864" s="198">
        <v>0.8992</v>
      </c>
      <c r="CI864" s="198">
        <v>13.6294</v>
      </c>
      <c r="CL864" s="1051">
        <v>44001</v>
      </c>
      <c r="CM864" s="198">
        <v>22.6494</v>
      </c>
      <c r="CN864" s="198">
        <v>2.2050000000000001</v>
      </c>
      <c r="CO864" s="198">
        <v>9.7928999999999995</v>
      </c>
    </row>
    <row r="865" spans="1:93" s="198" customFormat="1">
      <c r="A865" s="1051">
        <v>43979</v>
      </c>
      <c r="B865" s="1052">
        <f t="shared" si="132"/>
        <v>6.0027999999999997</v>
      </c>
      <c r="C865" s="1052">
        <f t="shared" si="134"/>
        <v>6.3339999999999996</v>
      </c>
      <c r="D865" s="1052">
        <f t="shared" si="138"/>
        <v>8.8627000000000002</v>
      </c>
      <c r="E865" s="1052">
        <f t="shared" si="139"/>
        <v>6.5381999999999998</v>
      </c>
      <c r="F865" s="1052">
        <f t="shared" si="140"/>
        <v>11.4031</v>
      </c>
      <c r="G865" s="1052">
        <f t="shared" si="141"/>
        <v>5.8217999999999996</v>
      </c>
      <c r="H865" s="1047">
        <f t="shared" si="135"/>
        <v>6.5381999999999998</v>
      </c>
      <c r="I865" s="1048">
        <f t="shared" si="133"/>
        <v>-8.1887981401609022E-2</v>
      </c>
      <c r="J865" s="1048">
        <f t="shared" si="136"/>
        <v>0.12093838824177333</v>
      </c>
      <c r="K865" s="1048">
        <f t="shared" si="137"/>
        <v>0.1</v>
      </c>
      <c r="L865" s="1048"/>
      <c r="N865" s="1051">
        <v>43979</v>
      </c>
      <c r="O865" s="1053">
        <v>6.0027999999999997</v>
      </c>
      <c r="P865" s="1053">
        <v>1.1599999999999999</v>
      </c>
      <c r="Q865" s="1053">
        <v>6.915</v>
      </c>
      <c r="R865" s="1054">
        <f>'B. PE'!$U$23</f>
        <v>15.978235616082999</v>
      </c>
      <c r="S865" s="1054"/>
      <c r="T865" s="1054"/>
      <c r="V865" s="1051">
        <v>43979</v>
      </c>
      <c r="W865" s="198">
        <v>6.3339999999999996</v>
      </c>
      <c r="X865" s="198">
        <v>0.4667</v>
      </c>
      <c r="Y865" s="198">
        <v>12.204000000000001</v>
      </c>
      <c r="Z865" s="198">
        <v>0.32235000000000003</v>
      </c>
      <c r="AB865" s="1051">
        <v>43937</v>
      </c>
      <c r="AC865" s="198">
        <v>10.8988</v>
      </c>
      <c r="AD865" s="1053">
        <v>0.77</v>
      </c>
      <c r="AE865" s="198">
        <v>6.5528000000000004</v>
      </c>
      <c r="AF865" s="198">
        <v>1.5429999999999999E-2</v>
      </c>
      <c r="AH865" s="1051">
        <v>43937</v>
      </c>
      <c r="AI865" s="198">
        <v>7.3856000000000002</v>
      </c>
      <c r="AJ865" s="198">
        <v>1.2315</v>
      </c>
      <c r="AK865" s="198">
        <v>4.109</v>
      </c>
      <c r="AL865" s="198">
        <v>1.511E-2</v>
      </c>
      <c r="AN865" s="1051">
        <v>43944</v>
      </c>
      <c r="AO865" s="198">
        <v>6.0353000000000003</v>
      </c>
      <c r="AP865" s="198">
        <v>0.61560000000000004</v>
      </c>
      <c r="AQ865" s="198">
        <v>2.8414999999999999</v>
      </c>
      <c r="AR865" s="198">
        <v>0.12171999999999999</v>
      </c>
      <c r="AT865" s="1051">
        <v>43927</v>
      </c>
      <c r="AU865" s="198">
        <v>6.2590000000000003</v>
      </c>
      <c r="AV865" s="198">
        <v>0.43619999999999998</v>
      </c>
      <c r="AX865" s="198">
        <v>9.6369999999999997E-2</v>
      </c>
      <c r="BA865" s="1051">
        <v>43930</v>
      </c>
      <c r="BB865" s="198">
        <v>4.4047000000000001</v>
      </c>
      <c r="BC865" s="198">
        <v>0.79569999999999996</v>
      </c>
      <c r="BD865" s="198">
        <v>5.3822000000000001</v>
      </c>
      <c r="BE865" s="198">
        <v>0.17265</v>
      </c>
      <c r="BG865" s="1051">
        <v>43930</v>
      </c>
      <c r="BH865" s="198">
        <v>7.7541000000000002</v>
      </c>
      <c r="BI865" s="198">
        <v>1.127</v>
      </c>
      <c r="BJ865" s="198">
        <v>12.8217</v>
      </c>
      <c r="BT865" s="1051">
        <v>43979</v>
      </c>
      <c r="BU865" s="198">
        <v>9.6163000000000007</v>
      </c>
      <c r="BV865" s="198">
        <v>2.8685999999999998</v>
      </c>
      <c r="BW865" s="198">
        <v>6.2896000000000001</v>
      </c>
      <c r="BX865" s="198">
        <v>1.2364999999999999</v>
      </c>
      <c r="BZ865" s="1051">
        <v>43979</v>
      </c>
      <c r="CA865" s="198">
        <v>10.5809</v>
      </c>
      <c r="CB865" s="198">
        <v>1.5005999999999999</v>
      </c>
      <c r="CC865" s="198">
        <v>14.013</v>
      </c>
      <c r="CD865" s="198">
        <v>0.67867999999999995</v>
      </c>
      <c r="CF865" s="1051">
        <v>43978</v>
      </c>
      <c r="CG865" s="198">
        <v>5.6032999999999999</v>
      </c>
      <c r="CH865" s="198">
        <v>0.8992</v>
      </c>
      <c r="CI865" s="198">
        <v>13.6294</v>
      </c>
      <c r="CL865" s="1051">
        <v>44000</v>
      </c>
      <c r="CM865" s="198">
        <v>22.404699999999998</v>
      </c>
      <c r="CN865" s="198">
        <v>2.1812</v>
      </c>
      <c r="CO865" s="198">
        <v>9.6861999999999995</v>
      </c>
    </row>
    <row r="866" spans="1:93" s="198" customFormat="1">
      <c r="A866" s="1051">
        <v>43978</v>
      </c>
      <c r="B866" s="1052">
        <f t="shared" si="132"/>
        <v>5.9804000000000004</v>
      </c>
      <c r="C866" s="1052">
        <f t="shared" si="134"/>
        <v>6.5586000000000002</v>
      </c>
      <c r="D866" s="1052">
        <f t="shared" si="138"/>
        <v>9.1312999999999995</v>
      </c>
      <c r="E866" s="1052">
        <f t="shared" si="139"/>
        <v>6.8177000000000003</v>
      </c>
      <c r="F866" s="1052">
        <f t="shared" si="140"/>
        <v>11.2277</v>
      </c>
      <c r="G866" s="1052">
        <f t="shared" si="141"/>
        <v>5.8217999999999996</v>
      </c>
      <c r="H866" s="1047">
        <f t="shared" si="135"/>
        <v>6.8177000000000003</v>
      </c>
      <c r="I866" s="1048">
        <f t="shared" si="133"/>
        <v>-0.12281267876263258</v>
      </c>
      <c r="J866" s="1048">
        <f t="shared" si="136"/>
        <v>0.12093838824177333</v>
      </c>
      <c r="K866" s="1048">
        <f t="shared" si="137"/>
        <v>0.1</v>
      </c>
      <c r="L866" s="1048"/>
      <c r="N866" s="1051">
        <v>43978</v>
      </c>
      <c r="O866" s="1053">
        <v>5.9804000000000004</v>
      </c>
      <c r="P866" s="1053">
        <v>1.1556999999999999</v>
      </c>
      <c r="Q866" s="1053">
        <v>6.8960999999999997</v>
      </c>
      <c r="R866" s="1054">
        <f>'B. PE'!$U$23</f>
        <v>15.978235616082999</v>
      </c>
      <c r="S866" s="1054"/>
      <c r="T866" s="1054"/>
      <c r="V866" s="1051">
        <v>43978</v>
      </c>
      <c r="W866" s="198">
        <v>6.5586000000000002</v>
      </c>
      <c r="X866" s="198">
        <v>0.48330000000000001</v>
      </c>
      <c r="Y866" s="198">
        <v>12.354100000000001</v>
      </c>
      <c r="Z866" s="198">
        <v>0.31790000000000002</v>
      </c>
      <c r="AB866" s="1051">
        <v>43936</v>
      </c>
      <c r="AC866" s="198">
        <v>10.305999999999999</v>
      </c>
      <c r="AD866" s="1053">
        <v>0.72819999999999996</v>
      </c>
      <c r="AE866" s="198">
        <v>6.3411</v>
      </c>
      <c r="AF866" s="198">
        <v>1.345E-2</v>
      </c>
      <c r="AH866" s="1051">
        <v>43936</v>
      </c>
      <c r="AI866" s="198">
        <v>7.5198999999999998</v>
      </c>
      <c r="AJ866" s="198">
        <v>1.2539</v>
      </c>
      <c r="AK866" s="198">
        <v>4.1742999999999997</v>
      </c>
      <c r="AL866" s="198">
        <v>1.516E-2</v>
      </c>
      <c r="AN866" s="1051">
        <v>43943</v>
      </c>
      <c r="AO866" s="198">
        <v>6.0911999999999997</v>
      </c>
      <c r="AP866" s="198">
        <v>0.62129999999999996</v>
      </c>
      <c r="AQ866" s="198">
        <v>2.8862999999999999</v>
      </c>
      <c r="AR866" s="198">
        <v>0.12459000000000001</v>
      </c>
      <c r="AT866" s="1051">
        <v>43924</v>
      </c>
      <c r="AU866" s="198">
        <v>6.0431999999999997</v>
      </c>
      <c r="AV866" s="198">
        <v>0.42109999999999997</v>
      </c>
      <c r="AX866" s="198">
        <v>9.6379999999999993E-2</v>
      </c>
      <c r="BA866" s="1051">
        <v>43929</v>
      </c>
      <c r="BB866" s="198">
        <v>4.3281000000000001</v>
      </c>
      <c r="BC866" s="198">
        <v>0.78190000000000004</v>
      </c>
      <c r="BD866" s="198">
        <v>5.3272000000000004</v>
      </c>
      <c r="BE866" s="198">
        <v>0.16052</v>
      </c>
      <c r="BG866" s="1051">
        <v>43929</v>
      </c>
      <c r="BH866" s="198">
        <v>7.7541000000000002</v>
      </c>
      <c r="BI866" s="198">
        <v>1.127</v>
      </c>
      <c r="BJ866" s="198">
        <v>12.8217</v>
      </c>
      <c r="BT866" s="1051">
        <v>43978</v>
      </c>
      <c r="BU866" s="198">
        <v>9.6277000000000008</v>
      </c>
      <c r="BV866" s="198">
        <v>2.8719000000000001</v>
      </c>
      <c r="BW866" s="198">
        <v>6.2961999999999998</v>
      </c>
      <c r="BX866" s="198">
        <v>1.2317</v>
      </c>
      <c r="BZ866" s="1051">
        <v>43978</v>
      </c>
      <c r="CA866" s="198">
        <v>10.7933</v>
      </c>
      <c r="CB866" s="198">
        <v>1.5306999999999999</v>
      </c>
      <c r="CC866" s="198">
        <v>14.1386</v>
      </c>
      <c r="CD866" s="198">
        <v>0.66552</v>
      </c>
      <c r="CF866" s="1051">
        <v>43977</v>
      </c>
      <c r="CG866" s="198">
        <v>5.2671000000000001</v>
      </c>
      <c r="CH866" s="198">
        <v>0.84530000000000005</v>
      </c>
      <c r="CI866" s="198">
        <v>13.4612</v>
      </c>
      <c r="CL866" s="1051">
        <v>43999</v>
      </c>
      <c r="CM866" s="198">
        <v>22.178799999999999</v>
      </c>
      <c r="CN866" s="198">
        <v>2.1591999999999998</v>
      </c>
      <c r="CO866" s="198">
        <v>9.5877999999999997</v>
      </c>
    </row>
    <row r="867" spans="1:93" s="198" customFormat="1">
      <c r="A867" s="1051">
        <v>43977</v>
      </c>
      <c r="B867" s="1052">
        <f t="shared" si="132"/>
        <v>6.1372</v>
      </c>
      <c r="C867" s="1052">
        <f t="shared" si="134"/>
        <v>6.6859000000000002</v>
      </c>
      <c r="D867" s="1052">
        <f t="shared" si="138"/>
        <v>8.9298999999999999</v>
      </c>
      <c r="E867" s="1052">
        <f t="shared" si="139"/>
        <v>6.8177000000000003</v>
      </c>
      <c r="F867" s="1052">
        <f t="shared" si="140"/>
        <v>11.14</v>
      </c>
      <c r="G867" s="1052">
        <f t="shared" si="141"/>
        <v>5.8217999999999996</v>
      </c>
      <c r="H867" s="1047">
        <f t="shared" si="135"/>
        <v>6.8177000000000003</v>
      </c>
      <c r="I867" s="1048">
        <f t="shared" si="133"/>
        <v>-9.9813720169558695E-2</v>
      </c>
      <c r="J867" s="1048">
        <f t="shared" si="136"/>
        <v>0.12093838824177333</v>
      </c>
      <c r="K867" s="1048">
        <f t="shared" si="137"/>
        <v>0.1</v>
      </c>
      <c r="L867" s="1048"/>
      <c r="N867" s="1051">
        <v>43977</v>
      </c>
      <c r="O867" s="1053">
        <v>6.1372</v>
      </c>
      <c r="P867" s="1053">
        <v>1.1859999999999999</v>
      </c>
      <c r="Q867" s="1053">
        <v>7.0282999999999998</v>
      </c>
      <c r="R867" s="1054">
        <f>'B. PE'!$U$23</f>
        <v>15.978235616082999</v>
      </c>
      <c r="S867" s="1054"/>
      <c r="T867" s="1054"/>
      <c r="V867" s="1051">
        <v>43977</v>
      </c>
      <c r="W867" s="198">
        <v>6.6859000000000002</v>
      </c>
      <c r="X867" s="198">
        <v>0.49270000000000003</v>
      </c>
      <c r="Y867" s="198">
        <v>12.4391</v>
      </c>
      <c r="Z867" s="198">
        <v>0.32963999999999999</v>
      </c>
      <c r="AB867" s="1051">
        <v>43935</v>
      </c>
      <c r="AC867" s="198">
        <v>10.99</v>
      </c>
      <c r="AD867" s="1053">
        <v>0.77649999999999997</v>
      </c>
      <c r="AE867" s="198">
        <v>6.5853999999999999</v>
      </c>
      <c r="AF867" s="198">
        <v>1.391E-2</v>
      </c>
      <c r="AH867" s="1051">
        <v>43935</v>
      </c>
      <c r="AI867" s="198">
        <v>7.9227999999999996</v>
      </c>
      <c r="AJ867" s="198">
        <v>1.3210999999999999</v>
      </c>
      <c r="AK867" s="198">
        <v>4.37</v>
      </c>
      <c r="AL867" s="198">
        <v>1.512E-2</v>
      </c>
      <c r="AN867" s="1051">
        <v>43942</v>
      </c>
      <c r="AO867" s="198">
        <v>5.9794</v>
      </c>
      <c r="AP867" s="198">
        <v>0.6099</v>
      </c>
      <c r="AQ867" s="198">
        <v>2.7968000000000002</v>
      </c>
      <c r="AR867" s="198">
        <v>0.12471</v>
      </c>
      <c r="AT867" s="1051">
        <v>43923</v>
      </c>
      <c r="AU867" s="198">
        <v>6.0431999999999997</v>
      </c>
      <c r="AV867" s="198">
        <v>0.42109999999999997</v>
      </c>
      <c r="AX867" s="198">
        <v>9.8479999999999998E-2</v>
      </c>
      <c r="BA867" s="1051">
        <v>43928</v>
      </c>
      <c r="BB867" s="198">
        <v>4.3281000000000001</v>
      </c>
      <c r="BC867" s="198">
        <v>0.78190000000000004</v>
      </c>
      <c r="BD867" s="198">
        <v>5.3272000000000004</v>
      </c>
      <c r="BE867" s="198">
        <v>0.16250000000000001</v>
      </c>
      <c r="BG867" s="1051">
        <v>43928</v>
      </c>
      <c r="BH867" s="198">
        <v>7.298</v>
      </c>
      <c r="BI867" s="198">
        <v>1.0607</v>
      </c>
      <c r="BJ867" s="198">
        <v>12.421900000000001</v>
      </c>
      <c r="BT867" s="1051">
        <v>43977</v>
      </c>
      <c r="BU867" s="198">
        <v>9.8207000000000004</v>
      </c>
      <c r="BV867" s="198">
        <v>2.9295</v>
      </c>
      <c r="BW867" s="198">
        <v>6.4090999999999996</v>
      </c>
      <c r="BX867" s="198">
        <v>1.218</v>
      </c>
      <c r="BZ867" s="1051">
        <v>43977</v>
      </c>
      <c r="CA867" s="198">
        <v>11.6007</v>
      </c>
      <c r="CB867" s="198">
        <v>1.6452</v>
      </c>
      <c r="CC867" s="198">
        <v>14.6158</v>
      </c>
      <c r="CD867" s="198">
        <v>0.623</v>
      </c>
      <c r="CF867" s="1051">
        <v>43976</v>
      </c>
      <c r="CI867" s="198">
        <v>13.6294</v>
      </c>
      <c r="CL867" s="1051">
        <v>43998</v>
      </c>
      <c r="CM867" s="198">
        <v>21.934000000000001</v>
      </c>
      <c r="CN867" s="198">
        <v>2.1354000000000002</v>
      </c>
      <c r="CO867" s="198">
        <v>9.4810999999999996</v>
      </c>
    </row>
    <row r="868" spans="1:93" s="198" customFormat="1">
      <c r="A868" s="1051">
        <v>43976</v>
      </c>
      <c r="B868" s="1052">
        <f t="shared" si="132"/>
        <v>6.07</v>
      </c>
      <c r="C868" s="1052">
        <f t="shared" si="134"/>
        <v>6.5884999999999998</v>
      </c>
      <c r="D868" s="1052">
        <f t="shared" si="138"/>
        <v>8.9298999999999999</v>
      </c>
      <c r="E868" s="1052">
        <f t="shared" si="139"/>
        <v>6.8177000000000003</v>
      </c>
      <c r="F868" s="1052">
        <f t="shared" si="140"/>
        <v>11.052300000000001</v>
      </c>
      <c r="G868" s="1052">
        <f t="shared" si="141"/>
        <v>5.7835000000000001</v>
      </c>
      <c r="H868" s="1047">
        <f t="shared" si="135"/>
        <v>6.8177000000000003</v>
      </c>
      <c r="I868" s="1048">
        <f t="shared" si="133"/>
        <v>-0.10967041670944744</v>
      </c>
      <c r="J868" s="1048">
        <f t="shared" si="136"/>
        <v>0.12093838824177333</v>
      </c>
      <c r="K868" s="1048">
        <f t="shared" si="137"/>
        <v>0.1</v>
      </c>
      <c r="L868" s="1048"/>
      <c r="N868" s="1051">
        <v>43976</v>
      </c>
      <c r="O868" s="1053">
        <v>6.07</v>
      </c>
      <c r="P868" s="1053">
        <v>1.173</v>
      </c>
      <c r="Q868" s="1053">
        <v>6.9717000000000002</v>
      </c>
      <c r="R868" s="1054">
        <f>'B. PE'!$U$23</f>
        <v>15.978235616082999</v>
      </c>
      <c r="S868" s="1054"/>
      <c r="T868" s="1054"/>
      <c r="V868" s="1051">
        <v>43976</v>
      </c>
      <c r="W868" s="198">
        <v>6.5884999999999998</v>
      </c>
      <c r="X868" s="198">
        <v>0.48549999999999999</v>
      </c>
      <c r="Y868" s="198">
        <v>12.3741</v>
      </c>
      <c r="Z868" s="198">
        <v>0.33221000000000001</v>
      </c>
      <c r="AB868" s="1051">
        <v>43934</v>
      </c>
      <c r="AC868" s="198">
        <v>9.6675000000000004</v>
      </c>
      <c r="AD868" s="1053">
        <v>0.68310000000000004</v>
      </c>
      <c r="AE868" s="198">
        <v>6.1130000000000004</v>
      </c>
      <c r="AF868" s="198">
        <v>1.4030000000000001E-2</v>
      </c>
      <c r="AH868" s="1051">
        <v>43934</v>
      </c>
      <c r="AI868" s="198">
        <v>8.0235000000000003</v>
      </c>
      <c r="AJ868" s="198">
        <v>1.3379000000000001</v>
      </c>
      <c r="AK868" s="198">
        <v>4.4188999999999998</v>
      </c>
      <c r="AL868" s="198">
        <v>1.472E-2</v>
      </c>
      <c r="AN868" s="1051">
        <v>43941</v>
      </c>
      <c r="AO868" s="198">
        <v>6.0911999999999997</v>
      </c>
      <c r="AP868" s="198">
        <v>0.62129999999999996</v>
      </c>
      <c r="AQ868" s="198">
        <v>2.8862999999999999</v>
      </c>
      <c r="AR868" s="198">
        <v>0.12230000000000001</v>
      </c>
      <c r="AT868" s="1051">
        <v>43922</v>
      </c>
      <c r="AU868" s="198">
        <v>6.0431999999999997</v>
      </c>
      <c r="AV868" s="198">
        <v>0.42109999999999997</v>
      </c>
      <c r="AX868" s="198">
        <v>9.8180000000000003E-2</v>
      </c>
      <c r="BA868" s="1051">
        <v>43924</v>
      </c>
      <c r="BB868" s="198">
        <v>4.0599999999999996</v>
      </c>
      <c r="BC868" s="198">
        <v>0.73340000000000005</v>
      </c>
      <c r="BD868" s="198">
        <v>5.1345999999999998</v>
      </c>
      <c r="BE868" s="198">
        <v>0.15870999999999999</v>
      </c>
      <c r="BG868" s="1051">
        <v>43924</v>
      </c>
      <c r="BH868" s="198">
        <v>6.8418999999999999</v>
      </c>
      <c r="BI868" s="198">
        <v>0.99439999999999995</v>
      </c>
      <c r="BJ868" s="198">
        <v>12.022</v>
      </c>
      <c r="BT868" s="1051">
        <v>43976</v>
      </c>
      <c r="BU868" s="198">
        <v>9.7752999999999997</v>
      </c>
      <c r="BV868" s="198">
        <v>2.9159999999999999</v>
      </c>
      <c r="BW868" s="198">
        <v>6.3825000000000003</v>
      </c>
      <c r="BX868" s="198">
        <v>1.2467999999999999</v>
      </c>
      <c r="BZ868" s="1051">
        <v>43976</v>
      </c>
      <c r="CA868" s="198">
        <v>11.367000000000001</v>
      </c>
      <c r="CB868" s="198">
        <v>1.6120000000000001</v>
      </c>
      <c r="CC868" s="198">
        <v>14.4777</v>
      </c>
      <c r="CD868" s="198">
        <v>0.62307999999999997</v>
      </c>
      <c r="CF868" s="1051">
        <v>43973</v>
      </c>
      <c r="CI868" s="198">
        <v>13.6294</v>
      </c>
      <c r="CL868" s="1051">
        <v>43997</v>
      </c>
      <c r="CM868" s="198">
        <v>21.388000000000002</v>
      </c>
      <c r="CN868" s="198">
        <v>2.0821999999999998</v>
      </c>
      <c r="CO868" s="198">
        <v>9.2431000000000001</v>
      </c>
    </row>
    <row r="869" spans="1:93" s="198" customFormat="1">
      <c r="A869" s="1051">
        <v>43973</v>
      </c>
      <c r="B869" s="1052">
        <f t="shared" si="132"/>
        <v>6.0251999999999999</v>
      </c>
      <c r="C869" s="1052">
        <f t="shared" si="134"/>
        <v>6.8205999999999998</v>
      </c>
      <c r="D869" s="1052">
        <f t="shared" si="138"/>
        <v>8.9298999999999999</v>
      </c>
      <c r="E869" s="1052">
        <f t="shared" si="139"/>
        <v>6.9294000000000002</v>
      </c>
      <c r="F869" s="1052">
        <f t="shared" si="140"/>
        <v>10.7014</v>
      </c>
      <c r="G869" s="1052">
        <f t="shared" si="141"/>
        <v>5.7451999999999996</v>
      </c>
      <c r="H869" s="1047">
        <f t="shared" si="135"/>
        <v>6.9294000000000002</v>
      </c>
      <c r="I869" s="1048">
        <f t="shared" si="133"/>
        <v>-0.13048748809420729</v>
      </c>
      <c r="J869" s="1048">
        <f t="shared" si="136"/>
        <v>0.12093838824177333</v>
      </c>
      <c r="K869" s="1048">
        <f t="shared" si="137"/>
        <v>0.1</v>
      </c>
      <c r="L869" s="1048"/>
      <c r="N869" s="1051">
        <v>43973</v>
      </c>
      <c r="O869" s="1053">
        <v>6.0251999999999999</v>
      </c>
      <c r="P869" s="1053">
        <v>1.1642999999999999</v>
      </c>
      <c r="Q869" s="1053">
        <v>6.9339000000000004</v>
      </c>
      <c r="R869" s="1054">
        <f>'B. PE'!$U$23</f>
        <v>15.978235616082999</v>
      </c>
      <c r="S869" s="1054"/>
      <c r="T869" s="1054"/>
      <c r="V869" s="1051">
        <v>43973</v>
      </c>
      <c r="W869" s="198">
        <v>6.8205999999999998</v>
      </c>
      <c r="X869" s="198">
        <v>0.50260000000000005</v>
      </c>
      <c r="Y869" s="198">
        <v>12.529199999999999</v>
      </c>
      <c r="Z869" s="198">
        <v>0.31385999999999997</v>
      </c>
      <c r="AB869" s="1051">
        <v>43930</v>
      </c>
      <c r="AC869" s="198">
        <v>9.9867000000000008</v>
      </c>
      <c r="AD869" s="1053">
        <v>0.7056</v>
      </c>
      <c r="AE869" s="198">
        <v>6.2270000000000003</v>
      </c>
      <c r="AF869" s="198">
        <v>1.504E-2</v>
      </c>
      <c r="AH869" s="1051">
        <v>43930</v>
      </c>
      <c r="AI869" s="198">
        <v>7.9898999999999996</v>
      </c>
      <c r="AJ869" s="198">
        <v>1.3323</v>
      </c>
      <c r="AK869" s="198">
        <v>4.4025999999999996</v>
      </c>
      <c r="AL869" s="198">
        <v>1.5350000000000001E-2</v>
      </c>
      <c r="AN869" s="1051">
        <v>43938</v>
      </c>
      <c r="AO869" s="198">
        <v>6.0911999999999997</v>
      </c>
      <c r="AP869" s="198">
        <v>0.62129999999999996</v>
      </c>
      <c r="AQ869" s="198">
        <v>2.8862999999999999</v>
      </c>
      <c r="AR869" s="198">
        <v>0.11636000000000001</v>
      </c>
      <c r="AT869" s="1051">
        <v>43921</v>
      </c>
      <c r="AU869" s="198">
        <v>6.1151</v>
      </c>
      <c r="AV869" s="198">
        <v>0.42620000000000002</v>
      </c>
      <c r="AX869" s="198">
        <v>9.5899999999999999E-2</v>
      </c>
      <c r="BA869" s="1051">
        <v>43923</v>
      </c>
      <c r="BB869" s="198">
        <v>4.0983000000000001</v>
      </c>
      <c r="BC869" s="198">
        <v>0.74029999999999996</v>
      </c>
      <c r="BD869" s="198">
        <v>5.1620999999999997</v>
      </c>
      <c r="BE869" s="198">
        <v>0.16189999999999999</v>
      </c>
      <c r="BG869" s="1051">
        <v>43923</v>
      </c>
      <c r="BH869" s="198">
        <v>6.7366000000000001</v>
      </c>
      <c r="BI869" s="198">
        <v>0.97909999999999997</v>
      </c>
      <c r="BJ869" s="198">
        <v>11.9297</v>
      </c>
      <c r="BT869" s="1051">
        <v>43973</v>
      </c>
      <c r="BU869" s="198">
        <v>9.6503999999999994</v>
      </c>
      <c r="BV869" s="198">
        <v>2.8786999999999998</v>
      </c>
      <c r="BW869" s="198">
        <v>6.3094999999999999</v>
      </c>
      <c r="BX869" s="198">
        <v>1.2385999999999999</v>
      </c>
      <c r="BZ869" s="1051">
        <v>43973</v>
      </c>
      <c r="CA869" s="198">
        <v>10.6234</v>
      </c>
      <c r="CB869" s="198">
        <v>1.5065999999999999</v>
      </c>
      <c r="CC869" s="198">
        <v>14.0382</v>
      </c>
      <c r="CD869" s="198">
        <v>0.58272000000000002</v>
      </c>
      <c r="CF869" s="1051">
        <v>43972</v>
      </c>
      <c r="CG869" s="198">
        <v>5.6032999999999999</v>
      </c>
      <c r="CH869" s="198">
        <v>0.8992</v>
      </c>
      <c r="CI869" s="198">
        <v>13.6294</v>
      </c>
      <c r="CL869" s="1051">
        <v>43994</v>
      </c>
      <c r="CM869" s="198">
        <v>21.4633</v>
      </c>
      <c r="CN869" s="198">
        <v>2.0895000000000001</v>
      </c>
      <c r="CO869" s="198">
        <v>9.2759</v>
      </c>
    </row>
    <row r="870" spans="1:93" s="198" customFormat="1">
      <c r="A870" s="1051">
        <v>43972</v>
      </c>
      <c r="B870" s="1052">
        <f t="shared" si="132"/>
        <v>6.0476000000000001</v>
      </c>
      <c r="C870" s="1052">
        <f t="shared" si="134"/>
        <v>6.8730000000000002</v>
      </c>
      <c r="D870" s="1052">
        <f t="shared" si="138"/>
        <v>8.9298999999999999</v>
      </c>
      <c r="E870" s="1052">
        <f t="shared" si="139"/>
        <v>6.9852999999999996</v>
      </c>
      <c r="F870" s="1052">
        <f t="shared" si="140"/>
        <v>11.052300000000001</v>
      </c>
      <c r="G870" s="1052">
        <f t="shared" si="141"/>
        <v>5.7069000000000001</v>
      </c>
      <c r="H870" s="1047">
        <f t="shared" si="135"/>
        <v>6.9852999999999996</v>
      </c>
      <c r="I870" s="1048">
        <f t="shared" si="133"/>
        <v>-0.13423904485133065</v>
      </c>
      <c r="J870" s="1048">
        <f t="shared" si="136"/>
        <v>0.12093838824177333</v>
      </c>
      <c r="K870" s="1048">
        <f t="shared" si="137"/>
        <v>0.1</v>
      </c>
      <c r="L870" s="1048"/>
      <c r="N870" s="1051">
        <v>43972</v>
      </c>
      <c r="O870" s="1053">
        <v>6.0476000000000001</v>
      </c>
      <c r="P870" s="1053">
        <v>1.1687000000000001</v>
      </c>
      <c r="Q870" s="1053">
        <v>6.9527999999999999</v>
      </c>
      <c r="R870" s="1054">
        <f>'B. PE'!$U$23</f>
        <v>15.978235616082999</v>
      </c>
      <c r="S870" s="1054"/>
      <c r="T870" s="1054"/>
      <c r="V870" s="1051">
        <v>43972</v>
      </c>
      <c r="W870" s="198">
        <v>6.8730000000000002</v>
      </c>
      <c r="X870" s="198">
        <v>0.50649999999999995</v>
      </c>
      <c r="Y870" s="198">
        <v>12.5642</v>
      </c>
      <c r="Z870" s="198">
        <v>0.29620000000000002</v>
      </c>
      <c r="AB870" s="1051">
        <v>43929</v>
      </c>
      <c r="AC870" s="198">
        <v>10.305999999999999</v>
      </c>
      <c r="AD870" s="1053">
        <v>0.72819999999999996</v>
      </c>
      <c r="AE870" s="198">
        <v>6.3411</v>
      </c>
      <c r="AF870" s="198">
        <v>1.2019999999999999E-2</v>
      </c>
      <c r="AH870" s="1051">
        <v>43929</v>
      </c>
      <c r="AI870" s="198">
        <v>7.9562999999999997</v>
      </c>
      <c r="AJ870" s="198">
        <v>1.3267</v>
      </c>
      <c r="AK870" s="198">
        <v>4.3863000000000003</v>
      </c>
      <c r="AL870" s="198">
        <v>1.439E-2</v>
      </c>
      <c r="AN870" s="1051">
        <v>43937</v>
      </c>
      <c r="AO870" s="198">
        <v>5.9794</v>
      </c>
      <c r="AP870" s="198">
        <v>0.6099</v>
      </c>
      <c r="AQ870" s="198">
        <v>2.7968000000000002</v>
      </c>
      <c r="AR870" s="198">
        <v>0.11483</v>
      </c>
      <c r="AT870" s="1051">
        <v>43920</v>
      </c>
      <c r="AU870" s="198">
        <v>8.0798000000000005</v>
      </c>
      <c r="AV870" s="198">
        <v>0.43790000000000001</v>
      </c>
      <c r="AX870" s="198">
        <v>9.2280000000000001E-2</v>
      </c>
      <c r="BA870" s="1051">
        <v>43922</v>
      </c>
      <c r="BB870" s="198">
        <v>4.0217000000000001</v>
      </c>
      <c r="BC870" s="198">
        <v>0.72650000000000003</v>
      </c>
      <c r="BD870" s="198">
        <v>5.1070000000000002</v>
      </c>
      <c r="BE870" s="198">
        <v>0.16073999999999999</v>
      </c>
      <c r="BG870" s="1051">
        <v>43922</v>
      </c>
      <c r="BH870" s="198">
        <v>6.7366000000000001</v>
      </c>
      <c r="BI870" s="198">
        <v>0.97909999999999997</v>
      </c>
      <c r="BJ870" s="198">
        <v>11.9297</v>
      </c>
      <c r="BT870" s="1051">
        <v>43972</v>
      </c>
      <c r="BU870" s="198">
        <v>9.8773999999999997</v>
      </c>
      <c r="BV870" s="198">
        <v>2.9464000000000001</v>
      </c>
      <c r="BW870" s="198">
        <v>6.4421999999999997</v>
      </c>
      <c r="BX870" s="198">
        <v>1.2473000000000001</v>
      </c>
      <c r="BZ870" s="1051">
        <v>43972</v>
      </c>
      <c r="CA870" s="198">
        <v>10.6234</v>
      </c>
      <c r="CB870" s="198">
        <v>1.5065999999999999</v>
      </c>
      <c r="CC870" s="198">
        <v>14.0382</v>
      </c>
      <c r="CD870" s="198">
        <v>0.54481000000000002</v>
      </c>
      <c r="CF870" s="1051">
        <v>43971</v>
      </c>
      <c r="CI870" s="198">
        <v>13.6294</v>
      </c>
      <c r="CL870" s="1051">
        <v>43993</v>
      </c>
      <c r="CM870" s="198">
        <v>21.4633</v>
      </c>
      <c r="CN870" s="198">
        <v>2.0895000000000001</v>
      </c>
      <c r="CO870" s="198">
        <v>9.2759</v>
      </c>
    </row>
    <row r="871" spans="1:93" s="198" customFormat="1">
      <c r="A871" s="1051">
        <v>43971</v>
      </c>
      <c r="B871" s="1052">
        <f t="shared" si="132"/>
        <v>6.1372</v>
      </c>
      <c r="C871" s="1052">
        <f t="shared" si="134"/>
        <v>6.4987000000000004</v>
      </c>
      <c r="D871" s="1052">
        <f t="shared" si="138"/>
        <v>8.2248999999999999</v>
      </c>
      <c r="E871" s="1052">
        <f t="shared" si="139"/>
        <v>7.0971000000000002</v>
      </c>
      <c r="F871" s="1052">
        <f t="shared" si="140"/>
        <v>11.4031</v>
      </c>
      <c r="G871" s="1052">
        <f t="shared" si="141"/>
        <v>5.7069000000000001</v>
      </c>
      <c r="H871" s="1047">
        <f t="shared" si="135"/>
        <v>7.0971000000000002</v>
      </c>
      <c r="I871" s="1048">
        <f t="shared" si="133"/>
        <v>-0.13525242704766738</v>
      </c>
      <c r="J871" s="1048">
        <f t="shared" si="136"/>
        <v>0.12093838824177333</v>
      </c>
      <c r="K871" s="1048">
        <f t="shared" si="137"/>
        <v>0.1</v>
      </c>
      <c r="L871" s="1048"/>
      <c r="N871" s="1051">
        <v>43971</v>
      </c>
      <c r="O871" s="1053">
        <v>6.1372</v>
      </c>
      <c r="P871" s="1053">
        <v>1.1859999999999999</v>
      </c>
      <c r="Q871" s="1053">
        <v>7.0282999999999998</v>
      </c>
      <c r="R871" s="1054">
        <f>'B. PE'!$U$23</f>
        <v>15.978235616082999</v>
      </c>
      <c r="S871" s="1054"/>
      <c r="T871" s="1054"/>
      <c r="V871" s="1051">
        <v>43971</v>
      </c>
      <c r="W871" s="198">
        <v>6.4987000000000004</v>
      </c>
      <c r="X871" s="198">
        <v>0.47889999999999999</v>
      </c>
      <c r="Y871" s="198">
        <v>12.314</v>
      </c>
      <c r="Z871" s="198">
        <v>0.28417999999999999</v>
      </c>
      <c r="AB871" s="1051">
        <v>43928</v>
      </c>
      <c r="AC871" s="198">
        <v>11.035600000000001</v>
      </c>
      <c r="AD871" s="1053">
        <v>0.77969999999999995</v>
      </c>
      <c r="AE871" s="198">
        <v>6.6016000000000004</v>
      </c>
      <c r="AF871" s="198">
        <v>1.115E-2</v>
      </c>
      <c r="AH871" s="1051">
        <v>43928</v>
      </c>
      <c r="AI871" s="198">
        <v>8.2919999999999998</v>
      </c>
      <c r="AJ871" s="198">
        <v>1.3827</v>
      </c>
      <c r="AK871" s="198">
        <v>4.5494000000000003</v>
      </c>
      <c r="AL871" s="198">
        <v>1.4200000000000001E-2</v>
      </c>
      <c r="AN871" s="1051">
        <v>43936</v>
      </c>
      <c r="AO871" s="198">
        <v>5.6440999999999999</v>
      </c>
      <c r="AP871" s="198">
        <v>0.57569999999999999</v>
      </c>
      <c r="AQ871" s="198">
        <v>2.5282</v>
      </c>
      <c r="AR871" s="198">
        <v>0.11147</v>
      </c>
      <c r="AT871" s="1051">
        <v>43917</v>
      </c>
      <c r="AU871" s="198">
        <v>7.8897000000000004</v>
      </c>
      <c r="AV871" s="198">
        <v>0.42759999999999998</v>
      </c>
      <c r="AX871" s="198">
        <v>9.5680000000000001E-2</v>
      </c>
      <c r="BA871" s="1051">
        <v>43921</v>
      </c>
      <c r="BB871" s="198">
        <v>4.0599999999999996</v>
      </c>
      <c r="BC871" s="198">
        <v>0.73340000000000005</v>
      </c>
      <c r="BD871" s="198">
        <v>5.1345999999999998</v>
      </c>
      <c r="BE871" s="198">
        <v>0.16736999999999999</v>
      </c>
      <c r="BG871" s="1051">
        <v>43921</v>
      </c>
      <c r="BH871" s="198">
        <v>6.7717000000000001</v>
      </c>
      <c r="BI871" s="198">
        <v>0.98419999999999996</v>
      </c>
      <c r="BJ871" s="198">
        <v>11.9605</v>
      </c>
      <c r="BT871" s="1051">
        <v>43971</v>
      </c>
      <c r="BU871" s="198">
        <v>9.8207000000000004</v>
      </c>
      <c r="BV871" s="198">
        <v>2.9295</v>
      </c>
      <c r="BW871" s="198">
        <v>6.4090999999999996</v>
      </c>
      <c r="BX871" s="198">
        <v>1.2210000000000001</v>
      </c>
      <c r="BZ871" s="1051">
        <v>43971</v>
      </c>
      <c r="CA871" s="198">
        <v>9.9435000000000002</v>
      </c>
      <c r="CB871" s="198">
        <v>1.4101999999999999</v>
      </c>
      <c r="CC871" s="198">
        <v>13.6363</v>
      </c>
      <c r="CD871" s="198">
        <v>0.54020000000000001</v>
      </c>
      <c r="CF871" s="1051">
        <v>43970</v>
      </c>
      <c r="CG871" s="198">
        <v>5.6032999999999999</v>
      </c>
      <c r="CH871" s="198">
        <v>0.8992</v>
      </c>
      <c r="CI871" s="198">
        <v>13.6294</v>
      </c>
      <c r="CL871" s="1051">
        <v>43992</v>
      </c>
      <c r="CM871" s="198">
        <v>21.331499999999998</v>
      </c>
      <c r="CN871" s="198">
        <v>2.0767000000000002</v>
      </c>
      <c r="CO871" s="198">
        <v>9.2185000000000006</v>
      </c>
    </row>
    <row r="872" spans="1:93" s="198" customFormat="1">
      <c r="A872" s="1051">
        <v>43970</v>
      </c>
      <c r="B872" s="1052">
        <f t="shared" si="132"/>
        <v>6.2156000000000002</v>
      </c>
      <c r="C872" s="1052">
        <f t="shared" si="134"/>
        <v>6.1393000000000004</v>
      </c>
      <c r="D872" s="1052">
        <f t="shared" si="138"/>
        <v>8.0570000000000004</v>
      </c>
      <c r="E872" s="1052">
        <f t="shared" si="139"/>
        <v>7.0411999999999999</v>
      </c>
      <c r="F872" s="1052">
        <f t="shared" si="140"/>
        <v>11.4031</v>
      </c>
      <c r="G872" s="1052">
        <f t="shared" si="141"/>
        <v>5.7069000000000001</v>
      </c>
      <c r="H872" s="1047">
        <f t="shared" si="135"/>
        <v>7.0411999999999999</v>
      </c>
      <c r="I872" s="1048">
        <f t="shared" si="133"/>
        <v>-0.11725274101005501</v>
      </c>
      <c r="J872" s="1048">
        <f t="shared" si="136"/>
        <v>0.12093838824177333</v>
      </c>
      <c r="K872" s="1048">
        <f t="shared" si="137"/>
        <v>0.1</v>
      </c>
      <c r="L872" s="1048"/>
      <c r="N872" s="1051">
        <v>43970</v>
      </c>
      <c r="O872" s="1053">
        <v>6.2156000000000002</v>
      </c>
      <c r="P872" s="1053">
        <v>1.2011000000000001</v>
      </c>
      <c r="Q872" s="1053">
        <v>7.0944000000000003</v>
      </c>
      <c r="R872" s="1054">
        <f>'B. PE'!$U$23</f>
        <v>15.978235616082999</v>
      </c>
      <c r="S872" s="1054"/>
      <c r="T872" s="1054"/>
      <c r="V872" s="1051">
        <v>43970</v>
      </c>
      <c r="W872" s="198">
        <v>6.1393000000000004</v>
      </c>
      <c r="X872" s="198">
        <v>0.45240000000000002</v>
      </c>
      <c r="Y872" s="198">
        <v>12.0739</v>
      </c>
      <c r="Z872" s="198">
        <v>0.28759000000000001</v>
      </c>
      <c r="AB872" s="1051">
        <v>43927</v>
      </c>
      <c r="AC872" s="198">
        <v>9.0290999999999997</v>
      </c>
      <c r="AD872" s="1053">
        <v>0.63790000000000002</v>
      </c>
      <c r="AE872" s="198">
        <v>5.8849999999999998</v>
      </c>
      <c r="AF872" s="198">
        <v>1.1220000000000001E-2</v>
      </c>
      <c r="AH872" s="1051">
        <v>43927</v>
      </c>
      <c r="AI872" s="198">
        <v>7.9562999999999997</v>
      </c>
      <c r="AJ872" s="198">
        <v>1.3267</v>
      </c>
      <c r="AK872" s="198">
        <v>4.3863000000000003</v>
      </c>
      <c r="AL872" s="198">
        <v>1.363E-2</v>
      </c>
      <c r="AN872" s="1051">
        <v>43935</v>
      </c>
      <c r="AO872" s="198">
        <v>5.5602999999999998</v>
      </c>
      <c r="AP872" s="198">
        <v>0.56720000000000004</v>
      </c>
      <c r="AQ872" s="198">
        <v>2.4611000000000001</v>
      </c>
      <c r="AR872" s="198">
        <v>0.11484999999999999</v>
      </c>
      <c r="AT872" s="1051">
        <v>43916</v>
      </c>
      <c r="AU872" s="198">
        <v>7.6045999999999996</v>
      </c>
      <c r="AV872" s="198">
        <v>0.41220000000000001</v>
      </c>
      <c r="AX872" s="198">
        <v>9.0279999999999999E-2</v>
      </c>
      <c r="BA872" s="1051">
        <v>43920</v>
      </c>
      <c r="BB872" s="198">
        <v>4.3552999999999997</v>
      </c>
      <c r="BC872" s="198">
        <v>0.76570000000000005</v>
      </c>
      <c r="BD872" s="198">
        <v>5.9870000000000001</v>
      </c>
      <c r="BE872" s="198">
        <v>0.16708000000000001</v>
      </c>
      <c r="BG872" s="1051">
        <v>43920</v>
      </c>
      <c r="BH872" s="198">
        <v>5.9074999999999998</v>
      </c>
      <c r="BI872" s="198">
        <v>1.0127999999999999</v>
      </c>
      <c r="BJ872" s="198">
        <v>13.657299999999999</v>
      </c>
      <c r="BT872" s="1051">
        <v>43970</v>
      </c>
      <c r="BU872" s="198">
        <v>9.9001000000000001</v>
      </c>
      <c r="BV872" s="198">
        <v>2.9531999999999998</v>
      </c>
      <c r="BW872" s="198">
        <v>6.4554999999999998</v>
      </c>
      <c r="BX872" s="198">
        <v>1.1717</v>
      </c>
      <c r="BZ872" s="1051">
        <v>43970</v>
      </c>
      <c r="CA872" s="198">
        <v>9.3061000000000007</v>
      </c>
      <c r="CB872" s="198">
        <v>1.3198000000000001</v>
      </c>
      <c r="CC872" s="198">
        <v>13.259600000000001</v>
      </c>
      <c r="CD872" s="198">
        <v>0.53610000000000002</v>
      </c>
      <c r="CF872" s="1051">
        <v>43969</v>
      </c>
      <c r="CI872" s="198">
        <v>13.6013</v>
      </c>
      <c r="CL872" s="1051">
        <v>43991</v>
      </c>
      <c r="CM872" s="198">
        <v>21.3127</v>
      </c>
      <c r="CN872" s="198">
        <v>2.0749</v>
      </c>
      <c r="CO872" s="198">
        <v>9.2103000000000002</v>
      </c>
    </row>
    <row r="873" spans="1:93" s="198" customFormat="1">
      <c r="A873" s="1051">
        <v>43969</v>
      </c>
      <c r="B873" s="1052">
        <f t="shared" si="132"/>
        <v>6.2156000000000002</v>
      </c>
      <c r="C873" s="1052">
        <f t="shared" si="134"/>
        <v>5.8997000000000002</v>
      </c>
      <c r="D873" s="1052">
        <f t="shared" si="138"/>
        <v>7.9898999999999996</v>
      </c>
      <c r="E873" s="1052">
        <f t="shared" si="139"/>
        <v>6.8177000000000003</v>
      </c>
      <c r="F873" s="1052">
        <f t="shared" si="140"/>
        <v>11.14</v>
      </c>
      <c r="G873" s="1052">
        <f t="shared" si="141"/>
        <v>5.5537000000000001</v>
      </c>
      <c r="H873" s="1047">
        <f t="shared" si="135"/>
        <v>6.8177000000000003</v>
      </c>
      <c r="I873" s="1048">
        <f t="shared" si="133"/>
        <v>-8.8314240873021754E-2</v>
      </c>
      <c r="J873" s="1048">
        <f t="shared" si="136"/>
        <v>0.12093838824177333</v>
      </c>
      <c r="K873" s="1048">
        <f t="shared" si="137"/>
        <v>0.1</v>
      </c>
      <c r="L873" s="1048"/>
      <c r="N873" s="1051">
        <v>43969</v>
      </c>
      <c r="O873" s="1053">
        <v>6.2156000000000002</v>
      </c>
      <c r="P873" s="1053">
        <v>1.2011000000000001</v>
      </c>
      <c r="Q873" s="1053">
        <v>7.0944000000000003</v>
      </c>
      <c r="R873" s="1054">
        <f>'B. PE'!$U$23</f>
        <v>15.978235616082999</v>
      </c>
      <c r="S873" s="1054"/>
      <c r="T873" s="1054"/>
      <c r="V873" s="1051">
        <v>43969</v>
      </c>
      <c r="W873" s="198">
        <v>5.8997000000000002</v>
      </c>
      <c r="X873" s="198">
        <v>0.43469999999999998</v>
      </c>
      <c r="Y873" s="198">
        <v>11.9138</v>
      </c>
      <c r="Z873" s="198">
        <v>0.27443000000000001</v>
      </c>
      <c r="AB873" s="1051">
        <v>43924</v>
      </c>
      <c r="AC873" s="198">
        <v>8.4818999999999996</v>
      </c>
      <c r="AD873" s="1053">
        <v>0.59930000000000005</v>
      </c>
      <c r="AE873" s="198">
        <v>5.6896000000000004</v>
      </c>
      <c r="AF873" s="198">
        <v>1.056E-2</v>
      </c>
      <c r="AH873" s="1051">
        <v>43924</v>
      </c>
      <c r="AI873" s="198">
        <v>7.9562999999999997</v>
      </c>
      <c r="AJ873" s="198">
        <v>1.3267</v>
      </c>
      <c r="AK873" s="198">
        <v>4.3863000000000003</v>
      </c>
      <c r="AL873" s="198">
        <v>1.3480000000000001E-2</v>
      </c>
      <c r="AN873" s="1051">
        <v>43934</v>
      </c>
      <c r="AO873" s="198">
        <v>5.3926999999999996</v>
      </c>
      <c r="AP873" s="198">
        <v>0.55010000000000003</v>
      </c>
      <c r="AQ873" s="198">
        <v>2.3268</v>
      </c>
      <c r="AR873" s="198">
        <v>0.1154</v>
      </c>
      <c r="AT873" s="1051">
        <v>43915</v>
      </c>
      <c r="AU873" s="198">
        <v>7.9847999999999999</v>
      </c>
      <c r="AV873" s="198">
        <v>0.43280000000000002</v>
      </c>
      <c r="AX873" s="198">
        <v>8.4409999999999999E-2</v>
      </c>
      <c r="BA873" s="1051">
        <v>43917</v>
      </c>
      <c r="BB873" s="198">
        <v>4.5212000000000003</v>
      </c>
      <c r="BC873" s="198">
        <v>0.79479999999999995</v>
      </c>
      <c r="BD873" s="198">
        <v>6.1005000000000003</v>
      </c>
      <c r="BE873" s="198">
        <v>0.16189999999999999</v>
      </c>
      <c r="BG873" s="1051">
        <v>43917</v>
      </c>
      <c r="BH873" s="198">
        <v>5.9691000000000001</v>
      </c>
      <c r="BI873" s="198">
        <v>1.0234000000000001</v>
      </c>
      <c r="BJ873" s="198">
        <v>13.7128</v>
      </c>
      <c r="BT873" s="1051">
        <v>43969</v>
      </c>
      <c r="BU873" s="198">
        <v>9.7071000000000005</v>
      </c>
      <c r="BV873" s="198">
        <v>2.8956</v>
      </c>
      <c r="BW873" s="198">
        <v>6.3426999999999998</v>
      </c>
      <c r="BX873" s="198">
        <v>1.1837</v>
      </c>
      <c r="BZ873" s="1051">
        <v>43969</v>
      </c>
      <c r="CA873" s="198">
        <v>9.2423000000000002</v>
      </c>
      <c r="CB873" s="198">
        <v>1.3107</v>
      </c>
      <c r="CC873" s="198">
        <v>13.2219</v>
      </c>
      <c r="CD873" s="198">
        <v>0.55806</v>
      </c>
      <c r="CF873" s="1051">
        <v>43966</v>
      </c>
      <c r="CI873" s="198">
        <v>13.6013</v>
      </c>
      <c r="CL873" s="1051">
        <v>43990</v>
      </c>
      <c r="CM873" s="198">
        <v>21.162099999999999</v>
      </c>
      <c r="CN873" s="198">
        <v>2.0602</v>
      </c>
      <c r="CO873" s="198">
        <v>9.1446000000000005</v>
      </c>
    </row>
    <row r="874" spans="1:93" s="198" customFormat="1">
      <c r="A874" s="1051">
        <v>43966</v>
      </c>
      <c r="B874" s="1052">
        <f t="shared" si="132"/>
        <v>5.9804000000000004</v>
      </c>
      <c r="C874" s="1052">
        <f t="shared" si="134"/>
        <v>5.9745999999999997</v>
      </c>
      <c r="D874" s="1052">
        <f t="shared" si="138"/>
        <v>7.9227999999999996</v>
      </c>
      <c r="E874" s="1052">
        <f t="shared" si="139"/>
        <v>6.9294000000000002</v>
      </c>
      <c r="F874" s="1052">
        <f t="shared" si="140"/>
        <v>10.964499999999999</v>
      </c>
      <c r="G874" s="1052">
        <f t="shared" si="141"/>
        <v>5.5537000000000001</v>
      </c>
      <c r="H874" s="1047">
        <f t="shared" si="135"/>
        <v>6.9294000000000002</v>
      </c>
      <c r="I874" s="1048">
        <f t="shared" si="133"/>
        <v>-0.13695269431696822</v>
      </c>
      <c r="J874" s="1048">
        <f t="shared" si="136"/>
        <v>0.12093838824177333</v>
      </c>
      <c r="K874" s="1048">
        <f t="shared" si="137"/>
        <v>0.1</v>
      </c>
      <c r="L874" s="1048"/>
      <c r="N874" s="1051">
        <v>43966</v>
      </c>
      <c r="O874" s="1053">
        <v>5.9804000000000004</v>
      </c>
      <c r="P874" s="1053">
        <v>1.1556999999999999</v>
      </c>
      <c r="Q874" s="1053">
        <v>6.8960999999999997</v>
      </c>
      <c r="R874" s="1054">
        <f>'B. PE'!$U$23</f>
        <v>15.978235616082999</v>
      </c>
      <c r="S874" s="1054"/>
      <c r="T874" s="1054"/>
      <c r="V874" s="1051">
        <v>43966</v>
      </c>
      <c r="W874" s="198">
        <v>5.9745999999999997</v>
      </c>
      <c r="X874" s="198">
        <v>0.44030000000000002</v>
      </c>
      <c r="Y874" s="198">
        <v>11.963800000000001</v>
      </c>
      <c r="Z874" s="198">
        <v>0.27144000000000001</v>
      </c>
      <c r="AB874" s="1051">
        <v>43923</v>
      </c>
      <c r="AC874" s="198">
        <v>8.4818999999999996</v>
      </c>
      <c r="AD874" s="1053">
        <v>0.59930000000000005</v>
      </c>
      <c r="AE874" s="198">
        <v>5.6896000000000004</v>
      </c>
      <c r="AF874" s="198">
        <v>1.1509999999999999E-2</v>
      </c>
      <c r="AH874" s="1051">
        <v>43923</v>
      </c>
      <c r="AI874" s="198">
        <v>7.5869999999999997</v>
      </c>
      <c r="AJ874" s="198">
        <v>1.2650999999999999</v>
      </c>
      <c r="AK874" s="198">
        <v>4.2069000000000001</v>
      </c>
      <c r="AL874" s="198">
        <v>1.391E-2</v>
      </c>
      <c r="AN874" s="1051">
        <v>43931</v>
      </c>
      <c r="AO874" s="198">
        <v>5.5324</v>
      </c>
      <c r="AP874" s="198">
        <v>0.56430000000000002</v>
      </c>
      <c r="AQ874" s="198">
        <v>2.4386999999999999</v>
      </c>
      <c r="AR874" s="198">
        <v>0.11386</v>
      </c>
      <c r="AT874" s="1051">
        <v>43914</v>
      </c>
      <c r="AU874" s="198">
        <v>7.6045999999999996</v>
      </c>
      <c r="AV874" s="198">
        <v>0.41220000000000001</v>
      </c>
      <c r="AX874" s="198">
        <v>8.4209999999999993E-2</v>
      </c>
      <c r="BA874" s="1051">
        <v>43916</v>
      </c>
      <c r="BB874" s="198">
        <v>4.5212000000000003</v>
      </c>
      <c r="BC874" s="198">
        <v>0.79479999999999995</v>
      </c>
      <c r="BD874" s="198">
        <v>6.1005000000000003</v>
      </c>
      <c r="BE874" s="198">
        <v>0.16016</v>
      </c>
      <c r="BG874" s="1051">
        <v>43916</v>
      </c>
      <c r="BH874" s="198">
        <v>6.1536999999999997</v>
      </c>
      <c r="BI874" s="198">
        <v>1.0549999999999999</v>
      </c>
      <c r="BJ874" s="198">
        <v>13.879</v>
      </c>
      <c r="BT874" s="1051">
        <v>43966</v>
      </c>
      <c r="BU874" s="198">
        <v>9.3210999999999995</v>
      </c>
      <c r="BV874" s="198">
        <v>2.7805</v>
      </c>
      <c r="BW874" s="198">
        <v>6.117</v>
      </c>
      <c r="BX874" s="198">
        <v>1.1977</v>
      </c>
      <c r="BZ874" s="1051">
        <v>43966</v>
      </c>
      <c r="CA874" s="198">
        <v>9.1785999999999994</v>
      </c>
      <c r="CB874" s="198">
        <v>1.3017000000000001</v>
      </c>
      <c r="CC874" s="198">
        <v>13.184200000000001</v>
      </c>
      <c r="CD874" s="198">
        <v>0.53996</v>
      </c>
      <c r="CF874" s="1051">
        <v>43965</v>
      </c>
      <c r="CG874" s="198">
        <v>5.5472999999999999</v>
      </c>
      <c r="CH874" s="198">
        <v>0.89019999999999999</v>
      </c>
      <c r="CI874" s="198">
        <v>13.6013</v>
      </c>
      <c r="CL874" s="1051">
        <v>43987</v>
      </c>
      <c r="CM874" s="198">
        <v>21.105599999999999</v>
      </c>
      <c r="CN874" s="198">
        <v>2.0547</v>
      </c>
      <c r="CO874" s="198">
        <v>9.1199999999999992</v>
      </c>
    </row>
    <row r="875" spans="1:93" s="198" customFormat="1">
      <c r="A875" s="1051">
        <v>43965</v>
      </c>
      <c r="B875" s="1052">
        <f t="shared" si="132"/>
        <v>5.9804000000000004</v>
      </c>
      <c r="C875" s="1052">
        <f t="shared" si="134"/>
        <v>5.7050999999999998</v>
      </c>
      <c r="D875" s="1052">
        <f t="shared" si="138"/>
        <v>7.9227999999999996</v>
      </c>
      <c r="E875" s="1052">
        <f t="shared" si="139"/>
        <v>6.8734999999999999</v>
      </c>
      <c r="F875" s="1052">
        <f t="shared" si="140"/>
        <v>10.876799999999999</v>
      </c>
      <c r="G875" s="1052">
        <f t="shared" si="141"/>
        <v>5.5537000000000001</v>
      </c>
      <c r="H875" s="1047">
        <f t="shared" si="135"/>
        <v>6.8734999999999999</v>
      </c>
      <c r="I875" s="1048">
        <f t="shared" si="133"/>
        <v>-0.12993380373899754</v>
      </c>
      <c r="J875" s="1048">
        <f t="shared" si="136"/>
        <v>0.12093838824177333</v>
      </c>
      <c r="K875" s="1048">
        <f t="shared" si="137"/>
        <v>0.1</v>
      </c>
      <c r="L875" s="1048"/>
      <c r="N875" s="1051">
        <v>43965</v>
      </c>
      <c r="O875" s="1053">
        <v>5.9804000000000004</v>
      </c>
      <c r="P875" s="1053">
        <v>1.1556999999999999</v>
      </c>
      <c r="Q875" s="1053">
        <v>6.8960999999999997</v>
      </c>
      <c r="R875" s="1054">
        <f>'B. PE'!$U$23</f>
        <v>15.978235616082999</v>
      </c>
      <c r="S875" s="1054"/>
      <c r="T875" s="1054"/>
      <c r="V875" s="1051">
        <v>43965</v>
      </c>
      <c r="W875" s="198">
        <v>5.7050999999999998</v>
      </c>
      <c r="X875" s="198">
        <v>0.4204</v>
      </c>
      <c r="Y875" s="198">
        <v>11.7837</v>
      </c>
      <c r="Z875" s="198">
        <v>0.26297999999999999</v>
      </c>
      <c r="AB875" s="1051">
        <v>43922</v>
      </c>
      <c r="AC875" s="198">
        <v>8.0715000000000003</v>
      </c>
      <c r="AD875" s="1053">
        <v>0.57030000000000003</v>
      </c>
      <c r="AE875" s="198">
        <v>5.5430000000000001</v>
      </c>
      <c r="AF875" s="198">
        <v>1.027E-2</v>
      </c>
      <c r="AH875" s="1051">
        <v>43922</v>
      </c>
      <c r="AI875" s="198">
        <v>7.5869999999999997</v>
      </c>
      <c r="AJ875" s="198">
        <v>1.2650999999999999</v>
      </c>
      <c r="AK875" s="198">
        <v>4.2069000000000001</v>
      </c>
      <c r="AL875" s="198">
        <v>1.345E-2</v>
      </c>
      <c r="AN875" s="1051">
        <v>43930</v>
      </c>
      <c r="AO875" s="198">
        <v>5.5881999999999996</v>
      </c>
      <c r="AP875" s="198">
        <v>0.56999999999999995</v>
      </c>
      <c r="AQ875" s="198">
        <v>2.4834999999999998</v>
      </c>
      <c r="AR875" s="198">
        <v>0.11758</v>
      </c>
      <c r="AT875" s="1051">
        <v>43913</v>
      </c>
      <c r="AU875" s="198">
        <v>7.1292999999999997</v>
      </c>
      <c r="AV875" s="198">
        <v>0.38640000000000002</v>
      </c>
      <c r="AX875" s="198">
        <v>8.1519999999999995E-2</v>
      </c>
      <c r="BA875" s="1051">
        <v>43915</v>
      </c>
      <c r="BB875" s="198">
        <v>4.3967999999999998</v>
      </c>
      <c r="BC875" s="198">
        <v>0.77300000000000002</v>
      </c>
      <c r="BD875" s="198">
        <v>6.0152999999999999</v>
      </c>
      <c r="BE875" s="198">
        <v>0.16017000000000001</v>
      </c>
      <c r="BG875" s="1051">
        <v>43915</v>
      </c>
      <c r="BH875" s="198">
        <v>5.8151999999999999</v>
      </c>
      <c r="BI875" s="198">
        <v>0.997</v>
      </c>
      <c r="BJ875" s="198">
        <v>13.574199999999999</v>
      </c>
      <c r="BT875" s="1051">
        <v>43965</v>
      </c>
      <c r="BU875" s="198">
        <v>9.4232999999999993</v>
      </c>
      <c r="BV875" s="198">
        <v>2.8109999999999999</v>
      </c>
      <c r="BW875" s="198">
        <v>6.1767000000000003</v>
      </c>
      <c r="BX875" s="198">
        <v>1.19</v>
      </c>
      <c r="BZ875" s="1051">
        <v>43965</v>
      </c>
      <c r="CA875" s="198">
        <v>9.5609999999999999</v>
      </c>
      <c r="CB875" s="198">
        <v>1.3559000000000001</v>
      </c>
      <c r="CC875" s="198">
        <v>13.410299999999999</v>
      </c>
      <c r="CD875" s="198">
        <v>0.50558000000000003</v>
      </c>
      <c r="CF875" s="1051">
        <v>43964</v>
      </c>
      <c r="CG875" s="198">
        <v>5.5472999999999999</v>
      </c>
      <c r="CH875" s="198">
        <v>0.89019999999999999</v>
      </c>
      <c r="CI875" s="198">
        <v>13.6013</v>
      </c>
      <c r="CL875" s="1051">
        <v>43986</v>
      </c>
      <c r="CM875" s="198">
        <v>20.841999999999999</v>
      </c>
      <c r="CN875" s="198">
        <v>2.0289999999999999</v>
      </c>
      <c r="CO875" s="198">
        <v>9.0051000000000005</v>
      </c>
    </row>
    <row r="876" spans="1:93" s="198" customFormat="1">
      <c r="A876" s="1051">
        <v>43964</v>
      </c>
      <c r="B876" s="1052">
        <f t="shared" si="132"/>
        <v>6.1707999999999998</v>
      </c>
      <c r="C876" s="1052">
        <f t="shared" si="134"/>
        <v>5.6376999999999997</v>
      </c>
      <c r="D876" s="1052">
        <f t="shared" si="138"/>
        <v>7.9227999999999996</v>
      </c>
      <c r="E876" s="1052">
        <f t="shared" si="139"/>
        <v>6.9852999999999996</v>
      </c>
      <c r="F876" s="1052">
        <f t="shared" si="140"/>
        <v>11.2277</v>
      </c>
      <c r="G876" s="1052">
        <f t="shared" si="141"/>
        <v>5.5919999999999996</v>
      </c>
      <c r="H876" s="1047">
        <f t="shared" si="135"/>
        <v>6.9852999999999996</v>
      </c>
      <c r="I876" s="1048">
        <f t="shared" si="133"/>
        <v>-0.11660200707199397</v>
      </c>
      <c r="J876" s="1048">
        <f t="shared" si="136"/>
        <v>0.12093838824177333</v>
      </c>
      <c r="K876" s="1048">
        <f t="shared" si="137"/>
        <v>0.1</v>
      </c>
      <c r="L876" s="1048"/>
      <c r="N876" s="1051">
        <v>43964</v>
      </c>
      <c r="O876" s="1053">
        <v>6.1707999999999998</v>
      </c>
      <c r="P876" s="1053">
        <v>1.1924999999999999</v>
      </c>
      <c r="Q876" s="1053">
        <v>7.0566000000000004</v>
      </c>
      <c r="R876" s="1054">
        <f>'B. PE'!$U$23</f>
        <v>15.978235616082999</v>
      </c>
      <c r="S876" s="1054"/>
      <c r="T876" s="1054"/>
      <c r="V876" s="1051">
        <v>43964</v>
      </c>
      <c r="W876" s="198">
        <v>5.6376999999999997</v>
      </c>
      <c r="X876" s="198">
        <v>0.41539999999999999</v>
      </c>
      <c r="Y876" s="198">
        <v>11.7387</v>
      </c>
      <c r="Z876" s="198">
        <v>0.26194000000000001</v>
      </c>
      <c r="AB876" s="1051">
        <v>43921</v>
      </c>
      <c r="AC876" s="198">
        <v>8.5274999999999999</v>
      </c>
      <c r="AD876" s="1053">
        <v>0.60250000000000004</v>
      </c>
      <c r="AE876" s="198">
        <v>5.7058999999999997</v>
      </c>
      <c r="AF876" s="198">
        <v>1.106E-2</v>
      </c>
      <c r="AH876" s="1051">
        <v>43921</v>
      </c>
      <c r="AI876" s="198">
        <v>7.5869999999999997</v>
      </c>
      <c r="AJ876" s="198">
        <v>1.2650999999999999</v>
      </c>
      <c r="AK876" s="198">
        <v>4.2069000000000001</v>
      </c>
      <c r="AL876" s="198">
        <v>1.4319999999999999E-2</v>
      </c>
      <c r="AN876" s="1051">
        <v>43929</v>
      </c>
      <c r="AO876" s="198">
        <v>5.5324</v>
      </c>
      <c r="AP876" s="198">
        <v>0.56430000000000002</v>
      </c>
      <c r="AQ876" s="198">
        <v>2.4386999999999999</v>
      </c>
      <c r="AR876" s="198">
        <v>0.10943</v>
      </c>
      <c r="AT876" s="1051">
        <v>43910</v>
      </c>
      <c r="AU876" s="198">
        <v>7.0342000000000002</v>
      </c>
      <c r="AV876" s="198">
        <v>0.38129999999999997</v>
      </c>
      <c r="AX876" s="198">
        <v>8.9169999999999999E-2</v>
      </c>
      <c r="BA876" s="1051">
        <v>43914</v>
      </c>
      <c r="BB876" s="198">
        <v>4.3552999999999997</v>
      </c>
      <c r="BC876" s="198">
        <v>0.76570000000000005</v>
      </c>
      <c r="BD876" s="198">
        <v>5.9870000000000001</v>
      </c>
      <c r="BE876" s="198">
        <v>0.17588000000000001</v>
      </c>
      <c r="BG876" s="1051">
        <v>43914</v>
      </c>
      <c r="BH876" s="198">
        <v>5.7843999999999998</v>
      </c>
      <c r="BI876" s="198">
        <v>0.99170000000000003</v>
      </c>
      <c r="BJ876" s="198">
        <v>13.5465</v>
      </c>
      <c r="BT876" s="1051">
        <v>43964</v>
      </c>
      <c r="BU876" s="198">
        <v>9.5254999999999992</v>
      </c>
      <c r="BV876" s="198">
        <v>2.8414999999999999</v>
      </c>
      <c r="BW876" s="198">
        <v>6.2365000000000004</v>
      </c>
      <c r="BX876" s="198">
        <v>1.2144999999999999</v>
      </c>
      <c r="BZ876" s="1051">
        <v>43964</v>
      </c>
      <c r="CA876" s="198">
        <v>9.2423000000000002</v>
      </c>
      <c r="CB876" s="198">
        <v>1.3107</v>
      </c>
      <c r="CC876" s="198">
        <v>13.2219</v>
      </c>
      <c r="CD876" s="198">
        <v>0.50566</v>
      </c>
      <c r="CF876" s="1051">
        <v>43963</v>
      </c>
      <c r="CG876" s="198">
        <v>5.4352</v>
      </c>
      <c r="CH876" s="198">
        <v>0.87219999999999998</v>
      </c>
      <c r="CI876" s="198">
        <v>13.545299999999999</v>
      </c>
      <c r="CL876" s="1051">
        <v>43985</v>
      </c>
      <c r="CM876" s="198">
        <v>20.634899999999998</v>
      </c>
      <c r="CN876" s="198">
        <v>2.0089000000000001</v>
      </c>
      <c r="CO876" s="198">
        <v>8.9147999999999996</v>
      </c>
    </row>
    <row r="877" spans="1:93" s="198" customFormat="1">
      <c r="A877" s="1051">
        <v>43963</v>
      </c>
      <c r="B877" s="1052">
        <f t="shared" si="132"/>
        <v>6.0251999999999999</v>
      </c>
      <c r="C877" s="1052">
        <f t="shared" si="134"/>
        <v>5.4580000000000002</v>
      </c>
      <c r="D877" s="1052">
        <f t="shared" si="138"/>
        <v>8.0570000000000004</v>
      </c>
      <c r="E877" s="1052">
        <f t="shared" si="139"/>
        <v>7.2088000000000001</v>
      </c>
      <c r="F877" s="1052">
        <f t="shared" si="140"/>
        <v>10.7014</v>
      </c>
      <c r="G877" s="1052">
        <f t="shared" si="141"/>
        <v>5.1323999999999996</v>
      </c>
      <c r="H877" s="1047">
        <f t="shared" si="135"/>
        <v>7.2088000000000001</v>
      </c>
      <c r="I877" s="1048">
        <f t="shared" si="133"/>
        <v>-0.16418821440461662</v>
      </c>
      <c r="J877" s="1048">
        <f t="shared" si="136"/>
        <v>0.12093838824177333</v>
      </c>
      <c r="K877" s="1048">
        <f t="shared" si="137"/>
        <v>0.1</v>
      </c>
      <c r="L877" s="1048"/>
      <c r="N877" s="1051">
        <v>43963</v>
      </c>
      <c r="O877" s="1053">
        <v>6.0251999999999999</v>
      </c>
      <c r="P877" s="1053">
        <v>1.1642999999999999</v>
      </c>
      <c r="Q877" s="1053">
        <v>6.9339000000000004</v>
      </c>
      <c r="R877" s="1054">
        <f>'B. PE'!$U$23</f>
        <v>15.978235616082999</v>
      </c>
      <c r="S877" s="1054"/>
      <c r="T877" s="1054"/>
      <c r="V877" s="1051">
        <v>43963</v>
      </c>
      <c r="W877" s="198">
        <v>5.4580000000000002</v>
      </c>
      <c r="X877" s="198">
        <v>0.4022</v>
      </c>
      <c r="Y877" s="198">
        <v>11.618600000000001</v>
      </c>
      <c r="Z877" s="198">
        <v>0.25923000000000002</v>
      </c>
      <c r="AB877" s="1051">
        <v>43920</v>
      </c>
      <c r="AC877" s="198">
        <v>9.0668000000000006</v>
      </c>
      <c r="AD877" s="1053">
        <v>0.55569999999999997</v>
      </c>
      <c r="AE877" s="198">
        <v>5.6032999999999999</v>
      </c>
      <c r="AF877" s="198">
        <v>1.108E-2</v>
      </c>
      <c r="AH877" s="1051">
        <v>43920</v>
      </c>
      <c r="AI877" s="198">
        <v>7.5639000000000003</v>
      </c>
      <c r="AJ877" s="198">
        <v>1.2868999999999999</v>
      </c>
      <c r="AK877" s="198">
        <v>4.2374000000000001</v>
      </c>
      <c r="AL877" s="198">
        <v>1.396E-2</v>
      </c>
      <c r="AN877" s="1051">
        <v>43928</v>
      </c>
      <c r="AO877" s="198">
        <v>5.7</v>
      </c>
      <c r="AP877" s="198">
        <v>0.58140000000000003</v>
      </c>
      <c r="AQ877" s="198">
        <v>2.573</v>
      </c>
      <c r="AR877" s="198">
        <v>0.10553999999999999</v>
      </c>
      <c r="AT877" s="1051">
        <v>43909</v>
      </c>
      <c r="AU877" s="198">
        <v>6.8441000000000001</v>
      </c>
      <c r="AV877" s="198">
        <v>0.371</v>
      </c>
      <c r="AX877" s="198">
        <v>9.6509999999999999E-2</v>
      </c>
      <c r="BA877" s="1051">
        <v>43913</v>
      </c>
      <c r="BB877" s="198">
        <v>4.3552999999999997</v>
      </c>
      <c r="BC877" s="198">
        <v>0.76570000000000005</v>
      </c>
      <c r="BD877" s="198">
        <v>5.9870000000000001</v>
      </c>
      <c r="BE877" s="198">
        <v>0.16586000000000001</v>
      </c>
      <c r="BG877" s="1051">
        <v>43913</v>
      </c>
      <c r="BH877" s="198">
        <v>5.9997999999999996</v>
      </c>
      <c r="BI877" s="198">
        <v>1.0286</v>
      </c>
      <c r="BJ877" s="198">
        <v>13.740500000000001</v>
      </c>
      <c r="BT877" s="1051">
        <v>43963</v>
      </c>
      <c r="BU877" s="198">
        <v>9.4573999999999998</v>
      </c>
      <c r="BV877" s="198">
        <v>2.8210999999999999</v>
      </c>
      <c r="BW877" s="198">
        <v>6.1966000000000001</v>
      </c>
      <c r="BX877" s="198">
        <v>1.1948000000000001</v>
      </c>
      <c r="BZ877" s="1051">
        <v>43963</v>
      </c>
      <c r="CA877" s="198">
        <v>8.6473999999999993</v>
      </c>
      <c r="CB877" s="198">
        <v>1.2263999999999999</v>
      </c>
      <c r="CC877" s="198">
        <v>12.8703</v>
      </c>
      <c r="CD877" s="198">
        <v>0.50831999999999999</v>
      </c>
      <c r="CF877" s="1051">
        <v>43962</v>
      </c>
      <c r="CG877" s="198">
        <v>5.6032999999999999</v>
      </c>
      <c r="CH877" s="198">
        <v>0.8992</v>
      </c>
      <c r="CI877" s="198">
        <v>13.6294</v>
      </c>
      <c r="CL877" s="1051">
        <v>43984</v>
      </c>
      <c r="CM877" s="198">
        <v>20.484300000000001</v>
      </c>
      <c r="CN877" s="198">
        <v>1.9942</v>
      </c>
      <c r="CO877" s="198">
        <v>8.8491999999999997</v>
      </c>
    </row>
    <row r="878" spans="1:93" s="198" customFormat="1">
      <c r="A878" s="1051">
        <v>43962</v>
      </c>
      <c r="B878" s="1052">
        <f t="shared" si="132"/>
        <v>6.1260000000000003</v>
      </c>
      <c r="C878" s="1052">
        <f t="shared" si="134"/>
        <v>5.4355000000000002</v>
      </c>
      <c r="D878" s="1052">
        <f t="shared" si="138"/>
        <v>7.9898999999999996</v>
      </c>
      <c r="E878" s="1052">
        <f t="shared" si="139"/>
        <v>7.2088000000000001</v>
      </c>
      <c r="F878" s="1052">
        <f t="shared" si="140"/>
        <v>10.7014</v>
      </c>
      <c r="G878" s="1052">
        <f t="shared" si="141"/>
        <v>5.0941000000000001</v>
      </c>
      <c r="H878" s="1047">
        <f t="shared" si="135"/>
        <v>7.2088000000000001</v>
      </c>
      <c r="I878" s="1048">
        <f t="shared" si="133"/>
        <v>-0.15020530462767723</v>
      </c>
      <c r="J878" s="1048">
        <f t="shared" si="136"/>
        <v>0.12093838824177333</v>
      </c>
      <c r="K878" s="1048">
        <f t="shared" si="137"/>
        <v>0.1</v>
      </c>
      <c r="L878" s="1048"/>
      <c r="N878" s="1051">
        <v>43962</v>
      </c>
      <c r="O878" s="1053">
        <v>6.1260000000000003</v>
      </c>
      <c r="P878" s="1053">
        <v>1.1838</v>
      </c>
      <c r="Q878" s="1053">
        <v>7.0187999999999997</v>
      </c>
      <c r="R878" s="1054">
        <f>'B. PE'!$U$23</f>
        <v>15.978235616082999</v>
      </c>
      <c r="S878" s="1054"/>
      <c r="T878" s="1054"/>
      <c r="V878" s="1051">
        <v>43962</v>
      </c>
      <c r="W878" s="198">
        <v>5.4355000000000002</v>
      </c>
      <c r="X878" s="198">
        <v>0.40050000000000002</v>
      </c>
      <c r="Y878" s="198">
        <v>11.6036</v>
      </c>
      <c r="Z878" s="198">
        <v>0.25871</v>
      </c>
      <c r="AB878" s="1051">
        <v>43917</v>
      </c>
      <c r="AC878" s="198">
        <v>9.7144999999999992</v>
      </c>
      <c r="AD878" s="1053">
        <v>0.59540000000000004</v>
      </c>
      <c r="AE878" s="198">
        <v>5.8190999999999997</v>
      </c>
      <c r="AF878" s="198">
        <v>1.072E-2</v>
      </c>
      <c r="AH878" s="1051">
        <v>43917</v>
      </c>
      <c r="AI878" s="198">
        <v>8.0107999999999997</v>
      </c>
      <c r="AJ878" s="198">
        <v>1.3629</v>
      </c>
      <c r="AK878" s="198">
        <v>4.4569000000000001</v>
      </c>
      <c r="AL878" s="198">
        <v>1.146E-2</v>
      </c>
      <c r="AN878" s="1051">
        <v>43927</v>
      </c>
      <c r="AO878" s="198">
        <v>5.3368000000000002</v>
      </c>
      <c r="AP878" s="198">
        <v>0.5444</v>
      </c>
      <c r="AQ878" s="198">
        <v>2.2820999999999998</v>
      </c>
      <c r="AR878" s="198">
        <v>0.1067</v>
      </c>
      <c r="AT878" s="1051">
        <v>43908</v>
      </c>
      <c r="AU878" s="198">
        <v>7.4143999999999997</v>
      </c>
      <c r="AV878" s="198">
        <v>0.40189999999999998</v>
      </c>
      <c r="AX878" s="198">
        <v>9.2840000000000006E-2</v>
      </c>
      <c r="BA878" s="1051">
        <v>43910</v>
      </c>
      <c r="BB878" s="198">
        <v>4.7701000000000002</v>
      </c>
      <c r="BC878" s="198">
        <v>0.83860000000000001</v>
      </c>
      <c r="BD878" s="198">
        <v>6.2706999999999997</v>
      </c>
      <c r="BE878" s="198">
        <v>0.16852</v>
      </c>
      <c r="BG878" s="1051">
        <v>43910</v>
      </c>
      <c r="BH878" s="198">
        <v>6.5843999999999996</v>
      </c>
      <c r="BI878" s="198">
        <v>1.1289</v>
      </c>
      <c r="BJ878" s="198">
        <v>14.2669</v>
      </c>
      <c r="BT878" s="1051">
        <v>43962</v>
      </c>
      <c r="BU878" s="198">
        <v>9.6503999999999994</v>
      </c>
      <c r="BV878" s="198">
        <v>2.8786999999999998</v>
      </c>
      <c r="BW878" s="198">
        <v>6.3094999999999999</v>
      </c>
      <c r="BX878" s="198">
        <v>1.1753</v>
      </c>
      <c r="BZ878" s="1051">
        <v>43962</v>
      </c>
      <c r="CA878" s="198">
        <v>8.6473999999999993</v>
      </c>
      <c r="CB878" s="198">
        <v>1.2263999999999999</v>
      </c>
      <c r="CC878" s="198">
        <v>12.8703</v>
      </c>
      <c r="CD878" s="198">
        <v>0.51595999999999997</v>
      </c>
      <c r="CF878" s="1051">
        <v>43959</v>
      </c>
      <c r="CG878" s="198">
        <v>5.3231000000000002</v>
      </c>
      <c r="CH878" s="198">
        <v>0.85429999999999995</v>
      </c>
      <c r="CI878" s="198">
        <v>13.4892</v>
      </c>
      <c r="CL878" s="1051">
        <v>43980</v>
      </c>
      <c r="CM878" s="198">
        <v>19.919499999999999</v>
      </c>
      <c r="CN878" s="198">
        <v>1.9392</v>
      </c>
      <c r="CO878" s="198">
        <v>8.6029999999999998</v>
      </c>
    </row>
    <row r="879" spans="1:93" s="198" customFormat="1">
      <c r="A879" s="1051">
        <v>43959</v>
      </c>
      <c r="B879" s="1052">
        <f t="shared" si="132"/>
        <v>5.8460000000000001</v>
      </c>
      <c r="C879" s="1052">
        <f t="shared" si="134"/>
        <v>5.3906000000000001</v>
      </c>
      <c r="D879" s="1052">
        <f t="shared" si="138"/>
        <v>7.9227999999999996</v>
      </c>
      <c r="E879" s="1052">
        <f t="shared" si="139"/>
        <v>6.9852999999999996</v>
      </c>
      <c r="F879" s="1052">
        <f t="shared" si="140"/>
        <v>10.1751</v>
      </c>
      <c r="G879" s="1052">
        <f t="shared" si="141"/>
        <v>4.9025999999999996</v>
      </c>
      <c r="H879" s="1047">
        <f t="shared" si="135"/>
        <v>6.9852999999999996</v>
      </c>
      <c r="I879" s="1048">
        <f t="shared" si="133"/>
        <v>-0.16309965212660871</v>
      </c>
      <c r="J879" s="1048">
        <f t="shared" si="136"/>
        <v>0.12093838824177333</v>
      </c>
      <c r="K879" s="1048">
        <f t="shared" si="137"/>
        <v>0.1</v>
      </c>
      <c r="L879" s="1048"/>
      <c r="N879" s="1051">
        <v>43959</v>
      </c>
      <c r="O879" s="1053">
        <v>5.8460000000000001</v>
      </c>
      <c r="P879" s="1053">
        <v>1.1296999999999999</v>
      </c>
      <c r="Q879" s="1053">
        <v>6.7828999999999997</v>
      </c>
      <c r="R879" s="1054">
        <f>'B. PE'!$U$23</f>
        <v>15.978235616082999</v>
      </c>
      <c r="S879" s="1054"/>
      <c r="T879" s="1054"/>
      <c r="V879" s="1051">
        <v>43959</v>
      </c>
      <c r="W879" s="198">
        <v>5.3906000000000001</v>
      </c>
      <c r="X879" s="198">
        <v>0.3972</v>
      </c>
      <c r="Y879" s="198">
        <v>11.573499999999999</v>
      </c>
      <c r="Z879" s="198">
        <v>0.25407000000000002</v>
      </c>
      <c r="AB879" s="1051">
        <v>43916</v>
      </c>
      <c r="AC879" s="198">
        <v>9.5526</v>
      </c>
      <c r="AD879" s="1053">
        <v>0.58550000000000002</v>
      </c>
      <c r="AE879" s="198">
        <v>5.7651000000000003</v>
      </c>
      <c r="AF879" s="198">
        <v>1.12E-2</v>
      </c>
      <c r="AH879" s="1051">
        <v>43916</v>
      </c>
      <c r="AI879" s="198">
        <v>7.6669999999999998</v>
      </c>
      <c r="AJ879" s="198">
        <v>1.3044</v>
      </c>
      <c r="AK879" s="198">
        <v>4.2881</v>
      </c>
      <c r="AL879" s="198">
        <v>1.102E-2</v>
      </c>
      <c r="AN879" s="1051">
        <v>43924</v>
      </c>
      <c r="AO879" s="198">
        <v>5.1412000000000004</v>
      </c>
      <c r="AP879" s="198">
        <v>0.52439999999999998</v>
      </c>
      <c r="AQ879" s="198">
        <v>2.1255000000000002</v>
      </c>
      <c r="AR879" s="198">
        <v>0.10327</v>
      </c>
      <c r="AT879" s="1051">
        <v>43907</v>
      </c>
      <c r="AU879" s="198">
        <v>7.9847999999999999</v>
      </c>
      <c r="AV879" s="198">
        <v>0.43280000000000002</v>
      </c>
      <c r="AX879" s="198">
        <v>0.10284</v>
      </c>
      <c r="BA879" s="1051">
        <v>43909</v>
      </c>
      <c r="BB879" s="198">
        <v>4.4797000000000002</v>
      </c>
      <c r="BC879" s="198">
        <v>0.78749999999999998</v>
      </c>
      <c r="BD879" s="198">
        <v>6.0720999999999998</v>
      </c>
      <c r="BE879" s="198">
        <v>0.16650999999999999</v>
      </c>
      <c r="BG879" s="1051">
        <v>43909</v>
      </c>
      <c r="BH879" s="198">
        <v>6.0613999999999999</v>
      </c>
      <c r="BI879" s="198">
        <v>1.0391999999999999</v>
      </c>
      <c r="BJ879" s="198">
        <v>13.7959</v>
      </c>
      <c r="BT879" s="1051">
        <v>43959</v>
      </c>
      <c r="BU879" s="198">
        <v>9.5140999999999991</v>
      </c>
      <c r="BV879" s="198">
        <v>2.8380999999999998</v>
      </c>
      <c r="BW879" s="198">
        <v>6.2298</v>
      </c>
      <c r="BX879" s="198">
        <v>1.1556</v>
      </c>
      <c r="BZ879" s="1051">
        <v>43959</v>
      </c>
      <c r="CA879" s="198">
        <v>8.7111999999999998</v>
      </c>
      <c r="CB879" s="198">
        <v>1.2354000000000001</v>
      </c>
      <c r="CC879" s="198">
        <v>12.907999999999999</v>
      </c>
      <c r="CD879" s="198">
        <v>0.49498999999999999</v>
      </c>
      <c r="CF879" s="1051">
        <v>43958</v>
      </c>
      <c r="CG879" s="198">
        <v>5.3231000000000002</v>
      </c>
      <c r="CH879" s="198">
        <v>0.85429999999999995</v>
      </c>
      <c r="CI879" s="198">
        <v>13.4892</v>
      </c>
      <c r="CL879" s="1051">
        <v>43979</v>
      </c>
      <c r="CM879" s="198">
        <v>20.032399999999999</v>
      </c>
      <c r="CN879" s="198">
        <v>1.9501999999999999</v>
      </c>
      <c r="CO879" s="198">
        <v>8.6522000000000006</v>
      </c>
    </row>
    <row r="880" spans="1:93" s="198" customFormat="1">
      <c r="A880" s="1051">
        <v>43958</v>
      </c>
      <c r="B880" s="1052">
        <f t="shared" si="132"/>
        <v>5.9580000000000002</v>
      </c>
      <c r="C880" s="1052">
        <f t="shared" si="134"/>
        <v>5.3906000000000001</v>
      </c>
      <c r="D880" s="1052">
        <f t="shared" si="138"/>
        <v>7.9227999999999996</v>
      </c>
      <c r="E880" s="1052">
        <f t="shared" si="139"/>
        <v>6.9852999999999996</v>
      </c>
      <c r="F880" s="1052">
        <f t="shared" si="140"/>
        <v>9.9120000000000008</v>
      </c>
      <c r="G880" s="1052">
        <f t="shared" si="141"/>
        <v>4.9025999999999996</v>
      </c>
      <c r="H880" s="1047">
        <f t="shared" si="135"/>
        <v>6.9852999999999996</v>
      </c>
      <c r="I880" s="1048">
        <f t="shared" si="133"/>
        <v>-0.14706598141812088</v>
      </c>
      <c r="J880" s="1048">
        <f t="shared" si="136"/>
        <v>0.12093838824177333</v>
      </c>
      <c r="K880" s="1048">
        <f t="shared" si="137"/>
        <v>0.1</v>
      </c>
      <c r="L880" s="1048"/>
      <c r="N880" s="1051">
        <v>43958</v>
      </c>
      <c r="O880" s="1053">
        <v>5.9580000000000002</v>
      </c>
      <c r="P880" s="1053">
        <v>1.1513</v>
      </c>
      <c r="Q880" s="1053">
        <v>6.8773</v>
      </c>
      <c r="R880" s="1054">
        <f>'B. PE'!$U$23</f>
        <v>15.978235616082999</v>
      </c>
      <c r="S880" s="1054"/>
      <c r="T880" s="1054"/>
      <c r="V880" s="1051">
        <v>43958</v>
      </c>
      <c r="W880" s="198">
        <v>5.3906000000000001</v>
      </c>
      <c r="X880" s="198">
        <v>0.3972</v>
      </c>
      <c r="Y880" s="198">
        <v>11.573499999999999</v>
      </c>
      <c r="Z880" s="198">
        <v>0.25370999999999999</v>
      </c>
      <c r="AB880" s="1051">
        <v>43914</v>
      </c>
      <c r="AC880" s="198">
        <v>9.3367000000000004</v>
      </c>
      <c r="AD880" s="1053">
        <v>0.57230000000000003</v>
      </c>
      <c r="AE880" s="198">
        <v>5.6932</v>
      </c>
      <c r="AF880" s="198">
        <v>1.239E-2</v>
      </c>
      <c r="AH880" s="1051">
        <v>43914</v>
      </c>
      <c r="AI880" s="198">
        <v>6.3605</v>
      </c>
      <c r="AJ880" s="198">
        <v>1.0821000000000001</v>
      </c>
      <c r="AK880" s="198">
        <v>3.6463999999999999</v>
      </c>
      <c r="AL880" s="198">
        <v>1.2200000000000001E-2</v>
      </c>
      <c r="AN880" s="1051">
        <v>43923</v>
      </c>
      <c r="AO880" s="198">
        <v>5.1970999999999998</v>
      </c>
      <c r="AP880" s="198">
        <v>0.53010000000000002</v>
      </c>
      <c r="AQ880" s="198">
        <v>2.1701999999999999</v>
      </c>
      <c r="AR880" s="198">
        <v>0.10891000000000001</v>
      </c>
      <c r="AT880" s="1051">
        <v>43906</v>
      </c>
      <c r="AU880" s="198">
        <v>7.6045999999999996</v>
      </c>
      <c r="AV880" s="198">
        <v>0.41220000000000001</v>
      </c>
      <c r="AX880" s="198">
        <v>0.10532</v>
      </c>
      <c r="BA880" s="1051">
        <v>43908</v>
      </c>
      <c r="BB880" s="198">
        <v>4.5627000000000004</v>
      </c>
      <c r="BC880" s="198">
        <v>0.80210000000000004</v>
      </c>
      <c r="BD880" s="198">
        <v>6.1288</v>
      </c>
      <c r="BE880" s="198">
        <v>0.17019000000000001</v>
      </c>
      <c r="BG880" s="1051">
        <v>43908</v>
      </c>
      <c r="BH880" s="198">
        <v>6.1228999999999996</v>
      </c>
      <c r="BI880" s="198">
        <v>1.0497000000000001</v>
      </c>
      <c r="BJ880" s="198">
        <v>13.8513</v>
      </c>
      <c r="BT880" s="1051">
        <v>43958</v>
      </c>
      <c r="BU880" s="198">
        <v>9.3779000000000003</v>
      </c>
      <c r="BV880" s="198">
        <v>2.7974000000000001</v>
      </c>
      <c r="BW880" s="198">
        <v>6.1501999999999999</v>
      </c>
      <c r="BX880" s="198">
        <v>1.1285000000000001</v>
      </c>
      <c r="BZ880" s="1051">
        <v>43958</v>
      </c>
      <c r="CA880" s="198">
        <v>8.8598999999999997</v>
      </c>
      <c r="CB880" s="198">
        <v>1.2565</v>
      </c>
      <c r="CC880" s="198">
        <v>12.995900000000001</v>
      </c>
      <c r="CD880" s="198">
        <v>0.49003999999999998</v>
      </c>
      <c r="CF880" s="1051">
        <v>43957</v>
      </c>
      <c r="CI880" s="198">
        <v>13.6294</v>
      </c>
      <c r="CL880" s="1051">
        <v>43978</v>
      </c>
      <c r="CM880" s="198">
        <v>19.6935</v>
      </c>
      <c r="CN880" s="198">
        <v>1.9172</v>
      </c>
      <c r="CO880" s="198">
        <v>8.5045000000000002</v>
      </c>
    </row>
    <row r="881" spans="1:93" s="198" customFormat="1">
      <c r="A881" s="1051">
        <v>43957</v>
      </c>
      <c r="B881" s="1052">
        <f t="shared" si="132"/>
        <v>6.0251999999999999</v>
      </c>
      <c r="C881" s="1052">
        <f t="shared" si="134"/>
        <v>5.2933000000000003</v>
      </c>
      <c r="D881" s="1052">
        <f t="shared" si="138"/>
        <v>7.9227999999999996</v>
      </c>
      <c r="E881" s="1052">
        <f t="shared" si="139"/>
        <v>6.5941000000000001</v>
      </c>
      <c r="F881" s="1052">
        <f t="shared" si="140"/>
        <v>9.9120000000000008</v>
      </c>
      <c r="G881" s="1052">
        <f t="shared" si="141"/>
        <v>4.9025999999999996</v>
      </c>
      <c r="H881" s="1047">
        <f t="shared" si="135"/>
        <v>6.5941000000000001</v>
      </c>
      <c r="I881" s="1048">
        <f t="shared" si="133"/>
        <v>-8.6274093507832772E-2</v>
      </c>
      <c r="J881" s="1048">
        <f t="shared" si="136"/>
        <v>0.12093838824177333</v>
      </c>
      <c r="K881" s="1048">
        <f t="shared" si="137"/>
        <v>0.1</v>
      </c>
      <c r="L881" s="1048"/>
      <c r="N881" s="1051">
        <v>43957</v>
      </c>
      <c r="O881" s="1053">
        <v>6.0251999999999999</v>
      </c>
      <c r="P881" s="1053">
        <v>1.1642999999999999</v>
      </c>
      <c r="Q881" s="1053">
        <v>6.9339000000000004</v>
      </c>
      <c r="R881" s="1054">
        <f>'B. PE'!$U$23</f>
        <v>15.978235616082999</v>
      </c>
      <c r="S881" s="1054"/>
      <c r="T881" s="1054"/>
      <c r="V881" s="1051">
        <v>43957</v>
      </c>
      <c r="W881" s="198">
        <v>5.2933000000000003</v>
      </c>
      <c r="X881" s="198">
        <v>0.3901</v>
      </c>
      <c r="Y881" s="198">
        <v>11.5085</v>
      </c>
      <c r="Z881" s="198">
        <v>0.25306000000000001</v>
      </c>
      <c r="AB881" s="1051">
        <v>43913</v>
      </c>
      <c r="AC881" s="198">
        <v>10.0383</v>
      </c>
      <c r="AD881" s="1053">
        <v>0.61529999999999996</v>
      </c>
      <c r="AE881" s="198">
        <v>5.9269999999999996</v>
      </c>
      <c r="AF881" s="198">
        <v>1.324E-2</v>
      </c>
      <c r="AH881" s="1051">
        <v>43913</v>
      </c>
      <c r="AI881" s="198">
        <v>6.2918000000000003</v>
      </c>
      <c r="AJ881" s="198">
        <v>1.0704</v>
      </c>
      <c r="AK881" s="198">
        <v>3.6126</v>
      </c>
      <c r="AL881" s="198">
        <v>1.1780000000000001E-2</v>
      </c>
      <c r="AN881" s="1051">
        <v>43922</v>
      </c>
      <c r="AO881" s="198">
        <v>5.0293999999999999</v>
      </c>
      <c r="AP881" s="198">
        <v>0.51300000000000001</v>
      </c>
      <c r="AQ881" s="198">
        <v>2.0358999999999998</v>
      </c>
      <c r="AR881" s="198">
        <v>0.10338</v>
      </c>
      <c r="AT881" s="1051">
        <v>43903</v>
      </c>
      <c r="AU881" s="198">
        <v>8.3650000000000002</v>
      </c>
      <c r="AV881" s="198">
        <v>0.45340000000000003</v>
      </c>
      <c r="AX881" s="198">
        <v>0.10378999999999999</v>
      </c>
      <c r="BA881" s="1051">
        <v>43907</v>
      </c>
      <c r="BB881" s="198">
        <v>4.4382999999999999</v>
      </c>
      <c r="BC881" s="198">
        <v>0.7802</v>
      </c>
      <c r="BD881" s="198">
        <v>6.0437000000000003</v>
      </c>
      <c r="BE881" s="198">
        <v>0.18207000000000001</v>
      </c>
      <c r="BG881" s="1051">
        <v>43907</v>
      </c>
      <c r="BH881" s="198">
        <v>6.1228999999999996</v>
      </c>
      <c r="BI881" s="198">
        <v>1.0497000000000001</v>
      </c>
      <c r="BJ881" s="198">
        <v>13.8513</v>
      </c>
      <c r="BT881" s="1051">
        <v>43957</v>
      </c>
      <c r="BU881" s="198">
        <v>9.2188999999999997</v>
      </c>
      <c r="BV881" s="198">
        <v>2.75</v>
      </c>
      <c r="BW881" s="198">
        <v>6.0572999999999997</v>
      </c>
      <c r="BX881" s="198">
        <v>1.1286</v>
      </c>
      <c r="BZ881" s="1051">
        <v>43957</v>
      </c>
      <c r="CA881" s="198">
        <v>8.4986999999999995</v>
      </c>
      <c r="CB881" s="198">
        <v>1.2053</v>
      </c>
      <c r="CC881" s="198">
        <v>12.782400000000001</v>
      </c>
      <c r="CD881" s="198">
        <v>0.48948000000000003</v>
      </c>
      <c r="CF881" s="1051">
        <v>43956</v>
      </c>
      <c r="CI881" s="198">
        <v>13.6294</v>
      </c>
      <c r="CL881" s="1051">
        <v>43977</v>
      </c>
      <c r="CM881" s="198">
        <v>19.900600000000001</v>
      </c>
      <c r="CN881" s="198">
        <v>1.9374</v>
      </c>
      <c r="CO881" s="198">
        <v>8.5947999999999993</v>
      </c>
    </row>
    <row r="882" spans="1:93" s="198" customFormat="1">
      <c r="A882" s="1051">
        <v>43956</v>
      </c>
      <c r="B882" s="1052">
        <f t="shared" si="132"/>
        <v>5.7004000000000001</v>
      </c>
      <c r="C882" s="1052">
        <f t="shared" si="134"/>
        <v>5.2858000000000001</v>
      </c>
      <c r="D882" s="1052">
        <f t="shared" si="138"/>
        <v>7.9562999999999997</v>
      </c>
      <c r="E882" s="1052">
        <f t="shared" si="139"/>
        <v>6.5381999999999998</v>
      </c>
      <c r="F882" s="1052">
        <f t="shared" si="140"/>
        <v>10.4382</v>
      </c>
      <c r="G882" s="1052">
        <f t="shared" si="141"/>
        <v>5.0557999999999996</v>
      </c>
      <c r="H882" s="1047">
        <f t="shared" si="135"/>
        <v>6.5381999999999998</v>
      </c>
      <c r="I882" s="1048">
        <f t="shared" si="133"/>
        <v>-0.12813924321678749</v>
      </c>
      <c r="J882" s="1048">
        <f t="shared" si="136"/>
        <v>0.12093838824177333</v>
      </c>
      <c r="K882" s="1048">
        <f t="shared" si="137"/>
        <v>0.1</v>
      </c>
      <c r="L882" s="1048"/>
      <c r="N882" s="1051">
        <v>43956</v>
      </c>
      <c r="O882" s="1053">
        <v>5.7004000000000001</v>
      </c>
      <c r="P882" s="1053">
        <v>1.1015999999999999</v>
      </c>
      <c r="Q882" s="1053">
        <v>6.6601999999999997</v>
      </c>
      <c r="R882" s="1054">
        <f>'B. PE'!$U$23</f>
        <v>15.978235616082999</v>
      </c>
      <c r="S882" s="1054"/>
      <c r="T882" s="1054"/>
      <c r="V882" s="1051">
        <v>43956</v>
      </c>
      <c r="W882" s="198">
        <v>5.2858000000000001</v>
      </c>
      <c r="X882" s="198">
        <v>0.38950000000000001</v>
      </c>
      <c r="Y882" s="198">
        <v>11.503500000000001</v>
      </c>
      <c r="Z882" s="198">
        <v>0.25501000000000001</v>
      </c>
      <c r="AB882" s="1051">
        <v>43910</v>
      </c>
      <c r="AC882" s="198">
        <v>10.7399</v>
      </c>
      <c r="AD882" s="1053">
        <v>0.6583</v>
      </c>
      <c r="AE882" s="198">
        <v>6.1608000000000001</v>
      </c>
      <c r="AF882" s="198">
        <v>1.448E-2</v>
      </c>
      <c r="AH882" s="1051">
        <v>43910</v>
      </c>
      <c r="AI882" s="198">
        <v>6.7386999999999997</v>
      </c>
      <c r="AJ882" s="198">
        <v>1.1465000000000001</v>
      </c>
      <c r="AK882" s="198">
        <v>3.8321000000000001</v>
      </c>
      <c r="AL882" s="198">
        <v>1.2930000000000001E-2</v>
      </c>
      <c r="AN882" s="1051">
        <v>43921</v>
      </c>
      <c r="AO882" s="198">
        <v>5.2530000000000001</v>
      </c>
      <c r="AP882" s="198">
        <v>0.53580000000000005</v>
      </c>
      <c r="AQ882" s="198">
        <v>2.2149999999999999</v>
      </c>
      <c r="AR882" s="198">
        <v>0.10283</v>
      </c>
      <c r="AT882" s="1051">
        <v>43902</v>
      </c>
      <c r="AU882" s="198">
        <v>8.5550999999999995</v>
      </c>
      <c r="AV882" s="198">
        <v>0.4637</v>
      </c>
      <c r="AX882" s="198">
        <v>0.11427</v>
      </c>
      <c r="BA882" s="1051">
        <v>43906</v>
      </c>
      <c r="BB882" s="198">
        <v>4.5212000000000003</v>
      </c>
      <c r="BC882" s="198">
        <v>0.79479999999999995</v>
      </c>
      <c r="BD882" s="198">
        <v>6.1005000000000003</v>
      </c>
      <c r="BE882" s="198">
        <v>0.19261</v>
      </c>
      <c r="BG882" s="1051">
        <v>43906</v>
      </c>
      <c r="BH882" s="198">
        <v>6.3689999999999998</v>
      </c>
      <c r="BI882" s="198">
        <v>1.0919000000000001</v>
      </c>
      <c r="BJ882" s="198">
        <v>14.073</v>
      </c>
      <c r="BT882" s="1051">
        <v>43956</v>
      </c>
      <c r="BU882" s="198">
        <v>9.0031999999999996</v>
      </c>
      <c r="BV882" s="198">
        <v>2.6857000000000002</v>
      </c>
      <c r="BW882" s="198">
        <v>5.9310999999999998</v>
      </c>
      <c r="BX882" s="198">
        <v>1.1619999999999999</v>
      </c>
      <c r="BZ882" s="1051">
        <v>43956</v>
      </c>
      <c r="CA882" s="198">
        <v>8.4137000000000004</v>
      </c>
      <c r="CB882" s="198">
        <v>1.1932</v>
      </c>
      <c r="CC882" s="198">
        <v>12.732100000000001</v>
      </c>
      <c r="CD882" s="198">
        <v>0.52564</v>
      </c>
      <c r="CF882" s="1051">
        <v>43955</v>
      </c>
      <c r="CI882" s="198">
        <v>13.6294</v>
      </c>
      <c r="CL882" s="1051">
        <v>43976</v>
      </c>
      <c r="CM882" s="198">
        <v>19.599399999999999</v>
      </c>
      <c r="CN882" s="198">
        <v>1.9080999999999999</v>
      </c>
      <c r="CO882" s="198">
        <v>8.4634999999999998</v>
      </c>
    </row>
    <row r="883" spans="1:93" s="198" customFormat="1">
      <c r="A883" s="1051">
        <v>43955</v>
      </c>
      <c r="B883" s="1052">
        <f t="shared" si="132"/>
        <v>5.6668000000000003</v>
      </c>
      <c r="C883" s="1052">
        <f t="shared" si="134"/>
        <v>5.2782999999999998</v>
      </c>
      <c r="D883" s="1052">
        <f t="shared" si="138"/>
        <v>7.7885</v>
      </c>
      <c r="E883" s="1052">
        <f t="shared" si="139"/>
        <v>6.0353000000000003</v>
      </c>
      <c r="F883" s="1052">
        <f t="shared" si="140"/>
        <v>10.4382</v>
      </c>
      <c r="G883" s="1052">
        <f t="shared" si="141"/>
        <v>5.0557999999999996</v>
      </c>
      <c r="H883" s="1047">
        <f t="shared" si="135"/>
        <v>6.0353000000000003</v>
      </c>
      <c r="I883" s="1048">
        <f t="shared" si="133"/>
        <v>-6.1057445363113638E-2</v>
      </c>
      <c r="J883" s="1048">
        <f t="shared" si="136"/>
        <v>0.12093838824177333</v>
      </c>
      <c r="K883" s="1048">
        <f t="shared" si="137"/>
        <v>0.1</v>
      </c>
      <c r="L883" s="1048"/>
      <c r="N883" s="1051">
        <v>43955</v>
      </c>
      <c r="O883" s="1053">
        <v>5.6668000000000003</v>
      </c>
      <c r="P883" s="1053">
        <v>1.0951</v>
      </c>
      <c r="Q883" s="1053">
        <v>6.6318999999999999</v>
      </c>
      <c r="R883" s="1054">
        <f>'B. PE'!$U$23</f>
        <v>15.978235616082999</v>
      </c>
      <c r="S883" s="1054"/>
      <c r="T883" s="1054"/>
      <c r="V883" s="1051">
        <v>43955</v>
      </c>
      <c r="W883" s="198">
        <v>5.2782999999999998</v>
      </c>
      <c r="X883" s="198">
        <v>0.38890000000000002</v>
      </c>
      <c r="Y883" s="198">
        <v>11.4985</v>
      </c>
      <c r="Z883" s="198">
        <v>0.25492999999999999</v>
      </c>
      <c r="AB883" s="1051">
        <v>43909</v>
      </c>
      <c r="AC883" s="198">
        <v>11.2796</v>
      </c>
      <c r="AD883" s="1053">
        <v>0.69130000000000003</v>
      </c>
      <c r="AE883" s="198">
        <v>6.3406000000000002</v>
      </c>
      <c r="AF883" s="198">
        <v>1.5910000000000001E-2</v>
      </c>
      <c r="AH883" s="1051">
        <v>43909</v>
      </c>
      <c r="AI883" s="198">
        <v>6.3948999999999998</v>
      </c>
      <c r="AJ883" s="198">
        <v>1.0880000000000001</v>
      </c>
      <c r="AK883" s="198">
        <v>3.6633</v>
      </c>
      <c r="AL883" s="198">
        <v>1.4250000000000001E-2</v>
      </c>
      <c r="AN883" s="1051">
        <v>43920</v>
      </c>
      <c r="AO883" s="198">
        <v>5.4260000000000002</v>
      </c>
      <c r="AP883" s="198">
        <v>0.52339999999999998</v>
      </c>
      <c r="AQ883" s="198">
        <v>2.3481999999999998</v>
      </c>
      <c r="AR883" s="198">
        <v>0.10209</v>
      </c>
      <c r="AT883" s="1051">
        <v>43901</v>
      </c>
      <c r="AU883" s="198">
        <v>8.3650000000000002</v>
      </c>
      <c r="AV883" s="198">
        <v>0.45340000000000003</v>
      </c>
      <c r="AX883" s="198">
        <v>0.11620999999999999</v>
      </c>
      <c r="BA883" s="1051">
        <v>43903</v>
      </c>
      <c r="BB883" s="198">
        <v>4.8116000000000003</v>
      </c>
      <c r="BC883" s="198">
        <v>0.84589999999999999</v>
      </c>
      <c r="BD883" s="198">
        <v>6.2990000000000004</v>
      </c>
      <c r="BE883" s="198">
        <v>0.21138000000000001</v>
      </c>
      <c r="BG883" s="1051">
        <v>43903</v>
      </c>
      <c r="BH883" s="198">
        <v>6.6767000000000003</v>
      </c>
      <c r="BI883" s="198">
        <v>1.1447000000000001</v>
      </c>
      <c r="BJ883" s="198">
        <v>14.350099999999999</v>
      </c>
      <c r="BT883" s="1051">
        <v>43955</v>
      </c>
      <c r="BU883" s="198">
        <v>9.0145999999999997</v>
      </c>
      <c r="BV883" s="198">
        <v>2.6890999999999998</v>
      </c>
      <c r="BW883" s="198">
        <v>5.9378000000000002</v>
      </c>
      <c r="BX883" s="198">
        <v>1.1503000000000001</v>
      </c>
      <c r="BZ883" s="1051">
        <v>43955</v>
      </c>
      <c r="CA883" s="198">
        <v>8.4137000000000004</v>
      </c>
      <c r="CB883" s="198">
        <v>1.1932</v>
      </c>
      <c r="CC883" s="198">
        <v>12.732100000000001</v>
      </c>
      <c r="CD883" s="198">
        <v>0.52300999999999997</v>
      </c>
      <c r="CF883" s="1051">
        <v>43950</v>
      </c>
      <c r="CI883" s="198">
        <v>13.6294</v>
      </c>
      <c r="CL883" s="1051">
        <v>43973</v>
      </c>
      <c r="CM883" s="198">
        <v>19.4864</v>
      </c>
      <c r="CN883" s="198">
        <v>1.8971</v>
      </c>
      <c r="CO883" s="198">
        <v>8.4143000000000008</v>
      </c>
    </row>
    <row r="884" spans="1:93" s="198" customFormat="1">
      <c r="A884" s="1051">
        <v>43950</v>
      </c>
      <c r="B884" s="1052">
        <f t="shared" si="132"/>
        <v>5.5548000000000002</v>
      </c>
      <c r="C884" s="1052">
        <f t="shared" si="134"/>
        <v>5.3156999999999996</v>
      </c>
      <c r="D884" s="1052">
        <f t="shared" si="138"/>
        <v>7.7213000000000003</v>
      </c>
      <c r="E884" s="1052">
        <f t="shared" si="139"/>
        <v>5.9794</v>
      </c>
      <c r="F884" s="1052">
        <f t="shared" si="140"/>
        <v>10.1751</v>
      </c>
      <c r="G884" s="1052">
        <f t="shared" si="141"/>
        <v>5.1323999999999996</v>
      </c>
      <c r="H884" s="1047">
        <f t="shared" si="135"/>
        <v>5.9794</v>
      </c>
      <c r="I884" s="1048">
        <f t="shared" si="133"/>
        <v>-7.1010469277853927E-2</v>
      </c>
      <c r="J884" s="1048">
        <f t="shared" si="136"/>
        <v>0.12093838824177333</v>
      </c>
      <c r="K884" s="1048">
        <f t="shared" si="137"/>
        <v>0.1</v>
      </c>
      <c r="L884" s="1048"/>
      <c r="N884" s="1051">
        <v>43950</v>
      </c>
      <c r="O884" s="1053">
        <v>5.5548000000000002</v>
      </c>
      <c r="P884" s="1053">
        <v>1.0733999999999999</v>
      </c>
      <c r="Q884" s="1053">
        <v>6.5374999999999996</v>
      </c>
      <c r="R884" s="1054">
        <f>'B. PE'!$U$23</f>
        <v>15.978235616082999</v>
      </c>
      <c r="S884" s="1054"/>
      <c r="T884" s="1054"/>
      <c r="V884" s="1051">
        <v>43950</v>
      </c>
      <c r="W884" s="198">
        <v>5.3156999999999996</v>
      </c>
      <c r="X884" s="198">
        <v>0.39169999999999999</v>
      </c>
      <c r="Y884" s="198">
        <v>11.5235</v>
      </c>
      <c r="Z884" s="198">
        <v>0.25290000000000001</v>
      </c>
      <c r="AB884" s="1051">
        <v>43908</v>
      </c>
      <c r="AC884" s="198">
        <v>12.0891</v>
      </c>
      <c r="AD884" s="1053">
        <v>0.74099999999999999</v>
      </c>
      <c r="AE884" s="198">
        <v>6.6104000000000003</v>
      </c>
      <c r="AF884" s="198">
        <v>1.7250000000000001E-2</v>
      </c>
      <c r="AH884" s="1051">
        <v>43908</v>
      </c>
      <c r="AI884" s="198">
        <v>6.8762999999999996</v>
      </c>
      <c r="AJ884" s="198">
        <v>1.1698999999999999</v>
      </c>
      <c r="AK884" s="198">
        <v>3.8997000000000002</v>
      </c>
      <c r="AL884" s="198">
        <v>1.5310000000000001E-2</v>
      </c>
      <c r="AN884" s="1051">
        <v>43917</v>
      </c>
      <c r="AO884" s="198">
        <v>5.3956999999999997</v>
      </c>
      <c r="AP884" s="198">
        <v>0.52049999999999996</v>
      </c>
      <c r="AQ884" s="198">
        <v>2.3262999999999998</v>
      </c>
      <c r="AR884" s="198">
        <v>9.9669999999999995E-2</v>
      </c>
      <c r="AT884" s="1051">
        <v>43900</v>
      </c>
      <c r="AU884" s="198">
        <v>9.2204999999999995</v>
      </c>
      <c r="AV884" s="198">
        <v>0.49980000000000002</v>
      </c>
      <c r="AX884" s="198">
        <v>0.11745</v>
      </c>
      <c r="BA884" s="1051">
        <v>43902</v>
      </c>
      <c r="BB884" s="198">
        <v>5.0603999999999996</v>
      </c>
      <c r="BC884" s="198">
        <v>0.88959999999999995</v>
      </c>
      <c r="BD884" s="198">
        <v>6.4691999999999998</v>
      </c>
      <c r="BE884" s="198">
        <v>0.21487000000000001</v>
      </c>
      <c r="BG884" s="1051">
        <v>43902</v>
      </c>
      <c r="BH884" s="198">
        <v>7.0152000000000001</v>
      </c>
      <c r="BI884" s="198">
        <v>1.2027000000000001</v>
      </c>
      <c r="BJ884" s="198">
        <v>14.6549</v>
      </c>
      <c r="BT884" s="1051">
        <v>43950</v>
      </c>
      <c r="BU884" s="198">
        <v>9.2757000000000005</v>
      </c>
      <c r="BV884" s="198">
        <v>2.7669000000000001</v>
      </c>
      <c r="BW884" s="198">
        <v>6.0903999999999998</v>
      </c>
      <c r="BX884" s="198">
        <v>1.1677</v>
      </c>
      <c r="BZ884" s="1051">
        <v>43950</v>
      </c>
      <c r="CA884" s="198">
        <v>9.0298999999999996</v>
      </c>
      <c r="CB884" s="198">
        <v>1.2806</v>
      </c>
      <c r="CC884" s="198">
        <v>13.096299999999999</v>
      </c>
      <c r="CD884" s="198">
        <v>0.56081000000000003</v>
      </c>
      <c r="CF884" s="1051">
        <v>43949</v>
      </c>
      <c r="CG884" s="198">
        <v>5.6032999999999999</v>
      </c>
      <c r="CH884" s="198">
        <v>0.8992</v>
      </c>
      <c r="CI884" s="198">
        <v>13.6294</v>
      </c>
      <c r="CL884" s="1051">
        <v>43971</v>
      </c>
      <c r="CM884" s="198">
        <v>20.314800000000002</v>
      </c>
      <c r="CN884" s="198">
        <v>1.9777</v>
      </c>
      <c r="CO884" s="198">
        <v>8.7752999999999997</v>
      </c>
    </row>
    <row r="885" spans="1:93" s="198" customFormat="1">
      <c r="A885" s="1051">
        <v>43949</v>
      </c>
      <c r="B885" s="1052">
        <f t="shared" si="132"/>
        <v>5.1965000000000003</v>
      </c>
      <c r="C885" s="1052">
        <f t="shared" si="134"/>
        <v>5.3156999999999996</v>
      </c>
      <c r="D885" s="1052">
        <f t="shared" si="138"/>
        <v>7.4527999999999999</v>
      </c>
      <c r="E885" s="1052">
        <f t="shared" si="139"/>
        <v>5.9234999999999998</v>
      </c>
      <c r="F885" s="1052">
        <f t="shared" si="140"/>
        <v>10.2628</v>
      </c>
      <c r="G885" s="1052">
        <f t="shared" si="141"/>
        <v>5.1323999999999996</v>
      </c>
      <c r="H885" s="1047">
        <f t="shared" si="135"/>
        <v>5.9234999999999998</v>
      </c>
      <c r="I885" s="1048">
        <f t="shared" si="133"/>
        <v>-0.12273149320503074</v>
      </c>
      <c r="J885" s="1048">
        <f t="shared" si="136"/>
        <v>0.12093838824177333</v>
      </c>
      <c r="K885" s="1048">
        <f t="shared" si="137"/>
        <v>0.1</v>
      </c>
      <c r="L885" s="1048"/>
      <c r="N885" s="1051">
        <v>43949</v>
      </c>
      <c r="O885" s="1053">
        <v>5.1965000000000003</v>
      </c>
      <c r="P885" s="1053">
        <v>1.0042</v>
      </c>
      <c r="Q885" s="1053">
        <v>6.2355</v>
      </c>
      <c r="R885" s="1054">
        <f>'B. PE'!$U$23</f>
        <v>15.978235616082999</v>
      </c>
      <c r="S885" s="1054"/>
      <c r="T885" s="1054"/>
      <c r="V885" s="1051">
        <v>43949</v>
      </c>
      <c r="W885" s="198">
        <v>5.3156999999999996</v>
      </c>
      <c r="X885" s="198">
        <v>0.39169999999999999</v>
      </c>
      <c r="Y885" s="198">
        <v>11.5235</v>
      </c>
      <c r="Z885" s="198">
        <v>0.25069000000000002</v>
      </c>
      <c r="AB885" s="1051">
        <v>43907</v>
      </c>
      <c r="AC885" s="198">
        <v>12.9526</v>
      </c>
      <c r="AD885" s="1053">
        <v>0.79390000000000005</v>
      </c>
      <c r="AE885" s="198">
        <v>6.8981000000000003</v>
      </c>
      <c r="AF885" s="198">
        <v>1.8890000000000001E-2</v>
      </c>
      <c r="AH885" s="1051">
        <v>43907</v>
      </c>
      <c r="AI885" s="198">
        <v>7.3920000000000003</v>
      </c>
      <c r="AJ885" s="198">
        <v>1.2576000000000001</v>
      </c>
      <c r="AK885" s="198">
        <v>4.1529999999999996</v>
      </c>
      <c r="AL885" s="198">
        <v>1.6369999999999999E-2</v>
      </c>
      <c r="AN885" s="1051">
        <v>43916</v>
      </c>
      <c r="AO885" s="198">
        <v>5.3654000000000002</v>
      </c>
      <c r="AP885" s="198">
        <v>0.51759999999999995</v>
      </c>
      <c r="AQ885" s="198">
        <v>2.3043999999999998</v>
      </c>
      <c r="AR885" s="198">
        <v>9.536E-2</v>
      </c>
      <c r="AT885" s="1051">
        <v>43899</v>
      </c>
      <c r="AU885" s="198">
        <v>9.3155999999999999</v>
      </c>
      <c r="AV885" s="198">
        <v>0.50490000000000002</v>
      </c>
      <c r="AX885" s="198">
        <v>0.12256</v>
      </c>
      <c r="BA885" s="1051">
        <v>43901</v>
      </c>
      <c r="BB885" s="198">
        <v>5.5167000000000002</v>
      </c>
      <c r="BC885" s="198">
        <v>0.9698</v>
      </c>
      <c r="BD885" s="198">
        <v>6.7812999999999999</v>
      </c>
      <c r="BE885" s="198">
        <v>0.20810999999999999</v>
      </c>
      <c r="BG885" s="1051">
        <v>43901</v>
      </c>
      <c r="BH885" s="198">
        <v>8.1536000000000008</v>
      </c>
      <c r="BI885" s="198">
        <v>1.3978999999999999</v>
      </c>
      <c r="BJ885" s="198">
        <v>15.680099999999999</v>
      </c>
      <c r="BT885" s="1051">
        <v>43949</v>
      </c>
      <c r="BU885" s="198">
        <v>9.1849000000000007</v>
      </c>
      <c r="BV885" s="198">
        <v>2.7399</v>
      </c>
      <c r="BW885" s="198">
        <v>6.0373000000000001</v>
      </c>
      <c r="BX885" s="198">
        <v>1.1771</v>
      </c>
      <c r="BZ885" s="1051">
        <v>43949</v>
      </c>
      <c r="CA885" s="198">
        <v>8.9873999999999992</v>
      </c>
      <c r="CB885" s="198">
        <v>1.2746</v>
      </c>
      <c r="CC885" s="198">
        <v>13.071199999999999</v>
      </c>
      <c r="CD885" s="198">
        <v>0.56974999999999998</v>
      </c>
      <c r="CF885" s="1051">
        <v>43948</v>
      </c>
      <c r="CG885" s="198">
        <v>5.6032999999999999</v>
      </c>
      <c r="CH885" s="198">
        <v>0.8992</v>
      </c>
      <c r="CI885" s="198">
        <v>13.6294</v>
      </c>
      <c r="CL885" s="1051">
        <v>43970</v>
      </c>
      <c r="CM885" s="198">
        <v>20.1266</v>
      </c>
      <c r="CN885" s="198">
        <v>1.9594</v>
      </c>
      <c r="CO885" s="198">
        <v>8.6933000000000007</v>
      </c>
    </row>
    <row r="886" spans="1:93" s="198" customFormat="1">
      <c r="A886" s="1051">
        <v>43948</v>
      </c>
      <c r="B886" s="1052">
        <f t="shared" si="132"/>
        <v>5.2412999999999998</v>
      </c>
      <c r="C886" s="1052">
        <f t="shared" si="134"/>
        <v>5.2782999999999998</v>
      </c>
      <c r="D886" s="1052">
        <f t="shared" si="138"/>
        <v>7.1841999999999997</v>
      </c>
      <c r="E886" s="1052">
        <f t="shared" si="139"/>
        <v>6.0911999999999997</v>
      </c>
      <c r="F886" s="1052">
        <f t="shared" si="140"/>
        <v>10.3505</v>
      </c>
      <c r="G886" s="1052">
        <f t="shared" si="141"/>
        <v>5.5153999999999996</v>
      </c>
      <c r="H886" s="1047">
        <f t="shared" si="135"/>
        <v>6.0911999999999997</v>
      </c>
      <c r="I886" s="1048">
        <f t="shared" si="133"/>
        <v>-0.13952915681639089</v>
      </c>
      <c r="J886" s="1048">
        <f t="shared" si="136"/>
        <v>0.12093838824177333</v>
      </c>
      <c r="K886" s="1048">
        <f t="shared" si="137"/>
        <v>0.1</v>
      </c>
      <c r="L886" s="1048"/>
      <c r="N886" s="1051">
        <v>43948</v>
      </c>
      <c r="O886" s="1053">
        <v>5.2412999999999998</v>
      </c>
      <c r="P886" s="1053">
        <v>1.0127999999999999</v>
      </c>
      <c r="Q886" s="1053">
        <v>6.2732000000000001</v>
      </c>
      <c r="R886" s="1054">
        <f>'B. PE'!$U$23</f>
        <v>15.978235616082999</v>
      </c>
      <c r="S886" s="1054"/>
      <c r="T886" s="1054"/>
      <c r="V886" s="1051">
        <v>43948</v>
      </c>
      <c r="W886" s="198">
        <v>5.2782999999999998</v>
      </c>
      <c r="X886" s="198">
        <v>0.38890000000000002</v>
      </c>
      <c r="Y886" s="198">
        <v>11.4985</v>
      </c>
      <c r="Z886" s="198">
        <v>0.24895</v>
      </c>
      <c r="AB886" s="1051">
        <v>43906</v>
      </c>
      <c r="AC886" s="198">
        <v>13.924099999999999</v>
      </c>
      <c r="AD886" s="1053">
        <v>0.85340000000000005</v>
      </c>
      <c r="AE886" s="198">
        <v>7.2218</v>
      </c>
      <c r="AF886" s="198">
        <v>1.721E-2</v>
      </c>
      <c r="AH886" s="1051">
        <v>43906</v>
      </c>
      <c r="AI886" s="198">
        <v>7.8733000000000004</v>
      </c>
      <c r="AJ886" s="198">
        <v>1.3394999999999999</v>
      </c>
      <c r="AK886" s="198">
        <v>4.3894000000000002</v>
      </c>
      <c r="AL886" s="198">
        <v>1.7149999999999999E-2</v>
      </c>
      <c r="AN886" s="1051">
        <v>43915</v>
      </c>
      <c r="AO886" s="198">
        <v>5.3047000000000004</v>
      </c>
      <c r="AP886" s="198">
        <v>0.51170000000000004</v>
      </c>
      <c r="AQ886" s="198">
        <v>2.2593999999999999</v>
      </c>
      <c r="AR886" s="198">
        <v>8.8349999999999998E-2</v>
      </c>
      <c r="AT886" s="1051">
        <v>43896</v>
      </c>
      <c r="AU886" s="198">
        <v>9.3155999999999999</v>
      </c>
      <c r="AV886" s="198">
        <v>0.50490000000000002</v>
      </c>
      <c r="AX886" s="198">
        <v>0.12558</v>
      </c>
      <c r="BA886" s="1051">
        <v>43900</v>
      </c>
      <c r="BB886" s="198">
        <v>5.5997000000000003</v>
      </c>
      <c r="BC886" s="198">
        <v>0.98440000000000005</v>
      </c>
      <c r="BD886" s="198">
        <v>6.8380000000000001</v>
      </c>
      <c r="BE886" s="198">
        <v>0.22048999999999999</v>
      </c>
      <c r="BG886" s="1051">
        <v>43900</v>
      </c>
      <c r="BH886" s="198">
        <v>8.4612999999999996</v>
      </c>
      <c r="BI886" s="198">
        <v>1.4507000000000001</v>
      </c>
      <c r="BJ886" s="198">
        <v>15.9572</v>
      </c>
      <c r="BT886" s="1051">
        <v>43948</v>
      </c>
      <c r="BU886" s="198">
        <v>9.3324999999999996</v>
      </c>
      <c r="BV886" s="198">
        <v>2.7839</v>
      </c>
      <c r="BW886" s="198">
        <v>6.1235999999999997</v>
      </c>
      <c r="BX886" s="198">
        <v>1.1843999999999999</v>
      </c>
      <c r="BZ886" s="1051">
        <v>43948</v>
      </c>
      <c r="CA886" s="198">
        <v>9.6460000000000008</v>
      </c>
      <c r="CB886" s="198">
        <v>1.3680000000000001</v>
      </c>
      <c r="CC886" s="198">
        <v>13.4605</v>
      </c>
      <c r="CD886" s="198">
        <v>0.53286</v>
      </c>
      <c r="CF886" s="1051">
        <v>43945</v>
      </c>
      <c r="CG886" s="198">
        <v>5.7713999999999999</v>
      </c>
      <c r="CH886" s="198">
        <v>0.92620000000000002</v>
      </c>
      <c r="CI886" s="198">
        <v>13.7135</v>
      </c>
      <c r="CL886" s="1051">
        <v>43969</v>
      </c>
      <c r="CM886" s="198">
        <v>19.825299999999999</v>
      </c>
      <c r="CN886" s="198">
        <v>1.9300999999999999</v>
      </c>
      <c r="CO886" s="198">
        <v>8.5619999999999994</v>
      </c>
    </row>
    <row r="887" spans="1:93" s="198" customFormat="1">
      <c r="A887" s="1051">
        <v>43945</v>
      </c>
      <c r="B887" s="1052">
        <f t="shared" si="132"/>
        <v>5.3308999999999997</v>
      </c>
      <c r="C887" s="1052">
        <f t="shared" si="134"/>
        <v>5.2408999999999999</v>
      </c>
      <c r="D887" s="1052">
        <f t="shared" si="138"/>
        <v>7.0834999999999999</v>
      </c>
      <c r="E887" s="1052">
        <f t="shared" si="139"/>
        <v>6.1471</v>
      </c>
      <c r="F887" s="1052">
        <f t="shared" si="140"/>
        <v>10.1751</v>
      </c>
      <c r="G887" s="1052">
        <f t="shared" si="141"/>
        <v>5.5153999999999996</v>
      </c>
      <c r="H887" s="1047">
        <f t="shared" si="135"/>
        <v>6.1471</v>
      </c>
      <c r="I887" s="1048">
        <f t="shared" si="133"/>
        <v>-0.13277805794602338</v>
      </c>
      <c r="J887" s="1048">
        <f t="shared" si="136"/>
        <v>0.12093838824177333</v>
      </c>
      <c r="K887" s="1048">
        <f t="shared" si="137"/>
        <v>0.1</v>
      </c>
      <c r="L887" s="1048"/>
      <c r="N887" s="1051">
        <v>43945</v>
      </c>
      <c r="O887" s="1053">
        <v>5.3308999999999997</v>
      </c>
      <c r="P887" s="1053">
        <v>1.0301</v>
      </c>
      <c r="Q887" s="1053">
        <v>6.3487</v>
      </c>
      <c r="R887" s="1054">
        <f>'B. PE'!$U$23</f>
        <v>15.978235616082999</v>
      </c>
      <c r="S887" s="1054"/>
      <c r="T887" s="1054"/>
      <c r="V887" s="1051">
        <v>43945</v>
      </c>
      <c r="W887" s="198">
        <v>5.2408999999999999</v>
      </c>
      <c r="X887" s="198">
        <v>0.38619999999999999</v>
      </c>
      <c r="Y887" s="198">
        <v>11.4735</v>
      </c>
      <c r="Z887" s="198">
        <v>0.24762000000000001</v>
      </c>
      <c r="AB887" s="1051">
        <v>43903</v>
      </c>
      <c r="AC887" s="198">
        <v>14.9495</v>
      </c>
      <c r="AD887" s="1053">
        <v>0.9163</v>
      </c>
      <c r="AE887" s="198">
        <v>7.5635000000000003</v>
      </c>
      <c r="AF887" s="198">
        <v>2.06E-2</v>
      </c>
      <c r="AH887" s="1051">
        <v>43903</v>
      </c>
      <c r="AI887" s="198">
        <v>8.2515000000000001</v>
      </c>
      <c r="AJ887" s="198">
        <v>1.4037999999999999</v>
      </c>
      <c r="AK887" s="198">
        <v>4.5750999999999999</v>
      </c>
      <c r="AL887" s="198">
        <v>1.9210000000000001E-2</v>
      </c>
      <c r="AN887" s="1051">
        <v>43914</v>
      </c>
      <c r="AO887" s="198">
        <v>5.1228999999999996</v>
      </c>
      <c r="AP887" s="198">
        <v>0.49419999999999997</v>
      </c>
      <c r="AQ887" s="198">
        <v>2.1208999999999998</v>
      </c>
      <c r="AR887" s="198">
        <v>9.5019999999999993E-2</v>
      </c>
      <c r="AT887" s="1051">
        <v>43895</v>
      </c>
      <c r="AU887" s="198">
        <v>9.6958000000000002</v>
      </c>
      <c r="AV887" s="198">
        <v>0.52549999999999997</v>
      </c>
      <c r="AX887" s="198">
        <v>0.11623</v>
      </c>
      <c r="BA887" s="1051">
        <v>43899</v>
      </c>
      <c r="BB887" s="198">
        <v>5.4337999999999997</v>
      </c>
      <c r="BC887" s="198">
        <v>0.95530000000000004</v>
      </c>
      <c r="BD887" s="198">
        <v>6.7245999999999997</v>
      </c>
      <c r="BE887" s="198">
        <v>0.22477</v>
      </c>
      <c r="BG887" s="1051">
        <v>43899</v>
      </c>
      <c r="BH887" s="198">
        <v>8.4612999999999996</v>
      </c>
      <c r="BI887" s="198">
        <v>1.4507000000000001</v>
      </c>
      <c r="BJ887" s="198">
        <v>15.9572</v>
      </c>
      <c r="BT887" s="1051">
        <v>43945</v>
      </c>
      <c r="BU887" s="198">
        <v>9.4232999999999993</v>
      </c>
      <c r="BV887" s="198">
        <v>2.8109999999999999</v>
      </c>
      <c r="BW887" s="198">
        <v>6.1767000000000003</v>
      </c>
      <c r="BX887" s="198">
        <v>1.1636</v>
      </c>
      <c r="BZ887" s="1051">
        <v>43945</v>
      </c>
      <c r="CA887" s="198">
        <v>9.8160000000000007</v>
      </c>
      <c r="CB887" s="198">
        <v>1.3920999999999999</v>
      </c>
      <c r="CC887" s="198">
        <v>13.561</v>
      </c>
      <c r="CD887" s="198">
        <v>0.49852000000000002</v>
      </c>
      <c r="CF887" s="1051">
        <v>43944</v>
      </c>
      <c r="CG887" s="198">
        <v>5.8273999999999999</v>
      </c>
      <c r="CH887" s="198">
        <v>0.93520000000000003</v>
      </c>
      <c r="CI887" s="198">
        <v>13.7415</v>
      </c>
      <c r="CL887" s="1051">
        <v>43966</v>
      </c>
      <c r="CM887" s="198">
        <v>18.774799999999999</v>
      </c>
      <c r="CN887" s="198">
        <v>1.8278000000000001</v>
      </c>
      <c r="CO887" s="198">
        <v>8.1041000000000007</v>
      </c>
    </row>
    <row r="888" spans="1:93" s="198" customFormat="1">
      <c r="A888" s="1051">
        <v>43944</v>
      </c>
      <c r="B888" s="1052">
        <f t="shared" si="132"/>
        <v>5.4204999999999997</v>
      </c>
      <c r="C888" s="1052">
        <f t="shared" si="134"/>
        <v>5.2034000000000002</v>
      </c>
      <c r="D888" s="1052">
        <f t="shared" si="138"/>
        <v>6.8148999999999997</v>
      </c>
      <c r="E888" s="1052">
        <f t="shared" si="139"/>
        <v>6.0353000000000003</v>
      </c>
      <c r="F888" s="1052">
        <f t="shared" si="140"/>
        <v>10.4382</v>
      </c>
      <c r="G888" s="1052">
        <f t="shared" si="141"/>
        <v>5.5153999999999996</v>
      </c>
      <c r="H888" s="1047">
        <f t="shared" si="135"/>
        <v>6.0353000000000003</v>
      </c>
      <c r="I888" s="1048">
        <f t="shared" si="133"/>
        <v>-0.10186734710784895</v>
      </c>
      <c r="J888" s="1048">
        <f t="shared" si="136"/>
        <v>0.12093838824177333</v>
      </c>
      <c r="K888" s="1048">
        <f t="shared" si="137"/>
        <v>0.1</v>
      </c>
      <c r="L888" s="1048"/>
      <c r="N888" s="1051">
        <v>43944</v>
      </c>
      <c r="O888" s="1053">
        <v>5.4204999999999997</v>
      </c>
      <c r="P888" s="1053">
        <v>1.0475000000000001</v>
      </c>
      <c r="Q888" s="1053">
        <v>6.4241999999999999</v>
      </c>
      <c r="R888" s="1054">
        <f>'B. PE'!$U$23</f>
        <v>15.978235616082999</v>
      </c>
      <c r="S888" s="1054"/>
      <c r="T888" s="1054"/>
      <c r="V888" s="1051">
        <v>43944</v>
      </c>
      <c r="W888" s="198">
        <v>5.2034000000000002</v>
      </c>
      <c r="X888" s="198">
        <v>0.38340000000000002</v>
      </c>
      <c r="Y888" s="198">
        <v>11.448499999999999</v>
      </c>
      <c r="Z888" s="198">
        <v>0.25078</v>
      </c>
      <c r="AB888" s="1051">
        <v>43902</v>
      </c>
      <c r="AC888" s="198">
        <v>13.600300000000001</v>
      </c>
      <c r="AD888" s="1053">
        <v>0.83360000000000001</v>
      </c>
      <c r="AE888" s="198">
        <v>7.1139000000000001</v>
      </c>
      <c r="AF888" s="198">
        <v>2.18E-2</v>
      </c>
      <c r="AH888" s="1051">
        <v>43902</v>
      </c>
      <c r="AI888" s="198">
        <v>8.6296999999999997</v>
      </c>
      <c r="AJ888" s="198">
        <v>1.4681999999999999</v>
      </c>
      <c r="AK888" s="198">
        <v>4.7609000000000004</v>
      </c>
      <c r="AL888" s="198">
        <v>1.9990000000000001E-2</v>
      </c>
      <c r="AN888" s="1051">
        <v>43913</v>
      </c>
      <c r="AO888" s="198">
        <v>4.7591000000000001</v>
      </c>
      <c r="AP888" s="198">
        <v>0.45910000000000001</v>
      </c>
      <c r="AQ888" s="198">
        <v>1.8448</v>
      </c>
      <c r="AR888" s="198">
        <v>8.3220000000000002E-2</v>
      </c>
      <c r="AT888" s="1051">
        <v>43894</v>
      </c>
      <c r="AU888" s="198">
        <v>9.9809999999999999</v>
      </c>
      <c r="AV888" s="198">
        <v>0.54100000000000004</v>
      </c>
      <c r="AX888" s="198">
        <v>0.11994</v>
      </c>
      <c r="BA888" s="1051">
        <v>43896</v>
      </c>
      <c r="BB888" s="198">
        <v>5.7656000000000001</v>
      </c>
      <c r="BC888" s="198">
        <v>1.0136000000000001</v>
      </c>
      <c r="BD888" s="198">
        <v>6.9515000000000002</v>
      </c>
      <c r="BE888" s="198">
        <v>0.22652</v>
      </c>
      <c r="BG888" s="1051">
        <v>43896</v>
      </c>
      <c r="BH888" s="198">
        <v>9.2304999999999993</v>
      </c>
      <c r="BI888" s="198">
        <v>1.5825</v>
      </c>
      <c r="BJ888" s="198">
        <v>16.649899999999999</v>
      </c>
      <c r="BT888" s="1051">
        <v>43944</v>
      </c>
      <c r="BU888" s="198">
        <v>9.4801000000000002</v>
      </c>
      <c r="BV888" s="198">
        <v>2.8279000000000001</v>
      </c>
      <c r="BW888" s="198">
        <v>6.2099000000000002</v>
      </c>
      <c r="BX888" s="198">
        <v>1.1281000000000001</v>
      </c>
      <c r="BZ888" s="1051">
        <v>43944</v>
      </c>
      <c r="CA888" s="198">
        <v>9.1785999999999994</v>
      </c>
      <c r="CB888" s="198">
        <v>1.3017000000000001</v>
      </c>
      <c r="CC888" s="198">
        <v>13.184200000000001</v>
      </c>
      <c r="CD888" s="198">
        <v>0.46699000000000002</v>
      </c>
      <c r="CF888" s="1051">
        <v>43943</v>
      </c>
      <c r="CG888" s="198">
        <v>6.0514999999999999</v>
      </c>
      <c r="CH888" s="198">
        <v>0.97109999999999996</v>
      </c>
      <c r="CI888" s="198">
        <v>13.8536</v>
      </c>
      <c r="CL888" s="1051">
        <v>43965</v>
      </c>
      <c r="CM888" s="198">
        <v>19.0534</v>
      </c>
      <c r="CN888" s="198">
        <v>1.8549</v>
      </c>
      <c r="CO888" s="198">
        <v>8.2255000000000003</v>
      </c>
    </row>
    <row r="889" spans="1:93" s="198" customFormat="1">
      <c r="A889" s="1051">
        <v>43943</v>
      </c>
      <c r="B889" s="1052">
        <f t="shared" si="132"/>
        <v>5.2525000000000004</v>
      </c>
      <c r="C889" s="1052">
        <f t="shared" si="134"/>
        <v>5.1734999999999998</v>
      </c>
      <c r="D889" s="1052">
        <f t="shared" si="138"/>
        <v>6.7477999999999998</v>
      </c>
      <c r="E889" s="1052">
        <f t="shared" si="139"/>
        <v>6.0911999999999997</v>
      </c>
      <c r="F889" s="1052">
        <f t="shared" si="140"/>
        <v>10.087400000000001</v>
      </c>
      <c r="G889" s="1052">
        <f t="shared" si="141"/>
        <v>5.4005000000000001</v>
      </c>
      <c r="H889" s="1047">
        <f t="shared" si="135"/>
        <v>6.0911999999999997</v>
      </c>
      <c r="I889" s="1048">
        <f t="shared" si="133"/>
        <v>-0.13769043866561592</v>
      </c>
      <c r="J889" s="1048">
        <f t="shared" si="136"/>
        <v>0.12093838824177333</v>
      </c>
      <c r="K889" s="1048">
        <f t="shared" si="137"/>
        <v>0.1</v>
      </c>
      <c r="L889" s="1048"/>
      <c r="N889" s="1051">
        <v>43943</v>
      </c>
      <c r="O889" s="1053">
        <v>5.2525000000000004</v>
      </c>
      <c r="P889" s="1053">
        <v>1.0149999999999999</v>
      </c>
      <c r="Q889" s="1053">
        <v>6.2827000000000002</v>
      </c>
      <c r="R889" s="1054">
        <f>'B. PE'!$U$23</f>
        <v>15.978235616082999</v>
      </c>
      <c r="S889" s="1054"/>
      <c r="T889" s="1054"/>
      <c r="V889" s="1051">
        <v>43943</v>
      </c>
      <c r="W889" s="198">
        <v>5.1734999999999998</v>
      </c>
      <c r="X889" s="198">
        <v>0.38119999999999998</v>
      </c>
      <c r="Y889" s="198">
        <v>11.4285</v>
      </c>
      <c r="Z889" s="198">
        <v>0.25448999999999999</v>
      </c>
      <c r="AB889" s="1051">
        <v>43901</v>
      </c>
      <c r="AC889" s="198">
        <v>15.9749</v>
      </c>
      <c r="AD889" s="1053">
        <v>0.97909999999999997</v>
      </c>
      <c r="AE889" s="198">
        <v>7.9051999999999998</v>
      </c>
      <c r="AF889" s="198">
        <v>2.18E-2</v>
      </c>
      <c r="AH889" s="1051">
        <v>43901</v>
      </c>
      <c r="AI889" s="198">
        <v>9.4892000000000003</v>
      </c>
      <c r="AJ889" s="198">
        <v>1.6144000000000001</v>
      </c>
      <c r="AK889" s="198">
        <v>5.1830999999999996</v>
      </c>
      <c r="AL889" s="198">
        <v>1.9029999999999998E-2</v>
      </c>
      <c r="AN889" s="1051">
        <v>43910</v>
      </c>
      <c r="AO889" s="198">
        <v>5.0621999999999998</v>
      </c>
      <c r="AP889" s="198">
        <v>0.48830000000000001</v>
      </c>
      <c r="AQ889" s="198">
        <v>2.0768</v>
      </c>
      <c r="AR889" s="198">
        <v>9.4890000000000002E-2</v>
      </c>
      <c r="AT889" s="1051">
        <v>43889</v>
      </c>
      <c r="AU889" s="198">
        <v>9.3155999999999999</v>
      </c>
      <c r="AV889" s="198">
        <v>0.50490000000000002</v>
      </c>
      <c r="AX889" s="198">
        <v>0.12543000000000001</v>
      </c>
      <c r="BA889" s="1051">
        <v>43895</v>
      </c>
      <c r="BB889" s="198">
        <v>5.89</v>
      </c>
      <c r="BC889" s="198">
        <v>1.0355000000000001</v>
      </c>
      <c r="BD889" s="198">
        <v>7.0366</v>
      </c>
      <c r="BE889" s="198">
        <v>0.22478000000000001</v>
      </c>
      <c r="BG889" s="1051">
        <v>43895</v>
      </c>
      <c r="BH889" s="198">
        <v>9.6151</v>
      </c>
      <c r="BI889" s="198">
        <v>1.6485000000000001</v>
      </c>
      <c r="BJ889" s="198">
        <v>16.996200000000002</v>
      </c>
      <c r="BT889" s="1051">
        <v>43943</v>
      </c>
      <c r="BU889" s="198">
        <v>9.3097999999999992</v>
      </c>
      <c r="BV889" s="198">
        <v>2.7770999999999999</v>
      </c>
      <c r="BW889" s="198">
        <v>6.1104000000000003</v>
      </c>
      <c r="BX889" s="198">
        <v>1.1981999999999999</v>
      </c>
      <c r="BZ889" s="1051">
        <v>43943</v>
      </c>
      <c r="CA889" s="198">
        <v>8.5837000000000003</v>
      </c>
      <c r="CB889" s="198">
        <v>1.2173</v>
      </c>
      <c r="CC889" s="198">
        <v>12.832599999999999</v>
      </c>
      <c r="CD889" s="198">
        <v>0.46597</v>
      </c>
      <c r="CF889" s="1051">
        <v>43942</v>
      </c>
      <c r="CG889" s="198">
        <v>5.6032999999999999</v>
      </c>
      <c r="CH889" s="198">
        <v>0.8992</v>
      </c>
      <c r="CI889" s="198">
        <v>13.6294</v>
      </c>
      <c r="CL889" s="1051">
        <v>43964</v>
      </c>
      <c r="CM889" s="198">
        <v>20.634899999999998</v>
      </c>
      <c r="CN889" s="198">
        <v>2.0089000000000001</v>
      </c>
      <c r="CO889" s="198">
        <v>8.9147999999999996</v>
      </c>
    </row>
    <row r="890" spans="1:93" s="198" customFormat="1">
      <c r="A890" s="1051">
        <v>43942</v>
      </c>
      <c r="B890" s="1052">
        <f t="shared" si="132"/>
        <v>5.0061</v>
      </c>
      <c r="C890" s="1052">
        <f t="shared" si="134"/>
        <v>5.2333999999999996</v>
      </c>
      <c r="D890" s="1052">
        <f t="shared" si="138"/>
        <v>6.7477999999999998</v>
      </c>
      <c r="E890" s="1052">
        <f t="shared" si="139"/>
        <v>5.9794</v>
      </c>
      <c r="F890" s="1052">
        <f t="shared" si="140"/>
        <v>9.2102000000000004</v>
      </c>
      <c r="G890" s="1052">
        <f t="shared" si="141"/>
        <v>5.4387999999999996</v>
      </c>
      <c r="H890" s="1047">
        <f t="shared" si="135"/>
        <v>5.9794</v>
      </c>
      <c r="I890" s="1048">
        <f t="shared" si="133"/>
        <v>-0.16277552931732286</v>
      </c>
      <c r="J890" s="1048">
        <f t="shared" si="136"/>
        <v>0.12093838824177333</v>
      </c>
      <c r="K890" s="1048">
        <f t="shared" si="137"/>
        <v>0.1</v>
      </c>
      <c r="L890" s="1048"/>
      <c r="N890" s="1051">
        <v>43942</v>
      </c>
      <c r="O890" s="1053">
        <v>5.0061</v>
      </c>
      <c r="P890" s="1053">
        <v>0.96740000000000004</v>
      </c>
      <c r="Q890" s="1053">
        <v>6.0750000000000002</v>
      </c>
      <c r="R890" s="1054">
        <f>'B. PE'!$U$23</f>
        <v>15.978235616082999</v>
      </c>
      <c r="S890" s="1054"/>
      <c r="T890" s="1054"/>
      <c r="V890" s="1051">
        <v>43942</v>
      </c>
      <c r="W890" s="198">
        <v>5.2333999999999996</v>
      </c>
      <c r="X890" s="198">
        <v>0.3856</v>
      </c>
      <c r="Y890" s="198">
        <v>11.468500000000001</v>
      </c>
      <c r="Z890" s="198">
        <v>0.25441999999999998</v>
      </c>
      <c r="AB890" s="1051">
        <v>43900</v>
      </c>
      <c r="AC890" s="198">
        <v>16.8384</v>
      </c>
      <c r="AD890" s="1053">
        <v>1.0321</v>
      </c>
      <c r="AE890" s="198">
        <v>8.1929999999999996</v>
      </c>
      <c r="AF890" s="198">
        <v>2.419E-2</v>
      </c>
      <c r="AH890" s="1051">
        <v>43900</v>
      </c>
      <c r="AI890" s="198">
        <v>9.8330000000000002</v>
      </c>
      <c r="AJ890" s="198">
        <v>1.6729000000000001</v>
      </c>
      <c r="AK890" s="198">
        <v>5.3518999999999997</v>
      </c>
      <c r="AL890" s="198">
        <v>2.1319999999999999E-2</v>
      </c>
      <c r="AN890" s="1051">
        <v>43909</v>
      </c>
      <c r="AO890" s="198">
        <v>4.4560000000000004</v>
      </c>
      <c r="AP890" s="198">
        <v>0.42980000000000002</v>
      </c>
      <c r="AQ890" s="198">
        <v>1.6160000000000001</v>
      </c>
      <c r="AR890" s="198">
        <v>0.10168000000000001</v>
      </c>
      <c r="AT890" s="1051">
        <v>43888</v>
      </c>
      <c r="AU890" s="198">
        <v>9.6007999999999996</v>
      </c>
      <c r="AV890" s="198">
        <v>0.52039999999999997</v>
      </c>
      <c r="AX890" s="198">
        <v>0.11808</v>
      </c>
      <c r="BA890" s="1051">
        <v>43894</v>
      </c>
      <c r="BB890" s="198">
        <v>5.89</v>
      </c>
      <c r="BC890" s="198">
        <v>1.0355000000000001</v>
      </c>
      <c r="BD890" s="198">
        <v>7.0366</v>
      </c>
      <c r="BE890" s="198">
        <v>0.21806</v>
      </c>
      <c r="BG890" s="1051">
        <v>43894</v>
      </c>
      <c r="BH890" s="198">
        <v>8.9997000000000007</v>
      </c>
      <c r="BI890" s="198">
        <v>1.5429999999999999</v>
      </c>
      <c r="BJ890" s="198">
        <v>16.4421</v>
      </c>
      <c r="BT890" s="1051">
        <v>43942</v>
      </c>
      <c r="BU890" s="198">
        <v>9.0145999999999997</v>
      </c>
      <c r="BV890" s="198">
        <v>2.6890999999999998</v>
      </c>
      <c r="BW890" s="198">
        <v>5.9378000000000002</v>
      </c>
      <c r="BX890" s="198">
        <v>1.1669</v>
      </c>
      <c r="BZ890" s="1051">
        <v>43942</v>
      </c>
      <c r="CA890" s="198">
        <v>8.0312999999999999</v>
      </c>
      <c r="CB890" s="198">
        <v>1.139</v>
      </c>
      <c r="CC890" s="198">
        <v>12.5061</v>
      </c>
      <c r="CD890" s="198">
        <v>0.43680999999999998</v>
      </c>
      <c r="CF890" s="1051">
        <v>43941</v>
      </c>
      <c r="CG890" s="198">
        <v>5.3792</v>
      </c>
      <c r="CH890" s="198">
        <v>0.86319999999999997</v>
      </c>
      <c r="CI890" s="198">
        <v>13.517200000000001</v>
      </c>
      <c r="CL890" s="1051">
        <v>43963</v>
      </c>
      <c r="CM890" s="198">
        <v>20.841999999999999</v>
      </c>
      <c r="CN890" s="198">
        <v>2.0289999999999999</v>
      </c>
      <c r="CO890" s="198">
        <v>9.0051000000000005</v>
      </c>
    </row>
    <row r="891" spans="1:93" s="198" customFormat="1">
      <c r="A891" s="1051">
        <v>43941</v>
      </c>
      <c r="B891" s="1052">
        <f t="shared" si="132"/>
        <v>5.2972999999999999</v>
      </c>
      <c r="C891" s="1052">
        <f t="shared" si="134"/>
        <v>5.3083</v>
      </c>
      <c r="D891" s="1052">
        <f t="shared" si="138"/>
        <v>6.7477999999999998</v>
      </c>
      <c r="E891" s="1052">
        <f t="shared" si="139"/>
        <v>6.0911999999999997</v>
      </c>
      <c r="F891" s="1052">
        <f t="shared" si="140"/>
        <v>9.2979000000000003</v>
      </c>
      <c r="G891" s="1052">
        <f t="shared" si="141"/>
        <v>5.2089999999999996</v>
      </c>
      <c r="H891" s="1047">
        <f t="shared" si="135"/>
        <v>6.0911999999999997</v>
      </c>
      <c r="I891" s="1048">
        <f t="shared" si="133"/>
        <v>-0.13033556606251639</v>
      </c>
      <c r="J891" s="1048">
        <f t="shared" si="136"/>
        <v>0.12093838824177333</v>
      </c>
      <c r="K891" s="1048">
        <f t="shared" si="137"/>
        <v>0.1</v>
      </c>
      <c r="L891" s="1048"/>
      <c r="N891" s="1051">
        <v>43941</v>
      </c>
      <c r="O891" s="1053">
        <v>5.2972999999999999</v>
      </c>
      <c r="P891" s="1053">
        <v>1.0237000000000001</v>
      </c>
      <c r="Q891" s="1053">
        <v>6.3204000000000002</v>
      </c>
      <c r="R891" s="1054">
        <f>'B. PE'!$U$23</f>
        <v>15.978235616082999</v>
      </c>
      <c r="S891" s="1054"/>
      <c r="T891" s="1054"/>
      <c r="V891" s="1051">
        <v>43941</v>
      </c>
      <c r="W891" s="198">
        <v>5.3083</v>
      </c>
      <c r="X891" s="198">
        <v>0.39119999999999999</v>
      </c>
      <c r="Y891" s="198">
        <v>11.5185</v>
      </c>
      <c r="Z891" s="198">
        <v>0.25129000000000001</v>
      </c>
      <c r="AB891" s="1051">
        <v>43899</v>
      </c>
      <c r="AC891" s="198">
        <v>16.946300000000001</v>
      </c>
      <c r="AD891" s="1053">
        <v>1.0387</v>
      </c>
      <c r="AE891" s="198">
        <v>8.2288999999999994</v>
      </c>
      <c r="AF891" s="198">
        <v>2.4930000000000001E-2</v>
      </c>
      <c r="AH891" s="1051">
        <v>43899</v>
      </c>
      <c r="AI891" s="198">
        <v>9.4205000000000005</v>
      </c>
      <c r="AJ891" s="198">
        <v>1.6027</v>
      </c>
      <c r="AK891" s="198">
        <v>5.1493000000000002</v>
      </c>
      <c r="AL891" s="198">
        <v>2.1870000000000001E-2</v>
      </c>
      <c r="AN891" s="1051">
        <v>43908</v>
      </c>
      <c r="AO891" s="198">
        <v>5.0319000000000003</v>
      </c>
      <c r="AP891" s="198">
        <v>0.4854</v>
      </c>
      <c r="AQ891" s="198">
        <v>2.0562</v>
      </c>
      <c r="AR891" s="198">
        <v>0.1027</v>
      </c>
      <c r="AT891" s="1051">
        <v>43887</v>
      </c>
      <c r="AU891" s="198">
        <v>10.076000000000001</v>
      </c>
      <c r="AV891" s="198">
        <v>0.54610000000000003</v>
      </c>
      <c r="AX891" s="198">
        <v>0.12064</v>
      </c>
      <c r="BA891" s="1051">
        <v>43893</v>
      </c>
      <c r="BB891" s="198">
        <v>5.8484999999999996</v>
      </c>
      <c r="BC891" s="198">
        <v>1.0282</v>
      </c>
      <c r="BD891" s="198">
        <v>7.0082000000000004</v>
      </c>
      <c r="BE891" s="198">
        <v>0.22367000000000001</v>
      </c>
      <c r="BG891" s="1051">
        <v>43893</v>
      </c>
      <c r="BH891" s="198">
        <v>8.8459000000000003</v>
      </c>
      <c r="BI891" s="198">
        <v>1.5165999999999999</v>
      </c>
      <c r="BJ891" s="198">
        <v>16.3035</v>
      </c>
      <c r="BT891" s="1051">
        <v>43941</v>
      </c>
      <c r="BU891" s="198">
        <v>9.5709</v>
      </c>
      <c r="BV891" s="198">
        <v>2.855</v>
      </c>
      <c r="BW891" s="198">
        <v>6.2629999999999999</v>
      </c>
      <c r="BX891" s="198">
        <v>1.0931999999999999</v>
      </c>
      <c r="BZ891" s="1051">
        <v>43941</v>
      </c>
      <c r="CA891" s="198">
        <v>8.01</v>
      </c>
      <c r="CB891" s="198">
        <v>1.1359999999999999</v>
      </c>
      <c r="CC891" s="198">
        <v>12.493499999999999</v>
      </c>
      <c r="CD891" s="198">
        <v>0.40793000000000001</v>
      </c>
      <c r="CF891" s="1051">
        <v>43938</v>
      </c>
      <c r="CG891" s="198">
        <v>5.6032999999999999</v>
      </c>
      <c r="CH891" s="198">
        <v>0.8992</v>
      </c>
      <c r="CI891" s="198">
        <v>13.6294</v>
      </c>
      <c r="CL891" s="1051">
        <v>43962</v>
      </c>
      <c r="CM891" s="198">
        <v>20.841999999999999</v>
      </c>
      <c r="CN891" s="198">
        <v>2.0289999999999999</v>
      </c>
      <c r="CO891" s="198">
        <v>9.0051000000000005</v>
      </c>
    </row>
    <row r="892" spans="1:93" s="198" customFormat="1">
      <c r="A892" s="1051">
        <v>43938</v>
      </c>
      <c r="B892" s="1052">
        <f t="shared" si="132"/>
        <v>5.3085000000000004</v>
      </c>
      <c r="C892" s="1052">
        <f t="shared" si="134"/>
        <v>5.3007999999999997</v>
      </c>
      <c r="D892" s="1052">
        <f t="shared" si="138"/>
        <v>6.9156000000000004</v>
      </c>
      <c r="E892" s="1052">
        <f t="shared" si="139"/>
        <v>6.0911999999999997</v>
      </c>
      <c r="F892" s="1052">
        <f t="shared" si="140"/>
        <v>8.9471000000000007</v>
      </c>
      <c r="G892" s="1052">
        <f t="shared" si="141"/>
        <v>4.9025999999999996</v>
      </c>
      <c r="H892" s="1047">
        <f t="shared" si="135"/>
        <v>6.0911999999999997</v>
      </c>
      <c r="I892" s="1048">
        <f t="shared" si="133"/>
        <v>-0.12849684791174143</v>
      </c>
      <c r="J892" s="1048">
        <f t="shared" si="136"/>
        <v>0.12093838824177333</v>
      </c>
      <c r="K892" s="1048">
        <f t="shared" si="137"/>
        <v>0.1</v>
      </c>
      <c r="L892" s="1048"/>
      <c r="N892" s="1051">
        <v>43938</v>
      </c>
      <c r="O892" s="1053">
        <v>5.3085000000000004</v>
      </c>
      <c r="P892" s="1053">
        <v>1.0258</v>
      </c>
      <c r="Q892" s="1053">
        <v>6.3297999999999996</v>
      </c>
      <c r="R892" s="1054">
        <f>'B. PE'!$U$23</f>
        <v>15.978235616082999</v>
      </c>
      <c r="S892" s="1054"/>
      <c r="T892" s="1054"/>
      <c r="V892" s="1051">
        <v>43938</v>
      </c>
      <c r="W892" s="198">
        <v>5.3007999999999997</v>
      </c>
      <c r="X892" s="198">
        <v>0.3906</v>
      </c>
      <c r="Y892" s="198">
        <v>11.513500000000001</v>
      </c>
      <c r="Z892" s="198">
        <v>0.25134000000000001</v>
      </c>
      <c r="AB892" s="1051">
        <v>43896</v>
      </c>
      <c r="AC892" s="198">
        <v>18.673400000000001</v>
      </c>
      <c r="AD892" s="1053">
        <v>1.1445000000000001</v>
      </c>
      <c r="AE892" s="198">
        <v>8.8043999999999993</v>
      </c>
      <c r="AF892" s="198">
        <v>2.511E-2</v>
      </c>
      <c r="AH892" s="1051">
        <v>43896</v>
      </c>
      <c r="AI892" s="198">
        <v>10.4863</v>
      </c>
      <c r="AJ892" s="198">
        <v>1.784</v>
      </c>
      <c r="AK892" s="198">
        <v>5.6727999999999996</v>
      </c>
      <c r="AL892" s="198">
        <v>2.2020000000000001E-2</v>
      </c>
      <c r="AN892" s="1051">
        <v>43907</v>
      </c>
      <c r="AO892" s="198">
        <v>5.3654000000000002</v>
      </c>
      <c r="AP892" s="198">
        <v>0.51759999999999995</v>
      </c>
      <c r="AQ892" s="198">
        <v>2.3115999999999999</v>
      </c>
      <c r="AR892" s="198">
        <v>0.1192</v>
      </c>
      <c r="AT892" s="1051">
        <v>43886</v>
      </c>
      <c r="AU892" s="198">
        <v>9.5056999999999992</v>
      </c>
      <c r="AV892" s="198">
        <v>0.51519999999999999</v>
      </c>
      <c r="AX892" s="198">
        <v>0.12171999999999999</v>
      </c>
      <c r="BA892" s="1051">
        <v>43892</v>
      </c>
      <c r="BB892" s="198">
        <v>5.6825999999999999</v>
      </c>
      <c r="BC892" s="198">
        <v>0.999</v>
      </c>
      <c r="BD892" s="198">
        <v>6.8948</v>
      </c>
      <c r="BE892" s="198">
        <v>0.23108999999999999</v>
      </c>
      <c r="BG892" s="1051">
        <v>43892</v>
      </c>
      <c r="BH892" s="198">
        <v>8.6151</v>
      </c>
      <c r="BI892" s="198">
        <v>1.4770000000000001</v>
      </c>
      <c r="BJ892" s="198">
        <v>16.095700000000001</v>
      </c>
      <c r="BT892" s="1051">
        <v>43938</v>
      </c>
      <c r="BU892" s="198">
        <v>9.3097999999999992</v>
      </c>
      <c r="BV892" s="198">
        <v>2.7770999999999999</v>
      </c>
      <c r="BW892" s="198">
        <v>6.1104000000000003</v>
      </c>
      <c r="BX892" s="198">
        <v>1.0920000000000001</v>
      </c>
      <c r="BZ892" s="1051">
        <v>43938</v>
      </c>
      <c r="CA892" s="198">
        <v>7.5000999999999998</v>
      </c>
      <c r="CB892" s="198">
        <v>1.0636000000000001</v>
      </c>
      <c r="CC892" s="198">
        <v>12.1922</v>
      </c>
      <c r="CD892" s="198">
        <v>0.38206000000000001</v>
      </c>
      <c r="CF892" s="1051">
        <v>43937</v>
      </c>
      <c r="CI892" s="198">
        <v>13.4892</v>
      </c>
      <c r="CL892" s="1051">
        <v>43959</v>
      </c>
      <c r="CM892" s="198">
        <v>20.484300000000001</v>
      </c>
      <c r="CN892" s="198">
        <v>1.9942</v>
      </c>
      <c r="CO892" s="198">
        <v>8.8491999999999997</v>
      </c>
    </row>
    <row r="893" spans="1:93" s="198" customFormat="1">
      <c r="A893" s="1051">
        <v>43937</v>
      </c>
      <c r="B893" s="1052">
        <f t="shared" si="132"/>
        <v>5.1292999999999997</v>
      </c>
      <c r="C893" s="1052">
        <f t="shared" si="134"/>
        <v>5.2408999999999999</v>
      </c>
      <c r="D893" s="1052">
        <f t="shared" si="138"/>
        <v>7.3856000000000002</v>
      </c>
      <c r="E893" s="1052">
        <f t="shared" si="139"/>
        <v>5.9794</v>
      </c>
      <c r="F893" s="1052">
        <f t="shared" si="140"/>
        <v>8.5961999999999996</v>
      </c>
      <c r="G893" s="1052">
        <f t="shared" si="141"/>
        <v>4.7493999999999996</v>
      </c>
      <c r="H893" s="1047">
        <f t="shared" si="135"/>
        <v>5.9794</v>
      </c>
      <c r="I893" s="1048">
        <f t="shared" si="133"/>
        <v>-0.14217145532996622</v>
      </c>
      <c r="J893" s="1048">
        <f t="shared" si="136"/>
        <v>0.12093838824177333</v>
      </c>
      <c r="K893" s="1048">
        <f t="shared" si="137"/>
        <v>0.1</v>
      </c>
      <c r="L893" s="1048"/>
      <c r="N893" s="1051">
        <v>43937</v>
      </c>
      <c r="O893" s="1053">
        <v>5.1292999999999997</v>
      </c>
      <c r="P893" s="1053">
        <v>0.99119999999999997</v>
      </c>
      <c r="Q893" s="1053">
        <v>6.1787999999999998</v>
      </c>
      <c r="R893" s="1054">
        <f>'B. PE'!$U$23</f>
        <v>15.978235616082999</v>
      </c>
      <c r="S893" s="1054"/>
      <c r="T893" s="1054"/>
      <c r="V893" s="1051">
        <v>43937</v>
      </c>
      <c r="W893" s="198">
        <v>5.2408999999999999</v>
      </c>
      <c r="X893" s="198">
        <v>0.38619999999999999</v>
      </c>
      <c r="Y893" s="198">
        <v>11.4735</v>
      </c>
      <c r="Z893" s="198">
        <v>0.24959000000000001</v>
      </c>
      <c r="AB893" s="1051">
        <v>43895</v>
      </c>
      <c r="AC893" s="198">
        <v>19.321000000000002</v>
      </c>
      <c r="AD893" s="1053">
        <v>1.1841999999999999</v>
      </c>
      <c r="AE893" s="198">
        <v>9.0202000000000009</v>
      </c>
      <c r="AF893" s="198">
        <v>2.4670000000000001E-2</v>
      </c>
      <c r="AH893" s="1051">
        <v>43895</v>
      </c>
      <c r="AI893" s="198">
        <v>10.7957</v>
      </c>
      <c r="AJ893" s="198">
        <v>1.8367</v>
      </c>
      <c r="AK893" s="198">
        <v>5.8247999999999998</v>
      </c>
      <c r="AL893" s="198">
        <v>2.205E-2</v>
      </c>
      <c r="AN893" s="1051">
        <v>43906</v>
      </c>
      <c r="AO893" s="198">
        <v>5.3654000000000002</v>
      </c>
      <c r="AP893" s="198">
        <v>0.51759999999999995</v>
      </c>
      <c r="AQ893" s="198">
        <v>2.3138000000000001</v>
      </c>
      <c r="AR893" s="198">
        <v>0.12171</v>
      </c>
      <c r="AT893" s="1051">
        <v>43885</v>
      </c>
      <c r="AU893" s="198">
        <v>9.6958000000000002</v>
      </c>
      <c r="AV893" s="198">
        <v>0.52549999999999997</v>
      </c>
      <c r="AX893" s="198">
        <v>0.12189999999999999</v>
      </c>
      <c r="BA893" s="1051">
        <v>43889</v>
      </c>
      <c r="BB893" s="198">
        <v>5.8484999999999996</v>
      </c>
      <c r="BC893" s="198">
        <v>1.0282</v>
      </c>
      <c r="BD893" s="198">
        <v>7.0082000000000004</v>
      </c>
      <c r="BE893" s="198">
        <v>0.23397999999999999</v>
      </c>
      <c r="BG893" s="1051">
        <v>43889</v>
      </c>
      <c r="BH893" s="198">
        <v>8.7690000000000001</v>
      </c>
      <c r="BI893" s="198">
        <v>1.5034000000000001</v>
      </c>
      <c r="BJ893" s="198">
        <v>16.234300000000001</v>
      </c>
      <c r="BT893" s="1051">
        <v>43937</v>
      </c>
      <c r="BU893" s="198">
        <v>8.7307000000000006</v>
      </c>
      <c r="BV893" s="198">
        <v>2.6044</v>
      </c>
      <c r="BW893" s="198">
        <v>5.7717999999999998</v>
      </c>
      <c r="BX893" s="198">
        <v>1.0622</v>
      </c>
      <c r="BZ893" s="1051">
        <v>43937</v>
      </c>
      <c r="CA893" s="198">
        <v>7.0114000000000001</v>
      </c>
      <c r="CB893" s="198">
        <v>0.99429999999999996</v>
      </c>
      <c r="CC893" s="198">
        <v>11.9033</v>
      </c>
      <c r="CD893" s="198">
        <v>0.35687000000000002</v>
      </c>
      <c r="CF893" s="1051">
        <v>43936</v>
      </c>
      <c r="CG893" s="198">
        <v>5.3231000000000002</v>
      </c>
      <c r="CH893" s="198">
        <v>0.85429999999999995</v>
      </c>
      <c r="CI893" s="198">
        <v>13.4892</v>
      </c>
      <c r="CL893" s="1051">
        <v>43958</v>
      </c>
      <c r="CM893" s="198">
        <v>20.258400000000002</v>
      </c>
      <c r="CN893" s="198">
        <v>1.9722</v>
      </c>
      <c r="CO893" s="198">
        <v>8.7507000000000001</v>
      </c>
    </row>
    <row r="894" spans="1:93" s="198" customFormat="1">
      <c r="A894" s="1051">
        <v>43936</v>
      </c>
      <c r="B894" s="1052">
        <f t="shared" si="132"/>
        <v>5.2412999999999998</v>
      </c>
      <c r="C894" s="1052">
        <f t="shared" si="134"/>
        <v>5.2408999999999999</v>
      </c>
      <c r="D894" s="1052">
        <f t="shared" si="138"/>
        <v>7.5198999999999998</v>
      </c>
      <c r="E894" s="1052">
        <f t="shared" si="139"/>
        <v>5.6440999999999999</v>
      </c>
      <c r="F894" s="1052">
        <f t="shared" si="140"/>
        <v>9.0348000000000006</v>
      </c>
      <c r="G894" s="1052">
        <f t="shared" si="141"/>
        <v>4.9791999999999996</v>
      </c>
      <c r="H894" s="1047">
        <f t="shared" si="135"/>
        <v>5.6440999999999999</v>
      </c>
      <c r="I894" s="1048">
        <f t="shared" si="133"/>
        <v>-7.1366559770379645E-2</v>
      </c>
      <c r="J894" s="1048">
        <f t="shared" si="136"/>
        <v>0.12093838824177333</v>
      </c>
      <c r="K894" s="1048">
        <f t="shared" si="137"/>
        <v>0.1</v>
      </c>
      <c r="L894" s="1048"/>
      <c r="N894" s="1051">
        <v>43936</v>
      </c>
      <c r="O894" s="1053">
        <v>5.2412999999999998</v>
      </c>
      <c r="P894" s="1053">
        <v>1.0127999999999999</v>
      </c>
      <c r="Q894" s="1053">
        <v>6.2732000000000001</v>
      </c>
      <c r="R894" s="1054">
        <f>'B. PE'!$U$23</f>
        <v>15.978235616082999</v>
      </c>
      <c r="S894" s="1054"/>
      <c r="T894" s="1054"/>
      <c r="V894" s="1051">
        <v>43936</v>
      </c>
      <c r="W894" s="198">
        <v>5.2408999999999999</v>
      </c>
      <c r="X894" s="198">
        <v>0.38619999999999999</v>
      </c>
      <c r="Y894" s="198">
        <v>11.4735</v>
      </c>
      <c r="Z894" s="198">
        <v>0.25140000000000001</v>
      </c>
      <c r="AB894" s="1051">
        <v>43894</v>
      </c>
      <c r="AC894" s="198">
        <v>19.266999999999999</v>
      </c>
      <c r="AD894" s="1053">
        <v>1.1809000000000001</v>
      </c>
      <c r="AE894" s="198">
        <v>9.0022000000000002</v>
      </c>
      <c r="AF894" s="198">
        <v>2.2509999999999999E-2</v>
      </c>
      <c r="AH894" s="1051">
        <v>43894</v>
      </c>
      <c r="AI894" s="198">
        <v>10.7613</v>
      </c>
      <c r="AJ894" s="198">
        <v>1.8308</v>
      </c>
      <c r="AK894" s="198">
        <v>5.8079000000000001</v>
      </c>
      <c r="AL894" s="198">
        <v>2.1520000000000001E-2</v>
      </c>
      <c r="AN894" s="1051">
        <v>43903</v>
      </c>
      <c r="AO894" s="198">
        <v>6.1837999999999997</v>
      </c>
      <c r="AP894" s="198">
        <v>0.59650000000000003</v>
      </c>
      <c r="AQ894" s="198">
        <v>2.9392</v>
      </c>
      <c r="AR894" s="198">
        <v>0.12973000000000001</v>
      </c>
      <c r="AT894" s="1051">
        <v>43882</v>
      </c>
      <c r="AU894" s="198">
        <v>9.6958000000000002</v>
      </c>
      <c r="AV894" s="198">
        <v>0.52549999999999997</v>
      </c>
      <c r="AX894" s="198">
        <v>0.12486</v>
      </c>
      <c r="BA894" s="1051">
        <v>43888</v>
      </c>
      <c r="BB894" s="198">
        <v>6.0559000000000003</v>
      </c>
      <c r="BC894" s="198">
        <v>1.0646</v>
      </c>
      <c r="BD894" s="198">
        <v>7.1501000000000001</v>
      </c>
      <c r="BE894" s="198">
        <v>0.2427</v>
      </c>
      <c r="BG894" s="1051">
        <v>43888</v>
      </c>
      <c r="BH894" s="198">
        <v>9.1536000000000008</v>
      </c>
      <c r="BI894" s="198">
        <v>1.5692999999999999</v>
      </c>
      <c r="BJ894" s="198">
        <v>16.5806</v>
      </c>
      <c r="BT894" s="1051">
        <v>43936</v>
      </c>
      <c r="BU894" s="198">
        <v>8.7194000000000003</v>
      </c>
      <c r="BV894" s="198">
        <v>2.601</v>
      </c>
      <c r="BW894" s="198">
        <v>5.7652000000000001</v>
      </c>
      <c r="BX894" s="198">
        <v>1.0666</v>
      </c>
      <c r="BZ894" s="1051">
        <v>43936</v>
      </c>
      <c r="CA894" s="198">
        <v>6.5651999999999999</v>
      </c>
      <c r="CB894" s="198">
        <v>0.93110000000000004</v>
      </c>
      <c r="CC894" s="198">
        <v>11.6396</v>
      </c>
      <c r="CD894" s="198">
        <v>0.37101000000000001</v>
      </c>
      <c r="CF894" s="1051">
        <v>43935</v>
      </c>
      <c r="CG894" s="198">
        <v>5.3231000000000002</v>
      </c>
      <c r="CH894" s="198">
        <v>0.85429999999999995</v>
      </c>
      <c r="CI894" s="198">
        <v>13.4892</v>
      </c>
      <c r="CL894" s="1051">
        <v>43957</v>
      </c>
      <c r="CM894" s="198">
        <v>19.938300000000002</v>
      </c>
      <c r="CN894" s="198">
        <v>1.9411</v>
      </c>
      <c r="CO894" s="198">
        <v>8.6112000000000002</v>
      </c>
    </row>
    <row r="895" spans="1:93" s="198" customFormat="1">
      <c r="A895" s="1051">
        <v>43935</v>
      </c>
      <c r="B895" s="1052">
        <f t="shared" si="132"/>
        <v>5.2188999999999997</v>
      </c>
      <c r="C895" s="1052">
        <f t="shared" si="134"/>
        <v>5.2108999999999996</v>
      </c>
      <c r="D895" s="1052">
        <f t="shared" si="138"/>
        <v>7.9227999999999996</v>
      </c>
      <c r="E895" s="1052">
        <f t="shared" si="139"/>
        <v>5.5602999999999998</v>
      </c>
      <c r="F895" s="1052">
        <f t="shared" si="140"/>
        <v>9.2979000000000003</v>
      </c>
      <c r="G895" s="1052">
        <f t="shared" si="141"/>
        <v>4.9409000000000001</v>
      </c>
      <c r="H895" s="1047">
        <f t="shared" si="135"/>
        <v>5.5602999999999998</v>
      </c>
      <c r="I895" s="1048">
        <f t="shared" si="133"/>
        <v>-6.1399564771684956E-2</v>
      </c>
      <c r="J895" s="1048">
        <f t="shared" si="136"/>
        <v>0.12093838824177333</v>
      </c>
      <c r="K895" s="1048">
        <f t="shared" si="137"/>
        <v>0.1</v>
      </c>
      <c r="L895" s="1048"/>
      <c r="N895" s="1051">
        <v>43935</v>
      </c>
      <c r="O895" s="1053">
        <v>5.2188999999999997</v>
      </c>
      <c r="P895" s="1053">
        <v>1.0085</v>
      </c>
      <c r="Q895" s="1053">
        <v>6.2542999999999997</v>
      </c>
      <c r="R895" s="1054">
        <f>'B. PE'!$U$23</f>
        <v>15.978235616082999</v>
      </c>
      <c r="S895" s="1054"/>
      <c r="T895" s="1054"/>
      <c r="V895" s="1051">
        <v>43935</v>
      </c>
      <c r="W895" s="198">
        <v>5.2108999999999996</v>
      </c>
      <c r="X895" s="198">
        <v>0.38400000000000001</v>
      </c>
      <c r="Y895" s="198">
        <v>11.4535</v>
      </c>
      <c r="Z895" s="198">
        <v>0.24961</v>
      </c>
      <c r="AB895" s="1051">
        <v>43893</v>
      </c>
      <c r="AC895" s="198">
        <v>18.781300000000002</v>
      </c>
      <c r="AD895" s="1053">
        <v>1.1511</v>
      </c>
      <c r="AE895" s="198">
        <v>8.8404000000000007</v>
      </c>
      <c r="AF895" s="198">
        <v>2.256E-2</v>
      </c>
      <c r="AH895" s="1051">
        <v>43893</v>
      </c>
      <c r="AI895" s="198">
        <v>10.692600000000001</v>
      </c>
      <c r="AJ895" s="198">
        <v>1.8190999999999999</v>
      </c>
      <c r="AK895" s="198">
        <v>5.7740999999999998</v>
      </c>
      <c r="AL895" s="198">
        <v>2.137E-2</v>
      </c>
      <c r="AN895" s="1051">
        <v>43902</v>
      </c>
      <c r="AO895" s="198">
        <v>6.3051000000000004</v>
      </c>
      <c r="AP895" s="198">
        <v>0.60819999999999996</v>
      </c>
      <c r="AQ895" s="198">
        <v>3.0331000000000001</v>
      </c>
      <c r="AR895" s="198">
        <v>0.12839999999999999</v>
      </c>
      <c r="AT895" s="1051">
        <v>43881</v>
      </c>
      <c r="AU895" s="198">
        <v>9.6958000000000002</v>
      </c>
      <c r="AV895" s="198">
        <v>0.52549999999999997</v>
      </c>
      <c r="AX895" s="198">
        <v>0.13028000000000001</v>
      </c>
      <c r="BA895" s="1051">
        <v>43887</v>
      </c>
      <c r="BB895" s="198">
        <v>6.1803999999999997</v>
      </c>
      <c r="BC895" s="198">
        <v>1.0865</v>
      </c>
      <c r="BD895" s="198">
        <v>7.2351999999999999</v>
      </c>
      <c r="BE895" s="198">
        <v>0.24798999999999999</v>
      </c>
      <c r="BG895" s="1051">
        <v>43887</v>
      </c>
      <c r="BH895" s="198">
        <v>8.9228000000000005</v>
      </c>
      <c r="BI895" s="198">
        <v>1.5298</v>
      </c>
      <c r="BJ895" s="198">
        <v>16.372800000000002</v>
      </c>
      <c r="BT895" s="1051">
        <v>43935</v>
      </c>
      <c r="BU895" s="198">
        <v>8.4923000000000002</v>
      </c>
      <c r="BV895" s="198">
        <v>2.5333000000000001</v>
      </c>
      <c r="BW895" s="198">
        <v>5.6323999999999996</v>
      </c>
      <c r="BX895" s="198">
        <v>1.0198</v>
      </c>
      <c r="BZ895" s="1051">
        <v>43935</v>
      </c>
      <c r="CA895" s="198">
        <v>6.1402999999999999</v>
      </c>
      <c r="CB895" s="198">
        <v>0.87080000000000002</v>
      </c>
      <c r="CC895" s="198">
        <v>11.388500000000001</v>
      </c>
      <c r="CD895" s="198">
        <v>0.37102000000000002</v>
      </c>
      <c r="CF895" s="1051">
        <v>43934</v>
      </c>
      <c r="CG895" s="198">
        <v>5.6032999999999999</v>
      </c>
      <c r="CH895" s="198">
        <v>0.8992</v>
      </c>
      <c r="CI895" s="198">
        <v>13.6294</v>
      </c>
      <c r="CL895" s="1051">
        <v>43956</v>
      </c>
      <c r="CM895" s="198">
        <v>19.919499999999999</v>
      </c>
      <c r="CN895" s="198">
        <v>1.9392</v>
      </c>
      <c r="CO895" s="198">
        <v>8.6029999999999998</v>
      </c>
    </row>
    <row r="896" spans="1:93" s="198" customFormat="1">
      <c r="A896" s="1051">
        <v>43934</v>
      </c>
      <c r="B896" s="1052">
        <f t="shared" si="132"/>
        <v>4.9276999999999997</v>
      </c>
      <c r="C896" s="1052">
        <f t="shared" si="134"/>
        <v>5.2408999999999999</v>
      </c>
      <c r="D896" s="1052">
        <f t="shared" si="138"/>
        <v>8.0235000000000003</v>
      </c>
      <c r="E896" s="1052">
        <f t="shared" si="139"/>
        <v>5.3926999999999996</v>
      </c>
      <c r="F896" s="1052">
        <f t="shared" si="140"/>
        <v>8.9471000000000007</v>
      </c>
      <c r="G896" s="1052">
        <f t="shared" si="141"/>
        <v>4.8259999999999996</v>
      </c>
      <c r="H896" s="1047">
        <f t="shared" si="135"/>
        <v>5.3926999999999996</v>
      </c>
      <c r="I896" s="1048">
        <f t="shared" si="133"/>
        <v>-8.6227678157509202E-2</v>
      </c>
      <c r="J896" s="1048">
        <f t="shared" si="136"/>
        <v>0.12093838824177333</v>
      </c>
      <c r="K896" s="1048">
        <f t="shared" si="137"/>
        <v>0.1</v>
      </c>
      <c r="L896" s="1048"/>
      <c r="N896" s="1051">
        <v>43934</v>
      </c>
      <c r="O896" s="1053">
        <v>4.9276999999999997</v>
      </c>
      <c r="P896" s="1053">
        <v>0.95220000000000005</v>
      </c>
      <c r="Q896" s="1053">
        <v>6.0088999999999997</v>
      </c>
      <c r="R896" s="1054">
        <f>'B. PE'!$U$23</f>
        <v>15.978235616082999</v>
      </c>
      <c r="S896" s="1054"/>
      <c r="T896" s="1054"/>
      <c r="V896" s="1051">
        <v>43934</v>
      </c>
      <c r="W896" s="198">
        <v>5.2408999999999999</v>
      </c>
      <c r="X896" s="198">
        <v>0.38619999999999999</v>
      </c>
      <c r="Y896" s="198">
        <v>11.4735</v>
      </c>
      <c r="Z896" s="198">
        <v>0.24529000000000001</v>
      </c>
      <c r="AB896" s="1051">
        <v>43892</v>
      </c>
      <c r="AC896" s="198">
        <v>17.162199999999999</v>
      </c>
      <c r="AD896" s="1053">
        <v>1.0519000000000001</v>
      </c>
      <c r="AE896" s="198">
        <v>8.3009000000000004</v>
      </c>
      <c r="AF896" s="198">
        <v>2.3230000000000001E-2</v>
      </c>
      <c r="AH896" s="1051">
        <v>43892</v>
      </c>
      <c r="AI896" s="198">
        <v>10.4519</v>
      </c>
      <c r="AJ896" s="198">
        <v>1.7782</v>
      </c>
      <c r="AK896" s="198">
        <v>5.6558999999999999</v>
      </c>
      <c r="AL896" s="198">
        <v>2.3869999999999999E-2</v>
      </c>
      <c r="AN896" s="1051">
        <v>43901</v>
      </c>
      <c r="AO896" s="198">
        <v>6.6688000000000001</v>
      </c>
      <c r="AP896" s="198">
        <v>0.64329999999999998</v>
      </c>
      <c r="AQ896" s="198">
        <v>3.3108</v>
      </c>
      <c r="AR896" s="198">
        <v>0.12687999999999999</v>
      </c>
      <c r="AT896" s="1051">
        <v>43880</v>
      </c>
      <c r="AU896" s="198">
        <v>9.8858999999999995</v>
      </c>
      <c r="AV896" s="198">
        <v>0.53580000000000005</v>
      </c>
      <c r="AX896" s="198">
        <v>0.12194000000000001</v>
      </c>
      <c r="BA896" s="1051">
        <v>43886</v>
      </c>
      <c r="BB896" s="198">
        <v>6.3878000000000004</v>
      </c>
      <c r="BC896" s="198">
        <v>1.123</v>
      </c>
      <c r="BD896" s="198">
        <v>7.3769999999999998</v>
      </c>
      <c r="BE896" s="198">
        <v>0.25842999999999999</v>
      </c>
      <c r="BG896" s="1051">
        <v>43886</v>
      </c>
      <c r="BH896" s="198">
        <v>9.6151</v>
      </c>
      <c r="BI896" s="198">
        <v>1.6485000000000001</v>
      </c>
      <c r="BJ896" s="198">
        <v>16.996200000000002</v>
      </c>
      <c r="BT896" s="1051">
        <v>43934</v>
      </c>
      <c r="BU896" s="198">
        <v>8.5150000000000006</v>
      </c>
      <c r="BV896" s="198">
        <v>2.54</v>
      </c>
      <c r="BW896" s="198">
        <v>5.6456999999999997</v>
      </c>
      <c r="BX896" s="198">
        <v>1.0351999999999999</v>
      </c>
      <c r="BZ896" s="1051">
        <v>43934</v>
      </c>
      <c r="CA896" s="198">
        <v>6.3739999999999997</v>
      </c>
      <c r="CB896" s="198">
        <v>0.90390000000000004</v>
      </c>
      <c r="CC896" s="198">
        <v>11.5266</v>
      </c>
      <c r="CD896" s="198">
        <v>0.39088000000000001</v>
      </c>
      <c r="CF896" s="1051">
        <v>43931</v>
      </c>
      <c r="CG896" s="198">
        <v>5.4912000000000001</v>
      </c>
      <c r="CH896" s="198">
        <v>0.88119999999999998</v>
      </c>
      <c r="CI896" s="198">
        <v>13.5733</v>
      </c>
      <c r="CL896" s="1051">
        <v>43955</v>
      </c>
      <c r="CM896" s="198">
        <v>19.787700000000001</v>
      </c>
      <c r="CN896" s="198">
        <v>1.9263999999999999</v>
      </c>
      <c r="CO896" s="198">
        <v>8.5456000000000003</v>
      </c>
    </row>
    <row r="897" spans="1:93" s="198" customFormat="1">
      <c r="A897" s="1051">
        <v>43931</v>
      </c>
      <c r="B897" s="1052">
        <f t="shared" si="132"/>
        <v>4.8940999999999999</v>
      </c>
      <c r="C897" s="1052">
        <f t="shared" si="134"/>
        <v>5.2034000000000002</v>
      </c>
      <c r="D897" s="1052">
        <f t="shared" si="138"/>
        <v>8.0235000000000003</v>
      </c>
      <c r="E897" s="1052">
        <f t="shared" si="139"/>
        <v>5.5324</v>
      </c>
      <c r="F897" s="1052">
        <f t="shared" si="140"/>
        <v>7.9996999999999998</v>
      </c>
      <c r="G897" s="1052">
        <f t="shared" si="141"/>
        <v>4.4813000000000001</v>
      </c>
      <c r="H897" s="1047">
        <f t="shared" si="135"/>
        <v>5.5324</v>
      </c>
      <c r="I897" s="1048">
        <f t="shared" si="133"/>
        <v>-0.11537488251030292</v>
      </c>
      <c r="J897" s="1048">
        <f t="shared" si="136"/>
        <v>0.12093838824177333</v>
      </c>
      <c r="K897" s="1048">
        <f t="shared" si="137"/>
        <v>0.1</v>
      </c>
      <c r="L897" s="1048"/>
      <c r="N897" s="1051">
        <v>43931</v>
      </c>
      <c r="O897" s="1053">
        <v>4.8940999999999999</v>
      </c>
      <c r="P897" s="1053">
        <v>0.94569999999999999</v>
      </c>
      <c r="Q897" s="1053">
        <v>5.9805999999999999</v>
      </c>
      <c r="R897" s="1054">
        <f>'B. PE'!$U$23</f>
        <v>15.978235616082999</v>
      </c>
      <c r="S897" s="1054"/>
      <c r="T897" s="1054"/>
      <c r="V897" s="1051">
        <v>43931</v>
      </c>
      <c r="W897" s="198">
        <v>5.2034000000000002</v>
      </c>
      <c r="X897" s="198">
        <v>0.38340000000000002</v>
      </c>
      <c r="Y897" s="198">
        <v>11.448499999999999</v>
      </c>
      <c r="Z897" s="198">
        <v>0.24612000000000001</v>
      </c>
      <c r="AB897" s="1051">
        <v>43889</v>
      </c>
      <c r="AC897" s="198">
        <v>17.486000000000001</v>
      </c>
      <c r="AD897" s="1053">
        <v>1.0718000000000001</v>
      </c>
      <c r="AE897" s="198">
        <v>8.4087999999999994</v>
      </c>
      <c r="AF897" s="198">
        <v>2.4400000000000002E-2</v>
      </c>
      <c r="AH897" s="1051">
        <v>43889</v>
      </c>
      <c r="AI897" s="198">
        <v>10.555099999999999</v>
      </c>
      <c r="AJ897" s="198">
        <v>1.7957000000000001</v>
      </c>
      <c r="AK897" s="198">
        <v>5.7065999999999999</v>
      </c>
      <c r="AL897" s="198">
        <v>2.4109999999999999E-2</v>
      </c>
      <c r="AN897" s="1051">
        <v>43900</v>
      </c>
      <c r="AO897" s="198">
        <v>6.6082000000000001</v>
      </c>
      <c r="AP897" s="198">
        <v>0.63749999999999996</v>
      </c>
      <c r="AQ897" s="198">
        <v>3.2645</v>
      </c>
      <c r="AR897" s="198">
        <v>0.14262</v>
      </c>
      <c r="AT897" s="1051">
        <v>43878</v>
      </c>
      <c r="AU897" s="198">
        <v>10.2662</v>
      </c>
      <c r="AV897" s="198">
        <v>0.55649999999999999</v>
      </c>
      <c r="AX897" s="198">
        <v>0.12342</v>
      </c>
      <c r="BA897" s="1051">
        <v>43885</v>
      </c>
      <c r="BB897" s="198">
        <v>6.5122</v>
      </c>
      <c r="BC897" s="198">
        <v>1.1448</v>
      </c>
      <c r="BD897" s="198">
        <v>7.4621000000000004</v>
      </c>
      <c r="BE897" s="198">
        <v>0.25880999999999998</v>
      </c>
      <c r="BG897" s="1051">
        <v>43885</v>
      </c>
      <c r="BH897" s="198">
        <v>9.6920000000000002</v>
      </c>
      <c r="BI897" s="198">
        <v>1.6617</v>
      </c>
      <c r="BJ897" s="198">
        <v>17.0655</v>
      </c>
      <c r="BT897" s="1051">
        <v>43931</v>
      </c>
      <c r="BU897" s="198">
        <v>8.1403999999999996</v>
      </c>
      <c r="BV897" s="198">
        <v>2.4283000000000001</v>
      </c>
      <c r="BW897" s="198">
        <v>5.4267000000000003</v>
      </c>
      <c r="BX897" s="198">
        <v>1.0483</v>
      </c>
      <c r="BZ897" s="1051">
        <v>43931</v>
      </c>
      <c r="CA897" s="198">
        <v>6.3739999999999997</v>
      </c>
      <c r="CB897" s="198">
        <v>0.90390000000000004</v>
      </c>
      <c r="CC897" s="198">
        <v>11.5266</v>
      </c>
      <c r="CD897" s="198">
        <v>0.36956</v>
      </c>
      <c r="CF897" s="1051">
        <v>43930</v>
      </c>
      <c r="CG897" s="198">
        <v>5.5472999999999999</v>
      </c>
      <c r="CH897" s="198">
        <v>0.89019999999999999</v>
      </c>
      <c r="CI897" s="198">
        <v>13.6013</v>
      </c>
      <c r="CL897" s="1051">
        <v>43951</v>
      </c>
      <c r="CM897" s="198">
        <v>20.521899999999999</v>
      </c>
      <c r="CN897" s="198">
        <v>1.9979</v>
      </c>
      <c r="CO897" s="198">
        <v>8.8656000000000006</v>
      </c>
    </row>
    <row r="898" spans="1:93" s="198" customFormat="1">
      <c r="A898" s="1051">
        <v>43930</v>
      </c>
      <c r="B898" s="1052">
        <f t="shared" si="132"/>
        <v>5.0172999999999996</v>
      </c>
      <c r="C898" s="1052">
        <f t="shared" si="134"/>
        <v>5.1285999999999996</v>
      </c>
      <c r="D898" s="1052">
        <f t="shared" si="138"/>
        <v>7.9898999999999996</v>
      </c>
      <c r="E898" s="1052">
        <f t="shared" si="139"/>
        <v>5.5881999999999996</v>
      </c>
      <c r="F898" s="1052">
        <f t="shared" si="140"/>
        <v>7.7541000000000002</v>
      </c>
      <c r="G898" s="1052">
        <f t="shared" si="141"/>
        <v>4.4047000000000001</v>
      </c>
      <c r="H898" s="1047">
        <f t="shared" si="135"/>
        <v>5.5881999999999996</v>
      </c>
      <c r="I898" s="1048">
        <f t="shared" si="133"/>
        <v>-0.10216169786335494</v>
      </c>
      <c r="J898" s="1048">
        <f t="shared" si="136"/>
        <v>0.12093838824177333</v>
      </c>
      <c r="K898" s="1048">
        <f t="shared" si="137"/>
        <v>0.1</v>
      </c>
      <c r="L898" s="1048"/>
      <c r="N898" s="1051">
        <v>43930</v>
      </c>
      <c r="O898" s="1053">
        <v>5.0172999999999996</v>
      </c>
      <c r="P898" s="1053">
        <v>0.96950000000000003</v>
      </c>
      <c r="Q898" s="1053">
        <v>6.0845000000000002</v>
      </c>
      <c r="R898" s="1054">
        <f>'B. PE'!$U$23</f>
        <v>15.978235616082999</v>
      </c>
      <c r="S898" s="1054"/>
      <c r="T898" s="1054"/>
      <c r="V898" s="1051">
        <v>43930</v>
      </c>
      <c r="W898" s="198">
        <v>5.1285999999999996</v>
      </c>
      <c r="X898" s="198">
        <v>0.37790000000000001</v>
      </c>
      <c r="Y898" s="198">
        <v>11.398400000000001</v>
      </c>
      <c r="Z898" s="198">
        <v>0.25075999999999998</v>
      </c>
      <c r="AB898" s="1051">
        <v>43888</v>
      </c>
      <c r="AC898" s="198">
        <v>17.701899999999998</v>
      </c>
      <c r="AD898" s="1053">
        <v>1.085</v>
      </c>
      <c r="AE898" s="198">
        <v>8.4807000000000006</v>
      </c>
      <c r="AF898" s="198">
        <v>2.5219999999999999E-2</v>
      </c>
      <c r="AH898" s="1051">
        <v>43888</v>
      </c>
      <c r="AI898" s="198">
        <v>11.586499999999999</v>
      </c>
      <c r="AJ898" s="198">
        <v>1.9712000000000001</v>
      </c>
      <c r="AK898" s="198">
        <v>6.2131999999999996</v>
      </c>
      <c r="AL898" s="198">
        <v>2.4289999999999999E-2</v>
      </c>
      <c r="AN898" s="1051">
        <v>43899</v>
      </c>
      <c r="AO898" s="198">
        <v>6.4869000000000003</v>
      </c>
      <c r="AP898" s="198">
        <v>0.62580000000000002</v>
      </c>
      <c r="AQ898" s="198">
        <v>3.1718999999999999</v>
      </c>
      <c r="AR898" s="198">
        <v>0.14538999999999999</v>
      </c>
      <c r="AT898" s="1051">
        <v>43875</v>
      </c>
      <c r="AU898" s="198">
        <v>9.6007999999999996</v>
      </c>
      <c r="AV898" s="198">
        <v>0.52039999999999997</v>
      </c>
      <c r="AX898" s="198">
        <v>0.12292</v>
      </c>
      <c r="BA898" s="1051">
        <v>43882</v>
      </c>
      <c r="BB898" s="198">
        <v>6.7610999999999999</v>
      </c>
      <c r="BC898" s="198">
        <v>1.1886000000000001</v>
      </c>
      <c r="BD898" s="198">
        <v>7.6323999999999996</v>
      </c>
      <c r="BE898" s="198">
        <v>0.26273000000000002</v>
      </c>
      <c r="BG898" s="1051">
        <v>43882</v>
      </c>
      <c r="BH898" s="198">
        <v>9.9228000000000005</v>
      </c>
      <c r="BI898" s="198">
        <v>1.7012</v>
      </c>
      <c r="BJ898" s="198">
        <v>17.273299999999999</v>
      </c>
      <c r="BT898" s="1051">
        <v>43930</v>
      </c>
      <c r="BU898" s="198">
        <v>8.2880000000000003</v>
      </c>
      <c r="BV898" s="198">
        <v>2.4723000000000002</v>
      </c>
      <c r="BW898" s="198">
        <v>5.5129999999999999</v>
      </c>
      <c r="BX898" s="198">
        <v>1.0598000000000001</v>
      </c>
      <c r="BZ898" s="1051">
        <v>43930</v>
      </c>
      <c r="CA898" s="198">
        <v>6.7351999999999999</v>
      </c>
      <c r="CB898" s="198">
        <v>0.95520000000000005</v>
      </c>
      <c r="CC898" s="198">
        <v>11.7401</v>
      </c>
      <c r="CD898" s="198">
        <v>0.35700999999999999</v>
      </c>
      <c r="CF898" s="1051">
        <v>43929</v>
      </c>
      <c r="CG898" s="198">
        <v>5.4352</v>
      </c>
      <c r="CH898" s="198">
        <v>0.87219999999999998</v>
      </c>
      <c r="CI898" s="198">
        <v>13.545299999999999</v>
      </c>
      <c r="CL898" s="1051">
        <v>43950</v>
      </c>
      <c r="CM898" s="198">
        <v>20.484300000000001</v>
      </c>
      <c r="CN898" s="198">
        <v>1.9942</v>
      </c>
      <c r="CO898" s="198">
        <v>8.8491999999999997</v>
      </c>
    </row>
    <row r="899" spans="1:93" s="198" customFormat="1">
      <c r="A899" s="1051">
        <v>43929</v>
      </c>
      <c r="B899" s="1052">
        <f t="shared" si="132"/>
        <v>5.0956999999999999</v>
      </c>
      <c r="C899" s="1052">
        <f t="shared" si="134"/>
        <v>5.1509999999999998</v>
      </c>
      <c r="D899" s="1052">
        <f t="shared" si="138"/>
        <v>7.9562999999999997</v>
      </c>
      <c r="E899" s="1052">
        <f t="shared" si="139"/>
        <v>5.5324</v>
      </c>
      <c r="F899" s="1052">
        <f t="shared" si="140"/>
        <v>7.7541000000000002</v>
      </c>
      <c r="G899" s="1052">
        <f t="shared" si="141"/>
        <v>4.3281000000000001</v>
      </c>
      <c r="H899" s="1047">
        <f t="shared" si="135"/>
        <v>5.5324</v>
      </c>
      <c r="I899" s="1048">
        <f t="shared" si="133"/>
        <v>-7.893500108452034E-2</v>
      </c>
      <c r="J899" s="1048">
        <f t="shared" si="136"/>
        <v>0.12093838824177333</v>
      </c>
      <c r="K899" s="1048">
        <f t="shared" si="137"/>
        <v>0.1</v>
      </c>
      <c r="L899" s="1048"/>
      <c r="N899" s="1051">
        <v>43929</v>
      </c>
      <c r="O899" s="1053">
        <v>5.0956999999999999</v>
      </c>
      <c r="P899" s="1053">
        <v>0.98470000000000002</v>
      </c>
      <c r="Q899" s="1053">
        <v>6.1505000000000001</v>
      </c>
      <c r="R899" s="1054">
        <f>'B. PE'!$U$23</f>
        <v>15.978235616082999</v>
      </c>
      <c r="S899" s="1054"/>
      <c r="T899" s="1054"/>
      <c r="V899" s="1051">
        <v>43929</v>
      </c>
      <c r="W899" s="198">
        <v>5.1509999999999998</v>
      </c>
      <c r="X899" s="198">
        <v>0.37959999999999999</v>
      </c>
      <c r="Y899" s="198">
        <v>11.413399999999999</v>
      </c>
      <c r="Z899" s="198">
        <v>0.25119999999999998</v>
      </c>
      <c r="AB899" s="1051">
        <v>43887</v>
      </c>
      <c r="AC899" s="198">
        <v>18.403500000000001</v>
      </c>
      <c r="AD899" s="1053">
        <v>1.1279999999999999</v>
      </c>
      <c r="AE899" s="198">
        <v>8.7144999999999992</v>
      </c>
      <c r="AF899" s="198">
        <v>2.4910000000000002E-2</v>
      </c>
      <c r="AH899" s="1051">
        <v>43887</v>
      </c>
      <c r="AI899" s="198">
        <v>11.586499999999999</v>
      </c>
      <c r="AJ899" s="198">
        <v>1.9712000000000001</v>
      </c>
      <c r="AK899" s="198">
        <v>6.2131999999999996</v>
      </c>
      <c r="AL899" s="198">
        <v>2.4629999999999999E-2</v>
      </c>
      <c r="AN899" s="1051">
        <v>43896</v>
      </c>
      <c r="AO899" s="198">
        <v>7.2144000000000004</v>
      </c>
      <c r="AP899" s="198">
        <v>0.69589999999999996</v>
      </c>
      <c r="AQ899" s="198">
        <v>3.7273999999999998</v>
      </c>
      <c r="AR899" s="198">
        <v>0.14591999999999999</v>
      </c>
      <c r="AT899" s="1051">
        <v>43872</v>
      </c>
      <c r="AU899" s="198">
        <v>9.6958000000000002</v>
      </c>
      <c r="AV899" s="198">
        <v>0.52549999999999997</v>
      </c>
      <c r="AX899" s="198">
        <v>0.13038</v>
      </c>
      <c r="BA899" s="1051">
        <v>43881</v>
      </c>
      <c r="BB899" s="198">
        <v>6.7610999999999999</v>
      </c>
      <c r="BC899" s="198">
        <v>1.1886000000000001</v>
      </c>
      <c r="BD899" s="198">
        <v>7.6323999999999996</v>
      </c>
      <c r="BE899" s="198">
        <v>0.26294000000000001</v>
      </c>
      <c r="BG899" s="1051">
        <v>43881</v>
      </c>
      <c r="BH899" s="198">
        <v>9.7689000000000004</v>
      </c>
      <c r="BI899" s="198">
        <v>1.6748000000000001</v>
      </c>
      <c r="BJ899" s="198">
        <v>17.134799999999998</v>
      </c>
      <c r="BT899" s="1051">
        <v>43929</v>
      </c>
      <c r="BU899" s="198">
        <v>8.4015000000000004</v>
      </c>
      <c r="BV899" s="198">
        <v>2.5062000000000002</v>
      </c>
      <c r="BW899" s="198">
        <v>5.5792999999999999</v>
      </c>
      <c r="BX899" s="198">
        <v>0.99329999999999996</v>
      </c>
      <c r="BZ899" s="1051">
        <v>43929</v>
      </c>
      <c r="CA899" s="198">
        <v>6.3739999999999997</v>
      </c>
      <c r="CB899" s="198">
        <v>0.90390000000000004</v>
      </c>
      <c r="CC899" s="198">
        <v>11.5266</v>
      </c>
      <c r="CD899" s="198">
        <v>0.33489000000000002</v>
      </c>
      <c r="CF899" s="1051">
        <v>43928</v>
      </c>
      <c r="CG899" s="198">
        <v>5.1550000000000002</v>
      </c>
      <c r="CH899" s="198">
        <v>0.82730000000000004</v>
      </c>
      <c r="CI899" s="198">
        <v>13.405099999999999</v>
      </c>
      <c r="CL899" s="1051">
        <v>43949</v>
      </c>
      <c r="CM899" s="198">
        <v>20.634899999999998</v>
      </c>
      <c r="CN899" s="198">
        <v>2.0089000000000001</v>
      </c>
      <c r="CO899" s="198">
        <v>8.9147999999999996</v>
      </c>
    </row>
    <row r="900" spans="1:93" s="198" customFormat="1">
      <c r="A900" s="1051">
        <v>43928</v>
      </c>
      <c r="B900" s="1052">
        <f t="shared" si="132"/>
        <v>4.8829000000000002</v>
      </c>
      <c r="C900" s="1052">
        <f t="shared" si="134"/>
        <v>5.2333999999999996</v>
      </c>
      <c r="D900" s="1052">
        <f t="shared" si="138"/>
        <v>8.2919999999999998</v>
      </c>
      <c r="E900" s="1052">
        <f t="shared" si="139"/>
        <v>5.7</v>
      </c>
      <c r="F900" s="1052">
        <f t="shared" si="140"/>
        <v>7.298</v>
      </c>
      <c r="G900" s="1052">
        <f t="shared" si="141"/>
        <v>4.3281000000000001</v>
      </c>
      <c r="H900" s="1047">
        <f t="shared" si="135"/>
        <v>5.7</v>
      </c>
      <c r="I900" s="1048">
        <f t="shared" si="133"/>
        <v>-0.14335087719298245</v>
      </c>
      <c r="J900" s="1048">
        <f t="shared" si="136"/>
        <v>0.12093838824177333</v>
      </c>
      <c r="K900" s="1048">
        <f t="shared" si="137"/>
        <v>0.1</v>
      </c>
      <c r="L900" s="1048"/>
      <c r="N900" s="1051">
        <v>43928</v>
      </c>
      <c r="O900" s="1053">
        <v>4.8829000000000002</v>
      </c>
      <c r="P900" s="1053">
        <v>0.94359999999999999</v>
      </c>
      <c r="Q900" s="1053">
        <v>5.8563999999999998</v>
      </c>
      <c r="R900" s="1054">
        <f>'B. PE'!$U$23</f>
        <v>15.978235616082999</v>
      </c>
      <c r="S900" s="1054"/>
      <c r="T900" s="1054"/>
      <c r="V900" s="1051">
        <v>43928</v>
      </c>
      <c r="W900" s="198">
        <v>5.2333999999999996</v>
      </c>
      <c r="X900" s="198">
        <v>0.3856</v>
      </c>
      <c r="Y900" s="198">
        <v>11.468500000000001</v>
      </c>
      <c r="Z900" s="198">
        <v>0.24911</v>
      </c>
      <c r="AB900" s="1051">
        <v>43886</v>
      </c>
      <c r="AC900" s="198">
        <v>18.997199999999999</v>
      </c>
      <c r="AD900" s="1053">
        <v>1.1644000000000001</v>
      </c>
      <c r="AE900" s="198">
        <v>8.9123000000000001</v>
      </c>
      <c r="AF900" s="198">
        <v>2.6929999999999999E-2</v>
      </c>
      <c r="AH900" s="1051">
        <v>43886</v>
      </c>
      <c r="AI900" s="198">
        <v>11.6553</v>
      </c>
      <c r="AJ900" s="198">
        <v>1.9829000000000001</v>
      </c>
      <c r="AK900" s="198">
        <v>6.2469000000000001</v>
      </c>
      <c r="AL900" s="198">
        <v>2.5260000000000001E-2</v>
      </c>
      <c r="AN900" s="1051">
        <v>43895</v>
      </c>
      <c r="AO900" s="198">
        <v>7.3357000000000001</v>
      </c>
      <c r="AP900" s="198">
        <v>0.70760000000000001</v>
      </c>
      <c r="AQ900" s="198">
        <v>3.8199000000000001</v>
      </c>
      <c r="AR900" s="198">
        <v>0.14359</v>
      </c>
      <c r="AT900" s="1051">
        <v>43871</v>
      </c>
      <c r="AU900" s="198">
        <v>9.6958000000000002</v>
      </c>
      <c r="AV900" s="198">
        <v>0.52549999999999997</v>
      </c>
      <c r="AX900" s="198">
        <v>0.12733</v>
      </c>
      <c r="BA900" s="1051">
        <v>43880</v>
      </c>
      <c r="BB900" s="198">
        <v>6.8026</v>
      </c>
      <c r="BC900" s="198">
        <v>1.1959</v>
      </c>
      <c r="BD900" s="198">
        <v>7.6607000000000003</v>
      </c>
      <c r="BE900" s="198">
        <v>0.25173000000000001</v>
      </c>
      <c r="BG900" s="1051">
        <v>43880</v>
      </c>
      <c r="BH900" s="198">
        <v>9.6920000000000002</v>
      </c>
      <c r="BI900" s="198">
        <v>1.6617</v>
      </c>
      <c r="BJ900" s="198">
        <v>17.0655</v>
      </c>
      <c r="BT900" s="1051">
        <v>43928</v>
      </c>
      <c r="BU900" s="198">
        <v>8.4695999999999998</v>
      </c>
      <c r="BV900" s="198">
        <v>2.5265</v>
      </c>
      <c r="BW900" s="198">
        <v>5.6192000000000002</v>
      </c>
      <c r="BX900" s="198">
        <v>0.92559999999999998</v>
      </c>
      <c r="BZ900" s="1051">
        <v>43928</v>
      </c>
      <c r="CA900" s="198">
        <v>6.1402999999999999</v>
      </c>
      <c r="CB900" s="198">
        <v>0.87080000000000002</v>
      </c>
      <c r="CC900" s="198">
        <v>11.388500000000001</v>
      </c>
      <c r="CD900" s="198">
        <v>0.31259999999999999</v>
      </c>
      <c r="CF900" s="1051">
        <v>43927</v>
      </c>
      <c r="CG900" s="198">
        <v>4.8188000000000004</v>
      </c>
      <c r="CH900" s="198">
        <v>0.77329999999999999</v>
      </c>
      <c r="CI900" s="198">
        <v>13.2369</v>
      </c>
      <c r="CL900" s="1051">
        <v>43948</v>
      </c>
      <c r="CM900" s="198">
        <v>20.408999999999999</v>
      </c>
      <c r="CN900" s="198">
        <v>1.9869000000000001</v>
      </c>
      <c r="CO900" s="198">
        <v>8.8163999999999998</v>
      </c>
    </row>
    <row r="901" spans="1:93" s="198" customFormat="1">
      <c r="A901" s="1051">
        <v>43927</v>
      </c>
      <c r="B901" s="1052">
        <f t="shared" si="132"/>
        <v>4.5693000000000001</v>
      </c>
      <c r="C901" s="1052">
        <f t="shared" si="134"/>
        <v>5.2408999999999999</v>
      </c>
      <c r="D901" s="1052">
        <f t="shared" si="138"/>
        <v>7.9562999999999997</v>
      </c>
      <c r="E901" s="1052">
        <f t="shared" si="139"/>
        <v>5.3368000000000002</v>
      </c>
      <c r="F901" s="1052">
        <f t="shared" si="140"/>
        <v>7.298</v>
      </c>
      <c r="G901" s="1052">
        <f t="shared" si="141"/>
        <v>4.3281000000000001</v>
      </c>
      <c r="H901" s="1047">
        <f t="shared" si="135"/>
        <v>5.3368000000000002</v>
      </c>
      <c r="I901" s="1048">
        <f t="shared" si="133"/>
        <v>-0.14381277169839601</v>
      </c>
      <c r="J901" s="1048">
        <f t="shared" si="136"/>
        <v>0.12093838824177333</v>
      </c>
      <c r="K901" s="1048">
        <f t="shared" si="137"/>
        <v>0.1</v>
      </c>
      <c r="L901" s="1048"/>
      <c r="N901" s="1051">
        <v>43927</v>
      </c>
      <c r="O901" s="1053">
        <v>4.5693000000000001</v>
      </c>
      <c r="P901" s="1053">
        <v>0.88300000000000001</v>
      </c>
      <c r="Q901" s="1053">
        <v>5.5994999999999999</v>
      </c>
      <c r="R901" s="1054">
        <f>'B. PE'!$U$23</f>
        <v>15.978235616082999</v>
      </c>
      <c r="S901" s="1054"/>
      <c r="T901" s="1054"/>
      <c r="V901" s="1051">
        <v>43927</v>
      </c>
      <c r="W901" s="198">
        <v>5.2408999999999999</v>
      </c>
      <c r="X901" s="198">
        <v>0.38619999999999999</v>
      </c>
      <c r="Y901" s="198">
        <v>11.4735</v>
      </c>
      <c r="Z901" s="198">
        <v>0.23723</v>
      </c>
      <c r="AB901" s="1051">
        <v>43885</v>
      </c>
      <c r="AC901" s="198">
        <v>18.781300000000002</v>
      </c>
      <c r="AD901" s="1053">
        <v>1.1511</v>
      </c>
      <c r="AE901" s="198">
        <v>8.8404000000000007</v>
      </c>
      <c r="AF901" s="198">
        <v>2.5690000000000001E-2</v>
      </c>
      <c r="AH901" s="1051">
        <v>43885</v>
      </c>
      <c r="AI901" s="198">
        <v>11.827199999999999</v>
      </c>
      <c r="AJ901" s="198">
        <v>2.0122</v>
      </c>
      <c r="AK901" s="198">
        <v>6.3314000000000004</v>
      </c>
      <c r="AL901" s="198">
        <v>2.4889999999999999E-2</v>
      </c>
      <c r="AN901" s="1051">
        <v>43894</v>
      </c>
      <c r="AO901" s="198">
        <v>7.3963000000000001</v>
      </c>
      <c r="AP901" s="198">
        <v>0.71350000000000002</v>
      </c>
      <c r="AQ901" s="198">
        <v>3.8662000000000001</v>
      </c>
      <c r="AR901" s="198">
        <v>0.14629</v>
      </c>
      <c r="AT901" s="1051">
        <v>43868</v>
      </c>
      <c r="AU901" s="198">
        <v>10.2662</v>
      </c>
      <c r="AV901" s="198">
        <v>0.55649999999999999</v>
      </c>
      <c r="AX901" s="198">
        <v>0.12753999999999999</v>
      </c>
      <c r="BA901" s="1051">
        <v>43879</v>
      </c>
      <c r="BB901" s="198">
        <v>6.8026</v>
      </c>
      <c r="BC901" s="198">
        <v>1.1959</v>
      </c>
      <c r="BD901" s="198">
        <v>7.6607000000000003</v>
      </c>
      <c r="BE901" s="198">
        <v>0.25629999999999997</v>
      </c>
      <c r="BG901" s="1051">
        <v>43879</v>
      </c>
      <c r="BH901" s="198">
        <v>9.4612999999999996</v>
      </c>
      <c r="BI901" s="198">
        <v>1.6221000000000001</v>
      </c>
      <c r="BJ901" s="198">
        <v>16.857700000000001</v>
      </c>
      <c r="BT901" s="1051">
        <v>43927</v>
      </c>
      <c r="BU901" s="198">
        <v>7.9359999999999999</v>
      </c>
      <c r="BV901" s="198">
        <v>2.3673000000000002</v>
      </c>
      <c r="BW901" s="198">
        <v>5.3071999999999999</v>
      </c>
      <c r="BX901" s="198">
        <v>0.86460000000000004</v>
      </c>
      <c r="BZ901" s="1051">
        <v>43927</v>
      </c>
      <c r="CA901" s="198">
        <v>5.7579000000000002</v>
      </c>
      <c r="CB901" s="198">
        <v>0.81659999999999999</v>
      </c>
      <c r="CC901" s="198">
        <v>11.1624</v>
      </c>
      <c r="CD901" s="198">
        <v>0.29236000000000001</v>
      </c>
      <c r="CF901" s="1051">
        <v>43924</v>
      </c>
      <c r="CG901" s="198">
        <v>4.4265999999999996</v>
      </c>
      <c r="CH901" s="198">
        <v>0.71040000000000003</v>
      </c>
      <c r="CI901" s="198">
        <v>13.040699999999999</v>
      </c>
      <c r="CL901" s="1051">
        <v>43945</v>
      </c>
      <c r="CM901" s="198">
        <v>20.371300000000002</v>
      </c>
      <c r="CN901" s="198">
        <v>1.9832000000000001</v>
      </c>
      <c r="CO901" s="198">
        <v>8.8000000000000007</v>
      </c>
    </row>
    <row r="902" spans="1:93" s="198" customFormat="1">
      <c r="A902" s="1051">
        <v>43924</v>
      </c>
      <c r="B902" s="1052">
        <f t="shared" ref="B902:B965" si="142">O902</f>
        <v>4.2781000000000002</v>
      </c>
      <c r="C902" s="1052">
        <f t="shared" si="134"/>
        <v>5.2183999999999999</v>
      </c>
      <c r="D902" s="1052">
        <f t="shared" si="138"/>
        <v>7.9562999999999997</v>
      </c>
      <c r="E902" s="1052">
        <f t="shared" si="139"/>
        <v>5.1412000000000004</v>
      </c>
      <c r="F902" s="1052">
        <f t="shared" si="140"/>
        <v>6.8418999999999999</v>
      </c>
      <c r="G902" s="1052">
        <f t="shared" si="141"/>
        <v>4.0599999999999996</v>
      </c>
      <c r="H902" s="1047">
        <f t="shared" si="135"/>
        <v>5.2183999999999999</v>
      </c>
      <c r="I902" s="1048">
        <f t="shared" ref="I902:I965" si="143">B902/H902-1</f>
        <v>-0.18018933006285442</v>
      </c>
      <c r="J902" s="1048">
        <f t="shared" si="136"/>
        <v>0.12093838824177333</v>
      </c>
      <c r="K902" s="1048">
        <f t="shared" si="137"/>
        <v>0.1</v>
      </c>
      <c r="L902" s="1048"/>
      <c r="N902" s="1051">
        <v>43924</v>
      </c>
      <c r="O902" s="1053">
        <v>4.2781000000000002</v>
      </c>
      <c r="P902" s="1053">
        <v>0.82669999999999999</v>
      </c>
      <c r="Q902" s="1053">
        <v>5.3609</v>
      </c>
      <c r="R902" s="1054">
        <f>'B. PE'!$U$23</f>
        <v>15.978235616082999</v>
      </c>
      <c r="S902" s="1054"/>
      <c r="T902" s="1054"/>
      <c r="V902" s="1051">
        <v>43924</v>
      </c>
      <c r="W902" s="198">
        <v>5.2183999999999999</v>
      </c>
      <c r="X902" s="198">
        <v>0.38450000000000001</v>
      </c>
      <c r="Y902" s="198">
        <v>11.458500000000001</v>
      </c>
      <c r="Z902" s="198">
        <v>0.22989999999999999</v>
      </c>
      <c r="AB902" s="1051">
        <v>43882</v>
      </c>
      <c r="AC902" s="198">
        <v>20.076599999999999</v>
      </c>
      <c r="AD902" s="1053">
        <v>1.2304999999999999</v>
      </c>
      <c r="AE902" s="198">
        <v>9.2720000000000002</v>
      </c>
      <c r="AF902" s="198">
        <v>2.64E-2</v>
      </c>
      <c r="AH902" s="1051">
        <v>43882</v>
      </c>
      <c r="AI902" s="198">
        <v>11.9991</v>
      </c>
      <c r="AJ902" s="198">
        <v>2.0413999999999999</v>
      </c>
      <c r="AK902" s="198">
        <v>6.4157999999999999</v>
      </c>
      <c r="AL902" s="198">
        <v>2.5309999999999999E-2</v>
      </c>
      <c r="AN902" s="1051">
        <v>43893</v>
      </c>
      <c r="AO902" s="198">
        <v>7.3357000000000001</v>
      </c>
      <c r="AP902" s="198">
        <v>0.70760000000000001</v>
      </c>
      <c r="AQ902" s="198">
        <v>3.8199000000000001</v>
      </c>
      <c r="AR902" s="198">
        <v>0.14351</v>
      </c>
      <c r="AT902" s="1051">
        <v>43867</v>
      </c>
      <c r="AU902" s="198">
        <v>9.9809999999999999</v>
      </c>
      <c r="AV902" s="198">
        <v>0.54100000000000004</v>
      </c>
      <c r="AX902" s="198">
        <v>0.12529999999999999</v>
      </c>
      <c r="BA902" s="1051">
        <v>43878</v>
      </c>
      <c r="BB902" s="198">
        <v>6.5122</v>
      </c>
      <c r="BC902" s="198">
        <v>1.1448</v>
      </c>
      <c r="BD902" s="198">
        <v>7.4621000000000004</v>
      </c>
      <c r="BE902" s="198">
        <v>0.25699</v>
      </c>
      <c r="BG902" s="1051">
        <v>43878</v>
      </c>
      <c r="BH902" s="198">
        <v>9.5381999999999998</v>
      </c>
      <c r="BI902" s="198">
        <v>1.6353</v>
      </c>
      <c r="BJ902" s="198">
        <v>16.927</v>
      </c>
      <c r="BT902" s="1051">
        <v>43924</v>
      </c>
      <c r="BU902" s="198">
        <v>7.4250999999999996</v>
      </c>
      <c r="BV902" s="198">
        <v>2.2149000000000001</v>
      </c>
      <c r="BW902" s="198">
        <v>5.0084999999999997</v>
      </c>
      <c r="BX902" s="198">
        <v>0.83140000000000003</v>
      </c>
      <c r="BZ902" s="1051">
        <v>43924</v>
      </c>
      <c r="CA902" s="198">
        <v>5.3967000000000001</v>
      </c>
      <c r="CB902" s="198">
        <v>0.76529999999999998</v>
      </c>
      <c r="CC902" s="198">
        <v>10.9489</v>
      </c>
      <c r="CD902" s="198">
        <v>0.2737</v>
      </c>
      <c r="CF902" s="1051">
        <v>43922</v>
      </c>
      <c r="CG902" s="198">
        <v>4.8188000000000004</v>
      </c>
      <c r="CH902" s="198">
        <v>0.77329999999999999</v>
      </c>
      <c r="CI902" s="198">
        <v>13.2369</v>
      </c>
      <c r="CL902" s="1051">
        <v>43944</v>
      </c>
      <c r="CM902" s="198">
        <v>20.616099999999999</v>
      </c>
      <c r="CN902" s="198">
        <v>2.0070000000000001</v>
      </c>
      <c r="CO902" s="198">
        <v>8.9065999999999992</v>
      </c>
    </row>
    <row r="903" spans="1:93" s="198" customFormat="1">
      <c r="A903" s="1051">
        <v>43922</v>
      </c>
      <c r="B903" s="1052">
        <f t="shared" si="142"/>
        <v>4.1548999999999996</v>
      </c>
      <c r="C903" s="1052">
        <f t="shared" ref="C903:C966" si="144">IF(W903=0,W902,W903)</f>
        <v>4.9787999999999997</v>
      </c>
      <c r="D903" s="1052">
        <f t="shared" si="138"/>
        <v>7.5869999999999997</v>
      </c>
      <c r="E903" s="1052">
        <f t="shared" si="139"/>
        <v>5.0293999999999999</v>
      </c>
      <c r="F903" s="1052">
        <f t="shared" si="140"/>
        <v>6.7366000000000001</v>
      </c>
      <c r="G903" s="1052">
        <f t="shared" si="141"/>
        <v>4.0217000000000001</v>
      </c>
      <c r="H903" s="1047">
        <f t="shared" ref="H903:H966" si="145">MEDIAN(C903:G903)</f>
        <v>5.0293999999999999</v>
      </c>
      <c r="I903" s="1048">
        <f t="shared" si="143"/>
        <v>-0.17387759971368355</v>
      </c>
      <c r="J903" s="1048">
        <f t="shared" ref="J903:J966" si="146">$I$3</f>
        <v>0.12093838824177333</v>
      </c>
      <c r="K903" s="1048">
        <f t="shared" si="137"/>
        <v>0.1</v>
      </c>
      <c r="L903" s="1048"/>
      <c r="N903" s="1051">
        <v>43922</v>
      </c>
      <c r="O903" s="1053">
        <v>4.1548999999999996</v>
      </c>
      <c r="P903" s="1053">
        <v>0.80289999999999995</v>
      </c>
      <c r="Q903" s="1053">
        <v>5.26</v>
      </c>
      <c r="R903" s="1054">
        <f>'B. PE'!$U$23</f>
        <v>15.978235616082999</v>
      </c>
      <c r="S903" s="1054"/>
      <c r="T903" s="1054"/>
      <c r="V903" s="1051">
        <v>43922</v>
      </c>
      <c r="W903" s="198">
        <v>4.9787999999999997</v>
      </c>
      <c r="X903" s="198">
        <v>0.3669</v>
      </c>
      <c r="Y903" s="198">
        <v>11.298400000000001</v>
      </c>
      <c r="Z903" s="198">
        <v>0.22969999999999999</v>
      </c>
      <c r="AB903" s="1051">
        <v>43881</v>
      </c>
      <c r="AC903" s="198">
        <v>19.213100000000001</v>
      </c>
      <c r="AD903" s="1053">
        <v>1.1776</v>
      </c>
      <c r="AE903" s="198">
        <v>8.9842999999999993</v>
      </c>
      <c r="AF903" s="198">
        <v>2.6380000000000001E-2</v>
      </c>
      <c r="AH903" s="1051">
        <v>43881</v>
      </c>
      <c r="AI903" s="198">
        <v>11.861499999999999</v>
      </c>
      <c r="AJ903" s="198">
        <v>2.0179999999999998</v>
      </c>
      <c r="AK903" s="198">
        <v>6.3483000000000001</v>
      </c>
      <c r="AL903" s="198">
        <v>2.5360000000000001E-2</v>
      </c>
      <c r="AN903" s="1051">
        <v>43892</v>
      </c>
      <c r="AO903" s="198">
        <v>7.4569000000000001</v>
      </c>
      <c r="AP903" s="198">
        <v>0.71930000000000005</v>
      </c>
      <c r="AQ903" s="198">
        <v>3.9125000000000001</v>
      </c>
      <c r="AR903" s="198">
        <v>0.15437999999999999</v>
      </c>
      <c r="AT903" s="1051">
        <v>43866</v>
      </c>
      <c r="AU903" s="198">
        <v>9.9809999999999999</v>
      </c>
      <c r="AV903" s="198">
        <v>0.54100000000000004</v>
      </c>
      <c r="AX903" s="198">
        <v>0.12393999999999999</v>
      </c>
      <c r="BA903" s="1051">
        <v>43875</v>
      </c>
      <c r="BB903" s="198">
        <v>6.6367000000000003</v>
      </c>
      <c r="BC903" s="198">
        <v>1.1667000000000001</v>
      </c>
      <c r="BD903" s="198">
        <v>7.5472000000000001</v>
      </c>
      <c r="BE903" s="198">
        <v>0.25844</v>
      </c>
      <c r="BG903" s="1051">
        <v>43875</v>
      </c>
      <c r="BH903" s="198">
        <v>9.4612999999999996</v>
      </c>
      <c r="BI903" s="198">
        <v>1.6221000000000001</v>
      </c>
      <c r="BJ903" s="198">
        <v>16.857700000000001</v>
      </c>
      <c r="BT903" s="1051">
        <v>43922</v>
      </c>
      <c r="BU903" s="198">
        <v>6.9482999999999997</v>
      </c>
      <c r="BV903" s="198">
        <v>2.0727000000000002</v>
      </c>
      <c r="BW903" s="198">
        <v>4.7297000000000002</v>
      </c>
      <c r="BX903" s="198">
        <v>0.83909999999999996</v>
      </c>
      <c r="BZ903" s="1051">
        <v>43922</v>
      </c>
      <c r="CA903" s="198">
        <v>5.0567000000000002</v>
      </c>
      <c r="CB903" s="198">
        <v>0.71709999999999996</v>
      </c>
      <c r="CC903" s="198">
        <v>10.747999999999999</v>
      </c>
      <c r="CD903" s="198">
        <v>0.25752999999999998</v>
      </c>
      <c r="CF903" s="1051">
        <v>43921</v>
      </c>
      <c r="CG903" s="198">
        <v>5.2671000000000001</v>
      </c>
      <c r="CH903" s="198">
        <v>0.84530000000000005</v>
      </c>
      <c r="CI903" s="198">
        <v>13.4612</v>
      </c>
      <c r="CL903" s="1051">
        <v>43943</v>
      </c>
      <c r="CM903" s="198">
        <v>20.352499999999999</v>
      </c>
      <c r="CN903" s="198">
        <v>1.9814000000000001</v>
      </c>
      <c r="CO903" s="198">
        <v>8.7918000000000003</v>
      </c>
    </row>
    <row r="904" spans="1:93" s="198" customFormat="1">
      <c r="A904" s="1051">
        <v>43921</v>
      </c>
      <c r="B904" s="1052">
        <f t="shared" si="142"/>
        <v>3.9645000000000001</v>
      </c>
      <c r="C904" s="1052">
        <f t="shared" si="144"/>
        <v>4.8291000000000004</v>
      </c>
      <c r="D904" s="1052">
        <f t="shared" si="138"/>
        <v>7.5869999999999997</v>
      </c>
      <c r="E904" s="1052">
        <f t="shared" si="139"/>
        <v>5.2530000000000001</v>
      </c>
      <c r="F904" s="1052">
        <f t="shared" si="140"/>
        <v>6.7717000000000001</v>
      </c>
      <c r="G904" s="1052">
        <f t="shared" si="141"/>
        <v>4.0599999999999996</v>
      </c>
      <c r="H904" s="1047">
        <f t="shared" si="145"/>
        <v>5.2530000000000001</v>
      </c>
      <c r="I904" s="1048">
        <f t="shared" si="143"/>
        <v>-0.24528840662478579</v>
      </c>
      <c r="J904" s="1048">
        <f t="shared" si="146"/>
        <v>0.12093838824177333</v>
      </c>
      <c r="K904" s="1048">
        <f t="shared" ref="K904:K967" si="147">K903</f>
        <v>0.1</v>
      </c>
      <c r="L904" s="1048"/>
      <c r="N904" s="1051">
        <v>43921</v>
      </c>
      <c r="O904" s="1053">
        <v>3.9645000000000001</v>
      </c>
      <c r="P904" s="1053">
        <v>0.7661</v>
      </c>
      <c r="Q904" s="1053">
        <v>5.1040000000000001</v>
      </c>
      <c r="R904" s="1054">
        <f>'B. PE'!$U$23</f>
        <v>15.978235616082999</v>
      </c>
      <c r="S904" s="1054"/>
      <c r="T904" s="1054"/>
      <c r="V904" s="1051">
        <v>43921</v>
      </c>
      <c r="W904" s="198">
        <v>4.8291000000000004</v>
      </c>
      <c r="X904" s="198">
        <v>0.35580000000000001</v>
      </c>
      <c r="Y904" s="198">
        <v>11.1983</v>
      </c>
      <c r="Z904" s="198">
        <v>0.24049999999999999</v>
      </c>
      <c r="AB904" s="1051">
        <v>43880</v>
      </c>
      <c r="AC904" s="198">
        <v>19.536899999999999</v>
      </c>
      <c r="AD904" s="1053">
        <v>1.1975</v>
      </c>
      <c r="AE904" s="198">
        <v>9.0922000000000001</v>
      </c>
      <c r="AF904" s="198">
        <v>2.6089999999999999E-2</v>
      </c>
      <c r="AH904" s="1051">
        <v>43880</v>
      </c>
      <c r="AI904" s="198">
        <v>11.930300000000001</v>
      </c>
      <c r="AJ904" s="198">
        <v>2.0297000000000001</v>
      </c>
      <c r="AK904" s="198">
        <v>6.3819999999999997</v>
      </c>
      <c r="AL904" s="198">
        <v>2.4549999999999999E-2</v>
      </c>
      <c r="AN904" s="1051">
        <v>43889</v>
      </c>
      <c r="AO904" s="198">
        <v>7.3357000000000001</v>
      </c>
      <c r="AP904" s="198">
        <v>0.70760000000000001</v>
      </c>
      <c r="AQ904" s="198">
        <v>3.8199000000000001</v>
      </c>
      <c r="AR904" s="198">
        <v>0.16092000000000001</v>
      </c>
      <c r="AT904" s="1051">
        <v>43865</v>
      </c>
      <c r="AU904" s="198">
        <v>9.7909000000000006</v>
      </c>
      <c r="AV904" s="198">
        <v>0.53069999999999995</v>
      </c>
      <c r="AX904" s="198">
        <v>0.12451</v>
      </c>
      <c r="BA904" s="1051">
        <v>43874</v>
      </c>
      <c r="BB904" s="198">
        <v>6.6367000000000003</v>
      </c>
      <c r="BC904" s="198">
        <v>1.1667000000000001</v>
      </c>
      <c r="BD904" s="198">
        <v>7.5472000000000001</v>
      </c>
      <c r="BE904" s="198">
        <v>0.25592999999999999</v>
      </c>
      <c r="BG904" s="1051">
        <v>43874</v>
      </c>
      <c r="BH904" s="198">
        <v>9.5381999999999998</v>
      </c>
      <c r="BI904" s="198">
        <v>1.6353</v>
      </c>
      <c r="BJ904" s="198">
        <v>16.927</v>
      </c>
      <c r="BT904" s="1051">
        <v>43921</v>
      </c>
      <c r="BU904" s="198">
        <v>6.6871</v>
      </c>
      <c r="BV904" s="198">
        <v>1.9947999999999999</v>
      </c>
      <c r="BW904" s="198">
        <v>4.577</v>
      </c>
      <c r="BX904" s="198">
        <v>0.8931</v>
      </c>
      <c r="BZ904" s="1051">
        <v>43921</v>
      </c>
      <c r="CA904" s="198">
        <v>4.7380000000000004</v>
      </c>
      <c r="CB904" s="198">
        <v>0.67190000000000005</v>
      </c>
      <c r="CC904" s="198">
        <v>10.5596</v>
      </c>
      <c r="CD904" s="198">
        <v>0.27360000000000001</v>
      </c>
      <c r="CF904" s="1051">
        <v>43920</v>
      </c>
      <c r="CG904" s="198">
        <v>5.4168000000000003</v>
      </c>
      <c r="CH904" s="198">
        <v>0.85289999999999999</v>
      </c>
      <c r="CI904" s="198">
        <v>9.6781000000000006</v>
      </c>
      <c r="CL904" s="1051">
        <v>43942</v>
      </c>
      <c r="CM904" s="198">
        <v>20.3337</v>
      </c>
      <c r="CN904" s="198">
        <v>1.9796</v>
      </c>
      <c r="CO904" s="198">
        <v>8.7835000000000001</v>
      </c>
    </row>
    <row r="905" spans="1:93" s="198" customFormat="1">
      <c r="A905" s="1051">
        <v>43920</v>
      </c>
      <c r="B905" s="1052">
        <f t="shared" si="142"/>
        <v>4.3864000000000001</v>
      </c>
      <c r="C905" s="1052">
        <f t="shared" si="144"/>
        <v>4.7225999999999999</v>
      </c>
      <c r="D905" s="1052">
        <f t="shared" si="138"/>
        <v>7.5639000000000003</v>
      </c>
      <c r="E905" s="1052">
        <f t="shared" si="139"/>
        <v>5.4260000000000002</v>
      </c>
      <c r="F905" s="1052">
        <f t="shared" si="140"/>
        <v>5.9074999999999998</v>
      </c>
      <c r="G905" s="1052">
        <f t="shared" si="141"/>
        <v>4.3552999999999997</v>
      </c>
      <c r="H905" s="1047">
        <f t="shared" si="145"/>
        <v>5.4260000000000002</v>
      </c>
      <c r="I905" s="1048">
        <f t="shared" si="143"/>
        <v>-0.19159601916697389</v>
      </c>
      <c r="J905" s="1048">
        <f t="shared" si="146"/>
        <v>0.12093838824177333</v>
      </c>
      <c r="K905" s="1048">
        <f t="shared" si="147"/>
        <v>0.1</v>
      </c>
      <c r="L905" s="1048"/>
      <c r="N905" s="1051">
        <v>43920</v>
      </c>
      <c r="O905" s="1053">
        <v>4.3864000000000001</v>
      </c>
      <c r="P905" s="1053">
        <v>0.79400000000000004</v>
      </c>
      <c r="Q905" s="1053">
        <v>5.9733000000000001</v>
      </c>
      <c r="R905" s="1054">
        <f>'B. PE'!$U$23</f>
        <v>15.978235616082999</v>
      </c>
      <c r="S905" s="1054"/>
      <c r="T905" s="1054"/>
      <c r="V905" s="1051">
        <v>43920</v>
      </c>
      <c r="W905" s="198">
        <v>4.7225999999999999</v>
      </c>
      <c r="X905" s="198">
        <v>0.36270000000000002</v>
      </c>
      <c r="Y905" s="198">
        <v>7.5419</v>
      </c>
      <c r="Z905" s="198">
        <v>0.24753</v>
      </c>
      <c r="AB905" s="1051">
        <v>43879</v>
      </c>
      <c r="AC905" s="198">
        <v>19.536899999999999</v>
      </c>
      <c r="AD905" s="1053">
        <v>1.1975</v>
      </c>
      <c r="AE905" s="198">
        <v>9.0922000000000001</v>
      </c>
      <c r="AF905" s="198">
        <v>2.5680000000000001E-2</v>
      </c>
      <c r="AH905" s="1051">
        <v>43879</v>
      </c>
      <c r="AI905" s="198">
        <v>11.964700000000001</v>
      </c>
      <c r="AJ905" s="198">
        <v>2.0356000000000001</v>
      </c>
      <c r="AK905" s="198">
        <v>6.3989000000000003</v>
      </c>
      <c r="AL905" s="198">
        <v>2.4809999999999999E-2</v>
      </c>
      <c r="AN905" s="1051">
        <v>43888</v>
      </c>
      <c r="AO905" s="198">
        <v>7.8813000000000004</v>
      </c>
      <c r="AP905" s="198">
        <v>0.76029999999999998</v>
      </c>
      <c r="AQ905" s="198">
        <v>4.2365000000000004</v>
      </c>
      <c r="AR905" s="198">
        <v>0.16531000000000001</v>
      </c>
      <c r="AT905" s="1051">
        <v>43864</v>
      </c>
      <c r="AU905" s="198">
        <v>9.6958000000000002</v>
      </c>
      <c r="AV905" s="198">
        <v>0.52549999999999997</v>
      </c>
      <c r="AX905" s="198">
        <v>0.12471</v>
      </c>
      <c r="BA905" s="1051">
        <v>43873</v>
      </c>
      <c r="BB905" s="198">
        <v>6.6780999999999997</v>
      </c>
      <c r="BC905" s="198">
        <v>1.1739999999999999</v>
      </c>
      <c r="BD905" s="198">
        <v>7.5755999999999997</v>
      </c>
      <c r="BE905" s="198">
        <v>0.25666</v>
      </c>
      <c r="BG905" s="1051">
        <v>43873</v>
      </c>
      <c r="BH905" s="198">
        <v>9.6151</v>
      </c>
      <c r="BI905" s="198">
        <v>1.6485000000000001</v>
      </c>
      <c r="BJ905" s="198">
        <v>16.996200000000002</v>
      </c>
      <c r="BT905" s="1051">
        <v>43920</v>
      </c>
      <c r="BU905" s="198">
        <v>6.8746999999999998</v>
      </c>
      <c r="BV905" s="198">
        <v>2.1703999999999999</v>
      </c>
      <c r="BW905" s="198">
        <v>5.4288999999999996</v>
      </c>
      <c r="BX905" s="198">
        <v>0.95909999999999995</v>
      </c>
      <c r="BZ905" s="1051">
        <v>43920</v>
      </c>
      <c r="CA905" s="198">
        <v>3.8748999999999998</v>
      </c>
      <c r="CB905" s="198">
        <v>0.65110000000000001</v>
      </c>
      <c r="CC905" s="198">
        <v>9.2735000000000003</v>
      </c>
      <c r="CD905" s="198">
        <v>0.29311999999999999</v>
      </c>
      <c r="CF905" s="1051">
        <v>43917</v>
      </c>
      <c r="CG905" s="198">
        <v>5.7176999999999998</v>
      </c>
      <c r="CH905" s="198">
        <v>0.90029999999999999</v>
      </c>
      <c r="CI905" s="198">
        <v>9.8407999999999998</v>
      </c>
      <c r="CL905" s="1051">
        <v>43941</v>
      </c>
      <c r="CM905" s="198">
        <v>20.634899999999998</v>
      </c>
      <c r="CN905" s="198">
        <v>2.0089000000000001</v>
      </c>
      <c r="CO905" s="198">
        <v>8.9147999999999996</v>
      </c>
    </row>
    <row r="906" spans="1:93" s="198" customFormat="1">
      <c r="A906" s="1051">
        <v>43917</v>
      </c>
      <c r="B906" s="1052">
        <f t="shared" si="142"/>
        <v>4.6120000000000001</v>
      </c>
      <c r="C906" s="1052">
        <f t="shared" si="144"/>
        <v>4.9423000000000004</v>
      </c>
      <c r="D906" s="1052">
        <f t="shared" ref="D906:D969" si="148">IFERROR(          IF(VLOOKUP(A906,$AH$5:$AI$1301,2,)=0,D905,VLOOKUP(A906,$AH$5:$AI$1301,2,)),D905)</f>
        <v>8.0107999999999997</v>
      </c>
      <c r="E906" s="1052">
        <f t="shared" ref="E906:E969" si="149">IFERROR(IF(VLOOKUP(A906,$AN$5:$AO$1301,2,)=0, E905, VLOOKUP(A906,$AN$5:$AO$1301,2,)),E905)</f>
        <v>5.3956999999999997</v>
      </c>
      <c r="F906" s="1052">
        <f t="shared" ref="F906:F969" si="150">IFERROR(IF(VLOOKUP(A906,$BG$5:$BH$1301,2,)=0,F905,VLOOKUP(A906,$BG$5:$BH$1301,2,)),F905)</f>
        <v>5.9691000000000001</v>
      </c>
      <c r="G906" s="1052">
        <f t="shared" ref="G906:G969" si="151">IFERROR(IF(VLOOKUP(A906,$BA$5:$BB$1301,2,)=0,G905,VLOOKUP(A906,$BA$5:$BB$1301,2,)),G905)</f>
        <v>4.5212000000000003</v>
      </c>
      <c r="H906" s="1047">
        <f t="shared" si="145"/>
        <v>5.3956999999999997</v>
      </c>
      <c r="I906" s="1048">
        <f t="shared" si="143"/>
        <v>-0.14524528791445035</v>
      </c>
      <c r="J906" s="1048">
        <f t="shared" si="146"/>
        <v>0.12093838824177333</v>
      </c>
      <c r="K906" s="1048">
        <f t="shared" si="147"/>
        <v>0.1</v>
      </c>
      <c r="L906" s="1048"/>
      <c r="N906" s="1051">
        <v>43917</v>
      </c>
      <c r="O906" s="1053">
        <v>4.6120000000000001</v>
      </c>
      <c r="P906" s="1053">
        <v>0.83479999999999999</v>
      </c>
      <c r="Q906" s="1053">
        <v>6.1569000000000003</v>
      </c>
      <c r="R906" s="1054">
        <f>'B. PE'!$U$23</f>
        <v>15.978235616082999</v>
      </c>
      <c r="S906" s="1054"/>
      <c r="T906" s="1054"/>
      <c r="V906" s="1051">
        <v>43917</v>
      </c>
      <c r="W906" s="198">
        <v>4.9423000000000004</v>
      </c>
      <c r="X906" s="198">
        <v>0.37959999999999999</v>
      </c>
      <c r="Y906" s="198">
        <v>7.6913999999999998</v>
      </c>
      <c r="Z906" s="198">
        <v>0.24961</v>
      </c>
      <c r="AB906" s="1051">
        <v>43878</v>
      </c>
      <c r="AC906" s="198">
        <v>19.266999999999999</v>
      </c>
      <c r="AD906" s="1053">
        <v>1.1809000000000001</v>
      </c>
      <c r="AE906" s="198">
        <v>9.0022000000000002</v>
      </c>
      <c r="AF906" s="198">
        <v>2.6339999999999999E-2</v>
      </c>
      <c r="AH906" s="1051">
        <v>43878</v>
      </c>
      <c r="AI906" s="198">
        <v>11.552099999999999</v>
      </c>
      <c r="AJ906" s="198">
        <v>1.9654</v>
      </c>
      <c r="AK906" s="198">
        <v>6.1962999999999999</v>
      </c>
      <c r="AL906" s="198">
        <v>2.5100000000000001E-2</v>
      </c>
      <c r="AN906" s="1051">
        <v>43887</v>
      </c>
      <c r="AO906" s="198">
        <v>8.2451000000000008</v>
      </c>
      <c r="AP906" s="198">
        <v>0.7954</v>
      </c>
      <c r="AQ906" s="198">
        <v>4.5143000000000004</v>
      </c>
      <c r="AR906" s="198">
        <v>0.16439999999999999</v>
      </c>
      <c r="AT906" s="1051">
        <v>43861</v>
      </c>
      <c r="AU906" s="198">
        <v>9.6958000000000002</v>
      </c>
      <c r="AV906" s="198">
        <v>0.52549999999999997</v>
      </c>
      <c r="AX906" s="198">
        <v>0.12253</v>
      </c>
      <c r="BA906" s="1051">
        <v>43872</v>
      </c>
      <c r="BB906" s="198">
        <v>6.6367000000000003</v>
      </c>
      <c r="BC906" s="198">
        <v>1.1667000000000001</v>
      </c>
      <c r="BD906" s="198">
        <v>7.5472000000000001</v>
      </c>
      <c r="BE906" s="198">
        <v>0.25849</v>
      </c>
      <c r="BG906" s="1051">
        <v>43872</v>
      </c>
      <c r="BH906" s="198">
        <v>9.6151</v>
      </c>
      <c r="BI906" s="198">
        <v>1.6485000000000001</v>
      </c>
      <c r="BJ906" s="198">
        <v>16.996200000000002</v>
      </c>
      <c r="BT906" s="1051">
        <v>43917</v>
      </c>
      <c r="BU906" s="198">
        <v>7.3136999999999999</v>
      </c>
      <c r="BV906" s="198">
        <v>2.3090999999999999</v>
      </c>
      <c r="BW906" s="198">
        <v>5.6970000000000001</v>
      </c>
      <c r="BX906" s="198">
        <v>1.0307999999999999</v>
      </c>
      <c r="BZ906" s="1051">
        <v>43917</v>
      </c>
      <c r="CA906" s="198">
        <v>4.1147</v>
      </c>
      <c r="CB906" s="198">
        <v>0.69140000000000001</v>
      </c>
      <c r="CC906" s="198">
        <v>9.423</v>
      </c>
      <c r="CD906" s="198">
        <v>0.31434000000000001</v>
      </c>
      <c r="CF906" s="1051">
        <v>43916</v>
      </c>
      <c r="CG906" s="198">
        <v>5.4168000000000003</v>
      </c>
      <c r="CH906" s="198">
        <v>0.85289999999999999</v>
      </c>
      <c r="CI906" s="198">
        <v>9.6781000000000006</v>
      </c>
      <c r="CL906" s="1051">
        <v>43938</v>
      </c>
      <c r="CM906" s="198">
        <v>20.804400000000001</v>
      </c>
      <c r="CN906" s="198">
        <v>2.0253999999999999</v>
      </c>
      <c r="CO906" s="198">
        <v>8.9886999999999997</v>
      </c>
    </row>
    <row r="907" spans="1:93" s="198" customFormat="1">
      <c r="A907" s="1051">
        <v>43916</v>
      </c>
      <c r="B907" s="1052">
        <f t="shared" si="142"/>
        <v>4.6120000000000001</v>
      </c>
      <c r="C907" s="1052">
        <f t="shared" si="144"/>
        <v>5.0887000000000002</v>
      </c>
      <c r="D907" s="1052">
        <f t="shared" si="148"/>
        <v>7.6669999999999998</v>
      </c>
      <c r="E907" s="1052">
        <f t="shared" si="149"/>
        <v>5.3654000000000002</v>
      </c>
      <c r="F907" s="1052">
        <f t="shared" si="150"/>
        <v>6.1536999999999997</v>
      </c>
      <c r="G907" s="1052">
        <f t="shared" si="151"/>
        <v>4.5212000000000003</v>
      </c>
      <c r="H907" s="1047">
        <f t="shared" si="145"/>
        <v>5.3654000000000002</v>
      </c>
      <c r="I907" s="1048">
        <f t="shared" si="143"/>
        <v>-0.14041823535989861</v>
      </c>
      <c r="J907" s="1048">
        <f t="shared" si="146"/>
        <v>0.12093838824177333</v>
      </c>
      <c r="K907" s="1048">
        <f t="shared" si="147"/>
        <v>0.1</v>
      </c>
      <c r="L907" s="1048"/>
      <c r="N907" s="1051">
        <v>43916</v>
      </c>
      <c r="O907" s="1053">
        <v>4.6120000000000001</v>
      </c>
      <c r="P907" s="1053">
        <v>0.83479999999999999</v>
      </c>
      <c r="Q907" s="1053">
        <v>6.1569000000000003</v>
      </c>
      <c r="R907" s="1054">
        <f>'B. PE'!$U$23</f>
        <v>15.978235616082999</v>
      </c>
      <c r="S907" s="1054"/>
      <c r="T907" s="1054"/>
      <c r="V907" s="1051">
        <v>43916</v>
      </c>
      <c r="W907" s="198">
        <v>5.0887000000000002</v>
      </c>
      <c r="X907" s="198">
        <v>0.39079999999999998</v>
      </c>
      <c r="Y907" s="198">
        <v>7.7911000000000001</v>
      </c>
      <c r="Z907" s="198">
        <v>0.23730999999999999</v>
      </c>
      <c r="AB907" s="1051">
        <v>43875</v>
      </c>
      <c r="AC907" s="198">
        <v>18.997199999999999</v>
      </c>
      <c r="AD907" s="1053">
        <v>1.1644000000000001</v>
      </c>
      <c r="AE907" s="198">
        <v>8.9123000000000001</v>
      </c>
      <c r="AF907" s="198">
        <v>2.6100000000000002E-2</v>
      </c>
      <c r="AH907" s="1051">
        <v>43875</v>
      </c>
      <c r="AI907" s="198">
        <v>11.6896</v>
      </c>
      <c r="AJ907" s="198">
        <v>1.9887999999999999</v>
      </c>
      <c r="AK907" s="198">
        <v>6.2637999999999998</v>
      </c>
      <c r="AL907" s="198">
        <v>2.53E-2</v>
      </c>
      <c r="AN907" s="1051">
        <v>43886</v>
      </c>
      <c r="AO907" s="198">
        <v>8.4876000000000005</v>
      </c>
      <c r="AP907" s="198">
        <v>0.81879999999999997</v>
      </c>
      <c r="AQ907" s="198">
        <v>4.6993999999999998</v>
      </c>
      <c r="AR907" s="198">
        <v>0.17422000000000001</v>
      </c>
      <c r="AT907" s="1051">
        <v>43860</v>
      </c>
      <c r="AU907" s="198">
        <v>9.6958000000000002</v>
      </c>
      <c r="AV907" s="198">
        <v>0.52549999999999997</v>
      </c>
      <c r="AX907" s="198">
        <v>0.11991</v>
      </c>
      <c r="BA907" s="1051">
        <v>43868</v>
      </c>
      <c r="BB907" s="198">
        <v>6.6780999999999997</v>
      </c>
      <c r="BC907" s="198">
        <v>1.1739999999999999</v>
      </c>
      <c r="BD907" s="198">
        <v>7.5755999999999997</v>
      </c>
      <c r="BE907" s="198">
        <v>0.25651000000000002</v>
      </c>
      <c r="BG907" s="1051">
        <v>43868</v>
      </c>
      <c r="BH907" s="198">
        <v>9.7689000000000004</v>
      </c>
      <c r="BI907" s="198">
        <v>1.6748000000000001</v>
      </c>
      <c r="BJ907" s="198">
        <v>17.134799999999998</v>
      </c>
      <c r="BT907" s="1051">
        <v>43916</v>
      </c>
      <c r="BU907" s="198">
        <v>7.8567999999999998</v>
      </c>
      <c r="BV907" s="198">
        <v>2.4805000000000001</v>
      </c>
      <c r="BW907" s="198">
        <v>6.0285000000000002</v>
      </c>
      <c r="BX907" s="198">
        <v>0.97219999999999995</v>
      </c>
      <c r="BZ907" s="1051">
        <v>43916</v>
      </c>
      <c r="CA907" s="198">
        <v>4.4099000000000004</v>
      </c>
      <c r="CB907" s="198">
        <v>0.74099999999999999</v>
      </c>
      <c r="CC907" s="198">
        <v>9.6068999999999996</v>
      </c>
      <c r="CD907" s="198">
        <v>0.31212000000000001</v>
      </c>
      <c r="CF907" s="1051">
        <v>43915</v>
      </c>
      <c r="CG907" s="198">
        <v>6.0186999999999999</v>
      </c>
      <c r="CH907" s="198">
        <v>0.94769999999999999</v>
      </c>
      <c r="CI907" s="198">
        <v>10.003399999999999</v>
      </c>
      <c r="CL907" s="1051">
        <v>43937</v>
      </c>
      <c r="CM907" s="198">
        <v>20.1266</v>
      </c>
      <c r="CN907" s="198">
        <v>1.9594</v>
      </c>
      <c r="CO907" s="198">
        <v>8.6933000000000007</v>
      </c>
    </row>
    <row r="908" spans="1:93" s="198" customFormat="1">
      <c r="A908" s="1051">
        <v>43915</v>
      </c>
      <c r="B908" s="1052">
        <f t="shared" si="142"/>
        <v>4.7122999999999999</v>
      </c>
      <c r="C908" s="1052">
        <f t="shared" si="144"/>
        <v>5.1253000000000002</v>
      </c>
      <c r="D908" s="1052">
        <f t="shared" si="148"/>
        <v>7.6669999999999998</v>
      </c>
      <c r="E908" s="1052">
        <f t="shared" si="149"/>
        <v>5.3047000000000004</v>
      </c>
      <c r="F908" s="1052">
        <f t="shared" si="150"/>
        <v>5.8151999999999999</v>
      </c>
      <c r="G908" s="1052">
        <f t="shared" si="151"/>
        <v>4.3967999999999998</v>
      </c>
      <c r="H908" s="1047">
        <f t="shared" si="145"/>
        <v>5.3047000000000004</v>
      </c>
      <c r="I908" s="1048">
        <f t="shared" si="143"/>
        <v>-0.11167455275510407</v>
      </c>
      <c r="J908" s="1048">
        <f t="shared" si="146"/>
        <v>0.12093838824177333</v>
      </c>
      <c r="K908" s="1048">
        <f t="shared" si="147"/>
        <v>0.1</v>
      </c>
      <c r="L908" s="1048"/>
      <c r="N908" s="1051">
        <v>43915</v>
      </c>
      <c r="O908" s="1053">
        <v>4.7122999999999999</v>
      </c>
      <c r="P908" s="1053">
        <v>0.85299999999999998</v>
      </c>
      <c r="Q908" s="1053">
        <v>6.2385000000000002</v>
      </c>
      <c r="R908" s="1054">
        <f>'B. PE'!$U$23</f>
        <v>15.978235616082999</v>
      </c>
      <c r="S908" s="1054"/>
      <c r="T908" s="1054"/>
      <c r="V908" s="1051">
        <v>43915</v>
      </c>
      <c r="W908" s="198">
        <v>5.1253000000000002</v>
      </c>
      <c r="X908" s="198">
        <v>0.39360000000000001</v>
      </c>
      <c r="Y908" s="198">
        <v>7.8159999999999998</v>
      </c>
      <c r="Z908" s="198">
        <v>0.23913999999999999</v>
      </c>
      <c r="AB908" s="1051">
        <v>43874</v>
      </c>
      <c r="AC908" s="198">
        <v>19.482900000000001</v>
      </c>
      <c r="AD908" s="1053">
        <v>1.1940999999999999</v>
      </c>
      <c r="AE908" s="198">
        <v>9.0741999999999994</v>
      </c>
      <c r="AF908" s="198">
        <v>2.5510000000000001E-2</v>
      </c>
      <c r="AH908" s="1051">
        <v>43874</v>
      </c>
      <c r="AI908" s="198">
        <v>11.827199999999999</v>
      </c>
      <c r="AJ908" s="198">
        <v>2.0122</v>
      </c>
      <c r="AK908" s="198">
        <v>6.3314000000000004</v>
      </c>
      <c r="AL908" s="198">
        <v>2.529E-2</v>
      </c>
      <c r="AN908" s="1051">
        <v>43885</v>
      </c>
      <c r="AO908" s="198">
        <v>8.4268999999999998</v>
      </c>
      <c r="AP908" s="198">
        <v>0.81289999999999996</v>
      </c>
      <c r="AQ908" s="198">
        <v>4.6531000000000002</v>
      </c>
      <c r="AR908" s="198">
        <v>0.16611999999999999</v>
      </c>
      <c r="AT908" s="1051">
        <v>43859</v>
      </c>
      <c r="AU908" s="198">
        <v>9.5056999999999992</v>
      </c>
      <c r="AV908" s="198">
        <v>0.51519999999999999</v>
      </c>
      <c r="AX908" s="198">
        <v>0.13038</v>
      </c>
      <c r="BA908" s="1051">
        <v>43867</v>
      </c>
      <c r="BB908" s="198">
        <v>6.6780999999999997</v>
      </c>
      <c r="BC908" s="198">
        <v>1.1739999999999999</v>
      </c>
      <c r="BD908" s="198">
        <v>7.5755999999999997</v>
      </c>
      <c r="BE908" s="198">
        <v>0.25661</v>
      </c>
      <c r="BG908" s="1051">
        <v>43867</v>
      </c>
      <c r="BH908" s="198">
        <v>10.153499999999999</v>
      </c>
      <c r="BI908" s="198">
        <v>1.7407999999999999</v>
      </c>
      <c r="BJ908" s="198">
        <v>17.481100000000001</v>
      </c>
      <c r="BT908" s="1051">
        <v>43915</v>
      </c>
      <c r="BU908" s="198">
        <v>8.4344999999999999</v>
      </c>
      <c r="BV908" s="198">
        <v>2.6629</v>
      </c>
      <c r="BW908" s="198">
        <v>6.3811999999999998</v>
      </c>
      <c r="BX908" s="198">
        <v>1.0164</v>
      </c>
      <c r="BZ908" s="1051">
        <v>43915</v>
      </c>
      <c r="CA908" s="198">
        <v>4.7236000000000002</v>
      </c>
      <c r="CB908" s="198">
        <v>0.79369999999999996</v>
      </c>
      <c r="CC908" s="198">
        <v>9.8023000000000007</v>
      </c>
      <c r="CD908" s="198">
        <v>0.32618999999999998</v>
      </c>
      <c r="CF908" s="1051">
        <v>43914</v>
      </c>
      <c r="CG908" s="198">
        <v>5.9584999999999999</v>
      </c>
      <c r="CH908" s="198">
        <v>0.93820000000000003</v>
      </c>
      <c r="CI908" s="198">
        <v>9.9709000000000003</v>
      </c>
      <c r="CL908" s="1051">
        <v>43936</v>
      </c>
      <c r="CM908" s="198">
        <v>19.75</v>
      </c>
      <c r="CN908" s="198">
        <v>1.9227000000000001</v>
      </c>
      <c r="CO908" s="198">
        <v>8.5291999999999994</v>
      </c>
    </row>
    <row r="909" spans="1:93" s="198" customFormat="1">
      <c r="A909" s="1051">
        <v>43914</v>
      </c>
      <c r="B909" s="1052">
        <f t="shared" si="142"/>
        <v>4.4115000000000002</v>
      </c>
      <c r="C909" s="1052">
        <f t="shared" si="144"/>
        <v>4.8691000000000004</v>
      </c>
      <c r="D909" s="1052">
        <f t="shared" si="148"/>
        <v>6.3605</v>
      </c>
      <c r="E909" s="1052">
        <f t="shared" si="149"/>
        <v>5.1228999999999996</v>
      </c>
      <c r="F909" s="1052">
        <f t="shared" si="150"/>
        <v>5.7843999999999998</v>
      </c>
      <c r="G909" s="1052">
        <f t="shared" si="151"/>
        <v>4.3552999999999997</v>
      </c>
      <c r="H909" s="1047">
        <f t="shared" si="145"/>
        <v>5.1228999999999996</v>
      </c>
      <c r="I909" s="1048">
        <f t="shared" si="143"/>
        <v>-0.13886665755724281</v>
      </c>
      <c r="J909" s="1048">
        <f t="shared" si="146"/>
        <v>0.12093838824177333</v>
      </c>
      <c r="K909" s="1048">
        <f t="shared" si="147"/>
        <v>0.1</v>
      </c>
      <c r="L909" s="1048"/>
      <c r="N909" s="1051">
        <v>43914</v>
      </c>
      <c r="O909" s="1053">
        <v>4.4115000000000002</v>
      </c>
      <c r="P909" s="1053">
        <v>0.79849999999999999</v>
      </c>
      <c r="Q909" s="1053">
        <v>5.9936999999999996</v>
      </c>
      <c r="R909" s="1054">
        <f>'B. PE'!$U$23</f>
        <v>15.978235616082999</v>
      </c>
      <c r="S909" s="1054"/>
      <c r="T909" s="1054"/>
      <c r="V909" s="1051">
        <v>43914</v>
      </c>
      <c r="W909" s="198">
        <v>4.8691000000000004</v>
      </c>
      <c r="X909" s="198">
        <v>0.374</v>
      </c>
      <c r="Y909" s="198">
        <v>7.6416000000000004</v>
      </c>
      <c r="Z909" s="198">
        <v>0.25797999999999999</v>
      </c>
      <c r="AB909" s="1051">
        <v>43873</v>
      </c>
      <c r="AC909" s="198">
        <v>19.266999999999999</v>
      </c>
      <c r="AD909" s="1053">
        <v>1.1809000000000001</v>
      </c>
      <c r="AE909" s="198">
        <v>9.0022000000000002</v>
      </c>
      <c r="AF909" s="198">
        <v>2.5440000000000001E-2</v>
      </c>
      <c r="AH909" s="1051">
        <v>43873</v>
      </c>
      <c r="AI909" s="198">
        <v>11.895899999999999</v>
      </c>
      <c r="AJ909" s="198">
        <v>2.0238999999999998</v>
      </c>
      <c r="AK909" s="198">
        <v>6.3651</v>
      </c>
      <c r="AL909" s="198">
        <v>2.529E-2</v>
      </c>
      <c r="AN909" s="1051">
        <v>43882</v>
      </c>
      <c r="AO909" s="198">
        <v>8.8513000000000002</v>
      </c>
      <c r="AP909" s="198">
        <v>0.85389999999999999</v>
      </c>
      <c r="AQ909" s="198">
        <v>4.9771000000000001</v>
      </c>
      <c r="AR909" s="198">
        <v>0.16689000000000001</v>
      </c>
      <c r="AT909" s="1051">
        <v>43858</v>
      </c>
      <c r="AU909" s="198">
        <v>9.3155999999999999</v>
      </c>
      <c r="AV909" s="198">
        <v>0.50490000000000002</v>
      </c>
      <c r="AX909" s="198">
        <v>0.12916</v>
      </c>
      <c r="BA909" s="1051">
        <v>43866</v>
      </c>
      <c r="BB909" s="198">
        <v>6.5952000000000002</v>
      </c>
      <c r="BC909" s="198">
        <v>1.1594</v>
      </c>
      <c r="BD909" s="198">
        <v>7.5189000000000004</v>
      </c>
      <c r="BE909" s="198">
        <v>0.25269000000000003</v>
      </c>
      <c r="BG909" s="1051">
        <v>43866</v>
      </c>
      <c r="BH909" s="198">
        <v>10.153499999999999</v>
      </c>
      <c r="BI909" s="198">
        <v>1.7407999999999999</v>
      </c>
      <c r="BJ909" s="198">
        <v>17.481100000000001</v>
      </c>
      <c r="BT909" s="1051">
        <v>43914</v>
      </c>
      <c r="BU909" s="198">
        <v>7.9492000000000003</v>
      </c>
      <c r="BV909" s="198">
        <v>2.5097</v>
      </c>
      <c r="BW909" s="198">
        <v>6.0849000000000002</v>
      </c>
      <c r="BX909" s="198">
        <v>1.0969</v>
      </c>
      <c r="BZ909" s="1051">
        <v>43914</v>
      </c>
      <c r="CA909" s="198">
        <v>4.6867000000000001</v>
      </c>
      <c r="CB909" s="198">
        <v>0.78749999999999998</v>
      </c>
      <c r="CC909" s="198">
        <v>9.7792999999999992</v>
      </c>
      <c r="CD909" s="198">
        <v>0.35088999999999998</v>
      </c>
      <c r="CF909" s="1051">
        <v>43913</v>
      </c>
      <c r="CG909" s="198">
        <v>5.9584999999999999</v>
      </c>
      <c r="CH909" s="198">
        <v>0.93820000000000003</v>
      </c>
      <c r="CI909" s="198">
        <v>9.9709000000000003</v>
      </c>
      <c r="CL909" s="1051">
        <v>43935</v>
      </c>
      <c r="CM909" s="198">
        <v>20.352499999999999</v>
      </c>
      <c r="CN909" s="198">
        <v>1.9814000000000001</v>
      </c>
      <c r="CO909" s="198">
        <v>8.7918000000000003</v>
      </c>
    </row>
    <row r="910" spans="1:93" s="198" customFormat="1">
      <c r="A910" s="1051">
        <v>43913</v>
      </c>
      <c r="B910" s="1052">
        <f t="shared" si="142"/>
        <v>4.5494000000000003</v>
      </c>
      <c r="C910" s="1052">
        <f t="shared" si="144"/>
        <v>4.8983999999999996</v>
      </c>
      <c r="D910" s="1052">
        <f t="shared" si="148"/>
        <v>6.2918000000000003</v>
      </c>
      <c r="E910" s="1052">
        <f t="shared" si="149"/>
        <v>4.7591000000000001</v>
      </c>
      <c r="F910" s="1052">
        <f t="shared" si="150"/>
        <v>5.9997999999999996</v>
      </c>
      <c r="G910" s="1052">
        <f t="shared" si="151"/>
        <v>4.3552999999999997</v>
      </c>
      <c r="H910" s="1047">
        <f t="shared" si="145"/>
        <v>4.8983999999999996</v>
      </c>
      <c r="I910" s="1048">
        <f t="shared" si="143"/>
        <v>-7.1247754368773286E-2</v>
      </c>
      <c r="J910" s="1048">
        <f t="shared" si="146"/>
        <v>0.12093838824177333</v>
      </c>
      <c r="K910" s="1048">
        <f t="shared" si="147"/>
        <v>0.1</v>
      </c>
      <c r="L910" s="1048"/>
      <c r="N910" s="1051">
        <v>43913</v>
      </c>
      <c r="O910" s="1053">
        <v>4.5494000000000003</v>
      </c>
      <c r="P910" s="1053">
        <v>0.82350000000000001</v>
      </c>
      <c r="Q910" s="1053">
        <v>6.1059000000000001</v>
      </c>
      <c r="R910" s="1054">
        <f>'B. PE'!$U$23</f>
        <v>15.978235616082999</v>
      </c>
      <c r="S910" s="1054"/>
      <c r="T910" s="1054"/>
      <c r="V910" s="1051">
        <v>43913</v>
      </c>
      <c r="W910" s="198">
        <v>4.8983999999999996</v>
      </c>
      <c r="X910" s="198">
        <v>0.37619999999999998</v>
      </c>
      <c r="Y910" s="198">
        <v>7.6615000000000002</v>
      </c>
      <c r="Z910" s="198">
        <v>0.25757999999999998</v>
      </c>
      <c r="AB910" s="1051">
        <v>43872</v>
      </c>
      <c r="AC910" s="198">
        <v>18.8353</v>
      </c>
      <c r="AD910" s="1053">
        <v>1.1545000000000001</v>
      </c>
      <c r="AE910" s="198">
        <v>8.8583999999999996</v>
      </c>
      <c r="AF910" s="198">
        <v>2.5309999999999999E-2</v>
      </c>
      <c r="AH910" s="1051">
        <v>43872</v>
      </c>
      <c r="AI910" s="198">
        <v>11.895899999999999</v>
      </c>
      <c r="AJ910" s="198">
        <v>2.0238999999999998</v>
      </c>
      <c r="AK910" s="198">
        <v>6.3651</v>
      </c>
      <c r="AL910" s="198">
        <v>2.5389999999999999E-2</v>
      </c>
      <c r="AN910" s="1051">
        <v>43881</v>
      </c>
      <c r="AO910" s="198">
        <v>8.4268999999999998</v>
      </c>
      <c r="AP910" s="198">
        <v>0.81289999999999996</v>
      </c>
      <c r="AQ910" s="198">
        <v>4.6531000000000002</v>
      </c>
      <c r="AR910" s="198">
        <v>0.16366</v>
      </c>
      <c r="AT910" s="1051">
        <v>43854</v>
      </c>
      <c r="AU910" s="198">
        <v>10.076000000000001</v>
      </c>
      <c r="AV910" s="198">
        <v>0.54610000000000003</v>
      </c>
      <c r="AX910" s="198">
        <v>0.13142000000000001</v>
      </c>
      <c r="BA910" s="1051">
        <v>43865</v>
      </c>
      <c r="BB910" s="198">
        <v>6.5952000000000002</v>
      </c>
      <c r="BC910" s="198">
        <v>1.1594</v>
      </c>
      <c r="BD910" s="198">
        <v>7.5189000000000004</v>
      </c>
      <c r="BE910" s="198">
        <v>0.25629999999999997</v>
      </c>
      <c r="BG910" s="1051">
        <v>43865</v>
      </c>
      <c r="BH910" s="198">
        <v>10.153499999999999</v>
      </c>
      <c r="BI910" s="198">
        <v>1.7407999999999999</v>
      </c>
      <c r="BJ910" s="198">
        <v>17.481100000000001</v>
      </c>
      <c r="BT910" s="1051">
        <v>43913</v>
      </c>
      <c r="BU910" s="198">
        <v>8.2957999999999998</v>
      </c>
      <c r="BV910" s="198">
        <v>2.6191</v>
      </c>
      <c r="BW910" s="198">
        <v>6.3009000000000004</v>
      </c>
      <c r="BX910" s="198">
        <v>1.0785</v>
      </c>
      <c r="BZ910" s="1051">
        <v>43913</v>
      </c>
      <c r="CA910" s="198">
        <v>4.8897000000000004</v>
      </c>
      <c r="CB910" s="198">
        <v>0.8216</v>
      </c>
      <c r="CC910" s="198">
        <v>9.9056999999999995</v>
      </c>
      <c r="CD910" s="198">
        <v>0.36098999999999998</v>
      </c>
      <c r="CF910" s="1051">
        <v>43910</v>
      </c>
      <c r="CG910" s="198">
        <v>6.5602999999999998</v>
      </c>
      <c r="CH910" s="198">
        <v>1.0329999999999999</v>
      </c>
      <c r="CI910" s="198">
        <v>10.296099999999999</v>
      </c>
      <c r="CL910" s="1051">
        <v>43930</v>
      </c>
      <c r="CM910" s="198">
        <v>20.088899999999999</v>
      </c>
      <c r="CN910" s="198">
        <v>1.9557</v>
      </c>
      <c r="CO910" s="198">
        <v>8.6768999999999998</v>
      </c>
    </row>
    <row r="911" spans="1:93" s="198" customFormat="1">
      <c r="A911" s="1051">
        <v>43910</v>
      </c>
      <c r="B911" s="1052">
        <f t="shared" si="142"/>
        <v>4.8876999999999997</v>
      </c>
      <c r="C911" s="1052">
        <f t="shared" si="144"/>
        <v>5.2644000000000002</v>
      </c>
      <c r="D911" s="1052">
        <f t="shared" si="148"/>
        <v>6.7386999999999997</v>
      </c>
      <c r="E911" s="1052">
        <f t="shared" si="149"/>
        <v>5.0621999999999998</v>
      </c>
      <c r="F911" s="1052">
        <f t="shared" si="150"/>
        <v>6.5843999999999996</v>
      </c>
      <c r="G911" s="1052">
        <f t="shared" si="151"/>
        <v>4.7701000000000002</v>
      </c>
      <c r="H911" s="1047">
        <f t="shared" si="145"/>
        <v>5.2644000000000002</v>
      </c>
      <c r="I911" s="1048">
        <f t="shared" si="143"/>
        <v>-7.1556112757389378E-2</v>
      </c>
      <c r="J911" s="1048">
        <f t="shared" si="146"/>
        <v>0.12093838824177333</v>
      </c>
      <c r="K911" s="1048">
        <f t="shared" si="147"/>
        <v>0.1</v>
      </c>
      <c r="L911" s="1048"/>
      <c r="N911" s="1051">
        <v>43910</v>
      </c>
      <c r="O911" s="1053">
        <v>4.8876999999999997</v>
      </c>
      <c r="P911" s="1053">
        <v>0.88470000000000004</v>
      </c>
      <c r="Q911" s="1053">
        <v>6.3811999999999998</v>
      </c>
      <c r="R911" s="1054">
        <f>'B. PE'!$U$23</f>
        <v>15.978235616082999</v>
      </c>
      <c r="S911" s="1054"/>
      <c r="T911" s="1054"/>
      <c r="V911" s="1051">
        <v>43910</v>
      </c>
      <c r="W911" s="198">
        <v>5.2644000000000002</v>
      </c>
      <c r="X911" s="198">
        <v>0.40429999999999999</v>
      </c>
      <c r="Y911" s="198">
        <v>7.9105999999999996</v>
      </c>
      <c r="Z911" s="198">
        <v>0.26405000000000001</v>
      </c>
      <c r="AB911" s="1051">
        <v>43871</v>
      </c>
      <c r="AC911" s="198">
        <v>18.8353</v>
      </c>
      <c r="AD911" s="1053">
        <v>1.1545000000000001</v>
      </c>
      <c r="AE911" s="198">
        <v>8.8583999999999996</v>
      </c>
      <c r="AF911" s="198">
        <v>2.4750000000000001E-2</v>
      </c>
      <c r="AH911" s="1051">
        <v>43871</v>
      </c>
      <c r="AI911" s="198">
        <v>11.930300000000001</v>
      </c>
      <c r="AJ911" s="198">
        <v>2.0297000000000001</v>
      </c>
      <c r="AK911" s="198">
        <v>6.3819999999999997</v>
      </c>
      <c r="AL911" s="198">
        <v>2.504E-2</v>
      </c>
      <c r="AN911" s="1051">
        <v>43880</v>
      </c>
      <c r="AO911" s="198">
        <v>8.4268999999999998</v>
      </c>
      <c r="AP911" s="198">
        <v>0.81289999999999996</v>
      </c>
      <c r="AQ911" s="198">
        <v>4.6531000000000002</v>
      </c>
      <c r="AR911" s="198">
        <v>0.16767000000000001</v>
      </c>
      <c r="AT911" s="1051">
        <v>43852</v>
      </c>
      <c r="AU911" s="198">
        <v>9.9809999999999999</v>
      </c>
      <c r="AV911" s="198">
        <v>0.54100000000000004</v>
      </c>
      <c r="AX911" s="198">
        <v>0.13178999999999999</v>
      </c>
      <c r="BA911" s="1051">
        <v>43864</v>
      </c>
      <c r="BB911" s="198">
        <v>6.5122</v>
      </c>
      <c r="BC911" s="198">
        <v>1.1448</v>
      </c>
      <c r="BD911" s="198">
        <v>7.4621000000000004</v>
      </c>
      <c r="BE911" s="198">
        <v>0.25647999999999999</v>
      </c>
      <c r="BG911" s="1051">
        <v>43864</v>
      </c>
      <c r="BH911" s="198">
        <v>10.076599999999999</v>
      </c>
      <c r="BI911" s="198">
        <v>1.7276</v>
      </c>
      <c r="BJ911" s="198">
        <v>17.411899999999999</v>
      </c>
      <c r="BT911" s="1051">
        <v>43910</v>
      </c>
      <c r="BU911" s="198">
        <v>8.9198000000000004</v>
      </c>
      <c r="BV911" s="198">
        <v>2.8161</v>
      </c>
      <c r="BW911" s="198">
        <v>6.6821999999999999</v>
      </c>
      <c r="BX911" s="198">
        <v>1.1287</v>
      </c>
      <c r="BZ911" s="1051">
        <v>43910</v>
      </c>
      <c r="CA911" s="198">
        <v>5.2403000000000004</v>
      </c>
      <c r="CB911" s="198">
        <v>0.88049999999999995</v>
      </c>
      <c r="CC911" s="198">
        <v>10.1241</v>
      </c>
      <c r="CD911" s="198">
        <v>0.38363000000000003</v>
      </c>
      <c r="CF911" s="1051">
        <v>43909</v>
      </c>
      <c r="CG911" s="198">
        <v>6.6204999999999998</v>
      </c>
      <c r="CH911" s="198">
        <v>1.0425</v>
      </c>
      <c r="CI911" s="198">
        <v>10.3287</v>
      </c>
      <c r="CL911" s="1051">
        <v>43929</v>
      </c>
      <c r="CM911" s="198">
        <v>20.145399999999999</v>
      </c>
      <c r="CN911" s="198">
        <v>1.9612000000000001</v>
      </c>
      <c r="CO911" s="198">
        <v>8.7014999999999993</v>
      </c>
    </row>
    <row r="912" spans="1:93" s="198" customFormat="1">
      <c r="A912" s="1051">
        <v>43909</v>
      </c>
      <c r="B912" s="1052">
        <f t="shared" si="142"/>
        <v>4.8627000000000002</v>
      </c>
      <c r="C912" s="1052">
        <f t="shared" si="144"/>
        <v>5.2351999999999999</v>
      </c>
      <c r="D912" s="1052">
        <f t="shared" si="148"/>
        <v>6.3948999999999998</v>
      </c>
      <c r="E912" s="1052">
        <f t="shared" si="149"/>
        <v>4.4560000000000004</v>
      </c>
      <c r="F912" s="1052">
        <f t="shared" si="150"/>
        <v>6.0613999999999999</v>
      </c>
      <c r="G912" s="1052">
        <f t="shared" si="151"/>
        <v>4.4797000000000002</v>
      </c>
      <c r="H912" s="1047">
        <f t="shared" si="145"/>
        <v>5.2351999999999999</v>
      </c>
      <c r="I912" s="1048">
        <f t="shared" si="143"/>
        <v>-7.1152964547677167E-2</v>
      </c>
      <c r="J912" s="1048">
        <f t="shared" si="146"/>
        <v>0.12093838824177333</v>
      </c>
      <c r="K912" s="1048">
        <f t="shared" si="147"/>
        <v>0.1</v>
      </c>
      <c r="L912" s="1048"/>
      <c r="N912" s="1051">
        <v>43909</v>
      </c>
      <c r="O912" s="1053">
        <v>4.8627000000000002</v>
      </c>
      <c r="P912" s="1053">
        <v>0.88019999999999998</v>
      </c>
      <c r="Q912" s="1053">
        <v>6.3608000000000002</v>
      </c>
      <c r="R912" s="1054">
        <f>'B. PE'!$U$23</f>
        <v>15.978235616082999</v>
      </c>
      <c r="S912" s="1054"/>
      <c r="T912" s="1054"/>
      <c r="V912" s="1051">
        <v>43909</v>
      </c>
      <c r="W912" s="198">
        <v>5.2351999999999999</v>
      </c>
      <c r="X912" s="198">
        <v>0.40210000000000001</v>
      </c>
      <c r="Y912" s="198">
        <v>7.8906999999999998</v>
      </c>
      <c r="Z912" s="198">
        <v>0.25857999999999998</v>
      </c>
      <c r="AB912" s="1051">
        <v>43868</v>
      </c>
      <c r="AC912" s="198">
        <v>18.781300000000002</v>
      </c>
      <c r="AD912" s="1053">
        <v>1.1511</v>
      </c>
      <c r="AE912" s="198">
        <v>8.8404000000000007</v>
      </c>
      <c r="AF912" s="198">
        <v>2.307E-2</v>
      </c>
      <c r="AH912" s="1051">
        <v>43868</v>
      </c>
      <c r="AI912" s="198">
        <v>11.9991</v>
      </c>
      <c r="AJ912" s="198">
        <v>2.0413999999999999</v>
      </c>
      <c r="AK912" s="198">
        <v>6.4157999999999999</v>
      </c>
      <c r="AL912" s="198">
        <v>2.5049999999999999E-2</v>
      </c>
      <c r="AN912" s="1051">
        <v>43879</v>
      </c>
      <c r="AO912" s="198">
        <v>8.2451000000000008</v>
      </c>
      <c r="AP912" s="198">
        <v>0.7954</v>
      </c>
      <c r="AQ912" s="198">
        <v>4.5143000000000004</v>
      </c>
      <c r="AR912" s="198">
        <v>0.16780999999999999</v>
      </c>
      <c r="AT912" s="1051">
        <v>43851</v>
      </c>
      <c r="AU912" s="198">
        <v>10.171099999999999</v>
      </c>
      <c r="AV912" s="198">
        <v>0.55130000000000001</v>
      </c>
      <c r="AX912" s="198">
        <v>0.127</v>
      </c>
      <c r="BA912" s="1051">
        <v>43861</v>
      </c>
      <c r="BB912" s="198">
        <v>6.6367000000000003</v>
      </c>
      <c r="BC912" s="198">
        <v>1.1667000000000001</v>
      </c>
      <c r="BD912" s="198">
        <v>7.5472000000000001</v>
      </c>
      <c r="BE912" s="198">
        <v>0.26332</v>
      </c>
      <c r="BG912" s="1051">
        <v>43861</v>
      </c>
      <c r="BH912" s="198">
        <v>10.153499999999999</v>
      </c>
      <c r="BI912" s="198">
        <v>1.7407999999999999</v>
      </c>
      <c r="BJ912" s="198">
        <v>17.481100000000001</v>
      </c>
      <c r="BT912" s="1051">
        <v>43909</v>
      </c>
      <c r="BU912" s="198">
        <v>8.7348999999999997</v>
      </c>
      <c r="BV912" s="198">
        <v>2.7576999999999998</v>
      </c>
      <c r="BW912" s="198">
        <v>6.5692000000000004</v>
      </c>
      <c r="BX912" s="198">
        <v>1.1086</v>
      </c>
      <c r="BZ912" s="1051">
        <v>43909</v>
      </c>
      <c r="CA912" s="198">
        <v>5.3693999999999997</v>
      </c>
      <c r="CB912" s="198">
        <v>0.9022</v>
      </c>
      <c r="CC912" s="198">
        <v>10.204599999999999</v>
      </c>
      <c r="CD912" s="198">
        <v>0.36913000000000001</v>
      </c>
      <c r="CF912" s="1051">
        <v>43908</v>
      </c>
      <c r="CG912" s="198">
        <v>6.6204999999999998</v>
      </c>
      <c r="CH912" s="198">
        <v>1.0425</v>
      </c>
      <c r="CI912" s="198">
        <v>10.3287</v>
      </c>
      <c r="CL912" s="1051">
        <v>43928</v>
      </c>
      <c r="CM912" s="198">
        <v>20.3337</v>
      </c>
      <c r="CN912" s="198">
        <v>1.9796</v>
      </c>
      <c r="CO912" s="198">
        <v>8.7835000000000001</v>
      </c>
    </row>
    <row r="913" spans="1:93" s="198" customFormat="1">
      <c r="A913" s="1051">
        <v>43908</v>
      </c>
      <c r="B913" s="1052">
        <f t="shared" si="142"/>
        <v>5.1635</v>
      </c>
      <c r="C913" s="1052">
        <f t="shared" si="144"/>
        <v>5.3449999999999998</v>
      </c>
      <c r="D913" s="1052">
        <f t="shared" si="148"/>
        <v>6.8762999999999996</v>
      </c>
      <c r="E913" s="1052">
        <f t="shared" si="149"/>
        <v>5.0319000000000003</v>
      </c>
      <c r="F913" s="1052">
        <f t="shared" si="150"/>
        <v>6.1228999999999996</v>
      </c>
      <c r="G913" s="1052">
        <f t="shared" si="151"/>
        <v>4.5627000000000004</v>
      </c>
      <c r="H913" s="1047">
        <f t="shared" si="145"/>
        <v>5.3449999999999998</v>
      </c>
      <c r="I913" s="1048">
        <f t="shared" si="143"/>
        <v>-3.3956969130027992E-2</v>
      </c>
      <c r="J913" s="1048">
        <f t="shared" si="146"/>
        <v>0.12093838824177333</v>
      </c>
      <c r="K913" s="1048">
        <f t="shared" si="147"/>
        <v>0.1</v>
      </c>
      <c r="L913" s="1048"/>
      <c r="N913" s="1051">
        <v>43908</v>
      </c>
      <c r="O913" s="1053">
        <v>5.1635</v>
      </c>
      <c r="P913" s="1053">
        <v>0.93459999999999999</v>
      </c>
      <c r="Q913" s="1053">
        <v>6.6055999999999999</v>
      </c>
      <c r="R913" s="1054">
        <f>'B. PE'!$U$23</f>
        <v>15.978235616082999</v>
      </c>
      <c r="S913" s="1054"/>
      <c r="T913" s="1054"/>
      <c r="V913" s="1051">
        <v>43908</v>
      </c>
      <c r="W913" s="198">
        <v>5.3449999999999998</v>
      </c>
      <c r="X913" s="198">
        <v>0.41049999999999998</v>
      </c>
      <c r="Y913" s="198">
        <v>7.9653999999999998</v>
      </c>
      <c r="Z913" s="198">
        <v>0.25729000000000002</v>
      </c>
      <c r="AB913" s="1051">
        <v>43867</v>
      </c>
      <c r="AC913" s="198">
        <v>18.241599999999998</v>
      </c>
      <c r="AD913" s="1053">
        <v>1.1181000000000001</v>
      </c>
      <c r="AE913" s="198">
        <v>8.6606000000000005</v>
      </c>
      <c r="AF913" s="198">
        <v>2.316E-2</v>
      </c>
      <c r="AH913" s="1051">
        <v>43867</v>
      </c>
      <c r="AI913" s="198">
        <v>11.7584</v>
      </c>
      <c r="AJ913" s="198">
        <v>2.0005000000000002</v>
      </c>
      <c r="AK913" s="198">
        <v>6.2976000000000001</v>
      </c>
      <c r="AL913" s="198">
        <v>2.4920000000000001E-2</v>
      </c>
      <c r="AN913" s="1051">
        <v>43878</v>
      </c>
      <c r="AO913" s="198">
        <v>8.4268999999999998</v>
      </c>
      <c r="AP913" s="198">
        <v>0.81289999999999996</v>
      </c>
      <c r="AQ913" s="198">
        <v>4.6531000000000002</v>
      </c>
      <c r="AR913" s="198">
        <v>0.16905999999999999</v>
      </c>
      <c r="AT913" s="1051">
        <v>43850</v>
      </c>
      <c r="AU913" s="198">
        <v>10.171099999999999</v>
      </c>
      <c r="AV913" s="198">
        <v>0.55130000000000001</v>
      </c>
      <c r="AX913" s="198">
        <v>0.13263</v>
      </c>
      <c r="BA913" s="1051">
        <v>43860</v>
      </c>
      <c r="BB913" s="198">
        <v>6.6367000000000003</v>
      </c>
      <c r="BC913" s="198">
        <v>1.1667000000000001</v>
      </c>
      <c r="BD913" s="198">
        <v>7.5472000000000001</v>
      </c>
      <c r="BE913" s="198">
        <v>0.26113999999999998</v>
      </c>
      <c r="BG913" s="1051">
        <v>43860</v>
      </c>
      <c r="BH913" s="198">
        <v>10.153499999999999</v>
      </c>
      <c r="BI913" s="198">
        <v>1.7407999999999999</v>
      </c>
      <c r="BJ913" s="198">
        <v>17.481100000000001</v>
      </c>
      <c r="BT913" s="1051">
        <v>43908</v>
      </c>
      <c r="BU913" s="198">
        <v>9.1045999999999996</v>
      </c>
      <c r="BV913" s="198">
        <v>2.8744999999999998</v>
      </c>
      <c r="BW913" s="198">
        <v>6.7950999999999997</v>
      </c>
      <c r="BX913" s="198">
        <v>1.0906</v>
      </c>
      <c r="BZ913" s="1051">
        <v>43908</v>
      </c>
      <c r="CA913" s="198">
        <v>5.6830999999999996</v>
      </c>
      <c r="CB913" s="198">
        <v>0.95489999999999997</v>
      </c>
      <c r="CC913" s="198">
        <v>10.4</v>
      </c>
      <c r="CD913" s="198">
        <v>0.37436000000000003</v>
      </c>
      <c r="CF913" s="1051">
        <v>43907</v>
      </c>
      <c r="CG913" s="198">
        <v>6.3798000000000004</v>
      </c>
      <c r="CH913" s="198">
        <v>1.0044999999999999</v>
      </c>
      <c r="CI913" s="198">
        <v>10.198499999999999</v>
      </c>
      <c r="CL913" s="1051">
        <v>43927</v>
      </c>
      <c r="CM913" s="198">
        <v>19.6935</v>
      </c>
      <c r="CN913" s="198">
        <v>1.9172</v>
      </c>
      <c r="CO913" s="198">
        <v>8.5045000000000002</v>
      </c>
    </row>
    <row r="914" spans="1:93" s="198" customFormat="1">
      <c r="A914" s="1051">
        <v>43907</v>
      </c>
      <c r="B914" s="1052">
        <f t="shared" si="142"/>
        <v>5.1885000000000003</v>
      </c>
      <c r="C914" s="1052">
        <f t="shared" si="144"/>
        <v>5.2278000000000002</v>
      </c>
      <c r="D914" s="1052">
        <f t="shared" si="148"/>
        <v>7.3920000000000003</v>
      </c>
      <c r="E914" s="1052">
        <f t="shared" si="149"/>
        <v>5.3654000000000002</v>
      </c>
      <c r="F914" s="1052">
        <f t="shared" si="150"/>
        <v>6.1228999999999996</v>
      </c>
      <c r="G914" s="1052">
        <f t="shared" si="151"/>
        <v>4.4382999999999999</v>
      </c>
      <c r="H914" s="1047">
        <f t="shared" si="145"/>
        <v>5.3654000000000002</v>
      </c>
      <c r="I914" s="1048">
        <f t="shared" si="143"/>
        <v>-3.2970514779885884E-2</v>
      </c>
      <c r="J914" s="1048">
        <f t="shared" si="146"/>
        <v>0.12093838824177333</v>
      </c>
      <c r="K914" s="1048">
        <f t="shared" si="147"/>
        <v>0.1</v>
      </c>
      <c r="L914" s="1048"/>
      <c r="N914" s="1051">
        <v>43907</v>
      </c>
      <c r="O914" s="1053">
        <v>5.1885000000000003</v>
      </c>
      <c r="P914" s="1053">
        <v>0.93920000000000003</v>
      </c>
      <c r="Q914" s="1053">
        <v>6.6260000000000003</v>
      </c>
      <c r="R914" s="1054">
        <f>'B. PE'!$U$23</f>
        <v>15.978235616082999</v>
      </c>
      <c r="S914" s="1054"/>
      <c r="T914" s="1054"/>
      <c r="V914" s="1051">
        <v>43907</v>
      </c>
      <c r="W914" s="198">
        <v>5.2278000000000002</v>
      </c>
      <c r="X914" s="198">
        <v>0.40150000000000002</v>
      </c>
      <c r="Y914" s="198">
        <v>7.8856999999999999</v>
      </c>
      <c r="Z914" s="198">
        <v>0.25741999999999998</v>
      </c>
      <c r="AB914" s="1051">
        <v>43866</v>
      </c>
      <c r="AC914" s="198">
        <v>17.000299999999999</v>
      </c>
      <c r="AD914" s="1053">
        <v>1.042</v>
      </c>
      <c r="AE914" s="198">
        <v>8.2469000000000001</v>
      </c>
      <c r="AF914" s="198">
        <v>2.2710000000000001E-2</v>
      </c>
      <c r="AH914" s="1051">
        <v>43866</v>
      </c>
      <c r="AI914" s="198">
        <v>11.7584</v>
      </c>
      <c r="AJ914" s="198">
        <v>2.0005000000000002</v>
      </c>
      <c r="AK914" s="198">
        <v>6.2976000000000001</v>
      </c>
      <c r="AL914" s="198">
        <v>2.3290000000000002E-2</v>
      </c>
      <c r="AN914" s="1051">
        <v>43875</v>
      </c>
      <c r="AO914" s="198">
        <v>8.4268999999999998</v>
      </c>
      <c r="AP914" s="198">
        <v>0.81289999999999996</v>
      </c>
      <c r="AQ914" s="198">
        <v>4.6531000000000002</v>
      </c>
      <c r="AR914" s="198">
        <v>0.16555</v>
      </c>
      <c r="AT914" s="1051">
        <v>43847</v>
      </c>
      <c r="AU914" s="198">
        <v>9.7909000000000006</v>
      </c>
      <c r="AV914" s="198">
        <v>0.53069999999999995</v>
      </c>
      <c r="AX914" s="198">
        <v>0.12767999999999999</v>
      </c>
      <c r="BA914" s="1051">
        <v>43859</v>
      </c>
      <c r="BB914" s="198">
        <v>6.7610999999999999</v>
      </c>
      <c r="BC914" s="198">
        <v>1.1886000000000001</v>
      </c>
      <c r="BD914" s="198">
        <v>7.6323999999999996</v>
      </c>
      <c r="BE914" s="198">
        <v>0.26222000000000001</v>
      </c>
      <c r="BG914" s="1051">
        <v>43859</v>
      </c>
      <c r="BH914" s="198">
        <v>10.230499999999999</v>
      </c>
      <c r="BI914" s="198">
        <v>1.754</v>
      </c>
      <c r="BJ914" s="198">
        <v>17.5504</v>
      </c>
      <c r="BT914" s="1051">
        <v>43907</v>
      </c>
      <c r="BU914" s="198">
        <v>8.9313000000000002</v>
      </c>
      <c r="BV914" s="198">
        <v>2.8197000000000001</v>
      </c>
      <c r="BW914" s="198">
        <v>6.6891999999999996</v>
      </c>
      <c r="BX914" s="198">
        <v>1.1342000000000001</v>
      </c>
      <c r="BZ914" s="1051">
        <v>43907</v>
      </c>
      <c r="CA914" s="198">
        <v>5.4617000000000004</v>
      </c>
      <c r="CB914" s="198">
        <v>0.91769999999999996</v>
      </c>
      <c r="CC914" s="198">
        <v>10.262</v>
      </c>
      <c r="CD914" s="198">
        <v>0.38951999999999998</v>
      </c>
      <c r="CF914" s="1051">
        <v>43906</v>
      </c>
      <c r="CG914" s="198">
        <v>7.0418000000000003</v>
      </c>
      <c r="CH914" s="198">
        <v>1.1088</v>
      </c>
      <c r="CI914" s="198">
        <v>10.5563</v>
      </c>
      <c r="CL914" s="1051">
        <v>43924</v>
      </c>
      <c r="CM914" s="198">
        <v>18.631699999999999</v>
      </c>
      <c r="CN914" s="198">
        <v>1.8139000000000001</v>
      </c>
      <c r="CO914" s="198">
        <v>8.0417000000000005</v>
      </c>
    </row>
    <row r="915" spans="1:93" s="198" customFormat="1">
      <c r="A915" s="1051">
        <v>43906</v>
      </c>
      <c r="B915" s="1052">
        <f t="shared" si="142"/>
        <v>5.1258999999999997</v>
      </c>
      <c r="C915" s="1052">
        <f t="shared" si="144"/>
        <v>5.1985000000000001</v>
      </c>
      <c r="D915" s="1052">
        <f t="shared" si="148"/>
        <v>7.8733000000000004</v>
      </c>
      <c r="E915" s="1052">
        <f t="shared" si="149"/>
        <v>5.3654000000000002</v>
      </c>
      <c r="F915" s="1052">
        <f t="shared" si="150"/>
        <v>6.3689999999999998</v>
      </c>
      <c r="G915" s="1052">
        <f t="shared" si="151"/>
        <v>4.5212000000000003</v>
      </c>
      <c r="H915" s="1047">
        <f t="shared" si="145"/>
        <v>5.3654000000000002</v>
      </c>
      <c r="I915" s="1048">
        <f t="shared" si="143"/>
        <v>-4.4637864837663632E-2</v>
      </c>
      <c r="J915" s="1048">
        <f t="shared" si="146"/>
        <v>0.12093838824177333</v>
      </c>
      <c r="K915" s="1048">
        <f t="shared" si="147"/>
        <v>0.1</v>
      </c>
      <c r="L915" s="1048"/>
      <c r="N915" s="1051">
        <v>43906</v>
      </c>
      <c r="O915" s="1053">
        <v>5.1258999999999997</v>
      </c>
      <c r="P915" s="1053">
        <v>0.92779999999999996</v>
      </c>
      <c r="Q915" s="1053">
        <v>6.5750000000000002</v>
      </c>
      <c r="R915" s="1054">
        <f>'B. PE'!$U$23</f>
        <v>15.978235616082999</v>
      </c>
      <c r="S915" s="1054"/>
      <c r="T915" s="1054"/>
      <c r="V915" s="1051">
        <v>43906</v>
      </c>
      <c r="W915" s="198">
        <v>5.1985000000000001</v>
      </c>
      <c r="X915" s="198">
        <v>0.39929999999999999</v>
      </c>
      <c r="Y915" s="198">
        <v>7.8658000000000001</v>
      </c>
      <c r="Z915" s="198">
        <v>0.24495</v>
      </c>
      <c r="AB915" s="1051">
        <v>43865</v>
      </c>
      <c r="AC915" s="198">
        <v>17.1083</v>
      </c>
      <c r="AD915" s="1053">
        <v>1.0486</v>
      </c>
      <c r="AE915" s="198">
        <v>8.2828999999999997</v>
      </c>
      <c r="AF915" s="198">
        <v>2.307E-2</v>
      </c>
      <c r="AH915" s="1051">
        <v>43865</v>
      </c>
      <c r="AI915" s="198">
        <v>11.724</v>
      </c>
      <c r="AJ915" s="198">
        <v>1.9945999999999999</v>
      </c>
      <c r="AK915" s="198">
        <v>6.2807000000000004</v>
      </c>
      <c r="AL915" s="198">
        <v>2.4299999999999999E-2</v>
      </c>
      <c r="AN915" s="1051">
        <v>43874</v>
      </c>
      <c r="AO915" s="198">
        <v>8.4876000000000005</v>
      </c>
      <c r="AP915" s="198">
        <v>0.81879999999999997</v>
      </c>
      <c r="AQ915" s="198">
        <v>4.6993999999999998</v>
      </c>
      <c r="AR915" s="198">
        <v>0.16578000000000001</v>
      </c>
      <c r="AT915" s="1051">
        <v>43845</v>
      </c>
      <c r="AU915" s="198">
        <v>10.2662</v>
      </c>
      <c r="AV915" s="198">
        <v>0.55649999999999999</v>
      </c>
      <c r="AX915" s="198">
        <v>0.128</v>
      </c>
      <c r="BA915" s="1051">
        <v>43858</v>
      </c>
      <c r="BB915" s="198">
        <v>6.6780999999999997</v>
      </c>
      <c r="BC915" s="198">
        <v>1.1739999999999999</v>
      </c>
      <c r="BD915" s="198">
        <v>7.5755999999999997</v>
      </c>
      <c r="BE915" s="198">
        <v>0.25534000000000001</v>
      </c>
      <c r="BG915" s="1051">
        <v>43858</v>
      </c>
      <c r="BH915" s="198">
        <v>10.230499999999999</v>
      </c>
      <c r="BI915" s="198">
        <v>1.754</v>
      </c>
      <c r="BJ915" s="198">
        <v>17.5504</v>
      </c>
      <c r="BT915" s="1051">
        <v>43906</v>
      </c>
      <c r="BU915" s="198">
        <v>8.7811000000000003</v>
      </c>
      <c r="BV915" s="198">
        <v>2.7723</v>
      </c>
      <c r="BW915" s="198">
        <v>6.5974000000000004</v>
      </c>
      <c r="BX915" s="198">
        <v>1.1682999999999999</v>
      </c>
      <c r="BZ915" s="1051">
        <v>43906</v>
      </c>
      <c r="CA915" s="198">
        <v>5.5354999999999999</v>
      </c>
      <c r="CB915" s="198">
        <v>0.93010000000000004</v>
      </c>
      <c r="CC915" s="198">
        <v>10.308</v>
      </c>
      <c r="CD915" s="198">
        <v>0.41236</v>
      </c>
      <c r="CF915" s="1051">
        <v>43903</v>
      </c>
      <c r="CG915" s="198">
        <v>6.5000999999999998</v>
      </c>
      <c r="CH915" s="198">
        <v>1.0235000000000001</v>
      </c>
      <c r="CI915" s="198">
        <v>10.2636</v>
      </c>
      <c r="CL915" s="1051">
        <v>43923</v>
      </c>
      <c r="CM915" s="198">
        <v>18.4133</v>
      </c>
      <c r="CN915" s="198">
        <v>1.7926</v>
      </c>
      <c r="CO915" s="198">
        <v>7.9465000000000003</v>
      </c>
    </row>
    <row r="916" spans="1:93" s="198" customFormat="1">
      <c r="A916" s="1051">
        <v>43903</v>
      </c>
      <c r="B916" s="1052">
        <f t="shared" si="142"/>
        <v>5.5018000000000002</v>
      </c>
      <c r="C916" s="1052">
        <f t="shared" si="144"/>
        <v>5.1985000000000001</v>
      </c>
      <c r="D916" s="1052">
        <f t="shared" si="148"/>
        <v>8.2515000000000001</v>
      </c>
      <c r="E916" s="1052">
        <f t="shared" si="149"/>
        <v>6.1837999999999997</v>
      </c>
      <c r="F916" s="1052">
        <f t="shared" si="150"/>
        <v>6.6767000000000003</v>
      </c>
      <c r="G916" s="1052">
        <f t="shared" si="151"/>
        <v>4.8116000000000003</v>
      </c>
      <c r="H916" s="1047">
        <f t="shared" si="145"/>
        <v>6.1837999999999997</v>
      </c>
      <c r="I916" s="1048">
        <f t="shared" si="143"/>
        <v>-0.11028817232122634</v>
      </c>
      <c r="J916" s="1048">
        <f t="shared" si="146"/>
        <v>0.12093838824177333</v>
      </c>
      <c r="K916" s="1048">
        <f t="shared" si="147"/>
        <v>0.1</v>
      </c>
      <c r="L916" s="1048"/>
      <c r="N916" s="1051">
        <v>43903</v>
      </c>
      <c r="O916" s="1053">
        <v>5.5018000000000002</v>
      </c>
      <c r="P916" s="1053">
        <v>0.99590000000000001</v>
      </c>
      <c r="Q916" s="1053">
        <v>6.8808999999999996</v>
      </c>
      <c r="R916" s="1054">
        <f>'B. PE'!$U$23</f>
        <v>15.978235616082999</v>
      </c>
      <c r="S916" s="1054"/>
      <c r="T916" s="1054"/>
      <c r="V916" s="1051">
        <v>43903</v>
      </c>
      <c r="W916" s="198">
        <v>5.1985000000000001</v>
      </c>
      <c r="X916" s="198">
        <v>0.39929999999999999</v>
      </c>
      <c r="Y916" s="198">
        <v>7.8658000000000001</v>
      </c>
      <c r="Z916" s="198">
        <v>0.26035999999999998</v>
      </c>
      <c r="AB916" s="1051">
        <v>43864</v>
      </c>
      <c r="AC916" s="198">
        <v>16.8384</v>
      </c>
      <c r="AD916" s="1053">
        <v>1.0321</v>
      </c>
      <c r="AE916" s="198">
        <v>8.1929999999999996</v>
      </c>
      <c r="AF916" s="198">
        <v>2.4140000000000002E-2</v>
      </c>
      <c r="AH916" s="1051">
        <v>43864</v>
      </c>
      <c r="AI916" s="198">
        <v>11.002000000000001</v>
      </c>
      <c r="AJ916" s="198">
        <v>1.8717999999999999</v>
      </c>
      <c r="AK916" s="198">
        <v>5.9260999999999999</v>
      </c>
      <c r="AL916" s="198">
        <v>2.6040000000000001E-2</v>
      </c>
      <c r="AN916" s="1051">
        <v>43873</v>
      </c>
      <c r="AO916" s="198">
        <v>8.3056999999999999</v>
      </c>
      <c r="AP916" s="198">
        <v>0.80120000000000002</v>
      </c>
      <c r="AQ916" s="198">
        <v>4.5605000000000002</v>
      </c>
      <c r="AR916" s="198">
        <v>0.15787000000000001</v>
      </c>
      <c r="AT916" s="1051">
        <v>43844</v>
      </c>
      <c r="AU916" s="198">
        <v>9.8858999999999995</v>
      </c>
      <c r="AV916" s="198">
        <v>0.53580000000000005</v>
      </c>
      <c r="AX916" s="198">
        <v>0.12069000000000001</v>
      </c>
      <c r="BA916" s="1051">
        <v>43857</v>
      </c>
      <c r="BB916" s="198">
        <v>6.6780999999999997</v>
      </c>
      <c r="BC916" s="198">
        <v>1.1739999999999999</v>
      </c>
      <c r="BD916" s="198">
        <v>7.5755999999999997</v>
      </c>
      <c r="BE916" s="198">
        <v>0.26522000000000001</v>
      </c>
      <c r="BG916" s="1051">
        <v>43857</v>
      </c>
      <c r="BH916" s="198">
        <v>10.4612</v>
      </c>
      <c r="BI916" s="198">
        <v>1.7935000000000001</v>
      </c>
      <c r="BJ916" s="198">
        <v>17.758199999999999</v>
      </c>
      <c r="BT916" s="1051">
        <v>43903</v>
      </c>
      <c r="BU916" s="198">
        <v>9.1277000000000008</v>
      </c>
      <c r="BV916" s="198">
        <v>2.8818000000000001</v>
      </c>
      <c r="BW916" s="198">
        <v>6.8091999999999997</v>
      </c>
      <c r="BX916" s="198">
        <v>1.2567999999999999</v>
      </c>
      <c r="BZ916" s="1051">
        <v>43903</v>
      </c>
      <c r="CA916" s="198">
        <v>5.7568999999999999</v>
      </c>
      <c r="CB916" s="198">
        <v>0.96730000000000005</v>
      </c>
      <c r="CC916" s="198">
        <v>10.4459</v>
      </c>
      <c r="CD916" s="198">
        <v>0.44263999999999998</v>
      </c>
      <c r="CF916" s="1051">
        <v>43902</v>
      </c>
      <c r="CG916" s="198">
        <v>6.0186999999999999</v>
      </c>
      <c r="CH916" s="198">
        <v>0.94769999999999999</v>
      </c>
      <c r="CI916" s="198">
        <v>10.003399999999999</v>
      </c>
      <c r="CL916" s="1051">
        <v>43922</v>
      </c>
      <c r="CM916" s="198">
        <v>18.111999999999998</v>
      </c>
      <c r="CN916" s="198">
        <v>1.7633000000000001</v>
      </c>
      <c r="CO916" s="198">
        <v>7.8151999999999999</v>
      </c>
    </row>
    <row r="917" spans="1:93" s="198" customFormat="1">
      <c r="A917" s="1051">
        <v>43902</v>
      </c>
      <c r="B917" s="1052">
        <f t="shared" si="142"/>
        <v>5.5018000000000002</v>
      </c>
      <c r="C917" s="1052">
        <f t="shared" si="144"/>
        <v>4.9423000000000004</v>
      </c>
      <c r="D917" s="1052">
        <f t="shared" si="148"/>
        <v>8.6296999999999997</v>
      </c>
      <c r="E917" s="1052">
        <f t="shared" si="149"/>
        <v>6.3051000000000004</v>
      </c>
      <c r="F917" s="1052">
        <f t="shared" si="150"/>
        <v>7.0152000000000001</v>
      </c>
      <c r="G917" s="1052">
        <f t="shared" si="151"/>
        <v>5.0603999999999996</v>
      </c>
      <c r="H917" s="1047">
        <f t="shared" si="145"/>
        <v>6.3051000000000004</v>
      </c>
      <c r="I917" s="1048">
        <f t="shared" si="143"/>
        <v>-0.12740479928946413</v>
      </c>
      <c r="J917" s="1048">
        <f t="shared" si="146"/>
        <v>0.12093838824177333</v>
      </c>
      <c r="K917" s="1048">
        <f t="shared" si="147"/>
        <v>0.1</v>
      </c>
      <c r="L917" s="1048"/>
      <c r="N917" s="1051">
        <v>43902</v>
      </c>
      <c r="O917" s="1053">
        <v>5.5018000000000002</v>
      </c>
      <c r="P917" s="1053">
        <v>0.99590000000000001</v>
      </c>
      <c r="Q917" s="1053">
        <v>6.8808999999999996</v>
      </c>
      <c r="R917" s="1054">
        <f>'B. PE'!$U$23</f>
        <v>15.978235616082999</v>
      </c>
      <c r="S917" s="1054"/>
      <c r="T917" s="1054"/>
      <c r="V917" s="1051">
        <v>43902</v>
      </c>
      <c r="W917" s="198">
        <v>4.9423000000000004</v>
      </c>
      <c r="X917" s="198">
        <v>0.37959999999999999</v>
      </c>
      <c r="Y917" s="198">
        <v>7.6913999999999998</v>
      </c>
      <c r="Z917" s="198">
        <v>0.26444000000000001</v>
      </c>
      <c r="AB917" s="1051">
        <v>43861</v>
      </c>
      <c r="AC917" s="198">
        <v>17.162199999999999</v>
      </c>
      <c r="AD917" s="1053">
        <v>1.0519000000000001</v>
      </c>
      <c r="AE917" s="198">
        <v>8.3009000000000004</v>
      </c>
      <c r="AF917" s="198">
        <v>2.5159999999999998E-2</v>
      </c>
      <c r="AH917" s="1051">
        <v>43861</v>
      </c>
      <c r="AI917" s="198">
        <v>11.5177</v>
      </c>
      <c r="AJ917" s="198">
        <v>1.9595</v>
      </c>
      <c r="AK917" s="198">
        <v>6.1794000000000002</v>
      </c>
      <c r="AL917" s="198">
        <v>2.6259999999999999E-2</v>
      </c>
      <c r="AN917" s="1051">
        <v>43872</v>
      </c>
      <c r="AO917" s="198">
        <v>8.3056999999999999</v>
      </c>
      <c r="AP917" s="198">
        <v>0.80120000000000002</v>
      </c>
      <c r="AQ917" s="198">
        <v>4.5605000000000002</v>
      </c>
      <c r="AR917" s="198">
        <v>0.15815000000000001</v>
      </c>
      <c r="AT917" s="1051">
        <v>43843</v>
      </c>
      <c r="AU917" s="198">
        <v>9.8858999999999995</v>
      </c>
      <c r="AV917" s="198">
        <v>0.53580000000000005</v>
      </c>
      <c r="AX917" s="198">
        <v>0.12463</v>
      </c>
      <c r="BA917" s="1051">
        <v>43854</v>
      </c>
      <c r="BB917" s="198">
        <v>6.4706999999999999</v>
      </c>
      <c r="BC917" s="198">
        <v>1.1375999999999999</v>
      </c>
      <c r="BD917" s="198">
        <v>7.4337999999999997</v>
      </c>
      <c r="BE917" s="198">
        <v>0.26967999999999998</v>
      </c>
      <c r="BG917" s="1051">
        <v>43854</v>
      </c>
      <c r="BH917" s="198">
        <v>10.692</v>
      </c>
      <c r="BI917" s="198">
        <v>1.8331</v>
      </c>
      <c r="BJ917" s="198">
        <v>17.966100000000001</v>
      </c>
      <c r="BT917" s="1051">
        <v>43902</v>
      </c>
      <c r="BU917" s="198">
        <v>9.3934999999999995</v>
      </c>
      <c r="BV917" s="198">
        <v>2.9657</v>
      </c>
      <c r="BW917" s="198">
        <v>6.9715999999999996</v>
      </c>
      <c r="BX917" s="198">
        <v>1.3488</v>
      </c>
      <c r="BZ917" s="1051">
        <v>43902</v>
      </c>
      <c r="CA917" s="198">
        <v>6.0891000000000002</v>
      </c>
      <c r="CB917" s="198">
        <v>1.0230999999999999</v>
      </c>
      <c r="CC917" s="198">
        <v>10.652799999999999</v>
      </c>
      <c r="CD917" s="198">
        <v>0.47466000000000003</v>
      </c>
      <c r="CF917" s="1051">
        <v>43901</v>
      </c>
      <c r="CG917" s="198">
        <v>6.6204999999999998</v>
      </c>
      <c r="CH917" s="198">
        <v>1.0425</v>
      </c>
      <c r="CI917" s="198">
        <v>10.3287</v>
      </c>
      <c r="CL917" s="1051">
        <v>43921</v>
      </c>
      <c r="CM917" s="198">
        <v>18.081900000000001</v>
      </c>
      <c r="CN917" s="198">
        <v>1.7603</v>
      </c>
      <c r="CO917" s="198">
        <v>7.8021000000000003</v>
      </c>
    </row>
    <row r="918" spans="1:93" s="198" customFormat="1">
      <c r="A918" s="1051">
        <v>43901</v>
      </c>
      <c r="B918" s="1052">
        <f t="shared" si="142"/>
        <v>5.9028999999999998</v>
      </c>
      <c r="C918" s="1052">
        <f t="shared" si="144"/>
        <v>5.2497999999999996</v>
      </c>
      <c r="D918" s="1052">
        <f t="shared" si="148"/>
        <v>9.4892000000000003</v>
      </c>
      <c r="E918" s="1052">
        <f t="shared" si="149"/>
        <v>6.6688000000000001</v>
      </c>
      <c r="F918" s="1052">
        <f t="shared" si="150"/>
        <v>8.1536000000000008</v>
      </c>
      <c r="G918" s="1052">
        <f t="shared" si="151"/>
        <v>5.5167000000000002</v>
      </c>
      <c r="H918" s="1047">
        <f t="shared" si="145"/>
        <v>6.6688000000000001</v>
      </c>
      <c r="I918" s="1048">
        <f t="shared" si="143"/>
        <v>-0.11484824856046072</v>
      </c>
      <c r="J918" s="1048">
        <f t="shared" si="146"/>
        <v>0.12093838824177333</v>
      </c>
      <c r="K918" s="1048">
        <f t="shared" si="147"/>
        <v>0.1</v>
      </c>
      <c r="L918" s="1048"/>
      <c r="N918" s="1051">
        <v>43901</v>
      </c>
      <c r="O918" s="1053">
        <v>5.9028999999999998</v>
      </c>
      <c r="P918" s="1053">
        <v>1.0685</v>
      </c>
      <c r="Q918" s="1053">
        <v>7.2072000000000003</v>
      </c>
      <c r="R918" s="1054">
        <f>'B. PE'!$U$23</f>
        <v>15.978235616082999</v>
      </c>
      <c r="S918" s="1054"/>
      <c r="T918" s="1054"/>
      <c r="V918" s="1051">
        <v>43901</v>
      </c>
      <c r="W918" s="198">
        <v>5.2497999999999996</v>
      </c>
      <c r="X918" s="198">
        <v>0.4032</v>
      </c>
      <c r="Y918" s="198">
        <v>7.9006999999999996</v>
      </c>
      <c r="Z918" s="198">
        <v>0.25574000000000002</v>
      </c>
      <c r="AB918" s="1051">
        <v>43860</v>
      </c>
      <c r="AC918" s="198">
        <v>17.863800000000001</v>
      </c>
      <c r="AD918" s="1053">
        <v>1.0949</v>
      </c>
      <c r="AE918" s="198">
        <v>8.5347000000000008</v>
      </c>
      <c r="AF918" s="198">
        <v>2.41E-2</v>
      </c>
      <c r="AH918" s="1051">
        <v>43860</v>
      </c>
      <c r="AI918" s="198">
        <v>12.274100000000001</v>
      </c>
      <c r="AJ918" s="198">
        <v>2.0882000000000001</v>
      </c>
      <c r="AK918" s="198">
        <v>6.5509000000000004</v>
      </c>
      <c r="AL918" s="198">
        <v>2.615E-2</v>
      </c>
      <c r="AN918" s="1051">
        <v>43871</v>
      </c>
      <c r="AO918" s="198">
        <v>7.9419000000000004</v>
      </c>
      <c r="AP918" s="198">
        <v>0.7661</v>
      </c>
      <c r="AQ918" s="198">
        <v>4.2827999999999999</v>
      </c>
      <c r="AR918" s="198">
        <v>0.15523000000000001</v>
      </c>
      <c r="AT918" s="1051">
        <v>43838</v>
      </c>
      <c r="AU918" s="198">
        <v>9.4106000000000005</v>
      </c>
      <c r="AV918" s="198">
        <v>0.5101</v>
      </c>
      <c r="AX918" s="198">
        <v>0.12305000000000001</v>
      </c>
      <c r="BA918" s="1051">
        <v>43853</v>
      </c>
      <c r="BB918" s="198">
        <v>6.7195999999999998</v>
      </c>
      <c r="BC918" s="198">
        <v>1.1813</v>
      </c>
      <c r="BD918" s="198">
        <v>7.6040000000000001</v>
      </c>
      <c r="BE918" s="198">
        <v>0.26989000000000002</v>
      </c>
      <c r="BG918" s="1051">
        <v>43853</v>
      </c>
      <c r="BH918" s="198">
        <v>10.692</v>
      </c>
      <c r="BI918" s="198">
        <v>1.8331</v>
      </c>
      <c r="BJ918" s="198">
        <v>17.966100000000001</v>
      </c>
      <c r="BT918" s="1051">
        <v>43901</v>
      </c>
      <c r="BU918" s="198">
        <v>10.0983</v>
      </c>
      <c r="BV918" s="198">
        <v>3.1882000000000001</v>
      </c>
      <c r="BW918" s="198">
        <v>7.4023000000000003</v>
      </c>
      <c r="BX918" s="198">
        <v>1.3775999999999999</v>
      </c>
      <c r="BZ918" s="1051">
        <v>43901</v>
      </c>
      <c r="CA918" s="198">
        <v>6.5319000000000003</v>
      </c>
      <c r="CB918" s="198">
        <v>1.0974999999999999</v>
      </c>
      <c r="CC918" s="198">
        <v>10.928699999999999</v>
      </c>
      <c r="CD918" s="198">
        <v>0.4909</v>
      </c>
      <c r="CF918" s="1051">
        <v>43900</v>
      </c>
      <c r="CG918" s="198">
        <v>6.5000999999999998</v>
      </c>
      <c r="CH918" s="198">
        <v>1.0235000000000001</v>
      </c>
      <c r="CI918" s="198">
        <v>10.2636</v>
      </c>
      <c r="CL918" s="1051">
        <v>43920</v>
      </c>
      <c r="CM918" s="198">
        <v>17.818300000000001</v>
      </c>
      <c r="CN918" s="198">
        <v>1.7346999999999999</v>
      </c>
      <c r="CO918" s="198">
        <v>7.6871999999999998</v>
      </c>
    </row>
    <row r="919" spans="1:93" s="198" customFormat="1">
      <c r="A919" s="1051">
        <v>43900</v>
      </c>
      <c r="B919" s="1052">
        <f t="shared" si="142"/>
        <v>6.3414999999999999</v>
      </c>
      <c r="C919" s="1052">
        <f t="shared" si="144"/>
        <v>5.3376999999999999</v>
      </c>
      <c r="D919" s="1052">
        <f t="shared" si="148"/>
        <v>9.8330000000000002</v>
      </c>
      <c r="E919" s="1052">
        <f t="shared" si="149"/>
        <v>6.6082000000000001</v>
      </c>
      <c r="F919" s="1052">
        <f t="shared" si="150"/>
        <v>8.4612999999999996</v>
      </c>
      <c r="G919" s="1052">
        <f t="shared" si="151"/>
        <v>5.5997000000000003</v>
      </c>
      <c r="H919" s="1047">
        <f t="shared" si="145"/>
        <v>6.6082000000000001</v>
      </c>
      <c r="I919" s="1048">
        <f t="shared" si="143"/>
        <v>-4.0358947973729631E-2</v>
      </c>
      <c r="J919" s="1048">
        <f t="shared" si="146"/>
        <v>0.12093838824177333</v>
      </c>
      <c r="K919" s="1048">
        <f t="shared" si="147"/>
        <v>0.1</v>
      </c>
      <c r="L919" s="1048"/>
      <c r="N919" s="1051">
        <v>43900</v>
      </c>
      <c r="O919" s="1053">
        <v>6.3414999999999999</v>
      </c>
      <c r="P919" s="1053">
        <v>1.1478999999999999</v>
      </c>
      <c r="Q919" s="1053">
        <v>7.5641999999999996</v>
      </c>
      <c r="R919" s="1054">
        <f>'B. PE'!$U$23</f>
        <v>15.978235616082999</v>
      </c>
      <c r="S919" s="1054"/>
      <c r="T919" s="1054"/>
      <c r="V919" s="1051">
        <v>43900</v>
      </c>
      <c r="W919" s="198">
        <v>5.3376999999999999</v>
      </c>
      <c r="X919" s="198">
        <v>0.41</v>
      </c>
      <c r="Y919" s="198">
        <v>7.9604999999999997</v>
      </c>
      <c r="Z919" s="198">
        <v>0.27493000000000001</v>
      </c>
      <c r="AB919" s="1051">
        <v>43859</v>
      </c>
      <c r="AC919" s="198">
        <v>18.511500000000002</v>
      </c>
      <c r="AD919" s="1053">
        <v>1.1346000000000001</v>
      </c>
      <c r="AE919" s="198">
        <v>8.7505000000000006</v>
      </c>
      <c r="AF919" s="198">
        <v>2.3910000000000001E-2</v>
      </c>
      <c r="AH919" s="1051">
        <v>43859</v>
      </c>
      <c r="AI919" s="198">
        <v>12.3085</v>
      </c>
      <c r="AJ919" s="198">
        <v>2.0941000000000001</v>
      </c>
      <c r="AK919" s="198">
        <v>6.5678000000000001</v>
      </c>
      <c r="AL919" s="198">
        <v>2.632E-2</v>
      </c>
      <c r="AN919" s="1051">
        <v>43868</v>
      </c>
      <c r="AO919" s="198">
        <v>7.9419000000000004</v>
      </c>
      <c r="AP919" s="198">
        <v>0.7661</v>
      </c>
      <c r="AQ919" s="198">
        <v>4.2827999999999999</v>
      </c>
      <c r="AR919" s="198">
        <v>0.14574999999999999</v>
      </c>
      <c r="AT919" s="1051">
        <v>43837</v>
      </c>
      <c r="AU919" s="198">
        <v>9.6958000000000002</v>
      </c>
      <c r="AV919" s="198">
        <v>0.52549999999999997</v>
      </c>
      <c r="AX919" s="198">
        <v>0.12311</v>
      </c>
      <c r="BA919" s="1051">
        <v>43852</v>
      </c>
      <c r="BB919" s="198">
        <v>6.8026</v>
      </c>
      <c r="BC919" s="198">
        <v>1.1959</v>
      </c>
      <c r="BD919" s="198">
        <v>7.6607000000000003</v>
      </c>
      <c r="BE919" s="198">
        <v>0.27207999999999999</v>
      </c>
      <c r="BG919" s="1051">
        <v>43852</v>
      </c>
      <c r="BH919" s="198">
        <v>10.7689</v>
      </c>
      <c r="BI919" s="198">
        <v>1.8463000000000001</v>
      </c>
      <c r="BJ919" s="198">
        <v>18.035299999999999</v>
      </c>
      <c r="BT919" s="1051">
        <v>43900</v>
      </c>
      <c r="BU919" s="198">
        <v>10.849299999999999</v>
      </c>
      <c r="BV919" s="198">
        <v>3.4253</v>
      </c>
      <c r="BW919" s="198">
        <v>7.8611000000000004</v>
      </c>
      <c r="BX919" s="198">
        <v>1.4807999999999999</v>
      </c>
      <c r="BZ919" s="1051">
        <v>43900</v>
      </c>
      <c r="CA919" s="198">
        <v>7.0115999999999996</v>
      </c>
      <c r="CB919" s="198">
        <v>1.1781999999999999</v>
      </c>
      <c r="CC919" s="198">
        <v>11.227499999999999</v>
      </c>
      <c r="CD919" s="198">
        <v>0.52705000000000002</v>
      </c>
      <c r="CF919" s="1051">
        <v>43899</v>
      </c>
      <c r="CG919" s="198">
        <v>7.2224000000000004</v>
      </c>
      <c r="CH919" s="198">
        <v>1.1372</v>
      </c>
      <c r="CI919" s="198">
        <v>10.6539</v>
      </c>
      <c r="CL919" s="1051">
        <v>43917</v>
      </c>
      <c r="CM919" s="198">
        <v>17.7957</v>
      </c>
      <c r="CN919" s="198">
        <v>1.7324999999999999</v>
      </c>
      <c r="CO919" s="198">
        <v>7.6772999999999998</v>
      </c>
    </row>
    <row r="920" spans="1:93" s="198" customFormat="1">
      <c r="A920" s="1051">
        <v>43899</v>
      </c>
      <c r="B920" s="1052">
        <f t="shared" si="142"/>
        <v>6.3791000000000002</v>
      </c>
      <c r="C920" s="1052">
        <f t="shared" si="144"/>
        <v>5.1619000000000002</v>
      </c>
      <c r="D920" s="1052">
        <f t="shared" si="148"/>
        <v>9.4205000000000005</v>
      </c>
      <c r="E920" s="1052">
        <f t="shared" si="149"/>
        <v>6.4869000000000003</v>
      </c>
      <c r="F920" s="1052">
        <f t="shared" si="150"/>
        <v>8.4612999999999996</v>
      </c>
      <c r="G920" s="1052">
        <f t="shared" si="151"/>
        <v>5.4337999999999997</v>
      </c>
      <c r="H920" s="1047">
        <f t="shared" si="145"/>
        <v>6.4869000000000003</v>
      </c>
      <c r="I920" s="1048">
        <f t="shared" si="143"/>
        <v>-1.6618107262328707E-2</v>
      </c>
      <c r="J920" s="1048">
        <f t="shared" si="146"/>
        <v>0.12093838824177333</v>
      </c>
      <c r="K920" s="1048">
        <f t="shared" si="147"/>
        <v>0.1</v>
      </c>
      <c r="L920" s="1048"/>
      <c r="N920" s="1051">
        <v>43899</v>
      </c>
      <c r="O920" s="1053">
        <v>6.3791000000000002</v>
      </c>
      <c r="P920" s="1053">
        <v>1.1547000000000001</v>
      </c>
      <c r="Q920" s="1053">
        <v>7.5946999999999996</v>
      </c>
      <c r="R920" s="1054">
        <f>'B. PE'!$U$23</f>
        <v>15.978235616082999</v>
      </c>
      <c r="S920" s="1054"/>
      <c r="T920" s="1054"/>
      <c r="V920" s="1051">
        <v>43899</v>
      </c>
      <c r="W920" s="198">
        <v>5.1619000000000002</v>
      </c>
      <c r="X920" s="198">
        <v>0.39650000000000002</v>
      </c>
      <c r="Y920" s="198">
        <v>7.8409000000000004</v>
      </c>
      <c r="Z920" s="198">
        <v>0.27196999999999999</v>
      </c>
      <c r="AB920" s="1051">
        <v>43858</v>
      </c>
      <c r="AC920" s="198">
        <v>17.7559</v>
      </c>
      <c r="AD920" s="1053">
        <v>1.0883</v>
      </c>
      <c r="AE920" s="198">
        <v>8.4986999999999995</v>
      </c>
      <c r="AF920" s="198">
        <v>2.513E-2</v>
      </c>
      <c r="AH920" s="1051">
        <v>43858</v>
      </c>
      <c r="AI920" s="198">
        <v>12.274100000000001</v>
      </c>
      <c r="AJ920" s="198">
        <v>2.0882000000000001</v>
      </c>
      <c r="AK920" s="198">
        <v>6.5509000000000004</v>
      </c>
      <c r="AL920" s="198">
        <v>2.6599999999999999E-2</v>
      </c>
      <c r="AN920" s="1051">
        <v>43867</v>
      </c>
      <c r="AO920" s="198">
        <v>7.7601000000000004</v>
      </c>
      <c r="AP920" s="198">
        <v>0.74860000000000004</v>
      </c>
      <c r="AQ920" s="198">
        <v>4.1440000000000001</v>
      </c>
      <c r="AR920" s="198">
        <v>0.1472</v>
      </c>
      <c r="AT920" s="1051">
        <v>43836</v>
      </c>
      <c r="AU920" s="198">
        <v>9.6007999999999996</v>
      </c>
      <c r="AV920" s="198">
        <v>0.52039999999999997</v>
      </c>
      <c r="AX920" s="198">
        <v>0.11743000000000001</v>
      </c>
      <c r="BA920" s="1051">
        <v>43851</v>
      </c>
      <c r="BB920" s="198">
        <v>6.8026</v>
      </c>
      <c r="BC920" s="198">
        <v>1.1959</v>
      </c>
      <c r="BD920" s="198">
        <v>7.6607000000000003</v>
      </c>
      <c r="BE920" s="198">
        <v>0.27156999999999998</v>
      </c>
      <c r="BG920" s="1051">
        <v>43851</v>
      </c>
      <c r="BH920" s="198">
        <v>10.7689</v>
      </c>
      <c r="BI920" s="198">
        <v>1.8463000000000001</v>
      </c>
      <c r="BJ920" s="198">
        <v>18.035299999999999</v>
      </c>
      <c r="BT920" s="1051">
        <v>43899</v>
      </c>
      <c r="BU920" s="198">
        <v>11.080399999999999</v>
      </c>
      <c r="BV920" s="198">
        <v>3.4982000000000002</v>
      </c>
      <c r="BW920" s="198">
        <v>8.0023</v>
      </c>
      <c r="BX920" s="198">
        <v>1.5149999999999999</v>
      </c>
      <c r="BZ920" s="1051">
        <v>43899</v>
      </c>
      <c r="CA920" s="198">
        <v>7.2515000000000001</v>
      </c>
      <c r="CB920" s="198">
        <v>1.2184999999999999</v>
      </c>
      <c r="CC920" s="198">
        <v>11.377000000000001</v>
      </c>
      <c r="CD920" s="198">
        <v>0.49447999999999998</v>
      </c>
      <c r="CF920" s="1051">
        <v>43896</v>
      </c>
      <c r="CG920" s="198">
        <v>6.6204999999999998</v>
      </c>
      <c r="CH920" s="198">
        <v>1.0425</v>
      </c>
      <c r="CI920" s="198">
        <v>10.3287</v>
      </c>
      <c r="CL920" s="1051">
        <v>43916</v>
      </c>
      <c r="CM920" s="198">
        <v>17.886099999999999</v>
      </c>
      <c r="CN920" s="198">
        <v>1.7413000000000001</v>
      </c>
      <c r="CO920" s="198">
        <v>7.7167000000000003</v>
      </c>
    </row>
    <row r="921" spans="1:93" s="198" customFormat="1">
      <c r="A921" s="1051">
        <v>43896</v>
      </c>
      <c r="B921" s="1052">
        <f t="shared" si="142"/>
        <v>6.8554000000000004</v>
      </c>
      <c r="C921" s="1052">
        <f t="shared" si="144"/>
        <v>5.55</v>
      </c>
      <c r="D921" s="1052">
        <f t="shared" si="148"/>
        <v>10.4863</v>
      </c>
      <c r="E921" s="1052">
        <f t="shared" si="149"/>
        <v>7.2144000000000004</v>
      </c>
      <c r="F921" s="1052">
        <f t="shared" si="150"/>
        <v>9.2304999999999993</v>
      </c>
      <c r="G921" s="1052">
        <f t="shared" si="151"/>
        <v>5.7656000000000001</v>
      </c>
      <c r="H921" s="1047">
        <f t="shared" si="145"/>
        <v>7.2144000000000004</v>
      </c>
      <c r="I921" s="1048">
        <f t="shared" si="143"/>
        <v>-4.9761587935240659E-2</v>
      </c>
      <c r="J921" s="1048">
        <f t="shared" si="146"/>
        <v>0.12093838824177333</v>
      </c>
      <c r="K921" s="1048">
        <f t="shared" si="147"/>
        <v>0.1</v>
      </c>
      <c r="L921" s="1048"/>
      <c r="N921" s="1051">
        <v>43896</v>
      </c>
      <c r="O921" s="1053">
        <v>6.8554000000000004</v>
      </c>
      <c r="P921" s="1053">
        <v>1.2408999999999999</v>
      </c>
      <c r="Q921" s="1053">
        <v>7.9823000000000004</v>
      </c>
      <c r="R921" s="1054">
        <f>'B. PE'!$U$23</f>
        <v>15.978235616082999</v>
      </c>
      <c r="S921" s="1054"/>
      <c r="T921" s="1054"/>
      <c r="V921" s="1051">
        <v>43896</v>
      </c>
      <c r="W921" s="198">
        <v>5.55</v>
      </c>
      <c r="X921" s="198">
        <v>0.42630000000000001</v>
      </c>
      <c r="Y921" s="198">
        <v>8.1050000000000004</v>
      </c>
      <c r="Z921" s="198">
        <v>0.26910000000000001</v>
      </c>
      <c r="AB921" s="1051">
        <v>43857</v>
      </c>
      <c r="AC921" s="198">
        <v>17.6479</v>
      </c>
      <c r="AD921" s="1053">
        <v>1.0817000000000001</v>
      </c>
      <c r="AE921" s="198">
        <v>8.4626999999999999</v>
      </c>
      <c r="AF921" s="198">
        <v>2.4799999999999999E-2</v>
      </c>
      <c r="AH921" s="1051">
        <v>43857</v>
      </c>
      <c r="AI921" s="198">
        <v>12.3773</v>
      </c>
      <c r="AJ921" s="198">
        <v>2.1057999999999999</v>
      </c>
      <c r="AK921" s="198">
        <v>6.6016000000000004</v>
      </c>
      <c r="AL921" s="198">
        <v>2.6409999999999999E-2</v>
      </c>
      <c r="AN921" s="1051">
        <v>43866</v>
      </c>
      <c r="AO921" s="198">
        <v>7.2751000000000001</v>
      </c>
      <c r="AP921" s="198">
        <v>0.70179999999999998</v>
      </c>
      <c r="AQ921" s="198">
        <v>3.7736999999999998</v>
      </c>
      <c r="AR921" s="198">
        <v>0.14338000000000001</v>
      </c>
      <c r="AT921" s="1051">
        <v>43833</v>
      </c>
      <c r="AU921" s="198">
        <v>9.6007999999999996</v>
      </c>
      <c r="AV921" s="198">
        <v>0.52039999999999997</v>
      </c>
      <c r="AX921" s="198">
        <v>0.11735</v>
      </c>
      <c r="BA921" s="1051">
        <v>43850</v>
      </c>
      <c r="BB921" s="198">
        <v>6.8440000000000003</v>
      </c>
      <c r="BC921" s="198">
        <v>1.2032</v>
      </c>
      <c r="BD921" s="198">
        <v>7.6890999999999998</v>
      </c>
      <c r="BE921" s="198">
        <v>0.26982</v>
      </c>
      <c r="BG921" s="1051">
        <v>43850</v>
      </c>
      <c r="BH921" s="198">
        <v>10.922800000000001</v>
      </c>
      <c r="BI921" s="198">
        <v>1.8727</v>
      </c>
      <c r="BJ921" s="198">
        <v>18.1739</v>
      </c>
      <c r="BT921" s="1051">
        <v>43896</v>
      </c>
      <c r="BU921" s="198">
        <v>11.9123</v>
      </c>
      <c r="BV921" s="198">
        <v>3.7608999999999999</v>
      </c>
      <c r="BW921" s="198">
        <v>8.5106999999999999</v>
      </c>
      <c r="BX921" s="198">
        <v>1.5223</v>
      </c>
      <c r="BZ921" s="1051">
        <v>43896</v>
      </c>
      <c r="CA921" s="198">
        <v>7.7866</v>
      </c>
      <c r="CB921" s="198">
        <v>1.3084</v>
      </c>
      <c r="CC921" s="198">
        <v>11.7103</v>
      </c>
      <c r="CD921" s="198">
        <v>0.48704999999999998</v>
      </c>
      <c r="CF921" s="1051">
        <v>43895</v>
      </c>
      <c r="CG921" s="198">
        <v>7.2224000000000004</v>
      </c>
      <c r="CH921" s="198">
        <v>1.1372</v>
      </c>
      <c r="CI921" s="198">
        <v>10.6539</v>
      </c>
      <c r="CL921" s="1051">
        <v>43915</v>
      </c>
      <c r="CM921" s="198">
        <v>17.8108</v>
      </c>
      <c r="CN921" s="198">
        <v>1.7339</v>
      </c>
      <c r="CO921" s="198">
        <v>7.6839000000000004</v>
      </c>
    </row>
    <row r="922" spans="1:93" s="198" customFormat="1">
      <c r="A922" s="1051">
        <v>43895</v>
      </c>
      <c r="B922" s="1052">
        <f t="shared" si="142"/>
        <v>6.5922000000000001</v>
      </c>
      <c r="C922" s="1052">
        <f t="shared" si="144"/>
        <v>5.4913999999999996</v>
      </c>
      <c r="D922" s="1052">
        <f t="shared" si="148"/>
        <v>10.7957</v>
      </c>
      <c r="E922" s="1052">
        <f t="shared" si="149"/>
        <v>7.3357000000000001</v>
      </c>
      <c r="F922" s="1052">
        <f t="shared" si="150"/>
        <v>9.6151</v>
      </c>
      <c r="G922" s="1052">
        <f t="shared" si="151"/>
        <v>5.89</v>
      </c>
      <c r="H922" s="1047">
        <f t="shared" si="145"/>
        <v>7.3357000000000001</v>
      </c>
      <c r="I922" s="1048">
        <f t="shared" si="143"/>
        <v>-0.10135365404801178</v>
      </c>
      <c r="J922" s="1048">
        <f t="shared" si="146"/>
        <v>0.12093838824177333</v>
      </c>
      <c r="K922" s="1048">
        <f t="shared" si="147"/>
        <v>0.1</v>
      </c>
      <c r="L922" s="1048"/>
      <c r="N922" s="1051">
        <v>43895</v>
      </c>
      <c r="O922" s="1053">
        <v>6.5922000000000001</v>
      </c>
      <c r="P922" s="1053">
        <v>1.1932</v>
      </c>
      <c r="Q922" s="1053">
        <v>7.7680999999999996</v>
      </c>
      <c r="R922" s="1054">
        <f>'B. PE'!$U$23</f>
        <v>15.978235616082999</v>
      </c>
      <c r="S922" s="1054"/>
      <c r="T922" s="1054"/>
      <c r="V922" s="1051">
        <v>43895</v>
      </c>
      <c r="W922" s="198">
        <v>5.4913999999999996</v>
      </c>
      <c r="X922" s="198">
        <v>0.42180000000000001</v>
      </c>
      <c r="Y922" s="198">
        <v>8.0650999999999993</v>
      </c>
      <c r="Z922" s="198">
        <v>0.26899000000000001</v>
      </c>
      <c r="AB922" s="1051">
        <v>43854</v>
      </c>
      <c r="AC922" s="198">
        <v>18.4575</v>
      </c>
      <c r="AD922" s="1053">
        <v>1.1313</v>
      </c>
      <c r="AE922" s="198">
        <v>8.7324999999999999</v>
      </c>
      <c r="AF922" s="198">
        <v>2.3879999999999998E-2</v>
      </c>
      <c r="AH922" s="1051">
        <v>43854</v>
      </c>
      <c r="AI922" s="198">
        <v>12.446</v>
      </c>
      <c r="AJ922" s="198">
        <v>2.1175000000000002</v>
      </c>
      <c r="AK922" s="198">
        <v>6.6353</v>
      </c>
      <c r="AL922" s="198">
        <v>2.622E-2</v>
      </c>
      <c r="AN922" s="1051">
        <v>43865</v>
      </c>
      <c r="AO922" s="198">
        <v>7.3357000000000001</v>
      </c>
      <c r="AP922" s="198">
        <v>0.70760000000000001</v>
      </c>
      <c r="AQ922" s="198">
        <v>3.8199000000000001</v>
      </c>
      <c r="AR922" s="198">
        <v>0.14282</v>
      </c>
      <c r="AT922" s="1051">
        <v>43832</v>
      </c>
      <c r="AU922" s="198">
        <v>9.1255000000000006</v>
      </c>
      <c r="AV922" s="198">
        <v>0.49459999999999998</v>
      </c>
      <c r="AX922" s="198">
        <v>0.12175999999999999</v>
      </c>
      <c r="BA922" s="1051">
        <v>43847</v>
      </c>
      <c r="BB922" s="198">
        <v>6.8440000000000003</v>
      </c>
      <c r="BC922" s="198">
        <v>1.2032</v>
      </c>
      <c r="BD922" s="198">
        <v>7.6890999999999998</v>
      </c>
      <c r="BE922" s="198">
        <v>0.26573999999999998</v>
      </c>
      <c r="BG922" s="1051">
        <v>43847</v>
      </c>
      <c r="BH922" s="198">
        <v>10.999700000000001</v>
      </c>
      <c r="BI922" s="198">
        <v>1.8857999999999999</v>
      </c>
      <c r="BJ922" s="198">
        <v>18.243099999999998</v>
      </c>
      <c r="BT922" s="1051">
        <v>43895</v>
      </c>
      <c r="BU922" s="198">
        <v>12.1896</v>
      </c>
      <c r="BV922" s="198">
        <v>3.8483999999999998</v>
      </c>
      <c r="BW922" s="198">
        <v>8.6800999999999995</v>
      </c>
      <c r="BX922" s="198">
        <v>1.5275000000000001</v>
      </c>
      <c r="BZ922" s="1051">
        <v>43895</v>
      </c>
      <c r="CA922" s="198">
        <v>7.3068999999999997</v>
      </c>
      <c r="CB922" s="198">
        <v>1.2278</v>
      </c>
      <c r="CC922" s="198">
        <v>11.4114</v>
      </c>
      <c r="CD922" s="198">
        <v>0.49435000000000001</v>
      </c>
      <c r="CF922" s="1051">
        <v>43894</v>
      </c>
      <c r="CG922" s="198">
        <v>6.6204999999999998</v>
      </c>
      <c r="CH922" s="198">
        <v>1.0425</v>
      </c>
      <c r="CI922" s="198">
        <v>10.3287</v>
      </c>
      <c r="CL922" s="1051">
        <v>43914</v>
      </c>
      <c r="CM922" s="198">
        <v>17.750499999999999</v>
      </c>
      <c r="CN922" s="198">
        <v>1.7281</v>
      </c>
      <c r="CO922" s="198">
        <v>7.6576000000000004</v>
      </c>
    </row>
    <row r="923" spans="1:93" s="198" customFormat="1">
      <c r="A923" s="1051">
        <v>43894</v>
      </c>
      <c r="B923" s="1052">
        <f t="shared" si="142"/>
        <v>6.7426000000000004</v>
      </c>
      <c r="C923" s="1052">
        <f t="shared" si="144"/>
        <v>5.4328000000000003</v>
      </c>
      <c r="D923" s="1052">
        <f t="shared" si="148"/>
        <v>10.7613</v>
      </c>
      <c r="E923" s="1052">
        <f t="shared" si="149"/>
        <v>7.3963000000000001</v>
      </c>
      <c r="F923" s="1052">
        <f t="shared" si="150"/>
        <v>8.9997000000000007</v>
      </c>
      <c r="G923" s="1052">
        <f t="shared" si="151"/>
        <v>5.89</v>
      </c>
      <c r="H923" s="1047">
        <f t="shared" si="145"/>
        <v>7.3963000000000001</v>
      </c>
      <c r="I923" s="1048">
        <f t="shared" si="143"/>
        <v>-8.8382028852263983E-2</v>
      </c>
      <c r="J923" s="1048">
        <f t="shared" si="146"/>
        <v>0.12093838824177333</v>
      </c>
      <c r="K923" s="1048">
        <f t="shared" si="147"/>
        <v>0.1</v>
      </c>
      <c r="L923" s="1048"/>
      <c r="N923" s="1051">
        <v>43894</v>
      </c>
      <c r="O923" s="1053">
        <v>6.7426000000000004</v>
      </c>
      <c r="P923" s="1053">
        <v>1.2204999999999999</v>
      </c>
      <c r="Q923" s="1053">
        <v>7.8905000000000003</v>
      </c>
      <c r="R923" s="1054">
        <f>'B. PE'!$U$23</f>
        <v>15.978235616082999</v>
      </c>
      <c r="S923" s="1054"/>
      <c r="T923" s="1054"/>
      <c r="V923" s="1051">
        <v>43894</v>
      </c>
      <c r="W923" s="198">
        <v>5.4328000000000003</v>
      </c>
      <c r="X923" s="198">
        <v>0.4173</v>
      </c>
      <c r="Y923" s="198">
        <v>8.0251999999999999</v>
      </c>
      <c r="Z923" s="198">
        <v>0.27098</v>
      </c>
      <c r="AB923" s="1051">
        <v>43853</v>
      </c>
      <c r="AC923" s="198">
        <v>18.2956</v>
      </c>
      <c r="AD923" s="1053">
        <v>1.1214</v>
      </c>
      <c r="AE923" s="198">
        <v>8.6784999999999997</v>
      </c>
      <c r="AF923" s="198">
        <v>2.4719999999999999E-2</v>
      </c>
      <c r="AH923" s="1051">
        <v>43853</v>
      </c>
      <c r="AI923" s="198">
        <v>12.4116</v>
      </c>
      <c r="AJ923" s="198">
        <v>2.1116000000000001</v>
      </c>
      <c r="AK923" s="198">
        <v>6.6185</v>
      </c>
      <c r="AL923" s="198">
        <v>2.648E-2</v>
      </c>
      <c r="AN923" s="1051">
        <v>43864</v>
      </c>
      <c r="AO923" s="198">
        <v>7.1538000000000004</v>
      </c>
      <c r="AP923" s="198">
        <v>0.69010000000000005</v>
      </c>
      <c r="AQ923" s="198">
        <v>3.6810999999999998</v>
      </c>
      <c r="AR923" s="198">
        <v>0.15404999999999999</v>
      </c>
      <c r="AT923" s="1051">
        <v>43830</v>
      </c>
      <c r="AU923" s="198">
        <v>9.1255000000000006</v>
      </c>
      <c r="AV923" s="198">
        <v>0.49459999999999998</v>
      </c>
      <c r="AX923" s="198">
        <v>0.12570999999999999</v>
      </c>
      <c r="BA923" s="1051">
        <v>43846</v>
      </c>
      <c r="BB923" s="198">
        <v>6.8026</v>
      </c>
      <c r="BC923" s="198">
        <v>1.1959</v>
      </c>
      <c r="BD923" s="198">
        <v>7.6607000000000003</v>
      </c>
      <c r="BE923" s="198">
        <v>0.25613000000000002</v>
      </c>
      <c r="BG923" s="1051">
        <v>43846</v>
      </c>
      <c r="BH923" s="198">
        <v>11.153499999999999</v>
      </c>
      <c r="BI923" s="198">
        <v>1.9121999999999999</v>
      </c>
      <c r="BJ923" s="198">
        <v>18.381699999999999</v>
      </c>
      <c r="BT923" s="1051">
        <v>43894</v>
      </c>
      <c r="BU923" s="198">
        <v>12.247299999999999</v>
      </c>
      <c r="BV923" s="198">
        <v>3.8666999999999998</v>
      </c>
      <c r="BW923" s="198">
        <v>8.7154000000000007</v>
      </c>
      <c r="BX923" s="198">
        <v>1.5279</v>
      </c>
      <c r="BZ923" s="1051">
        <v>43894</v>
      </c>
      <c r="CA923" s="198">
        <v>7.1962000000000002</v>
      </c>
      <c r="CB923" s="198">
        <v>1.2092000000000001</v>
      </c>
      <c r="CC923" s="198">
        <v>11.342499999999999</v>
      </c>
      <c r="CD923" s="198">
        <v>0.48902000000000001</v>
      </c>
      <c r="CF923" s="1051">
        <v>43893</v>
      </c>
      <c r="CG923" s="198">
        <v>6.5602999999999998</v>
      </c>
      <c r="CH923" s="198">
        <v>1.0329999999999999</v>
      </c>
      <c r="CI923" s="198">
        <v>10.296099999999999</v>
      </c>
      <c r="CL923" s="1051">
        <v>43913</v>
      </c>
      <c r="CM923" s="198">
        <v>17.193200000000001</v>
      </c>
      <c r="CN923" s="198">
        <v>1.6738</v>
      </c>
      <c r="CO923" s="198">
        <v>7.4146999999999998</v>
      </c>
    </row>
    <row r="924" spans="1:93" s="198" customFormat="1">
      <c r="A924" s="1051">
        <v>43893</v>
      </c>
      <c r="B924" s="1052">
        <f t="shared" si="142"/>
        <v>6.73</v>
      </c>
      <c r="C924" s="1052">
        <f t="shared" si="144"/>
        <v>5.4328000000000003</v>
      </c>
      <c r="D924" s="1052">
        <f t="shared" si="148"/>
        <v>10.692600000000001</v>
      </c>
      <c r="E924" s="1052">
        <f t="shared" si="149"/>
        <v>7.3357000000000001</v>
      </c>
      <c r="F924" s="1052">
        <f t="shared" si="150"/>
        <v>8.8459000000000003</v>
      </c>
      <c r="G924" s="1052">
        <f t="shared" si="151"/>
        <v>5.8484999999999996</v>
      </c>
      <c r="H924" s="1047">
        <f t="shared" si="145"/>
        <v>7.3357000000000001</v>
      </c>
      <c r="I924" s="1048">
        <f t="shared" si="143"/>
        <v>-8.256880733944949E-2</v>
      </c>
      <c r="J924" s="1048">
        <f t="shared" si="146"/>
        <v>0.12093838824177333</v>
      </c>
      <c r="K924" s="1048">
        <f t="shared" si="147"/>
        <v>0.1</v>
      </c>
      <c r="L924" s="1048"/>
      <c r="N924" s="1051">
        <v>43893</v>
      </c>
      <c r="O924" s="1053">
        <v>6.73</v>
      </c>
      <c r="P924" s="1053">
        <v>1.2181999999999999</v>
      </c>
      <c r="Q924" s="1053">
        <v>7.8803000000000001</v>
      </c>
      <c r="R924" s="1054">
        <f>'B. PE'!$U$23</f>
        <v>15.978235616082999</v>
      </c>
      <c r="S924" s="1054"/>
      <c r="T924" s="1054"/>
      <c r="V924" s="1051">
        <v>43893</v>
      </c>
      <c r="W924" s="198">
        <v>5.4328000000000003</v>
      </c>
      <c r="X924" s="198">
        <v>0.4173</v>
      </c>
      <c r="Y924" s="198">
        <v>8.0251999999999999</v>
      </c>
      <c r="Z924" s="198">
        <v>0.26806000000000002</v>
      </c>
      <c r="AB924" s="1051">
        <v>43852</v>
      </c>
      <c r="AC924" s="198">
        <v>17.594000000000001</v>
      </c>
      <c r="AD924" s="1053">
        <v>1.0784</v>
      </c>
      <c r="AE924" s="198">
        <v>8.4446999999999992</v>
      </c>
      <c r="AF924" s="198">
        <v>2.5319999999999999E-2</v>
      </c>
      <c r="AH924" s="1051">
        <v>43852</v>
      </c>
      <c r="AI924" s="198">
        <v>12.3085</v>
      </c>
      <c r="AJ924" s="198">
        <v>2.0941000000000001</v>
      </c>
      <c r="AK924" s="198">
        <v>6.5678000000000001</v>
      </c>
      <c r="AL924" s="198">
        <v>2.664E-2</v>
      </c>
      <c r="AN924" s="1051">
        <v>43861</v>
      </c>
      <c r="AO924" s="198">
        <v>7.0932000000000004</v>
      </c>
      <c r="AP924" s="198">
        <v>0.68430000000000002</v>
      </c>
      <c r="AQ924" s="198">
        <v>3.6347999999999998</v>
      </c>
      <c r="AR924" s="198">
        <v>0.15806999999999999</v>
      </c>
      <c r="AT924" s="1051">
        <v>43829</v>
      </c>
      <c r="AU924" s="198">
        <v>8.9928000000000008</v>
      </c>
      <c r="AV924" s="198">
        <v>0.50219999999999998</v>
      </c>
      <c r="AX924" s="198">
        <v>0.12559999999999999</v>
      </c>
      <c r="BA924" s="1051">
        <v>43845</v>
      </c>
      <c r="BB924" s="198">
        <v>6.6780999999999997</v>
      </c>
      <c r="BC924" s="198">
        <v>1.1739999999999999</v>
      </c>
      <c r="BD924" s="198">
        <v>7.5755999999999997</v>
      </c>
      <c r="BE924" s="198">
        <v>0.25518999999999997</v>
      </c>
      <c r="BG924" s="1051">
        <v>43845</v>
      </c>
      <c r="BH924" s="198">
        <v>11.230399999999999</v>
      </c>
      <c r="BI924" s="198">
        <v>1.9254</v>
      </c>
      <c r="BJ924" s="198">
        <v>18.451000000000001</v>
      </c>
      <c r="BT924" s="1051">
        <v>43893</v>
      </c>
      <c r="BU924" s="198">
        <v>12.2935</v>
      </c>
      <c r="BV924" s="198">
        <v>3.8813</v>
      </c>
      <c r="BW924" s="198">
        <v>8.7436000000000007</v>
      </c>
      <c r="BX924" s="198">
        <v>1.5277000000000001</v>
      </c>
      <c r="BZ924" s="1051">
        <v>43893</v>
      </c>
      <c r="CA924" s="198">
        <v>7.3068999999999997</v>
      </c>
      <c r="CB924" s="198">
        <v>1.2278</v>
      </c>
      <c r="CC924" s="198">
        <v>11.4114</v>
      </c>
      <c r="CD924" s="198">
        <v>0.52515000000000001</v>
      </c>
      <c r="CF924" s="1051">
        <v>43892</v>
      </c>
      <c r="CI924" s="198">
        <v>10.296099999999999</v>
      </c>
      <c r="CL924" s="1051">
        <v>43910</v>
      </c>
      <c r="CM924" s="198">
        <v>18.3003</v>
      </c>
      <c r="CN924" s="198">
        <v>1.7816000000000001</v>
      </c>
      <c r="CO924" s="198">
        <v>7.8973000000000004</v>
      </c>
    </row>
    <row r="925" spans="1:93" s="198" customFormat="1">
      <c r="A925" s="1051">
        <v>43892</v>
      </c>
      <c r="B925" s="1052">
        <f t="shared" si="142"/>
        <v>6.2914000000000003</v>
      </c>
      <c r="C925" s="1052">
        <f t="shared" si="144"/>
        <v>5.4767999999999999</v>
      </c>
      <c r="D925" s="1052">
        <f t="shared" si="148"/>
        <v>10.4519</v>
      </c>
      <c r="E925" s="1052">
        <f t="shared" si="149"/>
        <v>7.4569000000000001</v>
      </c>
      <c r="F925" s="1052">
        <f t="shared" si="150"/>
        <v>8.6151</v>
      </c>
      <c r="G925" s="1052">
        <f t="shared" si="151"/>
        <v>5.6825999999999999</v>
      </c>
      <c r="H925" s="1047">
        <f t="shared" si="145"/>
        <v>7.4569000000000001</v>
      </c>
      <c r="I925" s="1048">
        <f t="shared" si="143"/>
        <v>-0.15629819361933239</v>
      </c>
      <c r="J925" s="1048">
        <f t="shared" si="146"/>
        <v>0.12093838824177333</v>
      </c>
      <c r="K925" s="1048">
        <f t="shared" si="147"/>
        <v>0.1</v>
      </c>
      <c r="L925" s="1048"/>
      <c r="N925" s="1051">
        <v>43892</v>
      </c>
      <c r="O925" s="1053">
        <v>6.2914000000000003</v>
      </c>
      <c r="P925" s="1053">
        <v>1.1388</v>
      </c>
      <c r="Q925" s="1053">
        <v>7.5233999999999996</v>
      </c>
      <c r="R925" s="1054">
        <f>'B. PE'!$U$23</f>
        <v>15.978235616082999</v>
      </c>
      <c r="S925" s="1054"/>
      <c r="T925" s="1054"/>
      <c r="V925" s="1051">
        <v>43892</v>
      </c>
      <c r="W925" s="198">
        <v>5.4767999999999999</v>
      </c>
      <c r="X925" s="198">
        <v>0.42059999999999997</v>
      </c>
      <c r="Y925" s="198">
        <v>8.0550999999999995</v>
      </c>
      <c r="Z925" s="198">
        <v>0.27315</v>
      </c>
      <c r="AB925" s="1051">
        <v>43851</v>
      </c>
      <c r="AC925" s="198">
        <v>18.241599999999998</v>
      </c>
      <c r="AD925" s="1053">
        <v>1.1181000000000001</v>
      </c>
      <c r="AE925" s="198">
        <v>8.6606000000000005</v>
      </c>
      <c r="AF925" s="198">
        <v>2.5770000000000001E-2</v>
      </c>
      <c r="AH925" s="1051">
        <v>43851</v>
      </c>
      <c r="AI925" s="198">
        <v>12.446</v>
      </c>
      <c r="AJ925" s="198">
        <v>2.1175000000000002</v>
      </c>
      <c r="AK925" s="198">
        <v>6.6353</v>
      </c>
      <c r="AL925" s="198">
        <v>2.6429999999999999E-2</v>
      </c>
      <c r="AN925" s="1051">
        <v>43860</v>
      </c>
      <c r="AO925" s="198">
        <v>7.6387999999999998</v>
      </c>
      <c r="AP925" s="198">
        <v>0.7369</v>
      </c>
      <c r="AQ925" s="198">
        <v>4.0514000000000001</v>
      </c>
      <c r="AR925" s="198">
        <v>0.15417</v>
      </c>
      <c r="AT925" s="1051">
        <v>43823</v>
      </c>
      <c r="AU925" s="198">
        <v>9.3524999999999991</v>
      </c>
      <c r="AV925" s="198">
        <v>0.52229999999999999</v>
      </c>
      <c r="AX925" s="198">
        <v>0.1207</v>
      </c>
      <c r="BA925" s="1051">
        <v>43844</v>
      </c>
      <c r="BB925" s="198">
        <v>6.4292999999999996</v>
      </c>
      <c r="BC925" s="198">
        <v>1.1303000000000001</v>
      </c>
      <c r="BD925" s="198">
        <v>7.4054000000000002</v>
      </c>
      <c r="BE925" s="198">
        <v>0.2515</v>
      </c>
      <c r="BG925" s="1051">
        <v>43844</v>
      </c>
      <c r="BH925" s="198">
        <v>11.307399999999999</v>
      </c>
      <c r="BI925" s="198">
        <v>1.9386000000000001</v>
      </c>
      <c r="BJ925" s="198">
        <v>18.520199999999999</v>
      </c>
      <c r="BT925" s="1051">
        <v>43892</v>
      </c>
      <c r="BU925" s="198">
        <v>12.305099999999999</v>
      </c>
      <c r="BV925" s="198">
        <v>3.8849</v>
      </c>
      <c r="BW925" s="198">
        <v>8.7507000000000001</v>
      </c>
      <c r="BX925" s="198">
        <v>1.5550999999999999</v>
      </c>
      <c r="BZ925" s="1051">
        <v>43892</v>
      </c>
      <c r="CA925" s="198">
        <v>7.2331000000000003</v>
      </c>
      <c r="CB925" s="198">
        <v>1.2154</v>
      </c>
      <c r="CC925" s="198">
        <v>11.365500000000001</v>
      </c>
      <c r="CD925" s="198">
        <v>0.56384000000000001</v>
      </c>
      <c r="CF925" s="1051">
        <v>43889</v>
      </c>
      <c r="CI925" s="198">
        <v>10.296099999999999</v>
      </c>
      <c r="CL925" s="1051">
        <v>43909</v>
      </c>
      <c r="CM925" s="198">
        <v>18.142199999999999</v>
      </c>
      <c r="CN925" s="198">
        <v>1.7662</v>
      </c>
      <c r="CO925" s="198">
        <v>7.8282999999999996</v>
      </c>
    </row>
    <row r="926" spans="1:93" s="198" customFormat="1">
      <c r="A926" s="1051">
        <v>43889</v>
      </c>
      <c r="B926" s="1052">
        <f t="shared" si="142"/>
        <v>6.3164999999999996</v>
      </c>
      <c r="C926" s="1052">
        <f t="shared" si="144"/>
        <v>5.4181999999999997</v>
      </c>
      <c r="D926" s="1052">
        <f t="shared" si="148"/>
        <v>10.555099999999999</v>
      </c>
      <c r="E926" s="1052">
        <f t="shared" si="149"/>
        <v>7.3357000000000001</v>
      </c>
      <c r="F926" s="1052">
        <f t="shared" si="150"/>
        <v>8.7690000000000001</v>
      </c>
      <c r="G926" s="1052">
        <f t="shared" si="151"/>
        <v>5.8484999999999996</v>
      </c>
      <c r="H926" s="1047">
        <f t="shared" si="145"/>
        <v>7.3357000000000001</v>
      </c>
      <c r="I926" s="1048">
        <f t="shared" si="143"/>
        <v>-0.138936979429366</v>
      </c>
      <c r="J926" s="1048">
        <f t="shared" si="146"/>
        <v>0.12093838824177333</v>
      </c>
      <c r="K926" s="1048">
        <f t="shared" si="147"/>
        <v>0.1</v>
      </c>
      <c r="L926" s="1048"/>
      <c r="N926" s="1051">
        <v>43889</v>
      </c>
      <c r="O926" s="1053">
        <v>6.3164999999999996</v>
      </c>
      <c r="P926" s="1053">
        <v>1.1433</v>
      </c>
      <c r="Q926" s="1053">
        <v>7.5438000000000001</v>
      </c>
      <c r="R926" s="1054">
        <f>'B. PE'!$U$23</f>
        <v>15.978235616082999</v>
      </c>
      <c r="S926" s="1054"/>
      <c r="T926" s="1054"/>
      <c r="V926" s="1051">
        <v>43889</v>
      </c>
      <c r="W926" s="198">
        <v>5.4181999999999997</v>
      </c>
      <c r="X926" s="198">
        <v>0.41610000000000003</v>
      </c>
      <c r="Y926" s="198">
        <v>8.0152999999999999</v>
      </c>
      <c r="Z926" s="198">
        <v>0.27161000000000002</v>
      </c>
      <c r="AB926" s="1051">
        <v>43850</v>
      </c>
      <c r="AC926" s="198">
        <v>18.619399999999999</v>
      </c>
      <c r="AD926" s="1053">
        <v>1.1412</v>
      </c>
      <c r="AE926" s="198">
        <v>8.7864000000000004</v>
      </c>
      <c r="AF926" s="198">
        <v>2.462E-2</v>
      </c>
      <c r="AH926" s="1051">
        <v>43850</v>
      </c>
      <c r="AI926" s="198">
        <v>12.480399999999999</v>
      </c>
      <c r="AJ926" s="198">
        <v>2.1233</v>
      </c>
      <c r="AK926" s="198">
        <v>6.6521999999999997</v>
      </c>
      <c r="AL926" s="198">
        <v>2.6599999999999999E-2</v>
      </c>
      <c r="AN926" s="1051">
        <v>43859</v>
      </c>
      <c r="AO926" s="198">
        <v>7.8207000000000004</v>
      </c>
      <c r="AP926" s="198">
        <v>0.75439999999999996</v>
      </c>
      <c r="AQ926" s="198">
        <v>4.1901999999999999</v>
      </c>
      <c r="AR926" s="198">
        <v>0.16113</v>
      </c>
      <c r="AT926" s="1051">
        <v>43822</v>
      </c>
      <c r="AU926" s="198">
        <v>9.3524999999999991</v>
      </c>
      <c r="AV926" s="198">
        <v>0.52229999999999999</v>
      </c>
      <c r="AX926" s="198">
        <v>0.12069000000000001</v>
      </c>
      <c r="BA926" s="1051">
        <v>43843</v>
      </c>
      <c r="BB926" s="198">
        <v>6.3878000000000004</v>
      </c>
      <c r="BC926" s="198">
        <v>1.123</v>
      </c>
      <c r="BD926" s="198">
        <v>7.3769999999999998</v>
      </c>
      <c r="BE926" s="198">
        <v>0.24947</v>
      </c>
      <c r="BG926" s="1051">
        <v>43843</v>
      </c>
      <c r="BH926" s="198">
        <v>11.230399999999999</v>
      </c>
      <c r="BI926" s="198">
        <v>1.9254</v>
      </c>
      <c r="BJ926" s="198">
        <v>18.451000000000001</v>
      </c>
      <c r="BT926" s="1051">
        <v>43889</v>
      </c>
      <c r="BU926" s="198">
        <v>12.305099999999999</v>
      </c>
      <c r="BV926" s="198">
        <v>3.8849</v>
      </c>
      <c r="BW926" s="198">
        <v>8.7507000000000001</v>
      </c>
      <c r="BX926" s="198">
        <v>1.5229999999999999</v>
      </c>
      <c r="BZ926" s="1051">
        <v>43889</v>
      </c>
      <c r="CA926" s="198">
        <v>7.7682000000000002</v>
      </c>
      <c r="CB926" s="198">
        <v>1.3052999999999999</v>
      </c>
      <c r="CC926" s="198">
        <v>11.6988</v>
      </c>
      <c r="CD926" s="198">
        <v>0.55369999999999997</v>
      </c>
      <c r="CF926" s="1051">
        <v>43888</v>
      </c>
      <c r="CI926" s="198">
        <v>10.296099999999999</v>
      </c>
      <c r="CL926" s="1051">
        <v>43908</v>
      </c>
      <c r="CM926" s="198">
        <v>17.389099999999999</v>
      </c>
      <c r="CN926" s="198">
        <v>1.6929000000000001</v>
      </c>
      <c r="CO926" s="198">
        <v>7.5000999999999998</v>
      </c>
    </row>
    <row r="927" spans="1:93" s="198" customFormat="1">
      <c r="A927" s="1051">
        <v>43888</v>
      </c>
      <c r="B927" s="1052">
        <f t="shared" si="142"/>
        <v>6.6673999999999998</v>
      </c>
      <c r="C927" s="1052">
        <f t="shared" si="144"/>
        <v>5.5206999999999997</v>
      </c>
      <c r="D927" s="1052">
        <f t="shared" si="148"/>
        <v>11.586499999999999</v>
      </c>
      <c r="E927" s="1052">
        <f t="shared" si="149"/>
        <v>7.8813000000000004</v>
      </c>
      <c r="F927" s="1052">
        <f t="shared" si="150"/>
        <v>9.1536000000000008</v>
      </c>
      <c r="G927" s="1052">
        <f t="shared" si="151"/>
        <v>6.0559000000000003</v>
      </c>
      <c r="H927" s="1047">
        <f t="shared" si="145"/>
        <v>7.8813000000000004</v>
      </c>
      <c r="I927" s="1048">
        <f t="shared" si="143"/>
        <v>-0.15402281349523561</v>
      </c>
      <c r="J927" s="1048">
        <f t="shared" si="146"/>
        <v>0.12093838824177333</v>
      </c>
      <c r="K927" s="1048">
        <f t="shared" si="147"/>
        <v>0.1</v>
      </c>
      <c r="L927" s="1048"/>
      <c r="N927" s="1051">
        <v>43888</v>
      </c>
      <c r="O927" s="1053">
        <v>6.6673999999999998</v>
      </c>
      <c r="P927" s="1053">
        <v>1.2068000000000001</v>
      </c>
      <c r="Q927" s="1053">
        <v>7.8292999999999999</v>
      </c>
      <c r="R927" s="1054">
        <f>'B. PE'!$U$23</f>
        <v>15.978235616082999</v>
      </c>
      <c r="S927" s="1054"/>
      <c r="T927" s="1054"/>
      <c r="V927" s="1051">
        <v>43888</v>
      </c>
      <c r="W927" s="198">
        <v>5.5206999999999997</v>
      </c>
      <c r="X927" s="198">
        <v>0.42399999999999999</v>
      </c>
      <c r="Y927" s="198">
        <v>8.0850000000000009</v>
      </c>
      <c r="Z927" s="198">
        <v>0.27135999999999999</v>
      </c>
      <c r="AB927" s="1051">
        <v>43847</v>
      </c>
      <c r="AC927" s="198">
        <v>18.997199999999999</v>
      </c>
      <c r="AD927" s="1053">
        <v>1.1644000000000001</v>
      </c>
      <c r="AE927" s="198">
        <v>8.9123000000000001</v>
      </c>
      <c r="AF927" s="198">
        <v>2.4830000000000001E-2</v>
      </c>
      <c r="AH927" s="1051">
        <v>43847</v>
      </c>
      <c r="AI927" s="198">
        <v>12.4116</v>
      </c>
      <c r="AJ927" s="198">
        <v>2.1116000000000001</v>
      </c>
      <c r="AK927" s="198">
        <v>6.6185</v>
      </c>
      <c r="AL927" s="198">
        <v>2.6370000000000001E-2</v>
      </c>
      <c r="AN927" s="1051">
        <v>43858</v>
      </c>
      <c r="AO927" s="198">
        <v>7.6387999999999998</v>
      </c>
      <c r="AP927" s="198">
        <v>0.7369</v>
      </c>
      <c r="AQ927" s="198">
        <v>4.0514000000000001</v>
      </c>
      <c r="AR927" s="198">
        <v>0.15945999999999999</v>
      </c>
      <c r="AT927" s="1051">
        <v>43818</v>
      </c>
      <c r="AU927" s="198">
        <v>8.9928000000000008</v>
      </c>
      <c r="AV927" s="198">
        <v>0.50219999999999998</v>
      </c>
      <c r="AX927" s="198">
        <v>0.11948</v>
      </c>
      <c r="BA927" s="1051">
        <v>43840</v>
      </c>
      <c r="BB927" s="198">
        <v>6.3048000000000002</v>
      </c>
      <c r="BC927" s="198">
        <v>1.1084000000000001</v>
      </c>
      <c r="BD927" s="198">
        <v>7.3202999999999996</v>
      </c>
      <c r="BE927" s="198">
        <v>0.24376999999999999</v>
      </c>
      <c r="BG927" s="1051">
        <v>43840</v>
      </c>
      <c r="BH927" s="198">
        <v>11.307399999999999</v>
      </c>
      <c r="BI927" s="198">
        <v>1.9386000000000001</v>
      </c>
      <c r="BJ927" s="198">
        <v>18.520199999999999</v>
      </c>
      <c r="BT927" s="1051">
        <v>43888</v>
      </c>
      <c r="BU927" s="198">
        <v>12.5246</v>
      </c>
      <c r="BV927" s="198">
        <v>3.9542000000000002</v>
      </c>
      <c r="BW927" s="198">
        <v>8.8848000000000003</v>
      </c>
      <c r="BX927" s="198">
        <v>1.5330999999999999</v>
      </c>
      <c r="BZ927" s="1051">
        <v>43888</v>
      </c>
      <c r="CA927" s="198">
        <v>8.3401999999999994</v>
      </c>
      <c r="CB927" s="198">
        <v>1.4014</v>
      </c>
      <c r="CC927" s="198">
        <v>12.055099999999999</v>
      </c>
      <c r="CD927" s="198">
        <v>0.54071000000000002</v>
      </c>
      <c r="CF927" s="1051">
        <v>43887</v>
      </c>
      <c r="CI927" s="198">
        <v>10.296099999999999</v>
      </c>
      <c r="CL927" s="1051">
        <v>43907</v>
      </c>
      <c r="CM927" s="198">
        <v>17.720400000000001</v>
      </c>
      <c r="CN927" s="198">
        <v>1.7251000000000001</v>
      </c>
      <c r="CO927" s="198">
        <v>7.6444999999999999</v>
      </c>
    </row>
    <row r="928" spans="1:93" s="198" customFormat="1">
      <c r="A928" s="1051">
        <v>43887</v>
      </c>
      <c r="B928" s="1052">
        <f t="shared" si="142"/>
        <v>6.6673999999999998</v>
      </c>
      <c r="C928" s="1052">
        <f t="shared" si="144"/>
        <v>5.4913999999999996</v>
      </c>
      <c r="D928" s="1052">
        <f t="shared" si="148"/>
        <v>11.586499999999999</v>
      </c>
      <c r="E928" s="1052">
        <f t="shared" si="149"/>
        <v>8.2451000000000008</v>
      </c>
      <c r="F928" s="1052">
        <f t="shared" si="150"/>
        <v>8.9228000000000005</v>
      </c>
      <c r="G928" s="1052">
        <f t="shared" si="151"/>
        <v>6.1803999999999997</v>
      </c>
      <c r="H928" s="1047">
        <f t="shared" si="145"/>
        <v>8.2451000000000008</v>
      </c>
      <c r="I928" s="1048">
        <f t="shared" si="143"/>
        <v>-0.19135001394767814</v>
      </c>
      <c r="J928" s="1048">
        <f t="shared" si="146"/>
        <v>0.12093838824177333</v>
      </c>
      <c r="K928" s="1048">
        <f t="shared" si="147"/>
        <v>0.1</v>
      </c>
      <c r="L928" s="1048"/>
      <c r="N928" s="1051">
        <v>43887</v>
      </c>
      <c r="O928" s="1053">
        <v>6.6673999999999998</v>
      </c>
      <c r="P928" s="1053">
        <v>1.2068000000000001</v>
      </c>
      <c r="Q928" s="1053">
        <v>7.8292999999999999</v>
      </c>
      <c r="R928" s="1054">
        <f>'B. PE'!$U$23</f>
        <v>15.978235616082999</v>
      </c>
      <c r="S928" s="1054"/>
      <c r="T928" s="1054"/>
      <c r="V928" s="1051">
        <v>43887</v>
      </c>
      <c r="W928" s="198">
        <v>5.4913999999999996</v>
      </c>
      <c r="X928" s="198">
        <v>0.42180000000000001</v>
      </c>
      <c r="Y928" s="198">
        <v>8.0650999999999993</v>
      </c>
      <c r="Z928" s="198">
        <v>0.27515000000000001</v>
      </c>
      <c r="AB928" s="1051">
        <v>43846</v>
      </c>
      <c r="AC928" s="198">
        <v>18.133700000000001</v>
      </c>
      <c r="AD928" s="1053">
        <v>1.1114999999999999</v>
      </c>
      <c r="AE928" s="198">
        <v>8.6245999999999992</v>
      </c>
      <c r="AF928" s="198">
        <v>2.5989999999999999E-2</v>
      </c>
      <c r="AH928" s="1051">
        <v>43846</v>
      </c>
      <c r="AI928" s="198">
        <v>12.480399999999999</v>
      </c>
      <c r="AJ928" s="198">
        <v>2.1233</v>
      </c>
      <c r="AK928" s="198">
        <v>6.6521999999999997</v>
      </c>
      <c r="AL928" s="198">
        <v>2.6429999999999999E-2</v>
      </c>
      <c r="AN928" s="1051">
        <v>43854</v>
      </c>
      <c r="AO928" s="198">
        <v>7.9419000000000004</v>
      </c>
      <c r="AP928" s="198">
        <v>0.7661</v>
      </c>
      <c r="AQ928" s="198">
        <v>4.2827999999999999</v>
      </c>
      <c r="AR928" s="198">
        <v>0.15869</v>
      </c>
      <c r="AT928" s="1051">
        <v>43817</v>
      </c>
      <c r="AU928" s="198">
        <v>8.9928000000000008</v>
      </c>
      <c r="AV928" s="198">
        <v>0.50219999999999998</v>
      </c>
      <c r="AX928" s="198">
        <v>0.11829000000000001</v>
      </c>
      <c r="BA928" s="1051">
        <v>43839</v>
      </c>
      <c r="BB928" s="198">
        <v>6.2633000000000001</v>
      </c>
      <c r="BC928" s="198">
        <v>1.1011</v>
      </c>
      <c r="BD928" s="198">
        <v>7.2919</v>
      </c>
      <c r="BE928" s="198">
        <v>0.2457</v>
      </c>
      <c r="BG928" s="1051">
        <v>43839</v>
      </c>
      <c r="BH928" s="198">
        <v>11.307399999999999</v>
      </c>
      <c r="BI928" s="198">
        <v>1.9386000000000001</v>
      </c>
      <c r="BJ928" s="198">
        <v>18.520199999999999</v>
      </c>
      <c r="BT928" s="1051">
        <v>43887</v>
      </c>
      <c r="BU928" s="198">
        <v>12.2704</v>
      </c>
      <c r="BV928" s="198">
        <v>3.8740000000000001</v>
      </c>
      <c r="BW928" s="198">
        <v>8.7294999999999998</v>
      </c>
      <c r="BX928" s="198">
        <v>1.5226</v>
      </c>
      <c r="BZ928" s="1051">
        <v>43887</v>
      </c>
      <c r="CA928" s="198">
        <v>8.1925000000000008</v>
      </c>
      <c r="CB928" s="198">
        <v>1.3766</v>
      </c>
      <c r="CC928" s="198">
        <v>11.963200000000001</v>
      </c>
      <c r="CD928" s="198">
        <v>0.55601999999999996</v>
      </c>
      <c r="CF928" s="1051">
        <v>43886</v>
      </c>
      <c r="CG928" s="198">
        <v>6.5602999999999998</v>
      </c>
      <c r="CH928" s="198">
        <v>1.0329999999999999</v>
      </c>
      <c r="CI928" s="198">
        <v>10.296099999999999</v>
      </c>
      <c r="CL928" s="1051">
        <v>43906</v>
      </c>
      <c r="CM928" s="198">
        <v>17.3062</v>
      </c>
      <c r="CN928" s="198">
        <v>1.6848000000000001</v>
      </c>
      <c r="CO928" s="198">
        <v>7.4640000000000004</v>
      </c>
    </row>
    <row r="929" spans="1:93" s="198" customFormat="1">
      <c r="A929" s="1051">
        <v>43886</v>
      </c>
      <c r="B929" s="1052">
        <f t="shared" si="142"/>
        <v>6.8428000000000004</v>
      </c>
      <c r="C929" s="1052">
        <f t="shared" si="144"/>
        <v>5.4913999999999996</v>
      </c>
      <c r="D929" s="1052">
        <f t="shared" si="148"/>
        <v>11.6553</v>
      </c>
      <c r="E929" s="1052">
        <f t="shared" si="149"/>
        <v>8.4876000000000005</v>
      </c>
      <c r="F929" s="1052">
        <f t="shared" si="150"/>
        <v>9.6151</v>
      </c>
      <c r="G929" s="1052">
        <f t="shared" si="151"/>
        <v>6.3878000000000004</v>
      </c>
      <c r="H929" s="1047">
        <f t="shared" si="145"/>
        <v>8.4876000000000005</v>
      </c>
      <c r="I929" s="1048">
        <f t="shared" si="143"/>
        <v>-0.19378858570149393</v>
      </c>
      <c r="J929" s="1048">
        <f t="shared" si="146"/>
        <v>0.12093838824177333</v>
      </c>
      <c r="K929" s="1048">
        <f t="shared" si="147"/>
        <v>0.1</v>
      </c>
      <c r="L929" s="1048"/>
      <c r="N929" s="1051">
        <v>43886</v>
      </c>
      <c r="O929" s="1053">
        <v>6.8428000000000004</v>
      </c>
      <c r="P929" s="1053">
        <v>1.2385999999999999</v>
      </c>
      <c r="Q929" s="1053">
        <v>7.9721000000000002</v>
      </c>
      <c r="R929" s="1054">
        <f>'B. PE'!$U$23</f>
        <v>15.978235616082999</v>
      </c>
      <c r="S929" s="1054"/>
      <c r="T929" s="1054"/>
      <c r="V929" s="1051">
        <v>43886</v>
      </c>
      <c r="W929" s="198">
        <v>5.4913999999999996</v>
      </c>
      <c r="X929" s="198">
        <v>0.42180000000000001</v>
      </c>
      <c r="Y929" s="198">
        <v>8.0650999999999993</v>
      </c>
      <c r="Z929" s="198">
        <v>0.27634999999999998</v>
      </c>
      <c r="AB929" s="1051">
        <v>43845</v>
      </c>
      <c r="AC929" s="198">
        <v>18.349499999999999</v>
      </c>
      <c r="AD929" s="1053">
        <v>1.1247</v>
      </c>
      <c r="AE929" s="198">
        <v>8.6965000000000003</v>
      </c>
      <c r="AF929" s="198">
        <v>2.6030000000000001E-2</v>
      </c>
      <c r="AH929" s="1051">
        <v>43845</v>
      </c>
      <c r="AI929" s="198">
        <v>12.4116</v>
      </c>
      <c r="AJ929" s="198">
        <v>2.1116000000000001</v>
      </c>
      <c r="AK929" s="198">
        <v>6.6185</v>
      </c>
      <c r="AL929" s="198">
        <v>2.647E-2</v>
      </c>
      <c r="AN929" s="1051">
        <v>43853</v>
      </c>
      <c r="AO929" s="198">
        <v>7.8813000000000004</v>
      </c>
      <c r="AP929" s="198">
        <v>0.76029999999999998</v>
      </c>
      <c r="AQ929" s="198">
        <v>4.2365000000000004</v>
      </c>
      <c r="AR929" s="198">
        <v>0.16335</v>
      </c>
      <c r="AT929" s="1051">
        <v>43816</v>
      </c>
      <c r="AU929" s="198">
        <v>8.9029000000000007</v>
      </c>
      <c r="AV929" s="198">
        <v>0.49719999999999998</v>
      </c>
      <c r="AX929" s="198">
        <v>0.11851</v>
      </c>
      <c r="BA929" s="1051">
        <v>43838</v>
      </c>
      <c r="BB929" s="198">
        <v>6.1388999999999996</v>
      </c>
      <c r="BC929" s="198">
        <v>1.0791999999999999</v>
      </c>
      <c r="BD929" s="198">
        <v>7.2068000000000003</v>
      </c>
      <c r="BE929" s="198">
        <v>0.252</v>
      </c>
      <c r="BG929" s="1051">
        <v>43838</v>
      </c>
      <c r="BH929" s="198">
        <v>11.076599999999999</v>
      </c>
      <c r="BI929" s="198">
        <v>1.899</v>
      </c>
      <c r="BJ929" s="198">
        <v>18.3124</v>
      </c>
      <c r="BT929" s="1051">
        <v>43886</v>
      </c>
      <c r="BU929" s="198">
        <v>12.3629</v>
      </c>
      <c r="BV929" s="198">
        <v>3.9030999999999998</v>
      </c>
      <c r="BW929" s="198">
        <v>8.7859999999999996</v>
      </c>
      <c r="BX929" s="198">
        <v>1.5863</v>
      </c>
      <c r="BZ929" s="1051">
        <v>43886</v>
      </c>
      <c r="CA929" s="198">
        <v>8.0079999999999991</v>
      </c>
      <c r="CB929" s="198">
        <v>1.3455999999999999</v>
      </c>
      <c r="CC929" s="198">
        <v>11.8482</v>
      </c>
      <c r="CD929" s="198">
        <v>0.53378999999999999</v>
      </c>
      <c r="CF929" s="1051">
        <v>43885</v>
      </c>
      <c r="CG929" s="198">
        <v>7.0418000000000003</v>
      </c>
      <c r="CH929" s="198">
        <v>1.1088</v>
      </c>
      <c r="CI929" s="198">
        <v>10.5563</v>
      </c>
      <c r="CL929" s="1051">
        <v>43903</v>
      </c>
      <c r="CM929" s="198">
        <v>17.742999999999999</v>
      </c>
      <c r="CN929" s="198">
        <v>1.7273000000000001</v>
      </c>
      <c r="CO929" s="198">
        <v>7.6543999999999999</v>
      </c>
    </row>
    <row r="930" spans="1:93" s="198" customFormat="1">
      <c r="A930" s="1051">
        <v>43885</v>
      </c>
      <c r="B930" s="1052">
        <f t="shared" si="142"/>
        <v>6.5045000000000002</v>
      </c>
      <c r="C930" s="1052">
        <f t="shared" si="144"/>
        <v>5.5646000000000004</v>
      </c>
      <c r="D930" s="1052">
        <f t="shared" si="148"/>
        <v>11.827199999999999</v>
      </c>
      <c r="E930" s="1052">
        <f t="shared" si="149"/>
        <v>8.4268999999999998</v>
      </c>
      <c r="F930" s="1052">
        <f t="shared" si="150"/>
        <v>9.6920000000000002</v>
      </c>
      <c r="G930" s="1052">
        <f t="shared" si="151"/>
        <v>6.5122</v>
      </c>
      <c r="H930" s="1047">
        <f t="shared" si="145"/>
        <v>8.4268999999999998</v>
      </c>
      <c r="I930" s="1048">
        <f t="shared" si="143"/>
        <v>-0.22812659459587747</v>
      </c>
      <c r="J930" s="1048">
        <f t="shared" si="146"/>
        <v>0.12093838824177333</v>
      </c>
      <c r="K930" s="1048">
        <f t="shared" si="147"/>
        <v>0.1</v>
      </c>
      <c r="L930" s="1048"/>
      <c r="N930" s="1051">
        <v>43885</v>
      </c>
      <c r="O930" s="1053">
        <v>6.5045000000000002</v>
      </c>
      <c r="P930" s="1053">
        <v>1.1774</v>
      </c>
      <c r="Q930" s="1053">
        <v>7.6966999999999999</v>
      </c>
      <c r="R930" s="1054">
        <f>'B. PE'!$U$23</f>
        <v>15.978235616082999</v>
      </c>
      <c r="S930" s="1054"/>
      <c r="T930" s="1054"/>
      <c r="V930" s="1051">
        <v>43885</v>
      </c>
      <c r="W930" s="198">
        <v>5.5646000000000004</v>
      </c>
      <c r="X930" s="198">
        <v>0.4274</v>
      </c>
      <c r="Y930" s="198">
        <v>8.1149000000000004</v>
      </c>
      <c r="Z930" s="198">
        <v>0.27642</v>
      </c>
      <c r="AB930" s="1051">
        <v>43844</v>
      </c>
      <c r="AC930" s="198">
        <v>19.213100000000001</v>
      </c>
      <c r="AD930" s="1053">
        <v>1.1776</v>
      </c>
      <c r="AE930" s="198">
        <v>8.9842999999999993</v>
      </c>
      <c r="AF930" s="198">
        <v>2.4559999999999998E-2</v>
      </c>
      <c r="AH930" s="1051">
        <v>43844</v>
      </c>
      <c r="AI930" s="198">
        <v>12.446</v>
      </c>
      <c r="AJ930" s="198">
        <v>2.1175000000000002</v>
      </c>
      <c r="AK930" s="198">
        <v>6.6353</v>
      </c>
      <c r="AL930" s="198">
        <v>2.6519999999999998E-2</v>
      </c>
      <c r="AN930" s="1051">
        <v>43852</v>
      </c>
      <c r="AO930" s="198">
        <v>7.8207000000000004</v>
      </c>
      <c r="AP930" s="198">
        <v>0.75439999999999996</v>
      </c>
      <c r="AQ930" s="198">
        <v>4.1901999999999999</v>
      </c>
      <c r="AR930" s="198">
        <v>0.16381000000000001</v>
      </c>
      <c r="AT930" s="1051">
        <v>43815</v>
      </c>
      <c r="AU930" s="198">
        <v>8.8129000000000008</v>
      </c>
      <c r="AV930" s="198">
        <v>0.49220000000000003</v>
      </c>
      <c r="AX930" s="198">
        <v>0.1142</v>
      </c>
      <c r="BA930" s="1051">
        <v>43837</v>
      </c>
      <c r="BB930" s="198">
        <v>6.1803999999999997</v>
      </c>
      <c r="BC930" s="198">
        <v>1.0865</v>
      </c>
      <c r="BD930" s="198">
        <v>7.2351999999999999</v>
      </c>
      <c r="BE930" s="198">
        <v>0.25518000000000002</v>
      </c>
      <c r="BG930" s="1051">
        <v>43837</v>
      </c>
      <c r="BH930" s="198">
        <v>11.307399999999999</v>
      </c>
      <c r="BI930" s="198">
        <v>1.9386000000000001</v>
      </c>
      <c r="BJ930" s="198">
        <v>18.520199999999999</v>
      </c>
      <c r="BT930" s="1051">
        <v>43885</v>
      </c>
      <c r="BU930" s="198">
        <v>12.2704</v>
      </c>
      <c r="BV930" s="198">
        <v>3.8740000000000001</v>
      </c>
      <c r="BW930" s="198">
        <v>8.7294999999999998</v>
      </c>
      <c r="BX930" s="198">
        <v>1.5867</v>
      </c>
      <c r="BZ930" s="1051">
        <v>43885</v>
      </c>
      <c r="CA930" s="198">
        <v>8.2294</v>
      </c>
      <c r="CB930" s="198">
        <v>1.3828</v>
      </c>
      <c r="CC930" s="198">
        <v>11.9862</v>
      </c>
      <c r="CD930" s="198">
        <v>0.499</v>
      </c>
      <c r="CF930" s="1051">
        <v>43882</v>
      </c>
      <c r="CI930" s="198">
        <v>10.979200000000001</v>
      </c>
      <c r="CL930" s="1051">
        <v>43902</v>
      </c>
      <c r="CM930" s="198">
        <v>17.697800000000001</v>
      </c>
      <c r="CN930" s="198">
        <v>1.7229000000000001</v>
      </c>
      <c r="CO930" s="198">
        <v>7.6346999999999996</v>
      </c>
    </row>
    <row r="931" spans="1:93" s="198" customFormat="1">
      <c r="A931" s="1051">
        <v>43882</v>
      </c>
      <c r="B931" s="1052">
        <f t="shared" si="142"/>
        <v>6.9431000000000003</v>
      </c>
      <c r="C931" s="1052">
        <f t="shared" si="144"/>
        <v>5.5865999999999998</v>
      </c>
      <c r="D931" s="1052">
        <f t="shared" si="148"/>
        <v>11.9991</v>
      </c>
      <c r="E931" s="1052">
        <f t="shared" si="149"/>
        <v>8.8513000000000002</v>
      </c>
      <c r="F931" s="1052">
        <f t="shared" si="150"/>
        <v>9.9228000000000005</v>
      </c>
      <c r="G931" s="1052">
        <f t="shared" si="151"/>
        <v>6.7610999999999999</v>
      </c>
      <c r="H931" s="1047">
        <f t="shared" si="145"/>
        <v>8.8513000000000002</v>
      </c>
      <c r="I931" s="1048">
        <f t="shared" si="143"/>
        <v>-0.21558415148057342</v>
      </c>
      <c r="J931" s="1048">
        <f t="shared" si="146"/>
        <v>0.12093838824177333</v>
      </c>
      <c r="K931" s="1048">
        <f t="shared" si="147"/>
        <v>0.1</v>
      </c>
      <c r="L931" s="1048"/>
      <c r="N931" s="1051">
        <v>43882</v>
      </c>
      <c r="O931" s="1053">
        <v>6.9431000000000003</v>
      </c>
      <c r="P931" s="1053">
        <v>1.2567999999999999</v>
      </c>
      <c r="Q931" s="1053">
        <v>8.0535999999999994</v>
      </c>
      <c r="R931" s="1054">
        <f>'B. PE'!$U$23</f>
        <v>15.978235616082999</v>
      </c>
      <c r="S931" s="1054"/>
      <c r="T931" s="1054"/>
      <c r="V931" s="1051">
        <v>43882</v>
      </c>
      <c r="W931" s="198">
        <v>5.5865999999999998</v>
      </c>
      <c r="X931" s="198">
        <v>0.42909999999999998</v>
      </c>
      <c r="Y931" s="198">
        <v>8.1298999999999992</v>
      </c>
      <c r="Z931" s="198">
        <v>0.27495999999999998</v>
      </c>
      <c r="AB931" s="1051">
        <v>43843</v>
      </c>
      <c r="AC931" s="198">
        <v>19.213100000000001</v>
      </c>
      <c r="AD931" s="1053">
        <v>1.1776</v>
      </c>
      <c r="AE931" s="198">
        <v>8.9842999999999993</v>
      </c>
      <c r="AF931" s="198">
        <v>2.469E-2</v>
      </c>
      <c r="AH931" s="1051">
        <v>43843</v>
      </c>
      <c r="AI931" s="198">
        <v>12.446</v>
      </c>
      <c r="AJ931" s="198">
        <v>2.1175000000000002</v>
      </c>
      <c r="AK931" s="198">
        <v>6.6353</v>
      </c>
      <c r="AL931" s="198">
        <v>2.614E-2</v>
      </c>
      <c r="AN931" s="1051">
        <v>43851</v>
      </c>
      <c r="AO931" s="198">
        <v>8.0632000000000001</v>
      </c>
      <c r="AP931" s="198">
        <v>0.77780000000000005</v>
      </c>
      <c r="AQ931" s="198">
        <v>4.3754</v>
      </c>
      <c r="AR931" s="198">
        <v>0.16646</v>
      </c>
      <c r="AT931" s="1051">
        <v>43812</v>
      </c>
      <c r="AU931" s="198">
        <v>8.8129000000000008</v>
      </c>
      <c r="AV931" s="198">
        <v>0.49220000000000003</v>
      </c>
      <c r="AX931" s="198">
        <v>0.11645999999999999</v>
      </c>
      <c r="BA931" s="1051">
        <v>43836</v>
      </c>
      <c r="BB931" s="198">
        <v>6.3048000000000002</v>
      </c>
      <c r="BC931" s="198">
        <v>1.1084000000000001</v>
      </c>
      <c r="BD931" s="198">
        <v>7.3202999999999996</v>
      </c>
      <c r="BE931" s="198">
        <v>0.25534000000000001</v>
      </c>
      <c r="BG931" s="1051">
        <v>43836</v>
      </c>
      <c r="BH931" s="198">
        <v>11.230399999999999</v>
      </c>
      <c r="BI931" s="198">
        <v>1.9254</v>
      </c>
      <c r="BJ931" s="198">
        <v>18.451000000000001</v>
      </c>
      <c r="BT931" s="1051">
        <v>43882</v>
      </c>
      <c r="BU931" s="198">
        <v>12.7788</v>
      </c>
      <c r="BV931" s="198">
        <v>4.0345000000000004</v>
      </c>
      <c r="BW931" s="198">
        <v>9.0401000000000007</v>
      </c>
      <c r="BX931" s="198">
        <v>1.5851999999999999</v>
      </c>
      <c r="BZ931" s="1051">
        <v>43882</v>
      </c>
      <c r="CA931" s="198">
        <v>7.8973000000000004</v>
      </c>
      <c r="CB931" s="198">
        <v>1.327</v>
      </c>
      <c r="CC931" s="198">
        <v>11.779299999999999</v>
      </c>
      <c r="CD931" s="198">
        <v>0.47153</v>
      </c>
      <c r="CF931" s="1051">
        <v>43881</v>
      </c>
      <c r="CG931" s="198">
        <v>7.8243</v>
      </c>
      <c r="CH931" s="198">
        <v>1.232</v>
      </c>
      <c r="CI931" s="198">
        <v>10.979200000000001</v>
      </c>
      <c r="CL931" s="1051">
        <v>43901</v>
      </c>
      <c r="CM931" s="198">
        <v>18.338000000000001</v>
      </c>
      <c r="CN931" s="198">
        <v>1.7853000000000001</v>
      </c>
      <c r="CO931" s="198">
        <v>7.9137000000000004</v>
      </c>
    </row>
    <row r="932" spans="1:93" s="198" customFormat="1">
      <c r="A932" s="1051">
        <v>43881</v>
      </c>
      <c r="B932" s="1052">
        <f t="shared" si="142"/>
        <v>6.8428000000000004</v>
      </c>
      <c r="C932" s="1052">
        <f t="shared" si="144"/>
        <v>5.5865999999999998</v>
      </c>
      <c r="D932" s="1052">
        <f t="shared" si="148"/>
        <v>11.861499999999999</v>
      </c>
      <c r="E932" s="1052">
        <f t="shared" si="149"/>
        <v>8.4268999999999998</v>
      </c>
      <c r="F932" s="1052">
        <f t="shared" si="150"/>
        <v>9.7689000000000004</v>
      </c>
      <c r="G932" s="1052">
        <f t="shared" si="151"/>
        <v>6.7610999999999999</v>
      </c>
      <c r="H932" s="1047">
        <f t="shared" si="145"/>
        <v>8.4268999999999998</v>
      </c>
      <c r="I932" s="1048">
        <f t="shared" si="143"/>
        <v>-0.18798134545325085</v>
      </c>
      <c r="J932" s="1048">
        <f t="shared" si="146"/>
        <v>0.12093838824177333</v>
      </c>
      <c r="K932" s="1048">
        <f t="shared" si="147"/>
        <v>0.1</v>
      </c>
      <c r="L932" s="1048"/>
      <c r="N932" s="1051">
        <v>43881</v>
      </c>
      <c r="O932" s="1053">
        <v>6.8428000000000004</v>
      </c>
      <c r="P932" s="1053">
        <v>1.2385999999999999</v>
      </c>
      <c r="Q932" s="1053">
        <v>7.9721000000000002</v>
      </c>
      <c r="R932" s="1054">
        <f>'B. PE'!$U$23</f>
        <v>15.978235616082999</v>
      </c>
      <c r="S932" s="1054"/>
      <c r="T932" s="1054"/>
      <c r="V932" s="1051">
        <v>43881</v>
      </c>
      <c r="W932" s="198">
        <v>5.5865999999999998</v>
      </c>
      <c r="X932" s="198">
        <v>0.42909999999999998</v>
      </c>
      <c r="Y932" s="198">
        <v>8.1298999999999992</v>
      </c>
      <c r="Z932" s="198">
        <v>0.27500000000000002</v>
      </c>
      <c r="AB932" s="1051">
        <v>43840</v>
      </c>
      <c r="AC932" s="198">
        <v>18.241599999999998</v>
      </c>
      <c r="AD932" s="1053">
        <v>1.1181000000000001</v>
      </c>
      <c r="AE932" s="198">
        <v>8.6606000000000005</v>
      </c>
      <c r="AF932" s="198">
        <v>2.4680000000000001E-2</v>
      </c>
      <c r="AH932" s="1051">
        <v>43840</v>
      </c>
      <c r="AI932" s="198">
        <v>12.549200000000001</v>
      </c>
      <c r="AJ932" s="198">
        <v>2.1349999999999998</v>
      </c>
      <c r="AK932" s="198">
        <v>6.6859999999999999</v>
      </c>
      <c r="AL932" s="198">
        <v>2.6409999999999999E-2</v>
      </c>
      <c r="AN932" s="1051">
        <v>43850</v>
      </c>
      <c r="AO932" s="198">
        <v>8.0632000000000001</v>
      </c>
      <c r="AP932" s="198">
        <v>0.77780000000000005</v>
      </c>
      <c r="AQ932" s="198">
        <v>4.3754</v>
      </c>
      <c r="AR932" s="198">
        <v>0.16857</v>
      </c>
      <c r="AT932" s="1051">
        <v>43811</v>
      </c>
      <c r="AU932" s="198">
        <v>8.5432000000000006</v>
      </c>
      <c r="AV932" s="198">
        <v>0.47710000000000002</v>
      </c>
      <c r="AX932" s="198">
        <v>0.11645999999999999</v>
      </c>
      <c r="BA932" s="1051">
        <v>43833</v>
      </c>
      <c r="BB932" s="198">
        <v>6.3878000000000004</v>
      </c>
      <c r="BC932" s="198">
        <v>1.123</v>
      </c>
      <c r="BD932" s="198">
        <v>7.3769999999999998</v>
      </c>
      <c r="BE932" s="198">
        <v>0.25201000000000001</v>
      </c>
      <c r="BG932" s="1051">
        <v>43833</v>
      </c>
      <c r="BH932" s="198">
        <v>11.4612</v>
      </c>
      <c r="BI932" s="198">
        <v>1.9650000000000001</v>
      </c>
      <c r="BJ932" s="198">
        <v>18.658799999999999</v>
      </c>
      <c r="BT932" s="1051">
        <v>43881</v>
      </c>
      <c r="BU932" s="198">
        <v>12.7788</v>
      </c>
      <c r="BV932" s="198">
        <v>4.0345000000000004</v>
      </c>
      <c r="BW932" s="198">
        <v>9.0401000000000007</v>
      </c>
      <c r="BX932" s="198">
        <v>1.5625</v>
      </c>
      <c r="BZ932" s="1051">
        <v>43881</v>
      </c>
      <c r="CA932" s="198">
        <v>7.3807</v>
      </c>
      <c r="CB932" s="198">
        <v>1.2402</v>
      </c>
      <c r="CC932" s="198">
        <v>11.4574</v>
      </c>
      <c r="CD932" s="198">
        <v>0.47286</v>
      </c>
      <c r="CF932" s="1051">
        <v>43880</v>
      </c>
      <c r="CI932" s="198">
        <v>10.718999999999999</v>
      </c>
      <c r="CL932" s="1051">
        <v>43900</v>
      </c>
      <c r="CM932" s="198">
        <v>18.4283</v>
      </c>
      <c r="CN932" s="198">
        <v>1.7941</v>
      </c>
      <c r="CO932" s="198">
        <v>7.9531000000000001</v>
      </c>
    </row>
    <row r="933" spans="1:93" s="198" customFormat="1">
      <c r="A933" s="1051">
        <v>43880</v>
      </c>
      <c r="B933" s="1052">
        <f t="shared" si="142"/>
        <v>7.0434000000000001</v>
      </c>
      <c r="C933" s="1052">
        <f t="shared" si="144"/>
        <v>5.5572999999999997</v>
      </c>
      <c r="D933" s="1052">
        <f t="shared" si="148"/>
        <v>11.930300000000001</v>
      </c>
      <c r="E933" s="1052">
        <f t="shared" si="149"/>
        <v>8.4268999999999998</v>
      </c>
      <c r="F933" s="1052">
        <f t="shared" si="150"/>
        <v>9.6920000000000002</v>
      </c>
      <c r="G933" s="1052">
        <f t="shared" si="151"/>
        <v>6.8026</v>
      </c>
      <c r="H933" s="1047">
        <f t="shared" si="145"/>
        <v>8.4268999999999998</v>
      </c>
      <c r="I933" s="1048">
        <f t="shared" si="143"/>
        <v>-0.16417662485611551</v>
      </c>
      <c r="J933" s="1048">
        <f t="shared" si="146"/>
        <v>0.12093838824177333</v>
      </c>
      <c r="K933" s="1048">
        <f t="shared" si="147"/>
        <v>0.1</v>
      </c>
      <c r="L933" s="1048"/>
      <c r="N933" s="1051">
        <v>43880</v>
      </c>
      <c r="O933" s="1053">
        <v>7.0434000000000001</v>
      </c>
      <c r="P933" s="1053">
        <v>1.2748999999999999</v>
      </c>
      <c r="Q933" s="1053">
        <v>8.1351999999999993</v>
      </c>
      <c r="R933" s="1054">
        <f>'B. PE'!$U$23</f>
        <v>15.978235616082999</v>
      </c>
      <c r="S933" s="1054"/>
      <c r="T933" s="1054"/>
      <c r="V933" s="1051">
        <v>43880</v>
      </c>
      <c r="W933" s="198">
        <v>5.5572999999999997</v>
      </c>
      <c r="X933" s="198">
        <v>0.42680000000000001</v>
      </c>
      <c r="Y933" s="198">
        <v>8.1098999999999997</v>
      </c>
      <c r="Z933" s="198">
        <v>0.27394000000000002</v>
      </c>
      <c r="AB933" s="1051">
        <v>43839</v>
      </c>
      <c r="AC933" s="198">
        <v>18.4575</v>
      </c>
      <c r="AD933" s="1053">
        <v>1.1313</v>
      </c>
      <c r="AE933" s="198">
        <v>8.7324999999999999</v>
      </c>
      <c r="AF933" s="198">
        <v>2.4580000000000001E-2</v>
      </c>
      <c r="AH933" s="1051">
        <v>43839</v>
      </c>
      <c r="AI933" s="198">
        <v>12.446</v>
      </c>
      <c r="AJ933" s="198">
        <v>2.1175000000000002</v>
      </c>
      <c r="AK933" s="198">
        <v>6.6353</v>
      </c>
      <c r="AL933" s="198">
        <v>2.724E-2</v>
      </c>
      <c r="AN933" s="1051">
        <v>43847</v>
      </c>
      <c r="AO933" s="198">
        <v>8.1844000000000001</v>
      </c>
      <c r="AP933" s="198">
        <v>0.78949999999999998</v>
      </c>
      <c r="AQ933" s="198">
        <v>4.468</v>
      </c>
      <c r="AR933" s="198">
        <v>0.17069000000000001</v>
      </c>
      <c r="AT933" s="1051">
        <v>43810</v>
      </c>
      <c r="AU933" s="198">
        <v>8.7230000000000008</v>
      </c>
      <c r="AV933" s="198">
        <v>0.48709999999999998</v>
      </c>
      <c r="AX933" s="198">
        <v>0.11779000000000001</v>
      </c>
      <c r="BA933" s="1051">
        <v>43832</v>
      </c>
      <c r="BB933" s="198">
        <v>6.3878000000000004</v>
      </c>
      <c r="BC933" s="198">
        <v>1.123</v>
      </c>
      <c r="BD933" s="198">
        <v>7.3769999999999998</v>
      </c>
      <c r="BE933" s="198">
        <v>0.24879999999999999</v>
      </c>
      <c r="BG933" s="1051">
        <v>43832</v>
      </c>
      <c r="BH933" s="198">
        <v>11.3843</v>
      </c>
      <c r="BI933" s="198">
        <v>1.9518</v>
      </c>
      <c r="BJ933" s="198">
        <v>18.589500000000001</v>
      </c>
      <c r="BT933" s="1051">
        <v>43880</v>
      </c>
      <c r="BU933" s="198">
        <v>12.767300000000001</v>
      </c>
      <c r="BV933" s="198">
        <v>4.0308000000000002</v>
      </c>
      <c r="BW933" s="198">
        <v>9.0330999999999992</v>
      </c>
      <c r="BX933" s="198">
        <v>1.5425</v>
      </c>
      <c r="BZ933" s="1051">
        <v>43880</v>
      </c>
      <c r="CA933" s="198">
        <v>6.9747000000000003</v>
      </c>
      <c r="CB933" s="198">
        <v>1.1719999999999999</v>
      </c>
      <c r="CC933" s="198">
        <v>11.204599999999999</v>
      </c>
      <c r="CD933" s="198">
        <v>0.47788999999999998</v>
      </c>
      <c r="CF933" s="1051">
        <v>43879</v>
      </c>
      <c r="CI933" s="198">
        <v>10.718999999999999</v>
      </c>
      <c r="CL933" s="1051">
        <v>43899</v>
      </c>
      <c r="CM933" s="198">
        <v>18.729600000000001</v>
      </c>
      <c r="CN933" s="198">
        <v>1.8233999999999999</v>
      </c>
      <c r="CO933" s="198">
        <v>8.0844000000000005</v>
      </c>
    </row>
    <row r="934" spans="1:93" s="198" customFormat="1">
      <c r="A934" s="1051">
        <v>43879</v>
      </c>
      <c r="B934" s="1052">
        <f t="shared" si="142"/>
        <v>7.1185999999999998</v>
      </c>
      <c r="C934" s="1052">
        <f t="shared" si="144"/>
        <v>5.5572999999999997</v>
      </c>
      <c r="D934" s="1052">
        <f t="shared" si="148"/>
        <v>11.964700000000001</v>
      </c>
      <c r="E934" s="1052">
        <f t="shared" si="149"/>
        <v>8.2451000000000008</v>
      </c>
      <c r="F934" s="1052">
        <f t="shared" si="150"/>
        <v>9.4612999999999996</v>
      </c>
      <c r="G934" s="1052">
        <f t="shared" si="151"/>
        <v>6.8026</v>
      </c>
      <c r="H934" s="1047">
        <f t="shared" si="145"/>
        <v>8.2451000000000008</v>
      </c>
      <c r="I934" s="1048">
        <f t="shared" si="143"/>
        <v>-0.13662660246691982</v>
      </c>
      <c r="J934" s="1048">
        <f t="shared" si="146"/>
        <v>0.12093838824177333</v>
      </c>
      <c r="K934" s="1048">
        <f t="shared" si="147"/>
        <v>0.1</v>
      </c>
      <c r="L934" s="1048"/>
      <c r="N934" s="1051">
        <v>43879</v>
      </c>
      <c r="O934" s="1053">
        <v>7.1185999999999998</v>
      </c>
      <c r="P934" s="1053">
        <v>1.2885</v>
      </c>
      <c r="Q934" s="1053">
        <v>8.1964000000000006</v>
      </c>
      <c r="R934" s="1054">
        <f>'B. PE'!$U$23</f>
        <v>15.978235616082999</v>
      </c>
      <c r="S934" s="1054"/>
      <c r="T934" s="1054"/>
      <c r="V934" s="1051">
        <v>43879</v>
      </c>
      <c r="W934" s="198">
        <v>5.5572999999999997</v>
      </c>
      <c r="X934" s="198">
        <v>0.42680000000000001</v>
      </c>
      <c r="Y934" s="198">
        <v>8.1098999999999997</v>
      </c>
      <c r="Z934" s="198">
        <v>0.27627000000000002</v>
      </c>
      <c r="AB934" s="1051">
        <v>43838</v>
      </c>
      <c r="AC934" s="198">
        <v>18.4575</v>
      </c>
      <c r="AD934" s="1053">
        <v>1.1313</v>
      </c>
      <c r="AE934" s="198">
        <v>8.7324999999999999</v>
      </c>
      <c r="AF934" s="198">
        <v>2.477E-2</v>
      </c>
      <c r="AH934" s="1051">
        <v>43838</v>
      </c>
      <c r="AI934" s="198">
        <v>12.583500000000001</v>
      </c>
      <c r="AJ934" s="198">
        <v>2.1408999999999998</v>
      </c>
      <c r="AK934" s="198">
        <v>6.7028999999999996</v>
      </c>
      <c r="AL934" s="198">
        <v>2.657E-2</v>
      </c>
      <c r="AN934" s="1051">
        <v>43846</v>
      </c>
      <c r="AO934" s="198">
        <v>8.3056999999999999</v>
      </c>
      <c r="AP934" s="198">
        <v>0.80120000000000002</v>
      </c>
      <c r="AQ934" s="198">
        <v>4.5605000000000002</v>
      </c>
      <c r="AR934" s="198">
        <v>0.17186999999999999</v>
      </c>
      <c r="AT934" s="1051">
        <v>43809</v>
      </c>
      <c r="AU934" s="198">
        <v>8.7230000000000008</v>
      </c>
      <c r="AV934" s="198">
        <v>0.48709999999999998</v>
      </c>
      <c r="AX934" s="198">
        <v>0.11661000000000001</v>
      </c>
      <c r="BA934" s="1051">
        <v>43829</v>
      </c>
      <c r="BB934" s="198">
        <v>6.2633000000000001</v>
      </c>
      <c r="BC934" s="198">
        <v>1.1011</v>
      </c>
      <c r="BD934" s="198">
        <v>7.2919</v>
      </c>
      <c r="BE934" s="198">
        <v>0.24873999999999999</v>
      </c>
      <c r="BG934" s="1051">
        <v>43829</v>
      </c>
      <c r="BH934" s="198">
        <v>11.5381</v>
      </c>
      <c r="BI934" s="198">
        <v>1.9782</v>
      </c>
      <c r="BJ934" s="198">
        <v>18.728000000000002</v>
      </c>
      <c r="BT934" s="1051">
        <v>43879</v>
      </c>
      <c r="BU934" s="198">
        <v>12.5824</v>
      </c>
      <c r="BV934" s="198">
        <v>3.9725000000000001</v>
      </c>
      <c r="BW934" s="198">
        <v>8.9200999999999997</v>
      </c>
      <c r="BX934" s="198">
        <v>1.5357000000000001</v>
      </c>
      <c r="BZ934" s="1051">
        <v>43879</v>
      </c>
      <c r="CA934" s="198">
        <v>6.9931999999999999</v>
      </c>
      <c r="CB934" s="198">
        <v>1.1751</v>
      </c>
      <c r="CC934" s="198">
        <v>11.215999999999999</v>
      </c>
      <c r="CD934" s="198">
        <v>0.48253000000000001</v>
      </c>
      <c r="CF934" s="1051">
        <v>43878</v>
      </c>
      <c r="CG934" s="198">
        <v>7.3428000000000004</v>
      </c>
      <c r="CH934" s="198">
        <v>1.1561999999999999</v>
      </c>
      <c r="CI934" s="198">
        <v>10.718999999999999</v>
      </c>
      <c r="CL934" s="1051">
        <v>43896</v>
      </c>
      <c r="CM934" s="198">
        <v>20.578399999999998</v>
      </c>
      <c r="CN934" s="198">
        <v>2.0034000000000001</v>
      </c>
      <c r="CO934" s="198">
        <v>8.8902000000000001</v>
      </c>
    </row>
    <row r="935" spans="1:93" s="198" customFormat="1">
      <c r="A935" s="1051">
        <v>43878</v>
      </c>
      <c r="B935" s="1052">
        <f t="shared" si="142"/>
        <v>7.0934999999999997</v>
      </c>
      <c r="C935" s="1052">
        <f t="shared" si="144"/>
        <v>5.5354000000000001</v>
      </c>
      <c r="D935" s="1052">
        <f t="shared" si="148"/>
        <v>11.552099999999999</v>
      </c>
      <c r="E935" s="1052">
        <f t="shared" si="149"/>
        <v>8.4268999999999998</v>
      </c>
      <c r="F935" s="1052">
        <f t="shared" si="150"/>
        <v>9.5381999999999998</v>
      </c>
      <c r="G935" s="1052">
        <f t="shared" si="151"/>
        <v>6.5122</v>
      </c>
      <c r="H935" s="1047">
        <f t="shared" si="145"/>
        <v>8.4268999999999998</v>
      </c>
      <c r="I935" s="1048">
        <f t="shared" si="143"/>
        <v>-0.15823137808684096</v>
      </c>
      <c r="J935" s="1048">
        <f t="shared" si="146"/>
        <v>0.12093838824177333</v>
      </c>
      <c r="K935" s="1048">
        <f t="shared" si="147"/>
        <v>0.1</v>
      </c>
      <c r="L935" s="1048"/>
      <c r="N935" s="1051">
        <v>43878</v>
      </c>
      <c r="O935" s="1053">
        <v>7.0934999999999997</v>
      </c>
      <c r="P935" s="1053">
        <v>1.284</v>
      </c>
      <c r="Q935" s="1053">
        <v>8.1760000000000002</v>
      </c>
      <c r="R935" s="1054">
        <f>'B. PE'!$U$23</f>
        <v>15.978235616082999</v>
      </c>
      <c r="S935" s="1054"/>
      <c r="T935" s="1054"/>
      <c r="V935" s="1051">
        <v>43878</v>
      </c>
      <c r="W935" s="198">
        <v>5.5354000000000001</v>
      </c>
      <c r="X935" s="198">
        <v>0.42509999999999998</v>
      </c>
      <c r="Y935" s="198">
        <v>8.0950000000000006</v>
      </c>
      <c r="Z935" s="198">
        <v>0.27528000000000002</v>
      </c>
      <c r="AB935" s="1051">
        <v>43837</v>
      </c>
      <c r="AC935" s="198">
        <v>18.4575</v>
      </c>
      <c r="AD935" s="1053">
        <v>1.1313</v>
      </c>
      <c r="AE935" s="198">
        <v>8.7324999999999999</v>
      </c>
      <c r="AF935" s="198">
        <v>2.5989999999999999E-2</v>
      </c>
      <c r="AH935" s="1051">
        <v>43837</v>
      </c>
      <c r="AI935" s="198">
        <v>13.0305</v>
      </c>
      <c r="AJ935" s="198">
        <v>2.2168999999999999</v>
      </c>
      <c r="AK935" s="198">
        <v>6.9223999999999997</v>
      </c>
      <c r="AL935" s="198">
        <v>2.6919999999999999E-2</v>
      </c>
      <c r="AN935" s="1051">
        <v>43845</v>
      </c>
      <c r="AO935" s="198">
        <v>8.4268999999999998</v>
      </c>
      <c r="AP935" s="198">
        <v>0.81289999999999996</v>
      </c>
      <c r="AQ935" s="198">
        <v>4.6531000000000002</v>
      </c>
      <c r="AR935" s="198">
        <v>0.17230999999999999</v>
      </c>
      <c r="AT935" s="1051">
        <v>43808</v>
      </c>
      <c r="AU935" s="198">
        <v>8.8129000000000008</v>
      </c>
      <c r="AV935" s="198">
        <v>0.49220000000000003</v>
      </c>
      <c r="AX935" s="198">
        <v>0.11632000000000001</v>
      </c>
      <c r="BA935" s="1051">
        <v>43826</v>
      </c>
      <c r="BB935" s="198">
        <v>6.0278</v>
      </c>
      <c r="BC935" s="198">
        <v>1.1560999999999999</v>
      </c>
      <c r="BD935" s="198">
        <v>7.0118999999999998</v>
      </c>
      <c r="BE935" s="198">
        <v>0.2422</v>
      </c>
      <c r="BG935" s="1051">
        <v>43826</v>
      </c>
      <c r="BH935" s="198">
        <v>10.4306</v>
      </c>
      <c r="BI935" s="198">
        <v>2.0703</v>
      </c>
      <c r="BJ935" s="198">
        <v>15.372299999999999</v>
      </c>
      <c r="BT935" s="1051">
        <v>43878</v>
      </c>
      <c r="BU935" s="198">
        <v>12.4206</v>
      </c>
      <c r="BV935" s="198">
        <v>3.9214000000000002</v>
      </c>
      <c r="BW935" s="198">
        <v>8.8213000000000008</v>
      </c>
      <c r="BX935" s="198">
        <v>1.5490999999999999</v>
      </c>
      <c r="BZ935" s="1051">
        <v>43878</v>
      </c>
      <c r="CA935" s="198">
        <v>7.0670000000000002</v>
      </c>
      <c r="CB935" s="198">
        <v>1.1875</v>
      </c>
      <c r="CC935" s="198">
        <v>11.262</v>
      </c>
      <c r="CD935" s="198">
        <v>0.47894999999999999</v>
      </c>
      <c r="CF935" s="1051">
        <v>43875</v>
      </c>
      <c r="CG935" s="198">
        <v>6.8010999999999999</v>
      </c>
      <c r="CH935" s="198">
        <v>1.0709</v>
      </c>
      <c r="CI935" s="198">
        <v>10.4262</v>
      </c>
      <c r="CL935" s="1051">
        <v>43895</v>
      </c>
      <c r="CM935" s="198">
        <v>20.992599999999999</v>
      </c>
      <c r="CN935" s="198">
        <v>2.0436999999999999</v>
      </c>
      <c r="CO935" s="198">
        <v>9.0708000000000002</v>
      </c>
    </row>
    <row r="936" spans="1:93" s="198" customFormat="1">
      <c r="A936" s="1051">
        <v>43875</v>
      </c>
      <c r="B936" s="1052">
        <f t="shared" si="142"/>
        <v>7.0057999999999998</v>
      </c>
      <c r="C936" s="1052">
        <f t="shared" si="144"/>
        <v>5.5865999999999998</v>
      </c>
      <c r="D936" s="1052">
        <f t="shared" si="148"/>
        <v>11.6896</v>
      </c>
      <c r="E936" s="1052">
        <f t="shared" si="149"/>
        <v>8.4268999999999998</v>
      </c>
      <c r="F936" s="1052">
        <f t="shared" si="150"/>
        <v>9.4612999999999996</v>
      </c>
      <c r="G936" s="1052">
        <f t="shared" si="151"/>
        <v>6.6367000000000003</v>
      </c>
      <c r="H936" s="1047">
        <f t="shared" si="145"/>
        <v>8.4268999999999998</v>
      </c>
      <c r="I936" s="1048">
        <f t="shared" si="143"/>
        <v>-0.1686385266230761</v>
      </c>
      <c r="J936" s="1048">
        <f t="shared" si="146"/>
        <v>0.12093838824177333</v>
      </c>
      <c r="K936" s="1048">
        <f t="shared" si="147"/>
        <v>0.1</v>
      </c>
      <c r="L936" s="1048"/>
      <c r="N936" s="1051">
        <v>43875</v>
      </c>
      <c r="O936" s="1053">
        <v>7.0057999999999998</v>
      </c>
      <c r="P936" s="1053">
        <v>1.2681</v>
      </c>
      <c r="Q936" s="1053">
        <v>8.1045999999999996</v>
      </c>
      <c r="R936" s="1054">
        <f>'B. PE'!$U$23</f>
        <v>15.978235616082999</v>
      </c>
      <c r="S936" s="1054"/>
      <c r="T936" s="1054"/>
      <c r="V936" s="1051">
        <v>43875</v>
      </c>
      <c r="W936" s="198">
        <v>5.5865999999999998</v>
      </c>
      <c r="X936" s="198">
        <v>0.42909999999999998</v>
      </c>
      <c r="Y936" s="198">
        <v>8.1298999999999992</v>
      </c>
      <c r="Z936" s="198">
        <v>0.27544000000000002</v>
      </c>
      <c r="AB936" s="1051">
        <v>43836</v>
      </c>
      <c r="AC936" s="198">
        <v>18.619399999999999</v>
      </c>
      <c r="AD936" s="1053">
        <v>1.1412</v>
      </c>
      <c r="AE936" s="198">
        <v>8.7864000000000004</v>
      </c>
      <c r="AF936" s="198">
        <v>2.6360000000000001E-2</v>
      </c>
      <c r="AH936" s="1051">
        <v>43836</v>
      </c>
      <c r="AI936" s="198">
        <v>12.7211</v>
      </c>
      <c r="AJ936" s="198">
        <v>2.1642999999999999</v>
      </c>
      <c r="AK936" s="198">
        <v>6.7704000000000004</v>
      </c>
      <c r="AL936" s="198">
        <v>2.5930000000000002E-2</v>
      </c>
      <c r="AN936" s="1051">
        <v>43844</v>
      </c>
      <c r="AO936" s="198">
        <v>8.4876000000000005</v>
      </c>
      <c r="AP936" s="198">
        <v>0.81879999999999997</v>
      </c>
      <c r="AQ936" s="198">
        <v>4.6993999999999998</v>
      </c>
      <c r="AR936" s="198">
        <v>0.16925999999999999</v>
      </c>
      <c r="AT936" s="1051">
        <v>43805</v>
      </c>
      <c r="AU936" s="198">
        <v>8.7230000000000008</v>
      </c>
      <c r="AV936" s="198">
        <v>0.48709999999999998</v>
      </c>
      <c r="AX936" s="198">
        <v>0.115</v>
      </c>
      <c r="BA936" s="1051">
        <v>43825</v>
      </c>
      <c r="BB936" s="198">
        <v>6.0278</v>
      </c>
      <c r="BC936" s="198">
        <v>1.1560999999999999</v>
      </c>
      <c r="BD936" s="198">
        <v>7.0118999999999998</v>
      </c>
      <c r="BE936" s="198">
        <v>0.24707999999999999</v>
      </c>
      <c r="BG936" s="1051">
        <v>43825</v>
      </c>
      <c r="BH936" s="198">
        <v>10.4306</v>
      </c>
      <c r="BI936" s="198">
        <v>2.0703</v>
      </c>
      <c r="BJ936" s="198">
        <v>15.372299999999999</v>
      </c>
      <c r="BT936" s="1051">
        <v>43875</v>
      </c>
      <c r="BU936" s="198">
        <v>12.3744</v>
      </c>
      <c r="BV936" s="198">
        <v>3.9068000000000001</v>
      </c>
      <c r="BW936" s="198">
        <v>8.7929999999999993</v>
      </c>
      <c r="BX936" s="198">
        <v>1.5643</v>
      </c>
      <c r="BZ936" s="1051">
        <v>43875</v>
      </c>
      <c r="CA936" s="198">
        <v>7.1407999999999996</v>
      </c>
      <c r="CB936" s="198">
        <v>1.1999</v>
      </c>
      <c r="CC936" s="198">
        <v>11.308</v>
      </c>
      <c r="CD936" s="198">
        <v>0.45177</v>
      </c>
      <c r="CF936" s="1051">
        <v>43874</v>
      </c>
      <c r="CG936" s="198">
        <v>7.1020000000000003</v>
      </c>
      <c r="CH936" s="198">
        <v>1.1183000000000001</v>
      </c>
      <c r="CI936" s="198">
        <v>10.588900000000001</v>
      </c>
      <c r="CL936" s="1051">
        <v>43894</v>
      </c>
      <c r="CM936" s="198">
        <v>20.8797</v>
      </c>
      <c r="CN936" s="198">
        <v>2.0327000000000002</v>
      </c>
      <c r="CO936" s="198">
        <v>9.0214999999999996</v>
      </c>
    </row>
    <row r="937" spans="1:93" s="198" customFormat="1">
      <c r="A937" s="1051">
        <v>43874</v>
      </c>
      <c r="B937" s="1052">
        <f t="shared" si="142"/>
        <v>6.8554000000000004</v>
      </c>
      <c r="C937" s="1052">
        <f t="shared" si="144"/>
        <v>5.5646000000000004</v>
      </c>
      <c r="D937" s="1052">
        <f t="shared" si="148"/>
        <v>11.827199999999999</v>
      </c>
      <c r="E937" s="1052">
        <f t="shared" si="149"/>
        <v>8.4876000000000005</v>
      </c>
      <c r="F937" s="1052">
        <f t="shared" si="150"/>
        <v>9.5381999999999998</v>
      </c>
      <c r="G937" s="1052">
        <f t="shared" si="151"/>
        <v>6.6367000000000003</v>
      </c>
      <c r="H937" s="1047">
        <f t="shared" si="145"/>
        <v>8.4876000000000005</v>
      </c>
      <c r="I937" s="1048">
        <f t="shared" si="143"/>
        <v>-0.19230406710966585</v>
      </c>
      <c r="J937" s="1048">
        <f t="shared" si="146"/>
        <v>0.12093838824177333</v>
      </c>
      <c r="K937" s="1048">
        <f t="shared" si="147"/>
        <v>0.1</v>
      </c>
      <c r="L937" s="1048"/>
      <c r="N937" s="1051">
        <v>43874</v>
      </c>
      <c r="O937" s="1053">
        <v>6.8554000000000004</v>
      </c>
      <c r="P937" s="1053">
        <v>1.2408999999999999</v>
      </c>
      <c r="Q937" s="1053">
        <v>7.9823000000000004</v>
      </c>
      <c r="R937" s="1054">
        <f>'B. PE'!$U$23</f>
        <v>15.978235616082999</v>
      </c>
      <c r="S937" s="1054"/>
      <c r="T937" s="1054"/>
      <c r="V937" s="1051">
        <v>43874</v>
      </c>
      <c r="W937" s="198">
        <v>5.5646000000000004</v>
      </c>
      <c r="X937" s="198">
        <v>0.4274</v>
      </c>
      <c r="Y937" s="198">
        <v>8.1149000000000004</v>
      </c>
      <c r="Z937" s="198">
        <v>0.27523999999999998</v>
      </c>
      <c r="AB937" s="1051">
        <v>43833</v>
      </c>
      <c r="AC937" s="198">
        <v>19.536899999999999</v>
      </c>
      <c r="AD937" s="1053">
        <v>1.1975</v>
      </c>
      <c r="AE937" s="198">
        <v>9.0922000000000001</v>
      </c>
      <c r="AF937" s="198">
        <v>2.58E-2</v>
      </c>
      <c r="AH937" s="1051">
        <v>43833</v>
      </c>
      <c r="AI937" s="198">
        <v>12.893000000000001</v>
      </c>
      <c r="AJ937" s="198">
        <v>2.1934999999999998</v>
      </c>
      <c r="AK937" s="198">
        <v>6.8548999999999998</v>
      </c>
      <c r="AL937" s="198">
        <v>2.6880000000000001E-2</v>
      </c>
      <c r="AN937" s="1051">
        <v>43843</v>
      </c>
      <c r="AO937" s="198">
        <v>8.4876000000000005</v>
      </c>
      <c r="AP937" s="198">
        <v>0.81879999999999997</v>
      </c>
      <c r="AQ937" s="198">
        <v>4.6993999999999998</v>
      </c>
      <c r="AR937" s="198">
        <v>0.16868</v>
      </c>
      <c r="AT937" s="1051">
        <v>43804</v>
      </c>
      <c r="AU937" s="198">
        <v>8.7230000000000008</v>
      </c>
      <c r="AV937" s="198">
        <v>0.48709999999999998</v>
      </c>
      <c r="AX937" s="198">
        <v>0.11602999999999999</v>
      </c>
      <c r="BA937" s="1051">
        <v>43824</v>
      </c>
      <c r="BB937" s="198">
        <v>5.8670999999999998</v>
      </c>
      <c r="BC937" s="198">
        <v>1.1253</v>
      </c>
      <c r="BD937" s="198">
        <v>6.8998999999999997</v>
      </c>
      <c r="BE937" s="198">
        <v>0.24532000000000001</v>
      </c>
      <c r="BG937" s="1051">
        <v>43824</v>
      </c>
      <c r="BH937" s="198">
        <v>10.4306</v>
      </c>
      <c r="BI937" s="198">
        <v>2.0703</v>
      </c>
      <c r="BJ937" s="198">
        <v>15.372299999999999</v>
      </c>
      <c r="BT937" s="1051">
        <v>43874</v>
      </c>
      <c r="BU937" s="198">
        <v>12.478400000000001</v>
      </c>
      <c r="BV937" s="198">
        <v>3.9396</v>
      </c>
      <c r="BW937" s="198">
        <v>8.8566000000000003</v>
      </c>
      <c r="BX937" s="198">
        <v>1.5273000000000001</v>
      </c>
      <c r="BZ937" s="1051">
        <v>43874</v>
      </c>
      <c r="CA937" s="198">
        <v>7.0853999999999999</v>
      </c>
      <c r="CB937" s="198">
        <v>1.1906000000000001</v>
      </c>
      <c r="CC937" s="198">
        <v>11.2735</v>
      </c>
      <c r="CD937" s="198">
        <v>0.45393</v>
      </c>
      <c r="CF937" s="1051">
        <v>43873</v>
      </c>
      <c r="CG937" s="198">
        <v>7.6436999999999999</v>
      </c>
      <c r="CH937" s="198">
        <v>1.2036</v>
      </c>
      <c r="CI937" s="198">
        <v>10.881600000000001</v>
      </c>
      <c r="CL937" s="1051">
        <v>43893</v>
      </c>
      <c r="CM937" s="198">
        <v>20.0136</v>
      </c>
      <c r="CN937" s="198">
        <v>1.9483999999999999</v>
      </c>
      <c r="CO937" s="198">
        <v>8.6440000000000001</v>
      </c>
    </row>
    <row r="938" spans="1:93" s="198" customFormat="1">
      <c r="A938" s="1051">
        <v>43873</v>
      </c>
      <c r="B938" s="1052">
        <f t="shared" si="142"/>
        <v>6.7927</v>
      </c>
      <c r="C938" s="1052">
        <f t="shared" si="144"/>
        <v>5.5646000000000004</v>
      </c>
      <c r="D938" s="1052">
        <f t="shared" si="148"/>
        <v>11.895899999999999</v>
      </c>
      <c r="E938" s="1052">
        <f t="shared" si="149"/>
        <v>8.3056999999999999</v>
      </c>
      <c r="F938" s="1052">
        <f t="shared" si="150"/>
        <v>9.6151</v>
      </c>
      <c r="G938" s="1052">
        <f t="shared" si="151"/>
        <v>6.6780999999999997</v>
      </c>
      <c r="H938" s="1047">
        <f t="shared" si="145"/>
        <v>8.3056999999999999</v>
      </c>
      <c r="I938" s="1048">
        <f t="shared" si="143"/>
        <v>-0.18216405600972829</v>
      </c>
      <c r="J938" s="1048">
        <f t="shared" si="146"/>
        <v>0.12093838824177333</v>
      </c>
      <c r="K938" s="1048">
        <f t="shared" si="147"/>
        <v>0.1</v>
      </c>
      <c r="L938" s="1048"/>
      <c r="N938" s="1051">
        <v>43873</v>
      </c>
      <c r="O938" s="1053">
        <v>6.7927</v>
      </c>
      <c r="P938" s="1053">
        <v>1.2295</v>
      </c>
      <c r="Q938" s="1053">
        <v>7.9313000000000002</v>
      </c>
      <c r="R938" s="1054">
        <f>'B. PE'!$U$23</f>
        <v>15.978235616082999</v>
      </c>
      <c r="S938" s="1054"/>
      <c r="T938" s="1054"/>
      <c r="V938" s="1051">
        <v>43873</v>
      </c>
      <c r="W938" s="198">
        <v>5.5646000000000004</v>
      </c>
      <c r="X938" s="198">
        <v>0.4274</v>
      </c>
      <c r="Y938" s="198">
        <v>8.1149000000000004</v>
      </c>
      <c r="Z938" s="198">
        <v>0.27141999999999999</v>
      </c>
      <c r="AB938" s="1051">
        <v>43832</v>
      </c>
      <c r="AC938" s="198">
        <v>19.752800000000001</v>
      </c>
      <c r="AD938" s="1053">
        <v>1.2107000000000001</v>
      </c>
      <c r="AE938" s="198">
        <v>9.1640999999999995</v>
      </c>
      <c r="AF938" s="198">
        <v>2.5729999999999999E-2</v>
      </c>
      <c r="AH938" s="1051">
        <v>43832</v>
      </c>
      <c r="AI938" s="198">
        <v>12.3773</v>
      </c>
      <c r="AJ938" s="198">
        <v>2.1057999999999999</v>
      </c>
      <c r="AK938" s="198">
        <v>6.6016000000000004</v>
      </c>
      <c r="AL938" s="198">
        <v>2.8309999999999998E-2</v>
      </c>
      <c r="AN938" s="1051">
        <v>43840</v>
      </c>
      <c r="AO938" s="198">
        <v>8.3663000000000007</v>
      </c>
      <c r="AP938" s="198">
        <v>0.80710000000000004</v>
      </c>
      <c r="AQ938" s="198">
        <v>4.6067999999999998</v>
      </c>
      <c r="AR938" s="198">
        <v>0.15848000000000001</v>
      </c>
      <c r="AT938" s="1051">
        <v>43803</v>
      </c>
      <c r="AU938" s="198">
        <v>8.6331000000000007</v>
      </c>
      <c r="AV938" s="198">
        <v>0.48209999999999997</v>
      </c>
      <c r="AX938" s="198">
        <v>0.11613</v>
      </c>
      <c r="BA938" s="1051">
        <v>43823</v>
      </c>
      <c r="BB938" s="198">
        <v>5.9875999999999996</v>
      </c>
      <c r="BC938" s="198">
        <v>1.1484000000000001</v>
      </c>
      <c r="BD938" s="198">
        <v>6.9839000000000002</v>
      </c>
      <c r="BE938" s="198">
        <v>0.25170999999999999</v>
      </c>
      <c r="BG938" s="1051">
        <v>43823</v>
      </c>
      <c r="BH938" s="198">
        <v>10.361499999999999</v>
      </c>
      <c r="BI938" s="198">
        <v>2.0566</v>
      </c>
      <c r="BJ938" s="198">
        <v>15.309200000000001</v>
      </c>
      <c r="BT938" s="1051">
        <v>43873</v>
      </c>
      <c r="BU938" s="198">
        <v>12.5939</v>
      </c>
      <c r="BV938" s="198">
        <v>3.9761000000000002</v>
      </c>
      <c r="BW938" s="198">
        <v>8.9271999999999991</v>
      </c>
      <c r="BX938" s="198">
        <v>1.5162</v>
      </c>
      <c r="BZ938" s="1051">
        <v>43873</v>
      </c>
      <c r="CA938" s="198">
        <v>6.6795</v>
      </c>
      <c r="CB938" s="198">
        <v>1.1224000000000001</v>
      </c>
      <c r="CC938" s="198">
        <v>11.0206</v>
      </c>
      <c r="CD938" s="198">
        <v>0.45857999999999999</v>
      </c>
      <c r="CF938" s="1051">
        <v>43872</v>
      </c>
      <c r="CG938" s="198">
        <v>7.6436999999999999</v>
      </c>
      <c r="CH938" s="198">
        <v>1.2036</v>
      </c>
      <c r="CI938" s="198">
        <v>10.881600000000001</v>
      </c>
      <c r="CL938" s="1051">
        <v>43892</v>
      </c>
      <c r="CM938" s="198">
        <v>20.201899999999998</v>
      </c>
      <c r="CN938" s="198">
        <v>1.9666999999999999</v>
      </c>
      <c r="CO938" s="198">
        <v>8.7261000000000006</v>
      </c>
    </row>
    <row r="939" spans="1:93" s="198" customFormat="1">
      <c r="A939" s="1051">
        <v>43872</v>
      </c>
      <c r="B939" s="1052">
        <f t="shared" si="142"/>
        <v>6.7175000000000002</v>
      </c>
      <c r="C939" s="1052">
        <f t="shared" si="144"/>
        <v>5.5646000000000004</v>
      </c>
      <c r="D939" s="1052">
        <f t="shared" si="148"/>
        <v>11.895899999999999</v>
      </c>
      <c r="E939" s="1052">
        <f t="shared" si="149"/>
        <v>8.3056999999999999</v>
      </c>
      <c r="F939" s="1052">
        <f t="shared" si="150"/>
        <v>9.6151</v>
      </c>
      <c r="G939" s="1052">
        <f t="shared" si="151"/>
        <v>6.6367000000000003</v>
      </c>
      <c r="H939" s="1047">
        <f t="shared" si="145"/>
        <v>8.3056999999999999</v>
      </c>
      <c r="I939" s="1048">
        <f t="shared" si="143"/>
        <v>-0.19121807915046285</v>
      </c>
      <c r="J939" s="1048">
        <f t="shared" si="146"/>
        <v>0.12093838824177333</v>
      </c>
      <c r="K939" s="1048">
        <f t="shared" si="147"/>
        <v>0.1</v>
      </c>
      <c r="L939" s="1048"/>
      <c r="N939" s="1051">
        <v>43872</v>
      </c>
      <c r="O939" s="1053">
        <v>6.7175000000000002</v>
      </c>
      <c r="P939" s="1053">
        <v>1.2159</v>
      </c>
      <c r="Q939" s="1053">
        <v>7.8700999999999999</v>
      </c>
      <c r="R939" s="1054">
        <f>'B. PE'!$U$23</f>
        <v>15.978235616082999</v>
      </c>
      <c r="S939" s="1054"/>
      <c r="T939" s="1054"/>
      <c r="V939" s="1051">
        <v>43872</v>
      </c>
      <c r="W939" s="198">
        <v>5.5646000000000004</v>
      </c>
      <c r="X939" s="198">
        <v>0.4274</v>
      </c>
      <c r="Y939" s="198">
        <v>8.1149000000000004</v>
      </c>
      <c r="Z939" s="198">
        <v>0.27717999999999998</v>
      </c>
      <c r="AB939" s="1051">
        <v>43829</v>
      </c>
      <c r="AC939" s="198">
        <v>19.375</v>
      </c>
      <c r="AD939" s="1053">
        <v>1.1875</v>
      </c>
      <c r="AE939" s="198">
        <v>9.0381999999999998</v>
      </c>
      <c r="AF939" s="198">
        <v>2.4920000000000001E-2</v>
      </c>
      <c r="AH939" s="1051">
        <v>43829</v>
      </c>
      <c r="AI939" s="198">
        <v>12.858599999999999</v>
      </c>
      <c r="AJ939" s="198">
        <v>2.1876000000000002</v>
      </c>
      <c r="AK939" s="198">
        <v>6.8380000000000001</v>
      </c>
      <c r="AL939" s="198">
        <v>2.8570000000000002E-2</v>
      </c>
      <c r="AN939" s="1051">
        <v>43839</v>
      </c>
      <c r="AO939" s="198">
        <v>8.3663000000000007</v>
      </c>
      <c r="AP939" s="198">
        <v>0.80710000000000004</v>
      </c>
      <c r="AQ939" s="198">
        <v>4.6067999999999998</v>
      </c>
      <c r="AR939" s="198">
        <v>0.16739999999999999</v>
      </c>
      <c r="AT939" s="1051">
        <v>43802</v>
      </c>
      <c r="AU939" s="198">
        <v>8.7230000000000008</v>
      </c>
      <c r="AV939" s="198">
        <v>0.48709999999999998</v>
      </c>
      <c r="AX939" s="198">
        <v>0.11608</v>
      </c>
      <c r="BA939" s="1051">
        <v>43822</v>
      </c>
      <c r="BB939" s="198">
        <v>5.9474</v>
      </c>
      <c r="BC939" s="198">
        <v>1.1407</v>
      </c>
      <c r="BD939" s="198">
        <v>6.9558999999999997</v>
      </c>
      <c r="BE939" s="198">
        <v>0.25170999999999999</v>
      </c>
      <c r="BG939" s="1051">
        <v>43822</v>
      </c>
      <c r="BH939" s="198">
        <v>10.8451</v>
      </c>
      <c r="BI939" s="198">
        <v>2.1526000000000001</v>
      </c>
      <c r="BJ939" s="198">
        <v>15.7508</v>
      </c>
      <c r="BT939" s="1051">
        <v>43872</v>
      </c>
      <c r="BU939" s="198">
        <v>12.305099999999999</v>
      </c>
      <c r="BV939" s="198">
        <v>3.8849</v>
      </c>
      <c r="BW939" s="198">
        <v>8.7507000000000001</v>
      </c>
      <c r="BX939" s="198">
        <v>1.5596000000000001</v>
      </c>
      <c r="BZ939" s="1051">
        <v>43872</v>
      </c>
      <c r="CA939" s="198">
        <v>6.7164000000000001</v>
      </c>
      <c r="CB939" s="198">
        <v>1.1286</v>
      </c>
      <c r="CC939" s="198">
        <v>11.0436</v>
      </c>
      <c r="CD939" s="198">
        <v>0.47160999999999997</v>
      </c>
      <c r="CF939" s="1051">
        <v>43871</v>
      </c>
      <c r="CG939" s="198">
        <v>7.6436999999999999</v>
      </c>
      <c r="CH939" s="198">
        <v>1.2036</v>
      </c>
      <c r="CI939" s="198">
        <v>10.881600000000001</v>
      </c>
      <c r="CL939" s="1051">
        <v>43889</v>
      </c>
      <c r="CM939" s="198">
        <v>20.3902</v>
      </c>
      <c r="CN939" s="198">
        <v>1.9851000000000001</v>
      </c>
      <c r="CO939" s="198">
        <v>8.8081999999999994</v>
      </c>
    </row>
    <row r="940" spans="1:93" s="198" customFormat="1">
      <c r="A940" s="1051">
        <v>43871</v>
      </c>
      <c r="B940" s="1052">
        <f t="shared" si="142"/>
        <v>6.6548999999999996</v>
      </c>
      <c r="C940" s="1052">
        <f t="shared" si="144"/>
        <v>5.4913999999999996</v>
      </c>
      <c r="D940" s="1052">
        <f t="shared" si="148"/>
        <v>11.930300000000001</v>
      </c>
      <c r="E940" s="1052">
        <f t="shared" si="149"/>
        <v>7.9419000000000004</v>
      </c>
      <c r="F940" s="1052">
        <f t="shared" si="150"/>
        <v>9.6151</v>
      </c>
      <c r="G940" s="1052">
        <f t="shared" si="151"/>
        <v>6.6367000000000003</v>
      </c>
      <c r="H940" s="1047">
        <f t="shared" si="145"/>
        <v>7.9419000000000004</v>
      </c>
      <c r="I940" s="1048">
        <f t="shared" si="143"/>
        <v>-0.16205190193782348</v>
      </c>
      <c r="J940" s="1048">
        <f t="shared" si="146"/>
        <v>0.12093838824177333</v>
      </c>
      <c r="K940" s="1048">
        <f t="shared" si="147"/>
        <v>0.1</v>
      </c>
      <c r="L940" s="1048"/>
      <c r="N940" s="1051">
        <v>43871</v>
      </c>
      <c r="O940" s="1053">
        <v>6.6548999999999996</v>
      </c>
      <c r="P940" s="1053">
        <v>1.2045999999999999</v>
      </c>
      <c r="Q940" s="1053">
        <v>7.8190999999999997</v>
      </c>
      <c r="R940" s="1054">
        <f>'B. PE'!$U$23</f>
        <v>15.978235616082999</v>
      </c>
      <c r="S940" s="1054"/>
      <c r="T940" s="1054"/>
      <c r="V940" s="1051">
        <v>43871</v>
      </c>
      <c r="W940" s="198">
        <v>5.4913999999999996</v>
      </c>
      <c r="X940" s="198">
        <v>0.42180000000000001</v>
      </c>
      <c r="Y940" s="198">
        <v>8.0650999999999993</v>
      </c>
      <c r="Z940" s="198">
        <v>0.27731</v>
      </c>
      <c r="AB940" s="1051">
        <v>43826</v>
      </c>
      <c r="AC940" s="198">
        <v>16.104800000000001</v>
      </c>
      <c r="AD940" s="1053">
        <v>1.2188000000000001</v>
      </c>
      <c r="AE940" s="198">
        <v>8.0495000000000001</v>
      </c>
      <c r="AF940" s="198">
        <v>2.3609999999999999E-2</v>
      </c>
      <c r="AH940" s="1051">
        <v>43826</v>
      </c>
      <c r="AI940" s="198">
        <v>13.629200000000001</v>
      </c>
      <c r="AJ940" s="198">
        <v>2.4222999999999999</v>
      </c>
      <c r="AK940" s="198">
        <v>7.6913999999999998</v>
      </c>
      <c r="AL940" s="198">
        <v>2.826E-2</v>
      </c>
      <c r="AN940" s="1051">
        <v>43838</v>
      </c>
      <c r="AO940" s="198">
        <v>7.8813000000000004</v>
      </c>
      <c r="AP940" s="198">
        <v>0.76029999999999998</v>
      </c>
      <c r="AQ940" s="198">
        <v>4.2365000000000004</v>
      </c>
      <c r="AR940" s="198">
        <v>0.16691</v>
      </c>
      <c r="AT940" s="1051">
        <v>43801</v>
      </c>
      <c r="AU940" s="198">
        <v>8.7230000000000008</v>
      </c>
      <c r="AV940" s="198">
        <v>0.48709999999999998</v>
      </c>
      <c r="AX940" s="198">
        <v>0.11620999999999999</v>
      </c>
      <c r="BA940" s="1051">
        <v>43819</v>
      </c>
      <c r="BB940" s="198">
        <v>6.1082000000000001</v>
      </c>
      <c r="BC940" s="198">
        <v>1.1715</v>
      </c>
      <c r="BD940" s="198">
        <v>7.0679999999999996</v>
      </c>
      <c r="BE940" s="198">
        <v>0.24825</v>
      </c>
      <c r="BG940" s="1051">
        <v>43819</v>
      </c>
      <c r="BH940" s="198">
        <v>10.776</v>
      </c>
      <c r="BI940" s="198">
        <v>2.1389</v>
      </c>
      <c r="BJ940" s="198">
        <v>15.6877</v>
      </c>
      <c r="BT940" s="1051">
        <v>43871</v>
      </c>
      <c r="BU940" s="198">
        <v>12.2242</v>
      </c>
      <c r="BV940" s="198">
        <v>3.8593999999999999</v>
      </c>
      <c r="BW940" s="198">
        <v>8.7012999999999998</v>
      </c>
      <c r="BX940" s="198">
        <v>1.5719000000000001</v>
      </c>
      <c r="BZ940" s="1051">
        <v>43871</v>
      </c>
      <c r="CA940" s="198">
        <v>6.7901999999999996</v>
      </c>
      <c r="CB940" s="198">
        <v>1.141</v>
      </c>
      <c r="CC940" s="198">
        <v>11.089600000000001</v>
      </c>
      <c r="CD940" s="198">
        <v>0.46560000000000001</v>
      </c>
      <c r="CF940" s="1051">
        <v>43868</v>
      </c>
      <c r="CI940" s="198">
        <v>10.6214</v>
      </c>
      <c r="CL940" s="1051">
        <v>43888</v>
      </c>
      <c r="CM940" s="198">
        <v>21.237400000000001</v>
      </c>
      <c r="CN940" s="198">
        <v>2.0674999999999999</v>
      </c>
      <c r="CO940" s="198">
        <v>9.1774000000000004</v>
      </c>
    </row>
    <row r="941" spans="1:93" s="198" customFormat="1">
      <c r="A941" s="1051">
        <v>43868</v>
      </c>
      <c r="B941" s="1052">
        <f t="shared" si="142"/>
        <v>6.2412999999999998</v>
      </c>
      <c r="C941" s="1052">
        <f t="shared" si="144"/>
        <v>5.6013000000000002</v>
      </c>
      <c r="D941" s="1052">
        <f t="shared" si="148"/>
        <v>11.9991</v>
      </c>
      <c r="E941" s="1052">
        <f t="shared" si="149"/>
        <v>7.9419000000000004</v>
      </c>
      <c r="F941" s="1052">
        <f t="shared" si="150"/>
        <v>9.7689000000000004</v>
      </c>
      <c r="G941" s="1052">
        <f t="shared" si="151"/>
        <v>6.6780999999999997</v>
      </c>
      <c r="H941" s="1047">
        <f t="shared" si="145"/>
        <v>7.9419000000000004</v>
      </c>
      <c r="I941" s="1048">
        <f t="shared" si="143"/>
        <v>-0.21413011999647447</v>
      </c>
      <c r="J941" s="1048">
        <f t="shared" si="146"/>
        <v>0.12093838824177333</v>
      </c>
      <c r="K941" s="1048">
        <f t="shared" si="147"/>
        <v>0.1</v>
      </c>
      <c r="L941" s="1048"/>
      <c r="N941" s="1051">
        <v>43868</v>
      </c>
      <c r="O941" s="1053">
        <v>6.2412999999999998</v>
      </c>
      <c r="P941" s="1053">
        <v>1.1296999999999999</v>
      </c>
      <c r="Q941" s="1053">
        <v>7.4825999999999997</v>
      </c>
      <c r="R941" s="1054">
        <f>'B. PE'!$U$23</f>
        <v>15.978235616082999</v>
      </c>
      <c r="S941" s="1054"/>
      <c r="T941" s="1054"/>
      <c r="V941" s="1051">
        <v>43868</v>
      </c>
      <c r="W941" s="198">
        <v>5.6013000000000002</v>
      </c>
      <c r="X941" s="198">
        <v>0.43020000000000003</v>
      </c>
      <c r="Y941" s="198">
        <v>8.1397999999999993</v>
      </c>
      <c r="Z941" s="198">
        <v>0.27550999999999998</v>
      </c>
      <c r="AB941" s="1051">
        <v>43825</v>
      </c>
      <c r="AC941" s="198">
        <v>15.6114</v>
      </c>
      <c r="AD941" s="1053">
        <v>1.1815</v>
      </c>
      <c r="AE941" s="198">
        <v>7.8727</v>
      </c>
      <c r="AF941" s="198">
        <v>2.3619999999999999E-2</v>
      </c>
      <c r="AH941" s="1051">
        <v>43825</v>
      </c>
      <c r="AI941" s="198">
        <v>13.767200000000001</v>
      </c>
      <c r="AJ941" s="198">
        <v>2.4468999999999999</v>
      </c>
      <c r="AK941" s="198">
        <v>7.7637</v>
      </c>
      <c r="AL941" s="198">
        <v>2.8420000000000001E-2</v>
      </c>
      <c r="AN941" s="1051">
        <v>43837</v>
      </c>
      <c r="AO941" s="198">
        <v>8.3056999999999999</v>
      </c>
      <c r="AP941" s="198">
        <v>0.80120000000000002</v>
      </c>
      <c r="AQ941" s="198">
        <v>4.5605000000000002</v>
      </c>
      <c r="AR941" s="198">
        <v>0.17308999999999999</v>
      </c>
      <c r="AT941" s="1051">
        <v>43798</v>
      </c>
      <c r="AU941" s="198">
        <v>8.7230000000000008</v>
      </c>
      <c r="AV941" s="198">
        <v>0.48709999999999998</v>
      </c>
      <c r="AX941" s="198">
        <v>0.12105</v>
      </c>
      <c r="BA941" s="1051">
        <v>43818</v>
      </c>
      <c r="BB941" s="198">
        <v>6.1082000000000001</v>
      </c>
      <c r="BC941" s="198">
        <v>1.1715</v>
      </c>
      <c r="BD941" s="198">
        <v>7.0679999999999996</v>
      </c>
      <c r="BE941" s="198">
        <v>0.24132999999999999</v>
      </c>
      <c r="BG941" s="1051">
        <v>43818</v>
      </c>
      <c r="BH941" s="198">
        <v>10.499700000000001</v>
      </c>
      <c r="BI941" s="198">
        <v>2.0840000000000001</v>
      </c>
      <c r="BJ941" s="198">
        <v>15.4354</v>
      </c>
      <c r="BT941" s="1051">
        <v>43868</v>
      </c>
      <c r="BU941" s="198">
        <v>12.5593</v>
      </c>
      <c r="BV941" s="198">
        <v>3.9651999999999998</v>
      </c>
      <c r="BW941" s="198">
        <v>8.9060000000000006</v>
      </c>
      <c r="BX941" s="198">
        <v>1.5504</v>
      </c>
      <c r="BZ941" s="1051">
        <v>43868</v>
      </c>
      <c r="CA941" s="198">
        <v>6.9747000000000003</v>
      </c>
      <c r="CB941" s="198">
        <v>1.1719999999999999</v>
      </c>
      <c r="CC941" s="198">
        <v>11.204599999999999</v>
      </c>
      <c r="CD941" s="198">
        <v>0.43690000000000001</v>
      </c>
      <c r="CF941" s="1051">
        <v>43867</v>
      </c>
      <c r="CG941" s="198">
        <v>7.1622000000000003</v>
      </c>
      <c r="CH941" s="198">
        <v>1.1276999999999999</v>
      </c>
      <c r="CI941" s="198">
        <v>10.6214</v>
      </c>
      <c r="CL941" s="1051">
        <v>43887</v>
      </c>
      <c r="CM941" s="198">
        <v>21.8399</v>
      </c>
      <c r="CN941" s="198">
        <v>2.1261999999999999</v>
      </c>
      <c r="CO941" s="198">
        <v>9.4400999999999993</v>
      </c>
    </row>
    <row r="942" spans="1:93" s="198" customFormat="1">
      <c r="A942" s="1051">
        <v>43867</v>
      </c>
      <c r="B942" s="1052">
        <f t="shared" si="142"/>
        <v>6.2286999999999999</v>
      </c>
      <c r="C942" s="1052">
        <f t="shared" si="144"/>
        <v>5.6013000000000002</v>
      </c>
      <c r="D942" s="1052">
        <f t="shared" si="148"/>
        <v>11.7584</v>
      </c>
      <c r="E942" s="1052">
        <f t="shared" si="149"/>
        <v>7.7601000000000004</v>
      </c>
      <c r="F942" s="1052">
        <f t="shared" si="150"/>
        <v>10.153499999999999</v>
      </c>
      <c r="G942" s="1052">
        <f t="shared" si="151"/>
        <v>6.6780999999999997</v>
      </c>
      <c r="H942" s="1047">
        <f t="shared" si="145"/>
        <v>7.7601000000000004</v>
      </c>
      <c r="I942" s="1048">
        <f t="shared" si="143"/>
        <v>-0.19734281774719409</v>
      </c>
      <c r="J942" s="1048">
        <f t="shared" si="146"/>
        <v>0.12093838824177333</v>
      </c>
      <c r="K942" s="1048">
        <f t="shared" si="147"/>
        <v>0.1</v>
      </c>
      <c r="L942" s="1048"/>
      <c r="N942" s="1051">
        <v>43867</v>
      </c>
      <c r="O942" s="1053">
        <v>6.2286999999999999</v>
      </c>
      <c r="P942" s="1053">
        <v>1.1274</v>
      </c>
      <c r="Q942" s="1053">
        <v>7.4724000000000004</v>
      </c>
      <c r="R942" s="1054">
        <f>'B. PE'!$U$23</f>
        <v>15.978235616082999</v>
      </c>
      <c r="S942" s="1054"/>
      <c r="T942" s="1054"/>
      <c r="V942" s="1051">
        <v>43867</v>
      </c>
      <c r="W942" s="198">
        <v>5.6013000000000002</v>
      </c>
      <c r="X942" s="198">
        <v>0.43020000000000003</v>
      </c>
      <c r="Y942" s="198">
        <v>8.1397999999999993</v>
      </c>
      <c r="Z942" s="198">
        <v>0.26729999999999998</v>
      </c>
      <c r="AB942" s="1051">
        <v>43822</v>
      </c>
      <c r="AC942" s="198">
        <v>14.803900000000001</v>
      </c>
      <c r="AD942" s="1053">
        <v>1.1204000000000001</v>
      </c>
      <c r="AE942" s="198">
        <v>7.5835999999999997</v>
      </c>
      <c r="AF942" s="198">
        <v>2.3949999999999999E-2</v>
      </c>
      <c r="AH942" s="1051">
        <v>43822</v>
      </c>
      <c r="AI942" s="198">
        <v>13.629200000000001</v>
      </c>
      <c r="AJ942" s="198">
        <v>2.4222999999999999</v>
      </c>
      <c r="AK942" s="198">
        <v>7.6913999999999998</v>
      </c>
      <c r="AL942" s="198">
        <v>2.8889999999999999E-2</v>
      </c>
      <c r="AN942" s="1051">
        <v>43836</v>
      </c>
      <c r="AO942" s="198">
        <v>8.3056999999999999</v>
      </c>
      <c r="AP942" s="198">
        <v>0.80120000000000002</v>
      </c>
      <c r="AQ942" s="198">
        <v>4.5605000000000002</v>
      </c>
      <c r="AR942" s="198">
        <v>0.17737</v>
      </c>
      <c r="AT942" s="1051">
        <v>43797</v>
      </c>
      <c r="AU942" s="198">
        <v>8.7230000000000008</v>
      </c>
      <c r="AV942" s="198">
        <v>0.48709999999999998</v>
      </c>
      <c r="AX942" s="198">
        <v>0.12483</v>
      </c>
      <c r="BA942" s="1051">
        <v>43817</v>
      </c>
      <c r="BB942" s="198">
        <v>6.0278</v>
      </c>
      <c r="BC942" s="198">
        <v>1.1560999999999999</v>
      </c>
      <c r="BD942" s="198">
        <v>7.0118999999999998</v>
      </c>
      <c r="BE942" s="198">
        <v>0.24159</v>
      </c>
      <c r="BG942" s="1051">
        <v>43817</v>
      </c>
      <c r="BH942" s="198">
        <v>10.2234</v>
      </c>
      <c r="BI942" s="198">
        <v>2.0291999999999999</v>
      </c>
      <c r="BJ942" s="198">
        <v>15.1831</v>
      </c>
      <c r="BT942" s="1051">
        <v>43867</v>
      </c>
      <c r="BU942" s="198">
        <v>12.6517</v>
      </c>
      <c r="BV942" s="198">
        <v>3.9943</v>
      </c>
      <c r="BW942" s="198">
        <v>8.9625000000000004</v>
      </c>
      <c r="BX942" s="198">
        <v>1.5476000000000001</v>
      </c>
      <c r="BZ942" s="1051">
        <v>43867</v>
      </c>
      <c r="CA942" s="198">
        <v>6.8825000000000003</v>
      </c>
      <c r="CB942" s="198">
        <v>1.1565000000000001</v>
      </c>
      <c r="CC942" s="198">
        <v>11.1471</v>
      </c>
      <c r="CD942" s="198">
        <v>0.41158</v>
      </c>
      <c r="CF942" s="1051">
        <v>43866</v>
      </c>
      <c r="CI942" s="198">
        <v>10.8491</v>
      </c>
      <c r="CL942" s="1051">
        <v>43886</v>
      </c>
      <c r="CM942" s="198">
        <v>21.971699999999998</v>
      </c>
      <c r="CN942" s="198">
        <v>2.1389999999999998</v>
      </c>
      <c r="CO942" s="198">
        <v>9.4975000000000005</v>
      </c>
    </row>
    <row r="943" spans="1:93" s="198" customFormat="1">
      <c r="A943" s="1051">
        <v>43866</v>
      </c>
      <c r="B943" s="1052">
        <f t="shared" si="142"/>
        <v>5.9905999999999997</v>
      </c>
      <c r="C943" s="1052">
        <f t="shared" si="144"/>
        <v>5.5646000000000004</v>
      </c>
      <c r="D943" s="1052">
        <f t="shared" si="148"/>
        <v>11.7584</v>
      </c>
      <c r="E943" s="1052">
        <f t="shared" si="149"/>
        <v>7.2751000000000001</v>
      </c>
      <c r="F943" s="1052">
        <f t="shared" si="150"/>
        <v>10.153499999999999</v>
      </c>
      <c r="G943" s="1052">
        <f t="shared" si="151"/>
        <v>6.5952000000000002</v>
      </c>
      <c r="H943" s="1047">
        <f t="shared" si="145"/>
        <v>7.2751000000000001</v>
      </c>
      <c r="I943" s="1048">
        <f t="shared" si="143"/>
        <v>-0.17656114692581548</v>
      </c>
      <c r="J943" s="1048">
        <f t="shared" si="146"/>
        <v>0.12093838824177333</v>
      </c>
      <c r="K943" s="1048">
        <f t="shared" si="147"/>
        <v>0.1</v>
      </c>
      <c r="L943" s="1048"/>
      <c r="N943" s="1051">
        <v>43866</v>
      </c>
      <c r="O943" s="1053">
        <v>5.9905999999999997</v>
      </c>
      <c r="P943" s="1053">
        <v>1.0843</v>
      </c>
      <c r="Q943" s="1053">
        <v>7.2786</v>
      </c>
      <c r="R943" s="1054">
        <f>'B. PE'!$U$23</f>
        <v>15.978235616082999</v>
      </c>
      <c r="S943" s="1054"/>
      <c r="T943" s="1054"/>
      <c r="V943" s="1051">
        <v>43866</v>
      </c>
      <c r="W943" s="198">
        <v>5.5646000000000004</v>
      </c>
      <c r="X943" s="198">
        <v>0.4274</v>
      </c>
      <c r="Y943" s="198">
        <v>8.1149000000000004</v>
      </c>
      <c r="Z943" s="198">
        <v>0.26599</v>
      </c>
      <c r="AB943" s="1051">
        <v>43819</v>
      </c>
      <c r="AC943" s="198">
        <v>14.803900000000001</v>
      </c>
      <c r="AD943" s="1053">
        <v>1.1204000000000001</v>
      </c>
      <c r="AE943" s="198">
        <v>7.5835999999999997</v>
      </c>
      <c r="AF943" s="198">
        <v>2.393E-2</v>
      </c>
      <c r="AH943" s="1051">
        <v>43819</v>
      </c>
      <c r="AI943" s="198">
        <v>13.6982</v>
      </c>
      <c r="AJ943" s="198">
        <v>2.4346000000000001</v>
      </c>
      <c r="AK943" s="198">
        <v>7.7275999999999998</v>
      </c>
      <c r="AL943" s="198">
        <v>2.8719999999999999E-2</v>
      </c>
      <c r="AN943" s="1051">
        <v>43833</v>
      </c>
      <c r="AO943" s="198">
        <v>8.6088000000000005</v>
      </c>
      <c r="AP943" s="198">
        <v>0.83050000000000002</v>
      </c>
      <c r="AQ943" s="198">
        <v>4.7919999999999998</v>
      </c>
      <c r="AR943" s="198">
        <v>0.17602000000000001</v>
      </c>
      <c r="AT943" s="1051">
        <v>43796</v>
      </c>
      <c r="AU943" s="198">
        <v>9.0827000000000009</v>
      </c>
      <c r="AV943" s="198">
        <v>0.50719999999999998</v>
      </c>
      <c r="AX943" s="198">
        <v>0.12146</v>
      </c>
      <c r="BA943" s="1051">
        <v>43816</v>
      </c>
      <c r="BB943" s="198">
        <v>5.8670999999999998</v>
      </c>
      <c r="BC943" s="198">
        <v>1.1253</v>
      </c>
      <c r="BD943" s="198">
        <v>6.8998999999999997</v>
      </c>
      <c r="BE943" s="198">
        <v>0.24684</v>
      </c>
      <c r="BG943" s="1051">
        <v>43816</v>
      </c>
      <c r="BH943" s="198">
        <v>10.2925</v>
      </c>
      <c r="BI943" s="198">
        <v>2.0428999999999999</v>
      </c>
      <c r="BJ943" s="198">
        <v>15.2462</v>
      </c>
      <c r="BT943" s="1051">
        <v>43866</v>
      </c>
      <c r="BU943" s="198">
        <v>12.478400000000001</v>
      </c>
      <c r="BV943" s="198">
        <v>3.9396</v>
      </c>
      <c r="BW943" s="198">
        <v>8.8566000000000003</v>
      </c>
      <c r="BX943" s="198">
        <v>1.5591999999999999</v>
      </c>
      <c r="BZ943" s="1051">
        <v>43866</v>
      </c>
      <c r="CA943" s="198">
        <v>6.4581</v>
      </c>
      <c r="CB943" s="198">
        <v>1.0851</v>
      </c>
      <c r="CC943" s="198">
        <v>10.8827</v>
      </c>
      <c r="CD943" s="198">
        <v>0.41871000000000003</v>
      </c>
      <c r="CF943" s="1051">
        <v>43865</v>
      </c>
      <c r="CG943" s="198">
        <v>7.5834999999999999</v>
      </c>
      <c r="CH943" s="198">
        <v>1.1940999999999999</v>
      </c>
      <c r="CI943" s="198">
        <v>10.8491</v>
      </c>
      <c r="CL943" s="1051">
        <v>43885</v>
      </c>
      <c r="CM943" s="198">
        <v>21.915199999999999</v>
      </c>
      <c r="CN943" s="198">
        <v>2.1335000000000002</v>
      </c>
      <c r="CO943" s="198">
        <v>9.4728999999999992</v>
      </c>
    </row>
    <row r="944" spans="1:93" s="198" customFormat="1">
      <c r="A944" s="1051">
        <v>43865</v>
      </c>
      <c r="B944" s="1052">
        <f t="shared" si="142"/>
        <v>5.9405000000000001</v>
      </c>
      <c r="C944" s="1052">
        <f t="shared" si="144"/>
        <v>5.4036</v>
      </c>
      <c r="D944" s="1052">
        <f t="shared" si="148"/>
        <v>11.724</v>
      </c>
      <c r="E944" s="1052">
        <f t="shared" si="149"/>
        <v>7.3357000000000001</v>
      </c>
      <c r="F944" s="1052">
        <f t="shared" si="150"/>
        <v>10.153499999999999</v>
      </c>
      <c r="G944" s="1052">
        <f t="shared" si="151"/>
        <v>6.5952000000000002</v>
      </c>
      <c r="H944" s="1047">
        <f t="shared" si="145"/>
        <v>7.3357000000000001</v>
      </c>
      <c r="I944" s="1048">
        <f t="shared" si="143"/>
        <v>-0.19019316493313521</v>
      </c>
      <c r="J944" s="1048">
        <f t="shared" si="146"/>
        <v>0.12093838824177333</v>
      </c>
      <c r="K944" s="1048">
        <f t="shared" si="147"/>
        <v>0.1</v>
      </c>
      <c r="L944" s="1048"/>
      <c r="N944" s="1051">
        <v>43865</v>
      </c>
      <c r="O944" s="1053">
        <v>5.9405000000000001</v>
      </c>
      <c r="P944" s="1053">
        <v>1.0752999999999999</v>
      </c>
      <c r="Q944" s="1053">
        <v>7.2378</v>
      </c>
      <c r="R944" s="1054">
        <f>'B. PE'!$U$23</f>
        <v>15.978235616082999</v>
      </c>
      <c r="S944" s="1054"/>
      <c r="T944" s="1054"/>
      <c r="V944" s="1051">
        <v>43865</v>
      </c>
      <c r="W944" s="198">
        <v>5.4036</v>
      </c>
      <c r="X944" s="198">
        <v>0.41499999999999998</v>
      </c>
      <c r="Y944" s="198">
        <v>8.0053000000000001</v>
      </c>
      <c r="Z944" s="198">
        <v>0.27987000000000001</v>
      </c>
      <c r="AB944" s="1051">
        <v>43818</v>
      </c>
      <c r="AC944" s="198">
        <v>15.0282</v>
      </c>
      <c r="AD944" s="1053">
        <v>1.1373</v>
      </c>
      <c r="AE944" s="198">
        <v>7.6638999999999999</v>
      </c>
      <c r="AF944" s="198">
        <v>2.443E-2</v>
      </c>
      <c r="AH944" s="1051">
        <v>43818</v>
      </c>
      <c r="AI944" s="198">
        <v>13.9398</v>
      </c>
      <c r="AJ944" s="198">
        <v>2.4775</v>
      </c>
      <c r="AK944" s="198">
        <v>7.8539000000000003</v>
      </c>
      <c r="AL944" s="198">
        <v>2.8289999999999999E-2</v>
      </c>
      <c r="AN944" s="1051">
        <v>43832</v>
      </c>
      <c r="AO944" s="198">
        <v>8.7906999999999993</v>
      </c>
      <c r="AP944" s="198">
        <v>0.84799999999999998</v>
      </c>
      <c r="AQ944" s="198">
        <v>4.9307999999999996</v>
      </c>
      <c r="AR944" s="198">
        <v>0.1802</v>
      </c>
      <c r="AT944" s="1051">
        <v>43789</v>
      </c>
      <c r="AU944" s="198">
        <v>9.3524999999999991</v>
      </c>
      <c r="AV944" s="198">
        <v>0.52229999999999999</v>
      </c>
      <c r="AX944" s="198">
        <v>0.12031</v>
      </c>
      <c r="BA944" s="1051">
        <v>43815</v>
      </c>
      <c r="BB944" s="198">
        <v>5.8670999999999998</v>
      </c>
      <c r="BC944" s="198">
        <v>1.1253</v>
      </c>
      <c r="BD944" s="198">
        <v>6.8998999999999997</v>
      </c>
      <c r="BE944" s="198">
        <v>0.24535000000000001</v>
      </c>
      <c r="BG944" s="1051">
        <v>43815</v>
      </c>
      <c r="BH944" s="198">
        <v>10.2234</v>
      </c>
      <c r="BI944" s="198">
        <v>2.0291999999999999</v>
      </c>
      <c r="BJ944" s="198">
        <v>15.1831</v>
      </c>
      <c r="BT944" s="1051">
        <v>43865</v>
      </c>
      <c r="BU944" s="198">
        <v>12.466900000000001</v>
      </c>
      <c r="BV944" s="198">
        <v>3.9359999999999999</v>
      </c>
      <c r="BW944" s="198">
        <v>8.8495000000000008</v>
      </c>
      <c r="BX944" s="198">
        <v>1.5907</v>
      </c>
      <c r="BZ944" s="1051">
        <v>43865</v>
      </c>
      <c r="CA944" s="198">
        <v>6.0891000000000002</v>
      </c>
      <c r="CB944" s="198">
        <v>1.0230999999999999</v>
      </c>
      <c r="CC944" s="198">
        <v>10.652799999999999</v>
      </c>
      <c r="CD944" s="198">
        <v>0.42819000000000002</v>
      </c>
      <c r="CF944" s="1051">
        <v>43864</v>
      </c>
      <c r="CG944" s="198">
        <v>8.4260999999999999</v>
      </c>
      <c r="CH944" s="198">
        <v>1.3268</v>
      </c>
      <c r="CI944" s="198">
        <v>11.304399999999999</v>
      </c>
      <c r="CL944" s="1051">
        <v>43882</v>
      </c>
      <c r="CM944" s="198">
        <v>22.630600000000001</v>
      </c>
      <c r="CN944" s="198">
        <v>2.2031999999999998</v>
      </c>
      <c r="CO944" s="198">
        <v>9.7847000000000008</v>
      </c>
    </row>
    <row r="945" spans="1:93" s="198" customFormat="1">
      <c r="A945" s="1051">
        <v>43864</v>
      </c>
      <c r="B945" s="1052">
        <f t="shared" si="142"/>
        <v>5.8151999999999999</v>
      </c>
      <c r="C945" s="1052">
        <f t="shared" si="144"/>
        <v>5.3815999999999997</v>
      </c>
      <c r="D945" s="1052">
        <f t="shared" si="148"/>
        <v>11.002000000000001</v>
      </c>
      <c r="E945" s="1052">
        <f t="shared" si="149"/>
        <v>7.1538000000000004</v>
      </c>
      <c r="F945" s="1052">
        <f t="shared" si="150"/>
        <v>10.076599999999999</v>
      </c>
      <c r="G945" s="1052">
        <f t="shared" si="151"/>
        <v>6.5122</v>
      </c>
      <c r="H945" s="1047">
        <f t="shared" si="145"/>
        <v>7.1538000000000004</v>
      </c>
      <c r="I945" s="1048">
        <f t="shared" si="143"/>
        <v>-0.18711733624087901</v>
      </c>
      <c r="J945" s="1048">
        <f t="shared" si="146"/>
        <v>0.12093838824177333</v>
      </c>
      <c r="K945" s="1048">
        <f t="shared" si="147"/>
        <v>0.1</v>
      </c>
      <c r="L945" s="1048"/>
      <c r="N945" s="1051">
        <v>43864</v>
      </c>
      <c r="O945" s="1053">
        <v>5.8151999999999999</v>
      </c>
      <c r="P945" s="1053">
        <v>1.0526</v>
      </c>
      <c r="Q945" s="1053">
        <v>7.1357999999999997</v>
      </c>
      <c r="R945" s="1054">
        <f>'B. PE'!$U$23</f>
        <v>15.978235616082999</v>
      </c>
      <c r="S945" s="1054"/>
      <c r="T945" s="1054"/>
      <c r="V945" s="1051">
        <v>43864</v>
      </c>
      <c r="W945" s="198">
        <v>5.3815999999999997</v>
      </c>
      <c r="X945" s="198">
        <v>0.4133</v>
      </c>
      <c r="Y945" s="198">
        <v>7.9904000000000002</v>
      </c>
      <c r="Z945" s="198">
        <v>0.28072000000000003</v>
      </c>
      <c r="AB945" s="1051">
        <v>43817</v>
      </c>
      <c r="AC945" s="198">
        <v>15.0282</v>
      </c>
      <c r="AD945" s="1053">
        <v>1.1373</v>
      </c>
      <c r="AE945" s="198">
        <v>7.6638999999999999</v>
      </c>
      <c r="AF945" s="198">
        <v>2.443E-2</v>
      </c>
      <c r="AH945" s="1051">
        <v>43817</v>
      </c>
      <c r="AI945" s="198">
        <v>13.870799999999999</v>
      </c>
      <c r="AJ945" s="198">
        <v>2.4653</v>
      </c>
      <c r="AK945" s="198">
        <v>7.8178000000000001</v>
      </c>
      <c r="AL945" s="198">
        <v>2.9000000000000001E-2</v>
      </c>
      <c r="AN945" s="1051">
        <v>43830</v>
      </c>
      <c r="AO945" s="198">
        <v>8.7301000000000002</v>
      </c>
      <c r="AP945" s="198">
        <v>0.84219999999999995</v>
      </c>
      <c r="AQ945" s="198">
        <v>4.8845999999999998</v>
      </c>
      <c r="AR945" s="198">
        <v>0.18776000000000001</v>
      </c>
      <c r="AT945" s="1051">
        <v>43788</v>
      </c>
      <c r="AU945" s="198">
        <v>9.0827000000000009</v>
      </c>
      <c r="AV945" s="198">
        <v>0.50719999999999998</v>
      </c>
      <c r="AX945" s="198">
        <v>0.11802</v>
      </c>
      <c r="BA945" s="1051">
        <v>43812</v>
      </c>
      <c r="BB945" s="198">
        <v>5.9875999999999996</v>
      </c>
      <c r="BC945" s="198">
        <v>1.1484000000000001</v>
      </c>
      <c r="BD945" s="198">
        <v>6.9839000000000002</v>
      </c>
      <c r="BE945" s="198">
        <v>0.24129</v>
      </c>
      <c r="BG945" s="1051">
        <v>43812</v>
      </c>
      <c r="BH945" s="198">
        <v>9.6707999999999998</v>
      </c>
      <c r="BI945" s="198">
        <v>1.9195</v>
      </c>
      <c r="BJ945" s="198">
        <v>14.6785</v>
      </c>
      <c r="BT945" s="1051">
        <v>43864</v>
      </c>
      <c r="BU945" s="198">
        <v>12.5708</v>
      </c>
      <c r="BV945" s="198">
        <v>3.9687999999999999</v>
      </c>
      <c r="BW945" s="198">
        <v>8.9131</v>
      </c>
      <c r="BX945" s="198">
        <v>1.6394</v>
      </c>
      <c r="BZ945" s="1051">
        <v>43864</v>
      </c>
      <c r="CA945" s="198">
        <v>6.1997999999999998</v>
      </c>
      <c r="CB945" s="198">
        <v>1.0417000000000001</v>
      </c>
      <c r="CC945" s="198">
        <v>10.7218</v>
      </c>
      <c r="CD945" s="198">
        <v>0.42892000000000002</v>
      </c>
      <c r="CF945" s="1051">
        <v>43861</v>
      </c>
      <c r="CI945" s="198">
        <v>11.109299999999999</v>
      </c>
      <c r="CL945" s="1051">
        <v>43881</v>
      </c>
      <c r="CM945" s="198">
        <v>23.044799999999999</v>
      </c>
      <c r="CN945" s="198">
        <v>2.2435</v>
      </c>
      <c r="CO945" s="198">
        <v>9.9652999999999992</v>
      </c>
    </row>
    <row r="946" spans="1:93" s="198" customFormat="1">
      <c r="A946" s="1051">
        <v>43861</v>
      </c>
      <c r="B946" s="1052">
        <f t="shared" si="142"/>
        <v>5.9279999999999999</v>
      </c>
      <c r="C946" s="1052">
        <f t="shared" si="144"/>
        <v>5.6524999999999999</v>
      </c>
      <c r="D946" s="1052">
        <f t="shared" si="148"/>
        <v>11.5177</v>
      </c>
      <c r="E946" s="1052">
        <f t="shared" si="149"/>
        <v>7.0932000000000004</v>
      </c>
      <c r="F946" s="1052">
        <f t="shared" si="150"/>
        <v>10.153499999999999</v>
      </c>
      <c r="G946" s="1052">
        <f t="shared" si="151"/>
        <v>6.6367000000000003</v>
      </c>
      <c r="H946" s="1047">
        <f t="shared" si="145"/>
        <v>7.0932000000000004</v>
      </c>
      <c r="I946" s="1048">
        <f t="shared" si="143"/>
        <v>-0.16427000507528344</v>
      </c>
      <c r="J946" s="1048">
        <f t="shared" si="146"/>
        <v>0.12093838824177333</v>
      </c>
      <c r="K946" s="1048">
        <f t="shared" si="147"/>
        <v>0.1</v>
      </c>
      <c r="L946" s="1048"/>
      <c r="N946" s="1051">
        <v>43861</v>
      </c>
      <c r="O946" s="1053">
        <v>5.9279999999999999</v>
      </c>
      <c r="P946" s="1053">
        <v>1.073</v>
      </c>
      <c r="Q946" s="1053">
        <v>7.2275999999999998</v>
      </c>
      <c r="R946" s="1054">
        <f>'B. PE'!$U$23</f>
        <v>15.978235616082999</v>
      </c>
      <c r="S946" s="1054"/>
      <c r="T946" s="1054"/>
      <c r="V946" s="1051">
        <v>43861</v>
      </c>
      <c r="W946" s="198">
        <v>5.6524999999999999</v>
      </c>
      <c r="X946" s="198">
        <v>0.43409999999999999</v>
      </c>
      <c r="Y946" s="198">
        <v>8.1746999999999996</v>
      </c>
      <c r="Z946" s="198">
        <v>0.27971000000000001</v>
      </c>
      <c r="AB946" s="1051">
        <v>43816</v>
      </c>
      <c r="AC946" s="198">
        <v>15.3422</v>
      </c>
      <c r="AD946" s="1053">
        <v>1.1611</v>
      </c>
      <c r="AE946" s="198">
        <v>7.7763</v>
      </c>
      <c r="AF946" s="198">
        <v>2.3179999999999999E-2</v>
      </c>
      <c r="AH946" s="1051">
        <v>43816</v>
      </c>
      <c r="AI946" s="198">
        <v>13.6637</v>
      </c>
      <c r="AJ946" s="198">
        <v>2.4285000000000001</v>
      </c>
      <c r="AK946" s="198">
        <v>7.7095000000000002</v>
      </c>
      <c r="AL946" s="198">
        <v>2.853E-2</v>
      </c>
      <c r="AN946" s="1051">
        <v>43829</v>
      </c>
      <c r="AO946" s="198">
        <v>9.8002000000000002</v>
      </c>
      <c r="AP946" s="198">
        <v>0.88349999999999995</v>
      </c>
      <c r="AQ946" s="198">
        <v>6.8844000000000003</v>
      </c>
      <c r="AR946" s="198">
        <v>0.17904999999999999</v>
      </c>
      <c r="AT946" s="1051">
        <v>43787</v>
      </c>
      <c r="AU946" s="198">
        <v>8.9928000000000008</v>
      </c>
      <c r="AV946" s="198">
        <v>0.50219999999999998</v>
      </c>
      <c r="AX946" s="198">
        <v>0.12028999999999999</v>
      </c>
      <c r="BA946" s="1051">
        <v>43811</v>
      </c>
      <c r="BB946" s="198">
        <v>5.9474</v>
      </c>
      <c r="BC946" s="198">
        <v>1.1407</v>
      </c>
      <c r="BD946" s="198">
        <v>6.9558999999999997</v>
      </c>
      <c r="BE946" s="198">
        <v>0.25241999999999998</v>
      </c>
      <c r="BG946" s="1051">
        <v>43811</v>
      </c>
      <c r="BH946" s="198">
        <v>9.6016999999999992</v>
      </c>
      <c r="BI946" s="198">
        <v>1.9057999999999999</v>
      </c>
      <c r="BJ946" s="198">
        <v>14.615399999999999</v>
      </c>
      <c r="BT946" s="1051">
        <v>43861</v>
      </c>
      <c r="BU946" s="198">
        <v>12.8019</v>
      </c>
      <c r="BV946" s="198">
        <v>4.0418000000000003</v>
      </c>
      <c r="BW946" s="198">
        <v>9.0542999999999996</v>
      </c>
      <c r="BX946" s="198">
        <v>1.7146999999999999</v>
      </c>
      <c r="BZ946" s="1051">
        <v>43861</v>
      </c>
      <c r="CA946" s="198">
        <v>6.3289</v>
      </c>
      <c r="CB946" s="198">
        <v>1.0633999999999999</v>
      </c>
      <c r="CC946" s="198">
        <v>10.802300000000001</v>
      </c>
      <c r="CD946" s="198">
        <v>0.45782</v>
      </c>
      <c r="CF946" s="1051">
        <v>43860</v>
      </c>
      <c r="CG946" s="198">
        <v>8.0649999999999995</v>
      </c>
      <c r="CH946" s="198">
        <v>1.2699</v>
      </c>
      <c r="CI946" s="198">
        <v>11.109299999999999</v>
      </c>
      <c r="CL946" s="1051">
        <v>43880</v>
      </c>
      <c r="CM946" s="198">
        <v>22.9695</v>
      </c>
      <c r="CN946" s="198">
        <v>2.2362000000000002</v>
      </c>
      <c r="CO946" s="198">
        <v>9.9323999999999995</v>
      </c>
    </row>
    <row r="947" spans="1:93" s="198" customFormat="1">
      <c r="A947" s="1051">
        <v>43860</v>
      </c>
      <c r="B947" s="1052">
        <f t="shared" si="142"/>
        <v>6.0909000000000004</v>
      </c>
      <c r="C947" s="1052">
        <f t="shared" si="144"/>
        <v>5.6597999999999997</v>
      </c>
      <c r="D947" s="1052">
        <f t="shared" si="148"/>
        <v>12.274100000000001</v>
      </c>
      <c r="E947" s="1052">
        <f t="shared" si="149"/>
        <v>7.6387999999999998</v>
      </c>
      <c r="F947" s="1052">
        <f t="shared" si="150"/>
        <v>10.153499999999999</v>
      </c>
      <c r="G947" s="1052">
        <f t="shared" si="151"/>
        <v>6.6367000000000003</v>
      </c>
      <c r="H947" s="1047">
        <f t="shared" si="145"/>
        <v>7.6387999999999998</v>
      </c>
      <c r="I947" s="1048">
        <f t="shared" si="143"/>
        <v>-0.20263653977064455</v>
      </c>
      <c r="J947" s="1048">
        <f t="shared" si="146"/>
        <v>0.12093838824177333</v>
      </c>
      <c r="K947" s="1048">
        <f t="shared" si="147"/>
        <v>0.1</v>
      </c>
      <c r="L947" s="1048"/>
      <c r="N947" s="1051">
        <v>43860</v>
      </c>
      <c r="O947" s="1053">
        <v>6.0909000000000004</v>
      </c>
      <c r="P947" s="1053">
        <v>1.1025</v>
      </c>
      <c r="Q947" s="1053">
        <v>7.3601999999999999</v>
      </c>
      <c r="R947" s="1054">
        <f>'B. PE'!$U$23</f>
        <v>15.978235616082999</v>
      </c>
      <c r="S947" s="1054"/>
      <c r="T947" s="1054"/>
      <c r="V947" s="1051">
        <v>43860</v>
      </c>
      <c r="W947" s="198">
        <v>5.6597999999999997</v>
      </c>
      <c r="X947" s="198">
        <v>0.43469999999999998</v>
      </c>
      <c r="Y947" s="198">
        <v>8.1797000000000004</v>
      </c>
      <c r="Z947" s="198">
        <v>0.27827000000000002</v>
      </c>
      <c r="AB947" s="1051">
        <v>43815</v>
      </c>
      <c r="AC947" s="198">
        <v>15.3422</v>
      </c>
      <c r="AD947" s="1053">
        <v>1.1611</v>
      </c>
      <c r="AE947" s="198">
        <v>7.7763</v>
      </c>
      <c r="AF947" s="198">
        <v>2.2669999999999999E-2</v>
      </c>
      <c r="AH947" s="1051">
        <v>43815</v>
      </c>
      <c r="AI947" s="198">
        <v>14.008800000000001</v>
      </c>
      <c r="AJ947" s="198">
        <v>2.4897999999999998</v>
      </c>
      <c r="AK947" s="198">
        <v>7.89</v>
      </c>
      <c r="AL947" s="198">
        <v>2.775E-2</v>
      </c>
      <c r="AN947" s="1051">
        <v>43826</v>
      </c>
      <c r="AO947" s="198">
        <v>10.2637</v>
      </c>
      <c r="AP947" s="198">
        <v>0.92530000000000001</v>
      </c>
      <c r="AQ947" s="198">
        <v>7.2488999999999999</v>
      </c>
      <c r="AR947" s="198">
        <v>0.17768999999999999</v>
      </c>
      <c r="AT947" s="1051">
        <v>43784</v>
      </c>
      <c r="AU947" s="198">
        <v>8.8129000000000008</v>
      </c>
      <c r="AV947" s="198">
        <v>0.49220000000000003</v>
      </c>
      <c r="AX947" s="198">
        <v>0.12519</v>
      </c>
      <c r="BA947" s="1051">
        <v>43810</v>
      </c>
      <c r="BB947" s="198">
        <v>5.8670999999999998</v>
      </c>
      <c r="BC947" s="198">
        <v>1.1253</v>
      </c>
      <c r="BD947" s="198">
        <v>6.8998999999999997</v>
      </c>
      <c r="BE947" s="198">
        <v>0.26355000000000001</v>
      </c>
      <c r="BG947" s="1051">
        <v>43810</v>
      </c>
      <c r="BH947" s="198">
        <v>9.5326000000000004</v>
      </c>
      <c r="BI947" s="198">
        <v>1.8920999999999999</v>
      </c>
      <c r="BJ947" s="198">
        <v>14.552300000000001</v>
      </c>
      <c r="BT947" s="1051">
        <v>43860</v>
      </c>
      <c r="BU947" s="198">
        <v>13.1717</v>
      </c>
      <c r="BV947" s="198">
        <v>4.1585000000000001</v>
      </c>
      <c r="BW947" s="198">
        <v>9.2802000000000007</v>
      </c>
      <c r="BX947" s="198">
        <v>1.7262999999999999</v>
      </c>
      <c r="BZ947" s="1051">
        <v>43860</v>
      </c>
      <c r="CA947" s="198">
        <v>6.3289</v>
      </c>
      <c r="CB947" s="198">
        <v>1.0633999999999999</v>
      </c>
      <c r="CC947" s="198">
        <v>10.802300000000001</v>
      </c>
      <c r="CD947" s="198">
        <v>0.45784000000000002</v>
      </c>
      <c r="CF947" s="1051">
        <v>43852</v>
      </c>
      <c r="CI947" s="198">
        <v>11.206899999999999</v>
      </c>
      <c r="CL947" s="1051">
        <v>43879</v>
      </c>
      <c r="CM947" s="198">
        <v>22.2164</v>
      </c>
      <c r="CN947" s="198">
        <v>2.1627999999999998</v>
      </c>
      <c r="CO947" s="198">
        <v>9.6042000000000005</v>
      </c>
    </row>
    <row r="948" spans="1:93" s="198" customFormat="1">
      <c r="A948" s="1051">
        <v>43852</v>
      </c>
      <c r="B948" s="1052">
        <f t="shared" si="142"/>
        <v>6.4668999999999999</v>
      </c>
      <c r="C948" s="1052">
        <f t="shared" si="144"/>
        <v>5.6379000000000001</v>
      </c>
      <c r="D948" s="1052">
        <f t="shared" si="148"/>
        <v>12.3085</v>
      </c>
      <c r="E948" s="1052">
        <f t="shared" si="149"/>
        <v>7.8207000000000004</v>
      </c>
      <c r="F948" s="1052">
        <f t="shared" si="150"/>
        <v>10.7689</v>
      </c>
      <c r="G948" s="1052">
        <f t="shared" si="151"/>
        <v>6.8026</v>
      </c>
      <c r="H948" s="1047">
        <f t="shared" si="145"/>
        <v>7.8207000000000004</v>
      </c>
      <c r="I948" s="1048">
        <f t="shared" si="143"/>
        <v>-0.17310470929712185</v>
      </c>
      <c r="J948" s="1048">
        <f t="shared" si="146"/>
        <v>0.12093838824177333</v>
      </c>
      <c r="K948" s="1048">
        <f t="shared" si="147"/>
        <v>0.1</v>
      </c>
      <c r="L948" s="1048"/>
      <c r="N948" s="1051">
        <v>43852</v>
      </c>
      <c r="O948" s="1053">
        <v>6.4668999999999999</v>
      </c>
      <c r="P948" s="1053">
        <v>1.1705000000000001</v>
      </c>
      <c r="Q948" s="1053">
        <v>7.6661000000000001</v>
      </c>
      <c r="R948" s="1054">
        <f>'B. PE'!$U$23</f>
        <v>15.978235616082999</v>
      </c>
      <c r="S948" s="1054"/>
      <c r="T948" s="1054"/>
      <c r="V948" s="1051">
        <v>43852</v>
      </c>
      <c r="W948" s="198">
        <v>5.6379000000000001</v>
      </c>
      <c r="X948" s="198">
        <v>0.433</v>
      </c>
      <c r="Y948" s="198">
        <v>8.1646999999999998</v>
      </c>
      <c r="Z948" s="198">
        <v>0.27827000000000002</v>
      </c>
      <c r="AB948" s="1051">
        <v>43812</v>
      </c>
      <c r="AC948" s="198">
        <v>14.579599999999999</v>
      </c>
      <c r="AD948" s="1053">
        <v>1.1033999999999999</v>
      </c>
      <c r="AE948" s="198">
        <v>7.5031999999999996</v>
      </c>
      <c r="AF948" s="198">
        <v>2.3019999999999999E-2</v>
      </c>
      <c r="AH948" s="1051">
        <v>43812</v>
      </c>
      <c r="AI948" s="198">
        <v>13.8018</v>
      </c>
      <c r="AJ948" s="198">
        <v>2.4529999999999998</v>
      </c>
      <c r="AK948" s="198">
        <v>7.7816999999999998</v>
      </c>
      <c r="AL948" s="198">
        <v>2.7650000000000001E-2</v>
      </c>
      <c r="AN948" s="1051">
        <v>43825</v>
      </c>
      <c r="AO948" s="198">
        <v>9.8002000000000002</v>
      </c>
      <c r="AP948" s="198">
        <v>0.88349999999999995</v>
      </c>
      <c r="AQ948" s="198">
        <v>6.8844000000000003</v>
      </c>
      <c r="AR948" s="198">
        <v>0.17995</v>
      </c>
      <c r="AT948" s="1051">
        <v>43783</v>
      </c>
      <c r="AU948" s="198">
        <v>8.9928000000000008</v>
      </c>
      <c r="AV948" s="198">
        <v>0.50219999999999998</v>
      </c>
      <c r="AX948" s="198">
        <v>0.11829000000000001</v>
      </c>
      <c r="BA948" s="1051">
        <v>43808</v>
      </c>
      <c r="BB948" s="198">
        <v>6.1483999999999996</v>
      </c>
      <c r="BC948" s="198">
        <v>1.1792</v>
      </c>
      <c r="BD948" s="198">
        <v>7.0960000000000001</v>
      </c>
      <c r="BE948" s="198">
        <v>0.27378999999999998</v>
      </c>
      <c r="BG948" s="1051">
        <v>43808</v>
      </c>
      <c r="BH948" s="198">
        <v>9.4634999999999998</v>
      </c>
      <c r="BI948" s="198">
        <v>1.8784000000000001</v>
      </c>
      <c r="BJ948" s="198">
        <v>14.4892</v>
      </c>
      <c r="BT948" s="1051">
        <v>43852</v>
      </c>
      <c r="BU948" s="198">
        <v>13.772500000000001</v>
      </c>
      <c r="BV948" s="198">
        <v>4.3482000000000003</v>
      </c>
      <c r="BW948" s="198">
        <v>9.6472999999999995</v>
      </c>
      <c r="BX948" s="198">
        <v>1.7061999999999999</v>
      </c>
      <c r="BZ948" s="1051">
        <v>43852</v>
      </c>
      <c r="CA948" s="198">
        <v>6.7533000000000003</v>
      </c>
      <c r="CB948" s="198">
        <v>1.1348</v>
      </c>
      <c r="CC948" s="198">
        <v>11.066599999999999</v>
      </c>
      <c r="CD948" s="198">
        <v>0.46034999999999998</v>
      </c>
      <c r="CF948" s="1051">
        <v>43851</v>
      </c>
      <c r="CG948" s="198">
        <v>8.2455999999999996</v>
      </c>
      <c r="CH948" s="198">
        <v>1.2983</v>
      </c>
      <c r="CI948" s="198">
        <v>11.206899999999999</v>
      </c>
      <c r="CL948" s="1051">
        <v>43878</v>
      </c>
      <c r="CM948" s="198">
        <v>22.291699999999999</v>
      </c>
      <c r="CN948" s="198">
        <v>2.1701999999999999</v>
      </c>
      <c r="CO948" s="198">
        <v>9.6370000000000005</v>
      </c>
    </row>
    <row r="949" spans="1:93" s="198" customFormat="1">
      <c r="A949" s="1051">
        <v>43851</v>
      </c>
      <c r="B949" s="1052">
        <f t="shared" si="142"/>
        <v>6.4668999999999999</v>
      </c>
      <c r="C949" s="1052">
        <f t="shared" si="144"/>
        <v>5.6086</v>
      </c>
      <c r="D949" s="1052">
        <f t="shared" si="148"/>
        <v>12.446</v>
      </c>
      <c r="E949" s="1052">
        <f t="shared" si="149"/>
        <v>8.0632000000000001</v>
      </c>
      <c r="F949" s="1052">
        <f t="shared" si="150"/>
        <v>10.7689</v>
      </c>
      <c r="G949" s="1052">
        <f t="shared" si="151"/>
        <v>6.8026</v>
      </c>
      <c r="H949" s="1047">
        <f t="shared" si="145"/>
        <v>8.0632000000000001</v>
      </c>
      <c r="I949" s="1048">
        <f t="shared" si="143"/>
        <v>-0.19797350927671398</v>
      </c>
      <c r="J949" s="1048">
        <f t="shared" si="146"/>
        <v>0.12093838824177333</v>
      </c>
      <c r="K949" s="1048">
        <f t="shared" si="147"/>
        <v>0.1</v>
      </c>
      <c r="L949" s="1048"/>
      <c r="N949" s="1051">
        <v>43851</v>
      </c>
      <c r="O949" s="1053">
        <v>6.4668999999999999</v>
      </c>
      <c r="P949" s="1053">
        <v>1.1705000000000001</v>
      </c>
      <c r="Q949" s="1053">
        <v>7.6661000000000001</v>
      </c>
      <c r="R949" s="1054">
        <f>'B. PE'!$U$23</f>
        <v>15.978235616082999</v>
      </c>
      <c r="S949" s="1054"/>
      <c r="T949" s="1054"/>
      <c r="V949" s="1051">
        <v>43851</v>
      </c>
      <c r="W949" s="198">
        <v>5.6086</v>
      </c>
      <c r="X949" s="198">
        <v>0.43080000000000002</v>
      </c>
      <c r="Y949" s="198">
        <v>8.1448</v>
      </c>
      <c r="Z949" s="198">
        <v>0.27934999999999999</v>
      </c>
      <c r="AB949" s="1051">
        <v>43811</v>
      </c>
      <c r="AC949" s="198">
        <v>14.220700000000001</v>
      </c>
      <c r="AD949" s="1053">
        <v>1.0762</v>
      </c>
      <c r="AE949" s="198">
        <v>7.3746999999999998</v>
      </c>
      <c r="AF949" s="198">
        <v>2.2370000000000001E-2</v>
      </c>
      <c r="AH949" s="1051">
        <v>43811</v>
      </c>
      <c r="AI949" s="198">
        <v>13.387700000000001</v>
      </c>
      <c r="AJ949" s="198">
        <v>2.3794</v>
      </c>
      <c r="AK949" s="198">
        <v>7.5651000000000002</v>
      </c>
      <c r="AL949" s="198">
        <v>2.6370000000000001E-2</v>
      </c>
      <c r="AN949" s="1051">
        <v>43823</v>
      </c>
      <c r="AO949" s="198">
        <v>9.734</v>
      </c>
      <c r="AP949" s="198">
        <v>0.87749999999999995</v>
      </c>
      <c r="AQ949" s="198">
        <v>6.8323999999999998</v>
      </c>
      <c r="AR949" s="198">
        <v>0.17874000000000001</v>
      </c>
      <c r="AT949" s="1051">
        <v>43782</v>
      </c>
      <c r="AU949" s="198">
        <v>9.3524999999999991</v>
      </c>
      <c r="AV949" s="198">
        <v>0.52229999999999999</v>
      </c>
      <c r="AX949" s="198">
        <v>0.12098</v>
      </c>
      <c r="BA949" s="1051">
        <v>43805</v>
      </c>
      <c r="BB949" s="198">
        <v>6.4297000000000004</v>
      </c>
      <c r="BC949" s="198">
        <v>1.2332000000000001</v>
      </c>
      <c r="BD949" s="198">
        <v>7.2920999999999996</v>
      </c>
      <c r="BE949" s="198">
        <v>0.27089000000000002</v>
      </c>
      <c r="BG949" s="1051">
        <v>43805</v>
      </c>
      <c r="BH949" s="198">
        <v>9.6707999999999998</v>
      </c>
      <c r="BI949" s="198">
        <v>1.9195</v>
      </c>
      <c r="BJ949" s="198">
        <v>14.6785</v>
      </c>
      <c r="BT949" s="1051">
        <v>43851</v>
      </c>
      <c r="BU949" s="198">
        <v>13.8649</v>
      </c>
      <c r="BV949" s="198">
        <v>4.3773999999999997</v>
      </c>
      <c r="BW949" s="198">
        <v>9.7037999999999993</v>
      </c>
      <c r="BX949" s="198">
        <v>1.6700999999999999</v>
      </c>
      <c r="BZ949" s="1051">
        <v>43851</v>
      </c>
      <c r="CA949" s="198">
        <v>6.7533000000000003</v>
      </c>
      <c r="CB949" s="198">
        <v>1.1348</v>
      </c>
      <c r="CC949" s="198">
        <v>11.066599999999999</v>
      </c>
      <c r="CD949" s="198">
        <v>0.46033000000000002</v>
      </c>
      <c r="CF949" s="1051">
        <v>43850</v>
      </c>
      <c r="CG949" s="198">
        <v>7.6436999999999999</v>
      </c>
      <c r="CH949" s="198">
        <v>1.2036</v>
      </c>
      <c r="CI949" s="198">
        <v>10.881600000000001</v>
      </c>
      <c r="CL949" s="1051">
        <v>43875</v>
      </c>
      <c r="CM949" s="198">
        <v>22.630600000000001</v>
      </c>
      <c r="CN949" s="198">
        <v>2.2031999999999998</v>
      </c>
      <c r="CO949" s="198">
        <v>9.7847000000000008</v>
      </c>
    </row>
    <row r="950" spans="1:93" s="198" customFormat="1">
      <c r="A950" s="1051">
        <v>43850</v>
      </c>
      <c r="B950" s="1052">
        <f t="shared" si="142"/>
        <v>6.2914000000000003</v>
      </c>
      <c r="C950" s="1052">
        <f t="shared" si="144"/>
        <v>5.6086</v>
      </c>
      <c r="D950" s="1052">
        <f t="shared" si="148"/>
        <v>12.480399999999999</v>
      </c>
      <c r="E950" s="1052">
        <f t="shared" si="149"/>
        <v>8.0632000000000001</v>
      </c>
      <c r="F950" s="1052">
        <f t="shared" si="150"/>
        <v>10.922800000000001</v>
      </c>
      <c r="G950" s="1052">
        <f t="shared" si="151"/>
        <v>6.8440000000000003</v>
      </c>
      <c r="H950" s="1047">
        <f t="shared" si="145"/>
        <v>8.0632000000000001</v>
      </c>
      <c r="I950" s="1048">
        <f t="shared" si="143"/>
        <v>-0.21973906141482291</v>
      </c>
      <c r="J950" s="1048">
        <f t="shared" si="146"/>
        <v>0.12093838824177333</v>
      </c>
      <c r="K950" s="1048">
        <f t="shared" si="147"/>
        <v>0.1</v>
      </c>
      <c r="L950" s="1048"/>
      <c r="N950" s="1051">
        <v>43850</v>
      </c>
      <c r="O950" s="1053">
        <v>6.2914000000000003</v>
      </c>
      <c r="P950" s="1053">
        <v>1.1388</v>
      </c>
      <c r="Q950" s="1053">
        <v>7.5233999999999996</v>
      </c>
      <c r="R950" s="1054">
        <f>'B. PE'!$U$23</f>
        <v>15.978235616082999</v>
      </c>
      <c r="S950" s="1054"/>
      <c r="T950" s="1054"/>
      <c r="V950" s="1051">
        <v>43850</v>
      </c>
      <c r="W950" s="198">
        <v>5.6086</v>
      </c>
      <c r="X950" s="198">
        <v>0.43080000000000002</v>
      </c>
      <c r="Y950" s="198">
        <v>8.1448</v>
      </c>
      <c r="Z950" s="198">
        <v>0.27894999999999998</v>
      </c>
      <c r="AB950" s="1051">
        <v>43810</v>
      </c>
      <c r="AC950" s="198">
        <v>14.4899</v>
      </c>
      <c r="AD950" s="1053">
        <v>1.0966</v>
      </c>
      <c r="AE950" s="198">
        <v>7.4710999999999999</v>
      </c>
      <c r="AF950" s="198">
        <v>2.2429999999999999E-2</v>
      </c>
      <c r="AH950" s="1051">
        <v>43810</v>
      </c>
      <c r="AI950" s="198">
        <v>13.387700000000001</v>
      </c>
      <c r="AJ950" s="198">
        <v>2.3794</v>
      </c>
      <c r="AK950" s="198">
        <v>7.5651000000000002</v>
      </c>
      <c r="AL950" s="198">
        <v>2.6360000000000001E-2</v>
      </c>
      <c r="AN950" s="1051">
        <v>43822</v>
      </c>
      <c r="AO950" s="198">
        <v>9.8664000000000005</v>
      </c>
      <c r="AP950" s="198">
        <v>0.88949999999999996</v>
      </c>
      <c r="AQ950" s="198">
        <v>6.9364999999999997</v>
      </c>
      <c r="AR950" s="198">
        <v>0.17863999999999999</v>
      </c>
      <c r="AT950" s="1051">
        <v>43781</v>
      </c>
      <c r="AU950" s="198">
        <v>8.8129000000000008</v>
      </c>
      <c r="AV950" s="198">
        <v>0.49220000000000003</v>
      </c>
      <c r="AX950" s="198">
        <v>0.11806</v>
      </c>
      <c r="BA950" s="1051">
        <v>43803</v>
      </c>
      <c r="BB950" s="198">
        <v>6.6707999999999998</v>
      </c>
      <c r="BC950" s="198">
        <v>1.2794000000000001</v>
      </c>
      <c r="BD950" s="198">
        <v>7.4600999999999997</v>
      </c>
      <c r="BE950" s="198">
        <v>0.27248</v>
      </c>
      <c r="BG950" s="1051">
        <v>43803</v>
      </c>
      <c r="BH950" s="198">
        <v>9.6707999999999998</v>
      </c>
      <c r="BI950" s="198">
        <v>1.9195</v>
      </c>
      <c r="BJ950" s="198">
        <v>14.6785</v>
      </c>
      <c r="BT950" s="1051">
        <v>43850</v>
      </c>
      <c r="BU950" s="198">
        <v>13.703099999999999</v>
      </c>
      <c r="BV950" s="198">
        <v>4.3262999999999998</v>
      </c>
      <c r="BW950" s="198">
        <v>9.6049000000000007</v>
      </c>
      <c r="BX950" s="198">
        <v>1.6597999999999999</v>
      </c>
      <c r="BZ950" s="1051">
        <v>43850</v>
      </c>
      <c r="CA950" s="198">
        <v>6.7901999999999996</v>
      </c>
      <c r="CB950" s="198">
        <v>1.141</v>
      </c>
      <c r="CC950" s="198">
        <v>11.089600000000001</v>
      </c>
      <c r="CD950" s="198">
        <v>0.45151000000000002</v>
      </c>
      <c r="CF950" s="1051">
        <v>43847</v>
      </c>
      <c r="CG950" s="198">
        <v>8.2455999999999996</v>
      </c>
      <c r="CH950" s="198">
        <v>1.2983</v>
      </c>
      <c r="CI950" s="198">
        <v>11.206899999999999</v>
      </c>
      <c r="CL950" s="1051">
        <v>43874</v>
      </c>
      <c r="CM950" s="198">
        <v>22.9695</v>
      </c>
      <c r="CN950" s="198">
        <v>2.2362000000000002</v>
      </c>
      <c r="CO950" s="198">
        <v>9.9323999999999995</v>
      </c>
    </row>
    <row r="951" spans="1:93" s="198" customFormat="1">
      <c r="A951" s="1051">
        <v>43847</v>
      </c>
      <c r="B951" s="1052">
        <f t="shared" si="142"/>
        <v>6.3164999999999996</v>
      </c>
      <c r="C951" s="1052">
        <f t="shared" si="144"/>
        <v>5.6304999999999996</v>
      </c>
      <c r="D951" s="1052">
        <f t="shared" si="148"/>
        <v>12.4116</v>
      </c>
      <c r="E951" s="1052">
        <f t="shared" si="149"/>
        <v>8.1844000000000001</v>
      </c>
      <c r="F951" s="1052">
        <f t="shared" si="150"/>
        <v>10.999700000000001</v>
      </c>
      <c r="G951" s="1052">
        <f t="shared" si="151"/>
        <v>6.8440000000000003</v>
      </c>
      <c r="H951" s="1047">
        <f t="shared" si="145"/>
        <v>8.1844000000000001</v>
      </c>
      <c r="I951" s="1048">
        <f t="shared" si="143"/>
        <v>-0.22822687063193403</v>
      </c>
      <c r="J951" s="1048">
        <f t="shared" si="146"/>
        <v>0.12093838824177333</v>
      </c>
      <c r="K951" s="1048">
        <f t="shared" si="147"/>
        <v>0.1</v>
      </c>
      <c r="L951" s="1048"/>
      <c r="N951" s="1051">
        <v>43847</v>
      </c>
      <c r="O951" s="1053">
        <v>6.3164999999999996</v>
      </c>
      <c r="P951" s="1053">
        <v>1.1433</v>
      </c>
      <c r="Q951" s="1053">
        <v>7.5438000000000001</v>
      </c>
      <c r="R951" s="1054">
        <f>'B. PE'!$U$23</f>
        <v>15.978235616082999</v>
      </c>
      <c r="S951" s="1054"/>
      <c r="T951" s="1054"/>
      <c r="V951" s="1051">
        <v>43847</v>
      </c>
      <c r="W951" s="198">
        <v>5.6304999999999996</v>
      </c>
      <c r="X951" s="198">
        <v>0.43240000000000001</v>
      </c>
      <c r="Y951" s="198">
        <v>8.1598000000000006</v>
      </c>
      <c r="Z951" s="198">
        <v>0.27855000000000002</v>
      </c>
      <c r="AB951" s="1051">
        <v>43809</v>
      </c>
      <c r="AC951" s="198">
        <v>14.0413</v>
      </c>
      <c r="AD951" s="1053">
        <v>1.0626</v>
      </c>
      <c r="AE951" s="198">
        <v>7.3103999999999996</v>
      </c>
      <c r="AF951" s="198">
        <v>2.1680000000000001E-2</v>
      </c>
      <c r="AH951" s="1051">
        <v>43809</v>
      </c>
      <c r="AI951" s="198">
        <v>12.732100000000001</v>
      </c>
      <c r="AJ951" s="198">
        <v>2.2629000000000001</v>
      </c>
      <c r="AK951" s="198">
        <v>7.2220000000000004</v>
      </c>
      <c r="AL951" s="198">
        <v>2.7099999999999999E-2</v>
      </c>
      <c r="AN951" s="1051">
        <v>43819</v>
      </c>
      <c r="AO951" s="198">
        <v>9.8002000000000002</v>
      </c>
      <c r="AP951" s="198">
        <v>0.88349999999999995</v>
      </c>
      <c r="AQ951" s="198">
        <v>6.8844000000000003</v>
      </c>
      <c r="AR951" s="198">
        <v>0.18103</v>
      </c>
      <c r="AT951" s="1051">
        <v>43777</v>
      </c>
      <c r="AU951" s="198">
        <v>8.9928000000000008</v>
      </c>
      <c r="AV951" s="198">
        <v>0.50219999999999998</v>
      </c>
      <c r="AX951" s="198">
        <v>0.11765</v>
      </c>
      <c r="BA951" s="1051">
        <v>43802</v>
      </c>
      <c r="BB951" s="198">
        <v>6.5903999999999998</v>
      </c>
      <c r="BC951" s="198">
        <v>1.264</v>
      </c>
      <c r="BD951" s="198">
        <v>7.4040999999999997</v>
      </c>
      <c r="BE951" s="198">
        <v>0.27800000000000002</v>
      </c>
      <c r="BG951" s="1051">
        <v>43802</v>
      </c>
      <c r="BH951" s="198">
        <v>9.6707999999999998</v>
      </c>
      <c r="BI951" s="198">
        <v>1.9195</v>
      </c>
      <c r="BJ951" s="198">
        <v>14.6785</v>
      </c>
      <c r="BT951" s="1051">
        <v>43847</v>
      </c>
      <c r="BU951" s="198">
        <v>13.414300000000001</v>
      </c>
      <c r="BV951" s="198">
        <v>4.2351000000000001</v>
      </c>
      <c r="BW951" s="198">
        <v>9.4283999999999999</v>
      </c>
      <c r="BX951" s="198">
        <v>1.6395</v>
      </c>
      <c r="BZ951" s="1051">
        <v>43847</v>
      </c>
      <c r="CA951" s="198">
        <v>6.7901999999999996</v>
      </c>
      <c r="CB951" s="198">
        <v>1.141</v>
      </c>
      <c r="CC951" s="198">
        <v>11.089600000000001</v>
      </c>
      <c r="CD951" s="198">
        <v>0.45019999999999999</v>
      </c>
      <c r="CF951" s="1051">
        <v>43846</v>
      </c>
      <c r="CI951" s="198">
        <v>10.914099999999999</v>
      </c>
      <c r="CL951" s="1051">
        <v>43873</v>
      </c>
      <c r="CM951" s="198">
        <v>21.858699999999999</v>
      </c>
      <c r="CN951" s="198">
        <v>2.1280000000000001</v>
      </c>
      <c r="CO951" s="198">
        <v>9.4482999999999997</v>
      </c>
    </row>
    <row r="952" spans="1:93" s="198" customFormat="1">
      <c r="A952" s="1051">
        <v>43846</v>
      </c>
      <c r="B952" s="1052">
        <f t="shared" si="142"/>
        <v>6.1910999999999996</v>
      </c>
      <c r="C952" s="1052">
        <f t="shared" si="144"/>
        <v>5.6231999999999998</v>
      </c>
      <c r="D952" s="1052">
        <f t="shared" si="148"/>
        <v>12.480399999999999</v>
      </c>
      <c r="E952" s="1052">
        <f t="shared" si="149"/>
        <v>8.3056999999999999</v>
      </c>
      <c r="F952" s="1052">
        <f t="shared" si="150"/>
        <v>11.153499999999999</v>
      </c>
      <c r="G952" s="1052">
        <f t="shared" si="151"/>
        <v>6.8026</v>
      </c>
      <c r="H952" s="1047">
        <f t="shared" si="145"/>
        <v>8.3056999999999999</v>
      </c>
      <c r="I952" s="1048">
        <f t="shared" si="143"/>
        <v>-0.25459624113560575</v>
      </c>
      <c r="J952" s="1048">
        <f t="shared" si="146"/>
        <v>0.12093838824177333</v>
      </c>
      <c r="K952" s="1048">
        <f t="shared" si="147"/>
        <v>0.1</v>
      </c>
      <c r="L952" s="1048"/>
      <c r="N952" s="1051">
        <v>43846</v>
      </c>
      <c r="O952" s="1053">
        <v>6.1910999999999996</v>
      </c>
      <c r="P952" s="1053">
        <v>1.1206</v>
      </c>
      <c r="Q952" s="1053">
        <v>7.4417999999999997</v>
      </c>
      <c r="R952" s="1054">
        <f>'B. PE'!$U$23</f>
        <v>15.978235616082999</v>
      </c>
      <c r="S952" s="1054"/>
      <c r="T952" s="1054"/>
      <c r="V952" s="1051">
        <v>43846</v>
      </c>
      <c r="W952" s="198">
        <v>5.6231999999999998</v>
      </c>
      <c r="X952" s="198">
        <v>0.43190000000000001</v>
      </c>
      <c r="Y952" s="198">
        <v>8.1547999999999998</v>
      </c>
      <c r="Z952" s="198">
        <v>0.27966000000000002</v>
      </c>
      <c r="AB952" s="1051">
        <v>43808</v>
      </c>
      <c r="AC952" s="198">
        <v>14.0861</v>
      </c>
      <c r="AD952" s="1053">
        <v>1.0660000000000001</v>
      </c>
      <c r="AE952" s="198">
        <v>7.3265000000000002</v>
      </c>
      <c r="AF952" s="198">
        <v>2.1250000000000002E-2</v>
      </c>
      <c r="AH952" s="1051">
        <v>43808</v>
      </c>
      <c r="AI952" s="198">
        <v>12.732100000000001</v>
      </c>
      <c r="AJ952" s="198">
        <v>2.2629000000000001</v>
      </c>
      <c r="AK952" s="198">
        <v>7.2220000000000004</v>
      </c>
      <c r="AL952" s="198">
        <v>2.7099999999999999E-2</v>
      </c>
      <c r="AN952" s="1051">
        <v>43818</v>
      </c>
      <c r="AO952" s="198">
        <v>9.8002000000000002</v>
      </c>
      <c r="AP952" s="198">
        <v>0.88349999999999995</v>
      </c>
      <c r="AQ952" s="198">
        <v>6.8844000000000003</v>
      </c>
      <c r="AR952" s="198">
        <v>0.1762</v>
      </c>
      <c r="AT952" s="1051">
        <v>43773</v>
      </c>
      <c r="AU952" s="198">
        <v>8.8129000000000008</v>
      </c>
      <c r="AV952" s="198">
        <v>0.49220000000000003</v>
      </c>
      <c r="AX952" s="198">
        <v>0.11602999999999999</v>
      </c>
      <c r="BA952" s="1051">
        <v>43801</v>
      </c>
      <c r="BB952" s="198">
        <v>6.6306000000000003</v>
      </c>
      <c r="BC952" s="198">
        <v>1.2717000000000001</v>
      </c>
      <c r="BD952" s="198">
        <v>7.4321000000000002</v>
      </c>
      <c r="BE952" s="198">
        <v>0.28112999999999999</v>
      </c>
      <c r="BG952" s="1051">
        <v>43801</v>
      </c>
      <c r="BH952" s="198">
        <v>9.6016999999999992</v>
      </c>
      <c r="BI952" s="198">
        <v>1.9057999999999999</v>
      </c>
      <c r="BJ952" s="198">
        <v>14.615399999999999</v>
      </c>
      <c r="BT952" s="1051">
        <v>43846</v>
      </c>
      <c r="BU952" s="198">
        <v>13.333399999999999</v>
      </c>
      <c r="BV952" s="198">
        <v>4.2096</v>
      </c>
      <c r="BW952" s="198">
        <v>9.3789999999999996</v>
      </c>
      <c r="BX952" s="198">
        <v>1.6382000000000001</v>
      </c>
      <c r="BZ952" s="1051">
        <v>43846</v>
      </c>
      <c r="CA952" s="198">
        <v>6.6611000000000002</v>
      </c>
      <c r="CB952" s="198">
        <v>1.1193</v>
      </c>
      <c r="CC952" s="198">
        <v>11.0092</v>
      </c>
      <c r="CD952" s="198">
        <v>0.48276000000000002</v>
      </c>
      <c r="CF952" s="1051">
        <v>43845</v>
      </c>
      <c r="CG952" s="198">
        <v>7.7039</v>
      </c>
      <c r="CH952" s="198">
        <v>1.2130000000000001</v>
      </c>
      <c r="CI952" s="198">
        <v>10.914099999999999</v>
      </c>
      <c r="CL952" s="1051">
        <v>43872</v>
      </c>
      <c r="CM952" s="198">
        <v>20.352499999999999</v>
      </c>
      <c r="CN952" s="198">
        <v>1.9814000000000001</v>
      </c>
      <c r="CO952" s="198">
        <v>8.7918000000000003</v>
      </c>
    </row>
    <row r="953" spans="1:93" s="198" customFormat="1">
      <c r="A953" s="1051">
        <v>43845</v>
      </c>
      <c r="B953" s="1052">
        <f t="shared" si="142"/>
        <v>6.1661000000000001</v>
      </c>
      <c r="C953" s="1052">
        <f t="shared" si="144"/>
        <v>5.6158999999999999</v>
      </c>
      <c r="D953" s="1052">
        <f t="shared" si="148"/>
        <v>12.4116</v>
      </c>
      <c r="E953" s="1052">
        <f t="shared" si="149"/>
        <v>8.4268999999999998</v>
      </c>
      <c r="F953" s="1052">
        <f t="shared" si="150"/>
        <v>11.230399999999999</v>
      </c>
      <c r="G953" s="1052">
        <f t="shared" si="151"/>
        <v>6.6780999999999997</v>
      </c>
      <c r="H953" s="1047">
        <f t="shared" si="145"/>
        <v>8.4268999999999998</v>
      </c>
      <c r="I953" s="1048">
        <f t="shared" si="143"/>
        <v>-0.26828371049852251</v>
      </c>
      <c r="J953" s="1048">
        <f t="shared" si="146"/>
        <v>0.12093838824177333</v>
      </c>
      <c r="K953" s="1048">
        <f t="shared" si="147"/>
        <v>0.1</v>
      </c>
      <c r="L953" s="1048"/>
      <c r="N953" s="1051">
        <v>43845</v>
      </c>
      <c r="O953" s="1053">
        <v>6.1661000000000001</v>
      </c>
      <c r="P953" s="1053">
        <v>1.1161000000000001</v>
      </c>
      <c r="Q953" s="1053">
        <v>7.4214000000000002</v>
      </c>
      <c r="R953" s="1054">
        <f>'B. PE'!$U$23</f>
        <v>15.978235616082999</v>
      </c>
      <c r="S953" s="1054"/>
      <c r="T953" s="1054"/>
      <c r="V953" s="1051">
        <v>43845</v>
      </c>
      <c r="W953" s="198">
        <v>5.6158999999999999</v>
      </c>
      <c r="X953" s="198">
        <v>0.43130000000000002</v>
      </c>
      <c r="Y953" s="198">
        <v>8.1498000000000008</v>
      </c>
      <c r="Z953" s="198">
        <v>0.27894999999999998</v>
      </c>
      <c r="AB953" s="1051">
        <v>43805</v>
      </c>
      <c r="AC953" s="198">
        <v>13.637499999999999</v>
      </c>
      <c r="AD953" s="1053">
        <v>1.0321</v>
      </c>
      <c r="AE953" s="198">
        <v>7.1657999999999999</v>
      </c>
      <c r="AF953" s="198">
        <v>2.0150000000000001E-2</v>
      </c>
      <c r="AH953" s="1051">
        <v>43805</v>
      </c>
      <c r="AI953" s="198">
        <v>13.111700000000001</v>
      </c>
      <c r="AJ953" s="198">
        <v>2.3302999999999998</v>
      </c>
      <c r="AK953" s="198">
        <v>7.4206000000000003</v>
      </c>
      <c r="AL953" s="198">
        <v>2.5329999999999998E-2</v>
      </c>
      <c r="AN953" s="1051">
        <v>43817</v>
      </c>
      <c r="AO953" s="198">
        <v>9.9327000000000005</v>
      </c>
      <c r="AP953" s="198">
        <v>0.89539999999999997</v>
      </c>
      <c r="AQ953" s="198">
        <v>6.9885999999999999</v>
      </c>
      <c r="AR953" s="198">
        <v>0.17621999999999999</v>
      </c>
      <c r="AT953" s="1051">
        <v>43770</v>
      </c>
      <c r="AU953" s="198">
        <v>8.8129000000000008</v>
      </c>
      <c r="AV953" s="198">
        <v>0.49220000000000003</v>
      </c>
      <c r="AX953" s="198">
        <v>0.12182999999999999</v>
      </c>
      <c r="BA953" s="1051">
        <v>43798</v>
      </c>
      <c r="BB953" s="198">
        <v>6.7511000000000001</v>
      </c>
      <c r="BC953" s="198">
        <v>1.2948</v>
      </c>
      <c r="BD953" s="198">
        <v>7.5162000000000004</v>
      </c>
      <c r="BE953" s="198">
        <v>0.28603000000000001</v>
      </c>
      <c r="BG953" s="1051">
        <v>43798</v>
      </c>
      <c r="BH953" s="198">
        <v>9.6016999999999992</v>
      </c>
      <c r="BI953" s="198">
        <v>1.9057999999999999</v>
      </c>
      <c r="BJ953" s="198">
        <v>14.615399999999999</v>
      </c>
      <c r="BT953" s="1051">
        <v>43845</v>
      </c>
      <c r="BU953" s="198">
        <v>13.1717</v>
      </c>
      <c r="BV953" s="198">
        <v>4.1585000000000001</v>
      </c>
      <c r="BW953" s="198">
        <v>9.2802000000000007</v>
      </c>
      <c r="BX953" s="198">
        <v>1.6469</v>
      </c>
      <c r="BZ953" s="1051">
        <v>43845</v>
      </c>
      <c r="CA953" s="198">
        <v>6.6425999999999998</v>
      </c>
      <c r="CB953" s="198">
        <v>1.1162000000000001</v>
      </c>
      <c r="CC953" s="198">
        <v>10.9977</v>
      </c>
      <c r="CD953" s="198">
        <v>0.49653999999999998</v>
      </c>
      <c r="CF953" s="1051">
        <v>43844</v>
      </c>
      <c r="CG953" s="198">
        <v>8.4863</v>
      </c>
      <c r="CH953" s="198">
        <v>1.3362000000000001</v>
      </c>
      <c r="CI953" s="198">
        <v>11.337</v>
      </c>
      <c r="CL953" s="1051">
        <v>43871</v>
      </c>
      <c r="CM953" s="198">
        <v>21.745699999999999</v>
      </c>
      <c r="CN953" s="198">
        <v>2.117</v>
      </c>
      <c r="CO953" s="198">
        <v>9.3989999999999991</v>
      </c>
    </row>
    <row r="954" spans="1:93" s="198" customFormat="1">
      <c r="A954" s="1051">
        <v>43844</v>
      </c>
      <c r="B954" s="1052">
        <f t="shared" si="142"/>
        <v>5.9781000000000004</v>
      </c>
      <c r="C954" s="1052">
        <f t="shared" si="144"/>
        <v>5.6379000000000001</v>
      </c>
      <c r="D954" s="1052">
        <f t="shared" si="148"/>
        <v>12.446</v>
      </c>
      <c r="E954" s="1052">
        <f t="shared" si="149"/>
        <v>8.4876000000000005</v>
      </c>
      <c r="F954" s="1052">
        <f t="shared" si="150"/>
        <v>11.307399999999999</v>
      </c>
      <c r="G954" s="1052">
        <f t="shared" si="151"/>
        <v>6.4292999999999996</v>
      </c>
      <c r="H954" s="1047">
        <f t="shared" si="145"/>
        <v>8.4876000000000005</v>
      </c>
      <c r="I954" s="1048">
        <f t="shared" si="143"/>
        <v>-0.29566661953909235</v>
      </c>
      <c r="J954" s="1048">
        <f t="shared" si="146"/>
        <v>0.12093838824177333</v>
      </c>
      <c r="K954" s="1048">
        <f t="shared" si="147"/>
        <v>0.1</v>
      </c>
      <c r="L954" s="1048"/>
      <c r="N954" s="1051">
        <v>43844</v>
      </c>
      <c r="O954" s="1053">
        <v>5.9781000000000004</v>
      </c>
      <c r="P954" s="1053">
        <v>1.0821000000000001</v>
      </c>
      <c r="Q954" s="1053">
        <v>7.2683999999999997</v>
      </c>
      <c r="R954" s="1054">
        <f>'B. PE'!$U$23</f>
        <v>15.978235616082999</v>
      </c>
      <c r="S954" s="1054"/>
      <c r="T954" s="1054"/>
      <c r="V954" s="1051">
        <v>43844</v>
      </c>
      <c r="W954" s="198">
        <v>5.6379000000000001</v>
      </c>
      <c r="X954" s="198">
        <v>0.433</v>
      </c>
      <c r="Y954" s="198">
        <v>8.1646999999999998</v>
      </c>
      <c r="Z954" s="198">
        <v>0.27784999999999999</v>
      </c>
      <c r="AB954" s="1051">
        <v>43804</v>
      </c>
      <c r="AC954" s="198">
        <v>13.368399999999999</v>
      </c>
      <c r="AD954" s="1053">
        <v>1.0117</v>
      </c>
      <c r="AE954" s="198">
        <v>7.0693999999999999</v>
      </c>
      <c r="AF954" s="198">
        <v>2.0199999999999999E-2</v>
      </c>
      <c r="AH954" s="1051">
        <v>43804</v>
      </c>
      <c r="AI954" s="198">
        <v>13.111700000000001</v>
      </c>
      <c r="AJ954" s="198">
        <v>2.3302999999999998</v>
      </c>
      <c r="AK954" s="198">
        <v>7.4206000000000003</v>
      </c>
      <c r="AL954" s="198">
        <v>2.5440000000000001E-2</v>
      </c>
      <c r="AN954" s="1051">
        <v>43816</v>
      </c>
      <c r="AO954" s="198">
        <v>9.6677999999999997</v>
      </c>
      <c r="AP954" s="198">
        <v>0.87160000000000004</v>
      </c>
      <c r="AQ954" s="198">
        <v>6.7803000000000004</v>
      </c>
      <c r="AR954" s="198">
        <v>0.18140000000000001</v>
      </c>
      <c r="AT954" s="1051">
        <v>43768</v>
      </c>
      <c r="AU954" s="198">
        <v>8.7230000000000008</v>
      </c>
      <c r="AV954" s="198">
        <v>0.48709999999999998</v>
      </c>
      <c r="AX954" s="198">
        <v>0.1172</v>
      </c>
      <c r="BA954" s="1051">
        <v>43797</v>
      </c>
      <c r="BB954" s="198">
        <v>6.8315000000000001</v>
      </c>
      <c r="BC954" s="198">
        <v>1.3103</v>
      </c>
      <c r="BD954" s="198">
        <v>7.5721999999999996</v>
      </c>
      <c r="BE954" s="198">
        <v>0.27789999999999998</v>
      </c>
      <c r="BG954" s="1051">
        <v>43797</v>
      </c>
      <c r="BH954" s="198">
        <v>9.6016999999999992</v>
      </c>
      <c r="BI954" s="198">
        <v>1.9057999999999999</v>
      </c>
      <c r="BJ954" s="198">
        <v>14.615399999999999</v>
      </c>
      <c r="BT954" s="1051">
        <v>43844</v>
      </c>
      <c r="BU954" s="198">
        <v>13.1601</v>
      </c>
      <c r="BV954" s="198">
        <v>4.1547999999999998</v>
      </c>
      <c r="BW954" s="198">
        <v>9.2730999999999995</v>
      </c>
      <c r="BX954" s="198">
        <v>1.6554</v>
      </c>
      <c r="BZ954" s="1051">
        <v>43844</v>
      </c>
      <c r="CA954" s="198">
        <v>7.1223000000000001</v>
      </c>
      <c r="CB954" s="198">
        <v>1.1968000000000001</v>
      </c>
      <c r="CC954" s="198">
        <v>11.2965</v>
      </c>
      <c r="CD954" s="198">
        <v>0.49275999999999998</v>
      </c>
      <c r="CF954" s="1051">
        <v>43843</v>
      </c>
      <c r="CI954" s="198">
        <v>11.4671</v>
      </c>
      <c r="CL954" s="1051">
        <v>43868</v>
      </c>
      <c r="CM954" s="198">
        <v>18.959299999999999</v>
      </c>
      <c r="CN954" s="198">
        <v>1.8456999999999999</v>
      </c>
      <c r="CO954" s="198">
        <v>8.1844999999999999</v>
      </c>
    </row>
    <row r="955" spans="1:93" s="198" customFormat="1">
      <c r="A955" s="1051">
        <v>43843</v>
      </c>
      <c r="B955" s="1052">
        <f t="shared" si="142"/>
        <v>5.9279999999999999</v>
      </c>
      <c r="C955" s="1052">
        <f t="shared" si="144"/>
        <v>5.6231999999999998</v>
      </c>
      <c r="D955" s="1052">
        <f t="shared" si="148"/>
        <v>12.446</v>
      </c>
      <c r="E955" s="1052">
        <f t="shared" si="149"/>
        <v>8.4876000000000005</v>
      </c>
      <c r="F955" s="1052">
        <f t="shared" si="150"/>
        <v>11.230399999999999</v>
      </c>
      <c r="G955" s="1052">
        <f t="shared" si="151"/>
        <v>6.3878000000000004</v>
      </c>
      <c r="H955" s="1047">
        <f t="shared" si="145"/>
        <v>8.4876000000000005</v>
      </c>
      <c r="I955" s="1048">
        <f t="shared" si="143"/>
        <v>-0.30156934822564685</v>
      </c>
      <c r="J955" s="1048">
        <f t="shared" si="146"/>
        <v>0.12093838824177333</v>
      </c>
      <c r="K955" s="1048">
        <f t="shared" si="147"/>
        <v>0.1</v>
      </c>
      <c r="L955" s="1048"/>
      <c r="N955" s="1051">
        <v>43843</v>
      </c>
      <c r="O955" s="1053">
        <v>5.9279999999999999</v>
      </c>
      <c r="P955" s="1053">
        <v>1.073</v>
      </c>
      <c r="Q955" s="1053">
        <v>7.2275999999999998</v>
      </c>
      <c r="R955" s="1054">
        <f>'B. PE'!$U$23</f>
        <v>15.978235616082999</v>
      </c>
      <c r="S955" s="1054"/>
      <c r="T955" s="1054"/>
      <c r="V955" s="1051">
        <v>43843</v>
      </c>
      <c r="W955" s="198">
        <v>5.6231999999999998</v>
      </c>
      <c r="X955" s="198">
        <v>0.43190000000000001</v>
      </c>
      <c r="Y955" s="198">
        <v>8.1547999999999998</v>
      </c>
      <c r="Z955" s="198">
        <v>0.27784999999999999</v>
      </c>
      <c r="AB955" s="1051">
        <v>43803</v>
      </c>
      <c r="AC955" s="198">
        <v>12.7403</v>
      </c>
      <c r="AD955" s="1053">
        <v>0.96419999999999995</v>
      </c>
      <c r="AE955" s="198">
        <v>6.8445</v>
      </c>
      <c r="AF955" s="198">
        <v>2.068E-2</v>
      </c>
      <c r="AH955" s="1051">
        <v>43803</v>
      </c>
      <c r="AI955" s="198">
        <v>12.318099999999999</v>
      </c>
      <c r="AJ955" s="198">
        <v>2.1892999999999998</v>
      </c>
      <c r="AK955" s="198">
        <v>7.0053999999999998</v>
      </c>
      <c r="AL955" s="198">
        <v>2.4580000000000001E-2</v>
      </c>
      <c r="AN955" s="1051">
        <v>43815</v>
      </c>
      <c r="AO955" s="198">
        <v>9.6677999999999997</v>
      </c>
      <c r="AP955" s="198">
        <v>0.87160000000000004</v>
      </c>
      <c r="AQ955" s="198">
        <v>6.7803000000000004</v>
      </c>
      <c r="AR955" s="198">
        <v>0.18151</v>
      </c>
      <c r="AT955" s="1051">
        <v>43763</v>
      </c>
      <c r="AU955" s="198">
        <v>9.1727000000000007</v>
      </c>
      <c r="AV955" s="198">
        <v>0.51229999999999998</v>
      </c>
      <c r="AX955" s="198">
        <v>0.11942999999999999</v>
      </c>
      <c r="BA955" s="1051">
        <v>43796</v>
      </c>
      <c r="BB955" s="198">
        <v>6.9520999999999997</v>
      </c>
      <c r="BC955" s="198">
        <v>1.3333999999999999</v>
      </c>
      <c r="BD955" s="198">
        <v>7.6562000000000001</v>
      </c>
      <c r="BE955" s="198">
        <v>0.27781</v>
      </c>
      <c r="BG955" s="1051">
        <v>43796</v>
      </c>
      <c r="BH955" s="198">
        <v>9.6016999999999992</v>
      </c>
      <c r="BI955" s="198">
        <v>1.9057999999999999</v>
      </c>
      <c r="BJ955" s="198">
        <v>14.615399999999999</v>
      </c>
      <c r="BT955" s="1051">
        <v>43843</v>
      </c>
      <c r="BU955" s="198">
        <v>13.2294</v>
      </c>
      <c r="BV955" s="198">
        <v>4.1767000000000003</v>
      </c>
      <c r="BW955" s="198">
        <v>9.3155000000000001</v>
      </c>
      <c r="BX955" s="198">
        <v>1.6468</v>
      </c>
      <c r="BZ955" s="1051">
        <v>43843</v>
      </c>
      <c r="CA955" s="198">
        <v>7.3253000000000004</v>
      </c>
      <c r="CB955" s="198">
        <v>1.2309000000000001</v>
      </c>
      <c r="CC955" s="198">
        <v>11.4229</v>
      </c>
      <c r="CD955" s="198">
        <v>0.51527999999999996</v>
      </c>
      <c r="CF955" s="1051">
        <v>43840</v>
      </c>
      <c r="CG955" s="198">
        <v>8.7271000000000001</v>
      </c>
      <c r="CH955" s="198">
        <v>1.3741000000000001</v>
      </c>
      <c r="CI955" s="198">
        <v>11.4671</v>
      </c>
      <c r="CL955" s="1051">
        <v>43867</v>
      </c>
      <c r="CM955" s="198">
        <v>19.392299999999999</v>
      </c>
      <c r="CN955" s="198">
        <v>1.8878999999999999</v>
      </c>
      <c r="CO955" s="198">
        <v>8.3732000000000006</v>
      </c>
    </row>
    <row r="956" spans="1:93" s="198" customFormat="1">
      <c r="A956" s="1051">
        <v>43840</v>
      </c>
      <c r="B956" s="1052">
        <f t="shared" si="142"/>
        <v>5.8402000000000003</v>
      </c>
      <c r="C956" s="1052">
        <f t="shared" si="144"/>
        <v>5.6013000000000002</v>
      </c>
      <c r="D956" s="1052">
        <f t="shared" si="148"/>
        <v>12.549200000000001</v>
      </c>
      <c r="E956" s="1052">
        <f t="shared" si="149"/>
        <v>8.3663000000000007</v>
      </c>
      <c r="F956" s="1052">
        <f t="shared" si="150"/>
        <v>11.307399999999999</v>
      </c>
      <c r="G956" s="1052">
        <f t="shared" si="151"/>
        <v>6.3048000000000002</v>
      </c>
      <c r="H956" s="1047">
        <f t="shared" si="145"/>
        <v>8.3663000000000007</v>
      </c>
      <c r="I956" s="1048">
        <f t="shared" si="143"/>
        <v>-0.30193753511110055</v>
      </c>
      <c r="J956" s="1048">
        <f t="shared" si="146"/>
        <v>0.12093838824177333</v>
      </c>
      <c r="K956" s="1048">
        <f t="shared" si="147"/>
        <v>0.1</v>
      </c>
      <c r="L956" s="1048"/>
      <c r="N956" s="1051">
        <v>43840</v>
      </c>
      <c r="O956" s="1053">
        <v>5.8402000000000003</v>
      </c>
      <c r="P956" s="1053">
        <v>1.0570999999999999</v>
      </c>
      <c r="Q956" s="1053">
        <v>7.1562000000000001</v>
      </c>
      <c r="R956" s="1054">
        <f>'B. PE'!$U$23</f>
        <v>15.978235616082999</v>
      </c>
      <c r="S956" s="1054"/>
      <c r="T956" s="1054"/>
      <c r="V956" s="1051">
        <v>43840</v>
      </c>
      <c r="W956" s="198">
        <v>5.6013000000000002</v>
      </c>
      <c r="X956" s="198">
        <v>0.43020000000000003</v>
      </c>
      <c r="Y956" s="198">
        <v>8.1397999999999993</v>
      </c>
      <c r="Z956" s="198">
        <v>0.27745999999999998</v>
      </c>
      <c r="AB956" s="1051">
        <v>43802</v>
      </c>
      <c r="AC956" s="198">
        <v>12.7852</v>
      </c>
      <c r="AD956" s="1053">
        <v>0.96760000000000002</v>
      </c>
      <c r="AE956" s="198">
        <v>6.8605999999999998</v>
      </c>
      <c r="AF956" s="198">
        <v>1.898E-2</v>
      </c>
      <c r="AH956" s="1051">
        <v>43802</v>
      </c>
      <c r="AI956" s="198">
        <v>12.3871</v>
      </c>
      <c r="AJ956" s="198">
        <v>2.2016</v>
      </c>
      <c r="AK956" s="198">
        <v>7.0415000000000001</v>
      </c>
      <c r="AL956" s="198">
        <v>2.4299999999999999E-2</v>
      </c>
      <c r="AN956" s="1051">
        <v>43812</v>
      </c>
      <c r="AO956" s="198">
        <v>9.9327000000000005</v>
      </c>
      <c r="AP956" s="198">
        <v>0.89539999999999997</v>
      </c>
      <c r="AQ956" s="198">
        <v>6.9885999999999999</v>
      </c>
      <c r="AR956" s="198">
        <v>0.17529</v>
      </c>
      <c r="AT956" s="1051">
        <v>43759</v>
      </c>
      <c r="AU956" s="198">
        <v>8.8129000000000008</v>
      </c>
      <c r="AV956" s="198">
        <v>0.49220000000000003</v>
      </c>
      <c r="AX956" s="198">
        <v>0.12442</v>
      </c>
      <c r="BA956" s="1051">
        <v>43795</v>
      </c>
      <c r="BB956" s="198">
        <v>6.7511000000000001</v>
      </c>
      <c r="BC956" s="198">
        <v>1.2948</v>
      </c>
      <c r="BD956" s="198">
        <v>7.5162000000000004</v>
      </c>
      <c r="BE956" s="198">
        <v>0.27811999999999998</v>
      </c>
      <c r="BG956" s="1051">
        <v>43795</v>
      </c>
      <c r="BH956" s="198">
        <v>9.8088999999999995</v>
      </c>
      <c r="BI956" s="198">
        <v>1.9469000000000001</v>
      </c>
      <c r="BJ956" s="198">
        <v>14.804600000000001</v>
      </c>
      <c r="BT956" s="1051">
        <v>43840</v>
      </c>
      <c r="BU956" s="198">
        <v>13.2987</v>
      </c>
      <c r="BV956" s="198">
        <v>4.1985999999999999</v>
      </c>
      <c r="BW956" s="198">
        <v>9.3577999999999992</v>
      </c>
      <c r="BX956" s="198">
        <v>1.6222000000000001</v>
      </c>
      <c r="BZ956" s="1051">
        <v>43840</v>
      </c>
      <c r="CA956" s="198">
        <v>7.27</v>
      </c>
      <c r="CB956" s="198">
        <v>1.2216</v>
      </c>
      <c r="CC956" s="198">
        <v>11.388500000000001</v>
      </c>
      <c r="CD956" s="198">
        <v>0.53273999999999999</v>
      </c>
      <c r="CF956" s="1051">
        <v>43839</v>
      </c>
      <c r="CI956" s="198">
        <v>11.1418</v>
      </c>
      <c r="CL956" s="1051">
        <v>43866</v>
      </c>
      <c r="CM956" s="198">
        <v>19.204000000000001</v>
      </c>
      <c r="CN956" s="198">
        <v>1.8695999999999999</v>
      </c>
      <c r="CO956" s="198">
        <v>8.2911999999999999</v>
      </c>
    </row>
    <row r="957" spans="1:93" s="198" customFormat="1">
      <c r="A957" s="1051">
        <v>43839</v>
      </c>
      <c r="B957" s="1052">
        <f t="shared" si="142"/>
        <v>5.7274000000000003</v>
      </c>
      <c r="C957" s="1052">
        <f t="shared" si="144"/>
        <v>5.6013000000000002</v>
      </c>
      <c r="D957" s="1052">
        <f t="shared" si="148"/>
        <v>12.446</v>
      </c>
      <c r="E957" s="1052">
        <f t="shared" si="149"/>
        <v>8.3663000000000007</v>
      </c>
      <c r="F957" s="1052">
        <f t="shared" si="150"/>
        <v>11.307399999999999</v>
      </c>
      <c r="G957" s="1052">
        <f t="shared" si="151"/>
        <v>6.2633000000000001</v>
      </c>
      <c r="H957" s="1047">
        <f t="shared" si="145"/>
        <v>8.3663000000000007</v>
      </c>
      <c r="I957" s="1048">
        <f t="shared" si="143"/>
        <v>-0.31542019769790708</v>
      </c>
      <c r="J957" s="1048">
        <f t="shared" si="146"/>
        <v>0.12093838824177333</v>
      </c>
      <c r="K957" s="1048">
        <f t="shared" si="147"/>
        <v>0.1</v>
      </c>
      <c r="L957" s="1048"/>
      <c r="N957" s="1051">
        <v>43839</v>
      </c>
      <c r="O957" s="1053">
        <v>5.7274000000000003</v>
      </c>
      <c r="P957" s="1053">
        <v>1.0367</v>
      </c>
      <c r="Q957" s="1053">
        <v>7.0644999999999998</v>
      </c>
      <c r="R957" s="1054">
        <f>'B. PE'!$U$23</f>
        <v>15.978235616082999</v>
      </c>
      <c r="S957" s="1054"/>
      <c r="T957" s="1054"/>
      <c r="V957" s="1051">
        <v>43839</v>
      </c>
      <c r="W957" s="198">
        <v>5.6013000000000002</v>
      </c>
      <c r="X957" s="198">
        <v>0.43020000000000003</v>
      </c>
      <c r="Y957" s="198">
        <v>8.1397999999999993</v>
      </c>
      <c r="Z957" s="198">
        <v>0.27528000000000002</v>
      </c>
      <c r="AB957" s="1051">
        <v>43801</v>
      </c>
      <c r="AC957" s="198">
        <v>13.0992</v>
      </c>
      <c r="AD957" s="1053">
        <v>0.99139999999999995</v>
      </c>
      <c r="AE957" s="198">
        <v>6.9729999999999999</v>
      </c>
      <c r="AF957" s="198">
        <v>1.9640000000000001E-2</v>
      </c>
      <c r="AH957" s="1051">
        <v>43801</v>
      </c>
      <c r="AI957" s="198">
        <v>11.973000000000001</v>
      </c>
      <c r="AJ957" s="198">
        <v>2.1280000000000001</v>
      </c>
      <c r="AK957" s="198">
        <v>6.8247999999999998</v>
      </c>
      <c r="AL957" s="198">
        <v>2.4750000000000001E-2</v>
      </c>
      <c r="AN957" s="1051">
        <v>43811</v>
      </c>
      <c r="AO957" s="198">
        <v>9.9989000000000008</v>
      </c>
      <c r="AP957" s="198">
        <v>0.90139999999999998</v>
      </c>
      <c r="AQ957" s="198">
        <v>7.0406000000000004</v>
      </c>
      <c r="AR957" s="198">
        <v>0.18009</v>
      </c>
      <c r="AT957" s="1051">
        <v>43756</v>
      </c>
      <c r="AU957" s="198">
        <v>8.9928000000000008</v>
      </c>
      <c r="AV957" s="198">
        <v>0.50219999999999998</v>
      </c>
      <c r="AX957" s="198">
        <v>0.11699</v>
      </c>
      <c r="BA957" s="1051">
        <v>43794</v>
      </c>
      <c r="BB957" s="198">
        <v>6.7511000000000001</v>
      </c>
      <c r="BC957" s="198">
        <v>1.2948</v>
      </c>
      <c r="BD957" s="198">
        <v>7.5162000000000004</v>
      </c>
      <c r="BE957" s="198">
        <v>0.27631</v>
      </c>
      <c r="BG957" s="1051">
        <v>43794</v>
      </c>
      <c r="BH957" s="198">
        <v>9.8088999999999995</v>
      </c>
      <c r="BI957" s="198">
        <v>1.9469000000000001</v>
      </c>
      <c r="BJ957" s="198">
        <v>14.804600000000001</v>
      </c>
      <c r="BT957" s="1051">
        <v>43839</v>
      </c>
      <c r="BU957" s="198">
        <v>13.2294</v>
      </c>
      <c r="BV957" s="198">
        <v>4.1767000000000003</v>
      </c>
      <c r="BW957" s="198">
        <v>9.3155000000000001</v>
      </c>
      <c r="BX957" s="198">
        <v>1.6625000000000001</v>
      </c>
      <c r="BZ957" s="1051">
        <v>43839</v>
      </c>
      <c r="CA957" s="198">
        <v>7.6021000000000001</v>
      </c>
      <c r="CB957" s="198">
        <v>1.2774000000000001</v>
      </c>
      <c r="CC957" s="198">
        <v>11.5954</v>
      </c>
      <c r="CD957" s="198">
        <v>0.54774999999999996</v>
      </c>
      <c r="CF957" s="1051">
        <v>43838</v>
      </c>
      <c r="CI957" s="198">
        <v>11.1418</v>
      </c>
      <c r="CL957" s="1051">
        <v>43865</v>
      </c>
      <c r="CM957" s="198">
        <v>19.279299999999999</v>
      </c>
      <c r="CN957" s="198">
        <v>1.8769</v>
      </c>
      <c r="CO957" s="198">
        <v>8.3239999999999998</v>
      </c>
    </row>
    <row r="958" spans="1:93" s="198" customFormat="1">
      <c r="A958" s="1051">
        <v>43838</v>
      </c>
      <c r="B958" s="1052">
        <f t="shared" si="142"/>
        <v>5.5895999999999999</v>
      </c>
      <c r="C958" s="1052">
        <f t="shared" si="144"/>
        <v>5.5938999999999997</v>
      </c>
      <c r="D958" s="1052">
        <f t="shared" si="148"/>
        <v>12.583500000000001</v>
      </c>
      <c r="E958" s="1052">
        <f t="shared" si="149"/>
        <v>7.8813000000000004</v>
      </c>
      <c r="F958" s="1052">
        <f t="shared" si="150"/>
        <v>11.076599999999999</v>
      </c>
      <c r="G958" s="1052">
        <f t="shared" si="151"/>
        <v>6.1388999999999996</v>
      </c>
      <c r="H958" s="1047">
        <f t="shared" si="145"/>
        <v>7.8813000000000004</v>
      </c>
      <c r="I958" s="1048">
        <f t="shared" si="143"/>
        <v>-0.29077690228769371</v>
      </c>
      <c r="J958" s="1048">
        <f t="shared" si="146"/>
        <v>0.12093838824177333</v>
      </c>
      <c r="K958" s="1048">
        <f t="shared" si="147"/>
        <v>0.1</v>
      </c>
      <c r="L958" s="1048"/>
      <c r="N958" s="1051">
        <v>43838</v>
      </c>
      <c r="O958" s="1053">
        <v>5.5895999999999999</v>
      </c>
      <c r="P958" s="1053">
        <v>1.0118</v>
      </c>
      <c r="Q958" s="1053">
        <v>6.9523000000000001</v>
      </c>
      <c r="R958" s="1054">
        <f>'B. PE'!$U$23</f>
        <v>15.978235616082999</v>
      </c>
      <c r="S958" s="1054"/>
      <c r="T958" s="1054"/>
      <c r="V958" s="1051">
        <v>43838</v>
      </c>
      <c r="W958" s="198">
        <v>5.5938999999999997</v>
      </c>
      <c r="X958" s="198">
        <v>0.42959999999999998</v>
      </c>
      <c r="Y958" s="198">
        <v>8.1349</v>
      </c>
      <c r="Z958" s="198">
        <v>0.27601999999999999</v>
      </c>
      <c r="AB958" s="1051">
        <v>43798</v>
      </c>
      <c r="AC958" s="198">
        <v>12.022600000000001</v>
      </c>
      <c r="AD958" s="1053">
        <v>0.90990000000000004</v>
      </c>
      <c r="AE958" s="198">
        <v>6.5875000000000004</v>
      </c>
      <c r="AF958" s="198">
        <v>2.051E-2</v>
      </c>
      <c r="AH958" s="1051">
        <v>43798</v>
      </c>
      <c r="AI958" s="198">
        <v>11.835000000000001</v>
      </c>
      <c r="AJ958" s="198">
        <v>2.1034000000000002</v>
      </c>
      <c r="AK958" s="198">
        <v>6.7526000000000002</v>
      </c>
      <c r="AL958" s="198">
        <v>2.5479999999999999E-2</v>
      </c>
      <c r="AN958" s="1051">
        <v>43810</v>
      </c>
      <c r="AO958" s="198">
        <v>9.6677999999999997</v>
      </c>
      <c r="AP958" s="198">
        <v>0.87160000000000004</v>
      </c>
      <c r="AQ958" s="198">
        <v>6.7803000000000004</v>
      </c>
      <c r="AR958" s="198">
        <v>0.1875</v>
      </c>
      <c r="AT958" s="1051">
        <v>43755</v>
      </c>
      <c r="AU958" s="198">
        <v>9.3524999999999991</v>
      </c>
      <c r="AV958" s="198">
        <v>0.52229999999999999</v>
      </c>
      <c r="AX958" s="198">
        <v>0.11704000000000001</v>
      </c>
      <c r="BA958" s="1051">
        <v>43791</v>
      </c>
      <c r="BB958" s="198">
        <v>6.7511000000000001</v>
      </c>
      <c r="BC958" s="198">
        <v>1.2948</v>
      </c>
      <c r="BD958" s="198">
        <v>7.5162000000000004</v>
      </c>
      <c r="BE958" s="198">
        <v>0.27984999999999999</v>
      </c>
      <c r="BG958" s="1051">
        <v>43791</v>
      </c>
      <c r="BH958" s="198">
        <v>9.3254000000000001</v>
      </c>
      <c r="BI958" s="198">
        <v>1.8509</v>
      </c>
      <c r="BJ958" s="198">
        <v>14.363099999999999</v>
      </c>
      <c r="BT958" s="1051">
        <v>43838</v>
      </c>
      <c r="BU958" s="198">
        <v>13.032999999999999</v>
      </c>
      <c r="BV958" s="198">
        <v>4.1147</v>
      </c>
      <c r="BW958" s="198">
        <v>9.0106000000000002</v>
      </c>
      <c r="BX958" s="198">
        <v>1.6496</v>
      </c>
      <c r="BZ958" s="1051">
        <v>43838</v>
      </c>
      <c r="CA958" s="198">
        <v>7.8604000000000003</v>
      </c>
      <c r="CB958" s="198">
        <v>1.3208</v>
      </c>
      <c r="CC958" s="198">
        <v>11.7563</v>
      </c>
      <c r="CD958" s="198">
        <v>0.55027000000000004</v>
      </c>
      <c r="CF958" s="1051">
        <v>43837</v>
      </c>
      <c r="CI958" s="198">
        <v>11.1418</v>
      </c>
      <c r="CL958" s="1051">
        <v>43864</v>
      </c>
      <c r="CM958" s="198">
        <v>18.8124</v>
      </c>
      <c r="CN958" s="198">
        <v>1.8314999999999999</v>
      </c>
      <c r="CO958" s="198">
        <v>8.1204999999999998</v>
      </c>
    </row>
    <row r="959" spans="1:93" s="198" customFormat="1">
      <c r="A959" s="1051">
        <v>43837</v>
      </c>
      <c r="B959" s="1052">
        <f t="shared" si="142"/>
        <v>5.6898</v>
      </c>
      <c r="C959" s="1052">
        <f t="shared" si="144"/>
        <v>5.55</v>
      </c>
      <c r="D959" s="1052">
        <f t="shared" si="148"/>
        <v>13.0305</v>
      </c>
      <c r="E959" s="1052">
        <f t="shared" si="149"/>
        <v>8.3056999999999999</v>
      </c>
      <c r="F959" s="1052">
        <f t="shared" si="150"/>
        <v>11.307399999999999</v>
      </c>
      <c r="G959" s="1052">
        <f t="shared" si="151"/>
        <v>6.1803999999999997</v>
      </c>
      <c r="H959" s="1047">
        <f t="shared" si="145"/>
        <v>8.3056999999999999</v>
      </c>
      <c r="I959" s="1048">
        <f t="shared" si="143"/>
        <v>-0.31495238209904042</v>
      </c>
      <c r="J959" s="1048">
        <f t="shared" si="146"/>
        <v>0.12093838824177333</v>
      </c>
      <c r="K959" s="1048">
        <f t="shared" si="147"/>
        <v>0.1</v>
      </c>
      <c r="L959" s="1048"/>
      <c r="N959" s="1051">
        <v>43837</v>
      </c>
      <c r="O959" s="1053">
        <v>5.6898</v>
      </c>
      <c r="P959" s="1053">
        <v>1.0299</v>
      </c>
      <c r="Q959" s="1053">
        <v>7.0339</v>
      </c>
      <c r="R959" s="1054">
        <f>'B. PE'!$U$23</f>
        <v>15.978235616082999</v>
      </c>
      <c r="S959" s="1054"/>
      <c r="T959" s="1054"/>
      <c r="V959" s="1051">
        <v>43837</v>
      </c>
      <c r="W959" s="198">
        <v>5.55</v>
      </c>
      <c r="X959" s="198">
        <v>0.42630000000000001</v>
      </c>
      <c r="Y959" s="198">
        <v>8.1050000000000004</v>
      </c>
      <c r="Z959" s="198">
        <v>0.27715000000000001</v>
      </c>
      <c r="AB959" s="1051">
        <v>43797</v>
      </c>
      <c r="AC959" s="198">
        <v>12.426299999999999</v>
      </c>
      <c r="AD959" s="1053">
        <v>0.94040000000000001</v>
      </c>
      <c r="AE959" s="198">
        <v>6.7321</v>
      </c>
      <c r="AF959" s="198">
        <v>2.1499999999999998E-2</v>
      </c>
      <c r="AH959" s="1051">
        <v>43797</v>
      </c>
      <c r="AI959" s="198">
        <v>12.042</v>
      </c>
      <c r="AJ959" s="198">
        <v>2.1402000000000001</v>
      </c>
      <c r="AK959" s="198">
        <v>6.8609</v>
      </c>
      <c r="AL959" s="198">
        <v>2.5680000000000001E-2</v>
      </c>
      <c r="AN959" s="1051">
        <v>43809</v>
      </c>
      <c r="AO959" s="198">
        <v>9.9327000000000005</v>
      </c>
      <c r="AP959" s="198">
        <v>0.89539999999999997</v>
      </c>
      <c r="AQ959" s="198">
        <v>6.9885999999999999</v>
      </c>
      <c r="AR959" s="198">
        <v>0.19114999999999999</v>
      </c>
      <c r="AT959" s="1051">
        <v>43752</v>
      </c>
      <c r="AU959" s="198">
        <v>8.8129000000000008</v>
      </c>
      <c r="AV959" s="198">
        <v>0.49220000000000003</v>
      </c>
      <c r="AX959" s="198">
        <v>0.11691</v>
      </c>
      <c r="BA959" s="1051">
        <v>43790</v>
      </c>
      <c r="BB959" s="198">
        <v>6.7110000000000003</v>
      </c>
      <c r="BC959" s="198">
        <v>1.2870999999999999</v>
      </c>
      <c r="BD959" s="198">
        <v>7.4882</v>
      </c>
      <c r="BE959" s="198">
        <v>0.28320000000000001</v>
      </c>
      <c r="BG959" s="1051">
        <v>43790</v>
      </c>
      <c r="BH959" s="198">
        <v>9.3254000000000001</v>
      </c>
      <c r="BI959" s="198">
        <v>1.8509</v>
      </c>
      <c r="BJ959" s="198">
        <v>14.363099999999999</v>
      </c>
      <c r="BT959" s="1051">
        <v>43837</v>
      </c>
      <c r="BU959" s="198">
        <v>13.3565</v>
      </c>
      <c r="BV959" s="198">
        <v>4.2168999999999999</v>
      </c>
      <c r="BW959" s="198">
        <v>9.2036999999999995</v>
      </c>
      <c r="BX959" s="198">
        <v>1.6585000000000001</v>
      </c>
      <c r="BZ959" s="1051">
        <v>43837</v>
      </c>
      <c r="CA959" s="198">
        <v>8.0817999999999994</v>
      </c>
      <c r="CB959" s="198">
        <v>1.3580000000000001</v>
      </c>
      <c r="CC959" s="198">
        <v>11.8942</v>
      </c>
      <c r="CD959" s="198">
        <v>0.56784999999999997</v>
      </c>
      <c r="CF959" s="1051">
        <v>43836</v>
      </c>
      <c r="CI959" s="198">
        <v>11.1418</v>
      </c>
      <c r="CL959" s="1051">
        <v>43861</v>
      </c>
      <c r="CM959" s="198">
        <v>18.767199999999999</v>
      </c>
      <c r="CN959" s="198">
        <v>1.8270999999999999</v>
      </c>
      <c r="CO959" s="198">
        <v>8.1007999999999996</v>
      </c>
    </row>
    <row r="960" spans="1:93" s="198" customFormat="1">
      <c r="A960" s="1051">
        <v>43836</v>
      </c>
      <c r="B960" s="1052">
        <f t="shared" si="142"/>
        <v>5.7649999999999997</v>
      </c>
      <c r="C960" s="1052">
        <f t="shared" si="144"/>
        <v>5.5646000000000004</v>
      </c>
      <c r="D960" s="1052">
        <f t="shared" si="148"/>
        <v>12.7211</v>
      </c>
      <c r="E960" s="1052">
        <f t="shared" si="149"/>
        <v>8.3056999999999999</v>
      </c>
      <c r="F960" s="1052">
        <f t="shared" si="150"/>
        <v>11.230399999999999</v>
      </c>
      <c r="G960" s="1052">
        <f t="shared" si="151"/>
        <v>6.3048000000000002</v>
      </c>
      <c r="H960" s="1047">
        <f t="shared" si="145"/>
        <v>8.3056999999999999</v>
      </c>
      <c r="I960" s="1048">
        <f t="shared" si="143"/>
        <v>-0.30589835895830575</v>
      </c>
      <c r="J960" s="1048">
        <f t="shared" si="146"/>
        <v>0.12093838824177333</v>
      </c>
      <c r="K960" s="1048">
        <f t="shared" si="147"/>
        <v>0.1</v>
      </c>
      <c r="L960" s="1048"/>
      <c r="N960" s="1051">
        <v>43836</v>
      </c>
      <c r="O960" s="1053">
        <v>5.7649999999999997</v>
      </c>
      <c r="P960" s="1053">
        <v>1.0435000000000001</v>
      </c>
      <c r="Q960" s="1053">
        <v>7.0951000000000004</v>
      </c>
      <c r="R960" s="1054">
        <f>'B. PE'!$U$23</f>
        <v>15.978235616082999</v>
      </c>
      <c r="S960" s="1054"/>
      <c r="T960" s="1054"/>
      <c r="V960" s="1051">
        <v>43836</v>
      </c>
      <c r="W960" s="198">
        <v>5.5646000000000004</v>
      </c>
      <c r="X960" s="198">
        <v>0.4274</v>
      </c>
      <c r="Y960" s="198">
        <v>8.1149000000000004</v>
      </c>
      <c r="Z960" s="198">
        <v>0.27790999999999999</v>
      </c>
      <c r="AB960" s="1051">
        <v>43796</v>
      </c>
      <c r="AC960" s="198">
        <v>12.964600000000001</v>
      </c>
      <c r="AD960" s="1053">
        <v>0.98119999999999996</v>
      </c>
      <c r="AE960" s="198">
        <v>6.9248000000000003</v>
      </c>
      <c r="AF960" s="198">
        <v>2.1649999999999999E-2</v>
      </c>
      <c r="AH960" s="1051">
        <v>43796</v>
      </c>
      <c r="AI960" s="198">
        <v>12.3871</v>
      </c>
      <c r="AJ960" s="198">
        <v>2.2016</v>
      </c>
      <c r="AK960" s="198">
        <v>7.0415000000000001</v>
      </c>
      <c r="AL960" s="198">
        <v>2.562E-2</v>
      </c>
      <c r="AN960" s="1051">
        <v>43808</v>
      </c>
      <c r="AO960" s="198">
        <v>10.33</v>
      </c>
      <c r="AP960" s="198">
        <v>0.93130000000000002</v>
      </c>
      <c r="AQ960" s="198">
        <v>7.3010000000000002</v>
      </c>
      <c r="AR960" s="198">
        <v>0.18826999999999999</v>
      </c>
      <c r="AT960" s="1051">
        <v>43749</v>
      </c>
      <c r="AU960" s="198">
        <v>8.8129000000000008</v>
      </c>
      <c r="AV960" s="198">
        <v>0.49220000000000003</v>
      </c>
      <c r="AX960" s="198">
        <v>0.11438</v>
      </c>
      <c r="BA960" s="1051">
        <v>43789</v>
      </c>
      <c r="BB960" s="198">
        <v>6.7912999999999997</v>
      </c>
      <c r="BC960" s="198">
        <v>1.3026</v>
      </c>
      <c r="BD960" s="198">
        <v>7.5442</v>
      </c>
      <c r="BE960" s="198">
        <v>0.27993000000000001</v>
      </c>
      <c r="BG960" s="1051">
        <v>43789</v>
      </c>
      <c r="BH960" s="198">
        <v>9.6016999999999992</v>
      </c>
      <c r="BI960" s="198">
        <v>1.9057999999999999</v>
      </c>
      <c r="BJ960" s="198">
        <v>14.615399999999999</v>
      </c>
      <c r="BT960" s="1051">
        <v>43836</v>
      </c>
      <c r="BU960" s="198">
        <v>13.2525</v>
      </c>
      <c r="BV960" s="198">
        <v>4.1840000000000002</v>
      </c>
      <c r="BW960" s="198">
        <v>9.1416000000000004</v>
      </c>
      <c r="BX960" s="198">
        <v>1.6831</v>
      </c>
      <c r="BZ960" s="1051">
        <v>43836</v>
      </c>
      <c r="CA960" s="198">
        <v>8.1187000000000005</v>
      </c>
      <c r="CB960" s="198">
        <v>1.3642000000000001</v>
      </c>
      <c r="CC960" s="198">
        <v>11.917199999999999</v>
      </c>
      <c r="CD960" s="198">
        <v>0.54540999999999995</v>
      </c>
      <c r="CF960" s="1051">
        <v>43833</v>
      </c>
      <c r="CG960" s="198">
        <v>8.1251999999999995</v>
      </c>
      <c r="CH960" s="198">
        <v>1.2794000000000001</v>
      </c>
      <c r="CI960" s="198">
        <v>11.1418</v>
      </c>
      <c r="CL960" s="1051">
        <v>43860</v>
      </c>
      <c r="CM960" s="198">
        <v>19.091100000000001</v>
      </c>
      <c r="CN960" s="198">
        <v>1.8586</v>
      </c>
      <c r="CO960" s="198">
        <v>8.2418999999999993</v>
      </c>
    </row>
    <row r="961" spans="1:93" s="198" customFormat="1">
      <c r="A961" s="1051">
        <v>43833</v>
      </c>
      <c r="B961" s="1052">
        <f t="shared" si="142"/>
        <v>5.8402000000000003</v>
      </c>
      <c r="C961" s="1052">
        <f t="shared" si="144"/>
        <v>5.5865999999999998</v>
      </c>
      <c r="D961" s="1052">
        <f t="shared" si="148"/>
        <v>12.893000000000001</v>
      </c>
      <c r="E961" s="1052">
        <f t="shared" si="149"/>
        <v>8.6088000000000005</v>
      </c>
      <c r="F961" s="1052">
        <f t="shared" si="150"/>
        <v>11.4612</v>
      </c>
      <c r="G961" s="1052">
        <f t="shared" si="151"/>
        <v>6.3878000000000004</v>
      </c>
      <c r="H961" s="1047">
        <f t="shared" si="145"/>
        <v>8.6088000000000005</v>
      </c>
      <c r="I961" s="1048">
        <f t="shared" si="143"/>
        <v>-0.32160115230926489</v>
      </c>
      <c r="J961" s="1048">
        <f t="shared" si="146"/>
        <v>0.12093838824177333</v>
      </c>
      <c r="K961" s="1048">
        <f t="shared" si="147"/>
        <v>0.1</v>
      </c>
      <c r="L961" s="1048"/>
      <c r="N961" s="1051">
        <v>43833</v>
      </c>
      <c r="O961" s="1053">
        <v>5.8402000000000003</v>
      </c>
      <c r="P961" s="1053">
        <v>1.0570999999999999</v>
      </c>
      <c r="Q961" s="1053">
        <v>7.1562000000000001</v>
      </c>
      <c r="R961" s="1054">
        <f>'B. PE'!$U$23</f>
        <v>15.978235616082999</v>
      </c>
      <c r="S961" s="1054"/>
      <c r="T961" s="1054"/>
      <c r="V961" s="1051">
        <v>43833</v>
      </c>
      <c r="W961" s="198">
        <v>5.5865999999999998</v>
      </c>
      <c r="X961" s="198">
        <v>0.42909999999999998</v>
      </c>
      <c r="Y961" s="198">
        <v>8.1298999999999992</v>
      </c>
      <c r="Z961" s="198">
        <v>0.27606000000000003</v>
      </c>
      <c r="AB961" s="1051">
        <v>43795</v>
      </c>
      <c r="AC961" s="198">
        <v>13.592700000000001</v>
      </c>
      <c r="AD961" s="1053">
        <v>1.0286999999999999</v>
      </c>
      <c r="AE961" s="198">
        <v>7.1497999999999999</v>
      </c>
      <c r="AF961" s="198">
        <v>2.1190000000000001E-2</v>
      </c>
      <c r="AH961" s="1051">
        <v>43795</v>
      </c>
      <c r="AI961" s="198">
        <v>12.490600000000001</v>
      </c>
      <c r="AJ961" s="198">
        <v>2.2200000000000002</v>
      </c>
      <c r="AK961" s="198">
        <v>7.0956000000000001</v>
      </c>
      <c r="AL961" s="198">
        <v>2.5510000000000001E-2</v>
      </c>
      <c r="AN961" s="1051">
        <v>43805</v>
      </c>
      <c r="AO961" s="198">
        <v>10.528600000000001</v>
      </c>
      <c r="AP961" s="198">
        <v>0.94920000000000004</v>
      </c>
      <c r="AQ961" s="198">
        <v>7.4572000000000003</v>
      </c>
      <c r="AR961" s="198">
        <v>0.18806999999999999</v>
      </c>
      <c r="AT961" s="1051">
        <v>43748</v>
      </c>
      <c r="AU961" s="198">
        <v>8.8129000000000008</v>
      </c>
      <c r="AV961" s="198">
        <v>0.49220000000000003</v>
      </c>
      <c r="AX961" s="198">
        <v>0.11587</v>
      </c>
      <c r="BA961" s="1051">
        <v>43788</v>
      </c>
      <c r="BB961" s="198">
        <v>6.8716999999999997</v>
      </c>
      <c r="BC961" s="198">
        <v>1.3180000000000001</v>
      </c>
      <c r="BD961" s="198">
        <v>7.6002000000000001</v>
      </c>
      <c r="BE961" s="198">
        <v>0.28582999999999997</v>
      </c>
      <c r="BG961" s="1051">
        <v>43788</v>
      </c>
      <c r="BH961" s="198">
        <v>9.7399000000000004</v>
      </c>
      <c r="BI961" s="198">
        <v>1.9332</v>
      </c>
      <c r="BJ961" s="198">
        <v>14.7416</v>
      </c>
      <c r="BT961" s="1051">
        <v>43833</v>
      </c>
      <c r="BU961" s="198">
        <v>13.321899999999999</v>
      </c>
      <c r="BV961" s="198">
        <v>4.2058999999999997</v>
      </c>
      <c r="BW961" s="198">
        <v>9.1829999999999998</v>
      </c>
      <c r="BX961" s="198">
        <v>1.6397999999999999</v>
      </c>
      <c r="BZ961" s="1051">
        <v>43833</v>
      </c>
      <c r="CA961" s="198">
        <v>8.3771000000000004</v>
      </c>
      <c r="CB961" s="198">
        <v>1.4076</v>
      </c>
      <c r="CC961" s="198">
        <v>12.078099999999999</v>
      </c>
      <c r="CD961" s="198">
        <v>0.52658000000000005</v>
      </c>
      <c r="CF961" s="1051">
        <v>43832</v>
      </c>
      <c r="CI961" s="198">
        <v>10.8165</v>
      </c>
      <c r="CL961" s="1051">
        <v>43859</v>
      </c>
      <c r="CM961" s="198">
        <v>20.145399999999999</v>
      </c>
      <c r="CN961" s="198">
        <v>1.9612000000000001</v>
      </c>
      <c r="CO961" s="198">
        <v>8.7014999999999993</v>
      </c>
    </row>
    <row r="962" spans="1:93" s="198" customFormat="1">
      <c r="A962" s="1051">
        <v>43832</v>
      </c>
      <c r="B962" s="1052">
        <f t="shared" si="142"/>
        <v>5.8151999999999999</v>
      </c>
      <c r="C962" s="1052">
        <f t="shared" si="144"/>
        <v>5.6013000000000002</v>
      </c>
      <c r="D962" s="1052">
        <f t="shared" si="148"/>
        <v>12.3773</v>
      </c>
      <c r="E962" s="1052">
        <f t="shared" si="149"/>
        <v>8.7906999999999993</v>
      </c>
      <c r="F962" s="1052">
        <f t="shared" si="150"/>
        <v>11.3843</v>
      </c>
      <c r="G962" s="1052">
        <f t="shared" si="151"/>
        <v>6.3878000000000004</v>
      </c>
      <c r="H962" s="1047">
        <f t="shared" si="145"/>
        <v>8.7906999999999993</v>
      </c>
      <c r="I962" s="1048">
        <f t="shared" si="143"/>
        <v>-0.33848271468711244</v>
      </c>
      <c r="J962" s="1048">
        <f t="shared" si="146"/>
        <v>0.12093838824177333</v>
      </c>
      <c r="K962" s="1048">
        <f t="shared" si="147"/>
        <v>0.1</v>
      </c>
      <c r="L962" s="1048"/>
      <c r="N962" s="1051">
        <v>43832</v>
      </c>
      <c r="O962" s="1053">
        <v>5.8151999999999999</v>
      </c>
      <c r="P962" s="1053">
        <v>1.0526</v>
      </c>
      <c r="Q962" s="1053">
        <v>7.1357999999999997</v>
      </c>
      <c r="R962" s="1054">
        <f>'B. PE'!$U$23</f>
        <v>15.978235616082999</v>
      </c>
      <c r="S962" s="1054"/>
      <c r="T962" s="1054"/>
      <c r="V962" s="1051">
        <v>43832</v>
      </c>
      <c r="W962" s="198">
        <v>5.6013000000000002</v>
      </c>
      <c r="X962" s="198">
        <v>0.43020000000000003</v>
      </c>
      <c r="Y962" s="198">
        <v>8.1397999999999993</v>
      </c>
      <c r="Z962" s="198">
        <v>0.27717000000000003</v>
      </c>
      <c r="AB962" s="1051">
        <v>43794</v>
      </c>
      <c r="AC962" s="198">
        <v>13.682399999999999</v>
      </c>
      <c r="AD962" s="1053">
        <v>1.0355000000000001</v>
      </c>
      <c r="AE962" s="198">
        <v>7.1818999999999997</v>
      </c>
      <c r="AF962" s="198">
        <v>2.164E-2</v>
      </c>
      <c r="AH962" s="1051">
        <v>43794</v>
      </c>
      <c r="AI962" s="198">
        <v>12.456099999999999</v>
      </c>
      <c r="AJ962" s="198">
        <v>2.2138</v>
      </c>
      <c r="AK962" s="198">
        <v>7.0776000000000003</v>
      </c>
      <c r="AL962" s="198">
        <v>2.5329999999999998E-2</v>
      </c>
      <c r="AN962" s="1051">
        <v>43804</v>
      </c>
      <c r="AO962" s="198">
        <v>10.3962</v>
      </c>
      <c r="AP962" s="198">
        <v>0.93720000000000003</v>
      </c>
      <c r="AQ962" s="198">
        <v>7.3529999999999998</v>
      </c>
      <c r="AR962" s="198">
        <v>0.18421000000000001</v>
      </c>
      <c r="AT962" s="1051">
        <v>43747</v>
      </c>
      <c r="AU962" s="198">
        <v>8.6331000000000007</v>
      </c>
      <c r="AV962" s="198">
        <v>0.48209999999999997</v>
      </c>
      <c r="AX962" s="198">
        <v>0.11582000000000001</v>
      </c>
      <c r="BA962" s="1051">
        <v>43787</v>
      </c>
      <c r="BB962" s="198">
        <v>6.7912999999999997</v>
      </c>
      <c r="BC962" s="198">
        <v>1.3026</v>
      </c>
      <c r="BD962" s="198">
        <v>7.5442</v>
      </c>
      <c r="BE962" s="198">
        <v>0.28803000000000001</v>
      </c>
      <c r="BG962" s="1051">
        <v>43787</v>
      </c>
      <c r="BH962" s="198">
        <v>9.5326000000000004</v>
      </c>
      <c r="BI962" s="198">
        <v>1.8920999999999999</v>
      </c>
      <c r="BJ962" s="198">
        <v>14.552300000000001</v>
      </c>
      <c r="BT962" s="1051">
        <v>43832</v>
      </c>
      <c r="BU962" s="198">
        <v>13.5183</v>
      </c>
      <c r="BV962" s="198">
        <v>4.2679</v>
      </c>
      <c r="BW962" s="198">
        <v>9.3002000000000002</v>
      </c>
      <c r="BX962" s="198">
        <v>1.6398999999999999</v>
      </c>
      <c r="BZ962" s="1051">
        <v>43832</v>
      </c>
      <c r="CA962" s="198">
        <v>8.0449000000000002</v>
      </c>
      <c r="CB962" s="198">
        <v>1.3517999999999999</v>
      </c>
      <c r="CC962" s="198">
        <v>11.8712</v>
      </c>
      <c r="CD962" s="198">
        <v>0.56289999999999996</v>
      </c>
      <c r="CF962" s="1051">
        <v>43830</v>
      </c>
      <c r="CG962" s="198">
        <v>7.5232999999999999</v>
      </c>
      <c r="CH962" s="198">
        <v>1.1846000000000001</v>
      </c>
      <c r="CI962" s="198">
        <v>10.8165</v>
      </c>
      <c r="CL962" s="1051">
        <v>43858</v>
      </c>
      <c r="CM962" s="198">
        <v>20.540800000000001</v>
      </c>
      <c r="CN962" s="198">
        <v>1.9997</v>
      </c>
      <c r="CO962" s="198">
        <v>8.8737999999999992</v>
      </c>
    </row>
    <row r="963" spans="1:93" s="198" customFormat="1">
      <c r="A963" s="1051">
        <v>43830</v>
      </c>
      <c r="B963" s="1052">
        <f t="shared" si="142"/>
        <v>5.7649999999999997</v>
      </c>
      <c r="C963" s="1052">
        <f t="shared" si="144"/>
        <v>5.5646000000000004</v>
      </c>
      <c r="D963" s="1052">
        <f t="shared" si="148"/>
        <v>12.3773</v>
      </c>
      <c r="E963" s="1052">
        <f t="shared" si="149"/>
        <v>8.7301000000000002</v>
      </c>
      <c r="F963" s="1052">
        <f t="shared" si="150"/>
        <v>11.3843</v>
      </c>
      <c r="G963" s="1052">
        <f t="shared" si="151"/>
        <v>6.3878000000000004</v>
      </c>
      <c r="H963" s="1047">
        <f t="shared" si="145"/>
        <v>8.7301000000000002</v>
      </c>
      <c r="I963" s="1048">
        <f t="shared" si="143"/>
        <v>-0.33964101213044529</v>
      </c>
      <c r="J963" s="1048">
        <f t="shared" si="146"/>
        <v>0.12093838824177333</v>
      </c>
      <c r="K963" s="1048">
        <f t="shared" si="147"/>
        <v>0.1</v>
      </c>
      <c r="L963" s="1048"/>
      <c r="N963" s="1051">
        <v>43830</v>
      </c>
      <c r="O963" s="1053">
        <v>5.7649999999999997</v>
      </c>
      <c r="P963" s="1053">
        <v>1.0435000000000001</v>
      </c>
      <c r="Q963" s="1053">
        <v>7.0951000000000004</v>
      </c>
      <c r="R963" s="1054">
        <f>'B. PE'!$U$23</f>
        <v>15.978235616082999</v>
      </c>
      <c r="S963" s="1054"/>
      <c r="T963" s="1054"/>
      <c r="V963" s="1051">
        <v>43830</v>
      </c>
      <c r="W963" s="198">
        <v>5.5646000000000004</v>
      </c>
      <c r="X963" s="198">
        <v>0.4274</v>
      </c>
      <c r="Y963" s="198">
        <v>8.1149000000000004</v>
      </c>
      <c r="Z963" s="198">
        <v>0.27716000000000002</v>
      </c>
      <c r="AB963" s="1051">
        <v>43791</v>
      </c>
      <c r="AC963" s="198">
        <v>13.4132</v>
      </c>
      <c r="AD963" s="1053">
        <v>1.0150999999999999</v>
      </c>
      <c r="AE963" s="198">
        <v>7.0854999999999997</v>
      </c>
      <c r="AF963" s="198">
        <v>2.198E-2</v>
      </c>
      <c r="AH963" s="1051">
        <v>43791</v>
      </c>
      <c r="AI963" s="198">
        <v>12.4216</v>
      </c>
      <c r="AJ963" s="198">
        <v>2.2077</v>
      </c>
      <c r="AK963" s="198">
        <v>7.0594999999999999</v>
      </c>
      <c r="AL963" s="198">
        <v>2.5389999999999999E-2</v>
      </c>
      <c r="AN963" s="1051">
        <v>43803</v>
      </c>
      <c r="AO963" s="198">
        <v>10.3962</v>
      </c>
      <c r="AP963" s="198">
        <v>0.93720000000000003</v>
      </c>
      <c r="AQ963" s="198">
        <v>7.3529999999999998</v>
      </c>
      <c r="AR963" s="198">
        <v>0.16162000000000001</v>
      </c>
      <c r="AT963" s="1051">
        <v>43742</v>
      </c>
      <c r="AU963" s="198">
        <v>8.7230000000000008</v>
      </c>
      <c r="AV963" s="198">
        <v>0.48709999999999998</v>
      </c>
      <c r="AX963" s="198">
        <v>0.11924999999999999</v>
      </c>
      <c r="BA963" s="1051">
        <v>43784</v>
      </c>
      <c r="BB963" s="198">
        <v>6.9520999999999997</v>
      </c>
      <c r="BC963" s="198">
        <v>1.3333999999999999</v>
      </c>
      <c r="BD963" s="198">
        <v>7.6562000000000001</v>
      </c>
      <c r="BE963" s="198">
        <v>0.28938000000000003</v>
      </c>
      <c r="BG963" s="1051">
        <v>43784</v>
      </c>
      <c r="BH963" s="198">
        <v>9.5326000000000004</v>
      </c>
      <c r="BI963" s="198">
        <v>1.8920999999999999</v>
      </c>
      <c r="BJ963" s="198">
        <v>14.552300000000001</v>
      </c>
      <c r="BT963" s="1051">
        <v>43830</v>
      </c>
      <c r="BU963" s="198">
        <v>13.1717</v>
      </c>
      <c r="BV963" s="198">
        <v>4.1585000000000001</v>
      </c>
      <c r="BW963" s="198">
        <v>9.0934000000000008</v>
      </c>
      <c r="BX963" s="198">
        <v>1.6326000000000001</v>
      </c>
      <c r="BZ963" s="1051">
        <v>43830</v>
      </c>
      <c r="CA963" s="198">
        <v>7.7682000000000002</v>
      </c>
      <c r="CB963" s="198">
        <v>1.3052999999999999</v>
      </c>
      <c r="CC963" s="198">
        <v>11.6988</v>
      </c>
      <c r="CD963" s="198">
        <v>0.56537999999999999</v>
      </c>
      <c r="CF963" s="1051">
        <v>43829</v>
      </c>
      <c r="CG963" s="198">
        <v>5.9675000000000002</v>
      </c>
      <c r="CH963" s="198">
        <v>1.1778999999999999</v>
      </c>
      <c r="CI963" s="198">
        <v>7.4207000000000001</v>
      </c>
      <c r="CL963" s="1051">
        <v>43857</v>
      </c>
      <c r="CM963" s="198">
        <v>20.107700000000001</v>
      </c>
      <c r="CN963" s="198">
        <v>1.9576</v>
      </c>
      <c r="CO963" s="198">
        <v>8.6851000000000003</v>
      </c>
    </row>
    <row r="964" spans="1:93" s="198" customFormat="1">
      <c r="A964" s="1051">
        <v>43829</v>
      </c>
      <c r="B964" s="1052">
        <f t="shared" si="142"/>
        <v>6.6167999999999996</v>
      </c>
      <c r="C964" s="1052">
        <f t="shared" si="144"/>
        <v>6.1660000000000004</v>
      </c>
      <c r="D964" s="1052">
        <f t="shared" si="148"/>
        <v>12.858599999999999</v>
      </c>
      <c r="E964" s="1052">
        <f t="shared" si="149"/>
        <v>9.8002000000000002</v>
      </c>
      <c r="F964" s="1052">
        <f t="shared" si="150"/>
        <v>11.5381</v>
      </c>
      <c r="G964" s="1052">
        <f t="shared" si="151"/>
        <v>6.2633000000000001</v>
      </c>
      <c r="H964" s="1047">
        <f t="shared" si="145"/>
        <v>9.8002000000000002</v>
      </c>
      <c r="I964" s="1048">
        <f t="shared" si="143"/>
        <v>-0.32483010550805091</v>
      </c>
      <c r="J964" s="1048">
        <f t="shared" si="146"/>
        <v>0.12093838824177333</v>
      </c>
      <c r="K964" s="1048">
        <f t="shared" si="147"/>
        <v>0.1</v>
      </c>
      <c r="L964" s="1048"/>
      <c r="N964" s="1051">
        <v>43829</v>
      </c>
      <c r="O964" s="1053">
        <v>6.6167999999999996</v>
      </c>
      <c r="P964" s="1053">
        <v>1.0846</v>
      </c>
      <c r="Q964" s="1053">
        <v>7.9048999999999996</v>
      </c>
      <c r="R964" s="1054">
        <f>'B. PE'!$U$23</f>
        <v>15.978235616082999</v>
      </c>
      <c r="S964" s="1054"/>
      <c r="T964" s="1054"/>
      <c r="V964" s="1051">
        <v>43829</v>
      </c>
      <c r="W964" s="198">
        <v>6.1660000000000004</v>
      </c>
      <c r="X964" s="198">
        <v>0.4451</v>
      </c>
      <c r="Y964" s="198">
        <v>5.1802000000000001</v>
      </c>
      <c r="Z964" s="198">
        <v>0.27750999999999998</v>
      </c>
      <c r="AB964" s="1051">
        <v>43790</v>
      </c>
      <c r="AC964" s="198">
        <v>13.682399999999999</v>
      </c>
      <c r="AD964" s="1053">
        <v>1.0355000000000001</v>
      </c>
      <c r="AE964" s="198">
        <v>7.1818999999999997</v>
      </c>
      <c r="AF964" s="198">
        <v>2.2200000000000001E-2</v>
      </c>
      <c r="AH964" s="1051">
        <v>43790</v>
      </c>
      <c r="AI964" s="198">
        <v>12.318099999999999</v>
      </c>
      <c r="AJ964" s="198">
        <v>2.1892999999999998</v>
      </c>
      <c r="AK964" s="198">
        <v>7.0053999999999998</v>
      </c>
      <c r="AL964" s="198">
        <v>2.6040000000000001E-2</v>
      </c>
      <c r="AN964" s="1051">
        <v>43802</v>
      </c>
      <c r="AO964" s="198">
        <v>10.1975</v>
      </c>
      <c r="AP964" s="198">
        <v>0.91930000000000001</v>
      </c>
      <c r="AQ964" s="198">
        <v>7.1967999999999996</v>
      </c>
      <c r="AR964" s="198">
        <v>0.15558</v>
      </c>
      <c r="AT964" s="1051">
        <v>43741</v>
      </c>
      <c r="AU964" s="198">
        <v>8.7230000000000008</v>
      </c>
      <c r="AV964" s="198">
        <v>0.48709999999999998</v>
      </c>
      <c r="AX964" s="198">
        <v>0.11574</v>
      </c>
      <c r="BA964" s="1051">
        <v>43783</v>
      </c>
      <c r="BB964" s="198">
        <v>6.9923000000000002</v>
      </c>
      <c r="BC964" s="198">
        <v>1.3411</v>
      </c>
      <c r="BD964" s="198">
        <v>7.6841999999999997</v>
      </c>
      <c r="BE964" s="198">
        <v>0.28348000000000001</v>
      </c>
      <c r="BG964" s="1051">
        <v>43783</v>
      </c>
      <c r="BH964" s="198">
        <v>9.8088999999999995</v>
      </c>
      <c r="BI964" s="198">
        <v>1.9469000000000001</v>
      </c>
      <c r="BJ964" s="198">
        <v>14.804600000000001</v>
      </c>
      <c r="BT964" s="1051">
        <v>43829</v>
      </c>
      <c r="BU964" s="198">
        <v>13.7004</v>
      </c>
      <c r="BV964" s="198">
        <v>4.4736000000000002</v>
      </c>
      <c r="BW964" s="198">
        <v>8.6280000000000001</v>
      </c>
      <c r="BX964" s="198">
        <v>1.6296999999999999</v>
      </c>
      <c r="BZ964" s="1051">
        <v>43829</v>
      </c>
      <c r="CA964" s="198">
        <v>4.9786000000000001</v>
      </c>
      <c r="CB964" s="198">
        <v>1.3604000000000001</v>
      </c>
      <c r="CC964" s="198">
        <v>6.4957000000000003</v>
      </c>
      <c r="CD964" s="198">
        <v>0.57660999999999996</v>
      </c>
      <c r="CF964" s="1051">
        <v>43826</v>
      </c>
      <c r="CG964" s="198">
        <v>5.5255000000000001</v>
      </c>
      <c r="CH964" s="198">
        <v>1.0907</v>
      </c>
      <c r="CI964" s="198">
        <v>7.1574999999999998</v>
      </c>
      <c r="CL964" s="1051">
        <v>43854</v>
      </c>
      <c r="CM964" s="198">
        <v>20.954999999999998</v>
      </c>
      <c r="CN964" s="198">
        <v>2.04</v>
      </c>
      <c r="CO964" s="198">
        <v>9.0543999999999993</v>
      </c>
    </row>
    <row r="965" spans="1:93" s="198" customFormat="1">
      <c r="A965" s="1051">
        <v>43826</v>
      </c>
      <c r="B965" s="1052">
        <f t="shared" si="142"/>
        <v>6.6025</v>
      </c>
      <c r="C965" s="1052">
        <f t="shared" si="144"/>
        <v>6.1660000000000004</v>
      </c>
      <c r="D965" s="1052">
        <f t="shared" si="148"/>
        <v>13.629200000000001</v>
      </c>
      <c r="E965" s="1052">
        <f t="shared" si="149"/>
        <v>10.2637</v>
      </c>
      <c r="F965" s="1052">
        <f t="shared" si="150"/>
        <v>10.4306</v>
      </c>
      <c r="G965" s="1052">
        <f t="shared" si="151"/>
        <v>6.0278</v>
      </c>
      <c r="H965" s="1047">
        <f t="shared" si="145"/>
        <v>10.2637</v>
      </c>
      <c r="I965" s="1048">
        <f t="shared" si="143"/>
        <v>-0.35671346590410868</v>
      </c>
      <c r="J965" s="1048">
        <f t="shared" si="146"/>
        <v>0.12093838824177333</v>
      </c>
      <c r="K965" s="1048">
        <f t="shared" si="147"/>
        <v>0.1</v>
      </c>
      <c r="L965" s="1048"/>
      <c r="N965" s="1051">
        <v>43826</v>
      </c>
      <c r="O965" s="1053">
        <v>6.6025</v>
      </c>
      <c r="P965" s="1053">
        <v>1.0822000000000001</v>
      </c>
      <c r="Q965" s="1053">
        <v>7.8939000000000004</v>
      </c>
      <c r="R965" s="1054">
        <f>'B. PE'!$U$23</f>
        <v>15.978235616082999</v>
      </c>
      <c r="S965" s="1054"/>
      <c r="T965" s="1054"/>
      <c r="V965" s="1051">
        <v>43826</v>
      </c>
      <c r="W965" s="198">
        <v>6.1660000000000004</v>
      </c>
      <c r="X965" s="198">
        <v>0.4451</v>
      </c>
      <c r="Y965" s="198">
        <v>5.1802000000000001</v>
      </c>
      <c r="Z965" s="198">
        <v>0.27606000000000003</v>
      </c>
      <c r="AB965" s="1051">
        <v>43789</v>
      </c>
      <c r="AC965" s="198">
        <v>13.906700000000001</v>
      </c>
      <c r="AD965" s="1053">
        <v>1.0525</v>
      </c>
      <c r="AE965" s="198">
        <v>7.2622</v>
      </c>
      <c r="AF965" s="198">
        <v>2.2419999999999999E-2</v>
      </c>
      <c r="AH965" s="1051">
        <v>43789</v>
      </c>
      <c r="AI965" s="198">
        <v>12.352600000000001</v>
      </c>
      <c r="AJ965" s="198">
        <v>2.1953999999999998</v>
      </c>
      <c r="AK965" s="198">
        <v>7.0233999999999996</v>
      </c>
      <c r="AL965" s="198">
        <v>2.469E-2</v>
      </c>
      <c r="AN965" s="1051">
        <v>43801</v>
      </c>
      <c r="AO965" s="198">
        <v>8.9393999999999991</v>
      </c>
      <c r="AP965" s="198">
        <v>0.80589999999999995</v>
      </c>
      <c r="AQ965" s="198">
        <v>6.2074999999999996</v>
      </c>
      <c r="AR965" s="198">
        <v>0.15694</v>
      </c>
      <c r="AT965" s="1051">
        <v>43739</v>
      </c>
      <c r="AU965" s="198">
        <v>8.9928000000000008</v>
      </c>
      <c r="AV965" s="198">
        <v>0.50219999999999998</v>
      </c>
      <c r="AX965" s="198">
        <v>0.11718000000000001</v>
      </c>
      <c r="BA965" s="1051">
        <v>43782</v>
      </c>
      <c r="BB965" s="198">
        <v>7.0324</v>
      </c>
      <c r="BC965" s="198">
        <v>1.3488</v>
      </c>
      <c r="BD965" s="198">
        <v>7.7122999999999999</v>
      </c>
      <c r="BE965" s="198">
        <v>0.28166999999999998</v>
      </c>
      <c r="BG965" s="1051">
        <v>43782</v>
      </c>
      <c r="BH965" s="198">
        <v>10.0852</v>
      </c>
      <c r="BI965" s="198">
        <v>2.0017999999999998</v>
      </c>
      <c r="BJ965" s="198">
        <v>15.056900000000001</v>
      </c>
      <c r="BT965" s="1051">
        <v>43826</v>
      </c>
      <c r="BU965" s="198">
        <v>13.6403</v>
      </c>
      <c r="BV965" s="198">
        <v>4.4539999999999997</v>
      </c>
      <c r="BW965" s="198">
        <v>8.5916999999999994</v>
      </c>
      <c r="BX965" s="198">
        <v>1.6383000000000001</v>
      </c>
      <c r="BZ965" s="1051">
        <v>43826</v>
      </c>
      <c r="CA965" s="198">
        <v>5.0007000000000001</v>
      </c>
      <c r="CB965" s="198">
        <v>1.3665</v>
      </c>
      <c r="CC965" s="198">
        <v>6.5119999999999996</v>
      </c>
      <c r="CD965" s="198">
        <v>0.59287000000000001</v>
      </c>
      <c r="CF965" s="1051">
        <v>43825</v>
      </c>
      <c r="CG965" s="198">
        <v>5.3929</v>
      </c>
      <c r="CH965" s="198">
        <v>1.0645</v>
      </c>
      <c r="CI965" s="198">
        <v>7.0785</v>
      </c>
      <c r="CL965" s="1051">
        <v>43853</v>
      </c>
      <c r="CM965" s="198">
        <v>21.011500000000002</v>
      </c>
      <c r="CN965" s="198">
        <v>2.0455000000000001</v>
      </c>
      <c r="CO965" s="198">
        <v>9.0790000000000006</v>
      </c>
    </row>
    <row r="966" spans="1:93" s="198" customFormat="1">
      <c r="A966" s="1051">
        <v>43825</v>
      </c>
      <c r="B966" s="1052">
        <f t="shared" ref="B966:B1029" si="152">O966</f>
        <v>6.6597999999999997</v>
      </c>
      <c r="C966" s="1052">
        <f t="shared" si="144"/>
        <v>6.1741000000000001</v>
      </c>
      <c r="D966" s="1052">
        <f t="shared" si="148"/>
        <v>13.767200000000001</v>
      </c>
      <c r="E966" s="1052">
        <f t="shared" si="149"/>
        <v>9.8002000000000002</v>
      </c>
      <c r="F966" s="1052">
        <f t="shared" si="150"/>
        <v>10.4306</v>
      </c>
      <c r="G966" s="1052">
        <f t="shared" si="151"/>
        <v>6.0278</v>
      </c>
      <c r="H966" s="1047">
        <f t="shared" si="145"/>
        <v>9.8002000000000002</v>
      </c>
      <c r="I966" s="1048">
        <f t="shared" ref="I966:I1029" si="153">B966/H966-1</f>
        <v>-0.32044243995020516</v>
      </c>
      <c r="J966" s="1048">
        <f t="shared" si="146"/>
        <v>0.12093838824177333</v>
      </c>
      <c r="K966" s="1048">
        <f t="shared" si="147"/>
        <v>0.1</v>
      </c>
      <c r="L966" s="1048"/>
      <c r="N966" s="1051">
        <v>43825</v>
      </c>
      <c r="O966" s="1053">
        <v>6.6597999999999997</v>
      </c>
      <c r="P966" s="1053">
        <v>1.0915999999999999</v>
      </c>
      <c r="Q966" s="1053">
        <v>7.9382000000000001</v>
      </c>
      <c r="R966" s="1054">
        <f>'B. PE'!$U$23</f>
        <v>15.978235616082999</v>
      </c>
      <c r="S966" s="1054"/>
      <c r="T966" s="1054"/>
      <c r="V966" s="1051">
        <v>43825</v>
      </c>
      <c r="W966" s="198">
        <v>6.1741000000000001</v>
      </c>
      <c r="X966" s="198">
        <v>0.44569999999999999</v>
      </c>
      <c r="Y966" s="198">
        <v>5.1833999999999998</v>
      </c>
      <c r="Z966" s="198">
        <v>0.27600999999999998</v>
      </c>
      <c r="AB966" s="1051">
        <v>43788</v>
      </c>
      <c r="AC966" s="198">
        <v>14.0413</v>
      </c>
      <c r="AD966" s="1053">
        <v>1.0626</v>
      </c>
      <c r="AE966" s="198">
        <v>7.3103999999999996</v>
      </c>
      <c r="AF966" s="198">
        <v>2.247E-2</v>
      </c>
      <c r="AH966" s="1051">
        <v>43788</v>
      </c>
      <c r="AI966" s="198">
        <v>12.6631</v>
      </c>
      <c r="AJ966" s="198">
        <v>2.2505999999999999</v>
      </c>
      <c r="AK966" s="198">
        <v>7.1859000000000002</v>
      </c>
      <c r="AL966" s="198">
        <v>2.503E-2</v>
      </c>
      <c r="AN966" s="1051">
        <v>43798</v>
      </c>
      <c r="AO966" s="198">
        <v>8.6082999999999998</v>
      </c>
      <c r="AP966" s="198">
        <v>0.77610000000000001</v>
      </c>
      <c r="AQ966" s="198">
        <v>5.9471999999999996</v>
      </c>
      <c r="AR966" s="198">
        <v>0.157</v>
      </c>
      <c r="AT966" s="1051">
        <v>43733</v>
      </c>
      <c r="AU966" s="198">
        <v>7.1814999999999998</v>
      </c>
      <c r="AV966" s="198">
        <v>0.46939999999999998</v>
      </c>
      <c r="AX966" s="198">
        <v>0.1172</v>
      </c>
      <c r="BA966" s="1051">
        <v>43781</v>
      </c>
      <c r="BB966" s="198">
        <v>6.9119000000000002</v>
      </c>
      <c r="BC966" s="198">
        <v>1.3257000000000001</v>
      </c>
      <c r="BD966" s="198">
        <v>7.6281999999999996</v>
      </c>
      <c r="BE966" s="198">
        <v>0.28151999999999999</v>
      </c>
      <c r="BG966" s="1051">
        <v>43781</v>
      </c>
      <c r="BH966" s="198">
        <v>10.2925</v>
      </c>
      <c r="BI966" s="198">
        <v>2.0428999999999999</v>
      </c>
      <c r="BJ966" s="198">
        <v>15.2462</v>
      </c>
      <c r="BT966" s="1051">
        <v>43825</v>
      </c>
      <c r="BU966" s="198">
        <v>13.616199999999999</v>
      </c>
      <c r="BV966" s="198">
        <v>4.4462000000000002</v>
      </c>
      <c r="BW966" s="198">
        <v>8.5770999999999997</v>
      </c>
      <c r="BX966" s="198">
        <v>1.6007</v>
      </c>
      <c r="BZ966" s="1051">
        <v>43825</v>
      </c>
      <c r="CA966" s="198">
        <v>5.1002999999999998</v>
      </c>
      <c r="CB966" s="198">
        <v>1.3936999999999999</v>
      </c>
      <c r="CC966" s="198">
        <v>6.5852000000000004</v>
      </c>
      <c r="CD966" s="198">
        <v>0.58775999999999995</v>
      </c>
      <c r="CF966" s="1051">
        <v>43824</v>
      </c>
      <c r="CI966" s="198">
        <v>7.3417000000000003</v>
      </c>
      <c r="CL966" s="1051">
        <v>43852</v>
      </c>
      <c r="CM966" s="198">
        <v>21.4068</v>
      </c>
      <c r="CN966" s="198">
        <v>2.0840000000000001</v>
      </c>
      <c r="CO966" s="198">
        <v>9.2513000000000005</v>
      </c>
    </row>
    <row r="967" spans="1:93" s="198" customFormat="1">
      <c r="A967" s="1051">
        <v>43824</v>
      </c>
      <c r="B967" s="1052">
        <f t="shared" si="152"/>
        <v>6.3876999999999997</v>
      </c>
      <c r="C967" s="1052">
        <f t="shared" ref="C967:C1030" si="154">IF(W967=0,W966,W967)</f>
        <v>6.1417000000000002</v>
      </c>
      <c r="D967" s="1052">
        <f t="shared" si="148"/>
        <v>13.767200000000001</v>
      </c>
      <c r="E967" s="1052">
        <f t="shared" si="149"/>
        <v>9.8002000000000002</v>
      </c>
      <c r="F967" s="1052">
        <f t="shared" si="150"/>
        <v>10.4306</v>
      </c>
      <c r="G967" s="1052">
        <f t="shared" si="151"/>
        <v>5.8670999999999998</v>
      </c>
      <c r="H967" s="1047">
        <f t="shared" ref="H967:H1030" si="155">MEDIAN(C967:G967)</f>
        <v>9.8002000000000002</v>
      </c>
      <c r="I967" s="1048">
        <f t="shared" si="153"/>
        <v>-0.34820717944531754</v>
      </c>
      <c r="J967" s="1048">
        <f t="shared" ref="J967:J1030" si="156">$I$3</f>
        <v>0.12093838824177333</v>
      </c>
      <c r="K967" s="1048">
        <f t="shared" si="147"/>
        <v>0.1</v>
      </c>
      <c r="L967" s="1048"/>
      <c r="N967" s="1051">
        <v>43824</v>
      </c>
      <c r="O967" s="1053">
        <v>6.3876999999999997</v>
      </c>
      <c r="P967" s="1053">
        <v>1.0469999999999999</v>
      </c>
      <c r="Q967" s="1053">
        <v>7.7275999999999998</v>
      </c>
      <c r="R967" s="1054">
        <f>'B. PE'!$U$23</f>
        <v>15.978235616082999</v>
      </c>
      <c r="S967" s="1054"/>
      <c r="T967" s="1054"/>
      <c r="V967" s="1051">
        <v>43824</v>
      </c>
      <c r="W967" s="198">
        <v>6.1417000000000002</v>
      </c>
      <c r="X967" s="198">
        <v>0.44330000000000003</v>
      </c>
      <c r="Y967" s="198">
        <v>5.1703999999999999</v>
      </c>
      <c r="Z967" s="198">
        <v>0.27604000000000001</v>
      </c>
      <c r="AB967" s="1051">
        <v>43787</v>
      </c>
      <c r="AC967" s="198">
        <v>14.175800000000001</v>
      </c>
      <c r="AD967" s="1053">
        <v>1.0728</v>
      </c>
      <c r="AE967" s="198">
        <v>7.3586</v>
      </c>
      <c r="AF967" s="198">
        <v>2.2599999999999999E-2</v>
      </c>
      <c r="AH967" s="1051">
        <v>43787</v>
      </c>
      <c r="AI967" s="198">
        <v>12.0075</v>
      </c>
      <c r="AJ967" s="198">
        <v>2.1341000000000001</v>
      </c>
      <c r="AK967" s="198">
        <v>6.8429000000000002</v>
      </c>
      <c r="AL967" s="198">
        <v>2.4799999999999999E-2</v>
      </c>
      <c r="AN967" s="1051">
        <v>43797</v>
      </c>
      <c r="AO967" s="198">
        <v>8.6745000000000001</v>
      </c>
      <c r="AP967" s="198">
        <v>0.78200000000000003</v>
      </c>
      <c r="AQ967" s="198">
        <v>5.9992999999999999</v>
      </c>
      <c r="AR967" s="198">
        <v>0.16059000000000001</v>
      </c>
      <c r="AT967" s="1051">
        <v>43732</v>
      </c>
      <c r="AU967" s="198">
        <v>7.2554999999999996</v>
      </c>
      <c r="AV967" s="198">
        <v>0.4743</v>
      </c>
      <c r="AX967" s="198">
        <v>0.12094000000000001</v>
      </c>
      <c r="BA967" s="1051">
        <v>43780</v>
      </c>
      <c r="BB967" s="198">
        <v>6.8716999999999997</v>
      </c>
      <c r="BC967" s="198">
        <v>1.3180000000000001</v>
      </c>
      <c r="BD967" s="198">
        <v>7.6002000000000001</v>
      </c>
      <c r="BE967" s="198">
        <v>0.28266999999999998</v>
      </c>
      <c r="BG967" s="1051">
        <v>43780</v>
      </c>
      <c r="BH967" s="198">
        <v>10.6379</v>
      </c>
      <c r="BI967" s="198">
        <v>2.1114000000000002</v>
      </c>
      <c r="BJ967" s="198">
        <v>15.5616</v>
      </c>
      <c r="BT967" s="1051">
        <v>43824</v>
      </c>
      <c r="BU967" s="198">
        <v>13.6883</v>
      </c>
      <c r="BV967" s="198">
        <v>4.4696999999999996</v>
      </c>
      <c r="BW967" s="198">
        <v>8.6207999999999991</v>
      </c>
      <c r="BX967" s="198">
        <v>1.5965</v>
      </c>
      <c r="BZ967" s="1051">
        <v>43824</v>
      </c>
      <c r="CA967" s="198">
        <v>5.2441000000000004</v>
      </c>
      <c r="CB967" s="198">
        <v>1.4330000000000001</v>
      </c>
      <c r="CC967" s="198">
        <v>6.6909999999999998</v>
      </c>
      <c r="CD967" s="198">
        <v>0.62536000000000003</v>
      </c>
      <c r="CF967" s="1051">
        <v>43823</v>
      </c>
      <c r="CG967" s="198">
        <v>5.8349000000000002</v>
      </c>
      <c r="CH967" s="198">
        <v>1.1516999999999999</v>
      </c>
      <c r="CI967" s="198">
        <v>7.3417000000000003</v>
      </c>
      <c r="CL967" s="1051">
        <v>43851</v>
      </c>
      <c r="CM967" s="198">
        <v>21.1432</v>
      </c>
      <c r="CN967" s="198">
        <v>2.0583999999999998</v>
      </c>
      <c r="CO967" s="198">
        <v>9.1364000000000001</v>
      </c>
    </row>
    <row r="968" spans="1:93" s="198" customFormat="1">
      <c r="A968" s="1051">
        <v>43823</v>
      </c>
      <c r="B968" s="1052">
        <f t="shared" si="152"/>
        <v>6.2157999999999998</v>
      </c>
      <c r="C968" s="1052">
        <f t="shared" si="154"/>
        <v>6.1417000000000002</v>
      </c>
      <c r="D968" s="1052">
        <f t="shared" si="148"/>
        <v>13.767200000000001</v>
      </c>
      <c r="E968" s="1052">
        <f t="shared" si="149"/>
        <v>9.734</v>
      </c>
      <c r="F968" s="1052">
        <f t="shared" si="150"/>
        <v>10.361499999999999</v>
      </c>
      <c r="G968" s="1052">
        <f t="shared" si="151"/>
        <v>5.9875999999999996</v>
      </c>
      <c r="H968" s="1047">
        <f t="shared" si="155"/>
        <v>9.734</v>
      </c>
      <c r="I968" s="1048">
        <f t="shared" si="153"/>
        <v>-0.36143414834600374</v>
      </c>
      <c r="J968" s="1048">
        <f t="shared" si="156"/>
        <v>0.12093838824177333</v>
      </c>
      <c r="K968" s="1048">
        <f t="shared" ref="K968:K1031" si="157">K967</f>
        <v>0.1</v>
      </c>
      <c r="L968" s="1048"/>
      <c r="N968" s="1051">
        <v>43823</v>
      </c>
      <c r="O968" s="1053">
        <v>6.2157999999999998</v>
      </c>
      <c r="P968" s="1053">
        <v>1.0187999999999999</v>
      </c>
      <c r="Q968" s="1053">
        <v>7.5945999999999998</v>
      </c>
      <c r="R968" s="1054">
        <f>'B. PE'!$U$23</f>
        <v>15.978235616082999</v>
      </c>
      <c r="S968" s="1054"/>
      <c r="T968" s="1054"/>
      <c r="V968" s="1051">
        <v>43823</v>
      </c>
      <c r="W968" s="198">
        <v>6.1417000000000002</v>
      </c>
      <c r="X968" s="198">
        <v>0.44330000000000003</v>
      </c>
      <c r="Y968" s="198">
        <v>5.1703999999999999</v>
      </c>
      <c r="Z968" s="198">
        <v>0.27603</v>
      </c>
      <c r="AB968" s="1051">
        <v>43784</v>
      </c>
      <c r="AC968" s="198">
        <v>14.175800000000001</v>
      </c>
      <c r="AD968" s="1053">
        <v>1.0728</v>
      </c>
      <c r="AE968" s="198">
        <v>7.3586</v>
      </c>
      <c r="AF968" s="198">
        <v>2.273E-2</v>
      </c>
      <c r="AH968" s="1051">
        <v>43784</v>
      </c>
      <c r="AI968" s="198">
        <v>12.1455</v>
      </c>
      <c r="AJ968" s="198">
        <v>2.1585999999999999</v>
      </c>
      <c r="AK968" s="198">
        <v>6.9150999999999998</v>
      </c>
      <c r="AL968" s="198">
        <v>2.521E-2</v>
      </c>
      <c r="AN968" s="1051">
        <v>43796</v>
      </c>
      <c r="AO968" s="198">
        <v>8.6745000000000001</v>
      </c>
      <c r="AP968" s="198">
        <v>0.78200000000000003</v>
      </c>
      <c r="AQ968" s="198">
        <v>5.9992999999999999</v>
      </c>
      <c r="AR968" s="198">
        <v>0.16778999999999999</v>
      </c>
      <c r="AT968" s="1051">
        <v>43731</v>
      </c>
      <c r="AU968" s="198">
        <v>7.2554999999999996</v>
      </c>
      <c r="AV968" s="198">
        <v>0.4743</v>
      </c>
      <c r="AX968" s="198">
        <v>0.11695</v>
      </c>
      <c r="BA968" s="1051">
        <v>43777</v>
      </c>
      <c r="BB968" s="198">
        <v>6.8716999999999997</v>
      </c>
      <c r="BC968" s="198">
        <v>1.3180000000000001</v>
      </c>
      <c r="BD968" s="198">
        <v>7.6002000000000001</v>
      </c>
      <c r="BE968" s="198">
        <v>0.28215000000000001</v>
      </c>
      <c r="BG968" s="1051">
        <v>43777</v>
      </c>
      <c r="BH968" s="198">
        <v>10.914199999999999</v>
      </c>
      <c r="BI968" s="198">
        <v>2.1663000000000001</v>
      </c>
      <c r="BJ968" s="198">
        <v>15.8139</v>
      </c>
      <c r="BT968" s="1051">
        <v>43823</v>
      </c>
      <c r="BU968" s="198">
        <v>13.3759</v>
      </c>
      <c r="BV968" s="198">
        <v>4.3677000000000001</v>
      </c>
      <c r="BW968" s="198">
        <v>8.4316999999999993</v>
      </c>
      <c r="BX968" s="198">
        <v>1.5922000000000001</v>
      </c>
      <c r="BZ968" s="1051">
        <v>43823</v>
      </c>
      <c r="CA968" s="198">
        <v>5.1997999999999998</v>
      </c>
      <c r="CB968" s="198">
        <v>1.4209000000000001</v>
      </c>
      <c r="CC968" s="198">
        <v>6.6584000000000003</v>
      </c>
      <c r="CD968" s="198">
        <v>0.66535999999999995</v>
      </c>
      <c r="CF968" s="1051">
        <v>43822</v>
      </c>
      <c r="CG968" s="198">
        <v>5.9675000000000002</v>
      </c>
      <c r="CH968" s="198">
        <v>1.1778999999999999</v>
      </c>
      <c r="CI968" s="198">
        <v>7.4207000000000001</v>
      </c>
      <c r="CL968" s="1051">
        <v>43850</v>
      </c>
      <c r="CM968" s="198">
        <v>21.274999999999999</v>
      </c>
      <c r="CN968" s="198">
        <v>2.0712000000000002</v>
      </c>
      <c r="CO968" s="198">
        <v>9.1938999999999993</v>
      </c>
    </row>
    <row r="969" spans="1:93" s="198" customFormat="1">
      <c r="A969" s="1051">
        <v>43822</v>
      </c>
      <c r="B969" s="1052">
        <f t="shared" si="152"/>
        <v>6.2301000000000002</v>
      </c>
      <c r="C969" s="1052">
        <f t="shared" si="154"/>
        <v>6.1417000000000002</v>
      </c>
      <c r="D969" s="1052">
        <f t="shared" si="148"/>
        <v>13.629200000000001</v>
      </c>
      <c r="E969" s="1052">
        <f t="shared" si="149"/>
        <v>9.8664000000000005</v>
      </c>
      <c r="F969" s="1052">
        <f t="shared" si="150"/>
        <v>10.8451</v>
      </c>
      <c r="G969" s="1052">
        <f t="shared" si="151"/>
        <v>5.9474</v>
      </c>
      <c r="H969" s="1047">
        <f t="shared" si="155"/>
        <v>9.8664000000000005</v>
      </c>
      <c r="I969" s="1048">
        <f t="shared" si="153"/>
        <v>-0.36855387983459009</v>
      </c>
      <c r="J969" s="1048">
        <f t="shared" si="156"/>
        <v>0.12093838824177333</v>
      </c>
      <c r="K969" s="1048">
        <f t="shared" si="157"/>
        <v>0.1</v>
      </c>
      <c r="L969" s="1048"/>
      <c r="N969" s="1051">
        <v>43822</v>
      </c>
      <c r="O969" s="1053">
        <v>6.2301000000000002</v>
      </c>
      <c r="P969" s="1053">
        <v>1.0212000000000001</v>
      </c>
      <c r="Q969" s="1053">
        <v>7.6056999999999997</v>
      </c>
      <c r="R969" s="1054">
        <f>'B. PE'!$U$23</f>
        <v>15.978235616082999</v>
      </c>
      <c r="S969" s="1054"/>
      <c r="T969" s="1054"/>
      <c r="V969" s="1051">
        <v>43822</v>
      </c>
      <c r="W969" s="198">
        <v>6.1417000000000002</v>
      </c>
      <c r="X969" s="198">
        <v>0.44330000000000003</v>
      </c>
      <c r="Y969" s="198">
        <v>5.1703999999999999</v>
      </c>
      <c r="Z969" s="198">
        <v>0.27572000000000002</v>
      </c>
      <c r="AB969" s="1051">
        <v>43783</v>
      </c>
      <c r="AC969" s="198">
        <v>14.3104</v>
      </c>
      <c r="AD969" s="1053">
        <v>1.083</v>
      </c>
      <c r="AE969" s="198">
        <v>7.4067999999999996</v>
      </c>
      <c r="AF969" s="198">
        <v>2.2919999999999999E-2</v>
      </c>
      <c r="AH969" s="1051">
        <v>43783</v>
      </c>
      <c r="AI969" s="198">
        <v>12.076499999999999</v>
      </c>
      <c r="AJ969" s="198">
        <v>2.1463999999999999</v>
      </c>
      <c r="AK969" s="198">
        <v>6.8789999999999996</v>
      </c>
      <c r="AL969" s="198">
        <v>2.6249999999999999E-2</v>
      </c>
      <c r="AN969" s="1051">
        <v>43795</v>
      </c>
      <c r="AO969" s="198">
        <v>8.8732000000000006</v>
      </c>
      <c r="AP969" s="198">
        <v>0.79990000000000006</v>
      </c>
      <c r="AQ969" s="198">
        <v>6.1555</v>
      </c>
      <c r="AR969" s="198">
        <v>0.16178999999999999</v>
      </c>
      <c r="AT969" s="1051">
        <v>43728</v>
      </c>
      <c r="AU969" s="198">
        <v>7.4775999999999998</v>
      </c>
      <c r="AV969" s="198">
        <v>0.48880000000000001</v>
      </c>
      <c r="AX969" s="198">
        <v>0.12077</v>
      </c>
      <c r="BA969" s="1051">
        <v>43776</v>
      </c>
      <c r="BB969" s="198">
        <v>6.9119000000000002</v>
      </c>
      <c r="BC969" s="198">
        <v>1.3257000000000001</v>
      </c>
      <c r="BD969" s="198">
        <v>7.6281999999999996</v>
      </c>
      <c r="BE969" s="198">
        <v>0.28100999999999998</v>
      </c>
      <c r="BG969" s="1051">
        <v>43776</v>
      </c>
      <c r="BH969" s="198">
        <v>10.914199999999999</v>
      </c>
      <c r="BI969" s="198">
        <v>2.1663000000000001</v>
      </c>
      <c r="BJ969" s="198">
        <v>15.8139</v>
      </c>
      <c r="BT969" s="1051">
        <v>43822</v>
      </c>
      <c r="BU969" s="198">
        <v>13.3398</v>
      </c>
      <c r="BV969" s="198">
        <v>4.3559000000000001</v>
      </c>
      <c r="BW969" s="198">
        <v>8.4099000000000004</v>
      </c>
      <c r="BX969" s="198">
        <v>1.5824</v>
      </c>
      <c r="BZ969" s="1051">
        <v>43822</v>
      </c>
      <c r="CA969" s="198">
        <v>5.5316999999999998</v>
      </c>
      <c r="CB969" s="198">
        <v>1.5116000000000001</v>
      </c>
      <c r="CC969" s="198">
        <v>6.9024999999999999</v>
      </c>
      <c r="CD969" s="198">
        <v>0.66671999999999998</v>
      </c>
      <c r="CF969" s="1051">
        <v>43819</v>
      </c>
      <c r="CI969" s="198">
        <v>7.2100999999999997</v>
      </c>
      <c r="CL969" s="1051">
        <v>43847</v>
      </c>
      <c r="CM969" s="198">
        <v>21.482099999999999</v>
      </c>
      <c r="CN969" s="198">
        <v>2.0914000000000001</v>
      </c>
      <c r="CO969" s="198">
        <v>9.2841000000000005</v>
      </c>
    </row>
    <row r="970" spans="1:93" s="198" customFormat="1">
      <c r="A970" s="1051">
        <v>43819</v>
      </c>
      <c r="B970" s="1052">
        <f t="shared" si="152"/>
        <v>6.5022000000000002</v>
      </c>
      <c r="C970" s="1052">
        <f t="shared" si="154"/>
        <v>6.1417000000000002</v>
      </c>
      <c r="D970" s="1052">
        <f t="shared" ref="D970:D1033" si="158">IFERROR(          IF(VLOOKUP(A970,$AH$5:$AI$1301,2,)=0,D969,VLOOKUP(A970,$AH$5:$AI$1301,2,)),D969)</f>
        <v>13.6982</v>
      </c>
      <c r="E970" s="1052">
        <f t="shared" ref="E970:E1033" si="159">IFERROR(IF(VLOOKUP(A970,$AN$5:$AO$1301,2,)=0, E969, VLOOKUP(A970,$AN$5:$AO$1301,2,)),E969)</f>
        <v>9.8002000000000002</v>
      </c>
      <c r="F970" s="1052">
        <f t="shared" ref="F970:F1033" si="160">IFERROR(IF(VLOOKUP(A970,$BG$5:$BH$1301,2,)=0,F969,VLOOKUP(A970,$BG$5:$BH$1301,2,)),F969)</f>
        <v>10.776</v>
      </c>
      <c r="G970" s="1052">
        <f t="shared" ref="G970:G1033" si="161">IFERROR(IF(VLOOKUP(A970,$BA$5:$BB$1301,2,)=0,G969,VLOOKUP(A970,$BA$5:$BB$1301,2,)),G969)</f>
        <v>6.1082000000000001</v>
      </c>
      <c r="H970" s="1047">
        <f t="shared" si="155"/>
        <v>9.8002000000000002</v>
      </c>
      <c r="I970" s="1048">
        <f t="shared" si="153"/>
        <v>-0.33652374441337929</v>
      </c>
      <c r="J970" s="1048">
        <f t="shared" si="156"/>
        <v>0.12093838824177333</v>
      </c>
      <c r="K970" s="1048">
        <f t="shared" si="157"/>
        <v>0.1</v>
      </c>
      <c r="L970" s="1048"/>
      <c r="N970" s="1051">
        <v>43819</v>
      </c>
      <c r="O970" s="1053">
        <v>6.5022000000000002</v>
      </c>
      <c r="P970" s="1053">
        <v>1.0658000000000001</v>
      </c>
      <c r="Q970" s="1053">
        <v>7.8163</v>
      </c>
      <c r="R970" s="1054">
        <f>'B. PE'!$U$23</f>
        <v>15.978235616082999</v>
      </c>
      <c r="S970" s="1054"/>
      <c r="T970" s="1054"/>
      <c r="V970" s="1051">
        <v>43819</v>
      </c>
      <c r="W970" s="198">
        <v>6.1417000000000002</v>
      </c>
      <c r="X970" s="198">
        <v>0.44330000000000003</v>
      </c>
      <c r="Y970" s="198">
        <v>5.1703999999999999</v>
      </c>
      <c r="Z970" s="198">
        <v>0.27787000000000001</v>
      </c>
      <c r="AB970" s="1051">
        <v>43782</v>
      </c>
      <c r="AC970" s="198">
        <v>14.4001</v>
      </c>
      <c r="AD970" s="1053">
        <v>1.0898000000000001</v>
      </c>
      <c r="AE970" s="198">
        <v>7.4390000000000001</v>
      </c>
      <c r="AF970" s="198">
        <v>2.281E-2</v>
      </c>
      <c r="AH970" s="1051">
        <v>43782</v>
      </c>
      <c r="AI970" s="198">
        <v>12.2836</v>
      </c>
      <c r="AJ970" s="198">
        <v>2.1831999999999998</v>
      </c>
      <c r="AK970" s="198">
        <v>6.9873000000000003</v>
      </c>
      <c r="AL970" s="198">
        <v>2.6290000000000001E-2</v>
      </c>
      <c r="AN970" s="1051">
        <v>43794</v>
      </c>
      <c r="AO970" s="198">
        <v>9.2705000000000002</v>
      </c>
      <c r="AP970" s="198">
        <v>0.83579999999999999</v>
      </c>
      <c r="AQ970" s="198">
        <v>6.4679000000000002</v>
      </c>
      <c r="AR970" s="198">
        <v>0.16325000000000001</v>
      </c>
      <c r="AT970" s="1051">
        <v>43727</v>
      </c>
      <c r="AU970" s="198">
        <v>7.2554999999999996</v>
      </c>
      <c r="AV970" s="198">
        <v>0.4743</v>
      </c>
      <c r="AX970" s="198">
        <v>0.1206</v>
      </c>
      <c r="BA970" s="1051">
        <v>43775</v>
      </c>
      <c r="BB970" s="198">
        <v>6.8716999999999997</v>
      </c>
      <c r="BC970" s="198">
        <v>1.3180000000000001</v>
      </c>
      <c r="BD970" s="198">
        <v>7.6002000000000001</v>
      </c>
      <c r="BE970" s="198">
        <v>0.27967999999999998</v>
      </c>
      <c r="BG970" s="1051">
        <v>43775</v>
      </c>
      <c r="BH970" s="198">
        <v>10.8451</v>
      </c>
      <c r="BI970" s="198">
        <v>2.1526000000000001</v>
      </c>
      <c r="BJ970" s="198">
        <v>15.7508</v>
      </c>
      <c r="BT970" s="1051">
        <v>43819</v>
      </c>
      <c r="BU970" s="198">
        <v>13.303800000000001</v>
      </c>
      <c r="BV970" s="198">
        <v>4.3441000000000001</v>
      </c>
      <c r="BW970" s="198">
        <v>8.3880999999999997</v>
      </c>
      <c r="BX970" s="198">
        <v>1.5822000000000001</v>
      </c>
      <c r="BZ970" s="1051">
        <v>43819</v>
      </c>
      <c r="CA970" s="198">
        <v>5.8857999999999997</v>
      </c>
      <c r="CB970" s="198">
        <v>1.6083000000000001</v>
      </c>
      <c r="CC970" s="198">
        <v>7.1628999999999996</v>
      </c>
      <c r="CD970" s="198">
        <v>0.66540999999999995</v>
      </c>
      <c r="CF970" s="1051">
        <v>43818</v>
      </c>
      <c r="CG970" s="198">
        <v>5.6139000000000001</v>
      </c>
      <c r="CH970" s="198">
        <v>1.1081000000000001</v>
      </c>
      <c r="CI970" s="198">
        <v>7.2100999999999997</v>
      </c>
      <c r="CL970" s="1051">
        <v>43846</v>
      </c>
      <c r="CM970" s="198">
        <v>21.274999999999999</v>
      </c>
      <c r="CN970" s="198">
        <v>2.0712000000000002</v>
      </c>
      <c r="CO970" s="198">
        <v>9.1938999999999993</v>
      </c>
    </row>
    <row r="971" spans="1:93" s="198" customFormat="1">
      <c r="A971" s="1051">
        <v>43818</v>
      </c>
      <c r="B971" s="1052">
        <f t="shared" si="152"/>
        <v>6.5022000000000002</v>
      </c>
      <c r="C971" s="1052">
        <f t="shared" si="154"/>
        <v>6.1336000000000004</v>
      </c>
      <c r="D971" s="1052">
        <f t="shared" si="158"/>
        <v>13.9398</v>
      </c>
      <c r="E971" s="1052">
        <f t="shared" si="159"/>
        <v>9.8002000000000002</v>
      </c>
      <c r="F971" s="1052">
        <f t="shared" si="160"/>
        <v>10.499700000000001</v>
      </c>
      <c r="G971" s="1052">
        <f t="shared" si="161"/>
        <v>6.1082000000000001</v>
      </c>
      <c r="H971" s="1047">
        <f t="shared" si="155"/>
        <v>9.8002000000000002</v>
      </c>
      <c r="I971" s="1048">
        <f t="shared" si="153"/>
        <v>-0.33652374441337929</v>
      </c>
      <c r="J971" s="1048">
        <f t="shared" si="156"/>
        <v>0.12093838824177333</v>
      </c>
      <c r="K971" s="1048">
        <f t="shared" si="157"/>
        <v>0.1</v>
      </c>
      <c r="L971" s="1048"/>
      <c r="N971" s="1051">
        <v>43818</v>
      </c>
      <c r="O971" s="1053">
        <v>6.5022000000000002</v>
      </c>
      <c r="P971" s="1053">
        <v>1.0658000000000001</v>
      </c>
      <c r="Q971" s="1053">
        <v>7.8163</v>
      </c>
      <c r="R971" s="1054">
        <f>'B. PE'!$U$23</f>
        <v>15.978235616082999</v>
      </c>
      <c r="S971" s="1054"/>
      <c r="T971" s="1054"/>
      <c r="V971" s="1051">
        <v>43818</v>
      </c>
      <c r="W971" s="198">
        <v>6.1336000000000004</v>
      </c>
      <c r="X971" s="198">
        <v>0.44280000000000003</v>
      </c>
      <c r="Y971" s="198">
        <v>5.1670999999999996</v>
      </c>
      <c r="Z971" s="198">
        <v>0.27784999999999999</v>
      </c>
      <c r="AB971" s="1051">
        <v>43781</v>
      </c>
      <c r="AC971" s="198">
        <v>14.4899</v>
      </c>
      <c r="AD971" s="1053">
        <v>1.0966</v>
      </c>
      <c r="AE971" s="198">
        <v>7.4710999999999999</v>
      </c>
      <c r="AF971" s="198">
        <v>2.333E-2</v>
      </c>
      <c r="AH971" s="1051">
        <v>43781</v>
      </c>
      <c r="AI971" s="198">
        <v>12.7666</v>
      </c>
      <c r="AJ971" s="198">
        <v>2.2690000000000001</v>
      </c>
      <c r="AK971" s="198">
        <v>7.2401</v>
      </c>
      <c r="AL971" s="198">
        <v>2.547E-2</v>
      </c>
      <c r="AN971" s="1051">
        <v>43791</v>
      </c>
      <c r="AO971" s="198">
        <v>8.9393999999999991</v>
      </c>
      <c r="AP971" s="198">
        <v>0.80589999999999995</v>
      </c>
      <c r="AQ971" s="198">
        <v>6.2074999999999996</v>
      </c>
      <c r="AR971" s="198">
        <v>0.17165</v>
      </c>
      <c r="AT971" s="1051">
        <v>43726</v>
      </c>
      <c r="AU971" s="198">
        <v>7.4775999999999998</v>
      </c>
      <c r="AV971" s="198">
        <v>0.48880000000000001</v>
      </c>
      <c r="AX971" s="198">
        <v>0.11874999999999999</v>
      </c>
      <c r="BA971" s="1051">
        <v>43774</v>
      </c>
      <c r="BB971" s="198">
        <v>6.8315000000000001</v>
      </c>
      <c r="BC971" s="198">
        <v>1.3103</v>
      </c>
      <c r="BD971" s="198">
        <v>7.5721999999999996</v>
      </c>
      <c r="BE971" s="198">
        <v>0.28005000000000002</v>
      </c>
      <c r="BG971" s="1051">
        <v>43774</v>
      </c>
      <c r="BH971" s="198">
        <v>10.914199999999999</v>
      </c>
      <c r="BI971" s="198">
        <v>2.1663000000000001</v>
      </c>
      <c r="BJ971" s="198">
        <v>15.8139</v>
      </c>
      <c r="BT971" s="1051">
        <v>43818</v>
      </c>
      <c r="BU971" s="198">
        <v>13.2196</v>
      </c>
      <c r="BV971" s="198">
        <v>4.3167</v>
      </c>
      <c r="BW971" s="198">
        <v>8.3371999999999993</v>
      </c>
      <c r="BX971" s="198">
        <v>1.6295999999999999</v>
      </c>
      <c r="BZ971" s="1051">
        <v>43818</v>
      </c>
      <c r="CA971" s="198">
        <v>5.8967999999999998</v>
      </c>
      <c r="CB971" s="198">
        <v>1.6113</v>
      </c>
      <c r="CC971" s="198">
        <v>7.1710000000000003</v>
      </c>
      <c r="CD971" s="198">
        <v>0.66661000000000004</v>
      </c>
      <c r="CF971" s="1051">
        <v>43817</v>
      </c>
      <c r="CG971" s="198">
        <v>5.5255000000000001</v>
      </c>
      <c r="CH971" s="198">
        <v>1.0907</v>
      </c>
      <c r="CI971" s="198">
        <v>7.1574999999999998</v>
      </c>
      <c r="CL971" s="1051">
        <v>43845</v>
      </c>
      <c r="CM971" s="198">
        <v>21.105599999999999</v>
      </c>
      <c r="CN971" s="198">
        <v>2.0547</v>
      </c>
      <c r="CO971" s="198">
        <v>9.1199999999999992</v>
      </c>
    </row>
    <row r="972" spans="1:93" s="198" customFormat="1">
      <c r="A972" s="1051">
        <v>43817</v>
      </c>
      <c r="B972" s="1052">
        <f t="shared" si="152"/>
        <v>6.4162999999999997</v>
      </c>
      <c r="C972" s="1052">
        <f t="shared" si="154"/>
        <v>6.1821000000000002</v>
      </c>
      <c r="D972" s="1052">
        <f t="shared" si="158"/>
        <v>13.870799999999999</v>
      </c>
      <c r="E972" s="1052">
        <f t="shared" si="159"/>
        <v>9.9327000000000005</v>
      </c>
      <c r="F972" s="1052">
        <f t="shared" si="160"/>
        <v>10.2234</v>
      </c>
      <c r="G972" s="1052">
        <f t="shared" si="161"/>
        <v>6.0278</v>
      </c>
      <c r="H972" s="1047">
        <f t="shared" si="155"/>
        <v>9.9327000000000005</v>
      </c>
      <c r="I972" s="1048">
        <f t="shared" si="153"/>
        <v>-0.35402257190894726</v>
      </c>
      <c r="J972" s="1048">
        <f t="shared" si="156"/>
        <v>0.12093838824177333</v>
      </c>
      <c r="K972" s="1048">
        <f t="shared" si="157"/>
        <v>0.1</v>
      </c>
      <c r="L972" s="1048"/>
      <c r="N972" s="1051">
        <v>43817</v>
      </c>
      <c r="O972" s="1053">
        <v>6.4162999999999997</v>
      </c>
      <c r="P972" s="1053">
        <v>1.0517000000000001</v>
      </c>
      <c r="Q972" s="1053">
        <v>7.7497999999999996</v>
      </c>
      <c r="R972" s="1054">
        <f>'B. PE'!$U$23</f>
        <v>15.978235616082999</v>
      </c>
      <c r="S972" s="1054"/>
      <c r="T972" s="1054"/>
      <c r="V972" s="1051">
        <v>43817</v>
      </c>
      <c r="W972" s="198">
        <v>6.1821000000000002</v>
      </c>
      <c r="X972" s="198">
        <v>0.44629999999999997</v>
      </c>
      <c r="Y972" s="198">
        <v>5.1867000000000001</v>
      </c>
      <c r="Z972" s="198">
        <v>0.27711000000000002</v>
      </c>
      <c r="AB972" s="1051">
        <v>43780</v>
      </c>
      <c r="AC972" s="198">
        <v>14.4001</v>
      </c>
      <c r="AD972" s="1053">
        <v>1.0898000000000001</v>
      </c>
      <c r="AE972" s="198">
        <v>7.4390000000000001</v>
      </c>
      <c r="AF972" s="198">
        <v>2.2720000000000001E-2</v>
      </c>
      <c r="AH972" s="1051">
        <v>43780</v>
      </c>
      <c r="AI972" s="198">
        <v>12.7666</v>
      </c>
      <c r="AJ972" s="198">
        <v>2.2690000000000001</v>
      </c>
      <c r="AK972" s="198">
        <v>7.2401</v>
      </c>
      <c r="AL972" s="198">
        <v>2.529E-2</v>
      </c>
      <c r="AN972" s="1051">
        <v>43790</v>
      </c>
      <c r="AO972" s="198">
        <v>9.0055999999999994</v>
      </c>
      <c r="AP972" s="198">
        <v>0.81189999999999996</v>
      </c>
      <c r="AQ972" s="198">
        <v>6.2595999999999998</v>
      </c>
      <c r="AR972" s="198">
        <v>0.17197000000000001</v>
      </c>
      <c r="AT972" s="1051">
        <v>43725</v>
      </c>
      <c r="AU972" s="198">
        <v>7.4775999999999998</v>
      </c>
      <c r="AV972" s="198">
        <v>0.48880000000000001</v>
      </c>
      <c r="AX972" s="198">
        <v>0.11762</v>
      </c>
      <c r="BA972" s="1051">
        <v>43773</v>
      </c>
      <c r="BB972" s="198">
        <v>6.7912999999999997</v>
      </c>
      <c r="BC972" s="198">
        <v>1.3026</v>
      </c>
      <c r="BD972" s="198">
        <v>7.5442</v>
      </c>
      <c r="BE972" s="198">
        <v>0.28156999999999999</v>
      </c>
      <c r="BG972" s="1051">
        <v>43773</v>
      </c>
      <c r="BH972" s="198">
        <v>10.2234</v>
      </c>
      <c r="BI972" s="198">
        <v>2.0291999999999999</v>
      </c>
      <c r="BJ972" s="198">
        <v>15.1831</v>
      </c>
      <c r="BT972" s="1051">
        <v>43817</v>
      </c>
      <c r="BU972" s="198">
        <v>13.2196</v>
      </c>
      <c r="BV972" s="198">
        <v>4.3167</v>
      </c>
      <c r="BW972" s="198">
        <v>8.3371999999999993</v>
      </c>
      <c r="BX972" s="198">
        <v>1.6281000000000001</v>
      </c>
      <c r="BZ972" s="1051">
        <v>43817</v>
      </c>
      <c r="CA972" s="198">
        <v>5.8857999999999997</v>
      </c>
      <c r="CB972" s="198">
        <v>1.6083000000000001</v>
      </c>
      <c r="CC972" s="198">
        <v>7.1628999999999996</v>
      </c>
      <c r="CD972" s="198">
        <v>0.67783000000000004</v>
      </c>
      <c r="CF972" s="1051">
        <v>43816</v>
      </c>
      <c r="CI972" s="198">
        <v>7.1574999999999998</v>
      </c>
      <c r="CL972" s="1051">
        <v>43844</v>
      </c>
      <c r="CM972" s="198">
        <v>21.049099999999999</v>
      </c>
      <c r="CN972" s="198">
        <v>2.0491999999999999</v>
      </c>
      <c r="CO972" s="198">
        <v>9.0953999999999997</v>
      </c>
    </row>
    <row r="973" spans="1:93" s="198" customFormat="1">
      <c r="A973" s="1051">
        <v>43816</v>
      </c>
      <c r="B973" s="1052">
        <f t="shared" si="152"/>
        <v>6.5881999999999996</v>
      </c>
      <c r="C973" s="1052">
        <f t="shared" si="154"/>
        <v>6.1821000000000002</v>
      </c>
      <c r="D973" s="1052">
        <f t="shared" si="158"/>
        <v>13.6637</v>
      </c>
      <c r="E973" s="1052">
        <f t="shared" si="159"/>
        <v>9.6677999999999997</v>
      </c>
      <c r="F973" s="1052">
        <f t="shared" si="160"/>
        <v>10.2925</v>
      </c>
      <c r="G973" s="1052">
        <f t="shared" si="161"/>
        <v>5.8670999999999998</v>
      </c>
      <c r="H973" s="1047">
        <f t="shared" si="155"/>
        <v>9.6677999999999997</v>
      </c>
      <c r="I973" s="1048">
        <f t="shared" si="153"/>
        <v>-0.31854196404559465</v>
      </c>
      <c r="J973" s="1048">
        <f t="shared" si="156"/>
        <v>0.12093838824177333</v>
      </c>
      <c r="K973" s="1048">
        <f t="shared" si="157"/>
        <v>0.1</v>
      </c>
      <c r="L973" s="1048"/>
      <c r="N973" s="1051">
        <v>43816</v>
      </c>
      <c r="O973" s="1053">
        <v>6.5881999999999996</v>
      </c>
      <c r="P973" s="1053">
        <v>1.0799000000000001</v>
      </c>
      <c r="Q973" s="1053">
        <v>7.8827999999999996</v>
      </c>
      <c r="R973" s="1054">
        <f>'B. PE'!$U$23</f>
        <v>15.978235616082999</v>
      </c>
      <c r="S973" s="1054"/>
      <c r="T973" s="1054"/>
      <c r="V973" s="1051">
        <v>43816</v>
      </c>
      <c r="W973" s="198">
        <v>6.1821000000000002</v>
      </c>
      <c r="X973" s="198">
        <v>0.44629999999999997</v>
      </c>
      <c r="Y973" s="198">
        <v>5.1867000000000001</v>
      </c>
      <c r="Z973" s="198">
        <v>0.27642</v>
      </c>
      <c r="AB973" s="1051">
        <v>43777</v>
      </c>
      <c r="AC973" s="198">
        <v>14.6693</v>
      </c>
      <c r="AD973" s="1053">
        <v>1.1102000000000001</v>
      </c>
      <c r="AE973" s="198">
        <v>7.5354000000000001</v>
      </c>
      <c r="AF973" s="198">
        <v>2.2839999999999999E-2</v>
      </c>
      <c r="AH973" s="1051">
        <v>43777</v>
      </c>
      <c r="AI973" s="198">
        <v>12.318099999999999</v>
      </c>
      <c r="AJ973" s="198">
        <v>2.1892999999999998</v>
      </c>
      <c r="AK973" s="198">
        <v>7.0053999999999998</v>
      </c>
      <c r="AL973" s="198">
        <v>2.5260000000000001E-2</v>
      </c>
      <c r="AN973" s="1051">
        <v>43789</v>
      </c>
      <c r="AO973" s="198">
        <v>9.4690999999999992</v>
      </c>
      <c r="AP973" s="198">
        <v>0.85370000000000001</v>
      </c>
      <c r="AQ973" s="198">
        <v>6.6241000000000003</v>
      </c>
      <c r="AR973" s="198">
        <v>0.17444999999999999</v>
      </c>
      <c r="AT973" s="1051">
        <v>43721</v>
      </c>
      <c r="AU973" s="198">
        <v>7.3295000000000003</v>
      </c>
      <c r="AV973" s="198">
        <v>0.47910000000000003</v>
      </c>
      <c r="AX973" s="198">
        <v>0.11737</v>
      </c>
      <c r="BA973" s="1051">
        <v>43770</v>
      </c>
      <c r="BB973" s="198">
        <v>6.7912999999999997</v>
      </c>
      <c r="BC973" s="198">
        <v>1.3026</v>
      </c>
      <c r="BD973" s="198">
        <v>7.5442</v>
      </c>
      <c r="BE973" s="198">
        <v>0.28273999999999999</v>
      </c>
      <c r="BG973" s="1051">
        <v>43770</v>
      </c>
      <c r="BH973" s="198">
        <v>9.8780000000000001</v>
      </c>
      <c r="BI973" s="198">
        <v>1.9605999999999999</v>
      </c>
      <c r="BJ973" s="198">
        <v>14.867699999999999</v>
      </c>
      <c r="BT973" s="1051">
        <v>43816</v>
      </c>
      <c r="BU973" s="198">
        <v>13.616199999999999</v>
      </c>
      <c r="BV973" s="198">
        <v>4.4462000000000002</v>
      </c>
      <c r="BW973" s="198">
        <v>8.5770999999999997</v>
      </c>
      <c r="BX973" s="198">
        <v>1.6254</v>
      </c>
      <c r="BZ973" s="1051">
        <v>43816</v>
      </c>
      <c r="CA973" s="198">
        <v>5.8967999999999998</v>
      </c>
      <c r="CB973" s="198">
        <v>1.6113</v>
      </c>
      <c r="CC973" s="198">
        <v>7.1710000000000003</v>
      </c>
      <c r="CD973" s="198">
        <v>0.67666999999999999</v>
      </c>
      <c r="CF973" s="1051">
        <v>43815</v>
      </c>
      <c r="CI973" s="198">
        <v>7.1574999999999998</v>
      </c>
      <c r="CL973" s="1051">
        <v>43843</v>
      </c>
      <c r="CM973" s="198">
        <v>20.597300000000001</v>
      </c>
      <c r="CN973" s="198">
        <v>2.0051999999999999</v>
      </c>
      <c r="CO973" s="198">
        <v>8.8984000000000005</v>
      </c>
    </row>
    <row r="974" spans="1:93" s="198" customFormat="1">
      <c r="A974" s="1051">
        <v>43815</v>
      </c>
      <c r="B974" s="1052">
        <f t="shared" si="152"/>
        <v>6.76</v>
      </c>
      <c r="C974" s="1052">
        <f t="shared" si="154"/>
        <v>6.1660000000000004</v>
      </c>
      <c r="D974" s="1052">
        <f t="shared" si="158"/>
        <v>14.008800000000001</v>
      </c>
      <c r="E974" s="1052">
        <f t="shared" si="159"/>
        <v>9.6677999999999997</v>
      </c>
      <c r="F974" s="1052">
        <f t="shared" si="160"/>
        <v>10.2234</v>
      </c>
      <c r="G974" s="1052">
        <f t="shared" si="161"/>
        <v>5.8670999999999998</v>
      </c>
      <c r="H974" s="1047">
        <f t="shared" si="155"/>
        <v>9.6677999999999997</v>
      </c>
      <c r="I974" s="1048">
        <f t="shared" si="153"/>
        <v>-0.30077163367053517</v>
      </c>
      <c r="J974" s="1048">
        <f t="shared" si="156"/>
        <v>0.12093838824177333</v>
      </c>
      <c r="K974" s="1048">
        <f t="shared" si="157"/>
        <v>0.1</v>
      </c>
      <c r="L974" s="1048"/>
      <c r="N974" s="1051">
        <v>43815</v>
      </c>
      <c r="O974" s="1053">
        <v>6.76</v>
      </c>
      <c r="P974" s="1053">
        <v>1.1081000000000001</v>
      </c>
      <c r="Q974" s="1053">
        <v>8.0158000000000005</v>
      </c>
      <c r="R974" s="1054">
        <f>'B. PE'!$U$23</f>
        <v>15.978235616082999</v>
      </c>
      <c r="S974" s="1054"/>
      <c r="T974" s="1054"/>
      <c r="V974" s="1051">
        <v>43815</v>
      </c>
      <c r="W974" s="198">
        <v>6.1660000000000004</v>
      </c>
      <c r="X974" s="198">
        <v>0.4451</v>
      </c>
      <c r="Y974" s="198">
        <v>5.1802000000000001</v>
      </c>
      <c r="Z974" s="198">
        <v>0.27790999999999999</v>
      </c>
      <c r="AB974" s="1051">
        <v>43776</v>
      </c>
      <c r="AC974" s="198">
        <v>14.265599999999999</v>
      </c>
      <c r="AD974" s="1053">
        <v>1.0795999999999999</v>
      </c>
      <c r="AE974" s="198">
        <v>7.3907999999999996</v>
      </c>
      <c r="AF974" s="198">
        <v>2.3359999999999999E-2</v>
      </c>
      <c r="AH974" s="1051">
        <v>43776</v>
      </c>
      <c r="AI974" s="198">
        <v>12.214600000000001</v>
      </c>
      <c r="AJ974" s="198">
        <v>2.1709000000000001</v>
      </c>
      <c r="AK974" s="198">
        <v>6.9512</v>
      </c>
      <c r="AL974" s="198">
        <v>2.572E-2</v>
      </c>
      <c r="AN974" s="1051">
        <v>43788</v>
      </c>
      <c r="AO974" s="198">
        <v>9.4690999999999992</v>
      </c>
      <c r="AP974" s="198">
        <v>0.85370000000000001</v>
      </c>
      <c r="AQ974" s="198">
        <v>6.6241000000000003</v>
      </c>
      <c r="AR974" s="198">
        <v>0.17221</v>
      </c>
      <c r="AT974" s="1051">
        <v>43720</v>
      </c>
      <c r="AU974" s="198">
        <v>7.2554999999999996</v>
      </c>
      <c r="AV974" s="198">
        <v>0.4743</v>
      </c>
      <c r="AX974" s="198">
        <v>0.1176</v>
      </c>
      <c r="BA974" s="1051">
        <v>43769</v>
      </c>
      <c r="BB974" s="198">
        <v>6.8315000000000001</v>
      </c>
      <c r="BC974" s="198">
        <v>1.3103</v>
      </c>
      <c r="BD974" s="198">
        <v>7.5721999999999996</v>
      </c>
      <c r="BE974" s="198">
        <v>0.28094999999999998</v>
      </c>
      <c r="BG974" s="1051">
        <v>43769</v>
      </c>
      <c r="BH974" s="198">
        <v>10.0162</v>
      </c>
      <c r="BI974" s="198">
        <v>1.988</v>
      </c>
      <c r="BJ974" s="198">
        <v>14.9939</v>
      </c>
      <c r="BT974" s="1051">
        <v>43815</v>
      </c>
      <c r="BU974" s="198">
        <v>13.604200000000001</v>
      </c>
      <c r="BV974" s="198">
        <v>4.4421999999999997</v>
      </c>
      <c r="BW974" s="198">
        <v>8.5699000000000005</v>
      </c>
      <c r="BX974" s="198">
        <v>1.6313</v>
      </c>
      <c r="BZ974" s="1051">
        <v>43815</v>
      </c>
      <c r="CA974" s="198">
        <v>5.9964000000000004</v>
      </c>
      <c r="CB974" s="198">
        <v>1.6385000000000001</v>
      </c>
      <c r="CC974" s="198">
        <v>7.2442000000000002</v>
      </c>
      <c r="CD974" s="198">
        <v>0.67676000000000003</v>
      </c>
      <c r="CF974" s="1051">
        <v>43812</v>
      </c>
      <c r="CI974" s="198">
        <v>7.1574999999999998</v>
      </c>
      <c r="CL974" s="1051">
        <v>43840</v>
      </c>
      <c r="CM974" s="198">
        <v>20.277200000000001</v>
      </c>
      <c r="CN974" s="198">
        <v>1.9741</v>
      </c>
      <c r="CO974" s="198">
        <v>8.7589000000000006</v>
      </c>
    </row>
    <row r="975" spans="1:93" s="198" customFormat="1">
      <c r="A975" s="1051">
        <v>43812</v>
      </c>
      <c r="B975" s="1052">
        <f t="shared" si="152"/>
        <v>6.8173000000000004</v>
      </c>
      <c r="C975" s="1052">
        <f t="shared" si="154"/>
        <v>6.1497999999999999</v>
      </c>
      <c r="D975" s="1052">
        <f t="shared" si="158"/>
        <v>13.8018</v>
      </c>
      <c r="E975" s="1052">
        <f t="shared" si="159"/>
        <v>9.9327000000000005</v>
      </c>
      <c r="F975" s="1052">
        <f t="shared" si="160"/>
        <v>9.6707999999999998</v>
      </c>
      <c r="G975" s="1052">
        <f t="shared" si="161"/>
        <v>5.9875999999999996</v>
      </c>
      <c r="H975" s="1047">
        <f t="shared" si="155"/>
        <v>9.6707999999999998</v>
      </c>
      <c r="I975" s="1048">
        <f t="shared" si="153"/>
        <v>-0.29506349009389088</v>
      </c>
      <c r="J975" s="1048">
        <f t="shared" si="156"/>
        <v>0.12093838824177333</v>
      </c>
      <c r="K975" s="1048">
        <f t="shared" si="157"/>
        <v>0.1</v>
      </c>
      <c r="L975" s="1048"/>
      <c r="N975" s="1051">
        <v>43812</v>
      </c>
      <c r="O975" s="1053">
        <v>6.8173000000000004</v>
      </c>
      <c r="P975" s="1053">
        <v>1.1173999999999999</v>
      </c>
      <c r="Q975" s="1053">
        <v>8.0601000000000003</v>
      </c>
      <c r="R975" s="1054">
        <f>'B. PE'!$U$23</f>
        <v>15.978235616082999</v>
      </c>
      <c r="S975" s="1054"/>
      <c r="T975" s="1054"/>
      <c r="V975" s="1051">
        <v>43812</v>
      </c>
      <c r="W975" s="198">
        <v>6.1497999999999999</v>
      </c>
      <c r="X975" s="198">
        <v>0.44390000000000002</v>
      </c>
      <c r="Y975" s="198">
        <v>5.1736000000000004</v>
      </c>
      <c r="Z975" s="198">
        <v>0.27601999999999999</v>
      </c>
      <c r="AB975" s="1051">
        <v>43775</v>
      </c>
      <c r="AC975" s="198">
        <v>14.4001</v>
      </c>
      <c r="AD975" s="1053">
        <v>1.0898000000000001</v>
      </c>
      <c r="AE975" s="198">
        <v>7.4390000000000001</v>
      </c>
      <c r="AF975" s="198">
        <v>2.2249999999999999E-2</v>
      </c>
      <c r="AH975" s="1051">
        <v>43775</v>
      </c>
      <c r="AI975" s="198">
        <v>12.2491</v>
      </c>
      <c r="AJ975" s="198">
        <v>2.177</v>
      </c>
      <c r="AK975" s="198">
        <v>6.9691999999999998</v>
      </c>
      <c r="AL975" s="198">
        <v>2.4389999999999998E-2</v>
      </c>
      <c r="AN975" s="1051">
        <v>43787</v>
      </c>
      <c r="AO975" s="198">
        <v>9.6015999999999995</v>
      </c>
      <c r="AP975" s="198">
        <v>0.86560000000000004</v>
      </c>
      <c r="AQ975" s="198">
        <v>6.7282000000000002</v>
      </c>
      <c r="AR975" s="198">
        <v>0.17682999999999999</v>
      </c>
      <c r="AT975" s="1051">
        <v>43719</v>
      </c>
      <c r="AU975" s="198">
        <v>7.2554999999999996</v>
      </c>
      <c r="AV975" s="198">
        <v>0.4743</v>
      </c>
      <c r="AX975" s="198">
        <v>0.12048</v>
      </c>
      <c r="BA975" s="1051">
        <v>43768</v>
      </c>
      <c r="BB975" s="198">
        <v>6.8716999999999997</v>
      </c>
      <c r="BC975" s="198">
        <v>1.3180000000000001</v>
      </c>
      <c r="BD975" s="198">
        <v>7.6002000000000001</v>
      </c>
      <c r="BE975" s="198">
        <v>0.27778000000000003</v>
      </c>
      <c r="BG975" s="1051">
        <v>43768</v>
      </c>
      <c r="BH975" s="198">
        <v>9.2562999999999995</v>
      </c>
      <c r="BI975" s="198">
        <v>1.8371999999999999</v>
      </c>
      <c r="BJ975" s="198">
        <v>14.3</v>
      </c>
      <c r="BT975" s="1051">
        <v>43812</v>
      </c>
      <c r="BU975" s="198">
        <v>13.5802</v>
      </c>
      <c r="BV975" s="198">
        <v>4.4344000000000001</v>
      </c>
      <c r="BW975" s="198">
        <v>8.5553000000000008</v>
      </c>
      <c r="BX975" s="198">
        <v>1.6252</v>
      </c>
      <c r="BZ975" s="1051">
        <v>43812</v>
      </c>
      <c r="CA975" s="198">
        <v>5.9854000000000003</v>
      </c>
      <c r="CB975" s="198">
        <v>1.6355</v>
      </c>
      <c r="CC975" s="198">
        <v>7.2361000000000004</v>
      </c>
      <c r="CD975" s="198">
        <v>0.67783000000000004</v>
      </c>
      <c r="CF975" s="1051">
        <v>43811</v>
      </c>
      <c r="CG975" s="198">
        <v>5.5255000000000001</v>
      </c>
      <c r="CH975" s="198">
        <v>1.0907</v>
      </c>
      <c r="CI975" s="198">
        <v>7.1574999999999998</v>
      </c>
      <c r="CL975" s="1051">
        <v>43839</v>
      </c>
      <c r="CM975" s="198">
        <v>20.314800000000002</v>
      </c>
      <c r="CN975" s="198">
        <v>1.9777</v>
      </c>
      <c r="CO975" s="198">
        <v>8.7752999999999997</v>
      </c>
    </row>
    <row r="976" spans="1:93" s="198" customFormat="1">
      <c r="A976" s="1051">
        <v>43811</v>
      </c>
      <c r="B976" s="1052">
        <f t="shared" si="152"/>
        <v>6.8460000000000001</v>
      </c>
      <c r="C976" s="1052">
        <f t="shared" si="154"/>
        <v>6.1821000000000002</v>
      </c>
      <c r="D976" s="1052">
        <f t="shared" si="158"/>
        <v>13.387700000000001</v>
      </c>
      <c r="E976" s="1052">
        <f t="shared" si="159"/>
        <v>9.9989000000000008</v>
      </c>
      <c r="F976" s="1052">
        <f t="shared" si="160"/>
        <v>9.6016999999999992</v>
      </c>
      <c r="G976" s="1052">
        <f t="shared" si="161"/>
        <v>5.9474</v>
      </c>
      <c r="H976" s="1047">
        <f t="shared" si="155"/>
        <v>9.6016999999999992</v>
      </c>
      <c r="I976" s="1048">
        <f t="shared" si="153"/>
        <v>-0.28700126019350736</v>
      </c>
      <c r="J976" s="1048">
        <f t="shared" si="156"/>
        <v>0.12093838824177333</v>
      </c>
      <c r="K976" s="1048">
        <f t="shared" si="157"/>
        <v>0.1</v>
      </c>
      <c r="L976" s="1048"/>
      <c r="N976" s="1051">
        <v>43811</v>
      </c>
      <c r="O976" s="1053">
        <v>6.8460000000000001</v>
      </c>
      <c r="P976" s="1053">
        <v>1.1221000000000001</v>
      </c>
      <c r="Q976" s="1053">
        <v>8.0822000000000003</v>
      </c>
      <c r="R976" s="1054">
        <f>'B. PE'!$U$23</f>
        <v>15.978235616082999</v>
      </c>
      <c r="S976" s="1054"/>
      <c r="T976" s="1054"/>
      <c r="V976" s="1051">
        <v>43811</v>
      </c>
      <c r="W976" s="198">
        <v>6.1821000000000002</v>
      </c>
      <c r="X976" s="198">
        <v>0.44629999999999997</v>
      </c>
      <c r="Y976" s="198">
        <v>5.1867000000000001</v>
      </c>
      <c r="Z976" s="198">
        <v>0.27682000000000001</v>
      </c>
      <c r="AB976" s="1051">
        <v>43774</v>
      </c>
      <c r="AC976" s="198">
        <v>14.6693</v>
      </c>
      <c r="AD976" s="1053">
        <v>1.1102000000000001</v>
      </c>
      <c r="AE976" s="198">
        <v>7.5354000000000001</v>
      </c>
      <c r="AF976" s="198">
        <v>2.2849999999999999E-2</v>
      </c>
      <c r="AH976" s="1051">
        <v>43774</v>
      </c>
      <c r="AI976" s="198">
        <v>12.4216</v>
      </c>
      <c r="AJ976" s="198">
        <v>2.2077</v>
      </c>
      <c r="AK976" s="198">
        <v>7.0594999999999999</v>
      </c>
      <c r="AL976" s="198">
        <v>2.3560000000000001E-2</v>
      </c>
      <c r="AN976" s="1051">
        <v>43784</v>
      </c>
      <c r="AO976" s="198">
        <v>9.4690999999999992</v>
      </c>
      <c r="AP976" s="198">
        <v>0.85370000000000001</v>
      </c>
      <c r="AQ976" s="198">
        <v>6.6241000000000003</v>
      </c>
      <c r="AR976" s="198">
        <v>0.16732</v>
      </c>
      <c r="AT976" s="1051">
        <v>43718</v>
      </c>
      <c r="AU976" s="198">
        <v>7.2554999999999996</v>
      </c>
      <c r="AV976" s="198">
        <v>0.4743</v>
      </c>
      <c r="AX976" s="198">
        <v>0.12044000000000001</v>
      </c>
      <c r="BA976" s="1051">
        <v>43767</v>
      </c>
      <c r="BB976" s="198">
        <v>6.8315000000000001</v>
      </c>
      <c r="BC976" s="198">
        <v>1.3103</v>
      </c>
      <c r="BD976" s="198">
        <v>7.5721999999999996</v>
      </c>
      <c r="BE976" s="198">
        <v>0.27337</v>
      </c>
      <c r="BG976" s="1051">
        <v>43767</v>
      </c>
      <c r="BH976" s="198">
        <v>8.98</v>
      </c>
      <c r="BI976" s="198">
        <v>1.7824</v>
      </c>
      <c r="BJ976" s="198">
        <v>14.047700000000001</v>
      </c>
      <c r="BT976" s="1051">
        <v>43811</v>
      </c>
      <c r="BU976" s="198">
        <v>13.628299999999999</v>
      </c>
      <c r="BV976" s="198">
        <v>4.4500999999999999</v>
      </c>
      <c r="BW976" s="198">
        <v>8.5844000000000005</v>
      </c>
      <c r="BX976" s="198">
        <v>1.5968</v>
      </c>
      <c r="BZ976" s="1051">
        <v>43811</v>
      </c>
      <c r="CA976" s="198">
        <v>5.9854000000000003</v>
      </c>
      <c r="CB976" s="198">
        <v>1.6355</v>
      </c>
      <c r="CC976" s="198">
        <v>7.2361000000000004</v>
      </c>
      <c r="CD976" s="198">
        <v>0.67801</v>
      </c>
      <c r="CF976" s="1051">
        <v>43810</v>
      </c>
      <c r="CI976" s="198">
        <v>7.0259</v>
      </c>
      <c r="CL976" s="1051">
        <v>43838</v>
      </c>
      <c r="CM976" s="198">
        <v>20.5031</v>
      </c>
      <c r="CN976" s="198">
        <v>1.996</v>
      </c>
      <c r="CO976" s="198">
        <v>8.8574000000000002</v>
      </c>
    </row>
    <row r="977" spans="1:93" s="198" customFormat="1">
      <c r="A977" s="1051">
        <v>43810</v>
      </c>
      <c r="B977" s="1052">
        <f t="shared" si="152"/>
        <v>6.7313999999999998</v>
      </c>
      <c r="C977" s="1052">
        <f t="shared" si="154"/>
        <v>6.1417000000000002</v>
      </c>
      <c r="D977" s="1052">
        <f t="shared" si="158"/>
        <v>13.387700000000001</v>
      </c>
      <c r="E977" s="1052">
        <f t="shared" si="159"/>
        <v>9.6677999999999997</v>
      </c>
      <c r="F977" s="1052">
        <f t="shared" si="160"/>
        <v>9.5326000000000004</v>
      </c>
      <c r="G977" s="1052">
        <f t="shared" si="161"/>
        <v>5.8670999999999998</v>
      </c>
      <c r="H977" s="1047">
        <f t="shared" si="155"/>
        <v>9.5326000000000004</v>
      </c>
      <c r="I977" s="1048">
        <f t="shared" si="153"/>
        <v>-0.29385477204540211</v>
      </c>
      <c r="J977" s="1048">
        <f t="shared" si="156"/>
        <v>0.12093838824177333</v>
      </c>
      <c r="K977" s="1048">
        <f t="shared" si="157"/>
        <v>0.1</v>
      </c>
      <c r="L977" s="1048"/>
      <c r="N977" s="1051">
        <v>43810</v>
      </c>
      <c r="O977" s="1053">
        <v>6.7313999999999998</v>
      </c>
      <c r="P977" s="1053">
        <v>1.1033999999999999</v>
      </c>
      <c r="Q977" s="1053">
        <v>7.9935999999999998</v>
      </c>
      <c r="R977" s="1054">
        <f>'B. PE'!$U$23</f>
        <v>15.978235616082999</v>
      </c>
      <c r="S977" s="1054"/>
      <c r="T977" s="1054"/>
      <c r="V977" s="1051">
        <v>43810</v>
      </c>
      <c r="W977" s="198">
        <v>6.1417000000000002</v>
      </c>
      <c r="X977" s="198">
        <v>0.44330000000000003</v>
      </c>
      <c r="Y977" s="198">
        <v>5.1703999999999999</v>
      </c>
      <c r="Z977" s="198">
        <v>0.27753</v>
      </c>
      <c r="AB977" s="1051">
        <v>43773</v>
      </c>
      <c r="AC977" s="198">
        <v>13.9964</v>
      </c>
      <c r="AD977" s="1053">
        <v>1.0592999999999999</v>
      </c>
      <c r="AE977" s="198">
        <v>7.2944000000000004</v>
      </c>
      <c r="AF977" s="198">
        <v>2.5000000000000001E-2</v>
      </c>
      <c r="AH977" s="1051">
        <v>43773</v>
      </c>
      <c r="AI977" s="198">
        <v>11.8005</v>
      </c>
      <c r="AJ977" s="198">
        <v>2.0973000000000002</v>
      </c>
      <c r="AK977" s="198">
        <v>6.7344999999999997</v>
      </c>
      <c r="AL977" s="198">
        <v>2.3009999999999999E-2</v>
      </c>
      <c r="AN977" s="1051">
        <v>43783</v>
      </c>
      <c r="AO977" s="198">
        <v>9.734</v>
      </c>
      <c r="AP977" s="198">
        <v>0.87749999999999995</v>
      </c>
      <c r="AQ977" s="198">
        <v>6.8323999999999998</v>
      </c>
      <c r="AR977" s="198">
        <v>0.17502000000000001</v>
      </c>
      <c r="AT977" s="1051">
        <v>43713</v>
      </c>
      <c r="AU977" s="198">
        <v>7.4775999999999998</v>
      </c>
      <c r="AV977" s="198">
        <v>0.48880000000000001</v>
      </c>
      <c r="AX977" s="198">
        <v>0.11998</v>
      </c>
      <c r="BA977" s="1051">
        <v>43766</v>
      </c>
      <c r="BB977" s="198">
        <v>6.7511000000000001</v>
      </c>
      <c r="BC977" s="198">
        <v>1.2948</v>
      </c>
      <c r="BD977" s="198">
        <v>7.5162000000000004</v>
      </c>
      <c r="BE977" s="198">
        <v>0.27759</v>
      </c>
      <c r="BG977" s="1051">
        <v>43766</v>
      </c>
      <c r="BH977" s="198">
        <v>8.9108999999999998</v>
      </c>
      <c r="BI977" s="198">
        <v>1.7686999999999999</v>
      </c>
      <c r="BJ977" s="198">
        <v>13.9846</v>
      </c>
      <c r="BT977" s="1051">
        <v>43810</v>
      </c>
      <c r="BU977" s="198">
        <v>13.5802</v>
      </c>
      <c r="BV977" s="198">
        <v>4.4344000000000001</v>
      </c>
      <c r="BW977" s="198">
        <v>8.5553000000000008</v>
      </c>
      <c r="BX977" s="198">
        <v>1.5952999999999999</v>
      </c>
      <c r="BZ977" s="1051">
        <v>43810</v>
      </c>
      <c r="CA977" s="198">
        <v>5.9964000000000004</v>
      </c>
      <c r="CB977" s="198">
        <v>1.6385000000000001</v>
      </c>
      <c r="CC977" s="198">
        <v>7.2442000000000002</v>
      </c>
      <c r="CD977" s="198">
        <v>0.69549000000000005</v>
      </c>
      <c r="CF977" s="1051">
        <v>43809</v>
      </c>
      <c r="CI977" s="198">
        <v>7.0259</v>
      </c>
      <c r="CL977" s="1051">
        <v>43837</v>
      </c>
      <c r="CM977" s="198">
        <v>20.051300000000001</v>
      </c>
      <c r="CN977" s="198">
        <v>1.9520999999999999</v>
      </c>
      <c r="CO977" s="198">
        <v>8.6605000000000008</v>
      </c>
    </row>
    <row r="978" spans="1:93" s="198" customFormat="1">
      <c r="A978" s="1051">
        <v>43809</v>
      </c>
      <c r="B978" s="1052">
        <f t="shared" si="152"/>
        <v>6.7457000000000003</v>
      </c>
      <c r="C978" s="1052">
        <f t="shared" si="154"/>
        <v>6.1578999999999997</v>
      </c>
      <c r="D978" s="1052">
        <f t="shared" si="158"/>
        <v>12.732100000000001</v>
      </c>
      <c r="E978" s="1052">
        <f t="shared" si="159"/>
        <v>9.9327000000000005</v>
      </c>
      <c r="F978" s="1052">
        <f t="shared" si="160"/>
        <v>9.5326000000000004</v>
      </c>
      <c r="G978" s="1052">
        <f t="shared" si="161"/>
        <v>5.8670999999999998</v>
      </c>
      <c r="H978" s="1047">
        <f t="shared" si="155"/>
        <v>9.5326000000000004</v>
      </c>
      <c r="I978" s="1048">
        <f t="shared" si="153"/>
        <v>-0.29235465665191029</v>
      </c>
      <c r="J978" s="1048">
        <f t="shared" si="156"/>
        <v>0.12093838824177333</v>
      </c>
      <c r="K978" s="1048">
        <f t="shared" si="157"/>
        <v>0.1</v>
      </c>
      <c r="L978" s="1048"/>
      <c r="N978" s="1051">
        <v>43809</v>
      </c>
      <c r="O978" s="1053">
        <v>6.7457000000000003</v>
      </c>
      <c r="P978" s="1053">
        <v>1.1056999999999999</v>
      </c>
      <c r="Q978" s="1053">
        <v>8.0046999999999997</v>
      </c>
      <c r="R978" s="1054">
        <f>'B. PE'!$U$23</f>
        <v>15.978235616082999</v>
      </c>
      <c r="S978" s="1054"/>
      <c r="T978" s="1054"/>
      <c r="V978" s="1051">
        <v>43809</v>
      </c>
      <c r="W978" s="198">
        <v>6.1578999999999997</v>
      </c>
      <c r="X978" s="198">
        <v>0.44450000000000001</v>
      </c>
      <c r="Y978" s="198">
        <v>5.1768999999999998</v>
      </c>
      <c r="Z978" s="198">
        <v>0.27782000000000001</v>
      </c>
      <c r="AB978" s="1051">
        <v>43770</v>
      </c>
      <c r="AC978" s="198">
        <v>14.3553</v>
      </c>
      <c r="AD978" s="1053">
        <v>1.0864</v>
      </c>
      <c r="AE978" s="198">
        <v>7.4229000000000003</v>
      </c>
      <c r="AF978" s="198">
        <v>2.562E-2</v>
      </c>
      <c r="AH978" s="1051">
        <v>43770</v>
      </c>
      <c r="AI978" s="198">
        <v>11.3864</v>
      </c>
      <c r="AJ978" s="198">
        <v>2.0236999999999998</v>
      </c>
      <c r="AK978" s="198">
        <v>6.5179</v>
      </c>
      <c r="AL978" s="198">
        <v>2.341E-2</v>
      </c>
      <c r="AN978" s="1051">
        <v>43782</v>
      </c>
      <c r="AO978" s="198">
        <v>9.2042999999999999</v>
      </c>
      <c r="AP978" s="198">
        <v>0.82979999999999998</v>
      </c>
      <c r="AQ978" s="198">
        <v>6.4157999999999999</v>
      </c>
      <c r="AR978" s="198">
        <v>0.16769999999999999</v>
      </c>
      <c r="AT978" s="1051">
        <v>43712</v>
      </c>
      <c r="AU978" s="198">
        <v>7.4775999999999998</v>
      </c>
      <c r="AV978" s="198">
        <v>0.48880000000000001</v>
      </c>
      <c r="AX978" s="198">
        <v>0.115</v>
      </c>
      <c r="BA978" s="1051">
        <v>43763</v>
      </c>
      <c r="BB978" s="198">
        <v>6.6306000000000003</v>
      </c>
      <c r="BC978" s="198">
        <v>1.2717000000000001</v>
      </c>
      <c r="BD978" s="198">
        <v>7.4321000000000002</v>
      </c>
      <c r="BE978" s="198">
        <v>0.28222000000000003</v>
      </c>
      <c r="BG978" s="1051">
        <v>43763</v>
      </c>
      <c r="BH978" s="198">
        <v>9.1181999999999999</v>
      </c>
      <c r="BI978" s="198">
        <v>1.8098000000000001</v>
      </c>
      <c r="BJ978" s="198">
        <v>14.1739</v>
      </c>
      <c r="BT978" s="1051">
        <v>43809</v>
      </c>
      <c r="BU978" s="198">
        <v>13.3398</v>
      </c>
      <c r="BV978" s="198">
        <v>4.3559000000000001</v>
      </c>
      <c r="BW978" s="198">
        <v>8.4099000000000004</v>
      </c>
      <c r="BX978" s="198">
        <v>1.5934999999999999</v>
      </c>
      <c r="BZ978" s="1051">
        <v>43809</v>
      </c>
      <c r="CA978" s="198">
        <v>5.9964000000000004</v>
      </c>
      <c r="CB978" s="198">
        <v>1.6385000000000001</v>
      </c>
      <c r="CC978" s="198">
        <v>7.2442000000000002</v>
      </c>
      <c r="CD978" s="198">
        <v>0.68530999999999997</v>
      </c>
      <c r="CF978" s="1051">
        <v>43808</v>
      </c>
      <c r="CI978" s="198">
        <v>7.0259</v>
      </c>
      <c r="CL978" s="1051">
        <v>43836</v>
      </c>
      <c r="CM978" s="198">
        <v>20.277200000000001</v>
      </c>
      <c r="CN978" s="198">
        <v>1.9741</v>
      </c>
      <c r="CO978" s="198">
        <v>8.7589000000000006</v>
      </c>
    </row>
    <row r="979" spans="1:93" s="198" customFormat="1">
      <c r="A979" s="1051">
        <v>43808</v>
      </c>
      <c r="B979" s="1052">
        <f t="shared" si="152"/>
        <v>6.8746</v>
      </c>
      <c r="C979" s="1052">
        <f t="shared" si="154"/>
        <v>6.1741000000000001</v>
      </c>
      <c r="D979" s="1052">
        <f t="shared" si="158"/>
        <v>12.732100000000001</v>
      </c>
      <c r="E979" s="1052">
        <f t="shared" si="159"/>
        <v>10.33</v>
      </c>
      <c r="F979" s="1052">
        <f t="shared" si="160"/>
        <v>9.4634999999999998</v>
      </c>
      <c r="G979" s="1052">
        <f t="shared" si="161"/>
        <v>6.1483999999999996</v>
      </c>
      <c r="H979" s="1047">
        <f t="shared" si="155"/>
        <v>9.4634999999999998</v>
      </c>
      <c r="I979" s="1048">
        <f t="shared" si="153"/>
        <v>-0.27356686215459391</v>
      </c>
      <c r="J979" s="1048">
        <f t="shared" si="156"/>
        <v>0.12093838824177333</v>
      </c>
      <c r="K979" s="1048">
        <f t="shared" si="157"/>
        <v>0.1</v>
      </c>
      <c r="L979" s="1048"/>
      <c r="N979" s="1051">
        <v>43808</v>
      </c>
      <c r="O979" s="1053">
        <v>6.8746</v>
      </c>
      <c r="P979" s="1053">
        <v>1.1268</v>
      </c>
      <c r="Q979" s="1053">
        <v>8.1044</v>
      </c>
      <c r="R979" s="1054">
        <f>'B. PE'!$U$23</f>
        <v>15.978235616082999</v>
      </c>
      <c r="S979" s="1054"/>
      <c r="T979" s="1054"/>
      <c r="V979" s="1051">
        <v>43808</v>
      </c>
      <c r="W979" s="198">
        <v>6.1741000000000001</v>
      </c>
      <c r="X979" s="198">
        <v>0.44569999999999999</v>
      </c>
      <c r="Y979" s="198">
        <v>5.1833999999999998</v>
      </c>
      <c r="Z979" s="198">
        <v>0.27640999999999999</v>
      </c>
      <c r="AB979" s="1051">
        <v>43769</v>
      </c>
      <c r="AC979" s="198">
        <v>15.790800000000001</v>
      </c>
      <c r="AD979" s="1053">
        <v>1.1951000000000001</v>
      </c>
      <c r="AE979" s="198">
        <v>7.9370000000000003</v>
      </c>
      <c r="AF979" s="198">
        <v>2.4629999999999999E-2</v>
      </c>
      <c r="AH979" s="1051">
        <v>43769</v>
      </c>
      <c r="AI979" s="198">
        <v>11.179399999999999</v>
      </c>
      <c r="AJ979" s="198">
        <v>1.9869000000000001</v>
      </c>
      <c r="AK979" s="198">
        <v>6.4095000000000004</v>
      </c>
      <c r="AL979" s="198">
        <v>2.342E-2</v>
      </c>
      <c r="AN979" s="1051">
        <v>43781</v>
      </c>
      <c r="AO979" s="198">
        <v>9.6015999999999995</v>
      </c>
      <c r="AP979" s="198">
        <v>0.86560000000000004</v>
      </c>
      <c r="AQ979" s="198">
        <v>6.7282000000000002</v>
      </c>
      <c r="AR979" s="198">
        <v>0.15121999999999999</v>
      </c>
      <c r="AT979" s="1051">
        <v>43711</v>
      </c>
      <c r="AU979" s="198">
        <v>7.4775999999999998</v>
      </c>
      <c r="AV979" s="198">
        <v>0.48880000000000001</v>
      </c>
      <c r="AX979" s="198">
        <v>0.11743000000000001</v>
      </c>
      <c r="BA979" s="1051">
        <v>43762</v>
      </c>
      <c r="BB979" s="198">
        <v>6.7511000000000001</v>
      </c>
      <c r="BC979" s="198">
        <v>1.2948</v>
      </c>
      <c r="BD979" s="198">
        <v>7.5162000000000004</v>
      </c>
      <c r="BE979" s="198">
        <v>0.28408</v>
      </c>
      <c r="BG979" s="1051">
        <v>43762</v>
      </c>
      <c r="BH979" s="198">
        <v>9.4634999999999998</v>
      </c>
      <c r="BI979" s="198">
        <v>1.8784000000000001</v>
      </c>
      <c r="BJ979" s="198">
        <v>14.4892</v>
      </c>
      <c r="BT979" s="1051">
        <v>43808</v>
      </c>
      <c r="BU979" s="198">
        <v>13.3278</v>
      </c>
      <c r="BV979" s="198">
        <v>4.3520000000000003</v>
      </c>
      <c r="BW979" s="198">
        <v>8.4026999999999994</v>
      </c>
      <c r="BX979" s="198">
        <v>1.5908</v>
      </c>
      <c r="BZ979" s="1051">
        <v>43808</v>
      </c>
      <c r="CA979" s="198">
        <v>6.1513</v>
      </c>
      <c r="CB979" s="198">
        <v>1.6809000000000001</v>
      </c>
      <c r="CC979" s="198">
        <v>7.3581000000000003</v>
      </c>
      <c r="CD979" s="198">
        <v>0.66788999999999998</v>
      </c>
      <c r="CF979" s="1051">
        <v>43805</v>
      </c>
      <c r="CI979" s="198">
        <v>7.0259</v>
      </c>
      <c r="CL979" s="1051">
        <v>43833</v>
      </c>
      <c r="CM979" s="198">
        <v>20.352499999999999</v>
      </c>
      <c r="CN979" s="198">
        <v>1.9814000000000001</v>
      </c>
      <c r="CO979" s="198">
        <v>8.7918000000000003</v>
      </c>
    </row>
    <row r="980" spans="1:93" s="198" customFormat="1">
      <c r="A980" s="1051">
        <v>43805</v>
      </c>
      <c r="B980" s="1052">
        <f t="shared" si="152"/>
        <v>6.76</v>
      </c>
      <c r="C980" s="1052">
        <f t="shared" si="154"/>
        <v>6.1821000000000002</v>
      </c>
      <c r="D980" s="1052">
        <f t="shared" si="158"/>
        <v>13.111700000000001</v>
      </c>
      <c r="E980" s="1052">
        <f t="shared" si="159"/>
        <v>10.528600000000001</v>
      </c>
      <c r="F980" s="1052">
        <f t="shared" si="160"/>
        <v>9.6707999999999998</v>
      </c>
      <c r="G980" s="1052">
        <f t="shared" si="161"/>
        <v>6.4297000000000004</v>
      </c>
      <c r="H980" s="1047">
        <f t="shared" si="155"/>
        <v>9.6707999999999998</v>
      </c>
      <c r="I980" s="1048">
        <f t="shared" si="153"/>
        <v>-0.30098854282996235</v>
      </c>
      <c r="J980" s="1048">
        <f t="shared" si="156"/>
        <v>0.12093838824177333</v>
      </c>
      <c r="K980" s="1048">
        <f t="shared" si="157"/>
        <v>0.1</v>
      </c>
      <c r="L980" s="1048"/>
      <c r="N980" s="1051">
        <v>43805</v>
      </c>
      <c r="O980" s="1053">
        <v>6.76</v>
      </c>
      <c r="P980" s="1053">
        <v>1.1081000000000001</v>
      </c>
      <c r="Q980" s="1053">
        <v>8.0158000000000005</v>
      </c>
      <c r="R980" s="1054">
        <f>'B. PE'!$U$23</f>
        <v>15.978235616082999</v>
      </c>
      <c r="S980" s="1054"/>
      <c r="T980" s="1054"/>
      <c r="V980" s="1051">
        <v>43805</v>
      </c>
      <c r="W980" s="198">
        <v>6.1821000000000002</v>
      </c>
      <c r="X980" s="198">
        <v>0.44629999999999997</v>
      </c>
      <c r="Y980" s="198">
        <v>5.1867000000000001</v>
      </c>
      <c r="Z980" s="198">
        <v>0.27928999999999998</v>
      </c>
      <c r="AB980" s="1051">
        <v>43768</v>
      </c>
      <c r="AC980" s="198">
        <v>16.149699999999999</v>
      </c>
      <c r="AD980" s="1053">
        <v>1.2222</v>
      </c>
      <c r="AE980" s="198">
        <v>8.0655000000000001</v>
      </c>
      <c r="AF980" s="198">
        <v>2.5270000000000001E-2</v>
      </c>
      <c r="AH980" s="1051">
        <v>43768</v>
      </c>
      <c r="AI980" s="198">
        <v>11.351900000000001</v>
      </c>
      <c r="AJ980" s="198">
        <v>2.0175999999999998</v>
      </c>
      <c r="AK980" s="198">
        <v>6.4997999999999996</v>
      </c>
      <c r="AL980" s="198">
        <v>2.2769999999999999E-2</v>
      </c>
      <c r="AN980" s="1051">
        <v>43780</v>
      </c>
      <c r="AO980" s="198">
        <v>9.2042999999999999</v>
      </c>
      <c r="AP980" s="198">
        <v>0.82979999999999998</v>
      </c>
      <c r="AQ980" s="198">
        <v>6.4157999999999999</v>
      </c>
      <c r="AR980" s="198">
        <v>0.12852</v>
      </c>
      <c r="AT980" s="1051">
        <v>43707</v>
      </c>
      <c r="AU980" s="198">
        <v>7.1814999999999998</v>
      </c>
      <c r="AV980" s="198">
        <v>0.46939999999999998</v>
      </c>
      <c r="AX980" s="198">
        <v>0.11741</v>
      </c>
      <c r="BA980" s="1051">
        <v>43760</v>
      </c>
      <c r="BB980" s="198">
        <v>6.8716999999999997</v>
      </c>
      <c r="BC980" s="198">
        <v>1.3180000000000001</v>
      </c>
      <c r="BD980" s="198">
        <v>7.6002000000000001</v>
      </c>
      <c r="BE980" s="198">
        <v>0.28395999999999999</v>
      </c>
      <c r="BG980" s="1051">
        <v>43760</v>
      </c>
      <c r="BH980" s="198">
        <v>9.8780000000000001</v>
      </c>
      <c r="BI980" s="198">
        <v>1.9605999999999999</v>
      </c>
      <c r="BJ980" s="198">
        <v>14.867699999999999</v>
      </c>
      <c r="BT980" s="1051">
        <v>43805</v>
      </c>
      <c r="BU980" s="198">
        <v>13.315799999999999</v>
      </c>
      <c r="BV980" s="198">
        <v>4.3479999999999999</v>
      </c>
      <c r="BW980" s="198">
        <v>8.3954000000000004</v>
      </c>
      <c r="BX980" s="198">
        <v>1.6252</v>
      </c>
      <c r="BZ980" s="1051">
        <v>43805</v>
      </c>
      <c r="CA980" s="198">
        <v>6.0628000000000002</v>
      </c>
      <c r="CB980" s="198">
        <v>1.6567000000000001</v>
      </c>
      <c r="CC980" s="198">
        <v>7.2930000000000001</v>
      </c>
      <c r="CD980" s="198">
        <v>0.68159000000000003</v>
      </c>
      <c r="CF980" s="1051">
        <v>43804</v>
      </c>
      <c r="CI980" s="198">
        <v>7.0259</v>
      </c>
      <c r="CL980" s="1051">
        <v>43830</v>
      </c>
      <c r="CO980" s="198">
        <v>8.5701999999999998</v>
      </c>
    </row>
    <row r="981" spans="1:93" s="198" customFormat="1">
      <c r="A981" s="1051">
        <v>43804</v>
      </c>
      <c r="B981" s="1052">
        <f t="shared" si="152"/>
        <v>6.7744</v>
      </c>
      <c r="C981" s="1052">
        <f t="shared" si="154"/>
        <v>6.1497999999999999</v>
      </c>
      <c r="D981" s="1052">
        <f t="shared" si="158"/>
        <v>13.111700000000001</v>
      </c>
      <c r="E981" s="1052">
        <f t="shared" si="159"/>
        <v>10.3962</v>
      </c>
      <c r="F981" s="1052">
        <f t="shared" si="160"/>
        <v>9.6707999999999998</v>
      </c>
      <c r="G981" s="1052">
        <f t="shared" si="161"/>
        <v>6.4297000000000004</v>
      </c>
      <c r="H981" s="1047">
        <f t="shared" si="155"/>
        <v>9.6707999999999998</v>
      </c>
      <c r="I981" s="1048">
        <f t="shared" si="153"/>
        <v>-0.2994995243413161</v>
      </c>
      <c r="J981" s="1048">
        <f t="shared" si="156"/>
        <v>0.12093838824177333</v>
      </c>
      <c r="K981" s="1048">
        <f t="shared" si="157"/>
        <v>0.1</v>
      </c>
      <c r="L981" s="1048"/>
      <c r="N981" s="1051">
        <v>43804</v>
      </c>
      <c r="O981" s="1053">
        <v>6.7744</v>
      </c>
      <c r="P981" s="1053">
        <v>1.1104000000000001</v>
      </c>
      <c r="Q981" s="1053">
        <v>8.0267999999999997</v>
      </c>
      <c r="R981" s="1054">
        <f>'B. PE'!$U$23</f>
        <v>15.978235616082999</v>
      </c>
      <c r="S981" s="1054"/>
      <c r="T981" s="1054"/>
      <c r="V981" s="1051">
        <v>43804</v>
      </c>
      <c r="W981" s="198">
        <v>6.1497999999999999</v>
      </c>
      <c r="X981" s="198">
        <v>0.44390000000000002</v>
      </c>
      <c r="Y981" s="198">
        <v>5.1736000000000004</v>
      </c>
      <c r="Z981" s="198">
        <v>0.27965000000000001</v>
      </c>
      <c r="AB981" s="1051">
        <v>43767</v>
      </c>
      <c r="AC981" s="198">
        <v>15.521699999999999</v>
      </c>
      <c r="AD981" s="1053">
        <v>1.1747000000000001</v>
      </c>
      <c r="AE981" s="198">
        <v>7.8406000000000002</v>
      </c>
      <c r="AF981" s="198">
        <v>2.4809999999999999E-2</v>
      </c>
      <c r="AH981" s="1051">
        <v>43767</v>
      </c>
      <c r="AI981" s="198">
        <v>11.351900000000001</v>
      </c>
      <c r="AJ981" s="198">
        <v>2.0175999999999998</v>
      </c>
      <c r="AK981" s="198">
        <v>6.4997999999999996</v>
      </c>
      <c r="AL981" s="198">
        <v>2.2460000000000001E-2</v>
      </c>
      <c r="AN981" s="1051">
        <v>43777</v>
      </c>
      <c r="AO981" s="198">
        <v>8.2772000000000006</v>
      </c>
      <c r="AP981" s="198">
        <v>0.74619999999999997</v>
      </c>
      <c r="AQ981" s="198">
        <v>5.6867999999999999</v>
      </c>
      <c r="AR981" s="198">
        <v>0.12931999999999999</v>
      </c>
      <c r="AT981" s="1051">
        <v>43706</v>
      </c>
      <c r="AU981" s="198">
        <v>7.3295000000000003</v>
      </c>
      <c r="AV981" s="198">
        <v>0.47910000000000003</v>
      </c>
      <c r="AX981" s="198">
        <v>0.11303000000000001</v>
      </c>
      <c r="BA981" s="1051">
        <v>43759</v>
      </c>
      <c r="BB981" s="198">
        <v>6.9119000000000002</v>
      </c>
      <c r="BC981" s="198">
        <v>1.3257000000000001</v>
      </c>
      <c r="BD981" s="198">
        <v>7.6281999999999996</v>
      </c>
      <c r="BE981" s="198">
        <v>0.28571000000000002</v>
      </c>
      <c r="BG981" s="1051">
        <v>43759</v>
      </c>
      <c r="BH981" s="198">
        <v>11.052300000000001</v>
      </c>
      <c r="BI981" s="198">
        <v>2.1937000000000002</v>
      </c>
      <c r="BJ981" s="198">
        <v>15.94</v>
      </c>
      <c r="BT981" s="1051">
        <v>43804</v>
      </c>
      <c r="BU981" s="198">
        <v>13.291700000000001</v>
      </c>
      <c r="BV981" s="198">
        <v>4.3402000000000003</v>
      </c>
      <c r="BW981" s="198">
        <v>8.3808000000000007</v>
      </c>
      <c r="BX981" s="198">
        <v>1.5705</v>
      </c>
      <c r="BZ981" s="1051">
        <v>43804</v>
      </c>
      <c r="CA981" s="198">
        <v>5.9078999999999997</v>
      </c>
      <c r="CB981" s="198">
        <v>1.6144000000000001</v>
      </c>
      <c r="CC981" s="198">
        <v>7.1791</v>
      </c>
      <c r="CD981" s="198">
        <v>0.68533999999999995</v>
      </c>
      <c r="CF981" s="1051">
        <v>43803</v>
      </c>
      <c r="CI981" s="198">
        <v>7.0259</v>
      </c>
      <c r="CL981" s="1051">
        <v>43829</v>
      </c>
      <c r="CM981" s="198">
        <v>15.1389</v>
      </c>
      <c r="CN981" s="198">
        <v>2.0636000000000001</v>
      </c>
      <c r="CO981" s="198">
        <v>10.8552</v>
      </c>
    </row>
    <row r="982" spans="1:93" s="198" customFormat="1">
      <c r="A982" s="1051">
        <v>43803</v>
      </c>
      <c r="B982" s="1052">
        <f t="shared" si="152"/>
        <v>6.8029999999999999</v>
      </c>
      <c r="C982" s="1052">
        <f t="shared" si="154"/>
        <v>6.2145000000000001</v>
      </c>
      <c r="D982" s="1052">
        <f t="shared" si="158"/>
        <v>12.318099999999999</v>
      </c>
      <c r="E982" s="1052">
        <f t="shared" si="159"/>
        <v>10.3962</v>
      </c>
      <c r="F982" s="1052">
        <f t="shared" si="160"/>
        <v>9.6707999999999998</v>
      </c>
      <c r="G982" s="1052">
        <f t="shared" si="161"/>
        <v>6.6707999999999998</v>
      </c>
      <c r="H982" s="1047">
        <f t="shared" si="155"/>
        <v>9.6707999999999998</v>
      </c>
      <c r="I982" s="1048">
        <f t="shared" si="153"/>
        <v>-0.29654216817636592</v>
      </c>
      <c r="J982" s="1048">
        <f t="shared" si="156"/>
        <v>0.12093838824177333</v>
      </c>
      <c r="K982" s="1048">
        <f t="shared" si="157"/>
        <v>0.1</v>
      </c>
      <c r="L982" s="1048"/>
      <c r="N982" s="1051">
        <v>43803</v>
      </c>
      <c r="O982" s="1053">
        <v>6.8029999999999999</v>
      </c>
      <c r="P982" s="1053">
        <v>1.1151</v>
      </c>
      <c r="Q982" s="1053">
        <v>8.0489999999999995</v>
      </c>
      <c r="R982" s="1054">
        <f>'B. PE'!$U$23</f>
        <v>15.978235616082999</v>
      </c>
      <c r="S982" s="1054"/>
      <c r="T982" s="1054"/>
      <c r="V982" s="1051">
        <v>43803</v>
      </c>
      <c r="W982" s="198">
        <v>6.2145000000000001</v>
      </c>
      <c r="X982" s="198">
        <v>0.4486</v>
      </c>
      <c r="Y982" s="198">
        <v>5.1997</v>
      </c>
      <c r="Z982" s="198">
        <v>0.27746999999999999</v>
      </c>
      <c r="AB982" s="1051">
        <v>43766</v>
      </c>
      <c r="AC982" s="198">
        <v>15.8805</v>
      </c>
      <c r="AD982" s="1053">
        <v>1.2018</v>
      </c>
      <c r="AE982" s="198">
        <v>7.9691000000000001</v>
      </c>
      <c r="AF982" s="198">
        <v>2.52E-2</v>
      </c>
      <c r="AH982" s="1051">
        <v>43766</v>
      </c>
      <c r="AI982" s="198">
        <v>11.0069</v>
      </c>
      <c r="AJ982" s="198">
        <v>1.9562999999999999</v>
      </c>
      <c r="AK982" s="198">
        <v>6.3193000000000001</v>
      </c>
      <c r="AL982" s="198">
        <v>2.1930000000000002E-2</v>
      </c>
      <c r="AN982" s="1051">
        <v>43776</v>
      </c>
      <c r="AO982" s="198">
        <v>7.0190999999999999</v>
      </c>
      <c r="AP982" s="198">
        <v>0.63280000000000003</v>
      </c>
      <c r="AQ982" s="198">
        <v>4.6974999999999998</v>
      </c>
      <c r="AR982" s="198">
        <v>0.12952</v>
      </c>
      <c r="AT982" s="1051">
        <v>43705</v>
      </c>
      <c r="AU982" s="198">
        <v>7.3295000000000003</v>
      </c>
      <c r="AV982" s="198">
        <v>0.47910000000000003</v>
      </c>
      <c r="AX982" s="198">
        <v>0.11426</v>
      </c>
      <c r="BA982" s="1051">
        <v>43756</v>
      </c>
      <c r="BB982" s="198">
        <v>6.9119000000000002</v>
      </c>
      <c r="BC982" s="198">
        <v>1.3257000000000001</v>
      </c>
      <c r="BD982" s="198">
        <v>7.6281999999999996</v>
      </c>
      <c r="BE982" s="198">
        <v>0.28153</v>
      </c>
      <c r="BG982" s="1051">
        <v>43756</v>
      </c>
      <c r="BH982" s="198">
        <v>10.9832</v>
      </c>
      <c r="BI982" s="198">
        <v>2.1800000000000002</v>
      </c>
      <c r="BJ982" s="198">
        <v>15.876899999999999</v>
      </c>
      <c r="BT982" s="1051">
        <v>43803</v>
      </c>
      <c r="BU982" s="198">
        <v>13.5802</v>
      </c>
      <c r="BV982" s="198">
        <v>4.4344000000000001</v>
      </c>
      <c r="BW982" s="198">
        <v>8.5553000000000008</v>
      </c>
      <c r="BX982" s="198">
        <v>1.5589999999999999</v>
      </c>
      <c r="BZ982" s="1051">
        <v>43803</v>
      </c>
      <c r="CA982" s="198">
        <v>6.0296000000000003</v>
      </c>
      <c r="CB982" s="198">
        <v>1.6476</v>
      </c>
      <c r="CC982" s="198">
        <v>7.2686000000000002</v>
      </c>
      <c r="CD982" s="198">
        <v>0.69284000000000001</v>
      </c>
      <c r="CF982" s="1051">
        <v>43802</v>
      </c>
      <c r="CI982" s="198">
        <v>7.0259</v>
      </c>
      <c r="CL982" s="1051">
        <v>43826</v>
      </c>
      <c r="CM982" s="198">
        <v>15.383100000000001</v>
      </c>
      <c r="CN982" s="198">
        <v>2.0968</v>
      </c>
      <c r="CO982" s="198">
        <v>11.0258</v>
      </c>
    </row>
    <row r="983" spans="1:93" s="198" customFormat="1">
      <c r="A983" s="1051">
        <v>43802</v>
      </c>
      <c r="B983" s="1052">
        <f t="shared" si="152"/>
        <v>6.6597999999999997</v>
      </c>
      <c r="C983" s="1052">
        <f t="shared" si="154"/>
        <v>6.2225000000000001</v>
      </c>
      <c r="D983" s="1052">
        <f t="shared" si="158"/>
        <v>12.3871</v>
      </c>
      <c r="E983" s="1052">
        <f t="shared" si="159"/>
        <v>10.1975</v>
      </c>
      <c r="F983" s="1052">
        <f t="shared" si="160"/>
        <v>9.6707999999999998</v>
      </c>
      <c r="G983" s="1052">
        <f t="shared" si="161"/>
        <v>6.5903999999999998</v>
      </c>
      <c r="H983" s="1047">
        <f t="shared" si="155"/>
        <v>9.6707999999999998</v>
      </c>
      <c r="I983" s="1048">
        <f t="shared" si="153"/>
        <v>-0.31134962981345904</v>
      </c>
      <c r="J983" s="1048">
        <f t="shared" si="156"/>
        <v>0.12093838824177333</v>
      </c>
      <c r="K983" s="1048">
        <f t="shared" si="157"/>
        <v>0.1</v>
      </c>
      <c r="L983" s="1048"/>
      <c r="N983" s="1051">
        <v>43802</v>
      </c>
      <c r="O983" s="1053">
        <v>6.6597999999999997</v>
      </c>
      <c r="P983" s="1053">
        <v>1.0915999999999999</v>
      </c>
      <c r="Q983" s="1053">
        <v>7.9382000000000001</v>
      </c>
      <c r="R983" s="1054">
        <f>'B. PE'!$U$23</f>
        <v>15.978235616082999</v>
      </c>
      <c r="S983" s="1054"/>
      <c r="T983" s="1054"/>
      <c r="V983" s="1051">
        <v>43802</v>
      </c>
      <c r="W983" s="198">
        <v>6.2225000000000001</v>
      </c>
      <c r="X983" s="198">
        <v>0.44919999999999999</v>
      </c>
      <c r="Y983" s="198">
        <v>5.2030000000000003</v>
      </c>
      <c r="Z983" s="198">
        <v>0.27789000000000003</v>
      </c>
      <c r="AB983" s="1051">
        <v>43763</v>
      </c>
      <c r="AC983" s="198">
        <v>15.6114</v>
      </c>
      <c r="AD983" s="1053">
        <v>1.1815</v>
      </c>
      <c r="AE983" s="198">
        <v>7.8727</v>
      </c>
      <c r="AF983" s="198">
        <v>2.572E-2</v>
      </c>
      <c r="AH983" s="1051">
        <v>43763</v>
      </c>
      <c r="AI983" s="198">
        <v>10.8689</v>
      </c>
      <c r="AJ983" s="198">
        <v>1.9317</v>
      </c>
      <c r="AK983" s="198">
        <v>6.2469999999999999</v>
      </c>
      <c r="AL983" s="198">
        <v>2.172E-2</v>
      </c>
      <c r="AN983" s="1051">
        <v>43775</v>
      </c>
      <c r="AO983" s="198">
        <v>7.0853000000000002</v>
      </c>
      <c r="AP983" s="198">
        <v>0.63880000000000003</v>
      </c>
      <c r="AQ983" s="198">
        <v>4.7496</v>
      </c>
      <c r="AR983" s="198">
        <v>0.12769</v>
      </c>
      <c r="AT983" s="1051">
        <v>43704</v>
      </c>
      <c r="AU983" s="198">
        <v>7.0334000000000003</v>
      </c>
      <c r="AV983" s="198">
        <v>0.45979999999999999</v>
      </c>
      <c r="AX983" s="198">
        <v>0.11453000000000001</v>
      </c>
      <c r="BA983" s="1051">
        <v>43755</v>
      </c>
      <c r="BB983" s="198">
        <v>6.9520999999999997</v>
      </c>
      <c r="BC983" s="198">
        <v>1.3333999999999999</v>
      </c>
      <c r="BD983" s="198">
        <v>7.6562000000000001</v>
      </c>
      <c r="BE983" s="198">
        <v>0.27927000000000002</v>
      </c>
      <c r="BG983" s="1051">
        <v>43755</v>
      </c>
      <c r="BH983" s="198">
        <v>11.604900000000001</v>
      </c>
      <c r="BI983" s="198">
        <v>2.3033999999999999</v>
      </c>
      <c r="BJ983" s="198">
        <v>16.444600000000001</v>
      </c>
      <c r="BT983" s="1051">
        <v>43802</v>
      </c>
      <c r="BU983" s="198">
        <v>13.1235</v>
      </c>
      <c r="BV983" s="198">
        <v>4.2853000000000003</v>
      </c>
      <c r="BW983" s="198">
        <v>8.2790999999999997</v>
      </c>
      <c r="BX983" s="198">
        <v>1.5659000000000001</v>
      </c>
      <c r="BZ983" s="1051">
        <v>43802</v>
      </c>
      <c r="CA983" s="198">
        <v>6.0628000000000002</v>
      </c>
      <c r="CB983" s="198">
        <v>1.6567000000000001</v>
      </c>
      <c r="CC983" s="198">
        <v>7.2930000000000001</v>
      </c>
      <c r="CD983" s="198">
        <v>0.67208000000000001</v>
      </c>
      <c r="CF983" s="1051">
        <v>43801</v>
      </c>
      <c r="CG983" s="198">
        <v>5.3045</v>
      </c>
      <c r="CH983" s="198">
        <v>1.0469999999999999</v>
      </c>
      <c r="CI983" s="198">
        <v>7.0259</v>
      </c>
      <c r="CL983" s="1051">
        <v>43823</v>
      </c>
      <c r="CO983" s="198">
        <v>11.0258</v>
      </c>
    </row>
    <row r="984" spans="1:93" s="198" customFormat="1">
      <c r="A984" s="1051">
        <v>43801</v>
      </c>
      <c r="B984" s="1052">
        <f t="shared" si="152"/>
        <v>6.5881999999999996</v>
      </c>
      <c r="C984" s="1052">
        <f t="shared" si="154"/>
        <v>6.1741000000000001</v>
      </c>
      <c r="D984" s="1052">
        <f t="shared" si="158"/>
        <v>11.973000000000001</v>
      </c>
      <c r="E984" s="1052">
        <f t="shared" si="159"/>
        <v>8.9393999999999991</v>
      </c>
      <c r="F984" s="1052">
        <f t="shared" si="160"/>
        <v>9.6016999999999992</v>
      </c>
      <c r="G984" s="1052">
        <f t="shared" si="161"/>
        <v>6.6306000000000003</v>
      </c>
      <c r="H984" s="1047">
        <f t="shared" si="155"/>
        <v>8.9393999999999991</v>
      </c>
      <c r="I984" s="1048">
        <f t="shared" si="153"/>
        <v>-0.2630154149048034</v>
      </c>
      <c r="J984" s="1048">
        <f t="shared" si="156"/>
        <v>0.12093838824177333</v>
      </c>
      <c r="K984" s="1048">
        <f t="shared" si="157"/>
        <v>0.1</v>
      </c>
      <c r="L984" s="1048"/>
      <c r="N984" s="1051">
        <v>43801</v>
      </c>
      <c r="O984" s="1053">
        <v>6.5881999999999996</v>
      </c>
      <c r="P984" s="1053">
        <v>1.0799000000000001</v>
      </c>
      <c r="Q984" s="1053">
        <v>7.8827999999999996</v>
      </c>
      <c r="R984" s="1054">
        <f>'B. PE'!$U$23</f>
        <v>15.978235616082999</v>
      </c>
      <c r="S984" s="1054"/>
      <c r="T984" s="1054"/>
      <c r="V984" s="1051">
        <v>43801</v>
      </c>
      <c r="W984" s="198">
        <v>6.1741000000000001</v>
      </c>
      <c r="X984" s="198">
        <v>0.44569999999999999</v>
      </c>
      <c r="Y984" s="198">
        <v>5.1833999999999998</v>
      </c>
      <c r="Z984" s="198">
        <v>0.27859</v>
      </c>
      <c r="AB984" s="1051">
        <v>43762</v>
      </c>
      <c r="AC984" s="198">
        <v>15.8805</v>
      </c>
      <c r="AD984" s="1053">
        <v>1.2018</v>
      </c>
      <c r="AE984" s="198">
        <v>7.9691000000000001</v>
      </c>
      <c r="AF984" s="198">
        <v>2.5919999999999999E-2</v>
      </c>
      <c r="AH984" s="1051">
        <v>43762</v>
      </c>
      <c r="AI984" s="198">
        <v>10.6273</v>
      </c>
      <c r="AJ984" s="198">
        <v>1.8888</v>
      </c>
      <c r="AK984" s="198">
        <v>6.1207000000000003</v>
      </c>
      <c r="AL984" s="198">
        <v>2.1420000000000002E-2</v>
      </c>
      <c r="AN984" s="1051">
        <v>43774</v>
      </c>
      <c r="AO984" s="198">
        <v>7.0853000000000002</v>
      </c>
      <c r="AP984" s="198">
        <v>0.63880000000000003</v>
      </c>
      <c r="AQ984" s="198">
        <v>4.7496</v>
      </c>
      <c r="AR984" s="198">
        <v>0.12725</v>
      </c>
      <c r="AT984" s="1051">
        <v>43703</v>
      </c>
      <c r="AU984" s="198">
        <v>7.1074000000000002</v>
      </c>
      <c r="AV984" s="198">
        <v>0.46460000000000001</v>
      </c>
      <c r="AX984" s="198">
        <v>0.11704000000000001</v>
      </c>
      <c r="BA984" s="1051">
        <v>43754</v>
      </c>
      <c r="BB984" s="198">
        <v>6.8716999999999997</v>
      </c>
      <c r="BC984" s="198">
        <v>1.3180000000000001</v>
      </c>
      <c r="BD984" s="198">
        <v>7.6002000000000001</v>
      </c>
      <c r="BE984" s="198">
        <v>0.27922000000000002</v>
      </c>
      <c r="BG984" s="1051">
        <v>43754</v>
      </c>
      <c r="BH984" s="198">
        <v>11.5359</v>
      </c>
      <c r="BI984" s="198">
        <v>2.2896999999999998</v>
      </c>
      <c r="BJ984" s="198">
        <v>16.381599999999999</v>
      </c>
      <c r="BT984" s="1051">
        <v>43801</v>
      </c>
      <c r="BU984" s="198">
        <v>13.0274</v>
      </c>
      <c r="BV984" s="198">
        <v>4.2538999999999998</v>
      </c>
      <c r="BW984" s="198">
        <v>8.2209000000000003</v>
      </c>
      <c r="BX984" s="198">
        <v>1.5658000000000001</v>
      </c>
      <c r="BZ984" s="1051">
        <v>43801</v>
      </c>
      <c r="CA984" s="198">
        <v>6.1292</v>
      </c>
      <c r="CB984" s="198">
        <v>1.6748000000000001</v>
      </c>
      <c r="CC984" s="198">
        <v>7.3418000000000001</v>
      </c>
      <c r="CD984" s="198">
        <v>0.69450000000000001</v>
      </c>
      <c r="CF984" s="1051">
        <v>43798</v>
      </c>
      <c r="CG984" s="198">
        <v>5.6139000000000001</v>
      </c>
      <c r="CH984" s="198">
        <v>1.1081000000000001</v>
      </c>
      <c r="CI984" s="198">
        <v>7.2100999999999997</v>
      </c>
      <c r="CL984" s="1051">
        <v>43822</v>
      </c>
      <c r="CM984" s="198">
        <v>15.383100000000001</v>
      </c>
      <c r="CN984" s="198">
        <v>2.0968</v>
      </c>
      <c r="CO984" s="198">
        <v>11.0258</v>
      </c>
    </row>
    <row r="985" spans="1:93" s="198" customFormat="1">
      <c r="A985" s="1051">
        <v>43798</v>
      </c>
      <c r="B985" s="1052">
        <f t="shared" si="152"/>
        <v>6.76</v>
      </c>
      <c r="C985" s="1052">
        <f t="shared" si="154"/>
        <v>6.1901999999999999</v>
      </c>
      <c r="D985" s="1052">
        <f t="shared" si="158"/>
        <v>11.835000000000001</v>
      </c>
      <c r="E985" s="1052">
        <f t="shared" si="159"/>
        <v>8.6082999999999998</v>
      </c>
      <c r="F985" s="1052">
        <f t="shared" si="160"/>
        <v>9.6016999999999992</v>
      </c>
      <c r="G985" s="1052">
        <f t="shared" si="161"/>
        <v>6.7511000000000001</v>
      </c>
      <c r="H985" s="1047">
        <f t="shared" si="155"/>
        <v>8.6082999999999998</v>
      </c>
      <c r="I985" s="1048">
        <f t="shared" si="153"/>
        <v>-0.21471138319993499</v>
      </c>
      <c r="J985" s="1048">
        <f t="shared" si="156"/>
        <v>0.12093838824177333</v>
      </c>
      <c r="K985" s="1048">
        <f t="shared" si="157"/>
        <v>0.1</v>
      </c>
      <c r="L985" s="1048"/>
      <c r="N985" s="1051">
        <v>43798</v>
      </c>
      <c r="O985" s="1053">
        <v>6.76</v>
      </c>
      <c r="P985" s="1053">
        <v>1.1081000000000001</v>
      </c>
      <c r="Q985" s="1053">
        <v>8.0158000000000005</v>
      </c>
      <c r="R985" s="1054">
        <f>'B. PE'!$U$23</f>
        <v>15.978235616082999</v>
      </c>
      <c r="S985" s="1054"/>
      <c r="T985" s="1054"/>
      <c r="V985" s="1051">
        <v>43798</v>
      </c>
      <c r="W985" s="198">
        <v>6.1901999999999999</v>
      </c>
      <c r="X985" s="198">
        <v>0.44679999999999997</v>
      </c>
      <c r="Y985" s="198">
        <v>5.19</v>
      </c>
      <c r="Z985" s="198">
        <v>0.28005999999999998</v>
      </c>
      <c r="AB985" s="1051">
        <v>43761</v>
      </c>
      <c r="AC985" s="198">
        <v>16.149699999999999</v>
      </c>
      <c r="AD985" s="1053">
        <v>1.2222</v>
      </c>
      <c r="AE985" s="198">
        <v>8.0655000000000001</v>
      </c>
      <c r="AF985" s="198">
        <v>2.545E-2</v>
      </c>
      <c r="AH985" s="1051">
        <v>43761</v>
      </c>
      <c r="AI985" s="198">
        <v>10.4893</v>
      </c>
      <c r="AJ985" s="198">
        <v>1.8643000000000001</v>
      </c>
      <c r="AK985" s="198">
        <v>6.0484</v>
      </c>
      <c r="AL985" s="198">
        <v>2.0899999999999998E-2</v>
      </c>
      <c r="AN985" s="1051">
        <v>43773</v>
      </c>
      <c r="AO985" s="198">
        <v>7.0190999999999999</v>
      </c>
      <c r="AP985" s="198">
        <v>0.63280000000000003</v>
      </c>
      <c r="AQ985" s="198">
        <v>4.6974999999999998</v>
      </c>
      <c r="AR985" s="198">
        <v>0.12683</v>
      </c>
      <c r="AT985" s="1051">
        <v>43700</v>
      </c>
      <c r="AU985" s="198">
        <v>7.1074000000000002</v>
      </c>
      <c r="AV985" s="198">
        <v>0.46460000000000001</v>
      </c>
      <c r="AX985" s="198">
        <v>0.11720999999999999</v>
      </c>
      <c r="BA985" s="1051">
        <v>43753</v>
      </c>
      <c r="BB985" s="198">
        <v>6.8315000000000001</v>
      </c>
      <c r="BC985" s="198">
        <v>1.3103</v>
      </c>
      <c r="BD985" s="198">
        <v>7.5721999999999996</v>
      </c>
      <c r="BE985" s="198">
        <v>0.27953</v>
      </c>
      <c r="BG985" s="1051">
        <v>43753</v>
      </c>
      <c r="BH985" s="198">
        <v>11.5359</v>
      </c>
      <c r="BI985" s="198">
        <v>2.2896999999999998</v>
      </c>
      <c r="BJ985" s="198">
        <v>16.381599999999999</v>
      </c>
      <c r="BT985" s="1051">
        <v>43798</v>
      </c>
      <c r="BU985" s="198">
        <v>13.099500000000001</v>
      </c>
      <c r="BV985" s="198">
        <v>4.2774000000000001</v>
      </c>
      <c r="BW985" s="198">
        <v>8.2645</v>
      </c>
      <c r="BX985" s="198">
        <v>1.6262000000000001</v>
      </c>
      <c r="BZ985" s="1051">
        <v>43798</v>
      </c>
      <c r="CA985" s="198">
        <v>5.9522000000000004</v>
      </c>
      <c r="CB985" s="198">
        <v>1.6264000000000001</v>
      </c>
      <c r="CC985" s="198">
        <v>7.2117000000000004</v>
      </c>
      <c r="CD985" s="198">
        <v>0.69706000000000001</v>
      </c>
      <c r="CF985" s="1051">
        <v>43797</v>
      </c>
      <c r="CG985" s="198">
        <v>5.3045</v>
      </c>
      <c r="CH985" s="198">
        <v>1.0469999999999999</v>
      </c>
      <c r="CI985" s="198">
        <v>7.0259</v>
      </c>
      <c r="CL985" s="1051">
        <v>43819</v>
      </c>
      <c r="CM985" s="198">
        <v>15.110200000000001</v>
      </c>
      <c r="CN985" s="198">
        <v>2.0596000000000001</v>
      </c>
      <c r="CO985" s="198">
        <v>10.835100000000001</v>
      </c>
    </row>
    <row r="986" spans="1:93" s="198" customFormat="1">
      <c r="A986" s="1051">
        <v>43797</v>
      </c>
      <c r="B986" s="1052">
        <f t="shared" si="152"/>
        <v>6.7027999999999999</v>
      </c>
      <c r="C986" s="1052">
        <f t="shared" si="154"/>
        <v>6.2064000000000004</v>
      </c>
      <c r="D986" s="1052">
        <f t="shared" si="158"/>
        <v>12.042</v>
      </c>
      <c r="E986" s="1052">
        <f t="shared" si="159"/>
        <v>8.6745000000000001</v>
      </c>
      <c r="F986" s="1052">
        <f t="shared" si="160"/>
        <v>9.6016999999999992</v>
      </c>
      <c r="G986" s="1052">
        <f t="shared" si="161"/>
        <v>6.8315000000000001</v>
      </c>
      <c r="H986" s="1047">
        <f t="shared" si="155"/>
        <v>8.6745000000000001</v>
      </c>
      <c r="I986" s="1048">
        <f t="shared" si="153"/>
        <v>-0.22729840336618823</v>
      </c>
      <c r="J986" s="1048">
        <f t="shared" si="156"/>
        <v>0.12093838824177333</v>
      </c>
      <c r="K986" s="1048">
        <f t="shared" si="157"/>
        <v>0.1</v>
      </c>
      <c r="L986" s="1048"/>
      <c r="N986" s="1051">
        <v>43797</v>
      </c>
      <c r="O986" s="1053">
        <v>6.7027999999999999</v>
      </c>
      <c r="P986" s="1053">
        <v>1.0987</v>
      </c>
      <c r="Q986" s="1053">
        <v>7.9714</v>
      </c>
      <c r="R986" s="1054">
        <f>'B. PE'!$U$23</f>
        <v>15.978235616082999</v>
      </c>
      <c r="S986" s="1054"/>
      <c r="T986" s="1054"/>
      <c r="V986" s="1051">
        <v>43797</v>
      </c>
      <c r="W986" s="198">
        <v>6.2064000000000004</v>
      </c>
      <c r="X986" s="198">
        <v>0.44800000000000001</v>
      </c>
      <c r="Y986" s="198">
        <v>5.1965000000000003</v>
      </c>
      <c r="Z986" s="198">
        <v>0.27905999999999997</v>
      </c>
      <c r="AB986" s="1051">
        <v>43760</v>
      </c>
      <c r="AC986" s="198">
        <v>16.284300000000002</v>
      </c>
      <c r="AD986" s="1053">
        <v>1.2323999999999999</v>
      </c>
      <c r="AE986" s="198">
        <v>8.1136999999999997</v>
      </c>
      <c r="AF986" s="198">
        <v>2.6599999999999999E-2</v>
      </c>
      <c r="AH986" s="1051">
        <v>43760</v>
      </c>
      <c r="AI986" s="198">
        <v>10.3513</v>
      </c>
      <c r="AJ986" s="198">
        <v>1.8396999999999999</v>
      </c>
      <c r="AK986" s="198">
        <v>5.9762000000000004</v>
      </c>
      <c r="AL986" s="198">
        <v>2.087E-2</v>
      </c>
      <c r="AN986" s="1051">
        <v>43770</v>
      </c>
      <c r="AO986" s="198">
        <v>7.0190999999999999</v>
      </c>
      <c r="AP986" s="198">
        <v>0.63280000000000003</v>
      </c>
      <c r="AQ986" s="198">
        <v>4.6974999999999998</v>
      </c>
      <c r="AR986" s="198">
        <v>0.1244</v>
      </c>
      <c r="AT986" s="1051">
        <v>43699</v>
      </c>
      <c r="AU986" s="198">
        <v>7.2554999999999996</v>
      </c>
      <c r="AV986" s="198">
        <v>0.4743</v>
      </c>
      <c r="AX986" s="198">
        <v>0.1174</v>
      </c>
      <c r="BA986" s="1051">
        <v>43749</v>
      </c>
      <c r="BB986" s="198">
        <v>6.8315000000000001</v>
      </c>
      <c r="BC986" s="198">
        <v>1.3103</v>
      </c>
      <c r="BD986" s="198">
        <v>7.5721999999999996</v>
      </c>
      <c r="BE986" s="198">
        <v>0.28365000000000001</v>
      </c>
      <c r="BG986" s="1051">
        <v>43749</v>
      </c>
      <c r="BH986" s="198">
        <v>11.812200000000001</v>
      </c>
      <c r="BI986" s="198">
        <v>2.3445</v>
      </c>
      <c r="BJ986" s="198">
        <v>16.633900000000001</v>
      </c>
      <c r="BT986" s="1051">
        <v>43797</v>
      </c>
      <c r="BU986" s="198">
        <v>13.099500000000001</v>
      </c>
      <c r="BV986" s="198">
        <v>4.2774000000000001</v>
      </c>
      <c r="BW986" s="198">
        <v>8.2645</v>
      </c>
      <c r="BX986" s="198">
        <v>1.631</v>
      </c>
      <c r="BZ986" s="1051">
        <v>43797</v>
      </c>
      <c r="CA986" s="198">
        <v>6.1513</v>
      </c>
      <c r="CB986" s="198">
        <v>1.6809000000000001</v>
      </c>
      <c r="CC986" s="198">
        <v>7.3581000000000003</v>
      </c>
      <c r="CD986" s="198">
        <v>0.69726999999999995</v>
      </c>
      <c r="CF986" s="1051">
        <v>43796</v>
      </c>
      <c r="CI986" s="198">
        <v>7.0522</v>
      </c>
      <c r="CL986" s="1051">
        <v>43818</v>
      </c>
      <c r="CM986" s="198">
        <v>14.5357</v>
      </c>
      <c r="CN986" s="198">
        <v>1.9813000000000001</v>
      </c>
      <c r="CO986" s="198">
        <v>10.4337</v>
      </c>
    </row>
    <row r="987" spans="1:93" s="198" customFormat="1">
      <c r="A987" s="1051">
        <v>43796</v>
      </c>
      <c r="B987" s="1052">
        <f t="shared" si="152"/>
        <v>6.9748999999999999</v>
      </c>
      <c r="C987" s="1052">
        <f t="shared" si="154"/>
        <v>6.2386999999999997</v>
      </c>
      <c r="D987" s="1052">
        <f t="shared" si="158"/>
        <v>12.3871</v>
      </c>
      <c r="E987" s="1052">
        <f t="shared" si="159"/>
        <v>8.6745000000000001</v>
      </c>
      <c r="F987" s="1052">
        <f t="shared" si="160"/>
        <v>9.6016999999999992</v>
      </c>
      <c r="G987" s="1052">
        <f t="shared" si="161"/>
        <v>6.9520999999999997</v>
      </c>
      <c r="H987" s="1047">
        <f t="shared" si="155"/>
        <v>8.6745000000000001</v>
      </c>
      <c r="I987" s="1048">
        <f t="shared" si="153"/>
        <v>-0.19593060118738836</v>
      </c>
      <c r="J987" s="1048">
        <f t="shared" si="156"/>
        <v>0.12093838824177333</v>
      </c>
      <c r="K987" s="1048">
        <f t="shared" si="157"/>
        <v>0.1</v>
      </c>
      <c r="L987" s="1048"/>
      <c r="N987" s="1051">
        <v>43796</v>
      </c>
      <c r="O987" s="1053">
        <v>6.9748999999999999</v>
      </c>
      <c r="P987" s="1053">
        <v>1.1433</v>
      </c>
      <c r="Q987" s="1053">
        <v>8.1820000000000004</v>
      </c>
      <c r="R987" s="1054">
        <f>'B. PE'!$U$23</f>
        <v>15.978235616082999</v>
      </c>
      <c r="S987" s="1054"/>
      <c r="T987" s="1054"/>
      <c r="V987" s="1051">
        <v>43796</v>
      </c>
      <c r="W987" s="198">
        <v>6.2386999999999997</v>
      </c>
      <c r="X987" s="198">
        <v>0.45029999999999998</v>
      </c>
      <c r="Y987" s="198">
        <v>5.2095000000000002</v>
      </c>
      <c r="Z987" s="198">
        <v>0.27721000000000001</v>
      </c>
      <c r="AB987" s="1051">
        <v>43759</v>
      </c>
      <c r="AC987" s="198">
        <v>16.059999999999999</v>
      </c>
      <c r="AD987" s="1053">
        <v>1.2154</v>
      </c>
      <c r="AE987" s="198">
        <v>8.0334000000000003</v>
      </c>
      <c r="AF987" s="198">
        <v>2.3949999999999999E-2</v>
      </c>
      <c r="AH987" s="1051">
        <v>43759</v>
      </c>
      <c r="AI987" s="198">
        <v>10.144299999999999</v>
      </c>
      <c r="AJ987" s="198">
        <v>1.8028999999999999</v>
      </c>
      <c r="AK987" s="198">
        <v>5.8678999999999997</v>
      </c>
      <c r="AL987" s="198">
        <v>2.0559999999999998E-2</v>
      </c>
      <c r="AN987" s="1051">
        <v>43769</v>
      </c>
      <c r="AO987" s="198">
        <v>7.0190999999999999</v>
      </c>
      <c r="AP987" s="198">
        <v>0.63280000000000003</v>
      </c>
      <c r="AQ987" s="198">
        <v>4.6974999999999998</v>
      </c>
      <c r="AR987" s="198">
        <v>0.12431</v>
      </c>
      <c r="AT987" s="1051">
        <v>43697</v>
      </c>
      <c r="AU987" s="198">
        <v>7.2554999999999996</v>
      </c>
      <c r="AV987" s="198">
        <v>0.4743</v>
      </c>
      <c r="AX987" s="198">
        <v>0.11734</v>
      </c>
      <c r="BA987" s="1051">
        <v>43748</v>
      </c>
      <c r="BB987" s="198">
        <v>6.8315000000000001</v>
      </c>
      <c r="BC987" s="198">
        <v>1.3103</v>
      </c>
      <c r="BD987" s="198">
        <v>7.5721999999999996</v>
      </c>
      <c r="BE987" s="198">
        <v>0.28616000000000003</v>
      </c>
      <c r="BG987" s="1051">
        <v>43748</v>
      </c>
      <c r="BH987" s="198">
        <v>11.604900000000001</v>
      </c>
      <c r="BI987" s="198">
        <v>2.3033999999999999</v>
      </c>
      <c r="BJ987" s="198">
        <v>16.444600000000001</v>
      </c>
      <c r="BT987" s="1051">
        <v>43796</v>
      </c>
      <c r="BU987" s="198">
        <v>13.604200000000001</v>
      </c>
      <c r="BV987" s="198">
        <v>4.4421999999999997</v>
      </c>
      <c r="BW987" s="198">
        <v>8.5699000000000005</v>
      </c>
      <c r="BX987" s="198">
        <v>1.6093</v>
      </c>
      <c r="BZ987" s="1051">
        <v>43796</v>
      </c>
      <c r="CA987" s="198">
        <v>6.1734</v>
      </c>
      <c r="CB987" s="198">
        <v>1.6869000000000001</v>
      </c>
      <c r="CC987" s="198">
        <v>7.3743999999999996</v>
      </c>
      <c r="CD987" s="198">
        <v>0.71967000000000003</v>
      </c>
      <c r="CF987" s="1051">
        <v>43795</v>
      </c>
      <c r="CG987" s="198">
        <v>5.3487</v>
      </c>
      <c r="CH987" s="198">
        <v>1.0558000000000001</v>
      </c>
      <c r="CI987" s="198">
        <v>7.0522</v>
      </c>
      <c r="CL987" s="1051">
        <v>43817</v>
      </c>
      <c r="CM987" s="198">
        <v>14.636200000000001</v>
      </c>
      <c r="CN987" s="198">
        <v>1.9950000000000001</v>
      </c>
      <c r="CO987" s="198">
        <v>10.504</v>
      </c>
    </row>
    <row r="988" spans="1:93" s="198" customFormat="1">
      <c r="A988" s="1051">
        <v>43795</v>
      </c>
      <c r="B988" s="1052">
        <f t="shared" si="152"/>
        <v>6.8888999999999996</v>
      </c>
      <c r="C988" s="1052">
        <f t="shared" si="154"/>
        <v>6.2145000000000001</v>
      </c>
      <c r="D988" s="1052">
        <f t="shared" si="158"/>
        <v>12.490600000000001</v>
      </c>
      <c r="E988" s="1052">
        <f t="shared" si="159"/>
        <v>8.8732000000000006</v>
      </c>
      <c r="F988" s="1052">
        <f t="shared" si="160"/>
        <v>9.8088999999999995</v>
      </c>
      <c r="G988" s="1052">
        <f t="shared" si="161"/>
        <v>6.7511000000000001</v>
      </c>
      <c r="H988" s="1047">
        <f t="shared" si="155"/>
        <v>8.8732000000000006</v>
      </c>
      <c r="I988" s="1048">
        <f t="shared" si="153"/>
        <v>-0.22362845422170141</v>
      </c>
      <c r="J988" s="1048">
        <f t="shared" si="156"/>
        <v>0.12093838824177333</v>
      </c>
      <c r="K988" s="1048">
        <f t="shared" si="157"/>
        <v>0.1</v>
      </c>
      <c r="L988" s="1048"/>
      <c r="N988" s="1051">
        <v>43795</v>
      </c>
      <c r="O988" s="1053">
        <v>6.8888999999999996</v>
      </c>
      <c r="P988" s="1053">
        <v>1.1292</v>
      </c>
      <c r="Q988" s="1053">
        <v>8.1155000000000008</v>
      </c>
      <c r="R988" s="1054">
        <f>'B. PE'!$U$23</f>
        <v>15.978235616082999</v>
      </c>
      <c r="S988" s="1054"/>
      <c r="T988" s="1054"/>
      <c r="V988" s="1051">
        <v>43795</v>
      </c>
      <c r="W988" s="198">
        <v>6.2145000000000001</v>
      </c>
      <c r="X988" s="198">
        <v>0.4486</v>
      </c>
      <c r="Y988" s="198">
        <v>5.1997</v>
      </c>
      <c r="Z988" s="198">
        <v>0.27792</v>
      </c>
      <c r="AB988" s="1051">
        <v>43756</v>
      </c>
      <c r="AC988" s="198">
        <v>16.8675</v>
      </c>
      <c r="AD988" s="1053">
        <v>1.2765</v>
      </c>
      <c r="AE988" s="198">
        <v>8.3225999999999996</v>
      </c>
      <c r="AF988" s="198">
        <v>2.2419999999999999E-2</v>
      </c>
      <c r="AH988" s="1051">
        <v>43756</v>
      </c>
      <c r="AI988" s="198">
        <v>10.178800000000001</v>
      </c>
      <c r="AJ988" s="198">
        <v>1.8090999999999999</v>
      </c>
      <c r="AK988" s="198">
        <v>5.8860000000000001</v>
      </c>
      <c r="AL988" s="198">
        <v>2.052E-2</v>
      </c>
      <c r="AN988" s="1051">
        <v>43768</v>
      </c>
      <c r="AO988" s="198">
        <v>6.8865999999999996</v>
      </c>
      <c r="AP988" s="198">
        <v>0.62080000000000002</v>
      </c>
      <c r="AQ988" s="198">
        <v>4.5933999999999999</v>
      </c>
      <c r="AR988" s="198">
        <v>0.12422</v>
      </c>
      <c r="AT988" s="1051">
        <v>43696</v>
      </c>
      <c r="AU988" s="198">
        <v>7.2554999999999996</v>
      </c>
      <c r="AV988" s="198">
        <v>0.4743</v>
      </c>
      <c r="AX988" s="198">
        <v>0.1145</v>
      </c>
      <c r="BA988" s="1051">
        <v>43747</v>
      </c>
      <c r="BB988" s="198">
        <v>6.9119000000000002</v>
      </c>
      <c r="BC988" s="198">
        <v>1.3257000000000001</v>
      </c>
      <c r="BD988" s="198">
        <v>7.6281999999999996</v>
      </c>
      <c r="BE988" s="198">
        <v>0.28903000000000001</v>
      </c>
      <c r="BG988" s="1051">
        <v>43747</v>
      </c>
      <c r="BH988" s="198">
        <v>11.604900000000001</v>
      </c>
      <c r="BI988" s="198">
        <v>2.3033999999999999</v>
      </c>
      <c r="BJ988" s="198">
        <v>16.444600000000001</v>
      </c>
      <c r="BT988" s="1051">
        <v>43795</v>
      </c>
      <c r="BU988" s="198">
        <v>13.6403</v>
      </c>
      <c r="BV988" s="198">
        <v>4.4539999999999997</v>
      </c>
      <c r="BW988" s="198">
        <v>8.5916999999999994</v>
      </c>
      <c r="BX988" s="198">
        <v>1.6092</v>
      </c>
      <c r="BZ988" s="1051">
        <v>43795</v>
      </c>
      <c r="CA988" s="198">
        <v>6.1734</v>
      </c>
      <c r="CB988" s="198">
        <v>1.6869000000000001</v>
      </c>
      <c r="CC988" s="198">
        <v>7.3743999999999996</v>
      </c>
      <c r="CD988" s="198">
        <v>0.76961999999999997</v>
      </c>
      <c r="CF988" s="1051">
        <v>43794</v>
      </c>
      <c r="CG988" s="198">
        <v>5.3487</v>
      </c>
      <c r="CH988" s="198">
        <v>1.0558000000000001</v>
      </c>
      <c r="CI988" s="198">
        <v>7.0522</v>
      </c>
      <c r="CL988" s="1051">
        <v>43816</v>
      </c>
      <c r="CM988" s="198">
        <v>14.2599</v>
      </c>
      <c r="CN988" s="198">
        <v>1.9437</v>
      </c>
      <c r="CO988" s="198">
        <v>10.241099999999999</v>
      </c>
    </row>
    <row r="989" spans="1:93" s="198" customFormat="1">
      <c r="A989" s="1051">
        <v>43794</v>
      </c>
      <c r="B989" s="1052">
        <f t="shared" si="152"/>
        <v>6.7744</v>
      </c>
      <c r="C989" s="1052">
        <f t="shared" si="154"/>
        <v>6.1741000000000001</v>
      </c>
      <c r="D989" s="1052">
        <f t="shared" si="158"/>
        <v>12.456099999999999</v>
      </c>
      <c r="E989" s="1052">
        <f t="shared" si="159"/>
        <v>9.2705000000000002</v>
      </c>
      <c r="F989" s="1052">
        <f t="shared" si="160"/>
        <v>9.8088999999999995</v>
      </c>
      <c r="G989" s="1052">
        <f t="shared" si="161"/>
        <v>6.7511000000000001</v>
      </c>
      <c r="H989" s="1047">
        <f t="shared" si="155"/>
        <v>9.2705000000000002</v>
      </c>
      <c r="I989" s="1048">
        <f t="shared" si="153"/>
        <v>-0.26925192815921473</v>
      </c>
      <c r="J989" s="1048">
        <f t="shared" si="156"/>
        <v>0.12093838824177333</v>
      </c>
      <c r="K989" s="1048">
        <f t="shared" si="157"/>
        <v>0.1</v>
      </c>
      <c r="L989" s="1048"/>
      <c r="N989" s="1051">
        <v>43794</v>
      </c>
      <c r="O989" s="1053">
        <v>6.7744</v>
      </c>
      <c r="P989" s="1053">
        <v>1.1104000000000001</v>
      </c>
      <c r="Q989" s="1053">
        <v>8.0267999999999997</v>
      </c>
      <c r="R989" s="1054">
        <f>'B. PE'!$U$23</f>
        <v>15.978235616082999</v>
      </c>
      <c r="S989" s="1054"/>
      <c r="T989" s="1054"/>
      <c r="V989" s="1051">
        <v>43794</v>
      </c>
      <c r="W989" s="198">
        <v>6.1741000000000001</v>
      </c>
      <c r="X989" s="198">
        <v>0.44569999999999999</v>
      </c>
      <c r="Y989" s="198">
        <v>5.1833999999999998</v>
      </c>
      <c r="Z989" s="198">
        <v>0.27829999999999999</v>
      </c>
      <c r="AB989" s="1051">
        <v>43755</v>
      </c>
      <c r="AC989" s="198">
        <v>15.207599999999999</v>
      </c>
      <c r="AD989" s="1053">
        <v>1.1509</v>
      </c>
      <c r="AE989" s="198">
        <v>7.7281000000000004</v>
      </c>
      <c r="AF989" s="198">
        <v>2.273E-2</v>
      </c>
      <c r="AH989" s="1051">
        <v>43755</v>
      </c>
      <c r="AI989" s="198">
        <v>10.040800000000001</v>
      </c>
      <c r="AJ989" s="198">
        <v>1.7846</v>
      </c>
      <c r="AK989" s="198">
        <v>5.8136999999999999</v>
      </c>
      <c r="AL989" s="198">
        <v>2.0119999999999999E-2</v>
      </c>
      <c r="AN989" s="1051">
        <v>43767</v>
      </c>
      <c r="AO989" s="198">
        <v>6.8865999999999996</v>
      </c>
      <c r="AP989" s="198">
        <v>0.62080000000000002</v>
      </c>
      <c r="AQ989" s="198">
        <v>4.5933999999999999</v>
      </c>
      <c r="AR989" s="198">
        <v>0.12306</v>
      </c>
      <c r="AT989" s="1051">
        <v>43693</v>
      </c>
      <c r="AU989" s="198">
        <v>7.2554999999999996</v>
      </c>
      <c r="AV989" s="198">
        <v>0.4743</v>
      </c>
      <c r="AX989" s="198">
        <v>0.11323</v>
      </c>
      <c r="BA989" s="1051">
        <v>43746</v>
      </c>
      <c r="BB989" s="198">
        <v>6.9923000000000002</v>
      </c>
      <c r="BC989" s="198">
        <v>1.3411</v>
      </c>
      <c r="BD989" s="198">
        <v>7.6841999999999997</v>
      </c>
      <c r="BE989" s="198">
        <v>0.28914000000000001</v>
      </c>
      <c r="BG989" s="1051">
        <v>43746</v>
      </c>
      <c r="BH989" s="198">
        <v>11.673999999999999</v>
      </c>
      <c r="BI989" s="198">
        <v>2.3170999999999999</v>
      </c>
      <c r="BJ989" s="198">
        <v>16.5077</v>
      </c>
      <c r="BT989" s="1051">
        <v>43794</v>
      </c>
      <c r="BU989" s="198">
        <v>13.46</v>
      </c>
      <c r="BV989" s="198">
        <v>4.3951000000000002</v>
      </c>
      <c r="BW989" s="198">
        <v>8.4825999999999997</v>
      </c>
      <c r="BX989" s="198">
        <v>1.6308</v>
      </c>
      <c r="BZ989" s="1051">
        <v>43794</v>
      </c>
      <c r="CA989" s="198">
        <v>6.3726000000000003</v>
      </c>
      <c r="CB989" s="198">
        <v>1.7413000000000001</v>
      </c>
      <c r="CC989" s="198">
        <v>7.5208000000000004</v>
      </c>
      <c r="CD989" s="198">
        <v>0.82211999999999996</v>
      </c>
      <c r="CF989" s="1051">
        <v>43791</v>
      </c>
      <c r="CG989" s="198">
        <v>5.3487</v>
      </c>
      <c r="CH989" s="198">
        <v>1.0558000000000001</v>
      </c>
      <c r="CI989" s="198">
        <v>7.0522</v>
      </c>
      <c r="CL989" s="1051">
        <v>43815</v>
      </c>
      <c r="CM989" s="198">
        <v>14.4351</v>
      </c>
      <c r="CN989" s="198">
        <v>1.9676</v>
      </c>
      <c r="CO989" s="198">
        <v>10.3635</v>
      </c>
    </row>
    <row r="990" spans="1:93" s="198" customFormat="1">
      <c r="A990" s="1051">
        <v>43791</v>
      </c>
      <c r="B990" s="1052">
        <f t="shared" si="152"/>
        <v>7.0178000000000003</v>
      </c>
      <c r="C990" s="1052">
        <f t="shared" si="154"/>
        <v>6.1901999999999999</v>
      </c>
      <c r="D990" s="1052">
        <f t="shared" si="158"/>
        <v>12.4216</v>
      </c>
      <c r="E990" s="1052">
        <f t="shared" si="159"/>
        <v>8.9393999999999991</v>
      </c>
      <c r="F990" s="1052">
        <f t="shared" si="160"/>
        <v>9.3254000000000001</v>
      </c>
      <c r="G990" s="1052">
        <f t="shared" si="161"/>
        <v>6.7511000000000001</v>
      </c>
      <c r="H990" s="1047">
        <f t="shared" si="155"/>
        <v>8.9393999999999991</v>
      </c>
      <c r="I990" s="1048">
        <f t="shared" si="153"/>
        <v>-0.21495849833322134</v>
      </c>
      <c r="J990" s="1048">
        <f t="shared" si="156"/>
        <v>0.12093838824177333</v>
      </c>
      <c r="K990" s="1048">
        <f t="shared" si="157"/>
        <v>0.1</v>
      </c>
      <c r="L990" s="1048"/>
      <c r="N990" s="1051">
        <v>43791</v>
      </c>
      <c r="O990" s="1053">
        <v>7.0178000000000003</v>
      </c>
      <c r="P990" s="1053">
        <v>1.1503000000000001</v>
      </c>
      <c r="Q990" s="1053">
        <v>8.2151999999999994</v>
      </c>
      <c r="R990" s="1054">
        <f>'B. PE'!$U$23</f>
        <v>15.978235616082999</v>
      </c>
      <c r="S990" s="1054"/>
      <c r="T990" s="1054"/>
      <c r="V990" s="1051">
        <v>43791</v>
      </c>
      <c r="W990" s="198">
        <v>6.1901999999999999</v>
      </c>
      <c r="X990" s="198">
        <v>0.44679999999999997</v>
      </c>
      <c r="Y990" s="198">
        <v>5.19</v>
      </c>
      <c r="Z990" s="198">
        <v>0.27827000000000002</v>
      </c>
      <c r="AB990" s="1051">
        <v>43754</v>
      </c>
      <c r="AC990" s="198">
        <v>14.265599999999999</v>
      </c>
      <c r="AD990" s="1053">
        <v>1.0795999999999999</v>
      </c>
      <c r="AE990" s="198">
        <v>7.3907999999999996</v>
      </c>
      <c r="AF990" s="198">
        <v>2.3349999999999999E-2</v>
      </c>
      <c r="AH990" s="1051">
        <v>43754</v>
      </c>
      <c r="AI990" s="198">
        <v>10.040800000000001</v>
      </c>
      <c r="AJ990" s="198">
        <v>1.7846</v>
      </c>
      <c r="AK990" s="198">
        <v>5.8136999999999999</v>
      </c>
      <c r="AL990" s="198">
        <v>1.925E-2</v>
      </c>
      <c r="AN990" s="1051">
        <v>43763</v>
      </c>
      <c r="AO990" s="198">
        <v>6.8865999999999996</v>
      </c>
      <c r="AP990" s="198">
        <v>0.62080000000000002</v>
      </c>
      <c r="AQ990" s="198">
        <v>4.5933999999999999</v>
      </c>
      <c r="AT990" s="1051">
        <v>43692</v>
      </c>
      <c r="AU990" s="198">
        <v>7.1074000000000002</v>
      </c>
      <c r="AV990" s="198">
        <v>0.46460000000000001</v>
      </c>
      <c r="AX990" s="198">
        <v>0.11792999999999999</v>
      </c>
      <c r="BA990" s="1051">
        <v>43745</v>
      </c>
      <c r="BB990" s="198">
        <v>7.0726000000000004</v>
      </c>
      <c r="BC990" s="198">
        <v>1.3565</v>
      </c>
      <c r="BD990" s="198">
        <v>7.7403000000000004</v>
      </c>
      <c r="BE990" s="198">
        <v>0.28645999999999999</v>
      </c>
      <c r="BG990" s="1051">
        <v>43745</v>
      </c>
      <c r="BH990" s="198">
        <v>11.7431</v>
      </c>
      <c r="BI990" s="198">
        <v>2.3308</v>
      </c>
      <c r="BJ990" s="198">
        <v>16.570799999999998</v>
      </c>
      <c r="BT990" s="1051">
        <v>43791</v>
      </c>
      <c r="BU990" s="198">
        <v>13.46</v>
      </c>
      <c r="BV990" s="198">
        <v>4.3951000000000002</v>
      </c>
      <c r="BW990" s="198">
        <v>8.4825999999999997</v>
      </c>
      <c r="BX990" s="198">
        <v>1.6823999999999999</v>
      </c>
      <c r="BZ990" s="1051">
        <v>43791</v>
      </c>
      <c r="CA990" s="198">
        <v>6.8151000000000002</v>
      </c>
      <c r="CB990" s="198">
        <v>1.8623000000000001</v>
      </c>
      <c r="CC990" s="198">
        <v>7.8461999999999996</v>
      </c>
      <c r="CD990" s="198">
        <v>0.83704999999999996</v>
      </c>
      <c r="CF990" s="1051">
        <v>43790</v>
      </c>
      <c r="CG990" s="198">
        <v>5.5255000000000001</v>
      </c>
      <c r="CH990" s="198">
        <v>1.0907</v>
      </c>
      <c r="CI990" s="198">
        <v>7.1574999999999998</v>
      </c>
      <c r="CL990" s="1051">
        <v>43812</v>
      </c>
      <c r="CM990" s="198">
        <v>14.5069</v>
      </c>
      <c r="CN990" s="198">
        <v>1.9774</v>
      </c>
      <c r="CO990" s="198">
        <v>10.4137</v>
      </c>
    </row>
    <row r="991" spans="1:93" s="198" customFormat="1">
      <c r="A991" s="1051">
        <v>43790</v>
      </c>
      <c r="B991" s="1052">
        <f t="shared" si="152"/>
        <v>7.4332000000000003</v>
      </c>
      <c r="C991" s="1052">
        <f t="shared" si="154"/>
        <v>6.1982999999999997</v>
      </c>
      <c r="D991" s="1052">
        <f t="shared" si="158"/>
        <v>12.318099999999999</v>
      </c>
      <c r="E991" s="1052">
        <f t="shared" si="159"/>
        <v>9.0055999999999994</v>
      </c>
      <c r="F991" s="1052">
        <f t="shared" si="160"/>
        <v>9.3254000000000001</v>
      </c>
      <c r="G991" s="1052">
        <f t="shared" si="161"/>
        <v>6.7110000000000003</v>
      </c>
      <c r="H991" s="1047">
        <f t="shared" si="155"/>
        <v>9.0055999999999994</v>
      </c>
      <c r="I991" s="1048">
        <f t="shared" si="153"/>
        <v>-0.17460246957448688</v>
      </c>
      <c r="J991" s="1048">
        <f t="shared" si="156"/>
        <v>0.12093838824177333</v>
      </c>
      <c r="K991" s="1048">
        <f t="shared" si="157"/>
        <v>0.1</v>
      </c>
      <c r="L991" s="1048"/>
      <c r="N991" s="1051">
        <v>43790</v>
      </c>
      <c r="O991" s="1053">
        <v>7.4332000000000003</v>
      </c>
      <c r="P991" s="1053">
        <v>1.2183999999999999</v>
      </c>
      <c r="Q991" s="1053">
        <v>8.5366</v>
      </c>
      <c r="R991" s="1054">
        <f>'B. PE'!$U$23</f>
        <v>15.978235616082999</v>
      </c>
      <c r="S991" s="1054"/>
      <c r="T991" s="1054"/>
      <c r="V991" s="1051">
        <v>43790</v>
      </c>
      <c r="W991" s="198">
        <v>6.1982999999999997</v>
      </c>
      <c r="X991" s="198">
        <v>0.44740000000000002</v>
      </c>
      <c r="Y991" s="198">
        <v>5.1932</v>
      </c>
      <c r="Z991" s="198">
        <v>0.27933999999999998</v>
      </c>
      <c r="AB991" s="1051">
        <v>43753</v>
      </c>
      <c r="AC991" s="198">
        <v>14.445</v>
      </c>
      <c r="AD991" s="1053">
        <v>1.0931999999999999</v>
      </c>
      <c r="AE991" s="198">
        <v>7.4550000000000001</v>
      </c>
      <c r="AF991" s="198">
        <v>2.3460000000000002E-2</v>
      </c>
      <c r="AH991" s="1051">
        <v>43753</v>
      </c>
      <c r="AI991" s="198">
        <v>9.8337000000000003</v>
      </c>
      <c r="AJ991" s="198">
        <v>1.7478</v>
      </c>
      <c r="AK991" s="198">
        <v>5.7054</v>
      </c>
      <c r="AL991" s="198">
        <v>1.9279999999999999E-2</v>
      </c>
      <c r="AN991" s="1051">
        <v>43762</v>
      </c>
      <c r="AO991" s="198">
        <v>6.8204000000000002</v>
      </c>
      <c r="AP991" s="198">
        <v>0.6149</v>
      </c>
      <c r="AQ991" s="198">
        <v>4.5412999999999997</v>
      </c>
      <c r="AR991" s="198">
        <v>0.12415</v>
      </c>
      <c r="AT991" s="1051">
        <v>43691</v>
      </c>
      <c r="AU991" s="198">
        <v>7.0334000000000003</v>
      </c>
      <c r="AV991" s="198">
        <v>0.45979999999999999</v>
      </c>
      <c r="AX991" s="198">
        <v>0.1171</v>
      </c>
      <c r="BA991" s="1051">
        <v>43742</v>
      </c>
      <c r="BB991" s="198">
        <v>7.0726000000000004</v>
      </c>
      <c r="BC991" s="198">
        <v>1.3565</v>
      </c>
      <c r="BD991" s="198">
        <v>7.7403000000000004</v>
      </c>
      <c r="BE991" s="198">
        <v>0.29087000000000002</v>
      </c>
      <c r="BG991" s="1051">
        <v>43742</v>
      </c>
      <c r="BH991" s="198">
        <v>11.673999999999999</v>
      </c>
      <c r="BI991" s="198">
        <v>2.3170999999999999</v>
      </c>
      <c r="BJ991" s="198">
        <v>16.5077</v>
      </c>
      <c r="BT991" s="1051">
        <v>43790</v>
      </c>
      <c r="BU991" s="198">
        <v>13.6403</v>
      </c>
      <c r="BV991" s="198">
        <v>4.4539999999999997</v>
      </c>
      <c r="BW991" s="198">
        <v>8.5916999999999994</v>
      </c>
      <c r="BX991" s="198">
        <v>1.7095</v>
      </c>
      <c r="BZ991" s="1051">
        <v>43790</v>
      </c>
      <c r="CA991" s="198">
        <v>7.2797999999999998</v>
      </c>
      <c r="CB991" s="198">
        <v>1.9892000000000001</v>
      </c>
      <c r="CC991" s="198">
        <v>8.1879000000000008</v>
      </c>
      <c r="CD991" s="198">
        <v>0.81449000000000005</v>
      </c>
      <c r="CF991" s="1051">
        <v>43789</v>
      </c>
      <c r="CG991" s="198">
        <v>5.5255000000000001</v>
      </c>
      <c r="CH991" s="198">
        <v>1.0907</v>
      </c>
      <c r="CI991" s="198">
        <v>7.1574999999999998</v>
      </c>
      <c r="CL991" s="1051">
        <v>43811</v>
      </c>
      <c r="CM991" s="198">
        <v>14.277100000000001</v>
      </c>
      <c r="CN991" s="198">
        <v>1.9460999999999999</v>
      </c>
      <c r="CO991" s="198">
        <v>10.2531</v>
      </c>
    </row>
    <row r="992" spans="1:93" s="198" customFormat="1">
      <c r="A992" s="1051">
        <v>43789</v>
      </c>
      <c r="B992" s="1052">
        <f t="shared" si="152"/>
        <v>7.4188999999999998</v>
      </c>
      <c r="C992" s="1052">
        <f t="shared" si="154"/>
        <v>6.1982999999999997</v>
      </c>
      <c r="D992" s="1052">
        <f t="shared" si="158"/>
        <v>12.352600000000001</v>
      </c>
      <c r="E992" s="1052">
        <f t="shared" si="159"/>
        <v>9.4690999999999992</v>
      </c>
      <c r="F992" s="1052">
        <f t="shared" si="160"/>
        <v>9.6016999999999992</v>
      </c>
      <c r="G992" s="1052">
        <f t="shared" si="161"/>
        <v>6.7912999999999997</v>
      </c>
      <c r="H992" s="1047">
        <f t="shared" si="155"/>
        <v>9.4690999999999992</v>
      </c>
      <c r="I992" s="1048">
        <f t="shared" si="153"/>
        <v>-0.2165147690910435</v>
      </c>
      <c r="J992" s="1048">
        <f t="shared" si="156"/>
        <v>0.12093838824177333</v>
      </c>
      <c r="K992" s="1048">
        <f t="shared" si="157"/>
        <v>0.1</v>
      </c>
      <c r="L992" s="1048"/>
      <c r="N992" s="1051">
        <v>43789</v>
      </c>
      <c r="O992" s="1053">
        <v>7.4188999999999998</v>
      </c>
      <c r="P992" s="1053">
        <v>1.216</v>
      </c>
      <c r="Q992" s="1053">
        <v>8.5254999999999992</v>
      </c>
      <c r="R992" s="1054">
        <f>'B. PE'!$U$23</f>
        <v>15.978235616082999</v>
      </c>
      <c r="S992" s="1054"/>
      <c r="T992" s="1054"/>
      <c r="V992" s="1051">
        <v>43789</v>
      </c>
      <c r="W992" s="198">
        <v>6.1982999999999997</v>
      </c>
      <c r="X992" s="198">
        <v>0.44740000000000002</v>
      </c>
      <c r="Y992" s="198">
        <v>5.1932</v>
      </c>
      <c r="Z992" s="198">
        <v>0.27929999999999999</v>
      </c>
      <c r="AB992" s="1051">
        <v>43752</v>
      </c>
      <c r="AC992" s="198">
        <v>14.803900000000001</v>
      </c>
      <c r="AD992" s="1053">
        <v>1.1204000000000001</v>
      </c>
      <c r="AE992" s="198">
        <v>7.5835999999999997</v>
      </c>
      <c r="AF992" s="198">
        <v>2.2939999999999999E-2</v>
      </c>
      <c r="AH992" s="1051">
        <v>43752</v>
      </c>
      <c r="AI992" s="198">
        <v>9.3851999999999993</v>
      </c>
      <c r="AJ992" s="198">
        <v>1.6679999999999999</v>
      </c>
      <c r="AK992" s="198">
        <v>5.4706999999999999</v>
      </c>
      <c r="AL992" s="198">
        <v>1.9470000000000001E-2</v>
      </c>
      <c r="AN992" s="1051">
        <v>43761</v>
      </c>
      <c r="AQ992" s="198">
        <v>4.5933999999999999</v>
      </c>
      <c r="AR992" s="198">
        <v>0.12436999999999999</v>
      </c>
      <c r="AT992" s="1051">
        <v>43690</v>
      </c>
      <c r="AU992" s="198">
        <v>7.3295000000000003</v>
      </c>
      <c r="AV992" s="198">
        <v>0.47910000000000003</v>
      </c>
      <c r="AX992" s="198">
        <v>0.11827</v>
      </c>
      <c r="BA992" s="1051">
        <v>43741</v>
      </c>
      <c r="BB992" s="198">
        <v>7.0324</v>
      </c>
      <c r="BC992" s="198">
        <v>1.3488</v>
      </c>
      <c r="BD992" s="198">
        <v>7.7122999999999999</v>
      </c>
      <c r="BE992" s="198">
        <v>0.29409000000000002</v>
      </c>
      <c r="BG992" s="1051">
        <v>43741</v>
      </c>
      <c r="BH992" s="198">
        <v>11.7431</v>
      </c>
      <c r="BI992" s="198">
        <v>2.3308</v>
      </c>
      <c r="BJ992" s="198">
        <v>16.570799999999998</v>
      </c>
      <c r="BT992" s="1051">
        <v>43789</v>
      </c>
      <c r="BU992" s="198">
        <v>14.072900000000001</v>
      </c>
      <c r="BV992" s="198">
        <v>4.5952999999999999</v>
      </c>
      <c r="BW992" s="198">
        <v>8.8534000000000006</v>
      </c>
      <c r="BX992" s="198">
        <v>1.6920999999999999</v>
      </c>
      <c r="BZ992" s="1051">
        <v>43789</v>
      </c>
      <c r="CA992" s="198">
        <v>7.4124999999999996</v>
      </c>
      <c r="CB992" s="198">
        <v>2.0255000000000001</v>
      </c>
      <c r="CC992" s="198">
        <v>8.2856000000000005</v>
      </c>
      <c r="CD992" s="198">
        <v>0.86060000000000003</v>
      </c>
      <c r="CF992" s="1051">
        <v>43788</v>
      </c>
      <c r="CG992" s="198">
        <v>5.5255000000000001</v>
      </c>
      <c r="CH992" s="198">
        <v>1.0907</v>
      </c>
      <c r="CI992" s="198">
        <v>7.1574999999999998</v>
      </c>
      <c r="CL992" s="1051">
        <v>43810</v>
      </c>
      <c r="CM992" s="198">
        <v>14.1737</v>
      </c>
      <c r="CN992" s="198">
        <v>1.9319999999999999</v>
      </c>
      <c r="CO992" s="198">
        <v>10.180899999999999</v>
      </c>
    </row>
    <row r="993" spans="1:93" s="198" customFormat="1">
      <c r="A993" s="1051">
        <v>43788</v>
      </c>
      <c r="B993" s="1052">
        <f t="shared" si="152"/>
        <v>7.3902000000000001</v>
      </c>
      <c r="C993" s="1052">
        <f t="shared" si="154"/>
        <v>6.2225000000000001</v>
      </c>
      <c r="D993" s="1052">
        <f t="shared" si="158"/>
        <v>12.6631</v>
      </c>
      <c r="E993" s="1052">
        <f t="shared" si="159"/>
        <v>9.4690999999999992</v>
      </c>
      <c r="F993" s="1052">
        <f t="shared" si="160"/>
        <v>9.7399000000000004</v>
      </c>
      <c r="G993" s="1052">
        <f t="shared" si="161"/>
        <v>6.8716999999999997</v>
      </c>
      <c r="H993" s="1047">
        <f t="shared" si="155"/>
        <v>9.4690999999999992</v>
      </c>
      <c r="I993" s="1048">
        <f t="shared" si="153"/>
        <v>-0.21954568015967724</v>
      </c>
      <c r="J993" s="1048">
        <f t="shared" si="156"/>
        <v>0.12093838824177333</v>
      </c>
      <c r="K993" s="1048">
        <f t="shared" si="157"/>
        <v>0.1</v>
      </c>
      <c r="L993" s="1048"/>
      <c r="N993" s="1051">
        <v>43788</v>
      </c>
      <c r="O993" s="1053">
        <v>7.3902000000000001</v>
      </c>
      <c r="P993" s="1053">
        <v>1.2114</v>
      </c>
      <c r="Q993" s="1053">
        <v>8.5033999999999992</v>
      </c>
      <c r="R993" s="1054">
        <f>'B. PE'!$U$23</f>
        <v>15.978235616082999</v>
      </c>
      <c r="S993" s="1054"/>
      <c r="T993" s="1054"/>
      <c r="V993" s="1051">
        <v>43788</v>
      </c>
      <c r="W993" s="198">
        <v>6.2225000000000001</v>
      </c>
      <c r="X993" s="198">
        <v>0.44919999999999999</v>
      </c>
      <c r="Y993" s="198">
        <v>5.2030000000000003</v>
      </c>
      <c r="Z993" s="198">
        <v>0.28115000000000001</v>
      </c>
      <c r="AB993" s="1051">
        <v>43749</v>
      </c>
      <c r="AC993" s="198">
        <v>14.848699999999999</v>
      </c>
      <c r="AD993" s="1053">
        <v>1.1237999999999999</v>
      </c>
      <c r="AE993" s="198">
        <v>7.5995999999999997</v>
      </c>
      <c r="AF993" s="198">
        <v>2.1680000000000001E-2</v>
      </c>
      <c r="AH993" s="1051">
        <v>43749</v>
      </c>
      <c r="AI993" s="198">
        <v>9.3851999999999993</v>
      </c>
      <c r="AJ993" s="198">
        <v>1.6679999999999999</v>
      </c>
      <c r="AK993" s="198">
        <v>5.4706999999999999</v>
      </c>
      <c r="AL993" s="198">
        <v>1.942E-2</v>
      </c>
      <c r="AN993" s="1051">
        <v>43760</v>
      </c>
      <c r="AO993" s="198">
        <v>6.8865999999999996</v>
      </c>
      <c r="AP993" s="198">
        <v>0.62080000000000002</v>
      </c>
      <c r="AQ993" s="198">
        <v>4.5933999999999999</v>
      </c>
      <c r="AT993" s="1051">
        <v>43686</v>
      </c>
      <c r="AU993" s="198">
        <v>7.2554999999999996</v>
      </c>
      <c r="AV993" s="198">
        <v>0.4743</v>
      </c>
      <c r="AX993" s="198">
        <v>0.11768000000000001</v>
      </c>
      <c r="BA993" s="1051">
        <v>43740</v>
      </c>
      <c r="BB993" s="198">
        <v>7.1529999999999996</v>
      </c>
      <c r="BC993" s="198">
        <v>1.3718999999999999</v>
      </c>
      <c r="BD993" s="198">
        <v>7.7962999999999996</v>
      </c>
      <c r="BE993" s="198">
        <v>0.29582999999999998</v>
      </c>
      <c r="BG993" s="1051">
        <v>43740</v>
      </c>
      <c r="BH993" s="198">
        <v>11.8812</v>
      </c>
      <c r="BI993" s="198">
        <v>2.3582000000000001</v>
      </c>
      <c r="BJ993" s="198">
        <v>16.696899999999999</v>
      </c>
      <c r="BT993" s="1051">
        <v>43788</v>
      </c>
      <c r="BU993" s="198">
        <v>14.3012</v>
      </c>
      <c r="BV993" s="198">
        <v>4.6698000000000004</v>
      </c>
      <c r="BW993" s="198">
        <v>8.9916</v>
      </c>
      <c r="BX993" s="198">
        <v>1.7023999999999999</v>
      </c>
      <c r="BZ993" s="1051">
        <v>43788</v>
      </c>
      <c r="CA993" s="198">
        <v>7.2134</v>
      </c>
      <c r="CB993" s="198">
        <v>1.9711000000000001</v>
      </c>
      <c r="CC993" s="198">
        <v>8.1390999999999991</v>
      </c>
      <c r="CD993" s="198">
        <v>0.92442000000000002</v>
      </c>
      <c r="CF993" s="1051">
        <v>43787</v>
      </c>
      <c r="CG993" s="198">
        <v>5.6581000000000001</v>
      </c>
      <c r="CH993" s="198">
        <v>1.1168</v>
      </c>
      <c r="CI993" s="198">
        <v>7.2363999999999997</v>
      </c>
      <c r="CL993" s="1051">
        <v>43809</v>
      </c>
      <c r="CM993" s="198">
        <v>14.328799999999999</v>
      </c>
      <c r="CN993" s="198">
        <v>1.9531000000000001</v>
      </c>
      <c r="CO993" s="198">
        <v>10.289199999999999</v>
      </c>
    </row>
    <row r="994" spans="1:93" s="198" customFormat="1">
      <c r="A994" s="1051">
        <v>43787</v>
      </c>
      <c r="B994" s="1052">
        <f t="shared" si="152"/>
        <v>7.3042999999999996</v>
      </c>
      <c r="C994" s="1052">
        <f t="shared" si="154"/>
        <v>6.2225000000000001</v>
      </c>
      <c r="D994" s="1052">
        <f t="shared" si="158"/>
        <v>12.0075</v>
      </c>
      <c r="E994" s="1052">
        <f t="shared" si="159"/>
        <v>9.6015999999999995</v>
      </c>
      <c r="F994" s="1052">
        <f t="shared" si="160"/>
        <v>9.5326000000000004</v>
      </c>
      <c r="G994" s="1052">
        <f t="shared" si="161"/>
        <v>6.7912999999999997</v>
      </c>
      <c r="H994" s="1047">
        <f t="shared" si="155"/>
        <v>9.5326000000000004</v>
      </c>
      <c r="I994" s="1048">
        <f t="shared" si="153"/>
        <v>-0.23375574344879679</v>
      </c>
      <c r="J994" s="1048">
        <f t="shared" si="156"/>
        <v>0.12093838824177333</v>
      </c>
      <c r="K994" s="1048">
        <f t="shared" si="157"/>
        <v>0.1</v>
      </c>
      <c r="L994" s="1048"/>
      <c r="N994" s="1051">
        <v>43787</v>
      </c>
      <c r="O994" s="1053">
        <v>7.3042999999999996</v>
      </c>
      <c r="P994" s="1053">
        <v>1.1973</v>
      </c>
      <c r="Q994" s="1053">
        <v>8.4368999999999996</v>
      </c>
      <c r="R994" s="1054">
        <f>'B. PE'!$U$23</f>
        <v>15.978235616082999</v>
      </c>
      <c r="S994" s="1054"/>
      <c r="T994" s="1054"/>
      <c r="V994" s="1051">
        <v>43787</v>
      </c>
      <c r="W994" s="198">
        <v>6.2225000000000001</v>
      </c>
      <c r="X994" s="198">
        <v>0.44919999999999999</v>
      </c>
      <c r="Y994" s="198">
        <v>5.2030000000000003</v>
      </c>
      <c r="Z994" s="198">
        <v>0.28298000000000001</v>
      </c>
      <c r="AB994" s="1051">
        <v>43748</v>
      </c>
      <c r="AC994" s="198">
        <v>14.534700000000001</v>
      </c>
      <c r="AD994" s="1053">
        <v>1.1000000000000001</v>
      </c>
      <c r="AE994" s="198">
        <v>7.4871999999999996</v>
      </c>
      <c r="AF994" s="198">
        <v>2.1829999999999999E-2</v>
      </c>
      <c r="AH994" s="1051">
        <v>43748</v>
      </c>
      <c r="AI994" s="198">
        <v>9.4886999999999997</v>
      </c>
      <c r="AJ994" s="198">
        <v>1.6863999999999999</v>
      </c>
      <c r="AK994" s="198">
        <v>5.5248999999999997</v>
      </c>
      <c r="AL994" s="198">
        <v>1.9300000000000001E-2</v>
      </c>
      <c r="AN994" s="1051">
        <v>43759</v>
      </c>
      <c r="AO994" s="198">
        <v>6.8865999999999996</v>
      </c>
      <c r="AP994" s="198">
        <v>0.62080000000000002</v>
      </c>
      <c r="AQ994" s="198">
        <v>4.5933999999999999</v>
      </c>
      <c r="AR994" s="198">
        <v>0.12322</v>
      </c>
      <c r="AT994" s="1051">
        <v>43685</v>
      </c>
      <c r="AU994" s="198">
        <v>7.3295000000000003</v>
      </c>
      <c r="AV994" s="198">
        <v>0.47910000000000003</v>
      </c>
      <c r="AX994" s="198">
        <v>0.11448</v>
      </c>
      <c r="BA994" s="1051">
        <v>43739</v>
      </c>
      <c r="BB994" s="198">
        <v>7.2333999999999996</v>
      </c>
      <c r="BC994" s="198">
        <v>1.3873</v>
      </c>
      <c r="BD994" s="198">
        <v>7.8522999999999996</v>
      </c>
      <c r="BE994" s="198">
        <v>0.29387999999999997</v>
      </c>
      <c r="BG994" s="1051">
        <v>43739</v>
      </c>
      <c r="BH994" s="198">
        <v>11.8812</v>
      </c>
      <c r="BI994" s="198">
        <v>2.3582000000000001</v>
      </c>
      <c r="BJ994" s="198">
        <v>16.696899999999999</v>
      </c>
      <c r="BT994" s="1051">
        <v>43787</v>
      </c>
      <c r="BU994" s="198">
        <v>14.157</v>
      </c>
      <c r="BV994" s="198">
        <v>4.6227</v>
      </c>
      <c r="BW994" s="198">
        <v>8.9042999999999992</v>
      </c>
      <c r="BX994" s="198">
        <v>1.6779999999999999</v>
      </c>
      <c r="BZ994" s="1051">
        <v>43787</v>
      </c>
      <c r="CA994" s="198">
        <v>7.6227</v>
      </c>
      <c r="CB994" s="198">
        <v>2.0829</v>
      </c>
      <c r="CC994" s="198">
        <v>8.4402000000000008</v>
      </c>
      <c r="CD994" s="198">
        <v>0.97443000000000002</v>
      </c>
      <c r="CF994" s="1051">
        <v>43784</v>
      </c>
      <c r="CG994" s="198">
        <v>5.3487</v>
      </c>
      <c r="CH994" s="198">
        <v>1.0558000000000001</v>
      </c>
      <c r="CI994" s="198">
        <v>7.0522</v>
      </c>
      <c r="CL994" s="1051">
        <v>43808</v>
      </c>
      <c r="CM994" s="198">
        <v>14.4064</v>
      </c>
      <c r="CN994" s="198">
        <v>1.9637</v>
      </c>
      <c r="CO994" s="198">
        <v>10.343400000000001</v>
      </c>
    </row>
    <row r="995" spans="1:93" s="198" customFormat="1">
      <c r="A995" s="1051">
        <v>43784</v>
      </c>
      <c r="B995" s="1052">
        <f t="shared" si="152"/>
        <v>7.4188999999999998</v>
      </c>
      <c r="C995" s="1052">
        <f t="shared" si="154"/>
        <v>6.2629000000000001</v>
      </c>
      <c r="D995" s="1052">
        <f t="shared" si="158"/>
        <v>12.1455</v>
      </c>
      <c r="E995" s="1052">
        <f t="shared" si="159"/>
        <v>9.4690999999999992</v>
      </c>
      <c r="F995" s="1052">
        <f t="shared" si="160"/>
        <v>9.5326000000000004</v>
      </c>
      <c r="G995" s="1052">
        <f t="shared" si="161"/>
        <v>6.9520999999999997</v>
      </c>
      <c r="H995" s="1047">
        <f t="shared" si="155"/>
        <v>9.4690999999999992</v>
      </c>
      <c r="I995" s="1048">
        <f t="shared" si="153"/>
        <v>-0.2165147690910435</v>
      </c>
      <c r="J995" s="1048">
        <f t="shared" si="156"/>
        <v>0.12093838824177333</v>
      </c>
      <c r="K995" s="1048">
        <f t="shared" si="157"/>
        <v>0.1</v>
      </c>
      <c r="L995" s="1048"/>
      <c r="N995" s="1051">
        <v>43784</v>
      </c>
      <c r="O995" s="1053">
        <v>7.4188999999999998</v>
      </c>
      <c r="P995" s="1053">
        <v>1.216</v>
      </c>
      <c r="Q995" s="1053">
        <v>8.5254999999999992</v>
      </c>
      <c r="R995" s="1054">
        <f>'B. PE'!$U$23</f>
        <v>15.978235616082999</v>
      </c>
      <c r="S995" s="1054"/>
      <c r="T995" s="1054"/>
      <c r="V995" s="1051">
        <v>43784</v>
      </c>
      <c r="W995" s="198">
        <v>6.2629000000000001</v>
      </c>
      <c r="X995" s="198">
        <v>0.4521</v>
      </c>
      <c r="Y995" s="198">
        <v>5.2192999999999996</v>
      </c>
      <c r="Z995" s="198">
        <v>0.28333999999999998</v>
      </c>
      <c r="AB995" s="1051">
        <v>43747</v>
      </c>
      <c r="AC995" s="198">
        <v>13.7721</v>
      </c>
      <c r="AD995" s="1053">
        <v>1.0423</v>
      </c>
      <c r="AE995" s="198">
        <v>7.2140000000000004</v>
      </c>
      <c r="AF995" s="198">
        <v>2.1440000000000001E-2</v>
      </c>
      <c r="AH995" s="1051">
        <v>43747</v>
      </c>
      <c r="AI995" s="198">
        <v>9.4886999999999997</v>
      </c>
      <c r="AJ995" s="198">
        <v>1.6863999999999999</v>
      </c>
      <c r="AK995" s="198">
        <v>5.5248999999999997</v>
      </c>
      <c r="AL995" s="198">
        <v>1.9400000000000001E-2</v>
      </c>
      <c r="AN995" s="1051">
        <v>43756</v>
      </c>
      <c r="AQ995" s="198">
        <v>4.5412999999999997</v>
      </c>
      <c r="AR995" s="198">
        <v>0.12277</v>
      </c>
      <c r="AT995" s="1051">
        <v>43684</v>
      </c>
      <c r="AU995" s="198">
        <v>7.3295000000000003</v>
      </c>
      <c r="AV995" s="198">
        <v>0.47910000000000003</v>
      </c>
      <c r="AX995" s="198">
        <v>0.11187999999999999</v>
      </c>
      <c r="BA995" s="1051">
        <v>43738</v>
      </c>
      <c r="BB995" s="198">
        <v>7.2736000000000001</v>
      </c>
      <c r="BC995" s="198">
        <v>1.395</v>
      </c>
      <c r="BD995" s="198">
        <v>7.8803000000000001</v>
      </c>
      <c r="BE995" s="198">
        <v>0.29365999999999998</v>
      </c>
      <c r="BG995" s="1051">
        <v>43738</v>
      </c>
      <c r="BH995" s="198">
        <v>11.8812</v>
      </c>
      <c r="BI995" s="198">
        <v>2.3582000000000001</v>
      </c>
      <c r="BJ995" s="198">
        <v>16.696899999999999</v>
      </c>
      <c r="BT995" s="1051">
        <v>43784</v>
      </c>
      <c r="BU995" s="198">
        <v>14.241199999999999</v>
      </c>
      <c r="BV995" s="198">
        <v>4.6501999999999999</v>
      </c>
      <c r="BW995" s="198">
        <v>8.9551999999999996</v>
      </c>
      <c r="BX995" s="198">
        <v>1.7225999999999999</v>
      </c>
      <c r="BZ995" s="1051">
        <v>43784</v>
      </c>
      <c r="CA995" s="198">
        <v>8.1869999999999994</v>
      </c>
      <c r="CB995" s="198">
        <v>2.2370999999999999</v>
      </c>
      <c r="CC995" s="198">
        <v>8.8551000000000002</v>
      </c>
      <c r="CD995" s="198">
        <v>0.98068</v>
      </c>
      <c r="CF995" s="1051">
        <v>43783</v>
      </c>
      <c r="CG995" s="198">
        <v>5.7023000000000001</v>
      </c>
      <c r="CH995" s="198">
        <v>1.1255999999999999</v>
      </c>
      <c r="CI995" s="198">
        <v>7.2628000000000004</v>
      </c>
      <c r="CL995" s="1051">
        <v>43805</v>
      </c>
      <c r="CM995" s="198">
        <v>14.5069</v>
      </c>
      <c r="CN995" s="198">
        <v>1.9774</v>
      </c>
      <c r="CO995" s="198">
        <v>10.4137</v>
      </c>
    </row>
    <row r="996" spans="1:93" s="198" customFormat="1">
      <c r="A996" s="1051">
        <v>43783</v>
      </c>
      <c r="B996" s="1052">
        <f t="shared" si="152"/>
        <v>7.4332000000000003</v>
      </c>
      <c r="C996" s="1052">
        <f t="shared" si="154"/>
        <v>6.3033999999999999</v>
      </c>
      <c r="D996" s="1052">
        <f t="shared" si="158"/>
        <v>12.076499999999999</v>
      </c>
      <c r="E996" s="1052">
        <f t="shared" si="159"/>
        <v>9.734</v>
      </c>
      <c r="F996" s="1052">
        <f t="shared" si="160"/>
        <v>9.8088999999999995</v>
      </c>
      <c r="G996" s="1052">
        <f t="shared" si="161"/>
        <v>6.9923000000000002</v>
      </c>
      <c r="H996" s="1047">
        <f t="shared" si="155"/>
        <v>9.734</v>
      </c>
      <c r="I996" s="1048">
        <f t="shared" si="153"/>
        <v>-0.23636737209780145</v>
      </c>
      <c r="J996" s="1048">
        <f t="shared" si="156"/>
        <v>0.12093838824177333</v>
      </c>
      <c r="K996" s="1048">
        <f t="shared" si="157"/>
        <v>0.1</v>
      </c>
      <c r="L996" s="1048"/>
      <c r="N996" s="1051">
        <v>43783</v>
      </c>
      <c r="O996" s="1053">
        <v>7.4332000000000003</v>
      </c>
      <c r="P996" s="1053">
        <v>1.2183999999999999</v>
      </c>
      <c r="Q996" s="1053">
        <v>8.5366</v>
      </c>
      <c r="R996" s="1054">
        <f>'B. PE'!$U$23</f>
        <v>15.978235616082999</v>
      </c>
      <c r="S996" s="1054"/>
      <c r="T996" s="1054"/>
      <c r="V996" s="1051">
        <v>43783</v>
      </c>
      <c r="W996" s="198">
        <v>6.3033999999999999</v>
      </c>
      <c r="X996" s="198">
        <v>0.45500000000000002</v>
      </c>
      <c r="Y996" s="198">
        <v>5.2356999999999996</v>
      </c>
      <c r="Z996" s="198">
        <v>0.28299999999999997</v>
      </c>
      <c r="AB996" s="1051">
        <v>43746</v>
      </c>
      <c r="AC996" s="198">
        <v>13.906700000000001</v>
      </c>
      <c r="AD996" s="1053">
        <v>1.0525</v>
      </c>
      <c r="AE996" s="198">
        <v>7.2622</v>
      </c>
      <c r="AF996" s="198">
        <v>2.342E-2</v>
      </c>
      <c r="AH996" s="1051">
        <v>43746</v>
      </c>
      <c r="AI996" s="198">
        <v>9.4542000000000002</v>
      </c>
      <c r="AJ996" s="198">
        <v>1.6802999999999999</v>
      </c>
      <c r="AK996" s="198">
        <v>5.5068000000000001</v>
      </c>
      <c r="AL996" s="198">
        <v>1.9310000000000001E-2</v>
      </c>
      <c r="AN996" s="1051">
        <v>43755</v>
      </c>
      <c r="AO996" s="198">
        <v>6.8204000000000002</v>
      </c>
      <c r="AP996" s="198">
        <v>0.6149</v>
      </c>
      <c r="AQ996" s="198">
        <v>4.5412999999999997</v>
      </c>
      <c r="AT996" s="1051">
        <v>43683</v>
      </c>
      <c r="AU996" s="198">
        <v>7.1074000000000002</v>
      </c>
      <c r="AV996" s="198">
        <v>0.46460000000000001</v>
      </c>
      <c r="AX996" s="198">
        <v>0.11598</v>
      </c>
      <c r="BA996" s="1051">
        <v>43735</v>
      </c>
      <c r="BB996" s="198">
        <v>6.7964000000000002</v>
      </c>
      <c r="BC996" s="198">
        <v>1.4504999999999999</v>
      </c>
      <c r="BD996" s="198">
        <v>7.2693000000000003</v>
      </c>
      <c r="BE996" s="198">
        <v>0.29072999999999999</v>
      </c>
      <c r="BG996" s="1051">
        <v>43735</v>
      </c>
      <c r="BH996" s="198">
        <v>10.624599999999999</v>
      </c>
      <c r="BI996" s="198">
        <v>2.3182</v>
      </c>
      <c r="BJ996" s="198">
        <v>15.7004</v>
      </c>
      <c r="BT996" s="1051">
        <v>43783</v>
      </c>
      <c r="BU996" s="198">
        <v>14.036899999999999</v>
      </c>
      <c r="BV996" s="198">
        <v>4.5834999999999999</v>
      </c>
      <c r="BW996" s="198">
        <v>8.8324999999999996</v>
      </c>
      <c r="BX996" s="198">
        <v>1.7572000000000001</v>
      </c>
      <c r="BZ996" s="1051">
        <v>43783</v>
      </c>
      <c r="CA996" s="198">
        <v>8.6295000000000002</v>
      </c>
      <c r="CB996" s="198">
        <v>2.3580000000000001</v>
      </c>
      <c r="CC996" s="198">
        <v>9.1805000000000003</v>
      </c>
      <c r="CD996" s="198">
        <v>1.0119899999999999</v>
      </c>
      <c r="CF996" s="1051">
        <v>43782</v>
      </c>
      <c r="CG996" s="198">
        <v>5.2603</v>
      </c>
      <c r="CH996" s="198">
        <v>1.0383</v>
      </c>
      <c r="CI996" s="198">
        <v>6.9995000000000003</v>
      </c>
      <c r="CL996" s="1051">
        <v>43804</v>
      </c>
      <c r="CM996" s="198">
        <v>14.5069</v>
      </c>
      <c r="CN996" s="198">
        <v>1.9774</v>
      </c>
      <c r="CO996" s="198">
        <v>10.4137</v>
      </c>
    </row>
    <row r="997" spans="1:93" s="198" customFormat="1">
      <c r="A997" s="1051">
        <v>43782</v>
      </c>
      <c r="B997" s="1052">
        <f t="shared" si="152"/>
        <v>7.5621</v>
      </c>
      <c r="C997" s="1052">
        <f t="shared" si="154"/>
        <v>6.3113999999999999</v>
      </c>
      <c r="D997" s="1052">
        <f t="shared" si="158"/>
        <v>12.2836</v>
      </c>
      <c r="E997" s="1052">
        <f t="shared" si="159"/>
        <v>9.2042999999999999</v>
      </c>
      <c r="F997" s="1052">
        <f t="shared" si="160"/>
        <v>10.0852</v>
      </c>
      <c r="G997" s="1052">
        <f t="shared" si="161"/>
        <v>7.0324</v>
      </c>
      <c r="H997" s="1047">
        <f t="shared" si="155"/>
        <v>9.2042999999999999</v>
      </c>
      <c r="I997" s="1048">
        <f t="shared" si="153"/>
        <v>-0.17841660962810857</v>
      </c>
      <c r="J997" s="1048">
        <f t="shared" si="156"/>
        <v>0.12093838824177333</v>
      </c>
      <c r="K997" s="1048">
        <f t="shared" si="157"/>
        <v>0.1</v>
      </c>
      <c r="L997" s="1048"/>
      <c r="N997" s="1051">
        <v>43782</v>
      </c>
      <c r="O997" s="1053">
        <v>7.5621</v>
      </c>
      <c r="P997" s="1053">
        <v>1.2395</v>
      </c>
      <c r="Q997" s="1053">
        <v>8.6363000000000003</v>
      </c>
      <c r="R997" s="1054">
        <f>'B. PE'!$U$23</f>
        <v>15.978235616082999</v>
      </c>
      <c r="S997" s="1054"/>
      <c r="T997" s="1054"/>
      <c r="V997" s="1051">
        <v>43782</v>
      </c>
      <c r="W997" s="198">
        <v>6.3113999999999999</v>
      </c>
      <c r="X997" s="198">
        <v>0.4556</v>
      </c>
      <c r="Y997" s="198">
        <v>5.2389000000000001</v>
      </c>
      <c r="Z997" s="198">
        <v>0.28409000000000001</v>
      </c>
      <c r="AB997" s="1051">
        <v>43745</v>
      </c>
      <c r="AC997" s="198">
        <v>13.637499999999999</v>
      </c>
      <c r="AD997" s="1053">
        <v>1.0321</v>
      </c>
      <c r="AE997" s="198">
        <v>7.1657999999999999</v>
      </c>
      <c r="AF997" s="198">
        <v>2.453E-2</v>
      </c>
      <c r="AH997" s="1051">
        <v>43745</v>
      </c>
      <c r="AI997" s="198">
        <v>9.4886999999999997</v>
      </c>
      <c r="AJ997" s="198">
        <v>1.6863999999999999</v>
      </c>
      <c r="AK997" s="198">
        <v>5.5248999999999997</v>
      </c>
      <c r="AL997" s="198">
        <v>1.8800000000000001E-2</v>
      </c>
      <c r="AN997" s="1051">
        <v>43754</v>
      </c>
      <c r="AO997" s="198">
        <v>6.8204000000000002</v>
      </c>
      <c r="AP997" s="198">
        <v>0.6149</v>
      </c>
      <c r="AQ997" s="198">
        <v>4.5412999999999997</v>
      </c>
      <c r="AR997" s="198">
        <v>0.12296</v>
      </c>
      <c r="AT997" s="1051">
        <v>43682</v>
      </c>
      <c r="AU997" s="198">
        <v>6.9593999999999996</v>
      </c>
      <c r="AV997" s="198">
        <v>0.45490000000000003</v>
      </c>
      <c r="AX997" s="198">
        <v>0.11464000000000001</v>
      </c>
      <c r="BA997" s="1051">
        <v>43734</v>
      </c>
      <c r="BB997" s="198">
        <v>6.7964000000000002</v>
      </c>
      <c r="BC997" s="198">
        <v>1.4504999999999999</v>
      </c>
      <c r="BD997" s="198">
        <v>7.2693000000000003</v>
      </c>
      <c r="BE997" s="198">
        <v>0.29302</v>
      </c>
      <c r="BG997" s="1051">
        <v>43734</v>
      </c>
      <c r="BH997" s="198">
        <v>10.624599999999999</v>
      </c>
      <c r="BI997" s="198">
        <v>2.3182</v>
      </c>
      <c r="BJ997" s="198">
        <v>15.7004</v>
      </c>
      <c r="BT997" s="1051">
        <v>43782</v>
      </c>
      <c r="BU997" s="198">
        <v>14.4094</v>
      </c>
      <c r="BV997" s="198">
        <v>4.7051999999999996</v>
      </c>
      <c r="BW997" s="198">
        <v>9.0579000000000001</v>
      </c>
      <c r="BX997" s="198">
        <v>1.7514000000000001</v>
      </c>
      <c r="BZ997" s="1051">
        <v>43782</v>
      </c>
      <c r="CA997" s="198">
        <v>8.6847999999999992</v>
      </c>
      <c r="CB997" s="198">
        <v>2.3732000000000002</v>
      </c>
      <c r="CC997" s="198">
        <v>9.2211999999999996</v>
      </c>
      <c r="CD997" s="198">
        <v>1.01949</v>
      </c>
      <c r="CF997" s="1051">
        <v>43781</v>
      </c>
      <c r="CI997" s="198">
        <v>7.2628000000000004</v>
      </c>
      <c r="CL997" s="1051">
        <v>43803</v>
      </c>
      <c r="CM997" s="198">
        <v>14.4064</v>
      </c>
      <c r="CN997" s="198">
        <v>1.9637</v>
      </c>
      <c r="CO997" s="198">
        <v>10.343400000000001</v>
      </c>
    </row>
    <row r="998" spans="1:93" s="198" customFormat="1">
      <c r="A998" s="1051">
        <v>43781</v>
      </c>
      <c r="B998" s="1052">
        <f t="shared" si="152"/>
        <v>7.6909999999999998</v>
      </c>
      <c r="C998" s="1052">
        <f t="shared" si="154"/>
        <v>6.3033999999999999</v>
      </c>
      <c r="D998" s="1052">
        <f t="shared" si="158"/>
        <v>12.7666</v>
      </c>
      <c r="E998" s="1052">
        <f t="shared" si="159"/>
        <v>9.6015999999999995</v>
      </c>
      <c r="F998" s="1052">
        <f t="shared" si="160"/>
        <v>10.2925</v>
      </c>
      <c r="G998" s="1052">
        <f t="shared" si="161"/>
        <v>6.9119000000000002</v>
      </c>
      <c r="H998" s="1047">
        <f t="shared" si="155"/>
        <v>9.6015999999999995</v>
      </c>
      <c r="I998" s="1048">
        <f t="shared" si="153"/>
        <v>-0.19898766872187967</v>
      </c>
      <c r="J998" s="1048">
        <f t="shared" si="156"/>
        <v>0.12093838824177333</v>
      </c>
      <c r="K998" s="1048">
        <f t="shared" si="157"/>
        <v>0.1</v>
      </c>
      <c r="L998" s="1048"/>
      <c r="N998" s="1051">
        <v>43781</v>
      </c>
      <c r="O998" s="1053">
        <v>7.6909999999999998</v>
      </c>
      <c r="P998" s="1053">
        <v>1.2605999999999999</v>
      </c>
      <c r="Q998" s="1053">
        <v>8.7361000000000004</v>
      </c>
      <c r="R998" s="1054">
        <f>'B. PE'!$U$23</f>
        <v>15.978235616082999</v>
      </c>
      <c r="S998" s="1054"/>
      <c r="T998" s="1054"/>
      <c r="V998" s="1051">
        <v>43781</v>
      </c>
      <c r="W998" s="198">
        <v>6.3033999999999999</v>
      </c>
      <c r="X998" s="198">
        <v>0.45500000000000002</v>
      </c>
      <c r="Y998" s="198">
        <v>5.2356999999999996</v>
      </c>
      <c r="Z998" s="198">
        <v>0.28299999999999997</v>
      </c>
      <c r="AB998" s="1051">
        <v>43742</v>
      </c>
      <c r="AC998" s="198">
        <v>14.848699999999999</v>
      </c>
      <c r="AD998" s="1053">
        <v>1.1237999999999999</v>
      </c>
      <c r="AE998" s="198">
        <v>7.5995999999999997</v>
      </c>
      <c r="AF998" s="198">
        <v>2.4080000000000001E-2</v>
      </c>
      <c r="AH998" s="1051">
        <v>43742</v>
      </c>
      <c r="AI998" s="198">
        <v>9.4197000000000006</v>
      </c>
      <c r="AJ998" s="198">
        <v>1.6741999999999999</v>
      </c>
      <c r="AK998" s="198">
        <v>5.4886999999999997</v>
      </c>
      <c r="AL998" s="198">
        <v>1.9640000000000001E-2</v>
      </c>
      <c r="AN998" s="1051">
        <v>43753</v>
      </c>
      <c r="AQ998" s="198">
        <v>4.5412999999999997</v>
      </c>
      <c r="AR998" s="198">
        <v>0.12300999999999999</v>
      </c>
      <c r="AT998" s="1051">
        <v>43679</v>
      </c>
      <c r="AU998" s="198">
        <v>7.1814999999999998</v>
      </c>
      <c r="AV998" s="198">
        <v>0.46939999999999998</v>
      </c>
      <c r="AX998" s="198">
        <v>0.12021999999999999</v>
      </c>
      <c r="BA998" s="1051">
        <v>43733</v>
      </c>
      <c r="BB998" s="198">
        <v>6.7209000000000003</v>
      </c>
      <c r="BC998" s="198">
        <v>1.4343999999999999</v>
      </c>
      <c r="BD998" s="198">
        <v>7.2163000000000004</v>
      </c>
      <c r="BE998" s="198">
        <v>0.29366999999999999</v>
      </c>
      <c r="BG998" s="1051">
        <v>43733</v>
      </c>
      <c r="BH998" s="198">
        <v>10.500299999999999</v>
      </c>
      <c r="BI998" s="198">
        <v>2.2909999999999999</v>
      </c>
      <c r="BJ998" s="198">
        <v>15.588900000000001</v>
      </c>
      <c r="BT998" s="1051">
        <v>43781</v>
      </c>
      <c r="BU998" s="198">
        <v>14.697800000000001</v>
      </c>
      <c r="BV998" s="198">
        <v>4.7992999999999997</v>
      </c>
      <c r="BW998" s="198">
        <v>9.2324000000000002</v>
      </c>
      <c r="BX998" s="198">
        <v>1.7902</v>
      </c>
      <c r="BZ998" s="1051">
        <v>43781</v>
      </c>
      <c r="CA998" s="198">
        <v>8.9613999999999994</v>
      </c>
      <c r="CB998" s="198">
        <v>2.4487000000000001</v>
      </c>
      <c r="CC998" s="198">
        <v>9.4245999999999999</v>
      </c>
      <c r="CD998" s="198">
        <v>1.0044999999999999</v>
      </c>
      <c r="CF998" s="1051">
        <v>43780</v>
      </c>
      <c r="CG998" s="198">
        <v>5.7023000000000001</v>
      </c>
      <c r="CH998" s="198">
        <v>1.1255999999999999</v>
      </c>
      <c r="CI998" s="198">
        <v>7.2628000000000004</v>
      </c>
      <c r="CL998" s="1051">
        <v>43802</v>
      </c>
      <c r="CM998" s="198">
        <v>14.4208</v>
      </c>
      <c r="CN998" s="198">
        <v>1.9657</v>
      </c>
      <c r="CO998" s="198">
        <v>10.3535</v>
      </c>
    </row>
    <row r="999" spans="1:93" s="198" customFormat="1">
      <c r="A999" s="1051">
        <v>43780</v>
      </c>
      <c r="B999" s="1052">
        <f t="shared" si="152"/>
        <v>7.6767000000000003</v>
      </c>
      <c r="C999" s="1052">
        <f t="shared" si="154"/>
        <v>6.3276000000000003</v>
      </c>
      <c r="D999" s="1052">
        <f t="shared" si="158"/>
        <v>12.7666</v>
      </c>
      <c r="E999" s="1052">
        <f t="shared" si="159"/>
        <v>9.2042999999999999</v>
      </c>
      <c r="F999" s="1052">
        <f t="shared" si="160"/>
        <v>10.6379</v>
      </c>
      <c r="G999" s="1052">
        <f t="shared" si="161"/>
        <v>6.8716999999999997</v>
      </c>
      <c r="H999" s="1047">
        <f t="shared" si="155"/>
        <v>9.2042999999999999</v>
      </c>
      <c r="I999" s="1048">
        <f t="shared" si="153"/>
        <v>-0.16596590723900784</v>
      </c>
      <c r="J999" s="1048">
        <f t="shared" si="156"/>
        <v>0.12093838824177333</v>
      </c>
      <c r="K999" s="1048">
        <f t="shared" si="157"/>
        <v>0.1</v>
      </c>
      <c r="L999" s="1048"/>
      <c r="N999" s="1051">
        <v>43780</v>
      </c>
      <c r="O999" s="1053">
        <v>7.6767000000000003</v>
      </c>
      <c r="P999" s="1053">
        <v>1.2583</v>
      </c>
      <c r="Q999" s="1053">
        <v>8.7249999999999996</v>
      </c>
      <c r="R999" s="1054">
        <f>'B. PE'!$U$23</f>
        <v>15.978235616082999</v>
      </c>
      <c r="S999" s="1054"/>
      <c r="T999" s="1054"/>
      <c r="V999" s="1051">
        <v>43780</v>
      </c>
      <c r="W999" s="198">
        <v>6.3276000000000003</v>
      </c>
      <c r="X999" s="198">
        <v>0.45679999999999998</v>
      </c>
      <c r="Y999" s="198">
        <v>5.2454999999999998</v>
      </c>
      <c r="Z999" s="198">
        <v>0.28190999999999999</v>
      </c>
      <c r="AB999" s="1051">
        <v>43741</v>
      </c>
      <c r="AC999" s="198">
        <v>15.5665</v>
      </c>
      <c r="AD999" s="1053">
        <v>1.1780999999999999</v>
      </c>
      <c r="AE999" s="198">
        <v>7.8567</v>
      </c>
      <c r="AF999" s="198">
        <v>2.4060000000000002E-2</v>
      </c>
      <c r="AH999" s="1051">
        <v>43741</v>
      </c>
      <c r="AI999" s="198">
        <v>9.1782000000000004</v>
      </c>
      <c r="AJ999" s="198">
        <v>1.6312</v>
      </c>
      <c r="AK999" s="198">
        <v>5.3624000000000001</v>
      </c>
      <c r="AL999" s="198">
        <v>2.0539999999999999E-2</v>
      </c>
      <c r="AN999" s="1051">
        <v>43752</v>
      </c>
      <c r="AO999" s="198">
        <v>6.8204000000000002</v>
      </c>
      <c r="AP999" s="198">
        <v>0.6149</v>
      </c>
      <c r="AQ999" s="198">
        <v>4.5412999999999997</v>
      </c>
      <c r="AR999" s="198">
        <v>0.12168</v>
      </c>
      <c r="AT999" s="1051">
        <v>43678</v>
      </c>
      <c r="AU999" s="198">
        <v>7.0334000000000003</v>
      </c>
      <c r="AV999" s="198">
        <v>0.45979999999999999</v>
      </c>
      <c r="AX999" s="198">
        <v>0.11539000000000001</v>
      </c>
      <c r="BA999" s="1051">
        <v>43732</v>
      </c>
      <c r="BB999" s="198">
        <v>6.7586000000000004</v>
      </c>
      <c r="BC999" s="198">
        <v>1.4424999999999999</v>
      </c>
      <c r="BD999" s="198">
        <v>7.2427999999999999</v>
      </c>
      <c r="BE999" s="198">
        <v>0.29521999999999998</v>
      </c>
      <c r="BG999" s="1051">
        <v>43732</v>
      </c>
      <c r="BH999" s="198">
        <v>10.375999999999999</v>
      </c>
      <c r="BI999" s="198">
        <v>2.2639</v>
      </c>
      <c r="BJ999" s="198">
        <v>15.477399999999999</v>
      </c>
      <c r="BT999" s="1051">
        <v>43780</v>
      </c>
      <c r="BU999" s="198">
        <v>14.649800000000001</v>
      </c>
      <c r="BV999" s="198">
        <v>4.7835999999999999</v>
      </c>
      <c r="BW999" s="198">
        <v>9.2033000000000005</v>
      </c>
      <c r="BX999" s="198">
        <v>1.8003</v>
      </c>
      <c r="BZ999" s="1051">
        <v>43780</v>
      </c>
      <c r="CA999" s="198">
        <v>9.0277999999999992</v>
      </c>
      <c r="CB999" s="198">
        <v>2.4668999999999999</v>
      </c>
      <c r="CC999" s="198">
        <v>9.4733999999999998</v>
      </c>
      <c r="CD999" s="198">
        <v>0.99199999999999999</v>
      </c>
      <c r="CF999" s="1051">
        <v>43777</v>
      </c>
      <c r="CG999" s="198">
        <v>5.5255000000000001</v>
      </c>
      <c r="CH999" s="198">
        <v>1.0907</v>
      </c>
      <c r="CI999" s="198">
        <v>7.1574999999999998</v>
      </c>
      <c r="CL999" s="1051">
        <v>43801</v>
      </c>
      <c r="CM999" s="198">
        <v>14.636200000000001</v>
      </c>
      <c r="CN999" s="198">
        <v>1.9950000000000001</v>
      </c>
      <c r="CO999" s="198">
        <v>10.504</v>
      </c>
    </row>
    <row r="1000" spans="1:93" s="198" customFormat="1">
      <c r="A1000" s="1051">
        <v>43777</v>
      </c>
      <c r="B1000" s="1052">
        <f t="shared" si="152"/>
        <v>7.4474999999999998</v>
      </c>
      <c r="C1000" s="1052">
        <f t="shared" si="154"/>
        <v>6.3033999999999999</v>
      </c>
      <c r="D1000" s="1052">
        <f t="shared" si="158"/>
        <v>12.318099999999999</v>
      </c>
      <c r="E1000" s="1052">
        <f t="shared" si="159"/>
        <v>8.2772000000000006</v>
      </c>
      <c r="F1000" s="1052">
        <f t="shared" si="160"/>
        <v>10.914199999999999</v>
      </c>
      <c r="G1000" s="1052">
        <f t="shared" si="161"/>
        <v>6.8716999999999997</v>
      </c>
      <c r="H1000" s="1047">
        <f t="shared" si="155"/>
        <v>8.2772000000000006</v>
      </c>
      <c r="I1000" s="1048">
        <f t="shared" si="153"/>
        <v>-0.10023921132750213</v>
      </c>
      <c r="J1000" s="1048">
        <f t="shared" si="156"/>
        <v>0.12093838824177333</v>
      </c>
      <c r="K1000" s="1048">
        <f t="shared" si="157"/>
        <v>0.1</v>
      </c>
      <c r="L1000" s="1048"/>
      <c r="N1000" s="1051">
        <v>43777</v>
      </c>
      <c r="O1000" s="1053">
        <v>7.4474999999999998</v>
      </c>
      <c r="P1000" s="1053">
        <v>1.2206999999999999</v>
      </c>
      <c r="Q1000" s="1053">
        <v>8.5477000000000007</v>
      </c>
      <c r="R1000" s="1054">
        <f>'B. PE'!$U$23</f>
        <v>15.978235616082999</v>
      </c>
      <c r="S1000" s="1054"/>
      <c r="T1000" s="1054"/>
      <c r="V1000" s="1051">
        <v>43777</v>
      </c>
      <c r="W1000" s="198">
        <v>6.3033999999999999</v>
      </c>
      <c r="X1000" s="198">
        <v>0.45500000000000002</v>
      </c>
      <c r="Y1000" s="198">
        <v>5.2356999999999996</v>
      </c>
      <c r="Z1000" s="198">
        <v>0.28190999999999999</v>
      </c>
      <c r="AB1000" s="1051">
        <v>43740</v>
      </c>
      <c r="AC1000" s="198">
        <v>15.3422</v>
      </c>
      <c r="AD1000" s="1053">
        <v>1.1611</v>
      </c>
      <c r="AE1000" s="198">
        <v>7.7763</v>
      </c>
      <c r="AF1000" s="198">
        <v>2.5749999999999999E-2</v>
      </c>
      <c r="AH1000" s="1051">
        <v>43740</v>
      </c>
      <c r="AI1000" s="198">
        <v>9.6266999999999996</v>
      </c>
      <c r="AJ1000" s="198">
        <v>1.7110000000000001</v>
      </c>
      <c r="AK1000" s="198">
        <v>5.5971000000000002</v>
      </c>
      <c r="AL1000" s="198">
        <v>2.0310000000000002E-2</v>
      </c>
      <c r="AN1000" s="1051">
        <v>43749</v>
      </c>
      <c r="AO1000" s="198">
        <v>6.8204000000000002</v>
      </c>
      <c r="AP1000" s="198">
        <v>0.6149</v>
      </c>
      <c r="AQ1000" s="198">
        <v>4.5412999999999997</v>
      </c>
      <c r="AR1000" s="198">
        <v>0.12272</v>
      </c>
      <c r="AT1000" s="1051">
        <v>43671</v>
      </c>
      <c r="AU1000" s="198">
        <v>7.3295000000000003</v>
      </c>
      <c r="AV1000" s="198">
        <v>0.47910000000000003</v>
      </c>
      <c r="AX1000" s="198">
        <v>0.12037</v>
      </c>
      <c r="BA1000" s="1051">
        <v>43731</v>
      </c>
      <c r="BB1000" s="198">
        <v>6.7586000000000004</v>
      </c>
      <c r="BC1000" s="198">
        <v>1.4424999999999999</v>
      </c>
      <c r="BD1000" s="198">
        <v>7.2427999999999999</v>
      </c>
      <c r="BE1000" s="198">
        <v>0.29313</v>
      </c>
      <c r="BG1000" s="1051">
        <v>43731</v>
      </c>
      <c r="BH1000" s="198">
        <v>10.375999999999999</v>
      </c>
      <c r="BI1000" s="198">
        <v>2.2639</v>
      </c>
      <c r="BJ1000" s="198">
        <v>15.477399999999999</v>
      </c>
      <c r="BT1000" s="1051">
        <v>43777</v>
      </c>
      <c r="BU1000" s="198">
        <v>14.9742</v>
      </c>
      <c r="BV1000" s="198">
        <v>4.8895999999999997</v>
      </c>
      <c r="BW1000" s="198">
        <v>9.3995999999999995</v>
      </c>
      <c r="BX1000" s="198">
        <v>1.7902</v>
      </c>
      <c r="BZ1000" s="1051">
        <v>43777</v>
      </c>
      <c r="CA1000" s="198">
        <v>8.8950999999999993</v>
      </c>
      <c r="CB1000" s="198">
        <v>2.4306000000000001</v>
      </c>
      <c r="CC1000" s="198">
        <v>9.3757999999999999</v>
      </c>
      <c r="CD1000" s="198">
        <v>1.02199</v>
      </c>
      <c r="CF1000" s="1051">
        <v>43776</v>
      </c>
      <c r="CG1000" s="198">
        <v>5.5255000000000001</v>
      </c>
      <c r="CH1000" s="198">
        <v>1.0907</v>
      </c>
      <c r="CI1000" s="198">
        <v>7.1574999999999998</v>
      </c>
      <c r="CL1000" s="1051">
        <v>43798</v>
      </c>
      <c r="CM1000" s="198">
        <v>14.866</v>
      </c>
      <c r="CN1000" s="198">
        <v>2.0264000000000002</v>
      </c>
      <c r="CO1000" s="198">
        <v>10.6645</v>
      </c>
    </row>
    <row r="1001" spans="1:93" s="198" customFormat="1">
      <c r="A1001" s="1051">
        <v>43776</v>
      </c>
      <c r="B1001" s="1052">
        <f t="shared" si="152"/>
        <v>7.4332000000000003</v>
      </c>
      <c r="C1001" s="1052">
        <f t="shared" si="154"/>
        <v>6.2790999999999997</v>
      </c>
      <c r="D1001" s="1052">
        <f t="shared" si="158"/>
        <v>12.214600000000001</v>
      </c>
      <c r="E1001" s="1052">
        <f t="shared" si="159"/>
        <v>7.0190999999999999</v>
      </c>
      <c r="F1001" s="1052">
        <f t="shared" si="160"/>
        <v>10.914199999999999</v>
      </c>
      <c r="G1001" s="1052">
        <f t="shared" si="161"/>
        <v>6.9119000000000002</v>
      </c>
      <c r="H1001" s="1047">
        <f t="shared" si="155"/>
        <v>7.0190999999999999</v>
      </c>
      <c r="I1001" s="1048">
        <f t="shared" si="153"/>
        <v>5.8996167599834726E-2</v>
      </c>
      <c r="J1001" s="1048">
        <f t="shared" si="156"/>
        <v>0.12093838824177333</v>
      </c>
      <c r="K1001" s="1048">
        <f t="shared" si="157"/>
        <v>0.1</v>
      </c>
      <c r="L1001" s="1048"/>
      <c r="N1001" s="1051">
        <v>43776</v>
      </c>
      <c r="O1001" s="1053">
        <v>7.4332000000000003</v>
      </c>
      <c r="P1001" s="1053">
        <v>1.2183999999999999</v>
      </c>
      <c r="Q1001" s="1053">
        <v>8.5366</v>
      </c>
      <c r="R1001" s="1054">
        <f>'B. PE'!$U$23</f>
        <v>15.978235616082999</v>
      </c>
      <c r="S1001" s="1054"/>
      <c r="T1001" s="1054"/>
      <c r="V1001" s="1051">
        <v>43776</v>
      </c>
      <c r="W1001" s="198">
        <v>6.2790999999999997</v>
      </c>
      <c r="X1001" s="198">
        <v>0.45329999999999998</v>
      </c>
      <c r="Y1001" s="198">
        <v>5.2259000000000002</v>
      </c>
      <c r="Z1001" s="198">
        <v>0.28264</v>
      </c>
      <c r="AB1001" s="1051">
        <v>43739</v>
      </c>
      <c r="AC1001" s="198">
        <v>15.3422</v>
      </c>
      <c r="AD1001" s="1053">
        <v>1.1611</v>
      </c>
      <c r="AE1001" s="198">
        <v>7.7763</v>
      </c>
      <c r="AF1001" s="198">
        <v>2.707E-2</v>
      </c>
      <c r="AH1001" s="1051">
        <v>43739</v>
      </c>
      <c r="AI1001" s="198">
        <v>10.0753</v>
      </c>
      <c r="AJ1001" s="198">
        <v>1.7907</v>
      </c>
      <c r="AK1001" s="198">
        <v>5.8318000000000003</v>
      </c>
      <c r="AL1001" s="198">
        <v>1.9730000000000001E-2</v>
      </c>
      <c r="AN1001" s="1051">
        <v>43748</v>
      </c>
      <c r="AO1001" s="198">
        <v>6.7542</v>
      </c>
      <c r="AP1001" s="198">
        <v>0.6089</v>
      </c>
      <c r="AQ1001" s="198">
        <v>4.4893000000000001</v>
      </c>
      <c r="AR1001" s="198">
        <v>0.12403</v>
      </c>
      <c r="AT1001" s="1051">
        <v>43669</v>
      </c>
      <c r="AU1001" s="198">
        <v>7.0334000000000003</v>
      </c>
      <c r="AV1001" s="198">
        <v>0.45979999999999999</v>
      </c>
      <c r="AX1001" s="198">
        <v>0.11679</v>
      </c>
      <c r="BA1001" s="1051">
        <v>43728</v>
      </c>
      <c r="BB1001" s="198">
        <v>6.7964000000000002</v>
      </c>
      <c r="BC1001" s="198">
        <v>1.4504999999999999</v>
      </c>
      <c r="BD1001" s="198">
        <v>7.2693000000000003</v>
      </c>
      <c r="BE1001" s="198">
        <v>0.29498000000000002</v>
      </c>
      <c r="BG1001" s="1051">
        <v>43728</v>
      </c>
      <c r="BH1001" s="198">
        <v>10.873100000000001</v>
      </c>
      <c r="BI1001" s="198">
        <v>2.3723999999999998</v>
      </c>
      <c r="BJ1001" s="198">
        <v>15.923299999999999</v>
      </c>
      <c r="BT1001" s="1051">
        <v>43776</v>
      </c>
      <c r="BU1001" s="198">
        <v>15.058400000000001</v>
      </c>
      <c r="BV1001" s="198">
        <v>4.9170999999999996</v>
      </c>
      <c r="BW1001" s="198">
        <v>9.4504999999999999</v>
      </c>
      <c r="BX1001" s="198">
        <v>1.8046</v>
      </c>
      <c r="BZ1001" s="1051">
        <v>43776</v>
      </c>
      <c r="CA1001" s="198">
        <v>8.7843999999999998</v>
      </c>
      <c r="CB1001" s="198">
        <v>2.4003999999999999</v>
      </c>
      <c r="CC1001" s="198">
        <v>9.2943999999999996</v>
      </c>
      <c r="CD1001" s="198">
        <v>1.01949</v>
      </c>
      <c r="CF1001" s="1051">
        <v>43775</v>
      </c>
      <c r="CI1001" s="198">
        <v>7.4996999999999998</v>
      </c>
      <c r="CL1001" s="1051">
        <v>43797</v>
      </c>
      <c r="CM1001" s="198">
        <v>15.023999999999999</v>
      </c>
      <c r="CN1001" s="198">
        <v>2.0478999999999998</v>
      </c>
      <c r="CO1001" s="198">
        <v>10.774900000000001</v>
      </c>
    </row>
    <row r="1002" spans="1:93" s="198" customFormat="1">
      <c r="A1002" s="1051">
        <v>43775</v>
      </c>
      <c r="B1002" s="1052">
        <f t="shared" si="152"/>
        <v>7.4474999999999998</v>
      </c>
      <c r="C1002" s="1052">
        <f t="shared" si="154"/>
        <v>6.2790999999999997</v>
      </c>
      <c r="D1002" s="1052">
        <f t="shared" si="158"/>
        <v>12.2491</v>
      </c>
      <c r="E1002" s="1052">
        <f t="shared" si="159"/>
        <v>7.0853000000000002</v>
      </c>
      <c r="F1002" s="1052">
        <f t="shared" si="160"/>
        <v>10.8451</v>
      </c>
      <c r="G1002" s="1052">
        <f t="shared" si="161"/>
        <v>6.8716999999999997</v>
      </c>
      <c r="H1002" s="1047">
        <f t="shared" si="155"/>
        <v>7.0853000000000002</v>
      </c>
      <c r="I1002" s="1048">
        <f t="shared" si="153"/>
        <v>5.111992435041568E-2</v>
      </c>
      <c r="J1002" s="1048">
        <f t="shared" si="156"/>
        <v>0.12093838824177333</v>
      </c>
      <c r="K1002" s="1048">
        <f t="shared" si="157"/>
        <v>0.1</v>
      </c>
      <c r="L1002" s="1048"/>
      <c r="N1002" s="1051">
        <v>43775</v>
      </c>
      <c r="O1002" s="1053">
        <v>7.4474999999999998</v>
      </c>
      <c r="P1002" s="1053">
        <v>1.2206999999999999</v>
      </c>
      <c r="Q1002" s="1053">
        <v>8.5477000000000007</v>
      </c>
      <c r="R1002" s="1054">
        <f>'B. PE'!$U$23</f>
        <v>15.978235616082999</v>
      </c>
      <c r="S1002" s="1054"/>
      <c r="T1002" s="1054"/>
      <c r="V1002" s="1051">
        <v>43775</v>
      </c>
      <c r="W1002" s="198">
        <v>6.2790999999999997</v>
      </c>
      <c r="X1002" s="198">
        <v>0.45329999999999998</v>
      </c>
      <c r="Y1002" s="198">
        <v>5.2259000000000002</v>
      </c>
      <c r="Z1002" s="198">
        <v>0.28299000000000002</v>
      </c>
      <c r="AB1002" s="1051">
        <v>43738</v>
      </c>
      <c r="AC1002" s="198">
        <v>16.373999999999999</v>
      </c>
      <c r="AD1002" s="1053">
        <v>1.2392000000000001</v>
      </c>
      <c r="AE1002" s="198">
        <v>8.1458999999999993</v>
      </c>
      <c r="AF1002" s="198">
        <v>2.7210000000000002E-2</v>
      </c>
      <c r="AH1002" s="1051">
        <v>43738</v>
      </c>
      <c r="AI1002" s="198">
        <v>9.9373000000000005</v>
      </c>
      <c r="AJ1002" s="198">
        <v>1.7662</v>
      </c>
      <c r="AK1002" s="198">
        <v>5.7595999999999998</v>
      </c>
      <c r="AL1002" s="198">
        <v>1.9380000000000001E-2</v>
      </c>
      <c r="AN1002" s="1051">
        <v>43747</v>
      </c>
      <c r="AO1002" s="198">
        <v>6.8204000000000002</v>
      </c>
      <c r="AP1002" s="198">
        <v>0.6149</v>
      </c>
      <c r="AQ1002" s="198">
        <v>4.5412999999999997</v>
      </c>
      <c r="AR1002" s="198">
        <v>0.12304</v>
      </c>
      <c r="AT1002" s="1051">
        <v>43668</v>
      </c>
      <c r="AU1002" s="198">
        <v>7.3295000000000003</v>
      </c>
      <c r="AV1002" s="198">
        <v>0.47910000000000003</v>
      </c>
      <c r="AX1002" s="198">
        <v>0.11914</v>
      </c>
      <c r="BA1002" s="1051">
        <v>43727</v>
      </c>
      <c r="BB1002" s="198">
        <v>6.7586000000000004</v>
      </c>
      <c r="BC1002" s="198">
        <v>1.4424999999999999</v>
      </c>
      <c r="BD1002" s="198">
        <v>7.2427999999999999</v>
      </c>
      <c r="BE1002" s="198">
        <v>0.29332999999999998</v>
      </c>
      <c r="BG1002" s="1051">
        <v>43727</v>
      </c>
      <c r="BH1002" s="198">
        <v>11.121600000000001</v>
      </c>
      <c r="BI1002" s="198">
        <v>2.4266000000000001</v>
      </c>
      <c r="BJ1002" s="198">
        <v>16.1462</v>
      </c>
      <c r="BT1002" s="1051">
        <v>43775</v>
      </c>
      <c r="BU1002" s="198">
        <v>14.9742</v>
      </c>
      <c r="BV1002" s="198">
        <v>4.8895999999999997</v>
      </c>
      <c r="BW1002" s="198">
        <v>9.3995999999999995</v>
      </c>
      <c r="BX1002" s="198">
        <v>1.8117000000000001</v>
      </c>
      <c r="BZ1002" s="1051">
        <v>43775</v>
      </c>
      <c r="CA1002" s="198">
        <v>9.0498999999999992</v>
      </c>
      <c r="CB1002" s="198">
        <v>2.4729000000000001</v>
      </c>
      <c r="CC1002" s="198">
        <v>9.4896999999999991</v>
      </c>
      <c r="CD1002" s="198">
        <v>1.0144500000000001</v>
      </c>
      <c r="CF1002" s="1051">
        <v>43774</v>
      </c>
      <c r="CG1002" s="198">
        <v>6.1001000000000003</v>
      </c>
      <c r="CH1002" s="198">
        <v>1.2040999999999999</v>
      </c>
      <c r="CI1002" s="198">
        <v>7.4996999999999998</v>
      </c>
      <c r="CL1002" s="1051">
        <v>43796</v>
      </c>
      <c r="CM1002" s="198">
        <v>14.9953</v>
      </c>
      <c r="CN1002" s="198">
        <v>2.044</v>
      </c>
      <c r="CO1002" s="198">
        <v>10.754799999999999</v>
      </c>
    </row>
    <row r="1003" spans="1:93" s="198" customFormat="1">
      <c r="A1003" s="1051">
        <v>43774</v>
      </c>
      <c r="B1003" s="1052">
        <f t="shared" si="152"/>
        <v>7.4044999999999996</v>
      </c>
      <c r="C1003" s="1052">
        <f t="shared" si="154"/>
        <v>6.2953000000000001</v>
      </c>
      <c r="D1003" s="1052">
        <f t="shared" si="158"/>
        <v>12.4216</v>
      </c>
      <c r="E1003" s="1052">
        <f t="shared" si="159"/>
        <v>7.0853000000000002</v>
      </c>
      <c r="F1003" s="1052">
        <f t="shared" si="160"/>
        <v>10.914199999999999</v>
      </c>
      <c r="G1003" s="1052">
        <f t="shared" si="161"/>
        <v>6.8315000000000001</v>
      </c>
      <c r="H1003" s="1047">
        <f t="shared" si="155"/>
        <v>7.0853000000000002</v>
      </c>
      <c r="I1003" s="1048">
        <f t="shared" si="153"/>
        <v>4.5051021128251323E-2</v>
      </c>
      <c r="J1003" s="1048">
        <f t="shared" si="156"/>
        <v>0.12093838824177333</v>
      </c>
      <c r="K1003" s="1048">
        <f t="shared" si="157"/>
        <v>0.1</v>
      </c>
      <c r="L1003" s="1048"/>
      <c r="N1003" s="1051">
        <v>43774</v>
      </c>
      <c r="O1003" s="1053">
        <v>7.4044999999999996</v>
      </c>
      <c r="P1003" s="1053">
        <v>1.2137</v>
      </c>
      <c r="Q1003" s="1053">
        <v>8.5144000000000002</v>
      </c>
      <c r="R1003" s="1054">
        <f>'B. PE'!$U$23</f>
        <v>15.978235616082999</v>
      </c>
      <c r="S1003" s="1054"/>
      <c r="T1003" s="1054"/>
      <c r="V1003" s="1051">
        <v>43774</v>
      </c>
      <c r="W1003" s="198">
        <v>6.2953000000000001</v>
      </c>
      <c r="X1003" s="198">
        <v>0.45440000000000003</v>
      </c>
      <c r="Y1003" s="198">
        <v>5.2324000000000002</v>
      </c>
      <c r="Z1003" s="198">
        <v>0.28117999999999999</v>
      </c>
      <c r="AB1003" s="1051">
        <v>43735</v>
      </c>
      <c r="AC1003" s="198">
        <v>11.9361</v>
      </c>
      <c r="AD1003" s="1053">
        <v>1.3194999999999999</v>
      </c>
      <c r="AE1003" s="198">
        <v>7.3285999999999998</v>
      </c>
      <c r="AF1003" s="198">
        <v>2.726E-2</v>
      </c>
      <c r="AH1003" s="1051">
        <v>43735</v>
      </c>
      <c r="AI1003" s="198">
        <v>10.567299999999999</v>
      </c>
      <c r="AJ1003" s="198">
        <v>1.8132999999999999</v>
      </c>
      <c r="AK1003" s="198">
        <v>6.1657000000000002</v>
      </c>
      <c r="AL1003" s="198">
        <v>1.942E-2</v>
      </c>
      <c r="AN1003" s="1051">
        <v>43746</v>
      </c>
      <c r="AO1003" s="198">
        <v>6.8865999999999996</v>
      </c>
      <c r="AP1003" s="198">
        <v>0.62080000000000002</v>
      </c>
      <c r="AQ1003" s="198">
        <v>4.5933999999999999</v>
      </c>
      <c r="AR1003" s="198">
        <v>0.12424</v>
      </c>
      <c r="AT1003" s="1051">
        <v>43665</v>
      </c>
      <c r="AU1003" s="198">
        <v>7.1074000000000002</v>
      </c>
      <c r="AV1003" s="198">
        <v>0.46460000000000001</v>
      </c>
      <c r="AX1003" s="198">
        <v>0.12028999999999999</v>
      </c>
      <c r="BA1003" s="1051">
        <v>43726</v>
      </c>
      <c r="BB1003" s="198">
        <v>6.7964000000000002</v>
      </c>
      <c r="BC1003" s="198">
        <v>1.4504999999999999</v>
      </c>
      <c r="BD1003" s="198">
        <v>7.2693000000000003</v>
      </c>
      <c r="BE1003" s="198">
        <v>0.29488999999999999</v>
      </c>
      <c r="BG1003" s="1051">
        <v>43726</v>
      </c>
      <c r="BH1003" s="198">
        <v>11.4323</v>
      </c>
      <c r="BI1003" s="198">
        <v>2.4944000000000002</v>
      </c>
      <c r="BJ1003" s="198">
        <v>16.424900000000001</v>
      </c>
      <c r="BT1003" s="1051">
        <v>43774</v>
      </c>
      <c r="BU1003" s="198">
        <v>15.0944</v>
      </c>
      <c r="BV1003" s="198">
        <v>4.9287999999999998</v>
      </c>
      <c r="BW1003" s="198">
        <v>9.4724000000000004</v>
      </c>
      <c r="BX1003" s="198">
        <v>1.7988</v>
      </c>
      <c r="BZ1003" s="1051">
        <v>43774</v>
      </c>
      <c r="CA1003" s="198">
        <v>9.0277999999999992</v>
      </c>
      <c r="CB1003" s="198">
        <v>2.4668999999999999</v>
      </c>
      <c r="CC1003" s="198">
        <v>9.4733999999999998</v>
      </c>
      <c r="CD1003" s="198">
        <v>1.00945</v>
      </c>
      <c r="CF1003" s="1051">
        <v>43773</v>
      </c>
      <c r="CG1003" s="198">
        <v>5.9675000000000002</v>
      </c>
      <c r="CH1003" s="198">
        <v>1.1778999999999999</v>
      </c>
      <c r="CI1003" s="198">
        <v>7.4207000000000001</v>
      </c>
      <c r="CL1003" s="1051">
        <v>43795</v>
      </c>
      <c r="CM1003" s="198">
        <v>15.0527</v>
      </c>
      <c r="CN1003" s="198">
        <v>2.0518000000000001</v>
      </c>
      <c r="CO1003" s="198">
        <v>10.795</v>
      </c>
    </row>
    <row r="1004" spans="1:93" s="198" customFormat="1">
      <c r="A1004" s="1051">
        <v>43773</v>
      </c>
      <c r="B1004" s="1052">
        <f t="shared" si="152"/>
        <v>7.3902000000000001</v>
      </c>
      <c r="C1004" s="1052">
        <f t="shared" si="154"/>
        <v>6.3033999999999999</v>
      </c>
      <c r="D1004" s="1052">
        <f t="shared" si="158"/>
        <v>11.8005</v>
      </c>
      <c r="E1004" s="1052">
        <f t="shared" si="159"/>
        <v>7.0190999999999999</v>
      </c>
      <c r="F1004" s="1052">
        <f t="shared" si="160"/>
        <v>10.2234</v>
      </c>
      <c r="G1004" s="1052">
        <f t="shared" si="161"/>
        <v>6.7912999999999997</v>
      </c>
      <c r="H1004" s="1047">
        <f t="shared" si="155"/>
        <v>7.0190999999999999</v>
      </c>
      <c r="I1004" s="1048">
        <f t="shared" si="153"/>
        <v>5.2870026071718534E-2</v>
      </c>
      <c r="J1004" s="1048">
        <f t="shared" si="156"/>
        <v>0.12093838824177333</v>
      </c>
      <c r="K1004" s="1048">
        <f t="shared" si="157"/>
        <v>0.1</v>
      </c>
      <c r="L1004" s="1048"/>
      <c r="N1004" s="1051">
        <v>43773</v>
      </c>
      <c r="O1004" s="1053">
        <v>7.3902000000000001</v>
      </c>
      <c r="P1004" s="1053">
        <v>1.2114</v>
      </c>
      <c r="Q1004" s="1053">
        <v>8.5033999999999992</v>
      </c>
      <c r="R1004" s="1054">
        <f>'B. PE'!$U$23</f>
        <v>15.978235616082999</v>
      </c>
      <c r="S1004" s="1054"/>
      <c r="T1004" s="1054"/>
      <c r="V1004" s="1051">
        <v>43773</v>
      </c>
      <c r="W1004" s="198">
        <v>6.3033999999999999</v>
      </c>
      <c r="X1004" s="198">
        <v>0.45500000000000002</v>
      </c>
      <c r="Y1004" s="198">
        <v>5.2356999999999996</v>
      </c>
      <c r="Z1004" s="198">
        <v>0.28115000000000001</v>
      </c>
      <c r="AB1004" s="1051">
        <v>43734</v>
      </c>
      <c r="AC1004" s="198">
        <v>11.998200000000001</v>
      </c>
      <c r="AD1004" s="1053">
        <v>1.3264</v>
      </c>
      <c r="AE1004" s="198">
        <v>7.3547000000000002</v>
      </c>
      <c r="AF1004" s="198">
        <v>2.8459999999999999E-2</v>
      </c>
      <c r="AH1004" s="1051">
        <v>43734</v>
      </c>
      <c r="AI1004" s="198">
        <v>10.3786</v>
      </c>
      <c r="AJ1004" s="198">
        <v>1.7809999999999999</v>
      </c>
      <c r="AK1004" s="198">
        <v>6.0681000000000003</v>
      </c>
      <c r="AL1004" s="198">
        <v>1.9470000000000001E-2</v>
      </c>
      <c r="AN1004" s="1051">
        <v>43745</v>
      </c>
      <c r="AO1004" s="198">
        <v>6.8204000000000002</v>
      </c>
      <c r="AP1004" s="198">
        <v>0.6149</v>
      </c>
      <c r="AQ1004" s="198">
        <v>4.5412999999999997</v>
      </c>
      <c r="AR1004" s="198">
        <v>0.12298000000000001</v>
      </c>
      <c r="AT1004" s="1051">
        <v>43664</v>
      </c>
      <c r="AU1004" s="198">
        <v>7.2554999999999996</v>
      </c>
      <c r="AV1004" s="198">
        <v>0.4743</v>
      </c>
      <c r="AX1004" s="198">
        <v>0.11564000000000001</v>
      </c>
      <c r="BA1004" s="1051">
        <v>43725</v>
      </c>
      <c r="BB1004" s="198">
        <v>6.7586000000000004</v>
      </c>
      <c r="BC1004" s="198">
        <v>1.4424999999999999</v>
      </c>
      <c r="BD1004" s="198">
        <v>7.2427999999999999</v>
      </c>
      <c r="BE1004" s="198">
        <v>0.29532999999999998</v>
      </c>
      <c r="BG1004" s="1051">
        <v>43725</v>
      </c>
      <c r="BH1004" s="198">
        <v>11.6187</v>
      </c>
      <c r="BI1004" s="198">
        <v>2.5350999999999999</v>
      </c>
      <c r="BJ1004" s="198">
        <v>16.592099999999999</v>
      </c>
      <c r="BT1004" s="1051">
        <v>43773</v>
      </c>
      <c r="BU1004" s="198">
        <v>15.154500000000001</v>
      </c>
      <c r="BV1004" s="198">
        <v>4.9485000000000001</v>
      </c>
      <c r="BW1004" s="198">
        <v>9.5086999999999993</v>
      </c>
      <c r="BX1004" s="198">
        <v>1.79</v>
      </c>
      <c r="BZ1004" s="1051">
        <v>43773</v>
      </c>
      <c r="CA1004" s="198">
        <v>8.9835999999999991</v>
      </c>
      <c r="CB1004" s="198">
        <v>2.4548000000000001</v>
      </c>
      <c r="CC1004" s="198">
        <v>9.4407999999999994</v>
      </c>
      <c r="CD1004" s="198">
        <v>1.02061</v>
      </c>
      <c r="CF1004" s="1051">
        <v>43770</v>
      </c>
      <c r="CG1004" s="198">
        <v>5.7907000000000002</v>
      </c>
      <c r="CH1004" s="198">
        <v>1.143</v>
      </c>
      <c r="CI1004" s="198">
        <v>7.3154000000000003</v>
      </c>
      <c r="CL1004" s="1051">
        <v>43794</v>
      </c>
      <c r="CM1004" s="198">
        <v>15.225099999999999</v>
      </c>
      <c r="CN1004" s="198">
        <v>2.0752999999999999</v>
      </c>
      <c r="CO1004" s="198">
        <v>10.9154</v>
      </c>
    </row>
    <row r="1005" spans="1:93" s="198" customFormat="1">
      <c r="A1005" s="1051">
        <v>43770</v>
      </c>
      <c r="B1005" s="1052">
        <f t="shared" si="152"/>
        <v>7.4188999999999998</v>
      </c>
      <c r="C1005" s="1052">
        <f t="shared" si="154"/>
        <v>6.2629000000000001</v>
      </c>
      <c r="D1005" s="1052">
        <f t="shared" si="158"/>
        <v>11.3864</v>
      </c>
      <c r="E1005" s="1052">
        <f t="shared" si="159"/>
        <v>7.0190999999999999</v>
      </c>
      <c r="F1005" s="1052">
        <f t="shared" si="160"/>
        <v>9.8780000000000001</v>
      </c>
      <c r="G1005" s="1052">
        <f t="shared" si="161"/>
        <v>6.7912999999999997</v>
      </c>
      <c r="H1005" s="1047">
        <f t="shared" si="155"/>
        <v>7.0190999999999999</v>
      </c>
      <c r="I1005" s="1048">
        <f t="shared" si="153"/>
        <v>5.6958869370717036E-2</v>
      </c>
      <c r="J1005" s="1048">
        <f t="shared" si="156"/>
        <v>0.12093838824177333</v>
      </c>
      <c r="K1005" s="1048">
        <f t="shared" si="157"/>
        <v>0.1</v>
      </c>
      <c r="L1005" s="1048"/>
      <c r="N1005" s="1051">
        <v>43770</v>
      </c>
      <c r="O1005" s="1053">
        <v>7.4188999999999998</v>
      </c>
      <c r="P1005" s="1053">
        <v>1.216</v>
      </c>
      <c r="Q1005" s="1053">
        <v>8.5254999999999992</v>
      </c>
      <c r="R1005" s="1054">
        <f>'B. PE'!$U$23</f>
        <v>15.978235616082999</v>
      </c>
      <c r="S1005" s="1054"/>
      <c r="T1005" s="1054"/>
      <c r="V1005" s="1051">
        <v>43770</v>
      </c>
      <c r="W1005" s="198">
        <v>6.2629000000000001</v>
      </c>
      <c r="X1005" s="198">
        <v>0.4521</v>
      </c>
      <c r="Y1005" s="198">
        <v>5.2192999999999996</v>
      </c>
      <c r="Z1005" s="198">
        <v>0.28078999999999998</v>
      </c>
      <c r="AB1005" s="1051">
        <v>43733</v>
      </c>
      <c r="AC1005" s="198">
        <v>11.998200000000001</v>
      </c>
      <c r="AD1005" s="1053">
        <v>1.3264</v>
      </c>
      <c r="AE1005" s="198">
        <v>7.3547000000000002</v>
      </c>
      <c r="AF1005" s="198">
        <v>2.8709999999999999E-2</v>
      </c>
      <c r="AH1005" s="1051">
        <v>43733</v>
      </c>
      <c r="AI1005" s="198">
        <v>10.3786</v>
      </c>
      <c r="AJ1005" s="198">
        <v>1.7809999999999999</v>
      </c>
      <c r="AK1005" s="198">
        <v>6.0681000000000003</v>
      </c>
      <c r="AL1005" s="198">
        <v>1.9539999999999998E-2</v>
      </c>
      <c r="AN1005" s="1051">
        <v>43742</v>
      </c>
      <c r="AO1005" s="198">
        <v>6.8865999999999996</v>
      </c>
      <c r="AP1005" s="198">
        <v>0.62080000000000002</v>
      </c>
      <c r="AQ1005" s="198">
        <v>4.5933999999999999</v>
      </c>
      <c r="AR1005" s="198">
        <v>0.12397</v>
      </c>
      <c r="AT1005" s="1051">
        <v>43663</v>
      </c>
      <c r="AU1005" s="198">
        <v>7.3295000000000003</v>
      </c>
      <c r="AV1005" s="198">
        <v>0.47910000000000003</v>
      </c>
      <c r="AX1005" s="198">
        <v>0.11549</v>
      </c>
      <c r="BA1005" s="1051">
        <v>43724</v>
      </c>
      <c r="BB1005" s="198">
        <v>6.7964000000000002</v>
      </c>
      <c r="BC1005" s="198">
        <v>1.4504999999999999</v>
      </c>
      <c r="BD1005" s="198">
        <v>7.2693000000000003</v>
      </c>
      <c r="BE1005" s="198">
        <v>0.29404999999999998</v>
      </c>
      <c r="BG1005" s="1051">
        <v>43724</v>
      </c>
      <c r="BH1005" s="198">
        <v>11.9293</v>
      </c>
      <c r="BI1005" s="198">
        <v>2.6027999999999998</v>
      </c>
      <c r="BJ1005" s="198">
        <v>16.870799999999999</v>
      </c>
      <c r="BT1005" s="1051">
        <v>43770</v>
      </c>
      <c r="BU1005" s="198">
        <v>15.0464</v>
      </c>
      <c r="BV1005" s="198">
        <v>4.9131</v>
      </c>
      <c r="BW1005" s="198">
        <v>9.4433000000000007</v>
      </c>
      <c r="BX1005" s="198">
        <v>1.7943</v>
      </c>
      <c r="BZ1005" s="1051">
        <v>43770</v>
      </c>
      <c r="CA1005" s="198">
        <v>8.9392999999999994</v>
      </c>
      <c r="CB1005" s="198">
        <v>2.4426999999999999</v>
      </c>
      <c r="CC1005" s="198">
        <v>9.4083000000000006</v>
      </c>
      <c r="CD1005" s="198">
        <v>1.02061</v>
      </c>
      <c r="CF1005" s="1051">
        <v>43769</v>
      </c>
      <c r="CG1005" s="198">
        <v>5.3487</v>
      </c>
      <c r="CH1005" s="198">
        <v>1.0558000000000001</v>
      </c>
      <c r="CI1005" s="198">
        <v>7.0522</v>
      </c>
      <c r="CL1005" s="1051">
        <v>43791</v>
      </c>
      <c r="CM1005" s="198">
        <v>15.3256</v>
      </c>
      <c r="CN1005" s="198">
        <v>2.089</v>
      </c>
      <c r="CO1005" s="198">
        <v>10.9856</v>
      </c>
    </row>
    <row r="1006" spans="1:93" s="198" customFormat="1">
      <c r="A1006" s="1051">
        <v>43769</v>
      </c>
      <c r="B1006" s="1052">
        <f t="shared" si="152"/>
        <v>7.3186</v>
      </c>
      <c r="C1006" s="1052">
        <f t="shared" si="154"/>
        <v>6.2629000000000001</v>
      </c>
      <c r="D1006" s="1052">
        <f t="shared" si="158"/>
        <v>11.179399999999999</v>
      </c>
      <c r="E1006" s="1052">
        <f t="shared" si="159"/>
        <v>7.0190999999999999</v>
      </c>
      <c r="F1006" s="1052">
        <f t="shared" si="160"/>
        <v>10.0162</v>
      </c>
      <c r="G1006" s="1052">
        <f t="shared" si="161"/>
        <v>6.8315000000000001</v>
      </c>
      <c r="H1006" s="1047">
        <f t="shared" si="155"/>
        <v>7.0190999999999999</v>
      </c>
      <c r="I1006" s="1048">
        <f t="shared" si="153"/>
        <v>4.2669288085367185E-2</v>
      </c>
      <c r="J1006" s="1048">
        <f t="shared" si="156"/>
        <v>0.12093838824177333</v>
      </c>
      <c r="K1006" s="1048">
        <f t="shared" si="157"/>
        <v>0.1</v>
      </c>
      <c r="L1006" s="1048"/>
      <c r="N1006" s="1051">
        <v>43769</v>
      </c>
      <c r="O1006" s="1053">
        <v>7.3186</v>
      </c>
      <c r="P1006" s="1053">
        <v>1.1996</v>
      </c>
      <c r="Q1006" s="1053">
        <v>8.4480000000000004</v>
      </c>
      <c r="R1006" s="1054">
        <f>'B. PE'!$U$23</f>
        <v>15.978235616082999</v>
      </c>
      <c r="S1006" s="1054"/>
      <c r="T1006" s="1054"/>
      <c r="V1006" s="1051">
        <v>43769</v>
      </c>
      <c r="W1006" s="198">
        <v>6.2629000000000001</v>
      </c>
      <c r="X1006" s="198">
        <v>0.4521</v>
      </c>
      <c r="Y1006" s="198">
        <v>5.2192999999999996</v>
      </c>
      <c r="Z1006" s="198">
        <v>0.27933000000000002</v>
      </c>
      <c r="AB1006" s="1051">
        <v>43732</v>
      </c>
      <c r="AC1006" s="198">
        <v>12.4956</v>
      </c>
      <c r="AD1006" s="1053">
        <v>1.3814</v>
      </c>
      <c r="AE1006" s="198">
        <v>7.5633999999999997</v>
      </c>
      <c r="AF1006" s="198">
        <v>2.7349999999999999E-2</v>
      </c>
      <c r="AH1006" s="1051">
        <v>43732</v>
      </c>
      <c r="AI1006" s="198">
        <v>10.3786</v>
      </c>
      <c r="AJ1006" s="198">
        <v>1.7809999999999999</v>
      </c>
      <c r="AK1006" s="198">
        <v>6.0681000000000003</v>
      </c>
      <c r="AL1006" s="198">
        <v>1.8610000000000002E-2</v>
      </c>
      <c r="AN1006" s="1051">
        <v>43741</v>
      </c>
      <c r="AO1006" s="198">
        <v>6.8204000000000002</v>
      </c>
      <c r="AP1006" s="198">
        <v>0.6149</v>
      </c>
      <c r="AQ1006" s="198">
        <v>4.5412999999999997</v>
      </c>
      <c r="AR1006" s="198">
        <v>0.12163</v>
      </c>
      <c r="AT1006" s="1051">
        <v>43662</v>
      </c>
      <c r="AU1006" s="198">
        <v>7.0334000000000003</v>
      </c>
      <c r="AV1006" s="198">
        <v>0.45979999999999999</v>
      </c>
      <c r="AX1006" s="198">
        <v>0.11663</v>
      </c>
      <c r="BA1006" s="1051">
        <v>43721</v>
      </c>
      <c r="BB1006" s="198">
        <v>6.7964000000000002</v>
      </c>
      <c r="BC1006" s="198">
        <v>1.4504999999999999</v>
      </c>
      <c r="BD1006" s="198">
        <v>7.2693000000000003</v>
      </c>
      <c r="BE1006" s="198">
        <v>0.29593999999999998</v>
      </c>
      <c r="BG1006" s="1051">
        <v>43721</v>
      </c>
      <c r="BH1006" s="198">
        <v>11.9293</v>
      </c>
      <c r="BI1006" s="198">
        <v>2.6027999999999998</v>
      </c>
      <c r="BJ1006" s="198">
        <v>16.870799999999999</v>
      </c>
      <c r="BT1006" s="1051">
        <v>43769</v>
      </c>
      <c r="BU1006" s="198">
        <v>14.9742</v>
      </c>
      <c r="BV1006" s="198">
        <v>4.8895999999999997</v>
      </c>
      <c r="BW1006" s="198">
        <v>9.3995999999999995</v>
      </c>
      <c r="BX1006" s="198">
        <v>1.8244</v>
      </c>
      <c r="BZ1006" s="1051">
        <v>43769</v>
      </c>
      <c r="CA1006" s="198">
        <v>9.0388999999999999</v>
      </c>
      <c r="CB1006" s="198">
        <v>2.4699</v>
      </c>
      <c r="CC1006" s="198">
        <v>9.4815000000000005</v>
      </c>
      <c r="CD1006" s="198">
        <v>1.0193099999999999</v>
      </c>
      <c r="CF1006" s="1051">
        <v>43768</v>
      </c>
      <c r="CI1006" s="198">
        <v>7.0522</v>
      </c>
      <c r="CL1006" s="1051">
        <v>43790</v>
      </c>
      <c r="CM1006" s="198">
        <v>15.009600000000001</v>
      </c>
      <c r="CN1006" s="198">
        <v>2.0459000000000001</v>
      </c>
      <c r="CO1006" s="198">
        <v>10.764900000000001</v>
      </c>
    </row>
    <row r="1007" spans="1:93" s="198" customFormat="1">
      <c r="A1007" s="1051">
        <v>43768</v>
      </c>
      <c r="B1007" s="1052">
        <f t="shared" si="152"/>
        <v>7.5334000000000003</v>
      </c>
      <c r="C1007" s="1052">
        <f t="shared" si="154"/>
        <v>6.2549000000000001</v>
      </c>
      <c r="D1007" s="1052">
        <f t="shared" si="158"/>
        <v>11.351900000000001</v>
      </c>
      <c r="E1007" s="1052">
        <f t="shared" si="159"/>
        <v>6.8865999999999996</v>
      </c>
      <c r="F1007" s="1052">
        <f t="shared" si="160"/>
        <v>9.2562999999999995</v>
      </c>
      <c r="G1007" s="1052">
        <f t="shared" si="161"/>
        <v>6.8716999999999997</v>
      </c>
      <c r="H1007" s="1047">
        <f t="shared" si="155"/>
        <v>6.8865999999999996</v>
      </c>
      <c r="I1007" s="1048">
        <f t="shared" si="153"/>
        <v>9.3921528766009565E-2</v>
      </c>
      <c r="J1007" s="1048">
        <f t="shared" si="156"/>
        <v>0.12093838824177333</v>
      </c>
      <c r="K1007" s="1048">
        <f t="shared" si="157"/>
        <v>0.1</v>
      </c>
      <c r="L1007" s="1048"/>
      <c r="N1007" s="1051">
        <v>43768</v>
      </c>
      <c r="O1007" s="1053">
        <v>7.5334000000000003</v>
      </c>
      <c r="P1007" s="1053">
        <v>1.2347999999999999</v>
      </c>
      <c r="Q1007" s="1053">
        <v>8.6142000000000003</v>
      </c>
      <c r="R1007" s="1054">
        <f>'B. PE'!$U$23</f>
        <v>15.978235616082999</v>
      </c>
      <c r="S1007" s="1054"/>
      <c r="T1007" s="1054"/>
      <c r="V1007" s="1051">
        <v>43768</v>
      </c>
      <c r="W1007" s="198">
        <v>6.2549000000000001</v>
      </c>
      <c r="X1007" s="198">
        <v>0.45150000000000001</v>
      </c>
      <c r="Y1007" s="198">
        <v>5.2161</v>
      </c>
      <c r="Z1007" s="198">
        <v>0.27754000000000001</v>
      </c>
      <c r="AB1007" s="1051">
        <v>43731</v>
      </c>
      <c r="AC1007" s="198">
        <v>12.557700000000001</v>
      </c>
      <c r="AD1007" s="1053">
        <v>1.3882000000000001</v>
      </c>
      <c r="AE1007" s="198">
        <v>7.5894000000000004</v>
      </c>
      <c r="AF1007" s="198">
        <v>2.75E-2</v>
      </c>
      <c r="AH1007" s="1051">
        <v>43731</v>
      </c>
      <c r="AI1007" s="198">
        <v>10.3786</v>
      </c>
      <c r="AJ1007" s="198">
        <v>1.7809999999999999</v>
      </c>
      <c r="AK1007" s="198">
        <v>6.0681000000000003</v>
      </c>
      <c r="AL1007" s="198">
        <v>1.7860000000000001E-2</v>
      </c>
      <c r="AN1007" s="1051">
        <v>43740</v>
      </c>
      <c r="AO1007" s="198">
        <v>6.8865999999999996</v>
      </c>
      <c r="AP1007" s="198">
        <v>0.62080000000000002</v>
      </c>
      <c r="AQ1007" s="198">
        <v>4.5933999999999999</v>
      </c>
      <c r="AR1007" s="198">
        <v>0.12175</v>
      </c>
      <c r="AT1007" s="1051">
        <v>43658</v>
      </c>
      <c r="AU1007" s="198">
        <v>7.0334000000000003</v>
      </c>
      <c r="AV1007" s="198">
        <v>0.45979999999999999</v>
      </c>
      <c r="AX1007" s="198">
        <v>0.1197</v>
      </c>
      <c r="BA1007" s="1051">
        <v>43720</v>
      </c>
      <c r="BB1007" s="198">
        <v>6.7586000000000004</v>
      </c>
      <c r="BC1007" s="198">
        <v>1.4424999999999999</v>
      </c>
      <c r="BD1007" s="198">
        <v>7.2427999999999999</v>
      </c>
      <c r="BE1007" s="198">
        <v>0.29721999999999998</v>
      </c>
      <c r="BG1007" s="1051">
        <v>43720</v>
      </c>
      <c r="BH1007" s="198">
        <v>12.053599999999999</v>
      </c>
      <c r="BI1007" s="198">
        <v>2.63</v>
      </c>
      <c r="BJ1007" s="198">
        <v>16.982199999999999</v>
      </c>
      <c r="BT1007" s="1051">
        <v>43768</v>
      </c>
      <c r="BU1007" s="198">
        <v>15.010300000000001</v>
      </c>
      <c r="BV1007" s="198">
        <v>4.9013999999999998</v>
      </c>
      <c r="BW1007" s="198">
        <v>9.4215</v>
      </c>
      <c r="BX1007" s="198">
        <v>1.8331999999999999</v>
      </c>
      <c r="BZ1007" s="1051">
        <v>43768</v>
      </c>
      <c r="CA1007" s="198">
        <v>9.0388999999999999</v>
      </c>
      <c r="CB1007" s="198">
        <v>2.4699</v>
      </c>
      <c r="CC1007" s="198">
        <v>9.4815000000000005</v>
      </c>
      <c r="CD1007" s="198">
        <v>1.0693699999999999</v>
      </c>
      <c r="CF1007" s="1051">
        <v>43767</v>
      </c>
      <c r="CI1007" s="198">
        <v>7.0522</v>
      </c>
      <c r="CL1007" s="1051">
        <v>43789</v>
      </c>
      <c r="CM1007" s="198">
        <v>15.3544</v>
      </c>
      <c r="CN1007" s="198">
        <v>2.0929000000000002</v>
      </c>
      <c r="CO1007" s="198">
        <v>11.005699999999999</v>
      </c>
    </row>
    <row r="1008" spans="1:93" s="198" customFormat="1">
      <c r="A1008" s="1051">
        <v>43767</v>
      </c>
      <c r="B1008" s="1052">
        <f t="shared" si="152"/>
        <v>7.5477999999999996</v>
      </c>
      <c r="C1008" s="1052">
        <f t="shared" si="154"/>
        <v>6.2225000000000001</v>
      </c>
      <c r="D1008" s="1052">
        <f t="shared" si="158"/>
        <v>11.351900000000001</v>
      </c>
      <c r="E1008" s="1052">
        <f t="shared" si="159"/>
        <v>6.8865999999999996</v>
      </c>
      <c r="F1008" s="1052">
        <f t="shared" si="160"/>
        <v>8.98</v>
      </c>
      <c r="G1008" s="1052">
        <f t="shared" si="161"/>
        <v>6.8315000000000001</v>
      </c>
      <c r="H1008" s="1047">
        <f t="shared" si="155"/>
        <v>6.8865999999999996</v>
      </c>
      <c r="I1008" s="1048">
        <f t="shared" si="153"/>
        <v>9.6012546104028207E-2</v>
      </c>
      <c r="J1008" s="1048">
        <f t="shared" si="156"/>
        <v>0.12093838824177333</v>
      </c>
      <c r="K1008" s="1048">
        <f t="shared" si="157"/>
        <v>0.1</v>
      </c>
      <c r="L1008" s="1048"/>
      <c r="N1008" s="1051">
        <v>43767</v>
      </c>
      <c r="O1008" s="1053">
        <v>7.5477999999999996</v>
      </c>
      <c r="P1008" s="1053">
        <v>1.2372000000000001</v>
      </c>
      <c r="Q1008" s="1053">
        <v>8.6252999999999993</v>
      </c>
      <c r="R1008" s="1054">
        <f>'B. PE'!$U$23</f>
        <v>15.978235616082999</v>
      </c>
      <c r="S1008" s="1054"/>
      <c r="T1008" s="1054"/>
      <c r="V1008" s="1051">
        <v>43767</v>
      </c>
      <c r="W1008" s="198">
        <v>6.2225000000000001</v>
      </c>
      <c r="X1008" s="198">
        <v>0.44919999999999999</v>
      </c>
      <c r="Y1008" s="198">
        <v>5.2030000000000003</v>
      </c>
      <c r="Z1008" s="198">
        <v>0.27716000000000002</v>
      </c>
      <c r="AB1008" s="1051">
        <v>43728</v>
      </c>
      <c r="AC1008" s="198">
        <v>11.9671</v>
      </c>
      <c r="AD1008" s="1053">
        <v>1.323</v>
      </c>
      <c r="AE1008" s="198">
        <v>7.3417000000000003</v>
      </c>
      <c r="AF1008" s="198">
        <v>2.734E-2</v>
      </c>
      <c r="AH1008" s="1051">
        <v>43728</v>
      </c>
      <c r="AI1008" s="198">
        <v>9.8879000000000001</v>
      </c>
      <c r="AJ1008" s="198">
        <v>1.6968000000000001</v>
      </c>
      <c r="AK1008" s="198">
        <v>5.8146000000000004</v>
      </c>
      <c r="AL1008" s="198">
        <v>1.8800000000000001E-2</v>
      </c>
      <c r="AN1008" s="1051">
        <v>43739</v>
      </c>
      <c r="AO1008" s="198">
        <v>6.7542</v>
      </c>
      <c r="AP1008" s="198">
        <v>0.6089</v>
      </c>
      <c r="AQ1008" s="198">
        <v>4.4893000000000001</v>
      </c>
      <c r="AR1008" s="198">
        <v>0.12282</v>
      </c>
      <c r="AT1008" s="1051">
        <v>43657</v>
      </c>
      <c r="AU1008" s="198">
        <v>7.1074000000000002</v>
      </c>
      <c r="AV1008" s="198">
        <v>0.46460000000000001</v>
      </c>
      <c r="AX1008" s="198">
        <v>0.1197</v>
      </c>
      <c r="BA1008" s="1051">
        <v>43719</v>
      </c>
      <c r="BB1008" s="198">
        <v>6.8341000000000003</v>
      </c>
      <c r="BC1008" s="198">
        <v>1.4585999999999999</v>
      </c>
      <c r="BD1008" s="198">
        <v>7.2957999999999998</v>
      </c>
      <c r="BE1008" s="198">
        <v>0.29374</v>
      </c>
      <c r="BG1008" s="1051">
        <v>43719</v>
      </c>
      <c r="BH1008" s="198">
        <v>12.1157</v>
      </c>
      <c r="BI1008" s="198">
        <v>2.6435</v>
      </c>
      <c r="BJ1008" s="198">
        <v>17.038</v>
      </c>
      <c r="BT1008" s="1051">
        <v>43767</v>
      </c>
      <c r="BU1008" s="198">
        <v>15.262700000000001</v>
      </c>
      <c r="BV1008" s="198">
        <v>4.9837999999999996</v>
      </c>
      <c r="BW1008" s="198">
        <v>9.5741999999999994</v>
      </c>
      <c r="BX1008" s="198">
        <v>1.8373999999999999</v>
      </c>
      <c r="BZ1008" s="1051">
        <v>43767</v>
      </c>
      <c r="CA1008" s="198">
        <v>9.0277999999999992</v>
      </c>
      <c r="CB1008" s="198">
        <v>2.4668999999999999</v>
      </c>
      <c r="CC1008" s="198">
        <v>9.4733999999999998</v>
      </c>
      <c r="CD1008" s="198">
        <v>1.0768200000000001</v>
      </c>
      <c r="CF1008" s="1051">
        <v>43766</v>
      </c>
      <c r="CI1008" s="198">
        <v>7.0522</v>
      </c>
      <c r="CL1008" s="1051">
        <v>43788</v>
      </c>
      <c r="CM1008" s="198">
        <v>15.2826</v>
      </c>
      <c r="CN1008" s="198">
        <v>2.0831</v>
      </c>
      <c r="CO1008" s="198">
        <v>10.955500000000001</v>
      </c>
    </row>
    <row r="1009" spans="1:93" s="198" customFormat="1">
      <c r="A1009" s="1051">
        <v>43766</v>
      </c>
      <c r="B1009" s="1052">
        <f t="shared" si="152"/>
        <v>7.5190999999999999</v>
      </c>
      <c r="C1009" s="1052">
        <f t="shared" si="154"/>
        <v>6.1821000000000002</v>
      </c>
      <c r="D1009" s="1052">
        <f t="shared" si="158"/>
        <v>11.0069</v>
      </c>
      <c r="E1009" s="1052">
        <f t="shared" si="159"/>
        <v>6.8865999999999996</v>
      </c>
      <c r="F1009" s="1052">
        <f t="shared" si="160"/>
        <v>8.9108999999999998</v>
      </c>
      <c r="G1009" s="1052">
        <f t="shared" si="161"/>
        <v>6.7511000000000001</v>
      </c>
      <c r="H1009" s="1047">
        <f t="shared" si="155"/>
        <v>6.8865999999999996</v>
      </c>
      <c r="I1009" s="1048">
        <f t="shared" si="153"/>
        <v>9.184503238172681E-2</v>
      </c>
      <c r="J1009" s="1048">
        <f t="shared" si="156"/>
        <v>0.12093838824177333</v>
      </c>
      <c r="K1009" s="1048">
        <f t="shared" si="157"/>
        <v>0.1</v>
      </c>
      <c r="L1009" s="1048"/>
      <c r="N1009" s="1051">
        <v>43766</v>
      </c>
      <c r="O1009" s="1053">
        <v>7.5190999999999999</v>
      </c>
      <c r="P1009" s="1053">
        <v>1.2324999999999999</v>
      </c>
      <c r="Q1009" s="1053">
        <v>8.6030999999999995</v>
      </c>
      <c r="R1009" s="1054">
        <f>'B. PE'!$U$23</f>
        <v>15.978235616082999</v>
      </c>
      <c r="S1009" s="1054"/>
      <c r="T1009" s="1054"/>
      <c r="V1009" s="1051">
        <v>43766</v>
      </c>
      <c r="W1009" s="198">
        <v>6.1821000000000002</v>
      </c>
      <c r="X1009" s="198">
        <v>0.44629999999999997</v>
      </c>
      <c r="Y1009" s="198">
        <v>5.1867000000000001</v>
      </c>
      <c r="Z1009" s="198">
        <v>0.27605000000000002</v>
      </c>
      <c r="AB1009" s="1051">
        <v>43727</v>
      </c>
      <c r="AC1009" s="198">
        <v>12.0604</v>
      </c>
      <c r="AD1009" s="1053">
        <v>1.3332999999999999</v>
      </c>
      <c r="AE1009" s="198">
        <v>7.3807999999999998</v>
      </c>
      <c r="AF1009" s="198">
        <v>2.8129999999999999E-2</v>
      </c>
      <c r="AH1009" s="1051">
        <v>43727</v>
      </c>
      <c r="AI1009" s="198">
        <v>9.5105000000000004</v>
      </c>
      <c r="AJ1009" s="198">
        <v>1.6319999999999999</v>
      </c>
      <c r="AK1009" s="198">
        <v>5.6196000000000002</v>
      </c>
      <c r="AL1009" s="198">
        <v>1.9109999999999999E-2</v>
      </c>
      <c r="AN1009" s="1051">
        <v>43738</v>
      </c>
      <c r="AO1009" s="198">
        <v>6.7542</v>
      </c>
      <c r="AP1009" s="198">
        <v>0.6089</v>
      </c>
      <c r="AQ1009" s="198">
        <v>4.4893000000000001</v>
      </c>
      <c r="AR1009" s="198">
        <v>0.12188</v>
      </c>
      <c r="AT1009" s="1051">
        <v>43656</v>
      </c>
      <c r="AU1009" s="198">
        <v>7.3295000000000003</v>
      </c>
      <c r="AV1009" s="198">
        <v>0.47910000000000003</v>
      </c>
      <c r="AX1009" s="198">
        <v>0.11728</v>
      </c>
      <c r="BA1009" s="1051">
        <v>43718</v>
      </c>
      <c r="BB1009" s="198">
        <v>6.8719000000000001</v>
      </c>
      <c r="BC1009" s="198">
        <v>1.4665999999999999</v>
      </c>
      <c r="BD1009" s="198">
        <v>7.3223000000000003</v>
      </c>
      <c r="BE1009" s="198">
        <v>0.29525000000000001</v>
      </c>
      <c r="BG1009" s="1051">
        <v>43718</v>
      </c>
      <c r="BH1009" s="198">
        <v>11.6808</v>
      </c>
      <c r="BI1009" s="198">
        <v>2.5486</v>
      </c>
      <c r="BJ1009" s="198">
        <v>16.6478</v>
      </c>
      <c r="BT1009" s="1051">
        <v>43766</v>
      </c>
      <c r="BU1009" s="198">
        <v>15.3348</v>
      </c>
      <c r="BV1009" s="198">
        <v>5.0072999999999999</v>
      </c>
      <c r="BW1009" s="198">
        <v>9.6178000000000008</v>
      </c>
      <c r="BX1009" s="198">
        <v>1.8314999999999999</v>
      </c>
      <c r="BZ1009" s="1051">
        <v>43766</v>
      </c>
      <c r="CA1009" s="198">
        <v>9.4703999999999997</v>
      </c>
      <c r="CB1009" s="198">
        <v>2.5878000000000001</v>
      </c>
      <c r="CC1009" s="198">
        <v>9.7988</v>
      </c>
      <c r="CD1009" s="198">
        <v>1.09297</v>
      </c>
      <c r="CF1009" s="1051">
        <v>43763</v>
      </c>
      <c r="CI1009" s="198">
        <v>7.0522</v>
      </c>
      <c r="CL1009" s="1051">
        <v>43787</v>
      </c>
      <c r="CM1009" s="198">
        <v>14.765499999999999</v>
      </c>
      <c r="CN1009" s="198">
        <v>2.0125999999999999</v>
      </c>
      <c r="CO1009" s="198">
        <v>10.5943</v>
      </c>
    </row>
    <row r="1010" spans="1:93" s="198" customFormat="1">
      <c r="A1010" s="1051">
        <v>43763</v>
      </c>
      <c r="B1010" s="1052">
        <f t="shared" si="152"/>
        <v>7.4618000000000002</v>
      </c>
      <c r="C1010" s="1052">
        <f t="shared" si="154"/>
        <v>6.1741000000000001</v>
      </c>
      <c r="D1010" s="1052">
        <f t="shared" si="158"/>
        <v>10.8689</v>
      </c>
      <c r="E1010" s="1052">
        <f t="shared" si="159"/>
        <v>6.8865999999999996</v>
      </c>
      <c r="F1010" s="1052">
        <f t="shared" si="160"/>
        <v>9.1181999999999999</v>
      </c>
      <c r="G1010" s="1052">
        <f t="shared" si="161"/>
        <v>6.6306000000000003</v>
      </c>
      <c r="H1010" s="1047">
        <f t="shared" si="155"/>
        <v>6.8865999999999996</v>
      </c>
      <c r="I1010" s="1048">
        <f t="shared" si="153"/>
        <v>8.3524525890860568E-2</v>
      </c>
      <c r="J1010" s="1048">
        <f t="shared" si="156"/>
        <v>0.12093838824177333</v>
      </c>
      <c r="K1010" s="1048">
        <f t="shared" si="157"/>
        <v>0.1</v>
      </c>
      <c r="L1010" s="1048"/>
      <c r="N1010" s="1051">
        <v>43763</v>
      </c>
      <c r="O1010" s="1053">
        <v>7.4618000000000002</v>
      </c>
      <c r="P1010" s="1053">
        <v>1.2231000000000001</v>
      </c>
      <c r="Q1010" s="1053">
        <v>8.5587999999999997</v>
      </c>
      <c r="R1010" s="1054">
        <f>'B. PE'!$U$23</f>
        <v>15.978235616082999</v>
      </c>
      <c r="S1010" s="1054"/>
      <c r="T1010" s="1054"/>
      <c r="V1010" s="1051">
        <v>43763</v>
      </c>
      <c r="W1010" s="198">
        <v>6.1741000000000001</v>
      </c>
      <c r="X1010" s="198">
        <v>0.44569999999999999</v>
      </c>
      <c r="Y1010" s="198">
        <v>5.1833999999999998</v>
      </c>
      <c r="Z1010" s="198">
        <v>0.27567000000000003</v>
      </c>
      <c r="AB1010" s="1051">
        <v>43726</v>
      </c>
      <c r="AC1010" s="198">
        <v>11.9361</v>
      </c>
      <c r="AD1010" s="1053">
        <v>1.3194999999999999</v>
      </c>
      <c r="AE1010" s="198">
        <v>7.3285999999999998</v>
      </c>
      <c r="AF1010" s="198">
        <v>2.6419999999999999E-2</v>
      </c>
      <c r="AH1010" s="1051">
        <v>43726</v>
      </c>
      <c r="AI1010" s="198">
        <v>9.9634</v>
      </c>
      <c r="AJ1010" s="198">
        <v>1.7097</v>
      </c>
      <c r="AK1010" s="198">
        <v>5.8536000000000001</v>
      </c>
      <c r="AL1010" s="198">
        <v>1.925E-2</v>
      </c>
      <c r="AN1010" s="1051">
        <v>43735</v>
      </c>
      <c r="AO1010" s="198">
        <v>6.9587000000000003</v>
      </c>
      <c r="AP1010" s="198">
        <v>0.63039999999999996</v>
      </c>
      <c r="AQ1010" s="198">
        <v>4.9283999999999999</v>
      </c>
      <c r="AR1010" s="198">
        <v>0.1217</v>
      </c>
      <c r="AT1010" s="1051">
        <v>43655</v>
      </c>
      <c r="AU1010" s="198">
        <v>7.3295000000000003</v>
      </c>
      <c r="AV1010" s="198">
        <v>0.47910000000000003</v>
      </c>
      <c r="AX1010" s="198">
        <v>0.1208</v>
      </c>
      <c r="BA1010" s="1051">
        <v>43717</v>
      </c>
      <c r="BB1010" s="198">
        <v>6.7964000000000002</v>
      </c>
      <c r="BC1010" s="198">
        <v>1.4504999999999999</v>
      </c>
      <c r="BD1010" s="198">
        <v>7.2693000000000003</v>
      </c>
      <c r="BE1010" s="198">
        <v>0.29654999999999998</v>
      </c>
      <c r="BG1010" s="1051">
        <v>43717</v>
      </c>
      <c r="BH1010" s="198">
        <v>11.805099999999999</v>
      </c>
      <c r="BI1010" s="198">
        <v>2.5756999999999999</v>
      </c>
      <c r="BJ1010" s="198">
        <v>16.7593</v>
      </c>
      <c r="BT1010" s="1051">
        <v>43763</v>
      </c>
      <c r="BU1010" s="198">
        <v>15.370799999999999</v>
      </c>
      <c r="BV1010" s="198">
        <v>5.0190999999999999</v>
      </c>
      <c r="BW1010" s="198">
        <v>9.6395999999999997</v>
      </c>
      <c r="BX1010" s="198">
        <v>1.7697000000000001</v>
      </c>
      <c r="BZ1010" s="1051">
        <v>43763</v>
      </c>
      <c r="CA1010" s="198">
        <v>9.5366999999999997</v>
      </c>
      <c r="CB1010" s="198">
        <v>2.6059000000000001</v>
      </c>
      <c r="CC1010" s="198">
        <v>9.8475999999999999</v>
      </c>
      <c r="CD1010" s="198">
        <v>1.0866800000000001</v>
      </c>
      <c r="CF1010" s="1051">
        <v>43762</v>
      </c>
      <c r="CG1010" s="198">
        <v>5.3487</v>
      </c>
      <c r="CH1010" s="198">
        <v>1.0558000000000001</v>
      </c>
      <c r="CI1010" s="198">
        <v>7.0522</v>
      </c>
      <c r="CL1010" s="1051">
        <v>43784</v>
      </c>
      <c r="CM1010" s="198">
        <v>14.9091</v>
      </c>
      <c r="CN1010" s="198">
        <v>2.0322</v>
      </c>
      <c r="CO1010" s="198">
        <v>10.694599999999999</v>
      </c>
    </row>
    <row r="1011" spans="1:93" s="198" customFormat="1">
      <c r="A1011" s="1051">
        <v>43762</v>
      </c>
      <c r="B1011" s="1052">
        <f t="shared" si="152"/>
        <v>7.3758999999999997</v>
      </c>
      <c r="C1011" s="1052">
        <f t="shared" si="154"/>
        <v>6.1497999999999999</v>
      </c>
      <c r="D1011" s="1052">
        <f t="shared" si="158"/>
        <v>10.6273</v>
      </c>
      <c r="E1011" s="1052">
        <f t="shared" si="159"/>
        <v>6.8204000000000002</v>
      </c>
      <c r="F1011" s="1052">
        <f t="shared" si="160"/>
        <v>9.4634999999999998</v>
      </c>
      <c r="G1011" s="1052">
        <f t="shared" si="161"/>
        <v>6.7511000000000001</v>
      </c>
      <c r="H1011" s="1047">
        <f t="shared" si="155"/>
        <v>6.8204000000000002</v>
      </c>
      <c r="I1011" s="1048">
        <f t="shared" si="153"/>
        <v>8.1446835962700082E-2</v>
      </c>
      <c r="J1011" s="1048">
        <f t="shared" si="156"/>
        <v>0.12093838824177333</v>
      </c>
      <c r="K1011" s="1048">
        <f t="shared" si="157"/>
        <v>0.1</v>
      </c>
      <c r="L1011" s="1048"/>
      <c r="N1011" s="1051">
        <v>43762</v>
      </c>
      <c r="O1011" s="1053">
        <v>7.3758999999999997</v>
      </c>
      <c r="P1011" s="1053">
        <v>1.2090000000000001</v>
      </c>
      <c r="Q1011" s="1053">
        <v>8.4923000000000002</v>
      </c>
      <c r="R1011" s="1054">
        <f>'B. PE'!$U$23</f>
        <v>15.978235616082999</v>
      </c>
      <c r="S1011" s="1054"/>
      <c r="T1011" s="1054"/>
      <c r="V1011" s="1051">
        <v>43762</v>
      </c>
      <c r="W1011" s="198">
        <v>6.1497999999999999</v>
      </c>
      <c r="X1011" s="198">
        <v>0.44390000000000002</v>
      </c>
      <c r="Y1011" s="198">
        <v>5.1736000000000004</v>
      </c>
      <c r="Z1011" s="198">
        <v>0.27532000000000001</v>
      </c>
      <c r="AB1011" s="1051">
        <v>43725</v>
      </c>
      <c r="AC1011" s="198">
        <v>12.309100000000001</v>
      </c>
      <c r="AD1011" s="1053">
        <v>1.3608</v>
      </c>
      <c r="AE1011" s="198">
        <v>7.4851000000000001</v>
      </c>
      <c r="AF1011" s="198">
        <v>2.6980000000000001E-2</v>
      </c>
      <c r="AH1011" s="1051">
        <v>43725</v>
      </c>
      <c r="AI1011" s="198">
        <v>10.152100000000001</v>
      </c>
      <c r="AJ1011" s="198">
        <v>1.7421</v>
      </c>
      <c r="AK1011" s="198">
        <v>5.9511000000000003</v>
      </c>
      <c r="AL1011" s="198">
        <v>1.9400000000000001E-2</v>
      </c>
      <c r="AN1011" s="1051">
        <v>43734</v>
      </c>
      <c r="AO1011" s="198">
        <v>6.8910999999999998</v>
      </c>
      <c r="AP1011" s="198">
        <v>0.62429999999999997</v>
      </c>
      <c r="AQ1011" s="198">
        <v>4.8757000000000001</v>
      </c>
      <c r="AR1011" s="198">
        <v>0.12197</v>
      </c>
      <c r="AT1011" s="1051">
        <v>43654</v>
      </c>
      <c r="AU1011" s="198">
        <v>7.1814999999999998</v>
      </c>
      <c r="AV1011" s="198">
        <v>0.46939999999999998</v>
      </c>
      <c r="AX1011" s="198">
        <v>0.12082</v>
      </c>
      <c r="BA1011" s="1051">
        <v>43714</v>
      </c>
      <c r="BB1011" s="198">
        <v>6.8341000000000003</v>
      </c>
      <c r="BC1011" s="198">
        <v>1.4585999999999999</v>
      </c>
      <c r="BD1011" s="198">
        <v>7.2957999999999998</v>
      </c>
      <c r="BE1011" s="198">
        <v>0.29608000000000001</v>
      </c>
      <c r="BG1011" s="1051">
        <v>43714</v>
      </c>
      <c r="BH1011" s="198">
        <v>11.742900000000001</v>
      </c>
      <c r="BI1011" s="198">
        <v>2.5621999999999998</v>
      </c>
      <c r="BJ1011" s="198">
        <v>16.703600000000002</v>
      </c>
      <c r="BT1011" s="1051">
        <v>43762</v>
      </c>
      <c r="BU1011" s="198">
        <v>15.322800000000001</v>
      </c>
      <c r="BV1011" s="198">
        <v>5.0034000000000001</v>
      </c>
      <c r="BW1011" s="198">
        <v>9.6105</v>
      </c>
      <c r="BX1011" s="198">
        <v>1.7683</v>
      </c>
      <c r="BZ1011" s="1051">
        <v>43762</v>
      </c>
      <c r="CA1011" s="198">
        <v>9.6806000000000001</v>
      </c>
      <c r="CB1011" s="198">
        <v>2.6452</v>
      </c>
      <c r="CC1011" s="198">
        <v>9.9534000000000002</v>
      </c>
      <c r="CD1011" s="198">
        <v>1.0867199999999999</v>
      </c>
      <c r="CF1011" s="1051">
        <v>43761</v>
      </c>
      <c r="CG1011" s="198">
        <v>5.3487</v>
      </c>
      <c r="CH1011" s="198">
        <v>1.0558000000000001</v>
      </c>
      <c r="CI1011" s="198">
        <v>7.0522</v>
      </c>
      <c r="CL1011" s="1051">
        <v>43783</v>
      </c>
      <c r="CM1011" s="198">
        <v>14.391999999999999</v>
      </c>
      <c r="CN1011" s="198">
        <v>1.9617</v>
      </c>
      <c r="CO1011" s="198">
        <v>10.333399999999999</v>
      </c>
    </row>
    <row r="1012" spans="1:93" s="198" customFormat="1">
      <c r="A1012" s="1051">
        <v>43761</v>
      </c>
      <c r="B1012" s="1052">
        <f t="shared" si="152"/>
        <v>7.3329000000000004</v>
      </c>
      <c r="C1012" s="1052">
        <f t="shared" si="154"/>
        <v>6.1417000000000002</v>
      </c>
      <c r="D1012" s="1052">
        <f t="shared" si="158"/>
        <v>10.4893</v>
      </c>
      <c r="E1012" s="1052">
        <f t="shared" si="159"/>
        <v>6.8204000000000002</v>
      </c>
      <c r="F1012" s="1052">
        <f t="shared" si="160"/>
        <v>9.4634999999999998</v>
      </c>
      <c r="G1012" s="1052">
        <f t="shared" si="161"/>
        <v>6.7511000000000001</v>
      </c>
      <c r="H1012" s="1047">
        <f t="shared" si="155"/>
        <v>6.8204000000000002</v>
      </c>
      <c r="I1012" s="1048">
        <f t="shared" si="153"/>
        <v>7.5142220397630632E-2</v>
      </c>
      <c r="J1012" s="1048">
        <f t="shared" si="156"/>
        <v>0.12093838824177333</v>
      </c>
      <c r="K1012" s="1048">
        <f t="shared" si="157"/>
        <v>0.1</v>
      </c>
      <c r="L1012" s="1048"/>
      <c r="N1012" s="1051">
        <v>43761</v>
      </c>
      <c r="O1012" s="1053">
        <v>7.3329000000000004</v>
      </c>
      <c r="P1012" s="1053">
        <v>1.202</v>
      </c>
      <c r="Q1012" s="1053">
        <v>8.4589999999999996</v>
      </c>
      <c r="R1012" s="1054">
        <f>'B. PE'!$U$23</f>
        <v>15.978235616082999</v>
      </c>
      <c r="S1012" s="1054"/>
      <c r="T1012" s="1054"/>
      <c r="V1012" s="1051">
        <v>43761</v>
      </c>
      <c r="W1012" s="198">
        <v>6.1417000000000002</v>
      </c>
      <c r="X1012" s="198">
        <v>0.44330000000000003</v>
      </c>
      <c r="Y1012" s="198">
        <v>5.1703999999999999</v>
      </c>
      <c r="Z1012" s="198">
        <v>0.27384999999999998</v>
      </c>
      <c r="AB1012" s="1051">
        <v>43724</v>
      </c>
      <c r="AC1012" s="198">
        <v>11.5631</v>
      </c>
      <c r="AD1012" s="1053">
        <v>1.2783</v>
      </c>
      <c r="AE1012" s="198">
        <v>7.1722000000000001</v>
      </c>
      <c r="AF1012" s="198">
        <v>2.5850000000000001E-2</v>
      </c>
      <c r="AH1012" s="1051">
        <v>43724</v>
      </c>
      <c r="AI1012" s="198">
        <v>10.227600000000001</v>
      </c>
      <c r="AJ1012" s="198">
        <v>1.7551000000000001</v>
      </c>
      <c r="AK1012" s="198">
        <v>5.9901</v>
      </c>
      <c r="AL1012" s="198">
        <v>1.9529999999999999E-2</v>
      </c>
      <c r="AN1012" s="1051">
        <v>43733</v>
      </c>
      <c r="AO1012" s="198">
        <v>6.8910999999999998</v>
      </c>
      <c r="AP1012" s="198">
        <v>0.62429999999999997</v>
      </c>
      <c r="AQ1012" s="198">
        <v>4.8757000000000001</v>
      </c>
      <c r="AR1012" s="198">
        <v>0.12198000000000001</v>
      </c>
      <c r="AT1012" s="1051">
        <v>43651</v>
      </c>
      <c r="AU1012" s="198">
        <v>7.4036</v>
      </c>
      <c r="AV1012" s="198">
        <v>0.4839</v>
      </c>
      <c r="AX1012" s="198">
        <v>0.11708</v>
      </c>
      <c r="BA1012" s="1051">
        <v>43713</v>
      </c>
      <c r="BB1012" s="198">
        <v>6.8719000000000001</v>
      </c>
      <c r="BC1012" s="198">
        <v>1.4665999999999999</v>
      </c>
      <c r="BD1012" s="198">
        <v>7.3223000000000003</v>
      </c>
      <c r="BE1012" s="198">
        <v>0.29718</v>
      </c>
      <c r="BG1012" s="1051">
        <v>43713</v>
      </c>
      <c r="BH1012" s="198">
        <v>11.805099999999999</v>
      </c>
      <c r="BI1012" s="198">
        <v>2.5756999999999999</v>
      </c>
      <c r="BJ1012" s="198">
        <v>16.7593</v>
      </c>
      <c r="BT1012" s="1051">
        <v>43761</v>
      </c>
      <c r="BU1012" s="198">
        <v>14.805999999999999</v>
      </c>
      <c r="BV1012" s="198">
        <v>4.8346999999999998</v>
      </c>
      <c r="BW1012" s="198">
        <v>9.2979000000000003</v>
      </c>
      <c r="BX1012" s="198">
        <v>1.7653000000000001</v>
      </c>
      <c r="BZ1012" s="1051">
        <v>43761</v>
      </c>
      <c r="CA1012" s="198">
        <v>9.6251999999999995</v>
      </c>
      <c r="CB1012" s="198">
        <v>2.6301000000000001</v>
      </c>
      <c r="CC1012" s="198">
        <v>9.9126999999999992</v>
      </c>
      <c r="CD1012" s="198">
        <v>1.11161</v>
      </c>
      <c r="CF1012" s="1051">
        <v>43760</v>
      </c>
      <c r="CG1012" s="198">
        <v>5.3487</v>
      </c>
      <c r="CH1012" s="198">
        <v>1.0558000000000001</v>
      </c>
      <c r="CI1012" s="198">
        <v>7.0522</v>
      </c>
      <c r="CL1012" s="1051">
        <v>43782</v>
      </c>
      <c r="CM1012" s="198">
        <v>14.1335</v>
      </c>
      <c r="CN1012" s="198">
        <v>1.9265000000000001</v>
      </c>
      <c r="CO1012" s="198">
        <v>10.152799999999999</v>
      </c>
    </row>
    <row r="1013" spans="1:93" s="198" customFormat="1">
      <c r="A1013" s="1051">
        <v>43760</v>
      </c>
      <c r="B1013" s="1052">
        <f t="shared" si="152"/>
        <v>7.3758999999999997</v>
      </c>
      <c r="C1013" s="1052">
        <f t="shared" si="154"/>
        <v>6.1336000000000004</v>
      </c>
      <c r="D1013" s="1052">
        <f t="shared" si="158"/>
        <v>10.3513</v>
      </c>
      <c r="E1013" s="1052">
        <f t="shared" si="159"/>
        <v>6.8865999999999996</v>
      </c>
      <c r="F1013" s="1052">
        <f t="shared" si="160"/>
        <v>9.8780000000000001</v>
      </c>
      <c r="G1013" s="1052">
        <f t="shared" si="161"/>
        <v>6.8716999999999997</v>
      </c>
      <c r="H1013" s="1047">
        <f t="shared" si="155"/>
        <v>6.8865999999999996</v>
      </c>
      <c r="I1013" s="1048">
        <f t="shared" si="153"/>
        <v>7.1051026631429259E-2</v>
      </c>
      <c r="J1013" s="1048">
        <f t="shared" si="156"/>
        <v>0.12093838824177333</v>
      </c>
      <c r="K1013" s="1048">
        <f t="shared" si="157"/>
        <v>0.1</v>
      </c>
      <c r="L1013" s="1048"/>
      <c r="N1013" s="1051">
        <v>43760</v>
      </c>
      <c r="O1013" s="1053">
        <v>7.3758999999999997</v>
      </c>
      <c r="P1013" s="1053">
        <v>1.2090000000000001</v>
      </c>
      <c r="Q1013" s="1053">
        <v>8.4923000000000002</v>
      </c>
      <c r="R1013" s="1054">
        <f>'B. PE'!$U$23</f>
        <v>15.978235616082999</v>
      </c>
      <c r="S1013" s="1054"/>
      <c r="T1013" s="1054"/>
      <c r="V1013" s="1051">
        <v>43760</v>
      </c>
      <c r="W1013" s="198">
        <v>6.1336000000000004</v>
      </c>
      <c r="X1013" s="198">
        <v>0.44280000000000003</v>
      </c>
      <c r="Y1013" s="198">
        <v>5.1670999999999996</v>
      </c>
      <c r="Z1013" s="198">
        <v>0.27461000000000002</v>
      </c>
      <c r="AB1013" s="1051">
        <v>43721</v>
      </c>
      <c r="AC1013" s="198">
        <v>11.718500000000001</v>
      </c>
      <c r="AD1013" s="1053">
        <v>1.2955000000000001</v>
      </c>
      <c r="AE1013" s="198">
        <v>7.2374000000000001</v>
      </c>
      <c r="AF1013" s="198">
        <v>2.5559999999999999E-2</v>
      </c>
      <c r="AH1013" s="1051">
        <v>43721</v>
      </c>
      <c r="AI1013" s="198">
        <v>10.227600000000001</v>
      </c>
      <c r="AJ1013" s="198">
        <v>1.7551000000000001</v>
      </c>
      <c r="AK1013" s="198">
        <v>5.9901</v>
      </c>
      <c r="AL1013" s="198">
        <v>1.95E-2</v>
      </c>
      <c r="AN1013" s="1051">
        <v>43732</v>
      </c>
      <c r="AO1013" s="198">
        <v>6.8910999999999998</v>
      </c>
      <c r="AP1013" s="198">
        <v>0.62429999999999997</v>
      </c>
      <c r="AQ1013" s="198">
        <v>4.8757000000000001</v>
      </c>
      <c r="AR1013" s="198">
        <v>0.12214</v>
      </c>
      <c r="AT1013" s="1051">
        <v>43649</v>
      </c>
      <c r="AU1013" s="198">
        <v>7.4036</v>
      </c>
      <c r="AV1013" s="198">
        <v>0.4839</v>
      </c>
      <c r="AX1013" s="198">
        <v>0.11613</v>
      </c>
      <c r="BA1013" s="1051">
        <v>43712</v>
      </c>
      <c r="BB1013" s="198">
        <v>6.8341000000000003</v>
      </c>
      <c r="BC1013" s="198">
        <v>1.4585999999999999</v>
      </c>
      <c r="BD1013" s="198">
        <v>7.2957999999999998</v>
      </c>
      <c r="BE1013" s="198">
        <v>0.29880000000000001</v>
      </c>
      <c r="BG1013" s="1051">
        <v>43712</v>
      </c>
      <c r="BH1013" s="198">
        <v>11.8672</v>
      </c>
      <c r="BI1013" s="198">
        <v>2.5893000000000002</v>
      </c>
      <c r="BJ1013" s="198">
        <v>16.815000000000001</v>
      </c>
      <c r="BT1013" s="1051">
        <v>43760</v>
      </c>
      <c r="BU1013" s="198">
        <v>14.794</v>
      </c>
      <c r="BV1013" s="198">
        <v>4.8307000000000002</v>
      </c>
      <c r="BW1013" s="198">
        <v>9.2905999999999995</v>
      </c>
      <c r="BX1013" s="198">
        <v>1.7655000000000001</v>
      </c>
      <c r="BZ1013" s="1051">
        <v>43760</v>
      </c>
      <c r="CA1013" s="198">
        <v>9.6251999999999995</v>
      </c>
      <c r="CB1013" s="198">
        <v>2.6301000000000001</v>
      </c>
      <c r="CC1013" s="198">
        <v>9.9126999999999992</v>
      </c>
      <c r="CD1013" s="198">
        <v>1.0992599999999999</v>
      </c>
      <c r="CF1013" s="1051">
        <v>43759</v>
      </c>
      <c r="CG1013" s="198">
        <v>5.3487</v>
      </c>
      <c r="CH1013" s="198">
        <v>1.0558000000000001</v>
      </c>
      <c r="CI1013" s="198">
        <v>7.0522</v>
      </c>
      <c r="CL1013" s="1051">
        <v>43781</v>
      </c>
      <c r="CM1013" s="198">
        <v>14.377700000000001</v>
      </c>
      <c r="CN1013" s="198">
        <v>1.9598</v>
      </c>
      <c r="CO1013" s="198">
        <v>10.323399999999999</v>
      </c>
    </row>
    <row r="1014" spans="1:93" s="198" customFormat="1">
      <c r="A1014" s="1051">
        <v>43759</v>
      </c>
      <c r="B1014" s="1052">
        <f t="shared" si="152"/>
        <v>7.0894000000000004</v>
      </c>
      <c r="C1014" s="1052">
        <f t="shared" si="154"/>
        <v>6.1013000000000002</v>
      </c>
      <c r="D1014" s="1052">
        <f t="shared" si="158"/>
        <v>10.144299999999999</v>
      </c>
      <c r="E1014" s="1052">
        <f t="shared" si="159"/>
        <v>6.8865999999999996</v>
      </c>
      <c r="F1014" s="1052">
        <f t="shared" si="160"/>
        <v>11.052300000000001</v>
      </c>
      <c r="G1014" s="1052">
        <f t="shared" si="161"/>
        <v>6.9119000000000002</v>
      </c>
      <c r="H1014" s="1047">
        <f t="shared" si="155"/>
        <v>6.9119000000000002</v>
      </c>
      <c r="I1014" s="1048">
        <f t="shared" si="153"/>
        <v>2.5680348384669927E-2</v>
      </c>
      <c r="J1014" s="1048">
        <f t="shared" si="156"/>
        <v>0.12093838824177333</v>
      </c>
      <c r="K1014" s="1048">
        <f t="shared" si="157"/>
        <v>0.1</v>
      </c>
      <c r="L1014" s="1048"/>
      <c r="N1014" s="1051">
        <v>43759</v>
      </c>
      <c r="O1014" s="1053">
        <v>7.0894000000000004</v>
      </c>
      <c r="P1014" s="1053">
        <v>1.1620999999999999</v>
      </c>
      <c r="Q1014" s="1053">
        <v>8.2706</v>
      </c>
      <c r="R1014" s="1054">
        <f>'B. PE'!$U$23</f>
        <v>15.978235616082999</v>
      </c>
      <c r="S1014" s="1054"/>
      <c r="T1014" s="1054"/>
      <c r="V1014" s="1051">
        <v>43759</v>
      </c>
      <c r="W1014" s="198">
        <v>6.1013000000000002</v>
      </c>
      <c r="X1014" s="198">
        <v>0.44040000000000001</v>
      </c>
      <c r="Y1014" s="198">
        <v>5.1539999999999999</v>
      </c>
      <c r="Z1014" s="198">
        <v>0.27349000000000001</v>
      </c>
      <c r="AB1014" s="1051">
        <v>43720</v>
      </c>
      <c r="AC1014" s="198">
        <v>11.190099999999999</v>
      </c>
      <c r="AD1014" s="1053">
        <v>1.2370000000000001</v>
      </c>
      <c r="AE1014" s="198">
        <v>7.0156999999999998</v>
      </c>
      <c r="AF1014" s="198">
        <v>2.4709999999999999E-2</v>
      </c>
      <c r="AH1014" s="1051">
        <v>43720</v>
      </c>
      <c r="AI1014" s="198">
        <v>10.2653</v>
      </c>
      <c r="AJ1014" s="198">
        <v>1.7615000000000001</v>
      </c>
      <c r="AK1014" s="198">
        <v>6.0095999999999998</v>
      </c>
      <c r="AL1014" s="198">
        <v>1.915E-2</v>
      </c>
      <c r="AN1014" s="1051">
        <v>43731</v>
      </c>
      <c r="AO1014" s="198">
        <v>6.8910999999999998</v>
      </c>
      <c r="AP1014" s="198">
        <v>0.62429999999999997</v>
      </c>
      <c r="AQ1014" s="198">
        <v>4.8757000000000001</v>
      </c>
      <c r="AR1014" s="198">
        <v>0.12171999999999999</v>
      </c>
      <c r="AT1014" s="1051">
        <v>43648</v>
      </c>
      <c r="AU1014" s="198">
        <v>7.1814999999999998</v>
      </c>
      <c r="AV1014" s="198">
        <v>0.46939999999999998</v>
      </c>
      <c r="AX1014" s="198">
        <v>0.11602</v>
      </c>
      <c r="BA1014" s="1051">
        <v>43711</v>
      </c>
      <c r="BB1014" s="198">
        <v>6.8719000000000001</v>
      </c>
      <c r="BC1014" s="198">
        <v>1.4665999999999999</v>
      </c>
      <c r="BD1014" s="198">
        <v>7.3223000000000003</v>
      </c>
      <c r="BE1014" s="198">
        <v>0.29892000000000002</v>
      </c>
      <c r="BG1014" s="1051">
        <v>43711</v>
      </c>
      <c r="BH1014" s="198">
        <v>11.8672</v>
      </c>
      <c r="BI1014" s="198">
        <v>2.5893000000000002</v>
      </c>
      <c r="BJ1014" s="198">
        <v>16.815000000000001</v>
      </c>
      <c r="BT1014" s="1051">
        <v>43759</v>
      </c>
      <c r="BU1014" s="198">
        <v>14.7699</v>
      </c>
      <c r="BV1014" s="198">
        <v>4.8228999999999997</v>
      </c>
      <c r="BW1014" s="198">
        <v>9.2759999999999998</v>
      </c>
      <c r="BX1014" s="198">
        <v>1.7653000000000001</v>
      </c>
      <c r="BZ1014" s="1051">
        <v>43759</v>
      </c>
      <c r="CA1014" s="198">
        <v>9.8465000000000007</v>
      </c>
      <c r="CB1014" s="198">
        <v>2.6905999999999999</v>
      </c>
      <c r="CC1014" s="198">
        <v>10.0754</v>
      </c>
      <c r="CD1014" s="198">
        <v>1.0966199999999999</v>
      </c>
      <c r="CF1014" s="1051">
        <v>43756</v>
      </c>
      <c r="CG1014" s="198">
        <v>5.3045</v>
      </c>
      <c r="CH1014" s="198">
        <v>1.0469999999999999</v>
      </c>
      <c r="CI1014" s="198">
        <v>7.0259</v>
      </c>
      <c r="CL1014" s="1051">
        <v>43780</v>
      </c>
      <c r="CM1014" s="198">
        <v>14.391999999999999</v>
      </c>
      <c r="CN1014" s="198">
        <v>1.9617</v>
      </c>
      <c r="CO1014" s="198">
        <v>10.333399999999999</v>
      </c>
    </row>
    <row r="1015" spans="1:93" s="198" customFormat="1">
      <c r="A1015" s="1051">
        <v>43756</v>
      </c>
      <c r="B1015" s="1052">
        <f t="shared" si="152"/>
        <v>7.1181000000000001</v>
      </c>
      <c r="C1015" s="1052">
        <f t="shared" si="154"/>
        <v>6.1174999999999997</v>
      </c>
      <c r="D1015" s="1052">
        <f t="shared" si="158"/>
        <v>10.178800000000001</v>
      </c>
      <c r="E1015" s="1052">
        <f t="shared" si="159"/>
        <v>6.8865999999999996</v>
      </c>
      <c r="F1015" s="1052">
        <f t="shared" si="160"/>
        <v>10.9832</v>
      </c>
      <c r="G1015" s="1052">
        <f t="shared" si="161"/>
        <v>6.9119000000000002</v>
      </c>
      <c r="H1015" s="1047">
        <f t="shared" si="155"/>
        <v>6.9119000000000002</v>
      </c>
      <c r="I1015" s="1048">
        <f t="shared" si="153"/>
        <v>2.9832607531937727E-2</v>
      </c>
      <c r="J1015" s="1048">
        <f t="shared" si="156"/>
        <v>0.12093838824177333</v>
      </c>
      <c r="K1015" s="1048">
        <f t="shared" si="157"/>
        <v>0.1</v>
      </c>
      <c r="L1015" s="1048"/>
      <c r="N1015" s="1051">
        <v>43756</v>
      </c>
      <c r="O1015" s="1053">
        <v>7.1181000000000001</v>
      </c>
      <c r="P1015" s="1053">
        <v>1.1667000000000001</v>
      </c>
      <c r="Q1015" s="1053">
        <v>8.2927999999999997</v>
      </c>
      <c r="R1015" s="1054">
        <f>'B. PE'!$U$23</f>
        <v>15.978235616082999</v>
      </c>
      <c r="S1015" s="1054"/>
      <c r="T1015" s="1054"/>
      <c r="V1015" s="1051">
        <v>43756</v>
      </c>
      <c r="W1015" s="198">
        <v>6.1174999999999997</v>
      </c>
      <c r="X1015" s="198">
        <v>0.44159999999999999</v>
      </c>
      <c r="Y1015" s="198">
        <v>5.1605999999999996</v>
      </c>
      <c r="Z1015" s="198">
        <v>0.27496999999999999</v>
      </c>
      <c r="AB1015" s="1051">
        <v>43719</v>
      </c>
      <c r="AC1015" s="198">
        <v>11.159000000000001</v>
      </c>
      <c r="AD1015" s="1053">
        <v>1.2336</v>
      </c>
      <c r="AE1015" s="198">
        <v>7.0026000000000002</v>
      </c>
      <c r="AF1015" s="198">
        <v>2.189E-2</v>
      </c>
      <c r="AH1015" s="1051">
        <v>43719</v>
      </c>
      <c r="AI1015" s="198">
        <v>10.3408</v>
      </c>
      <c r="AJ1015" s="198">
        <v>1.7745</v>
      </c>
      <c r="AK1015" s="198">
        <v>6.0486000000000004</v>
      </c>
      <c r="AL1015" s="198">
        <v>1.9179999999999999E-2</v>
      </c>
      <c r="AN1015" s="1051">
        <v>43728</v>
      </c>
      <c r="AO1015" s="198">
        <v>6.8910999999999998</v>
      </c>
      <c r="AP1015" s="198">
        <v>0.62429999999999997</v>
      </c>
      <c r="AQ1015" s="198">
        <v>4.8757000000000001</v>
      </c>
      <c r="AR1015" s="198">
        <v>0.12077</v>
      </c>
      <c r="AT1015" s="1051">
        <v>43647</v>
      </c>
      <c r="AU1015" s="198">
        <v>7.1074000000000002</v>
      </c>
      <c r="AV1015" s="198">
        <v>0.46460000000000001</v>
      </c>
      <c r="AX1015" s="198">
        <v>0.11583</v>
      </c>
      <c r="BA1015" s="1051">
        <v>43710</v>
      </c>
      <c r="BB1015" s="198">
        <v>6.9097</v>
      </c>
      <c r="BC1015" s="198">
        <v>1.4746999999999999</v>
      </c>
      <c r="BD1015" s="198">
        <v>7.3487</v>
      </c>
      <c r="BE1015" s="198">
        <v>0.29865999999999998</v>
      </c>
      <c r="BG1015" s="1051">
        <v>43710</v>
      </c>
      <c r="BH1015" s="198">
        <v>11.8672</v>
      </c>
      <c r="BI1015" s="198">
        <v>2.5893000000000002</v>
      </c>
      <c r="BJ1015" s="198">
        <v>16.815000000000001</v>
      </c>
      <c r="BT1015" s="1051">
        <v>43756</v>
      </c>
      <c r="BU1015" s="198">
        <v>14.7699</v>
      </c>
      <c r="BV1015" s="198">
        <v>4.8228999999999997</v>
      </c>
      <c r="BW1015" s="198">
        <v>9.2759999999999998</v>
      </c>
      <c r="BX1015" s="198">
        <v>1.7970999999999999</v>
      </c>
      <c r="BZ1015" s="1051">
        <v>43756</v>
      </c>
      <c r="CA1015" s="198">
        <v>9.7359000000000009</v>
      </c>
      <c r="CB1015" s="198">
        <v>2.6604000000000001</v>
      </c>
      <c r="CC1015" s="198">
        <v>9.9940999999999995</v>
      </c>
      <c r="CD1015" s="198">
        <v>1.09426</v>
      </c>
      <c r="CF1015" s="1051">
        <v>43755</v>
      </c>
      <c r="CG1015" s="198">
        <v>5.3045</v>
      </c>
      <c r="CH1015" s="198">
        <v>1.0469999999999999</v>
      </c>
      <c r="CI1015" s="198">
        <v>7.0259</v>
      </c>
      <c r="CL1015" s="1051">
        <v>43777</v>
      </c>
      <c r="CM1015" s="198">
        <v>14.478199999999999</v>
      </c>
      <c r="CN1015" s="198">
        <v>1.9735</v>
      </c>
      <c r="CO1015" s="198">
        <v>10.393599999999999</v>
      </c>
    </row>
    <row r="1016" spans="1:93" s="198" customFormat="1">
      <c r="A1016" s="1051">
        <v>43755</v>
      </c>
      <c r="B1016" s="1052">
        <f t="shared" si="152"/>
        <v>7.0178000000000003</v>
      </c>
      <c r="C1016" s="1052">
        <f t="shared" si="154"/>
        <v>6.0932000000000004</v>
      </c>
      <c r="D1016" s="1052">
        <f t="shared" si="158"/>
        <v>10.040800000000001</v>
      </c>
      <c r="E1016" s="1052">
        <f t="shared" si="159"/>
        <v>6.8204000000000002</v>
      </c>
      <c r="F1016" s="1052">
        <f t="shared" si="160"/>
        <v>11.604900000000001</v>
      </c>
      <c r="G1016" s="1052">
        <f t="shared" si="161"/>
        <v>6.9520999999999997</v>
      </c>
      <c r="H1016" s="1047">
        <f t="shared" si="155"/>
        <v>6.9520999999999997</v>
      </c>
      <c r="I1016" s="1048">
        <f t="shared" si="153"/>
        <v>9.4503818989946087E-3</v>
      </c>
      <c r="J1016" s="1048">
        <f t="shared" si="156"/>
        <v>0.12093838824177333</v>
      </c>
      <c r="K1016" s="1048">
        <f t="shared" si="157"/>
        <v>0.1</v>
      </c>
      <c r="L1016" s="1048"/>
      <c r="N1016" s="1051">
        <v>43755</v>
      </c>
      <c r="O1016" s="1053">
        <v>7.0178000000000003</v>
      </c>
      <c r="P1016" s="1053">
        <v>1.1503000000000001</v>
      </c>
      <c r="Q1016" s="1053">
        <v>8.2151999999999994</v>
      </c>
      <c r="R1016" s="1054">
        <f>'B. PE'!$U$23</f>
        <v>15.978235616082999</v>
      </c>
      <c r="S1016" s="1054"/>
      <c r="T1016" s="1054"/>
      <c r="V1016" s="1051">
        <v>43755</v>
      </c>
      <c r="W1016" s="198">
        <v>6.0932000000000004</v>
      </c>
      <c r="X1016" s="198">
        <v>0.43980000000000002</v>
      </c>
      <c r="Y1016" s="198">
        <v>5.1508000000000003</v>
      </c>
      <c r="Z1016" s="198">
        <v>0.27317999999999998</v>
      </c>
      <c r="AB1016" s="1051">
        <v>43718</v>
      </c>
      <c r="AC1016" s="198">
        <v>10.786</v>
      </c>
      <c r="AD1016" s="1053">
        <v>1.1923999999999999</v>
      </c>
      <c r="AE1016" s="198">
        <v>6.8461999999999996</v>
      </c>
      <c r="AF1016" s="198">
        <v>2.155E-2</v>
      </c>
      <c r="AH1016" s="1051">
        <v>43718</v>
      </c>
      <c r="AI1016" s="198">
        <v>10.152100000000001</v>
      </c>
      <c r="AJ1016" s="198">
        <v>1.7421</v>
      </c>
      <c r="AK1016" s="198">
        <v>5.9511000000000003</v>
      </c>
      <c r="AL1016" s="198">
        <v>1.9060000000000001E-2</v>
      </c>
      <c r="AN1016" s="1051">
        <v>43727</v>
      </c>
      <c r="AO1016" s="198">
        <v>6.8910999999999998</v>
      </c>
      <c r="AP1016" s="198">
        <v>0.62429999999999997</v>
      </c>
      <c r="AQ1016" s="198">
        <v>4.8757000000000001</v>
      </c>
      <c r="AR1016" s="198">
        <v>0.12179</v>
      </c>
      <c r="AT1016" s="1051">
        <v>43644</v>
      </c>
      <c r="AU1016" s="198">
        <v>7.1074000000000002</v>
      </c>
      <c r="AV1016" s="198">
        <v>0.46460000000000001</v>
      </c>
      <c r="AX1016" s="198">
        <v>0.1172</v>
      </c>
      <c r="BA1016" s="1051">
        <v>43707</v>
      </c>
      <c r="BB1016" s="198">
        <v>6.9097</v>
      </c>
      <c r="BC1016" s="198">
        <v>1.4746999999999999</v>
      </c>
      <c r="BD1016" s="198">
        <v>7.3487</v>
      </c>
      <c r="BE1016" s="198">
        <v>0.29389999999999999</v>
      </c>
      <c r="BG1016" s="1051">
        <v>43707</v>
      </c>
      <c r="BH1016" s="198">
        <v>11.805099999999999</v>
      </c>
      <c r="BI1016" s="198">
        <v>2.5756999999999999</v>
      </c>
      <c r="BJ1016" s="198">
        <v>16.7593</v>
      </c>
      <c r="BT1016" s="1051">
        <v>43755</v>
      </c>
      <c r="BU1016" s="198">
        <v>14.7699</v>
      </c>
      <c r="BV1016" s="198">
        <v>4.8228999999999997</v>
      </c>
      <c r="BW1016" s="198">
        <v>9.2759999999999998</v>
      </c>
      <c r="BX1016" s="198">
        <v>1.8029999999999999</v>
      </c>
      <c r="BZ1016" s="1051">
        <v>43755</v>
      </c>
      <c r="CA1016" s="198">
        <v>9.7138000000000009</v>
      </c>
      <c r="CB1016" s="198">
        <v>2.6543000000000001</v>
      </c>
      <c r="CC1016" s="198">
        <v>9.9778000000000002</v>
      </c>
      <c r="CD1016" s="198">
        <v>1.0793699999999999</v>
      </c>
      <c r="CF1016" s="1051">
        <v>43754</v>
      </c>
      <c r="CI1016" s="198">
        <v>7.0259</v>
      </c>
      <c r="CL1016" s="1051">
        <v>43776</v>
      </c>
      <c r="CM1016" s="198">
        <v>14.4495</v>
      </c>
      <c r="CN1016" s="198">
        <v>1.9696</v>
      </c>
      <c r="CO1016" s="198">
        <v>10.3735</v>
      </c>
    </row>
    <row r="1017" spans="1:93" s="198" customFormat="1">
      <c r="A1017" s="1051">
        <v>43754</v>
      </c>
      <c r="B1017" s="1052">
        <f t="shared" si="152"/>
        <v>7.1611000000000002</v>
      </c>
      <c r="C1017" s="1052">
        <f t="shared" si="154"/>
        <v>6.1256000000000004</v>
      </c>
      <c r="D1017" s="1052">
        <f t="shared" si="158"/>
        <v>10.040800000000001</v>
      </c>
      <c r="E1017" s="1052">
        <f t="shared" si="159"/>
        <v>6.8204000000000002</v>
      </c>
      <c r="F1017" s="1052">
        <f t="shared" si="160"/>
        <v>11.5359</v>
      </c>
      <c r="G1017" s="1052">
        <f t="shared" si="161"/>
        <v>6.8716999999999997</v>
      </c>
      <c r="H1017" s="1047">
        <f t="shared" si="155"/>
        <v>6.8716999999999997</v>
      </c>
      <c r="I1017" s="1048">
        <f t="shared" si="153"/>
        <v>4.2114760539604612E-2</v>
      </c>
      <c r="J1017" s="1048">
        <f t="shared" si="156"/>
        <v>0.12093838824177333</v>
      </c>
      <c r="K1017" s="1048">
        <f t="shared" si="157"/>
        <v>0.1</v>
      </c>
      <c r="L1017" s="1048"/>
      <c r="N1017" s="1051">
        <v>43754</v>
      </c>
      <c r="O1017" s="1053">
        <v>7.1611000000000002</v>
      </c>
      <c r="P1017" s="1053">
        <v>1.1738</v>
      </c>
      <c r="Q1017" s="1053">
        <v>8.3260000000000005</v>
      </c>
      <c r="R1017" s="1054">
        <f>'B. PE'!$U$23</f>
        <v>15.978235616082999</v>
      </c>
      <c r="S1017" s="1054"/>
      <c r="T1017" s="1054"/>
      <c r="V1017" s="1051">
        <v>43754</v>
      </c>
      <c r="W1017" s="198">
        <v>6.1256000000000004</v>
      </c>
      <c r="X1017" s="198">
        <v>0.44219999999999998</v>
      </c>
      <c r="Y1017" s="198">
        <v>5.1638000000000002</v>
      </c>
      <c r="Z1017" s="198">
        <v>0.27572999999999998</v>
      </c>
      <c r="AB1017" s="1051">
        <v>43717</v>
      </c>
      <c r="AC1017" s="198">
        <v>9.5426000000000002</v>
      </c>
      <c r="AD1017" s="1053">
        <v>1.0548999999999999</v>
      </c>
      <c r="AE1017" s="198">
        <v>6.3246000000000002</v>
      </c>
      <c r="AF1017" s="198">
        <v>2.1749999999999999E-2</v>
      </c>
      <c r="AH1017" s="1051">
        <v>43717</v>
      </c>
      <c r="AI1017" s="198">
        <v>10.152100000000001</v>
      </c>
      <c r="AJ1017" s="198">
        <v>1.7421</v>
      </c>
      <c r="AK1017" s="198">
        <v>5.9511000000000003</v>
      </c>
      <c r="AL1017" s="198">
        <v>1.864E-2</v>
      </c>
      <c r="AN1017" s="1051">
        <v>43726</v>
      </c>
      <c r="AO1017" s="198">
        <v>6.8235000000000001</v>
      </c>
      <c r="AP1017" s="198">
        <v>0.61819999999999997</v>
      </c>
      <c r="AQ1017" s="198">
        <v>4.8231000000000002</v>
      </c>
      <c r="AR1017" s="198">
        <v>0.12235</v>
      </c>
      <c r="AT1017" s="1051">
        <v>43643</v>
      </c>
      <c r="AU1017" s="198">
        <v>7.8131000000000004</v>
      </c>
      <c r="AV1017" s="198">
        <v>0.50490000000000002</v>
      </c>
      <c r="AW1017" s="198">
        <v>5.7724000000000002</v>
      </c>
      <c r="AX1017" s="198">
        <v>0.11625000000000001</v>
      </c>
      <c r="BA1017" s="1051">
        <v>43706</v>
      </c>
      <c r="BB1017" s="198">
        <v>6.9097</v>
      </c>
      <c r="BC1017" s="198">
        <v>1.4746999999999999</v>
      </c>
      <c r="BD1017" s="198">
        <v>7.3487</v>
      </c>
      <c r="BE1017" s="198">
        <v>0.29405999999999999</v>
      </c>
      <c r="BG1017" s="1051">
        <v>43706</v>
      </c>
      <c r="BH1017" s="198">
        <v>11.6187</v>
      </c>
      <c r="BI1017" s="198">
        <v>2.5350999999999999</v>
      </c>
      <c r="BJ1017" s="198">
        <v>16.592099999999999</v>
      </c>
      <c r="BT1017" s="1051">
        <v>43754</v>
      </c>
      <c r="BU1017" s="198">
        <v>15.0343</v>
      </c>
      <c r="BV1017" s="198">
        <v>4.9092000000000002</v>
      </c>
      <c r="BW1017" s="198">
        <v>9.4359999999999999</v>
      </c>
      <c r="BX1017" s="198">
        <v>1.7916000000000001</v>
      </c>
      <c r="BZ1017" s="1051">
        <v>43754</v>
      </c>
      <c r="CA1017" s="198">
        <v>9.6915999999999993</v>
      </c>
      <c r="CB1017" s="198">
        <v>2.6482999999999999</v>
      </c>
      <c r="CC1017" s="198">
        <v>9.9614999999999991</v>
      </c>
      <c r="CD1017" s="198">
        <v>1.0944100000000001</v>
      </c>
      <c r="CF1017" s="1051">
        <v>43753</v>
      </c>
      <c r="CG1017" s="198">
        <v>5.3045</v>
      </c>
      <c r="CH1017" s="198">
        <v>1.0469999999999999</v>
      </c>
      <c r="CI1017" s="198">
        <v>7.0259</v>
      </c>
      <c r="CL1017" s="1051">
        <v>43775</v>
      </c>
      <c r="CM1017" s="198">
        <v>14.122</v>
      </c>
      <c r="CN1017" s="198">
        <v>1.9249000000000001</v>
      </c>
      <c r="CO1017" s="198">
        <v>10.1447</v>
      </c>
    </row>
    <row r="1018" spans="1:93" s="198" customFormat="1">
      <c r="A1018" s="1051">
        <v>43753</v>
      </c>
      <c r="B1018" s="1052">
        <f t="shared" si="152"/>
        <v>7.1323999999999996</v>
      </c>
      <c r="C1018" s="1052">
        <f t="shared" si="154"/>
        <v>6.0852000000000004</v>
      </c>
      <c r="D1018" s="1052">
        <f t="shared" si="158"/>
        <v>9.8337000000000003</v>
      </c>
      <c r="E1018" s="1052">
        <f t="shared" si="159"/>
        <v>6.8204000000000002</v>
      </c>
      <c r="F1018" s="1052">
        <f t="shared" si="160"/>
        <v>11.5359</v>
      </c>
      <c r="G1018" s="1052">
        <f t="shared" si="161"/>
        <v>6.8315000000000001</v>
      </c>
      <c r="H1018" s="1047">
        <f t="shared" si="155"/>
        <v>6.8315000000000001</v>
      </c>
      <c r="I1018" s="1048">
        <f t="shared" si="153"/>
        <v>4.4045963551196499E-2</v>
      </c>
      <c r="J1018" s="1048">
        <f t="shared" si="156"/>
        <v>0.12093838824177333</v>
      </c>
      <c r="K1018" s="1048">
        <f t="shared" si="157"/>
        <v>0.1</v>
      </c>
      <c r="L1018" s="1048"/>
      <c r="N1018" s="1051">
        <v>43753</v>
      </c>
      <c r="O1018" s="1053">
        <v>7.1323999999999996</v>
      </c>
      <c r="P1018" s="1053">
        <v>1.1691</v>
      </c>
      <c r="Q1018" s="1053">
        <v>8.3039000000000005</v>
      </c>
      <c r="R1018" s="1054">
        <f>'B. PE'!$U$23</f>
        <v>15.978235616082999</v>
      </c>
      <c r="S1018" s="1054"/>
      <c r="T1018" s="1054"/>
      <c r="V1018" s="1051">
        <v>43753</v>
      </c>
      <c r="W1018" s="198">
        <v>6.0852000000000004</v>
      </c>
      <c r="X1018" s="198">
        <v>0.43930000000000002</v>
      </c>
      <c r="Y1018" s="198">
        <v>5.1475</v>
      </c>
      <c r="Z1018" s="198">
        <v>0.27500000000000002</v>
      </c>
      <c r="AB1018" s="1051">
        <v>43714</v>
      </c>
      <c r="AC1018" s="198">
        <v>9.4183000000000003</v>
      </c>
      <c r="AD1018" s="1053">
        <v>1.0411999999999999</v>
      </c>
      <c r="AE1018" s="198">
        <v>6.2724000000000002</v>
      </c>
      <c r="AF1018" s="198">
        <v>2.2599999999999999E-2</v>
      </c>
      <c r="AH1018" s="1051">
        <v>43714</v>
      </c>
      <c r="AI1018" s="198">
        <v>10.1144</v>
      </c>
      <c r="AJ1018" s="198">
        <v>1.7356</v>
      </c>
      <c r="AK1018" s="198">
        <v>5.9316000000000004</v>
      </c>
      <c r="AL1018" s="198">
        <v>1.8630000000000001E-2</v>
      </c>
      <c r="AN1018" s="1051">
        <v>43725</v>
      </c>
      <c r="AO1018" s="198">
        <v>6.8910999999999998</v>
      </c>
      <c r="AP1018" s="198">
        <v>0.62429999999999997</v>
      </c>
      <c r="AQ1018" s="198">
        <v>4.8757000000000001</v>
      </c>
      <c r="AT1018" s="1051">
        <v>43642</v>
      </c>
      <c r="AU1018" s="198">
        <v>7.8944999999999999</v>
      </c>
      <c r="AV1018" s="198">
        <v>0.5101</v>
      </c>
      <c r="AW1018" s="198">
        <v>5.8178999999999998</v>
      </c>
      <c r="AX1018" s="198">
        <v>0.11466999999999999</v>
      </c>
      <c r="BA1018" s="1051">
        <v>43705</v>
      </c>
      <c r="BB1018" s="198">
        <v>6.7964000000000002</v>
      </c>
      <c r="BC1018" s="198">
        <v>1.4504999999999999</v>
      </c>
      <c r="BD1018" s="198">
        <v>7.2693000000000003</v>
      </c>
      <c r="BE1018" s="198">
        <v>0.29425000000000001</v>
      </c>
      <c r="BG1018" s="1051">
        <v>43705</v>
      </c>
      <c r="BH1018" s="198">
        <v>11.6187</v>
      </c>
      <c r="BI1018" s="198">
        <v>2.5350999999999999</v>
      </c>
      <c r="BJ1018" s="198">
        <v>16.592099999999999</v>
      </c>
      <c r="BT1018" s="1051">
        <v>43753</v>
      </c>
      <c r="BU1018" s="198">
        <v>15.0824</v>
      </c>
      <c r="BV1018" s="198">
        <v>4.9249000000000001</v>
      </c>
      <c r="BW1018" s="198">
        <v>9.4650999999999996</v>
      </c>
      <c r="BX1018" s="198">
        <v>1.7727999999999999</v>
      </c>
      <c r="BZ1018" s="1051">
        <v>43753</v>
      </c>
      <c r="CA1018" s="198">
        <v>9.5588999999999995</v>
      </c>
      <c r="CB1018" s="198">
        <v>2.6120000000000001</v>
      </c>
      <c r="CC1018" s="198">
        <v>9.8638999999999992</v>
      </c>
      <c r="CD1018" s="198">
        <v>1.0731200000000001</v>
      </c>
      <c r="CF1018" s="1051">
        <v>43752</v>
      </c>
      <c r="CG1018" s="198">
        <v>5.3045</v>
      </c>
      <c r="CH1018" s="198">
        <v>1.0469999999999999</v>
      </c>
      <c r="CI1018" s="198">
        <v>7.0259</v>
      </c>
      <c r="CL1018" s="1051">
        <v>43774</v>
      </c>
      <c r="CM1018" s="198">
        <v>14.116300000000001</v>
      </c>
      <c r="CN1018" s="198">
        <v>1.9241999999999999</v>
      </c>
      <c r="CO1018" s="198">
        <v>10.140700000000001</v>
      </c>
    </row>
    <row r="1019" spans="1:93" s="198" customFormat="1">
      <c r="A1019" s="1051">
        <v>43752</v>
      </c>
      <c r="B1019" s="1052">
        <f t="shared" si="152"/>
        <v>7.1467000000000001</v>
      </c>
      <c r="C1019" s="1052">
        <f t="shared" si="154"/>
        <v>6.1417000000000002</v>
      </c>
      <c r="D1019" s="1052">
        <f t="shared" si="158"/>
        <v>9.3851999999999993</v>
      </c>
      <c r="E1019" s="1052">
        <f t="shared" si="159"/>
        <v>6.8204000000000002</v>
      </c>
      <c r="F1019" s="1052">
        <f t="shared" si="160"/>
        <v>11.5359</v>
      </c>
      <c r="G1019" s="1052">
        <f t="shared" si="161"/>
        <v>6.8315000000000001</v>
      </c>
      <c r="H1019" s="1047">
        <f t="shared" si="155"/>
        <v>6.8315000000000001</v>
      </c>
      <c r="I1019" s="1048">
        <f t="shared" si="153"/>
        <v>4.6139208080216543E-2</v>
      </c>
      <c r="J1019" s="1048">
        <f t="shared" si="156"/>
        <v>0.12093838824177333</v>
      </c>
      <c r="K1019" s="1048">
        <f t="shared" si="157"/>
        <v>0.1</v>
      </c>
      <c r="L1019" s="1048"/>
      <c r="N1019" s="1051">
        <v>43752</v>
      </c>
      <c r="O1019" s="1053">
        <v>7.1467000000000001</v>
      </c>
      <c r="P1019" s="1053">
        <v>1.1714</v>
      </c>
      <c r="Q1019" s="1053">
        <v>8.3149999999999995</v>
      </c>
      <c r="R1019" s="1054">
        <f>'B. PE'!$U$23</f>
        <v>15.978235616082999</v>
      </c>
      <c r="S1019" s="1054"/>
      <c r="T1019" s="1054"/>
      <c r="V1019" s="1051">
        <v>43752</v>
      </c>
      <c r="W1019" s="198">
        <v>6.1417000000000002</v>
      </c>
      <c r="X1019" s="198">
        <v>0.44330000000000003</v>
      </c>
      <c r="Y1019" s="198">
        <v>5.1703999999999999</v>
      </c>
      <c r="Z1019" s="198">
        <v>0.27534999999999998</v>
      </c>
      <c r="AB1019" s="1051">
        <v>43713</v>
      </c>
      <c r="AC1019" s="198">
        <v>9.5426000000000002</v>
      </c>
      <c r="AD1019" s="1053">
        <v>1.0548999999999999</v>
      </c>
      <c r="AE1019" s="198">
        <v>6.3246000000000002</v>
      </c>
      <c r="AF1019" s="198">
        <v>2.0729999999999998E-2</v>
      </c>
      <c r="AH1019" s="1051">
        <v>43713</v>
      </c>
      <c r="AI1019" s="198">
        <v>9.9257000000000009</v>
      </c>
      <c r="AJ1019" s="198">
        <v>1.7032</v>
      </c>
      <c r="AK1019" s="198">
        <v>5.8341000000000003</v>
      </c>
      <c r="AL1019" s="198">
        <v>1.8970000000000001E-2</v>
      </c>
      <c r="AN1019" s="1051">
        <v>43721</v>
      </c>
      <c r="AO1019" s="198">
        <v>6.8910999999999998</v>
      </c>
      <c r="AP1019" s="198">
        <v>0.62429999999999997</v>
      </c>
      <c r="AQ1019" s="198">
        <v>4.8757000000000001</v>
      </c>
      <c r="AR1019" s="198">
        <v>0.12335</v>
      </c>
      <c r="AT1019" s="1051">
        <v>43641</v>
      </c>
      <c r="AU1019" s="198">
        <v>7.8131000000000004</v>
      </c>
      <c r="AV1019" s="198">
        <v>0.50490000000000002</v>
      </c>
      <c r="AW1019" s="198">
        <v>5.7759</v>
      </c>
      <c r="AX1019" s="198">
        <v>0.11602999999999999</v>
      </c>
      <c r="BA1019" s="1051">
        <v>43704</v>
      </c>
      <c r="BB1019" s="198">
        <v>6.7964000000000002</v>
      </c>
      <c r="BC1019" s="198">
        <v>1.4504999999999999</v>
      </c>
      <c r="BD1019" s="198">
        <v>7.2693000000000003</v>
      </c>
      <c r="BE1019" s="198">
        <v>0.29386000000000001</v>
      </c>
      <c r="BG1019" s="1051">
        <v>43704</v>
      </c>
      <c r="BH1019" s="198">
        <v>11.6808</v>
      </c>
      <c r="BI1019" s="198">
        <v>2.5486</v>
      </c>
      <c r="BJ1019" s="198">
        <v>16.6478</v>
      </c>
      <c r="BT1019" s="1051">
        <v>43752</v>
      </c>
      <c r="BU1019" s="198">
        <v>14.9863</v>
      </c>
      <c r="BV1019" s="198">
        <v>4.8935000000000004</v>
      </c>
      <c r="BW1019" s="198">
        <v>9.4069000000000003</v>
      </c>
      <c r="BX1019" s="198">
        <v>1.7756000000000001</v>
      </c>
      <c r="BZ1019" s="1051">
        <v>43752</v>
      </c>
      <c r="CA1019" s="198">
        <v>9.6915999999999993</v>
      </c>
      <c r="CB1019" s="198">
        <v>2.6482999999999999</v>
      </c>
      <c r="CC1019" s="198">
        <v>9.9614999999999991</v>
      </c>
      <c r="CD1019" s="198">
        <v>1.0743199999999999</v>
      </c>
      <c r="CF1019" s="1051">
        <v>43749</v>
      </c>
      <c r="CI1019" s="198">
        <v>6.8941999999999997</v>
      </c>
      <c r="CL1019" s="1051">
        <v>43773</v>
      </c>
      <c r="CM1019" s="198">
        <v>13.616400000000001</v>
      </c>
      <c r="CN1019" s="198">
        <v>1.8560000000000001</v>
      </c>
      <c r="CO1019" s="198">
        <v>9.7914999999999992</v>
      </c>
    </row>
    <row r="1020" spans="1:93" s="198" customFormat="1">
      <c r="A1020" s="1051">
        <v>43749</v>
      </c>
      <c r="B1020" s="1052">
        <f t="shared" si="152"/>
        <v>7.0894000000000004</v>
      </c>
      <c r="C1020" s="1052">
        <f t="shared" si="154"/>
        <v>6.1256000000000004</v>
      </c>
      <c r="D1020" s="1052">
        <f t="shared" si="158"/>
        <v>9.3851999999999993</v>
      </c>
      <c r="E1020" s="1052">
        <f t="shared" si="159"/>
        <v>6.8204000000000002</v>
      </c>
      <c r="F1020" s="1052">
        <f t="shared" si="160"/>
        <v>11.812200000000001</v>
      </c>
      <c r="G1020" s="1052">
        <f t="shared" si="161"/>
        <v>6.8315000000000001</v>
      </c>
      <c r="H1020" s="1047">
        <f t="shared" si="155"/>
        <v>6.8315000000000001</v>
      </c>
      <c r="I1020" s="1048">
        <f t="shared" si="153"/>
        <v>3.7751591890507141E-2</v>
      </c>
      <c r="J1020" s="1048">
        <f t="shared" si="156"/>
        <v>0.12093838824177333</v>
      </c>
      <c r="K1020" s="1048">
        <f t="shared" si="157"/>
        <v>0.1</v>
      </c>
      <c r="L1020" s="1048"/>
      <c r="N1020" s="1051">
        <v>43749</v>
      </c>
      <c r="O1020" s="1053">
        <v>7.0894000000000004</v>
      </c>
      <c r="P1020" s="1053">
        <v>1.1620999999999999</v>
      </c>
      <c r="Q1020" s="1053">
        <v>8.2706</v>
      </c>
      <c r="R1020" s="1054">
        <f>'B. PE'!$U$23</f>
        <v>15.978235616082999</v>
      </c>
      <c r="S1020" s="1054"/>
      <c r="T1020" s="1054"/>
      <c r="V1020" s="1051">
        <v>43749</v>
      </c>
      <c r="W1020" s="198">
        <v>6.1256000000000004</v>
      </c>
      <c r="X1020" s="198">
        <v>0.44219999999999998</v>
      </c>
      <c r="Y1020" s="198">
        <v>5.1638000000000002</v>
      </c>
      <c r="Z1020" s="198">
        <v>0.27572999999999998</v>
      </c>
      <c r="AB1020" s="1051">
        <v>43712</v>
      </c>
      <c r="AC1020" s="198">
        <v>9.9155999999999995</v>
      </c>
      <c r="AD1020" s="1053">
        <v>1.0962000000000001</v>
      </c>
      <c r="AE1020" s="198">
        <v>6.4810999999999996</v>
      </c>
      <c r="AF1020" s="198">
        <v>2.181E-2</v>
      </c>
      <c r="AH1020" s="1051">
        <v>43712</v>
      </c>
      <c r="AI1020" s="198">
        <v>9.9257000000000009</v>
      </c>
      <c r="AJ1020" s="198">
        <v>1.7032</v>
      </c>
      <c r="AK1020" s="198">
        <v>5.8341000000000003</v>
      </c>
      <c r="AL1020" s="198">
        <v>1.8929999999999999E-2</v>
      </c>
      <c r="AN1020" s="1051">
        <v>43720</v>
      </c>
      <c r="AQ1020" s="198">
        <v>4.9283999999999999</v>
      </c>
      <c r="AR1020" s="198">
        <v>0.12239999999999999</v>
      </c>
      <c r="AT1020" s="1051">
        <v>43640</v>
      </c>
      <c r="AU1020" s="198">
        <v>7.7317</v>
      </c>
      <c r="AV1020" s="198">
        <v>0.49959999999999999</v>
      </c>
      <c r="AW1020" s="198">
        <v>5.734</v>
      </c>
      <c r="AX1020" s="198">
        <v>0.11935</v>
      </c>
      <c r="BA1020" s="1051">
        <v>43703</v>
      </c>
      <c r="BB1020" s="198">
        <v>6.7964000000000002</v>
      </c>
      <c r="BC1020" s="198">
        <v>1.4504999999999999</v>
      </c>
      <c r="BD1020" s="198">
        <v>7.2693000000000003</v>
      </c>
      <c r="BE1020" s="198">
        <v>0.29388999999999998</v>
      </c>
      <c r="BG1020" s="1051">
        <v>43703</v>
      </c>
      <c r="BH1020" s="198">
        <v>11.6808</v>
      </c>
      <c r="BI1020" s="198">
        <v>2.5486</v>
      </c>
      <c r="BJ1020" s="198">
        <v>16.6478</v>
      </c>
      <c r="BT1020" s="1051">
        <v>43749</v>
      </c>
      <c r="BU1020" s="198">
        <v>14.83</v>
      </c>
      <c r="BV1020" s="198">
        <v>4.8425000000000002</v>
      </c>
      <c r="BW1020" s="198">
        <v>9.3124000000000002</v>
      </c>
      <c r="BX1020" s="198">
        <v>1.7758</v>
      </c>
      <c r="BZ1020" s="1051">
        <v>43749</v>
      </c>
      <c r="CA1020" s="198">
        <v>9.5035000000000007</v>
      </c>
      <c r="CB1020" s="198">
        <v>2.5969000000000002</v>
      </c>
      <c r="CC1020" s="198">
        <v>9.8231999999999999</v>
      </c>
      <c r="CD1020" s="198">
        <v>1.07941</v>
      </c>
      <c r="CF1020" s="1051">
        <v>43748</v>
      </c>
      <c r="CG1020" s="198">
        <v>5.0834999999999999</v>
      </c>
      <c r="CH1020" s="198">
        <v>1.0034000000000001</v>
      </c>
      <c r="CI1020" s="198">
        <v>6.8941999999999997</v>
      </c>
      <c r="CL1020" s="1051">
        <v>43770</v>
      </c>
      <c r="CM1020" s="198">
        <v>13.3866</v>
      </c>
      <c r="CN1020" s="198">
        <v>1.8247</v>
      </c>
      <c r="CO1020" s="198">
        <v>9.6310000000000002</v>
      </c>
    </row>
    <row r="1021" spans="1:93" s="198" customFormat="1">
      <c r="A1021" s="1051">
        <v>43748</v>
      </c>
      <c r="B1021" s="1052">
        <f t="shared" si="152"/>
        <v>7.0321999999999996</v>
      </c>
      <c r="C1021" s="1052">
        <f t="shared" si="154"/>
        <v>6.1336000000000004</v>
      </c>
      <c r="D1021" s="1052">
        <f t="shared" si="158"/>
        <v>9.4886999999999997</v>
      </c>
      <c r="E1021" s="1052">
        <f t="shared" si="159"/>
        <v>6.7542</v>
      </c>
      <c r="F1021" s="1052">
        <f t="shared" si="160"/>
        <v>11.604900000000001</v>
      </c>
      <c r="G1021" s="1052">
        <f t="shared" si="161"/>
        <v>6.8315000000000001</v>
      </c>
      <c r="H1021" s="1047">
        <f t="shared" si="155"/>
        <v>6.8315000000000001</v>
      </c>
      <c r="I1021" s="1048">
        <f t="shared" si="153"/>
        <v>2.9378613774427187E-2</v>
      </c>
      <c r="J1021" s="1048">
        <f t="shared" si="156"/>
        <v>0.12093838824177333</v>
      </c>
      <c r="K1021" s="1048">
        <f t="shared" si="157"/>
        <v>0.1</v>
      </c>
      <c r="L1021" s="1048"/>
      <c r="N1021" s="1051">
        <v>43748</v>
      </c>
      <c r="O1021" s="1053">
        <v>7.0321999999999996</v>
      </c>
      <c r="P1021" s="1053">
        <v>1.1527000000000001</v>
      </c>
      <c r="Q1021" s="1053">
        <v>8.2263000000000002</v>
      </c>
      <c r="R1021" s="1054">
        <f>'B. PE'!$U$23</f>
        <v>15.978235616082999</v>
      </c>
      <c r="S1021" s="1054"/>
      <c r="T1021" s="1054"/>
      <c r="V1021" s="1051">
        <v>43748</v>
      </c>
      <c r="W1021" s="198">
        <v>6.1336000000000004</v>
      </c>
      <c r="X1021" s="198">
        <v>0.44280000000000003</v>
      </c>
      <c r="Y1021" s="198">
        <v>5.1670999999999996</v>
      </c>
      <c r="Z1021" s="198">
        <v>0.27534999999999998</v>
      </c>
      <c r="AB1021" s="1051">
        <v>43711</v>
      </c>
      <c r="AC1021" s="198">
        <v>9.1385000000000005</v>
      </c>
      <c r="AD1021" s="1053">
        <v>1.0103</v>
      </c>
      <c r="AE1021" s="198">
        <v>6.1551</v>
      </c>
      <c r="AF1021" s="198">
        <v>2.188E-2</v>
      </c>
      <c r="AH1021" s="1051">
        <v>43711</v>
      </c>
      <c r="AI1021" s="198">
        <v>10.152100000000001</v>
      </c>
      <c r="AJ1021" s="198">
        <v>1.7421</v>
      </c>
      <c r="AK1021" s="198">
        <v>5.9511000000000003</v>
      </c>
      <c r="AL1021" s="198">
        <v>1.9259999999999999E-2</v>
      </c>
      <c r="AN1021" s="1051">
        <v>43719</v>
      </c>
      <c r="AO1021" s="198">
        <v>6.9587000000000003</v>
      </c>
      <c r="AP1021" s="198">
        <v>0.63039999999999996</v>
      </c>
      <c r="AQ1021" s="198">
        <v>4.9283999999999999</v>
      </c>
      <c r="AR1021" s="198">
        <v>0.1208</v>
      </c>
      <c r="AT1021" s="1051">
        <v>43637</v>
      </c>
      <c r="AU1021" s="198">
        <v>7.8131000000000004</v>
      </c>
      <c r="AV1021" s="198">
        <v>0.50490000000000002</v>
      </c>
      <c r="AW1021" s="198">
        <v>5.7759</v>
      </c>
      <c r="AX1021" s="198">
        <v>0.11624</v>
      </c>
      <c r="BA1021" s="1051">
        <v>43700</v>
      </c>
      <c r="BB1021" s="198">
        <v>6.7964000000000002</v>
      </c>
      <c r="BC1021" s="198">
        <v>1.4504999999999999</v>
      </c>
      <c r="BD1021" s="198">
        <v>7.2693000000000003</v>
      </c>
      <c r="BE1021" s="198">
        <v>0.28920000000000001</v>
      </c>
      <c r="BG1021" s="1051">
        <v>43700</v>
      </c>
      <c r="BH1021" s="198">
        <v>11.9915</v>
      </c>
      <c r="BI1021" s="198">
        <v>2.6164000000000001</v>
      </c>
      <c r="BJ1021" s="198">
        <v>16.926500000000001</v>
      </c>
      <c r="BT1021" s="1051">
        <v>43748</v>
      </c>
      <c r="BU1021" s="198">
        <v>14.854100000000001</v>
      </c>
      <c r="BV1021" s="198">
        <v>4.8502999999999998</v>
      </c>
      <c r="BW1021" s="198">
        <v>9.3269000000000002</v>
      </c>
      <c r="BX1021" s="198">
        <v>1.7669999999999999</v>
      </c>
      <c r="BZ1021" s="1051">
        <v>43748</v>
      </c>
      <c r="CA1021" s="198">
        <v>9.5145999999999997</v>
      </c>
      <c r="CB1021" s="198">
        <v>2.5998999999999999</v>
      </c>
      <c r="CC1021" s="198">
        <v>9.8314000000000004</v>
      </c>
      <c r="CD1021" s="198">
        <v>1.08182</v>
      </c>
      <c r="CF1021" s="1051">
        <v>43747</v>
      </c>
      <c r="CI1021" s="198">
        <v>7.0259</v>
      </c>
      <c r="CL1021" s="1051">
        <v>43769</v>
      </c>
      <c r="CM1021" s="198">
        <v>13.4498</v>
      </c>
      <c r="CN1021" s="198">
        <v>1.8332999999999999</v>
      </c>
      <c r="CO1021" s="198">
        <v>9.6751000000000005</v>
      </c>
    </row>
    <row r="1022" spans="1:93" s="198" customFormat="1">
      <c r="A1022" s="1051">
        <v>43747</v>
      </c>
      <c r="B1022" s="1052">
        <f t="shared" si="152"/>
        <v>7.0034999999999998</v>
      </c>
      <c r="C1022" s="1052">
        <f t="shared" si="154"/>
        <v>6.1417000000000002</v>
      </c>
      <c r="D1022" s="1052">
        <f t="shared" si="158"/>
        <v>9.4886999999999997</v>
      </c>
      <c r="E1022" s="1052">
        <f t="shared" si="159"/>
        <v>6.8204000000000002</v>
      </c>
      <c r="F1022" s="1052">
        <f t="shared" si="160"/>
        <v>11.604900000000001</v>
      </c>
      <c r="G1022" s="1052">
        <f t="shared" si="161"/>
        <v>6.9119000000000002</v>
      </c>
      <c r="H1022" s="1047">
        <f t="shared" si="155"/>
        <v>6.9119000000000002</v>
      </c>
      <c r="I1022" s="1048">
        <f t="shared" si="153"/>
        <v>1.325250654668042E-2</v>
      </c>
      <c r="J1022" s="1048">
        <f t="shared" si="156"/>
        <v>0.12093838824177333</v>
      </c>
      <c r="K1022" s="1048">
        <f t="shared" si="157"/>
        <v>0.1</v>
      </c>
      <c r="L1022" s="1048"/>
      <c r="N1022" s="1051">
        <v>43747</v>
      </c>
      <c r="O1022" s="1053">
        <v>7.0034999999999998</v>
      </c>
      <c r="P1022" s="1053">
        <v>1.1479999999999999</v>
      </c>
      <c r="Q1022" s="1053">
        <v>8.2041000000000004</v>
      </c>
      <c r="R1022" s="1054">
        <f>'B. PE'!$U$23</f>
        <v>15.978235616082999</v>
      </c>
      <c r="S1022" s="1054"/>
      <c r="T1022" s="1054"/>
      <c r="V1022" s="1051">
        <v>43747</v>
      </c>
      <c r="W1022" s="198">
        <v>6.1417000000000002</v>
      </c>
      <c r="X1022" s="198">
        <v>0.44330000000000003</v>
      </c>
      <c r="Y1022" s="198">
        <v>5.1703999999999999</v>
      </c>
      <c r="Z1022" s="198">
        <v>0.27572000000000002</v>
      </c>
      <c r="AB1022" s="1051">
        <v>43710</v>
      </c>
      <c r="AC1022" s="198">
        <v>9.6358999999999995</v>
      </c>
      <c r="AD1022" s="1053">
        <v>1.0651999999999999</v>
      </c>
      <c r="AE1022" s="198">
        <v>6.3636999999999997</v>
      </c>
      <c r="AF1022" s="198">
        <v>2.2179999999999998E-2</v>
      </c>
      <c r="AH1022" s="1051">
        <v>43710</v>
      </c>
      <c r="AI1022" s="198">
        <v>10.152100000000001</v>
      </c>
      <c r="AJ1022" s="198">
        <v>1.7421</v>
      </c>
      <c r="AK1022" s="198">
        <v>5.9511000000000003</v>
      </c>
      <c r="AL1022" s="198">
        <v>1.9230000000000001E-2</v>
      </c>
      <c r="AN1022" s="1051">
        <v>43718</v>
      </c>
      <c r="AO1022" s="198">
        <v>6.8910999999999998</v>
      </c>
      <c r="AP1022" s="198">
        <v>0.62429999999999997</v>
      </c>
      <c r="AQ1022" s="198">
        <v>4.8757000000000001</v>
      </c>
      <c r="AR1022" s="198">
        <v>0.12048</v>
      </c>
      <c r="AT1022" s="1051">
        <v>43636</v>
      </c>
      <c r="AU1022" s="198">
        <v>8.0572999999999997</v>
      </c>
      <c r="AV1022" s="198">
        <v>0.52070000000000005</v>
      </c>
      <c r="AW1022" s="198">
        <v>5.9017999999999997</v>
      </c>
      <c r="AX1022" s="198">
        <v>0.11526</v>
      </c>
      <c r="BA1022" s="1051">
        <v>43699</v>
      </c>
      <c r="BB1022" s="198">
        <v>6.8341000000000003</v>
      </c>
      <c r="BC1022" s="198">
        <v>1.4585999999999999</v>
      </c>
      <c r="BD1022" s="198">
        <v>7.2957999999999998</v>
      </c>
      <c r="BE1022" s="198">
        <v>0.29088999999999998</v>
      </c>
      <c r="BG1022" s="1051">
        <v>43699</v>
      </c>
      <c r="BH1022" s="198">
        <v>12.053599999999999</v>
      </c>
      <c r="BI1022" s="198">
        <v>2.63</v>
      </c>
      <c r="BJ1022" s="198">
        <v>16.982199999999999</v>
      </c>
      <c r="BT1022" s="1051">
        <v>43747</v>
      </c>
      <c r="BU1022" s="198">
        <v>14.854100000000001</v>
      </c>
      <c r="BV1022" s="198">
        <v>4.8502999999999998</v>
      </c>
      <c r="BW1022" s="198">
        <v>9.3269000000000002</v>
      </c>
      <c r="BX1022" s="198">
        <v>1.7383999999999999</v>
      </c>
      <c r="BZ1022" s="1051">
        <v>43747</v>
      </c>
      <c r="CA1022" s="198">
        <v>9.5588999999999995</v>
      </c>
      <c r="CB1022" s="198">
        <v>2.6120000000000001</v>
      </c>
      <c r="CC1022" s="198">
        <v>9.8638999999999992</v>
      </c>
      <c r="CD1022" s="198">
        <v>1.0981099999999999</v>
      </c>
      <c r="CF1022" s="1051">
        <v>43746</v>
      </c>
      <c r="CG1022" s="198">
        <v>5.3045</v>
      </c>
      <c r="CH1022" s="198">
        <v>1.0469999999999999</v>
      </c>
      <c r="CI1022" s="198">
        <v>7.0259</v>
      </c>
      <c r="CL1022" s="1051">
        <v>43768</v>
      </c>
      <c r="CM1022" s="198">
        <v>13.604900000000001</v>
      </c>
      <c r="CN1022" s="198">
        <v>1.8545</v>
      </c>
      <c r="CO1022" s="198">
        <v>9.7835000000000001</v>
      </c>
    </row>
    <row r="1023" spans="1:93" s="198" customFormat="1">
      <c r="A1023" s="1051">
        <v>43746</v>
      </c>
      <c r="B1023" s="1052">
        <f t="shared" si="152"/>
        <v>7.1611000000000002</v>
      </c>
      <c r="C1023" s="1052">
        <f t="shared" si="154"/>
        <v>6.1336000000000004</v>
      </c>
      <c r="D1023" s="1052">
        <f t="shared" si="158"/>
        <v>9.4542000000000002</v>
      </c>
      <c r="E1023" s="1052">
        <f t="shared" si="159"/>
        <v>6.8865999999999996</v>
      </c>
      <c r="F1023" s="1052">
        <f t="shared" si="160"/>
        <v>11.673999999999999</v>
      </c>
      <c r="G1023" s="1052">
        <f t="shared" si="161"/>
        <v>6.9923000000000002</v>
      </c>
      <c r="H1023" s="1047">
        <f t="shared" si="155"/>
        <v>6.9923000000000002</v>
      </c>
      <c r="I1023" s="1048">
        <f t="shared" si="153"/>
        <v>2.4140840638988692E-2</v>
      </c>
      <c r="J1023" s="1048">
        <f t="shared" si="156"/>
        <v>0.12093838824177333</v>
      </c>
      <c r="K1023" s="1048">
        <f t="shared" si="157"/>
        <v>0.1</v>
      </c>
      <c r="L1023" s="1048"/>
      <c r="N1023" s="1051">
        <v>43746</v>
      </c>
      <c r="O1023" s="1053">
        <v>7.1611000000000002</v>
      </c>
      <c r="P1023" s="1053">
        <v>1.1738</v>
      </c>
      <c r="Q1023" s="1053">
        <v>8.3260000000000005</v>
      </c>
      <c r="R1023" s="1054">
        <f>'B. PE'!$U$23</f>
        <v>15.978235616082999</v>
      </c>
      <c r="S1023" s="1054"/>
      <c r="T1023" s="1054"/>
      <c r="V1023" s="1051">
        <v>43746</v>
      </c>
      <c r="W1023" s="198">
        <v>6.1336000000000004</v>
      </c>
      <c r="X1023" s="198">
        <v>0.44280000000000003</v>
      </c>
      <c r="Y1023" s="198">
        <v>5.1670999999999996</v>
      </c>
      <c r="Z1023" s="198">
        <v>0.27568999999999999</v>
      </c>
      <c r="AB1023" s="1051">
        <v>43707</v>
      </c>
      <c r="AC1023" s="198">
        <v>9.6358999999999995</v>
      </c>
      <c r="AD1023" s="1053">
        <v>1.0651999999999999</v>
      </c>
      <c r="AE1023" s="198">
        <v>6.3636999999999997</v>
      </c>
      <c r="AF1023" s="198">
        <v>2.1770000000000001E-2</v>
      </c>
      <c r="AH1023" s="1051">
        <v>43707</v>
      </c>
      <c r="AI1023" s="198">
        <v>10.303100000000001</v>
      </c>
      <c r="AJ1023" s="198">
        <v>1.768</v>
      </c>
      <c r="AK1023" s="198">
        <v>6.0290999999999997</v>
      </c>
      <c r="AL1023" s="198">
        <v>1.8749999999999999E-2</v>
      </c>
      <c r="AN1023" s="1051">
        <v>43714</v>
      </c>
      <c r="AO1023" s="198">
        <v>6.8235000000000001</v>
      </c>
      <c r="AP1023" s="198">
        <v>0.61819999999999997</v>
      </c>
      <c r="AQ1023" s="198">
        <v>4.8231000000000002</v>
      </c>
      <c r="AR1023" s="198">
        <v>0.11924999999999999</v>
      </c>
      <c r="AT1023" s="1051">
        <v>43635</v>
      </c>
      <c r="AU1023" s="198">
        <v>7.8944999999999999</v>
      </c>
      <c r="AV1023" s="198">
        <v>0.5101</v>
      </c>
      <c r="AW1023" s="198">
        <v>5.8178999999999998</v>
      </c>
      <c r="AX1023" s="198">
        <v>0.115</v>
      </c>
      <c r="BA1023" s="1051">
        <v>43698</v>
      </c>
      <c r="BB1023" s="198">
        <v>6.7209000000000003</v>
      </c>
      <c r="BC1023" s="198">
        <v>1.4343999999999999</v>
      </c>
      <c r="BD1023" s="198">
        <v>7.2163000000000004</v>
      </c>
      <c r="BE1023" s="198">
        <v>0.29494999999999999</v>
      </c>
      <c r="BG1023" s="1051">
        <v>43698</v>
      </c>
      <c r="BH1023" s="198">
        <v>12.1157</v>
      </c>
      <c r="BI1023" s="198">
        <v>2.6435</v>
      </c>
      <c r="BJ1023" s="198">
        <v>17.038</v>
      </c>
      <c r="BT1023" s="1051">
        <v>43746</v>
      </c>
      <c r="BU1023" s="198">
        <v>14.782</v>
      </c>
      <c r="BV1023" s="198">
        <v>4.8268000000000004</v>
      </c>
      <c r="BW1023" s="198">
        <v>9.2833000000000006</v>
      </c>
      <c r="BX1023" s="198">
        <v>1.7668999999999999</v>
      </c>
      <c r="BZ1023" s="1051">
        <v>43746</v>
      </c>
      <c r="CA1023" s="198">
        <v>9.5809999999999995</v>
      </c>
      <c r="CB1023" s="198">
        <v>2.6179999999999999</v>
      </c>
      <c r="CC1023" s="198">
        <v>9.8802000000000003</v>
      </c>
      <c r="CD1023" s="198">
        <v>1.09921</v>
      </c>
      <c r="CF1023" s="1051">
        <v>43745</v>
      </c>
      <c r="CG1023" s="198">
        <v>5.3045</v>
      </c>
      <c r="CH1023" s="198">
        <v>1.0469999999999999</v>
      </c>
      <c r="CI1023" s="198">
        <v>7.0259</v>
      </c>
      <c r="CL1023" s="1051">
        <v>43767</v>
      </c>
      <c r="CM1023" s="198">
        <v>13.5762</v>
      </c>
      <c r="CN1023" s="198">
        <v>1.8505</v>
      </c>
      <c r="CO1023" s="198">
        <v>9.7634000000000007</v>
      </c>
    </row>
    <row r="1024" spans="1:93" s="198" customFormat="1">
      <c r="A1024" s="1051">
        <v>43745</v>
      </c>
      <c r="B1024" s="1052">
        <f t="shared" si="152"/>
        <v>7.2469999999999999</v>
      </c>
      <c r="C1024" s="1052">
        <f t="shared" si="154"/>
        <v>6.1417000000000002</v>
      </c>
      <c r="D1024" s="1052">
        <f t="shared" si="158"/>
        <v>9.4886999999999997</v>
      </c>
      <c r="E1024" s="1052">
        <f t="shared" si="159"/>
        <v>6.8204000000000002</v>
      </c>
      <c r="F1024" s="1052">
        <f t="shared" si="160"/>
        <v>11.7431</v>
      </c>
      <c r="G1024" s="1052">
        <f t="shared" si="161"/>
        <v>7.0726000000000004</v>
      </c>
      <c r="H1024" s="1047">
        <f t="shared" si="155"/>
        <v>7.0726000000000004</v>
      </c>
      <c r="I1024" s="1048">
        <f t="shared" si="153"/>
        <v>2.4658541413341561E-2</v>
      </c>
      <c r="J1024" s="1048">
        <f t="shared" si="156"/>
        <v>0.12093838824177333</v>
      </c>
      <c r="K1024" s="1048">
        <f t="shared" si="157"/>
        <v>0.1</v>
      </c>
      <c r="L1024" s="1048"/>
      <c r="N1024" s="1051">
        <v>43745</v>
      </c>
      <c r="O1024" s="1053">
        <v>7.2469999999999999</v>
      </c>
      <c r="P1024" s="1053">
        <v>1.1879</v>
      </c>
      <c r="Q1024" s="1053">
        <v>8.3925000000000001</v>
      </c>
      <c r="R1024" s="1054">
        <f>'B. PE'!$U$23</f>
        <v>15.978235616082999</v>
      </c>
      <c r="S1024" s="1054"/>
      <c r="T1024" s="1054"/>
      <c r="V1024" s="1051">
        <v>43745</v>
      </c>
      <c r="W1024" s="198">
        <v>6.1417000000000002</v>
      </c>
      <c r="X1024" s="198">
        <v>0.44330000000000003</v>
      </c>
      <c r="Y1024" s="198">
        <v>5.1703999999999999</v>
      </c>
      <c r="Z1024" s="198">
        <v>0.27571000000000001</v>
      </c>
      <c r="AB1024" s="1051">
        <v>43706</v>
      </c>
      <c r="AC1024" s="198">
        <v>9.7912999999999997</v>
      </c>
      <c r="AD1024" s="1053">
        <v>1.0824</v>
      </c>
      <c r="AE1024" s="198">
        <v>6.4288999999999996</v>
      </c>
      <c r="AF1024" s="198">
        <v>2.2780000000000002E-2</v>
      </c>
      <c r="AH1024" s="1051">
        <v>43706</v>
      </c>
      <c r="AI1024" s="198">
        <v>10.303100000000001</v>
      </c>
      <c r="AJ1024" s="198">
        <v>1.768</v>
      </c>
      <c r="AK1024" s="198">
        <v>6.0290999999999997</v>
      </c>
      <c r="AL1024" s="198">
        <v>1.8790000000000001E-2</v>
      </c>
      <c r="AN1024" s="1051">
        <v>43713</v>
      </c>
      <c r="AO1024" s="198">
        <v>6.8235000000000001</v>
      </c>
      <c r="AP1024" s="198">
        <v>0.61819999999999997</v>
      </c>
      <c r="AQ1024" s="198">
        <v>4.8231000000000002</v>
      </c>
      <c r="AR1024" s="198">
        <v>0.11998</v>
      </c>
      <c r="AT1024" s="1051">
        <v>43634</v>
      </c>
      <c r="AU1024" s="198">
        <v>7.8131000000000004</v>
      </c>
      <c r="AV1024" s="198">
        <v>0.50490000000000002</v>
      </c>
      <c r="AW1024" s="198">
        <v>5.7759</v>
      </c>
      <c r="AX1024" s="198">
        <v>0.11518</v>
      </c>
      <c r="BA1024" s="1051">
        <v>43697</v>
      </c>
      <c r="BB1024" s="198">
        <v>6.7586000000000004</v>
      </c>
      <c r="BC1024" s="198">
        <v>1.4424999999999999</v>
      </c>
      <c r="BD1024" s="198">
        <v>7.2427999999999999</v>
      </c>
      <c r="BE1024" s="198">
        <v>0.29276999999999997</v>
      </c>
      <c r="BG1024" s="1051">
        <v>43697</v>
      </c>
      <c r="BH1024" s="198">
        <v>12.1157</v>
      </c>
      <c r="BI1024" s="198">
        <v>2.6435</v>
      </c>
      <c r="BJ1024" s="198">
        <v>17.038</v>
      </c>
      <c r="BT1024" s="1051">
        <v>43745</v>
      </c>
      <c r="BU1024" s="198">
        <v>14.541600000000001</v>
      </c>
      <c r="BV1024" s="198">
        <v>4.7483000000000004</v>
      </c>
      <c r="BW1024" s="198">
        <v>9.1379000000000001</v>
      </c>
      <c r="BX1024" s="198">
        <v>1.7971999999999999</v>
      </c>
      <c r="BZ1024" s="1051">
        <v>43745</v>
      </c>
      <c r="CA1024" s="198">
        <v>9.7248000000000001</v>
      </c>
      <c r="CB1024" s="198">
        <v>2.6573000000000002</v>
      </c>
      <c r="CC1024" s="198">
        <v>9.9859000000000009</v>
      </c>
      <c r="CD1024" s="198">
        <v>1.1093</v>
      </c>
      <c r="CF1024" s="1051">
        <v>43742</v>
      </c>
      <c r="CI1024" s="198">
        <v>7.0259</v>
      </c>
      <c r="CL1024" s="1051">
        <v>43766</v>
      </c>
      <c r="CM1024" s="198">
        <v>13.4498</v>
      </c>
      <c r="CN1024" s="198">
        <v>1.8332999999999999</v>
      </c>
      <c r="CO1024" s="198">
        <v>9.6751000000000005</v>
      </c>
    </row>
    <row r="1025" spans="1:93" s="198" customFormat="1">
      <c r="A1025" s="1051">
        <v>43742</v>
      </c>
      <c r="B1025" s="1052">
        <f t="shared" si="152"/>
        <v>7.2183000000000002</v>
      </c>
      <c r="C1025" s="1052">
        <f t="shared" si="154"/>
        <v>6.1417000000000002</v>
      </c>
      <c r="D1025" s="1052">
        <f t="shared" si="158"/>
        <v>9.4197000000000006</v>
      </c>
      <c r="E1025" s="1052">
        <f t="shared" si="159"/>
        <v>6.8865999999999996</v>
      </c>
      <c r="F1025" s="1052">
        <f t="shared" si="160"/>
        <v>11.673999999999999</v>
      </c>
      <c r="G1025" s="1052">
        <f t="shared" si="161"/>
        <v>7.0726000000000004</v>
      </c>
      <c r="H1025" s="1047">
        <f t="shared" si="155"/>
        <v>7.0726000000000004</v>
      </c>
      <c r="I1025" s="1048">
        <f t="shared" si="153"/>
        <v>2.0600627774792768E-2</v>
      </c>
      <c r="J1025" s="1048">
        <f t="shared" si="156"/>
        <v>0.12093838824177333</v>
      </c>
      <c r="K1025" s="1048">
        <f t="shared" si="157"/>
        <v>0.1</v>
      </c>
      <c r="L1025" s="1048"/>
      <c r="N1025" s="1051">
        <v>43742</v>
      </c>
      <c r="O1025" s="1053">
        <v>7.2183000000000002</v>
      </c>
      <c r="P1025" s="1053">
        <v>1.1832</v>
      </c>
      <c r="Q1025" s="1053">
        <v>8.3704000000000001</v>
      </c>
      <c r="R1025" s="1054">
        <f>'B. PE'!$U$23</f>
        <v>15.978235616082999</v>
      </c>
      <c r="S1025" s="1054"/>
      <c r="T1025" s="1054"/>
      <c r="V1025" s="1051">
        <v>43742</v>
      </c>
      <c r="W1025" s="198">
        <v>6.1417000000000002</v>
      </c>
      <c r="X1025" s="198">
        <v>0.44330000000000003</v>
      </c>
      <c r="Y1025" s="198">
        <v>5.1703999999999999</v>
      </c>
      <c r="Z1025" s="198">
        <v>0.27495999999999998</v>
      </c>
      <c r="AB1025" s="1051">
        <v>43705</v>
      </c>
      <c r="AC1025" s="198">
        <v>9.6358999999999995</v>
      </c>
      <c r="AD1025" s="1053">
        <v>1.0651999999999999</v>
      </c>
      <c r="AE1025" s="198">
        <v>6.3636999999999997</v>
      </c>
      <c r="AF1025" s="198">
        <v>2.1319999999999999E-2</v>
      </c>
      <c r="AH1025" s="1051">
        <v>43705</v>
      </c>
      <c r="AI1025" s="198">
        <v>10.076599999999999</v>
      </c>
      <c r="AJ1025" s="198">
        <v>1.7292000000000001</v>
      </c>
      <c r="AK1025" s="198">
        <v>5.9120999999999997</v>
      </c>
      <c r="AL1025" s="198">
        <v>1.831E-2</v>
      </c>
      <c r="AN1025" s="1051">
        <v>43712</v>
      </c>
      <c r="AO1025" s="198">
        <v>6.7560000000000002</v>
      </c>
      <c r="AP1025" s="198">
        <v>0.61209999999999998</v>
      </c>
      <c r="AQ1025" s="198">
        <v>4.7704000000000004</v>
      </c>
      <c r="AR1025" s="198">
        <v>0.12211</v>
      </c>
      <c r="AT1025" s="1051">
        <v>43633</v>
      </c>
      <c r="AU1025" s="198">
        <v>7.8131000000000004</v>
      </c>
      <c r="AV1025" s="198">
        <v>0.50490000000000002</v>
      </c>
      <c r="AW1025" s="198">
        <v>5.7759</v>
      </c>
      <c r="AX1025" s="198">
        <v>0.11513</v>
      </c>
      <c r="BA1025" s="1051">
        <v>43696</v>
      </c>
      <c r="BB1025" s="198">
        <v>6.8719000000000001</v>
      </c>
      <c r="BC1025" s="198">
        <v>1.4665999999999999</v>
      </c>
      <c r="BD1025" s="198">
        <v>7.3223000000000003</v>
      </c>
      <c r="BE1025" s="198">
        <v>0.29035</v>
      </c>
      <c r="BG1025" s="1051">
        <v>43696</v>
      </c>
      <c r="BH1025" s="198">
        <v>12.24</v>
      </c>
      <c r="BI1025" s="198">
        <v>2.6705999999999999</v>
      </c>
      <c r="BJ1025" s="198">
        <v>17.1495</v>
      </c>
      <c r="BT1025" s="1051">
        <v>43742</v>
      </c>
      <c r="BU1025" s="198">
        <v>14.782</v>
      </c>
      <c r="BV1025" s="198">
        <v>4.8268000000000004</v>
      </c>
      <c r="BW1025" s="198">
        <v>9.2833000000000006</v>
      </c>
      <c r="BX1025" s="198">
        <v>1.7985</v>
      </c>
      <c r="BZ1025" s="1051">
        <v>43742</v>
      </c>
      <c r="CA1025" s="198">
        <v>9.7359000000000009</v>
      </c>
      <c r="CB1025" s="198">
        <v>2.6604000000000001</v>
      </c>
      <c r="CC1025" s="198">
        <v>9.9940999999999995</v>
      </c>
      <c r="CD1025" s="198">
        <v>1.09921</v>
      </c>
      <c r="CF1025" s="1051">
        <v>43741</v>
      </c>
      <c r="CG1025" s="198">
        <v>5.3045</v>
      </c>
      <c r="CH1025" s="198">
        <v>1.0469999999999999</v>
      </c>
      <c r="CI1025" s="198">
        <v>7.0259</v>
      </c>
      <c r="CL1025" s="1051">
        <v>43763</v>
      </c>
      <c r="CM1025" s="198">
        <v>13.283200000000001</v>
      </c>
      <c r="CN1025" s="198">
        <v>1.8106</v>
      </c>
      <c r="CO1025" s="198">
        <v>9.5587</v>
      </c>
    </row>
    <row r="1026" spans="1:93" s="198" customFormat="1">
      <c r="A1026" s="1051">
        <v>43741</v>
      </c>
      <c r="B1026" s="1052">
        <f t="shared" si="152"/>
        <v>7.0750999999999999</v>
      </c>
      <c r="C1026" s="1052">
        <f t="shared" si="154"/>
        <v>6.1417000000000002</v>
      </c>
      <c r="D1026" s="1052">
        <f t="shared" si="158"/>
        <v>9.1782000000000004</v>
      </c>
      <c r="E1026" s="1052">
        <f t="shared" si="159"/>
        <v>6.8204000000000002</v>
      </c>
      <c r="F1026" s="1052">
        <f t="shared" si="160"/>
        <v>11.7431</v>
      </c>
      <c r="G1026" s="1052">
        <f t="shared" si="161"/>
        <v>7.0324</v>
      </c>
      <c r="H1026" s="1047">
        <f t="shared" si="155"/>
        <v>7.0324</v>
      </c>
      <c r="I1026" s="1048">
        <f t="shared" si="153"/>
        <v>6.0718957965986142E-3</v>
      </c>
      <c r="J1026" s="1048">
        <f t="shared" si="156"/>
        <v>0.12093838824177333</v>
      </c>
      <c r="K1026" s="1048">
        <f t="shared" si="157"/>
        <v>0.1</v>
      </c>
      <c r="L1026" s="1048"/>
      <c r="N1026" s="1051">
        <v>43741</v>
      </c>
      <c r="O1026" s="1053">
        <v>7.0750999999999999</v>
      </c>
      <c r="P1026" s="1053">
        <v>1.1597</v>
      </c>
      <c r="Q1026" s="1053">
        <v>8.2596000000000007</v>
      </c>
      <c r="R1026" s="1054">
        <f>'B. PE'!$U$23</f>
        <v>15.978235616082999</v>
      </c>
      <c r="S1026" s="1054"/>
      <c r="T1026" s="1054"/>
      <c r="V1026" s="1051">
        <v>43741</v>
      </c>
      <c r="W1026" s="198">
        <v>6.1417000000000002</v>
      </c>
      <c r="X1026" s="198">
        <v>0.44330000000000003</v>
      </c>
      <c r="Y1026" s="198">
        <v>5.1703999999999999</v>
      </c>
      <c r="Z1026" s="198">
        <v>0.27535999999999999</v>
      </c>
      <c r="AB1026" s="1051">
        <v>43704</v>
      </c>
      <c r="AC1026" s="198">
        <v>10.1021</v>
      </c>
      <c r="AD1026" s="1053">
        <v>1.1168</v>
      </c>
      <c r="AE1026" s="198">
        <v>6.5593000000000004</v>
      </c>
      <c r="AF1026" s="198">
        <v>2.0719999999999999E-2</v>
      </c>
      <c r="AH1026" s="1051">
        <v>43704</v>
      </c>
      <c r="AI1026" s="198">
        <v>10.1144</v>
      </c>
      <c r="AJ1026" s="198">
        <v>1.7356</v>
      </c>
      <c r="AK1026" s="198">
        <v>5.9316000000000004</v>
      </c>
      <c r="AL1026" s="198">
        <v>1.8339999999999999E-2</v>
      </c>
      <c r="AN1026" s="1051">
        <v>43711</v>
      </c>
      <c r="AO1026" s="198">
        <v>6.8235000000000001</v>
      </c>
      <c r="AP1026" s="198">
        <v>0.61819999999999997</v>
      </c>
      <c r="AQ1026" s="198">
        <v>4.8231000000000002</v>
      </c>
      <c r="AR1026" s="198">
        <v>0.12218</v>
      </c>
      <c r="AT1026" s="1051">
        <v>43630</v>
      </c>
      <c r="AU1026" s="198">
        <v>7.8131000000000004</v>
      </c>
      <c r="AV1026" s="198">
        <v>0.50490000000000002</v>
      </c>
      <c r="AW1026" s="198">
        <v>5.7759</v>
      </c>
      <c r="AX1026" s="198">
        <v>0.11541999999999999</v>
      </c>
      <c r="BA1026" s="1051">
        <v>43693</v>
      </c>
      <c r="BB1026" s="198">
        <v>6.8341000000000003</v>
      </c>
      <c r="BC1026" s="198">
        <v>1.4585999999999999</v>
      </c>
      <c r="BD1026" s="198">
        <v>7.2957999999999998</v>
      </c>
      <c r="BE1026" s="198">
        <v>0.28049000000000002</v>
      </c>
      <c r="BG1026" s="1051">
        <v>43693</v>
      </c>
      <c r="BH1026" s="198">
        <v>12.1157</v>
      </c>
      <c r="BI1026" s="198">
        <v>2.6435</v>
      </c>
      <c r="BJ1026" s="198">
        <v>17.038</v>
      </c>
      <c r="BT1026" s="1051">
        <v>43741</v>
      </c>
      <c r="BU1026" s="198">
        <v>15.0343</v>
      </c>
      <c r="BV1026" s="198">
        <v>4.9092000000000002</v>
      </c>
      <c r="BW1026" s="198">
        <v>9.4359999999999999</v>
      </c>
      <c r="BX1026" s="198">
        <v>1.8317000000000001</v>
      </c>
      <c r="BZ1026" s="1051">
        <v>43741</v>
      </c>
      <c r="CA1026" s="198">
        <v>9.8244000000000007</v>
      </c>
      <c r="CB1026" s="198">
        <v>2.6844999999999999</v>
      </c>
      <c r="CC1026" s="198">
        <v>10.059200000000001</v>
      </c>
      <c r="CD1026" s="198">
        <v>1.0993599999999999</v>
      </c>
      <c r="CF1026" s="1051">
        <v>43740</v>
      </c>
      <c r="CG1026" s="198">
        <v>5.3045</v>
      </c>
      <c r="CH1026" s="198">
        <v>1.0469999999999999</v>
      </c>
      <c r="CI1026" s="198">
        <v>7.0259</v>
      </c>
      <c r="CL1026" s="1051">
        <v>43762</v>
      </c>
      <c r="CM1026" s="198">
        <v>13.2372</v>
      </c>
      <c r="CN1026" s="198">
        <v>1.8043</v>
      </c>
      <c r="CO1026" s="198">
        <v>9.5266000000000002</v>
      </c>
    </row>
    <row r="1027" spans="1:93" s="198" customFormat="1">
      <c r="A1027" s="1051">
        <v>43740</v>
      </c>
      <c r="B1027" s="1052">
        <f t="shared" si="152"/>
        <v>7.29</v>
      </c>
      <c r="C1027" s="1052">
        <f t="shared" si="154"/>
        <v>6.1256000000000004</v>
      </c>
      <c r="D1027" s="1052">
        <f t="shared" si="158"/>
        <v>9.6266999999999996</v>
      </c>
      <c r="E1027" s="1052">
        <f t="shared" si="159"/>
        <v>6.8865999999999996</v>
      </c>
      <c r="F1027" s="1052">
        <f t="shared" si="160"/>
        <v>11.8812</v>
      </c>
      <c r="G1027" s="1052">
        <f t="shared" si="161"/>
        <v>7.1529999999999996</v>
      </c>
      <c r="H1027" s="1047">
        <f t="shared" si="155"/>
        <v>7.1529999999999996</v>
      </c>
      <c r="I1027" s="1048">
        <f t="shared" si="153"/>
        <v>1.9152803019712117E-2</v>
      </c>
      <c r="J1027" s="1048">
        <f t="shared" si="156"/>
        <v>0.12093838824177333</v>
      </c>
      <c r="K1027" s="1048">
        <f t="shared" si="157"/>
        <v>0.1</v>
      </c>
      <c r="L1027" s="1048"/>
      <c r="N1027" s="1051">
        <v>43740</v>
      </c>
      <c r="O1027" s="1053">
        <v>7.29</v>
      </c>
      <c r="P1027" s="1053">
        <v>1.1949000000000001</v>
      </c>
      <c r="Q1027" s="1053">
        <v>8.4258000000000006</v>
      </c>
      <c r="R1027" s="1054">
        <f>'B. PE'!$U$23</f>
        <v>15.978235616082999</v>
      </c>
      <c r="S1027" s="1054"/>
      <c r="T1027" s="1054"/>
      <c r="V1027" s="1051">
        <v>43740</v>
      </c>
      <c r="W1027" s="198">
        <v>6.1256000000000004</v>
      </c>
      <c r="X1027" s="198">
        <v>0.44219999999999998</v>
      </c>
      <c r="Y1027" s="198">
        <v>5.1638000000000002</v>
      </c>
      <c r="Z1027" s="198">
        <v>0.27535999999999999</v>
      </c>
      <c r="AB1027" s="1051">
        <v>43703</v>
      </c>
      <c r="AC1027" s="198">
        <v>9.4494000000000007</v>
      </c>
      <c r="AD1027" s="1053">
        <v>1.0446</v>
      </c>
      <c r="AE1027" s="198">
        <v>6.2854999999999999</v>
      </c>
      <c r="AF1027" s="198">
        <v>2.325E-2</v>
      </c>
      <c r="AH1027" s="1051">
        <v>43703</v>
      </c>
      <c r="AI1027" s="198">
        <v>9.8501999999999992</v>
      </c>
      <c r="AJ1027" s="198">
        <v>1.6902999999999999</v>
      </c>
      <c r="AK1027" s="198">
        <v>5.7950999999999997</v>
      </c>
      <c r="AL1027" s="198">
        <v>1.8190000000000001E-2</v>
      </c>
      <c r="AN1027" s="1051">
        <v>43707</v>
      </c>
      <c r="AO1027" s="198">
        <v>6.9587000000000003</v>
      </c>
      <c r="AP1027" s="198">
        <v>0.63039999999999996</v>
      </c>
      <c r="AQ1027" s="198">
        <v>4.9283999999999999</v>
      </c>
      <c r="AR1027" s="198">
        <v>0.11978</v>
      </c>
      <c r="AT1027" s="1051">
        <v>43629</v>
      </c>
      <c r="AU1027" s="198">
        <v>7.8131000000000004</v>
      </c>
      <c r="AV1027" s="198">
        <v>0.50490000000000002</v>
      </c>
      <c r="AW1027" s="198">
        <v>5.7777000000000003</v>
      </c>
      <c r="AX1027" s="198">
        <v>0.11917</v>
      </c>
      <c r="BA1027" s="1051">
        <v>43692</v>
      </c>
      <c r="BB1027" s="198">
        <v>6.7586000000000004</v>
      </c>
      <c r="BC1027" s="198">
        <v>1.4424999999999999</v>
      </c>
      <c r="BD1027" s="198">
        <v>7.2427999999999999</v>
      </c>
      <c r="BE1027" s="198">
        <v>0.28255000000000002</v>
      </c>
      <c r="BG1027" s="1051">
        <v>43692</v>
      </c>
      <c r="BH1027" s="198">
        <v>11.9915</v>
      </c>
      <c r="BI1027" s="198">
        <v>2.6164000000000001</v>
      </c>
      <c r="BJ1027" s="198">
        <v>16.926500000000001</v>
      </c>
      <c r="BT1027" s="1051">
        <v>43740</v>
      </c>
      <c r="BU1027" s="198">
        <v>15.0464</v>
      </c>
      <c r="BV1027" s="198">
        <v>4.9131</v>
      </c>
      <c r="BW1027" s="198">
        <v>9.4433000000000007</v>
      </c>
      <c r="BX1027" s="198">
        <v>1.8116000000000001</v>
      </c>
      <c r="BZ1027" s="1051">
        <v>43740</v>
      </c>
      <c r="CA1027" s="198">
        <v>9.7359000000000009</v>
      </c>
      <c r="CB1027" s="198">
        <v>2.6604000000000001</v>
      </c>
      <c r="CC1027" s="198">
        <v>9.9940999999999995</v>
      </c>
      <c r="CD1027" s="198">
        <v>1.13184</v>
      </c>
      <c r="CF1027" s="1051">
        <v>43739</v>
      </c>
      <c r="CI1027" s="198">
        <v>7.1574999999999998</v>
      </c>
      <c r="CL1027" s="1051">
        <v>43761</v>
      </c>
      <c r="CM1027" s="198">
        <v>13.357900000000001</v>
      </c>
      <c r="CN1027" s="198">
        <v>1.8208</v>
      </c>
      <c r="CO1027" s="198">
        <v>9.6109000000000009</v>
      </c>
    </row>
    <row r="1028" spans="1:93" s="198" customFormat="1">
      <c r="A1028" s="1051">
        <v>43739</v>
      </c>
      <c r="B1028" s="1052">
        <f t="shared" si="152"/>
        <v>7.29</v>
      </c>
      <c r="C1028" s="1052">
        <f t="shared" si="154"/>
        <v>6.1336000000000004</v>
      </c>
      <c r="D1028" s="1052">
        <f t="shared" si="158"/>
        <v>10.0753</v>
      </c>
      <c r="E1028" s="1052">
        <f t="shared" si="159"/>
        <v>6.7542</v>
      </c>
      <c r="F1028" s="1052">
        <f t="shared" si="160"/>
        <v>11.8812</v>
      </c>
      <c r="G1028" s="1052">
        <f t="shared" si="161"/>
        <v>7.2333999999999996</v>
      </c>
      <c r="H1028" s="1047">
        <f t="shared" si="155"/>
        <v>7.2333999999999996</v>
      </c>
      <c r="I1028" s="1048">
        <f t="shared" si="153"/>
        <v>7.8248126745377178E-3</v>
      </c>
      <c r="J1028" s="1048">
        <f t="shared" si="156"/>
        <v>0.12093838824177333</v>
      </c>
      <c r="K1028" s="1048">
        <f t="shared" si="157"/>
        <v>0.1</v>
      </c>
      <c r="L1028" s="1048"/>
      <c r="N1028" s="1051">
        <v>43739</v>
      </c>
      <c r="O1028" s="1053">
        <v>7.29</v>
      </c>
      <c r="P1028" s="1053">
        <v>1.1949000000000001</v>
      </c>
      <c r="Q1028" s="1053">
        <v>8.4258000000000006</v>
      </c>
      <c r="R1028" s="1054">
        <f>'B. PE'!$U$23</f>
        <v>15.978235616082999</v>
      </c>
      <c r="S1028" s="1054"/>
      <c r="T1028" s="1054"/>
      <c r="V1028" s="1051">
        <v>43739</v>
      </c>
      <c r="W1028" s="198">
        <v>6.1336000000000004</v>
      </c>
      <c r="X1028" s="198">
        <v>0.44280000000000003</v>
      </c>
      <c r="Y1028" s="198">
        <v>5.1670999999999996</v>
      </c>
      <c r="Z1028" s="198">
        <v>0.27532000000000001</v>
      </c>
      <c r="AB1028" s="1051">
        <v>43700</v>
      </c>
      <c r="AC1028" s="198">
        <v>9.2006999999999994</v>
      </c>
      <c r="AD1028" s="1053">
        <v>1.0170999999999999</v>
      </c>
      <c r="AE1028" s="198">
        <v>6.1810999999999998</v>
      </c>
      <c r="AF1028" s="198">
        <v>2.581E-2</v>
      </c>
      <c r="AH1028" s="1051">
        <v>43700</v>
      </c>
      <c r="AI1028" s="198">
        <v>9.8879000000000001</v>
      </c>
      <c r="AJ1028" s="198">
        <v>1.6968000000000001</v>
      </c>
      <c r="AK1028" s="198">
        <v>5.8146000000000004</v>
      </c>
      <c r="AL1028" s="198">
        <v>1.8010000000000002E-2</v>
      </c>
      <c r="AN1028" s="1051">
        <v>43706</v>
      </c>
      <c r="AO1028" s="198">
        <v>6.9587000000000003</v>
      </c>
      <c r="AP1028" s="198">
        <v>0.63039999999999996</v>
      </c>
      <c r="AQ1028" s="198">
        <v>4.9283999999999999</v>
      </c>
      <c r="AR1028" s="198">
        <v>0.11898</v>
      </c>
      <c r="AT1028" s="1051">
        <v>43628</v>
      </c>
      <c r="AU1028" s="198">
        <v>7.8131000000000004</v>
      </c>
      <c r="AV1028" s="198">
        <v>0.50490000000000002</v>
      </c>
      <c r="AW1028" s="198">
        <v>5.7777000000000003</v>
      </c>
      <c r="AX1028" s="198">
        <v>0.11537</v>
      </c>
      <c r="BA1028" s="1051">
        <v>43691</v>
      </c>
      <c r="BB1028" s="198">
        <v>6.5320999999999998</v>
      </c>
      <c r="BC1028" s="198">
        <v>1.3940999999999999</v>
      </c>
      <c r="BD1028" s="198">
        <v>7.0838999999999999</v>
      </c>
      <c r="BE1028" s="198">
        <v>0.28433000000000003</v>
      </c>
      <c r="BG1028" s="1051">
        <v>43691</v>
      </c>
      <c r="BH1028" s="198">
        <v>12.302099999999999</v>
      </c>
      <c r="BI1028" s="198">
        <v>2.6842000000000001</v>
      </c>
      <c r="BJ1028" s="198">
        <v>17.205200000000001</v>
      </c>
      <c r="BT1028" s="1051">
        <v>43739</v>
      </c>
      <c r="BU1028" s="198">
        <v>15.322800000000001</v>
      </c>
      <c r="BV1028" s="198">
        <v>5.0034000000000001</v>
      </c>
      <c r="BW1028" s="198">
        <v>9.6105</v>
      </c>
      <c r="BX1028" s="198">
        <v>1.8387</v>
      </c>
      <c r="BZ1028" s="1051">
        <v>43739</v>
      </c>
      <c r="CA1028" s="198">
        <v>9.7359000000000009</v>
      </c>
      <c r="CB1028" s="198">
        <v>2.6604000000000001</v>
      </c>
      <c r="CC1028" s="198">
        <v>9.9940999999999995</v>
      </c>
      <c r="CD1028" s="198">
        <v>1.1466799999999999</v>
      </c>
      <c r="CF1028" s="1051">
        <v>43738</v>
      </c>
      <c r="CG1028" s="198">
        <v>5.5255000000000001</v>
      </c>
      <c r="CH1028" s="198">
        <v>1.0907</v>
      </c>
      <c r="CI1028" s="198">
        <v>7.1574999999999998</v>
      </c>
      <c r="CL1028" s="1051">
        <v>43760</v>
      </c>
      <c r="CM1028" s="198">
        <v>13.357900000000001</v>
      </c>
      <c r="CN1028" s="198">
        <v>1.8208</v>
      </c>
      <c r="CO1028" s="198">
        <v>9.6109000000000009</v>
      </c>
    </row>
    <row r="1029" spans="1:93" s="198" customFormat="1">
      <c r="A1029" s="1051">
        <v>43738</v>
      </c>
      <c r="B1029" s="1052">
        <f t="shared" si="152"/>
        <v>7.1181000000000001</v>
      </c>
      <c r="C1029" s="1052">
        <f t="shared" si="154"/>
        <v>6.1336000000000004</v>
      </c>
      <c r="D1029" s="1052">
        <f t="shared" si="158"/>
        <v>9.9373000000000005</v>
      </c>
      <c r="E1029" s="1052">
        <f t="shared" si="159"/>
        <v>6.7542</v>
      </c>
      <c r="F1029" s="1052">
        <f t="shared" si="160"/>
        <v>11.8812</v>
      </c>
      <c r="G1029" s="1052">
        <f t="shared" si="161"/>
        <v>7.2736000000000001</v>
      </c>
      <c r="H1029" s="1047">
        <f t="shared" si="155"/>
        <v>7.2736000000000001</v>
      </c>
      <c r="I1029" s="1048">
        <f t="shared" si="153"/>
        <v>-2.1378684557853078E-2</v>
      </c>
      <c r="J1029" s="1048">
        <f t="shared" si="156"/>
        <v>0.12093838824177333</v>
      </c>
      <c r="K1029" s="1048">
        <f t="shared" si="157"/>
        <v>0.1</v>
      </c>
      <c r="L1029" s="1048"/>
      <c r="N1029" s="1051">
        <v>43738</v>
      </c>
      <c r="O1029" s="1053">
        <v>7.1181000000000001</v>
      </c>
      <c r="P1029" s="1053">
        <v>1.1667000000000001</v>
      </c>
      <c r="Q1029" s="1053">
        <v>8.2927999999999997</v>
      </c>
      <c r="R1029" s="1054">
        <f>'B. PE'!$U$23</f>
        <v>15.978235616082999</v>
      </c>
      <c r="S1029" s="1054"/>
      <c r="T1029" s="1054"/>
      <c r="V1029" s="1051">
        <v>43738</v>
      </c>
      <c r="W1029" s="198">
        <v>6.1336000000000004</v>
      </c>
      <c r="X1029" s="198">
        <v>0.44280000000000003</v>
      </c>
      <c r="Y1029" s="198">
        <v>5.1670999999999996</v>
      </c>
      <c r="Z1029" s="198">
        <v>0.27500999999999998</v>
      </c>
      <c r="AB1029" s="1051">
        <v>43699</v>
      </c>
      <c r="AC1029" s="198">
        <v>10.288600000000001</v>
      </c>
      <c r="AD1029" s="1053">
        <v>1.1374</v>
      </c>
      <c r="AE1029" s="198">
        <v>6.6375000000000002</v>
      </c>
      <c r="AF1029" s="198">
        <v>2.63E-2</v>
      </c>
      <c r="AH1029" s="1051">
        <v>43699</v>
      </c>
      <c r="AI1029" s="198">
        <v>9.7746999999999993</v>
      </c>
      <c r="AJ1029" s="198">
        <v>1.6773</v>
      </c>
      <c r="AK1029" s="198">
        <v>5.7561</v>
      </c>
      <c r="AL1029" s="198">
        <v>1.8100000000000002E-2</v>
      </c>
      <c r="AN1029" s="1051">
        <v>43705</v>
      </c>
      <c r="AO1029" s="198">
        <v>6.8235000000000001</v>
      </c>
      <c r="AP1029" s="198">
        <v>0.61819999999999997</v>
      </c>
      <c r="AQ1029" s="198">
        <v>4.8231000000000002</v>
      </c>
      <c r="AR1029" s="198">
        <v>0.12021</v>
      </c>
      <c r="AT1029" s="1051">
        <v>43627</v>
      </c>
      <c r="AU1029" s="198">
        <v>8.0572999999999997</v>
      </c>
      <c r="AV1029" s="198">
        <v>0.52070000000000005</v>
      </c>
      <c r="AW1029" s="198">
        <v>5.9044999999999996</v>
      </c>
      <c r="AX1029" s="198">
        <v>0.11451</v>
      </c>
      <c r="BA1029" s="1051">
        <v>43690</v>
      </c>
      <c r="BB1029" s="198">
        <v>6.5697999999999999</v>
      </c>
      <c r="BC1029" s="198">
        <v>1.4021999999999999</v>
      </c>
      <c r="BD1029" s="198">
        <v>7.1104000000000003</v>
      </c>
      <c r="BE1029" s="198">
        <v>0.28774</v>
      </c>
      <c r="BG1029" s="1051">
        <v>43690</v>
      </c>
      <c r="BH1029" s="198">
        <v>12.3643</v>
      </c>
      <c r="BI1029" s="198">
        <v>2.6977000000000002</v>
      </c>
      <c r="BJ1029" s="198">
        <v>17.260899999999999</v>
      </c>
      <c r="BT1029" s="1051">
        <v>43738</v>
      </c>
      <c r="BU1029" s="198">
        <v>15.154500000000001</v>
      </c>
      <c r="BV1029" s="198">
        <v>4.9485000000000001</v>
      </c>
      <c r="BW1029" s="198">
        <v>9.5086999999999993</v>
      </c>
      <c r="BX1029" s="198">
        <v>1.8103</v>
      </c>
      <c r="BZ1029" s="1051">
        <v>43738</v>
      </c>
      <c r="CA1029" s="198">
        <v>10.0235</v>
      </c>
      <c r="CB1029" s="198">
        <v>2.7389999999999999</v>
      </c>
      <c r="CC1029" s="198">
        <v>10.2056</v>
      </c>
      <c r="CD1029" s="198">
        <v>1.1368799999999999</v>
      </c>
      <c r="CF1029" s="1051">
        <v>43735</v>
      </c>
      <c r="CG1029" s="198">
        <v>6.2507999999999999</v>
      </c>
      <c r="CH1029" s="198">
        <v>1.1403000000000001</v>
      </c>
      <c r="CI1029" s="198">
        <v>10.3248</v>
      </c>
      <c r="CL1029" s="1051">
        <v>43759</v>
      </c>
      <c r="CM1029" s="198">
        <v>13.484299999999999</v>
      </c>
      <c r="CN1029" s="198">
        <v>1.8380000000000001</v>
      </c>
      <c r="CO1029" s="198">
        <v>9.6991999999999994</v>
      </c>
    </row>
    <row r="1030" spans="1:93" s="198" customFormat="1">
      <c r="A1030" s="1051">
        <v>43735</v>
      </c>
      <c r="B1030" s="1052">
        <f t="shared" ref="B1030:B1093" si="162">O1030</f>
        <v>8.0182000000000002</v>
      </c>
      <c r="C1030" s="1052">
        <f t="shared" si="154"/>
        <v>5.9832000000000001</v>
      </c>
      <c r="D1030" s="1052">
        <f t="shared" si="158"/>
        <v>10.567299999999999</v>
      </c>
      <c r="E1030" s="1052">
        <f t="shared" si="159"/>
        <v>6.9587000000000003</v>
      </c>
      <c r="F1030" s="1052">
        <f t="shared" si="160"/>
        <v>10.624599999999999</v>
      </c>
      <c r="G1030" s="1052">
        <f t="shared" si="161"/>
        <v>6.7964000000000002</v>
      </c>
      <c r="H1030" s="1047">
        <f t="shared" si="155"/>
        <v>6.9587000000000003</v>
      </c>
      <c r="I1030" s="1048">
        <f t="shared" ref="I1030:I1093" si="163">B1030/H1030-1</f>
        <v>0.15225545001221485</v>
      </c>
      <c r="J1030" s="1048">
        <f t="shared" si="156"/>
        <v>0.12093838824177333</v>
      </c>
      <c r="K1030" s="1048">
        <f t="shared" si="157"/>
        <v>0.1</v>
      </c>
      <c r="L1030" s="1048"/>
      <c r="N1030" s="1051">
        <v>43735</v>
      </c>
      <c r="O1030" s="1053">
        <v>8.0182000000000002</v>
      </c>
      <c r="P1030" s="1053">
        <v>1.2632000000000001</v>
      </c>
      <c r="Q1030" s="1053">
        <v>11.4093</v>
      </c>
      <c r="R1030" s="1054">
        <f>'B. PE'!$U$23</f>
        <v>15.978235616082999</v>
      </c>
      <c r="S1030" s="1054"/>
      <c r="T1030" s="1054"/>
      <c r="V1030" s="1051">
        <v>43735</v>
      </c>
      <c r="W1030" s="198">
        <v>5.9832000000000001</v>
      </c>
      <c r="X1030" s="198">
        <v>0.44579999999999997</v>
      </c>
      <c r="Y1030" s="198">
        <v>6.2633999999999999</v>
      </c>
      <c r="Z1030" s="198">
        <v>0.27496999999999999</v>
      </c>
      <c r="AB1030" s="1051">
        <v>43698</v>
      </c>
      <c r="AC1030" s="198">
        <v>11.4076</v>
      </c>
      <c r="AD1030" s="1053">
        <v>1.2611000000000001</v>
      </c>
      <c r="AE1030" s="198">
        <v>7.1070000000000002</v>
      </c>
      <c r="AF1030" s="198">
        <v>2.7060000000000001E-2</v>
      </c>
      <c r="AH1030" s="1051">
        <v>43698</v>
      </c>
      <c r="AI1030" s="198">
        <v>9.6615000000000002</v>
      </c>
      <c r="AJ1030" s="198">
        <v>1.6578999999999999</v>
      </c>
      <c r="AK1030" s="198">
        <v>5.6976000000000004</v>
      </c>
      <c r="AL1030" s="198">
        <v>1.8159999999999999E-2</v>
      </c>
      <c r="AN1030" s="1051">
        <v>43704</v>
      </c>
      <c r="AO1030" s="198">
        <v>6.7560000000000002</v>
      </c>
      <c r="AP1030" s="198">
        <v>0.61209999999999998</v>
      </c>
      <c r="AQ1030" s="198">
        <v>4.7704000000000004</v>
      </c>
      <c r="AR1030" s="198">
        <v>0.12288</v>
      </c>
      <c r="AT1030" s="1051">
        <v>43626</v>
      </c>
      <c r="AU1030" s="198">
        <v>7.8131000000000004</v>
      </c>
      <c r="AV1030" s="198">
        <v>0.50490000000000002</v>
      </c>
      <c r="AW1030" s="198">
        <v>5.7816000000000001</v>
      </c>
      <c r="BA1030" s="1051">
        <v>43686</v>
      </c>
      <c r="BB1030" s="198">
        <v>6.6075999999999997</v>
      </c>
      <c r="BC1030" s="198">
        <v>1.4101999999999999</v>
      </c>
      <c r="BD1030" s="198">
        <v>7.1368999999999998</v>
      </c>
      <c r="BE1030" s="198">
        <v>0.28894999999999998</v>
      </c>
      <c r="BG1030" s="1051">
        <v>43686</v>
      </c>
      <c r="BH1030" s="198">
        <v>12.3643</v>
      </c>
      <c r="BI1030" s="198">
        <v>2.6977000000000002</v>
      </c>
      <c r="BJ1030" s="198">
        <v>17.260899999999999</v>
      </c>
      <c r="BT1030" s="1051">
        <v>43735</v>
      </c>
      <c r="BU1030" s="198">
        <v>16.216000000000001</v>
      </c>
      <c r="BV1030" s="198">
        <v>5.4371999999999998</v>
      </c>
      <c r="BW1030" s="198">
        <v>9.8867999999999991</v>
      </c>
      <c r="BX1030" s="198">
        <v>1.8028999999999999</v>
      </c>
      <c r="BZ1030" s="1051">
        <v>43735</v>
      </c>
      <c r="CA1030" s="198">
        <v>9.9183000000000003</v>
      </c>
      <c r="CB1030" s="198">
        <v>2.9397000000000002</v>
      </c>
      <c r="CC1030" s="198">
        <v>9.9990000000000006</v>
      </c>
      <c r="CD1030" s="198">
        <v>1.1367400000000001</v>
      </c>
      <c r="CF1030" s="1051">
        <v>43734</v>
      </c>
      <c r="CG1030" s="198">
        <v>6.3007999999999997</v>
      </c>
      <c r="CH1030" s="198">
        <v>1.1494</v>
      </c>
      <c r="CI1030" s="198">
        <v>10.3522</v>
      </c>
      <c r="CL1030" s="1051">
        <v>43756</v>
      </c>
      <c r="CM1030" s="198">
        <v>13.3119</v>
      </c>
      <c r="CN1030" s="198">
        <v>1.8145</v>
      </c>
      <c r="CO1030" s="198">
        <v>9.5787999999999993</v>
      </c>
    </row>
    <row r="1031" spans="1:93" s="198" customFormat="1">
      <c r="A1031" s="1051">
        <v>43734</v>
      </c>
      <c r="B1031" s="1052">
        <f t="shared" si="162"/>
        <v>8.0816999999999997</v>
      </c>
      <c r="C1031" s="1052">
        <f t="shared" ref="C1031:C1094" si="164">IF(W1031=0,W1030,W1031)</f>
        <v>5.9752999999999998</v>
      </c>
      <c r="D1031" s="1052">
        <f t="shared" si="158"/>
        <v>10.3786</v>
      </c>
      <c r="E1031" s="1052">
        <f t="shared" si="159"/>
        <v>6.8910999999999998</v>
      </c>
      <c r="F1031" s="1052">
        <f t="shared" si="160"/>
        <v>10.624599999999999</v>
      </c>
      <c r="G1031" s="1052">
        <f t="shared" si="161"/>
        <v>6.7964000000000002</v>
      </c>
      <c r="H1031" s="1047">
        <f t="shared" ref="H1031:H1094" si="165">MEDIAN(C1031:G1031)</f>
        <v>6.8910999999999998</v>
      </c>
      <c r="I1031" s="1048">
        <f t="shared" si="163"/>
        <v>0.17277357751302413</v>
      </c>
      <c r="J1031" s="1048">
        <f t="shared" ref="J1031:J1094" si="166">$I$3</f>
        <v>0.12093838824177333</v>
      </c>
      <c r="K1031" s="1048">
        <f t="shared" si="157"/>
        <v>0.1</v>
      </c>
      <c r="L1031" s="1048"/>
      <c r="N1031" s="1051">
        <v>43734</v>
      </c>
      <c r="O1031" s="1053">
        <v>8.0816999999999997</v>
      </c>
      <c r="P1031" s="1053">
        <v>1.2732000000000001</v>
      </c>
      <c r="Q1031" s="1053">
        <v>11.4587</v>
      </c>
      <c r="R1031" s="1054">
        <f>'B. PE'!$U$23</f>
        <v>15.978235616082999</v>
      </c>
      <c r="S1031" s="1054"/>
      <c r="T1031" s="1054"/>
      <c r="V1031" s="1051">
        <v>43734</v>
      </c>
      <c r="W1031" s="198">
        <v>5.9752999999999998</v>
      </c>
      <c r="X1031" s="198">
        <v>0.44519999999999998</v>
      </c>
      <c r="Y1031" s="198">
        <v>6.2603999999999997</v>
      </c>
      <c r="Z1031" s="198">
        <v>0.27495000000000003</v>
      </c>
      <c r="AB1031" s="1051">
        <v>43697</v>
      </c>
      <c r="AC1031" s="198">
        <v>11.6563</v>
      </c>
      <c r="AD1031" s="1053">
        <v>1.2886</v>
      </c>
      <c r="AE1031" s="198">
        <v>7.2112999999999996</v>
      </c>
      <c r="AF1031" s="198">
        <v>2.8150000000000001E-2</v>
      </c>
      <c r="AH1031" s="1051">
        <v>43697</v>
      </c>
      <c r="AI1031" s="198">
        <v>9.7370000000000001</v>
      </c>
      <c r="AJ1031" s="198">
        <v>1.6709000000000001</v>
      </c>
      <c r="AK1031" s="198">
        <v>5.7366000000000001</v>
      </c>
      <c r="AL1031" s="198">
        <v>1.823E-2</v>
      </c>
      <c r="AN1031" s="1051">
        <v>43703</v>
      </c>
      <c r="AO1031" s="198">
        <v>6.8235000000000001</v>
      </c>
      <c r="AP1031" s="198">
        <v>0.61819999999999997</v>
      </c>
      <c r="AQ1031" s="198">
        <v>4.8231000000000002</v>
      </c>
      <c r="AR1031" s="198">
        <v>0.12421</v>
      </c>
      <c r="AT1031" s="1051">
        <v>43623</v>
      </c>
      <c r="AU1031" s="198">
        <v>7.7317</v>
      </c>
      <c r="AV1031" s="198">
        <v>0.49959999999999999</v>
      </c>
      <c r="AW1031" s="198">
        <v>5.7396000000000003</v>
      </c>
      <c r="AX1031" s="198">
        <v>0.11501</v>
      </c>
      <c r="BA1031" s="1051">
        <v>43685</v>
      </c>
      <c r="BB1031" s="198">
        <v>6.6830999999999996</v>
      </c>
      <c r="BC1031" s="198">
        <v>1.4262999999999999</v>
      </c>
      <c r="BD1031" s="198">
        <v>7.1898999999999997</v>
      </c>
      <c r="BE1031" s="198">
        <v>0.28963</v>
      </c>
      <c r="BG1031" s="1051">
        <v>43685</v>
      </c>
      <c r="BH1031" s="198">
        <v>12.1157</v>
      </c>
      <c r="BI1031" s="198">
        <v>2.6435</v>
      </c>
      <c r="BJ1031" s="198">
        <v>17.038</v>
      </c>
      <c r="BT1031" s="1051">
        <v>43734</v>
      </c>
      <c r="BU1031" s="198">
        <v>15.9626</v>
      </c>
      <c r="BV1031" s="198">
        <v>5.3522999999999996</v>
      </c>
      <c r="BW1031" s="198">
        <v>9.7344000000000008</v>
      </c>
      <c r="BX1031" s="198">
        <v>1.7524</v>
      </c>
      <c r="BZ1031" s="1051">
        <v>43734</v>
      </c>
      <c r="CA1031" s="198">
        <v>9.8318999999999992</v>
      </c>
      <c r="CB1031" s="198">
        <v>2.9140999999999999</v>
      </c>
      <c r="CC1031" s="198">
        <v>9.9344999999999999</v>
      </c>
      <c r="CD1031" s="198">
        <v>1.17411</v>
      </c>
      <c r="CF1031" s="1051">
        <v>43733</v>
      </c>
      <c r="CG1031" s="198">
        <v>5.7507000000000001</v>
      </c>
      <c r="CH1031" s="198">
        <v>1.0490999999999999</v>
      </c>
      <c r="CI1031" s="198">
        <v>10.050000000000001</v>
      </c>
      <c r="CL1031" s="1051">
        <v>43755</v>
      </c>
      <c r="CM1031" s="198">
        <v>13.455500000000001</v>
      </c>
      <c r="CN1031" s="198">
        <v>1.8341000000000001</v>
      </c>
      <c r="CO1031" s="198">
        <v>9.6791</v>
      </c>
    </row>
    <row r="1032" spans="1:93" s="198" customFormat="1">
      <c r="A1032" s="1051">
        <v>43733</v>
      </c>
      <c r="B1032" s="1052">
        <f t="shared" si="162"/>
        <v>7.9705000000000004</v>
      </c>
      <c r="C1032" s="1052">
        <f t="shared" si="164"/>
        <v>5.9752999999999998</v>
      </c>
      <c r="D1032" s="1052">
        <f t="shared" si="158"/>
        <v>10.3786</v>
      </c>
      <c r="E1032" s="1052">
        <f t="shared" si="159"/>
        <v>6.8910999999999998</v>
      </c>
      <c r="F1032" s="1052">
        <f t="shared" si="160"/>
        <v>10.500299999999999</v>
      </c>
      <c r="G1032" s="1052">
        <f t="shared" si="161"/>
        <v>6.7209000000000003</v>
      </c>
      <c r="H1032" s="1047">
        <f t="shared" si="165"/>
        <v>6.8910999999999998</v>
      </c>
      <c r="I1032" s="1048">
        <f t="shared" si="163"/>
        <v>0.1566368214073226</v>
      </c>
      <c r="J1032" s="1048">
        <f t="shared" si="166"/>
        <v>0.12093838824177333</v>
      </c>
      <c r="K1032" s="1048">
        <f t="shared" ref="K1032:K1095" si="167">K1031</f>
        <v>0.1</v>
      </c>
      <c r="L1032" s="1048"/>
      <c r="N1032" s="1051">
        <v>43733</v>
      </c>
      <c r="O1032" s="1053">
        <v>7.9705000000000004</v>
      </c>
      <c r="P1032" s="1053">
        <v>1.2557</v>
      </c>
      <c r="Q1032" s="1053">
        <v>11.372199999999999</v>
      </c>
      <c r="R1032" s="1054">
        <f>'B. PE'!$U$23</f>
        <v>15.978235616082999</v>
      </c>
      <c r="S1032" s="1054"/>
      <c r="T1032" s="1054"/>
      <c r="V1032" s="1051">
        <v>43733</v>
      </c>
      <c r="W1032" s="198">
        <v>5.9752999999999998</v>
      </c>
      <c r="X1032" s="198">
        <v>0.44519999999999998</v>
      </c>
      <c r="Y1032" s="198">
        <v>6.2603999999999997</v>
      </c>
      <c r="Z1032" s="198">
        <v>0.27389999999999998</v>
      </c>
      <c r="AB1032" s="1051">
        <v>43696</v>
      </c>
      <c r="AC1032" s="198">
        <v>11.998200000000001</v>
      </c>
      <c r="AD1032" s="1053">
        <v>1.3264</v>
      </c>
      <c r="AE1032" s="198">
        <v>7.3547000000000002</v>
      </c>
      <c r="AF1032" s="198">
        <v>2.9909999999999999E-2</v>
      </c>
      <c r="AH1032" s="1051">
        <v>43696</v>
      </c>
      <c r="AI1032" s="198">
        <v>9.7746999999999993</v>
      </c>
      <c r="AJ1032" s="198">
        <v>1.6773</v>
      </c>
      <c r="AK1032" s="198">
        <v>5.7561</v>
      </c>
      <c r="AL1032" s="198">
        <v>1.7899999999999999E-2</v>
      </c>
      <c r="AN1032" s="1051">
        <v>43700</v>
      </c>
      <c r="AO1032" s="198">
        <v>6.9587000000000003</v>
      </c>
      <c r="AP1032" s="198">
        <v>0.63039999999999996</v>
      </c>
      <c r="AQ1032" s="198">
        <v>4.9283999999999999</v>
      </c>
      <c r="AR1032" s="198">
        <v>0.12335</v>
      </c>
      <c r="AT1032" s="1051">
        <v>43620</v>
      </c>
      <c r="AW1032" s="198">
        <v>5.7816000000000001</v>
      </c>
      <c r="AX1032" s="198">
        <v>0.11479</v>
      </c>
      <c r="BA1032" s="1051">
        <v>43684</v>
      </c>
      <c r="BB1032" s="198">
        <v>6.7209000000000003</v>
      </c>
      <c r="BC1032" s="198">
        <v>1.4343999999999999</v>
      </c>
      <c r="BD1032" s="198">
        <v>7.2163000000000004</v>
      </c>
      <c r="BE1032" s="198">
        <v>0.28563</v>
      </c>
      <c r="BG1032" s="1051">
        <v>43684</v>
      </c>
      <c r="BH1032" s="198">
        <v>11.8672</v>
      </c>
      <c r="BI1032" s="198">
        <v>2.5893000000000002</v>
      </c>
      <c r="BJ1032" s="198">
        <v>16.815000000000001</v>
      </c>
      <c r="BT1032" s="1051">
        <v>43733</v>
      </c>
      <c r="BU1032" s="198">
        <v>15.8993</v>
      </c>
      <c r="BV1032" s="198">
        <v>5.3310000000000004</v>
      </c>
      <c r="BW1032" s="198">
        <v>9.6963000000000008</v>
      </c>
      <c r="BX1032" s="198">
        <v>1.7814000000000001</v>
      </c>
      <c r="BZ1032" s="1051">
        <v>43733</v>
      </c>
      <c r="CA1032" s="198">
        <v>9.8318999999999992</v>
      </c>
      <c r="CB1032" s="198">
        <v>2.9140999999999999</v>
      </c>
      <c r="CC1032" s="198">
        <v>9.9344999999999999</v>
      </c>
      <c r="CD1032" s="198">
        <v>1.16177</v>
      </c>
      <c r="CF1032" s="1051">
        <v>43732</v>
      </c>
      <c r="CG1032" s="198">
        <v>6.2507999999999999</v>
      </c>
      <c r="CH1032" s="198">
        <v>1.1403000000000001</v>
      </c>
      <c r="CI1032" s="198">
        <v>10.3248</v>
      </c>
      <c r="CL1032" s="1051">
        <v>43754</v>
      </c>
      <c r="CM1032" s="198">
        <v>13.495799999999999</v>
      </c>
      <c r="CN1032" s="198">
        <v>1.8395999999999999</v>
      </c>
      <c r="CO1032" s="198">
        <v>9.7072000000000003</v>
      </c>
    </row>
    <row r="1033" spans="1:93" s="198" customFormat="1">
      <c r="A1033" s="1051">
        <v>43732</v>
      </c>
      <c r="B1033" s="1052">
        <f t="shared" si="162"/>
        <v>7.7958999999999996</v>
      </c>
      <c r="C1033" s="1052">
        <f t="shared" si="164"/>
        <v>5.9752999999999998</v>
      </c>
      <c r="D1033" s="1052">
        <f t="shared" si="158"/>
        <v>10.3786</v>
      </c>
      <c r="E1033" s="1052">
        <f t="shared" si="159"/>
        <v>6.8910999999999998</v>
      </c>
      <c r="F1033" s="1052">
        <f t="shared" si="160"/>
        <v>10.375999999999999</v>
      </c>
      <c r="G1033" s="1052">
        <f t="shared" si="161"/>
        <v>6.7586000000000004</v>
      </c>
      <c r="H1033" s="1047">
        <f t="shared" si="165"/>
        <v>6.8910999999999998</v>
      </c>
      <c r="I1033" s="1048">
        <f t="shared" si="163"/>
        <v>0.13129979248596002</v>
      </c>
      <c r="J1033" s="1048">
        <f t="shared" si="166"/>
        <v>0.12093838824177333</v>
      </c>
      <c r="K1033" s="1048">
        <f t="shared" si="167"/>
        <v>0.1</v>
      </c>
      <c r="L1033" s="1048"/>
      <c r="N1033" s="1051">
        <v>43732</v>
      </c>
      <c r="O1033" s="1053">
        <v>7.7958999999999996</v>
      </c>
      <c r="P1033" s="1053">
        <v>1.2282</v>
      </c>
      <c r="Q1033" s="1053">
        <v>11.2364</v>
      </c>
      <c r="R1033" s="1054">
        <f>'B. PE'!$U$23</f>
        <v>15.978235616082999</v>
      </c>
      <c r="S1033" s="1054"/>
      <c r="T1033" s="1054"/>
      <c r="V1033" s="1051">
        <v>43732</v>
      </c>
      <c r="W1033" s="198">
        <v>5.9752999999999998</v>
      </c>
      <c r="X1033" s="198">
        <v>0.44519999999999998</v>
      </c>
      <c r="Y1033" s="198">
        <v>6.2603999999999997</v>
      </c>
      <c r="Z1033" s="198">
        <v>0.27423999999999998</v>
      </c>
      <c r="AB1033" s="1051">
        <v>43693</v>
      </c>
      <c r="AC1033" s="198">
        <v>12.433400000000001</v>
      </c>
      <c r="AD1033" s="1053">
        <v>1.3745000000000001</v>
      </c>
      <c r="AE1033" s="198">
        <v>7.5373000000000001</v>
      </c>
      <c r="AF1033" s="198">
        <v>3.0159999999999999E-2</v>
      </c>
      <c r="AH1033" s="1051">
        <v>43693</v>
      </c>
      <c r="AI1033" s="198">
        <v>9.7746999999999993</v>
      </c>
      <c r="AJ1033" s="198">
        <v>1.6773</v>
      </c>
      <c r="AK1033" s="198">
        <v>5.7561</v>
      </c>
      <c r="AL1033" s="198">
        <v>1.822E-2</v>
      </c>
      <c r="AN1033" s="1051">
        <v>43699</v>
      </c>
      <c r="AO1033" s="198">
        <v>7.0262000000000002</v>
      </c>
      <c r="AP1033" s="198">
        <v>0.63649999999999995</v>
      </c>
      <c r="AQ1033" s="198">
        <v>4.9809999999999999</v>
      </c>
      <c r="AR1033" s="198">
        <v>0.12318999999999999</v>
      </c>
      <c r="AT1033" s="1051">
        <v>43619</v>
      </c>
      <c r="AU1033" s="198">
        <v>7.8131000000000004</v>
      </c>
      <c r="AV1033" s="198">
        <v>0.50490000000000002</v>
      </c>
      <c r="AW1033" s="198">
        <v>5.7858999999999998</v>
      </c>
      <c r="AX1033" s="198">
        <v>0.11465</v>
      </c>
      <c r="BA1033" s="1051">
        <v>43683</v>
      </c>
      <c r="BB1033" s="198">
        <v>6.7209000000000003</v>
      </c>
      <c r="BC1033" s="198">
        <v>1.4343999999999999</v>
      </c>
      <c r="BD1033" s="198">
        <v>7.2163000000000004</v>
      </c>
      <c r="BE1033" s="198">
        <v>0.29468</v>
      </c>
      <c r="BG1033" s="1051">
        <v>43683</v>
      </c>
      <c r="BH1033" s="198">
        <v>11.8672</v>
      </c>
      <c r="BI1033" s="198">
        <v>2.5893000000000002</v>
      </c>
      <c r="BJ1033" s="198">
        <v>16.815000000000001</v>
      </c>
      <c r="BT1033" s="1051">
        <v>43732</v>
      </c>
      <c r="BU1033" s="198">
        <v>15.4559</v>
      </c>
      <c r="BV1033" s="198">
        <v>5.1824000000000003</v>
      </c>
      <c r="BW1033" s="198">
        <v>9.4297000000000004</v>
      </c>
      <c r="BX1033" s="198">
        <v>1.8170999999999999</v>
      </c>
      <c r="BZ1033" s="1051">
        <v>43732</v>
      </c>
      <c r="CA1033" s="198">
        <v>10.156000000000001</v>
      </c>
      <c r="CB1033" s="198">
        <v>3.0102000000000002</v>
      </c>
      <c r="CC1033" s="198">
        <v>10.176500000000001</v>
      </c>
      <c r="CD1033" s="198">
        <v>1.18415</v>
      </c>
      <c r="CF1033" s="1051">
        <v>43731</v>
      </c>
      <c r="CI1033" s="198">
        <v>10.434699999999999</v>
      </c>
      <c r="CL1033" s="1051">
        <v>43753</v>
      </c>
      <c r="CM1033" s="198">
        <v>13.513</v>
      </c>
      <c r="CN1033" s="198">
        <v>1.8419000000000001</v>
      </c>
      <c r="CO1033" s="198">
        <v>9.7193000000000005</v>
      </c>
    </row>
    <row r="1034" spans="1:93" s="198" customFormat="1">
      <c r="A1034" s="1051">
        <v>43731</v>
      </c>
      <c r="B1034" s="1052">
        <f t="shared" si="162"/>
        <v>7.8593999999999999</v>
      </c>
      <c r="C1034" s="1052">
        <f t="shared" si="164"/>
        <v>5.9516999999999998</v>
      </c>
      <c r="D1034" s="1052">
        <f t="shared" ref="D1034:D1097" si="168">IFERROR(          IF(VLOOKUP(A1034,$AH$5:$AI$1301,2,)=0,D1033,VLOOKUP(A1034,$AH$5:$AI$1301,2,)),D1033)</f>
        <v>10.3786</v>
      </c>
      <c r="E1034" s="1052">
        <f t="shared" ref="E1034:E1097" si="169">IFERROR(IF(VLOOKUP(A1034,$AN$5:$AO$1301,2,)=0, E1033, VLOOKUP(A1034,$AN$5:$AO$1301,2,)),E1033)</f>
        <v>6.8910999999999998</v>
      </c>
      <c r="F1034" s="1052">
        <f t="shared" ref="F1034:F1097" si="170">IFERROR(IF(VLOOKUP(A1034,$BG$5:$BH$1301,2,)=0,F1033,VLOOKUP(A1034,$BG$5:$BH$1301,2,)),F1033)</f>
        <v>10.375999999999999</v>
      </c>
      <c r="G1034" s="1052">
        <f t="shared" ref="G1034:G1097" si="171">IFERROR(IF(VLOOKUP(A1034,$BA$5:$BB$1301,2,)=0,G1033,VLOOKUP(A1034,$BA$5:$BB$1301,2,)),G1033)</f>
        <v>6.7586000000000004</v>
      </c>
      <c r="H1034" s="1047">
        <f t="shared" si="165"/>
        <v>6.8910999999999998</v>
      </c>
      <c r="I1034" s="1048">
        <f t="shared" si="163"/>
        <v>0.14051457677293899</v>
      </c>
      <c r="J1034" s="1048">
        <f t="shared" si="166"/>
        <v>0.12093838824177333</v>
      </c>
      <c r="K1034" s="1048">
        <f t="shared" si="167"/>
        <v>0.1</v>
      </c>
      <c r="L1034" s="1048"/>
      <c r="N1034" s="1051">
        <v>43731</v>
      </c>
      <c r="O1034" s="1053">
        <v>7.8593999999999999</v>
      </c>
      <c r="P1034" s="1053">
        <v>1.2382</v>
      </c>
      <c r="Q1034" s="1053">
        <v>11.2858</v>
      </c>
      <c r="R1034" s="1054">
        <f>'B. PE'!$U$23</f>
        <v>15.978235616082999</v>
      </c>
      <c r="S1034" s="1054"/>
      <c r="T1034" s="1054"/>
      <c r="V1034" s="1051">
        <v>43731</v>
      </c>
      <c r="W1034" s="198">
        <v>5.9516999999999998</v>
      </c>
      <c r="X1034" s="198">
        <v>0.44340000000000002</v>
      </c>
      <c r="Y1034" s="198">
        <v>6.2512999999999996</v>
      </c>
      <c r="Z1034" s="198">
        <v>0.27489000000000002</v>
      </c>
      <c r="AB1034" s="1051">
        <v>43692</v>
      </c>
      <c r="AC1034" s="198">
        <v>13.2416</v>
      </c>
      <c r="AD1034" s="1053">
        <v>1.4638</v>
      </c>
      <c r="AE1034" s="198">
        <v>7.8762999999999996</v>
      </c>
      <c r="AF1034" s="198">
        <v>3.075E-2</v>
      </c>
      <c r="AH1034" s="1051">
        <v>43692</v>
      </c>
      <c r="AI1034" s="198">
        <v>9.6237999999999992</v>
      </c>
      <c r="AJ1034" s="198">
        <v>1.6514</v>
      </c>
      <c r="AK1034" s="198">
        <v>5.6780999999999997</v>
      </c>
      <c r="AL1034" s="198">
        <v>1.806E-2</v>
      </c>
      <c r="AN1034" s="1051">
        <v>43698</v>
      </c>
      <c r="AO1034" s="198">
        <v>6.9587000000000003</v>
      </c>
      <c r="AP1034" s="198">
        <v>0.63039999999999996</v>
      </c>
      <c r="AQ1034" s="198">
        <v>4.9283999999999999</v>
      </c>
      <c r="AR1034" s="198">
        <v>0.12459000000000001</v>
      </c>
      <c r="AT1034" s="1051">
        <v>43616</v>
      </c>
      <c r="AU1034" s="198">
        <v>7.8131000000000004</v>
      </c>
      <c r="AV1034" s="198">
        <v>0.50490000000000002</v>
      </c>
      <c r="AW1034" s="198">
        <v>5.7887000000000004</v>
      </c>
      <c r="AX1034" s="198">
        <v>0.11423999999999999</v>
      </c>
      <c r="BA1034" s="1051">
        <v>43682</v>
      </c>
      <c r="BB1034" s="198">
        <v>6.6454000000000004</v>
      </c>
      <c r="BC1034" s="198">
        <v>1.4182999999999999</v>
      </c>
      <c r="BD1034" s="198">
        <v>7.1634000000000002</v>
      </c>
      <c r="BE1034" s="198">
        <v>0.29209000000000002</v>
      </c>
      <c r="BG1034" s="1051">
        <v>43682</v>
      </c>
      <c r="BH1034" s="198">
        <v>11.9915</v>
      </c>
      <c r="BI1034" s="198">
        <v>2.6164000000000001</v>
      </c>
      <c r="BJ1034" s="198">
        <v>16.926500000000001</v>
      </c>
      <c r="BT1034" s="1051">
        <v>43731</v>
      </c>
      <c r="BU1034" s="198">
        <v>15.709300000000001</v>
      </c>
      <c r="BV1034" s="198">
        <v>5.2672999999999996</v>
      </c>
      <c r="BW1034" s="198">
        <v>9.5821000000000005</v>
      </c>
      <c r="BX1034" s="198">
        <v>1.798</v>
      </c>
      <c r="BZ1034" s="1051">
        <v>43731</v>
      </c>
      <c r="CA1034" s="198">
        <v>10.048</v>
      </c>
      <c r="CB1034" s="198">
        <v>2.9782000000000002</v>
      </c>
      <c r="CC1034" s="198">
        <v>10.095800000000001</v>
      </c>
      <c r="CD1034" s="198">
        <v>1.1726099999999999</v>
      </c>
      <c r="CF1034" s="1051">
        <v>43728</v>
      </c>
      <c r="CI1034" s="198">
        <v>10.434699999999999</v>
      </c>
      <c r="CL1034" s="1051">
        <v>43752</v>
      </c>
      <c r="CM1034" s="198">
        <v>13.513</v>
      </c>
      <c r="CN1034" s="198">
        <v>1.8419000000000001</v>
      </c>
      <c r="CO1034" s="198">
        <v>9.7193000000000005</v>
      </c>
    </row>
    <row r="1035" spans="1:93" s="198" customFormat="1">
      <c r="A1035" s="1051">
        <v>43728</v>
      </c>
      <c r="B1035" s="1052">
        <f t="shared" si="162"/>
        <v>7.8117000000000001</v>
      </c>
      <c r="C1035" s="1052">
        <f t="shared" si="164"/>
        <v>5.9596</v>
      </c>
      <c r="D1035" s="1052">
        <f t="shared" si="168"/>
        <v>9.8879000000000001</v>
      </c>
      <c r="E1035" s="1052">
        <f t="shared" si="169"/>
        <v>6.8910999999999998</v>
      </c>
      <c r="F1035" s="1052">
        <f t="shared" si="170"/>
        <v>10.873100000000001</v>
      </c>
      <c r="G1035" s="1052">
        <f t="shared" si="171"/>
        <v>6.7964000000000002</v>
      </c>
      <c r="H1035" s="1047">
        <f t="shared" si="165"/>
        <v>6.8910999999999998</v>
      </c>
      <c r="I1035" s="1048">
        <f t="shared" si="163"/>
        <v>0.13359260495421643</v>
      </c>
      <c r="J1035" s="1048">
        <f t="shared" si="166"/>
        <v>0.12093838824177333</v>
      </c>
      <c r="K1035" s="1048">
        <f t="shared" si="167"/>
        <v>0.1</v>
      </c>
      <c r="L1035" s="1048"/>
      <c r="N1035" s="1051">
        <v>43728</v>
      </c>
      <c r="O1035" s="1053">
        <v>7.8117000000000001</v>
      </c>
      <c r="P1035" s="1053">
        <v>1.2306999999999999</v>
      </c>
      <c r="Q1035" s="1053">
        <v>11.248699999999999</v>
      </c>
      <c r="R1035" s="1054">
        <f>'B. PE'!$U$23</f>
        <v>15.978235616082999</v>
      </c>
      <c r="S1035" s="1054"/>
      <c r="T1035" s="1054"/>
      <c r="V1035" s="1051">
        <v>43728</v>
      </c>
      <c r="W1035" s="198">
        <v>5.9596</v>
      </c>
      <c r="X1035" s="198">
        <v>0.44400000000000001</v>
      </c>
      <c r="Y1035" s="198">
        <v>6.2542999999999997</v>
      </c>
      <c r="Z1035" s="198">
        <v>0.27451999999999999</v>
      </c>
      <c r="AB1035" s="1051">
        <v>43691</v>
      </c>
      <c r="AC1035" s="198">
        <v>13.428100000000001</v>
      </c>
      <c r="AD1035" s="1053">
        <v>1.4844999999999999</v>
      </c>
      <c r="AE1035" s="198">
        <v>7.9545000000000003</v>
      </c>
      <c r="AF1035" s="198">
        <v>2.911E-2</v>
      </c>
      <c r="AH1035" s="1051">
        <v>43691</v>
      </c>
      <c r="AI1035" s="198">
        <v>9.8501999999999992</v>
      </c>
      <c r="AJ1035" s="198">
        <v>1.6902999999999999</v>
      </c>
      <c r="AK1035" s="198">
        <v>5.7950999999999997</v>
      </c>
      <c r="AL1035" s="198">
        <v>1.7989999999999999E-2</v>
      </c>
      <c r="AN1035" s="1051">
        <v>43697</v>
      </c>
      <c r="AO1035" s="198">
        <v>6.9587000000000003</v>
      </c>
      <c r="AP1035" s="198">
        <v>0.63039999999999996</v>
      </c>
      <c r="AQ1035" s="198">
        <v>4.9283999999999999</v>
      </c>
      <c r="AR1035" s="198">
        <v>0.12452000000000001</v>
      </c>
      <c r="AT1035" s="1051">
        <v>43615</v>
      </c>
      <c r="AU1035" s="198">
        <v>7.8131000000000004</v>
      </c>
      <c r="AV1035" s="198">
        <v>0.50490000000000002</v>
      </c>
      <c r="AW1035" s="198">
        <v>5.7929000000000004</v>
      </c>
      <c r="AX1035" s="198">
        <v>0.11466999999999999</v>
      </c>
      <c r="BA1035" s="1051">
        <v>43679</v>
      </c>
      <c r="BB1035" s="198">
        <v>6.8341000000000003</v>
      </c>
      <c r="BC1035" s="198">
        <v>1.4585999999999999</v>
      </c>
      <c r="BD1035" s="198">
        <v>7.2957999999999998</v>
      </c>
      <c r="BE1035" s="198">
        <v>0.29265000000000002</v>
      </c>
      <c r="BG1035" s="1051">
        <v>43679</v>
      </c>
      <c r="BH1035" s="198">
        <v>12.24</v>
      </c>
      <c r="BI1035" s="198">
        <v>2.6705999999999999</v>
      </c>
      <c r="BJ1035" s="198">
        <v>17.1495</v>
      </c>
      <c r="BT1035" s="1051">
        <v>43728</v>
      </c>
      <c r="BU1035" s="198">
        <v>16.026</v>
      </c>
      <c r="BV1035" s="198">
        <v>5.3734999999999999</v>
      </c>
      <c r="BW1035" s="198">
        <v>9.7725000000000009</v>
      </c>
      <c r="BX1035" s="198">
        <v>1.752</v>
      </c>
      <c r="BZ1035" s="1051">
        <v>43728</v>
      </c>
      <c r="CA1035" s="198">
        <v>10.2424</v>
      </c>
      <c r="CB1035" s="198">
        <v>3.0358000000000001</v>
      </c>
      <c r="CC1035" s="198">
        <v>10.241</v>
      </c>
      <c r="CD1035" s="198">
        <v>1.17381</v>
      </c>
      <c r="CF1035" s="1051">
        <v>43727</v>
      </c>
      <c r="CI1035" s="198">
        <v>10.434699999999999</v>
      </c>
      <c r="CL1035" s="1051">
        <v>43749</v>
      </c>
      <c r="CM1035" s="198">
        <v>13.6739</v>
      </c>
      <c r="CN1035" s="198">
        <v>1.8638999999999999</v>
      </c>
      <c r="CO1035" s="198">
        <v>9.8316999999999997</v>
      </c>
    </row>
    <row r="1036" spans="1:93" s="198" customFormat="1">
      <c r="A1036" s="1051">
        <v>43727</v>
      </c>
      <c r="B1036" s="1052">
        <f t="shared" si="162"/>
        <v>7.6212</v>
      </c>
      <c r="C1036" s="1052">
        <f t="shared" si="164"/>
        <v>5.9752999999999998</v>
      </c>
      <c r="D1036" s="1052">
        <f t="shared" si="168"/>
        <v>9.5105000000000004</v>
      </c>
      <c r="E1036" s="1052">
        <f t="shared" si="169"/>
        <v>6.8910999999999998</v>
      </c>
      <c r="F1036" s="1052">
        <f t="shared" si="170"/>
        <v>11.121600000000001</v>
      </c>
      <c r="G1036" s="1052">
        <f t="shared" si="171"/>
        <v>6.7586000000000004</v>
      </c>
      <c r="H1036" s="1047">
        <f t="shared" si="165"/>
        <v>6.8910999999999998</v>
      </c>
      <c r="I1036" s="1048">
        <f t="shared" si="163"/>
        <v>0.10594825209327974</v>
      </c>
      <c r="J1036" s="1048">
        <f t="shared" si="166"/>
        <v>0.12093838824177333</v>
      </c>
      <c r="K1036" s="1048">
        <f t="shared" si="167"/>
        <v>0.1</v>
      </c>
      <c r="L1036" s="1048"/>
      <c r="N1036" s="1051">
        <v>43727</v>
      </c>
      <c r="O1036" s="1053">
        <v>7.6212</v>
      </c>
      <c r="P1036" s="1053">
        <v>1.2007000000000001</v>
      </c>
      <c r="Q1036" s="1053">
        <v>11.1006</v>
      </c>
      <c r="R1036" s="1054">
        <f>'B. PE'!$U$23</f>
        <v>15.978235616082999</v>
      </c>
      <c r="S1036" s="1054"/>
      <c r="T1036" s="1054"/>
      <c r="V1036" s="1051">
        <v>43727</v>
      </c>
      <c r="W1036" s="198">
        <v>5.9752999999999998</v>
      </c>
      <c r="X1036" s="198">
        <v>0.44519999999999998</v>
      </c>
      <c r="Y1036" s="198">
        <v>6.2603999999999997</v>
      </c>
      <c r="Z1036" s="198">
        <v>0.2747</v>
      </c>
      <c r="AB1036" s="1051">
        <v>43690</v>
      </c>
      <c r="AC1036" s="198">
        <v>13.5524</v>
      </c>
      <c r="AD1036" s="1053">
        <v>1.4982</v>
      </c>
      <c r="AE1036" s="198">
        <v>8.0067000000000004</v>
      </c>
      <c r="AF1036" s="198">
        <v>2.6880000000000001E-2</v>
      </c>
      <c r="AH1036" s="1051">
        <v>43690</v>
      </c>
      <c r="AI1036" s="198">
        <v>9.6615000000000002</v>
      </c>
      <c r="AJ1036" s="198">
        <v>1.6578999999999999</v>
      </c>
      <c r="AK1036" s="198">
        <v>5.6976000000000004</v>
      </c>
      <c r="AL1036" s="198">
        <v>1.8030000000000001E-2</v>
      </c>
      <c r="AN1036" s="1051">
        <v>43696</v>
      </c>
      <c r="AO1036" s="198">
        <v>7.0262000000000002</v>
      </c>
      <c r="AP1036" s="198">
        <v>0.63649999999999995</v>
      </c>
      <c r="AQ1036" s="198">
        <v>4.9809999999999999</v>
      </c>
      <c r="AR1036" s="198">
        <v>0.12285</v>
      </c>
      <c r="AT1036" s="1051">
        <v>43614</v>
      </c>
      <c r="AU1036" s="198">
        <v>7.8131000000000004</v>
      </c>
      <c r="AV1036" s="198">
        <v>0.50490000000000002</v>
      </c>
      <c r="AW1036" s="198">
        <v>5.7980999999999998</v>
      </c>
      <c r="AX1036" s="198">
        <v>0.11466999999999999</v>
      </c>
      <c r="BA1036" s="1051">
        <v>43678</v>
      </c>
      <c r="BB1036" s="198">
        <v>6.7964000000000002</v>
      </c>
      <c r="BC1036" s="198">
        <v>1.4504999999999999</v>
      </c>
      <c r="BD1036" s="198">
        <v>7.2693000000000003</v>
      </c>
      <c r="BE1036" s="198">
        <v>0.29386000000000001</v>
      </c>
      <c r="BG1036" s="1051">
        <v>43678</v>
      </c>
      <c r="BH1036" s="198">
        <v>12.1157</v>
      </c>
      <c r="BI1036" s="198">
        <v>2.6435</v>
      </c>
      <c r="BJ1036" s="198">
        <v>17.038</v>
      </c>
      <c r="BT1036" s="1051">
        <v>43727</v>
      </c>
      <c r="BU1036" s="198">
        <v>15.8613</v>
      </c>
      <c r="BV1036" s="198">
        <v>5.3182999999999998</v>
      </c>
      <c r="BW1036" s="198">
        <v>9.6735000000000007</v>
      </c>
      <c r="BX1036" s="198">
        <v>1.7708999999999999</v>
      </c>
      <c r="BZ1036" s="1051">
        <v>43727</v>
      </c>
      <c r="CA1036" s="198">
        <v>10.145200000000001</v>
      </c>
      <c r="CB1036" s="198">
        <v>3.0070000000000001</v>
      </c>
      <c r="CC1036" s="198">
        <v>10.1684</v>
      </c>
      <c r="CD1036" s="198">
        <v>1.17055</v>
      </c>
      <c r="CF1036" s="1051">
        <v>43726</v>
      </c>
      <c r="CI1036" s="198">
        <v>10.434699999999999</v>
      </c>
      <c r="CL1036" s="1051">
        <v>43748</v>
      </c>
      <c r="CM1036" s="198">
        <v>13.558999999999999</v>
      </c>
      <c r="CN1036" s="198">
        <v>1.8482000000000001</v>
      </c>
      <c r="CO1036" s="198">
        <v>9.7514000000000003</v>
      </c>
    </row>
    <row r="1037" spans="1:93" s="198" customFormat="1">
      <c r="A1037" s="1051">
        <v>43726</v>
      </c>
      <c r="B1037" s="1052">
        <f t="shared" si="162"/>
        <v>7.4942000000000002</v>
      </c>
      <c r="C1037" s="1052">
        <f t="shared" si="164"/>
        <v>5.9675000000000002</v>
      </c>
      <c r="D1037" s="1052">
        <f t="shared" si="168"/>
        <v>9.9634</v>
      </c>
      <c r="E1037" s="1052">
        <f t="shared" si="169"/>
        <v>6.8235000000000001</v>
      </c>
      <c r="F1037" s="1052">
        <f t="shared" si="170"/>
        <v>11.4323</v>
      </c>
      <c r="G1037" s="1052">
        <f t="shared" si="171"/>
        <v>6.7964000000000002</v>
      </c>
      <c r="H1037" s="1047">
        <f t="shared" si="165"/>
        <v>6.8235000000000001</v>
      </c>
      <c r="I1037" s="1048">
        <f t="shared" si="163"/>
        <v>9.8292665054590778E-2</v>
      </c>
      <c r="J1037" s="1048">
        <f t="shared" si="166"/>
        <v>0.12093838824177333</v>
      </c>
      <c r="K1037" s="1048">
        <f t="shared" si="167"/>
        <v>0.1</v>
      </c>
      <c r="L1037" s="1048"/>
      <c r="N1037" s="1051">
        <v>43726</v>
      </c>
      <c r="O1037" s="1053">
        <v>7.4942000000000002</v>
      </c>
      <c r="P1037" s="1053">
        <v>1.1807000000000001</v>
      </c>
      <c r="Q1037" s="1053">
        <v>11.001799999999999</v>
      </c>
      <c r="R1037" s="1054">
        <f>'B. PE'!$U$23</f>
        <v>15.978235616082999</v>
      </c>
      <c r="S1037" s="1054"/>
      <c r="T1037" s="1054"/>
      <c r="V1037" s="1051">
        <v>43726</v>
      </c>
      <c r="W1037" s="198">
        <v>5.9675000000000002</v>
      </c>
      <c r="X1037" s="198">
        <v>0.4446</v>
      </c>
      <c r="Y1037" s="198">
        <v>6.2573999999999996</v>
      </c>
      <c r="Z1037" s="198">
        <v>0.27733000000000002</v>
      </c>
      <c r="AB1037" s="1051">
        <v>43689</v>
      </c>
      <c r="AC1037" s="198">
        <v>12.9307</v>
      </c>
      <c r="AD1037" s="1053">
        <v>1.4295</v>
      </c>
      <c r="AE1037" s="198">
        <v>7.7458999999999998</v>
      </c>
      <c r="AF1037" s="198">
        <v>2.7119999999999998E-2</v>
      </c>
      <c r="AH1037" s="1051">
        <v>43689</v>
      </c>
      <c r="AI1037" s="198">
        <v>9.6991999999999994</v>
      </c>
      <c r="AJ1037" s="198">
        <v>1.6644000000000001</v>
      </c>
      <c r="AK1037" s="198">
        <v>5.7171000000000003</v>
      </c>
      <c r="AL1037" s="198">
        <v>1.8149999999999999E-2</v>
      </c>
      <c r="AN1037" s="1051">
        <v>43693</v>
      </c>
      <c r="AO1037" s="198">
        <v>7.0262000000000002</v>
      </c>
      <c r="AP1037" s="198">
        <v>0.63649999999999995</v>
      </c>
      <c r="AQ1037" s="198">
        <v>4.9809999999999999</v>
      </c>
      <c r="AR1037" s="198">
        <v>0.12515000000000001</v>
      </c>
      <c r="AT1037" s="1051">
        <v>43613</v>
      </c>
      <c r="AU1037" s="198">
        <v>7.8131000000000004</v>
      </c>
      <c r="AV1037" s="198">
        <v>0.50490000000000002</v>
      </c>
      <c r="AW1037" s="198">
        <v>5.8019999999999996</v>
      </c>
      <c r="AX1037" s="198">
        <v>0.11466</v>
      </c>
      <c r="BA1037" s="1051">
        <v>43677</v>
      </c>
      <c r="BB1037" s="198">
        <v>6.7964000000000002</v>
      </c>
      <c r="BC1037" s="198">
        <v>1.4504999999999999</v>
      </c>
      <c r="BD1037" s="198">
        <v>7.2693000000000003</v>
      </c>
      <c r="BE1037" s="198">
        <v>0.29802000000000001</v>
      </c>
      <c r="BG1037" s="1051">
        <v>43677</v>
      </c>
      <c r="BH1037" s="198">
        <v>12.302099999999999</v>
      </c>
      <c r="BI1037" s="198">
        <v>2.6842000000000001</v>
      </c>
      <c r="BJ1037" s="198">
        <v>17.205200000000001</v>
      </c>
      <c r="BT1037" s="1051">
        <v>43726</v>
      </c>
      <c r="BU1037" s="198">
        <v>15.4559</v>
      </c>
      <c r="BV1037" s="198">
        <v>5.1824000000000003</v>
      </c>
      <c r="BW1037" s="198">
        <v>9.4286999999999992</v>
      </c>
      <c r="BX1037" s="198">
        <v>1.7729999999999999</v>
      </c>
      <c r="BZ1037" s="1051">
        <v>43726</v>
      </c>
      <c r="CA1037" s="198">
        <v>10.156000000000001</v>
      </c>
      <c r="CB1037" s="198">
        <v>3.0102000000000002</v>
      </c>
      <c r="CC1037" s="198">
        <v>10.176500000000001</v>
      </c>
      <c r="CD1037" s="198">
        <v>1.18594</v>
      </c>
      <c r="CF1037" s="1051">
        <v>43725</v>
      </c>
      <c r="CG1037" s="198">
        <v>6.4508000000000001</v>
      </c>
      <c r="CH1037" s="198">
        <v>1.1768000000000001</v>
      </c>
      <c r="CI1037" s="198">
        <v>10.434699999999999</v>
      </c>
      <c r="CL1037" s="1051">
        <v>43747</v>
      </c>
      <c r="CM1037" s="198">
        <v>13.421099999999999</v>
      </c>
      <c r="CN1037" s="198">
        <v>1.8293999999999999</v>
      </c>
      <c r="CO1037" s="198">
        <v>9.6550999999999991</v>
      </c>
    </row>
    <row r="1038" spans="1:93" s="198" customFormat="1">
      <c r="A1038" s="1051">
        <v>43725</v>
      </c>
      <c r="B1038" s="1052">
        <f t="shared" si="162"/>
        <v>7.5418000000000003</v>
      </c>
      <c r="C1038" s="1052">
        <f t="shared" si="164"/>
        <v>5.9752999999999998</v>
      </c>
      <c r="D1038" s="1052">
        <f t="shared" si="168"/>
        <v>10.152100000000001</v>
      </c>
      <c r="E1038" s="1052">
        <f t="shared" si="169"/>
        <v>6.8910999999999998</v>
      </c>
      <c r="F1038" s="1052">
        <f t="shared" si="170"/>
        <v>11.6187</v>
      </c>
      <c r="G1038" s="1052">
        <f t="shared" si="171"/>
        <v>6.7586000000000004</v>
      </c>
      <c r="H1038" s="1047">
        <f t="shared" si="165"/>
        <v>6.8910999999999998</v>
      </c>
      <c r="I1038" s="1048">
        <f t="shared" si="163"/>
        <v>9.4426143866726653E-2</v>
      </c>
      <c r="J1038" s="1048">
        <f t="shared" si="166"/>
        <v>0.12093838824177333</v>
      </c>
      <c r="K1038" s="1048">
        <f t="shared" si="167"/>
        <v>0.1</v>
      </c>
      <c r="L1038" s="1048"/>
      <c r="N1038" s="1051">
        <v>43725</v>
      </c>
      <c r="O1038" s="1053">
        <v>7.5418000000000003</v>
      </c>
      <c r="P1038" s="1053">
        <v>1.1881999999999999</v>
      </c>
      <c r="Q1038" s="1053">
        <v>11.0388</v>
      </c>
      <c r="R1038" s="1054">
        <f>'B. PE'!$U$23</f>
        <v>15.978235616082999</v>
      </c>
      <c r="S1038" s="1054"/>
      <c r="T1038" s="1054"/>
      <c r="V1038" s="1051">
        <v>43725</v>
      </c>
      <c r="W1038" s="198">
        <v>5.9752999999999998</v>
      </c>
      <c r="X1038" s="198">
        <v>0.44519999999999998</v>
      </c>
      <c r="Y1038" s="198">
        <v>6.2603999999999997</v>
      </c>
      <c r="Z1038" s="198">
        <v>0.27593000000000001</v>
      </c>
      <c r="AB1038" s="1051">
        <v>43686</v>
      </c>
      <c r="AC1038" s="198">
        <v>11.904999999999999</v>
      </c>
      <c r="AD1038" s="1053">
        <v>1.3161</v>
      </c>
      <c r="AE1038" s="198">
        <v>7.3155999999999999</v>
      </c>
      <c r="AF1038" s="198">
        <v>2.6509999999999999E-2</v>
      </c>
      <c r="AH1038" s="1051">
        <v>43686</v>
      </c>
      <c r="AI1038" s="198">
        <v>9.6991999999999994</v>
      </c>
      <c r="AJ1038" s="198">
        <v>1.6644000000000001</v>
      </c>
      <c r="AK1038" s="198">
        <v>5.7171000000000003</v>
      </c>
      <c r="AL1038" s="198">
        <v>1.779E-2</v>
      </c>
      <c r="AN1038" s="1051">
        <v>43692</v>
      </c>
      <c r="AO1038" s="198">
        <v>6.9587000000000003</v>
      </c>
      <c r="AP1038" s="198">
        <v>0.63039999999999996</v>
      </c>
      <c r="AQ1038" s="198">
        <v>4.9283999999999999</v>
      </c>
      <c r="AR1038" s="198">
        <v>0.12506999999999999</v>
      </c>
      <c r="AT1038" s="1051">
        <v>43612</v>
      </c>
      <c r="AU1038" s="198">
        <v>7.8131000000000004</v>
      </c>
      <c r="AV1038" s="198">
        <v>0.50490000000000002</v>
      </c>
      <c r="AW1038" s="198">
        <v>5.8085000000000004</v>
      </c>
      <c r="AX1038" s="198">
        <v>0.11330999999999999</v>
      </c>
      <c r="BA1038" s="1051">
        <v>43676</v>
      </c>
      <c r="BB1038" s="198">
        <v>6.8341000000000003</v>
      </c>
      <c r="BC1038" s="198">
        <v>1.4585999999999999</v>
      </c>
      <c r="BD1038" s="198">
        <v>7.2957999999999998</v>
      </c>
      <c r="BE1038" s="198">
        <v>0.29898999999999998</v>
      </c>
      <c r="BG1038" s="1051">
        <v>43676</v>
      </c>
      <c r="BH1038" s="198">
        <v>12.24</v>
      </c>
      <c r="BI1038" s="198">
        <v>2.6705999999999999</v>
      </c>
      <c r="BJ1038" s="198">
        <v>17.1495</v>
      </c>
      <c r="BT1038" s="1051">
        <v>43725</v>
      </c>
      <c r="BU1038" s="198">
        <v>15.6332</v>
      </c>
      <c r="BV1038" s="198">
        <v>5.2417999999999996</v>
      </c>
      <c r="BW1038" s="198">
        <v>9.5352999999999994</v>
      </c>
      <c r="BX1038" s="198">
        <v>1.7575000000000001</v>
      </c>
      <c r="BZ1038" s="1051">
        <v>43725</v>
      </c>
      <c r="CA1038" s="198">
        <v>10.134399999999999</v>
      </c>
      <c r="CB1038" s="198">
        <v>3.0038</v>
      </c>
      <c r="CC1038" s="198">
        <v>10.160399999999999</v>
      </c>
      <c r="CD1038" s="198">
        <v>1.1486799999999999</v>
      </c>
      <c r="CF1038" s="1051">
        <v>43724</v>
      </c>
      <c r="CI1038" s="198">
        <v>10.2149</v>
      </c>
      <c r="CL1038" s="1051">
        <v>43746</v>
      </c>
      <c r="CM1038" s="198">
        <v>13.518700000000001</v>
      </c>
      <c r="CN1038" s="198">
        <v>1.8427</v>
      </c>
      <c r="CO1038" s="198">
        <v>9.7233000000000001</v>
      </c>
    </row>
    <row r="1039" spans="1:93" s="198" customFormat="1">
      <c r="A1039" s="1051">
        <v>43724</v>
      </c>
      <c r="B1039" s="1052">
        <f t="shared" si="162"/>
        <v>7.5576999999999996</v>
      </c>
      <c r="C1039" s="1052">
        <f t="shared" si="164"/>
        <v>6.0305</v>
      </c>
      <c r="D1039" s="1052">
        <f t="shared" si="168"/>
        <v>10.227600000000001</v>
      </c>
      <c r="E1039" s="1052">
        <f t="shared" si="169"/>
        <v>6.8910999999999998</v>
      </c>
      <c r="F1039" s="1052">
        <f t="shared" si="170"/>
        <v>11.9293</v>
      </c>
      <c r="G1039" s="1052">
        <f t="shared" si="171"/>
        <v>6.7964000000000002</v>
      </c>
      <c r="H1039" s="1047">
        <f t="shared" si="165"/>
        <v>6.8910999999999998</v>
      </c>
      <c r="I1039" s="1048">
        <f t="shared" si="163"/>
        <v>9.6733467806300766E-2</v>
      </c>
      <c r="J1039" s="1048">
        <f t="shared" si="166"/>
        <v>0.12093838824177333</v>
      </c>
      <c r="K1039" s="1048">
        <f t="shared" si="167"/>
        <v>0.1</v>
      </c>
      <c r="L1039" s="1048"/>
      <c r="N1039" s="1051">
        <v>43724</v>
      </c>
      <c r="O1039" s="1053">
        <v>7.5576999999999996</v>
      </c>
      <c r="P1039" s="1053">
        <v>1.1907000000000001</v>
      </c>
      <c r="Q1039" s="1053">
        <v>11.0512</v>
      </c>
      <c r="R1039" s="1054">
        <f>'B. PE'!$U$23</f>
        <v>15.978235616082999</v>
      </c>
      <c r="S1039" s="1054"/>
      <c r="T1039" s="1054"/>
      <c r="V1039" s="1051">
        <v>43724</v>
      </c>
      <c r="W1039" s="198">
        <v>6.0305</v>
      </c>
      <c r="X1039" s="198">
        <v>0.44929999999999998</v>
      </c>
      <c r="Y1039" s="198">
        <v>6.2816000000000001</v>
      </c>
      <c r="Z1039" s="198">
        <v>0.27672999999999998</v>
      </c>
      <c r="AB1039" s="1051">
        <v>43685</v>
      </c>
      <c r="AC1039" s="198">
        <v>11.9361</v>
      </c>
      <c r="AD1039" s="1053">
        <v>1.3194999999999999</v>
      </c>
      <c r="AE1039" s="198">
        <v>7.3285999999999998</v>
      </c>
      <c r="AF1039" s="198">
        <v>2.572E-2</v>
      </c>
      <c r="AH1039" s="1051">
        <v>43685</v>
      </c>
      <c r="AI1039" s="198">
        <v>9.6991999999999994</v>
      </c>
      <c r="AJ1039" s="198">
        <v>1.6644000000000001</v>
      </c>
      <c r="AK1039" s="198">
        <v>5.7171000000000003</v>
      </c>
      <c r="AL1039" s="198">
        <v>1.643E-2</v>
      </c>
      <c r="AN1039" s="1051">
        <v>43691</v>
      </c>
      <c r="AO1039" s="198">
        <v>7.0937999999999999</v>
      </c>
      <c r="AP1039" s="198">
        <v>0.64270000000000005</v>
      </c>
      <c r="AQ1039" s="198">
        <v>5.0336999999999996</v>
      </c>
      <c r="AR1039" s="198">
        <v>0.12784999999999999</v>
      </c>
      <c r="AT1039" s="1051">
        <v>43609</v>
      </c>
      <c r="AU1039" s="198">
        <v>7.8131000000000004</v>
      </c>
      <c r="AV1039" s="198">
        <v>0.50490000000000002</v>
      </c>
      <c r="AW1039" s="198">
        <v>5.8164999999999996</v>
      </c>
      <c r="AX1039" s="198">
        <v>0.11468</v>
      </c>
      <c r="BA1039" s="1051">
        <v>43672</v>
      </c>
      <c r="BB1039" s="198">
        <v>6.9474</v>
      </c>
      <c r="BC1039" s="198">
        <v>1.4826999999999999</v>
      </c>
      <c r="BD1039" s="198">
        <v>7.3752000000000004</v>
      </c>
      <c r="BE1039" s="198">
        <v>0.30415999999999999</v>
      </c>
      <c r="BG1039" s="1051">
        <v>43672</v>
      </c>
      <c r="BH1039" s="198">
        <v>12.799200000000001</v>
      </c>
      <c r="BI1039" s="198">
        <v>2.7926000000000002</v>
      </c>
      <c r="BJ1039" s="198">
        <v>17.6511</v>
      </c>
      <c r="BT1039" s="1051">
        <v>43724</v>
      </c>
      <c r="BU1039" s="198">
        <v>15.645899999999999</v>
      </c>
      <c r="BV1039" s="198">
        <v>5.2461000000000002</v>
      </c>
      <c r="BW1039" s="198">
        <v>9.5428999999999995</v>
      </c>
      <c r="BX1039" s="198">
        <v>1.6775</v>
      </c>
      <c r="BZ1039" s="1051">
        <v>43724</v>
      </c>
      <c r="CA1039" s="198">
        <v>10.264099999999999</v>
      </c>
      <c r="CB1039" s="198">
        <v>3.0421999999999998</v>
      </c>
      <c r="CC1039" s="198">
        <v>10.257199999999999</v>
      </c>
      <c r="CD1039" s="198">
        <v>1.0740499999999999</v>
      </c>
      <c r="CF1039" s="1051">
        <v>43721</v>
      </c>
      <c r="CI1039" s="198">
        <v>10.2149</v>
      </c>
      <c r="CL1039" s="1051">
        <v>43745</v>
      </c>
      <c r="CM1039" s="198">
        <v>14.139200000000001</v>
      </c>
      <c r="CN1039" s="198">
        <v>1.9273</v>
      </c>
      <c r="CO1039" s="198">
        <v>10.1568</v>
      </c>
    </row>
    <row r="1040" spans="1:93" s="198" customFormat="1">
      <c r="A1040" s="1051">
        <v>43721</v>
      </c>
      <c r="B1040" s="1052">
        <f t="shared" si="162"/>
        <v>7.5735999999999999</v>
      </c>
      <c r="C1040" s="1052">
        <f t="shared" si="164"/>
        <v>5.9989999999999997</v>
      </c>
      <c r="D1040" s="1052">
        <f t="shared" si="168"/>
        <v>10.227600000000001</v>
      </c>
      <c r="E1040" s="1052">
        <f t="shared" si="169"/>
        <v>6.8910999999999998</v>
      </c>
      <c r="F1040" s="1052">
        <f t="shared" si="170"/>
        <v>11.9293</v>
      </c>
      <c r="G1040" s="1052">
        <f t="shared" si="171"/>
        <v>6.7964000000000002</v>
      </c>
      <c r="H1040" s="1047">
        <f t="shared" si="165"/>
        <v>6.8910999999999998</v>
      </c>
      <c r="I1040" s="1048">
        <f t="shared" si="163"/>
        <v>9.9040791745875101E-2</v>
      </c>
      <c r="J1040" s="1048">
        <f t="shared" si="166"/>
        <v>0.12093838824177333</v>
      </c>
      <c r="K1040" s="1048">
        <f t="shared" si="167"/>
        <v>0.1</v>
      </c>
      <c r="L1040" s="1048"/>
      <c r="N1040" s="1051">
        <v>43721</v>
      </c>
      <c r="O1040" s="1053">
        <v>7.5735999999999999</v>
      </c>
      <c r="P1040" s="1053">
        <v>1.1932</v>
      </c>
      <c r="Q1040" s="1053">
        <v>11.063499999999999</v>
      </c>
      <c r="R1040" s="1054">
        <f>'B. PE'!$U$23</f>
        <v>15.978235616082999</v>
      </c>
      <c r="S1040" s="1054"/>
      <c r="T1040" s="1054"/>
      <c r="V1040" s="1051">
        <v>43721</v>
      </c>
      <c r="W1040" s="198">
        <v>5.9989999999999997</v>
      </c>
      <c r="X1040" s="198">
        <v>0.44690000000000002</v>
      </c>
      <c r="Y1040" s="198">
        <v>6.2694999999999999</v>
      </c>
      <c r="Z1040" s="198">
        <v>0.27679999999999999</v>
      </c>
      <c r="AB1040" s="1051">
        <v>43684</v>
      </c>
      <c r="AC1040" s="198">
        <v>11.718500000000001</v>
      </c>
      <c r="AD1040" s="1053">
        <v>1.2955000000000001</v>
      </c>
      <c r="AE1040" s="198">
        <v>7.2374000000000001</v>
      </c>
      <c r="AF1040" s="198">
        <v>2.5819999999999999E-2</v>
      </c>
      <c r="AH1040" s="1051">
        <v>43684</v>
      </c>
      <c r="AI1040" s="198">
        <v>9.5482999999999993</v>
      </c>
      <c r="AJ1040" s="198">
        <v>1.6385000000000001</v>
      </c>
      <c r="AK1040" s="198">
        <v>5.6391</v>
      </c>
      <c r="AL1040" s="198">
        <v>1.6629999999999999E-2</v>
      </c>
      <c r="AN1040" s="1051">
        <v>43690</v>
      </c>
      <c r="AO1040" s="198">
        <v>7.0937999999999999</v>
      </c>
      <c r="AP1040" s="198">
        <v>0.64270000000000005</v>
      </c>
      <c r="AQ1040" s="198">
        <v>5.0336999999999996</v>
      </c>
      <c r="AR1040" s="198">
        <v>0.13020999999999999</v>
      </c>
      <c r="AT1040" s="1051">
        <v>43608</v>
      </c>
      <c r="AU1040" s="198">
        <v>7.7317</v>
      </c>
      <c r="AV1040" s="198">
        <v>0.49959999999999999</v>
      </c>
      <c r="AW1040" s="198">
        <v>5.7830000000000004</v>
      </c>
      <c r="AX1040" s="198">
        <v>0.11497</v>
      </c>
      <c r="BA1040" s="1051">
        <v>43671</v>
      </c>
      <c r="BB1040" s="198">
        <v>6.9851999999999999</v>
      </c>
      <c r="BC1040" s="198">
        <v>1.4907999999999999</v>
      </c>
      <c r="BD1040" s="198">
        <v>7.4016999999999999</v>
      </c>
      <c r="BE1040" s="198">
        <v>0.30570000000000003</v>
      </c>
      <c r="BG1040" s="1051">
        <v>43671</v>
      </c>
      <c r="BH1040" s="198">
        <v>12.923400000000001</v>
      </c>
      <c r="BI1040" s="198">
        <v>2.8197999999999999</v>
      </c>
      <c r="BJ1040" s="198">
        <v>17.762499999999999</v>
      </c>
      <c r="BT1040" s="1051">
        <v>43721</v>
      </c>
      <c r="BU1040" s="198">
        <v>15.506600000000001</v>
      </c>
      <c r="BV1040" s="198">
        <v>5.1993999999999998</v>
      </c>
      <c r="BW1040" s="198">
        <v>9.4590999999999994</v>
      </c>
      <c r="BX1040" s="198">
        <v>1.6535</v>
      </c>
      <c r="BZ1040" s="1051">
        <v>43721</v>
      </c>
      <c r="CA1040" s="198">
        <v>9.9398999999999997</v>
      </c>
      <c r="CB1040" s="198">
        <v>2.9460999999999999</v>
      </c>
      <c r="CC1040" s="198">
        <v>10.0152</v>
      </c>
      <c r="CD1040" s="198">
        <v>1.0618300000000001</v>
      </c>
      <c r="CF1040" s="1051">
        <v>43720</v>
      </c>
      <c r="CI1040" s="198">
        <v>10.2149</v>
      </c>
      <c r="CL1040" s="1051">
        <v>43742</v>
      </c>
      <c r="CM1040" s="198">
        <v>13.8405</v>
      </c>
      <c r="CN1040" s="198">
        <v>1.8866000000000001</v>
      </c>
      <c r="CO1040" s="198">
        <v>9.9481000000000002</v>
      </c>
    </row>
    <row r="1041" spans="1:93" s="198" customFormat="1">
      <c r="A1041" s="1051">
        <v>43720</v>
      </c>
      <c r="B1041" s="1052">
        <f t="shared" si="162"/>
        <v>7.4306999999999999</v>
      </c>
      <c r="C1041" s="1052">
        <f t="shared" si="164"/>
        <v>6.0148000000000001</v>
      </c>
      <c r="D1041" s="1052">
        <f t="shared" si="168"/>
        <v>10.2653</v>
      </c>
      <c r="E1041" s="1052">
        <f t="shared" si="169"/>
        <v>6.8910999999999998</v>
      </c>
      <c r="F1041" s="1052">
        <f t="shared" si="170"/>
        <v>12.053599999999999</v>
      </c>
      <c r="G1041" s="1052">
        <f t="shared" si="171"/>
        <v>6.7586000000000004</v>
      </c>
      <c r="H1041" s="1047">
        <f t="shared" si="165"/>
        <v>6.8910999999999998</v>
      </c>
      <c r="I1041" s="1048">
        <f t="shared" si="163"/>
        <v>7.8303899232343266E-2</v>
      </c>
      <c r="J1041" s="1048">
        <f t="shared" si="166"/>
        <v>0.12093838824177333</v>
      </c>
      <c r="K1041" s="1048">
        <f t="shared" si="167"/>
        <v>0.1</v>
      </c>
      <c r="L1041" s="1048"/>
      <c r="N1041" s="1051">
        <v>43720</v>
      </c>
      <c r="O1041" s="1053">
        <v>7.4306999999999999</v>
      </c>
      <c r="P1041" s="1053">
        <v>1.1706000000000001</v>
      </c>
      <c r="Q1041" s="1053">
        <v>10.952400000000001</v>
      </c>
      <c r="R1041" s="1054">
        <f>'B. PE'!$U$23</f>
        <v>15.978235616082999</v>
      </c>
      <c r="S1041" s="1054"/>
      <c r="T1041" s="1054"/>
      <c r="V1041" s="1051">
        <v>43720</v>
      </c>
      <c r="W1041" s="198">
        <v>6.0148000000000001</v>
      </c>
      <c r="X1041" s="198">
        <v>0.4481</v>
      </c>
      <c r="Y1041" s="198">
        <v>6.2755000000000001</v>
      </c>
      <c r="Z1041" s="198">
        <v>0.27790999999999999</v>
      </c>
      <c r="AB1041" s="1051">
        <v>43683</v>
      </c>
      <c r="AC1041" s="198">
        <v>11.438700000000001</v>
      </c>
      <c r="AD1041" s="1053">
        <v>1.2645</v>
      </c>
      <c r="AE1041" s="198">
        <v>7.12</v>
      </c>
      <c r="AF1041" s="198">
        <v>2.8240000000000001E-2</v>
      </c>
      <c r="AH1041" s="1051">
        <v>43683</v>
      </c>
      <c r="AI1041" s="198">
        <v>8.8689999999999998</v>
      </c>
      <c r="AJ1041" s="198">
        <v>1.5219</v>
      </c>
      <c r="AK1041" s="198">
        <v>5.2880000000000003</v>
      </c>
      <c r="AL1041" s="198">
        <v>1.8259999999999998E-2</v>
      </c>
      <c r="AN1041" s="1051">
        <v>43686</v>
      </c>
      <c r="AO1041" s="198">
        <v>7.2289000000000003</v>
      </c>
      <c r="AP1041" s="198">
        <v>0.65490000000000004</v>
      </c>
      <c r="AQ1041" s="198">
        <v>5.1390000000000002</v>
      </c>
      <c r="AR1041" s="198">
        <v>0.12481</v>
      </c>
      <c r="AT1041" s="1051">
        <v>43606</v>
      </c>
      <c r="AU1041" s="198">
        <v>7.8131000000000004</v>
      </c>
      <c r="AV1041" s="198">
        <v>0.50490000000000002</v>
      </c>
      <c r="AW1041" s="198">
        <v>5.8334999999999999</v>
      </c>
      <c r="AX1041" s="198">
        <v>0.11056000000000001</v>
      </c>
      <c r="BA1041" s="1051">
        <v>43670</v>
      </c>
      <c r="BB1041" s="198">
        <v>7.0983999999999998</v>
      </c>
      <c r="BC1041" s="198">
        <v>1.5149999999999999</v>
      </c>
      <c r="BD1041" s="198">
        <v>7.4810999999999996</v>
      </c>
      <c r="BE1041" s="198">
        <v>0.31114999999999998</v>
      </c>
      <c r="BG1041" s="1051">
        <v>43670</v>
      </c>
      <c r="BH1041" s="198">
        <v>13.420500000000001</v>
      </c>
      <c r="BI1041" s="198">
        <v>2.9281999999999999</v>
      </c>
      <c r="BJ1041" s="198">
        <v>18.208400000000001</v>
      </c>
      <c r="BT1041" s="1051">
        <v>43720</v>
      </c>
      <c r="BU1041" s="198">
        <v>14.7971</v>
      </c>
      <c r="BV1041" s="198">
        <v>4.9615</v>
      </c>
      <c r="BW1041" s="198">
        <v>9.0326000000000004</v>
      </c>
      <c r="BX1041" s="198">
        <v>1.6508</v>
      </c>
      <c r="BZ1041" s="1051">
        <v>43720</v>
      </c>
      <c r="CA1041" s="198">
        <v>9.2917000000000005</v>
      </c>
      <c r="CB1041" s="198">
        <v>2.754</v>
      </c>
      <c r="CC1041" s="198">
        <v>9.5311000000000003</v>
      </c>
      <c r="CD1041" s="198">
        <v>1.0494300000000001</v>
      </c>
      <c r="CF1041" s="1051">
        <v>43719</v>
      </c>
      <c r="CI1041" s="198">
        <v>10.2149</v>
      </c>
      <c r="CL1041" s="1051">
        <v>43741</v>
      </c>
      <c r="CM1041" s="198">
        <v>13.513</v>
      </c>
      <c r="CN1041" s="198">
        <v>1.8419000000000001</v>
      </c>
      <c r="CO1041" s="198">
        <v>9.7193000000000005</v>
      </c>
    </row>
    <row r="1042" spans="1:93" s="198" customFormat="1">
      <c r="A1042" s="1051">
        <v>43719</v>
      </c>
      <c r="B1042" s="1052">
        <f t="shared" si="162"/>
        <v>7.3672000000000004</v>
      </c>
      <c r="C1042" s="1052">
        <f t="shared" si="164"/>
        <v>6.0148000000000001</v>
      </c>
      <c r="D1042" s="1052">
        <f t="shared" si="168"/>
        <v>10.3408</v>
      </c>
      <c r="E1042" s="1052">
        <f t="shared" si="169"/>
        <v>6.9587000000000003</v>
      </c>
      <c r="F1042" s="1052">
        <f t="shared" si="170"/>
        <v>12.1157</v>
      </c>
      <c r="G1042" s="1052">
        <f t="shared" si="171"/>
        <v>6.8341000000000003</v>
      </c>
      <c r="H1042" s="1047">
        <f t="shared" si="165"/>
        <v>6.9587000000000003</v>
      </c>
      <c r="I1042" s="1048">
        <f t="shared" si="163"/>
        <v>5.8703493468607704E-2</v>
      </c>
      <c r="J1042" s="1048">
        <f t="shared" si="166"/>
        <v>0.12093838824177333</v>
      </c>
      <c r="K1042" s="1048">
        <f t="shared" si="167"/>
        <v>0.1</v>
      </c>
      <c r="L1042" s="1048"/>
      <c r="N1042" s="1051">
        <v>43719</v>
      </c>
      <c r="O1042" s="1053">
        <v>7.3672000000000004</v>
      </c>
      <c r="P1042" s="1053">
        <v>1.1606000000000001</v>
      </c>
      <c r="Q1042" s="1053">
        <v>10.903</v>
      </c>
      <c r="R1042" s="1054">
        <f>'B. PE'!$U$23</f>
        <v>15.978235616082999</v>
      </c>
      <c r="S1042" s="1054"/>
      <c r="T1042" s="1054"/>
      <c r="V1042" s="1051">
        <v>43719</v>
      </c>
      <c r="W1042" s="198">
        <v>6.0148000000000001</v>
      </c>
      <c r="X1042" s="198">
        <v>0.4481</v>
      </c>
      <c r="Y1042" s="198">
        <v>6.2755000000000001</v>
      </c>
      <c r="Z1042" s="198">
        <v>0.27718999999999999</v>
      </c>
      <c r="AB1042" s="1051">
        <v>43682</v>
      </c>
      <c r="AC1042" s="198">
        <v>11.532</v>
      </c>
      <c r="AD1042" s="1053">
        <v>1.2747999999999999</v>
      </c>
      <c r="AE1042" s="198">
        <v>7.1590999999999996</v>
      </c>
      <c r="AF1042" s="198">
        <v>2.819E-2</v>
      </c>
      <c r="AH1042" s="1051">
        <v>43682</v>
      </c>
      <c r="AI1042" s="198">
        <v>9.0198999999999998</v>
      </c>
      <c r="AJ1042" s="198">
        <v>1.5478000000000001</v>
      </c>
      <c r="AK1042" s="198">
        <v>5.3659999999999997</v>
      </c>
      <c r="AL1042" s="198">
        <v>1.8409999999999999E-2</v>
      </c>
      <c r="AN1042" s="1051">
        <v>43685</v>
      </c>
      <c r="AO1042" s="198">
        <v>7.3639999999999999</v>
      </c>
      <c r="AP1042" s="198">
        <v>0.66710000000000003</v>
      </c>
      <c r="AQ1042" s="198">
        <v>5.2446999999999999</v>
      </c>
      <c r="AR1042" s="198">
        <v>0.12640999999999999</v>
      </c>
      <c r="AT1042" s="1051">
        <v>43602</v>
      </c>
      <c r="AU1042" s="198">
        <v>7.8131000000000004</v>
      </c>
      <c r="AV1042" s="198">
        <v>0.50490000000000002</v>
      </c>
      <c r="AW1042" s="198">
        <v>5.8376000000000001</v>
      </c>
      <c r="AX1042" s="198">
        <v>0.1198</v>
      </c>
      <c r="BA1042" s="1051">
        <v>43669</v>
      </c>
      <c r="BB1042" s="198">
        <v>7.1361999999999997</v>
      </c>
      <c r="BC1042" s="198">
        <v>1.5229999999999999</v>
      </c>
      <c r="BD1042" s="198">
        <v>7.5076000000000001</v>
      </c>
      <c r="BE1042" s="198">
        <v>0.31451000000000001</v>
      </c>
      <c r="BG1042" s="1051">
        <v>43669</v>
      </c>
      <c r="BH1042" s="198">
        <v>13.420500000000001</v>
      </c>
      <c r="BI1042" s="198">
        <v>2.9281999999999999</v>
      </c>
      <c r="BJ1042" s="198">
        <v>18.208400000000001</v>
      </c>
      <c r="BT1042" s="1051">
        <v>43719</v>
      </c>
      <c r="BU1042" s="198">
        <v>14.5817</v>
      </c>
      <c r="BV1042" s="198">
        <v>4.8893000000000004</v>
      </c>
      <c r="BW1042" s="198">
        <v>8.9031000000000002</v>
      </c>
      <c r="BX1042" s="198">
        <v>1.6679999999999999</v>
      </c>
      <c r="BZ1042" s="1051">
        <v>43719</v>
      </c>
      <c r="CA1042" s="198">
        <v>9.1836000000000002</v>
      </c>
      <c r="CB1042" s="198">
        <v>2.722</v>
      </c>
      <c r="CC1042" s="198">
        <v>9.4504999999999999</v>
      </c>
      <c r="CD1042" s="198">
        <v>1.06067</v>
      </c>
      <c r="CF1042" s="1051">
        <v>43718</v>
      </c>
      <c r="CG1042" s="198">
        <v>6.0507999999999997</v>
      </c>
      <c r="CH1042" s="198">
        <v>1.1037999999999999</v>
      </c>
      <c r="CI1042" s="198">
        <v>10.2149</v>
      </c>
      <c r="CL1042" s="1051">
        <v>43740</v>
      </c>
      <c r="CM1042" s="198">
        <v>13.2257</v>
      </c>
      <c r="CN1042" s="198">
        <v>1.8028</v>
      </c>
      <c r="CO1042" s="198">
        <v>9.5185999999999993</v>
      </c>
    </row>
    <row r="1043" spans="1:93" s="198" customFormat="1">
      <c r="A1043" s="1051">
        <v>43718</v>
      </c>
      <c r="B1043" s="1052">
        <f t="shared" si="162"/>
        <v>7.3353999999999999</v>
      </c>
      <c r="C1043" s="1052">
        <f t="shared" si="164"/>
        <v>6.0384000000000002</v>
      </c>
      <c r="D1043" s="1052">
        <f t="shared" si="168"/>
        <v>10.152100000000001</v>
      </c>
      <c r="E1043" s="1052">
        <f t="shared" si="169"/>
        <v>6.8910999999999998</v>
      </c>
      <c r="F1043" s="1052">
        <f t="shared" si="170"/>
        <v>11.6808</v>
      </c>
      <c r="G1043" s="1052">
        <f t="shared" si="171"/>
        <v>6.8719000000000001</v>
      </c>
      <c r="H1043" s="1047">
        <f t="shared" si="165"/>
        <v>6.8910999999999998</v>
      </c>
      <c r="I1043" s="1048">
        <f t="shared" si="163"/>
        <v>6.4474467066215846E-2</v>
      </c>
      <c r="J1043" s="1048">
        <f t="shared" si="166"/>
        <v>0.12093838824177333</v>
      </c>
      <c r="K1043" s="1048">
        <f t="shared" si="167"/>
        <v>0.1</v>
      </c>
      <c r="L1043" s="1048"/>
      <c r="N1043" s="1051">
        <v>43718</v>
      </c>
      <c r="O1043" s="1053">
        <v>7.3353999999999999</v>
      </c>
      <c r="P1043" s="1053">
        <v>1.1556</v>
      </c>
      <c r="Q1043" s="1053">
        <v>10.878299999999999</v>
      </c>
      <c r="R1043" s="1054">
        <f>'B. PE'!$U$23</f>
        <v>15.978235616082999</v>
      </c>
      <c r="S1043" s="1054"/>
      <c r="T1043" s="1054"/>
      <c r="V1043" s="1051">
        <v>43718</v>
      </c>
      <c r="W1043" s="198">
        <v>6.0384000000000002</v>
      </c>
      <c r="X1043" s="198">
        <v>0.44990000000000002</v>
      </c>
      <c r="Y1043" s="198">
        <v>6.2846000000000002</v>
      </c>
      <c r="Z1043" s="198">
        <v>0.27682000000000001</v>
      </c>
      <c r="AB1043" s="1051">
        <v>43679</v>
      </c>
      <c r="AC1043" s="198">
        <v>12.4956</v>
      </c>
      <c r="AD1043" s="1053">
        <v>1.3814</v>
      </c>
      <c r="AE1043" s="198">
        <v>7.5633999999999997</v>
      </c>
      <c r="AF1043" s="198">
        <v>2.9950000000000001E-2</v>
      </c>
      <c r="AH1043" s="1051">
        <v>43679</v>
      </c>
      <c r="AI1043" s="198">
        <v>9.8125</v>
      </c>
      <c r="AJ1043" s="198">
        <v>1.6838</v>
      </c>
      <c r="AK1043" s="198">
        <v>5.7755999999999998</v>
      </c>
      <c r="AL1043" s="198">
        <v>1.847E-2</v>
      </c>
      <c r="AN1043" s="1051">
        <v>43684</v>
      </c>
      <c r="AO1043" s="198">
        <v>7.0937999999999999</v>
      </c>
      <c r="AP1043" s="198">
        <v>0.64270000000000005</v>
      </c>
      <c r="AQ1043" s="198">
        <v>5.0347</v>
      </c>
      <c r="AR1043" s="198">
        <v>0.12615999999999999</v>
      </c>
      <c r="AT1043" s="1051">
        <v>43601</v>
      </c>
      <c r="AU1043" s="198">
        <v>7.4875999999999996</v>
      </c>
      <c r="AV1043" s="198">
        <v>0.48380000000000001</v>
      </c>
      <c r="AW1043" s="198">
        <v>5.6672000000000002</v>
      </c>
      <c r="AX1043" s="198">
        <v>0.11745</v>
      </c>
      <c r="BA1043" s="1051">
        <v>43668</v>
      </c>
      <c r="BB1043" s="198">
        <v>7.2495000000000003</v>
      </c>
      <c r="BC1043" s="198">
        <v>1.5471999999999999</v>
      </c>
      <c r="BD1043" s="198">
        <v>7.5871000000000004</v>
      </c>
      <c r="BE1043" s="198">
        <v>0.31463000000000002</v>
      </c>
      <c r="BG1043" s="1051">
        <v>43668</v>
      </c>
      <c r="BH1043" s="198">
        <v>13.420500000000001</v>
      </c>
      <c r="BI1043" s="198">
        <v>2.9281999999999999</v>
      </c>
      <c r="BJ1043" s="198">
        <v>18.208400000000001</v>
      </c>
      <c r="BT1043" s="1051">
        <v>43718</v>
      </c>
      <c r="BU1043" s="198">
        <v>14.5564</v>
      </c>
      <c r="BV1043" s="198">
        <v>4.8807999999999998</v>
      </c>
      <c r="BW1043" s="198">
        <v>8.8879000000000001</v>
      </c>
      <c r="BX1043" s="198">
        <v>1.681</v>
      </c>
      <c r="BZ1043" s="1051">
        <v>43718</v>
      </c>
      <c r="CA1043" s="198">
        <v>9.0755999999999997</v>
      </c>
      <c r="CB1043" s="198">
        <v>2.69</v>
      </c>
      <c r="CC1043" s="198">
        <v>9.3697999999999997</v>
      </c>
      <c r="CD1043" s="198">
        <v>1.0294399999999999</v>
      </c>
      <c r="CF1043" s="1051">
        <v>43717</v>
      </c>
      <c r="CG1043" s="198">
        <v>6.4508000000000001</v>
      </c>
      <c r="CH1043" s="198">
        <v>1.1768000000000001</v>
      </c>
      <c r="CI1043" s="198">
        <v>10.434699999999999</v>
      </c>
      <c r="CL1043" s="1051">
        <v>43739</v>
      </c>
      <c r="CM1043" s="198">
        <v>14.231199999999999</v>
      </c>
      <c r="CN1043" s="198">
        <v>1.9398</v>
      </c>
      <c r="CO1043" s="198">
        <v>10.221</v>
      </c>
    </row>
    <row r="1044" spans="1:93" s="198" customFormat="1">
      <c r="A1044" s="1051">
        <v>43717</v>
      </c>
      <c r="B1044" s="1052">
        <f t="shared" si="162"/>
        <v>7.4782999999999999</v>
      </c>
      <c r="C1044" s="1052">
        <f t="shared" si="164"/>
        <v>6.0225999999999997</v>
      </c>
      <c r="D1044" s="1052">
        <f t="shared" si="168"/>
        <v>10.152100000000001</v>
      </c>
      <c r="E1044" s="1052">
        <f t="shared" si="169"/>
        <v>6.8910999999999998</v>
      </c>
      <c r="F1044" s="1052">
        <f t="shared" si="170"/>
        <v>11.805099999999999</v>
      </c>
      <c r="G1044" s="1052">
        <f t="shared" si="171"/>
        <v>6.7964000000000002</v>
      </c>
      <c r="H1044" s="1047">
        <f t="shared" si="165"/>
        <v>6.8910999999999998</v>
      </c>
      <c r="I1044" s="1048">
        <f t="shared" si="163"/>
        <v>8.5211359579747903E-2</v>
      </c>
      <c r="J1044" s="1048">
        <f t="shared" si="166"/>
        <v>0.12093838824177333</v>
      </c>
      <c r="K1044" s="1048">
        <f t="shared" si="167"/>
        <v>0.1</v>
      </c>
      <c r="L1044" s="1048"/>
      <c r="N1044" s="1051">
        <v>43717</v>
      </c>
      <c r="O1044" s="1053">
        <v>7.4782999999999999</v>
      </c>
      <c r="P1044" s="1053">
        <v>1.1781999999999999</v>
      </c>
      <c r="Q1044" s="1053">
        <v>10.9894</v>
      </c>
      <c r="R1044" s="1054">
        <f>'B. PE'!$U$23</f>
        <v>15.978235616082999</v>
      </c>
      <c r="S1044" s="1054"/>
      <c r="T1044" s="1054"/>
      <c r="V1044" s="1051">
        <v>43717</v>
      </c>
      <c r="W1044" s="198">
        <v>6.0225999999999997</v>
      </c>
      <c r="X1044" s="198">
        <v>0.44869999999999999</v>
      </c>
      <c r="Y1044" s="198">
        <v>6.2785000000000002</v>
      </c>
      <c r="Z1044" s="198">
        <v>0.27899000000000002</v>
      </c>
      <c r="AB1044" s="1051">
        <v>43678</v>
      </c>
      <c r="AC1044" s="198">
        <v>12.3712</v>
      </c>
      <c r="AD1044" s="1053">
        <v>1.3675999999999999</v>
      </c>
      <c r="AE1044" s="198">
        <v>7.5111999999999997</v>
      </c>
      <c r="AF1044" s="198">
        <v>2.844E-2</v>
      </c>
      <c r="AH1044" s="1051">
        <v>43678</v>
      </c>
      <c r="AI1044" s="198">
        <v>9.8125</v>
      </c>
      <c r="AJ1044" s="198">
        <v>1.6838</v>
      </c>
      <c r="AK1044" s="198">
        <v>5.7755999999999998</v>
      </c>
      <c r="AL1044" s="198">
        <v>1.8100000000000002E-2</v>
      </c>
      <c r="AN1044" s="1051">
        <v>43683</v>
      </c>
      <c r="AO1044" s="198">
        <v>7.1612999999999998</v>
      </c>
      <c r="AP1044" s="198">
        <v>0.64880000000000004</v>
      </c>
      <c r="AQ1044" s="198">
        <v>5.0881999999999996</v>
      </c>
      <c r="AR1044" s="198">
        <v>0.12675</v>
      </c>
      <c r="AT1044" s="1051">
        <v>43600</v>
      </c>
      <c r="AU1044" s="198">
        <v>8.1387</v>
      </c>
      <c r="AV1044" s="198">
        <v>0.52590000000000003</v>
      </c>
      <c r="AW1044" s="198">
        <v>6.0079000000000002</v>
      </c>
      <c r="AX1044" s="198">
        <v>0.11286</v>
      </c>
      <c r="BA1044" s="1051">
        <v>43665</v>
      </c>
      <c r="BB1044" s="198">
        <v>7.3250000000000002</v>
      </c>
      <c r="BC1044" s="198">
        <v>1.5632999999999999</v>
      </c>
      <c r="BD1044" s="198">
        <v>7.64</v>
      </c>
      <c r="BE1044" s="198">
        <v>0.31254999999999999</v>
      </c>
      <c r="BG1044" s="1051">
        <v>43665</v>
      </c>
      <c r="BH1044" s="198">
        <v>13.669</v>
      </c>
      <c r="BI1044" s="198">
        <v>2.9824000000000002</v>
      </c>
      <c r="BJ1044" s="198">
        <v>18.4313</v>
      </c>
      <c r="BT1044" s="1051">
        <v>43717</v>
      </c>
      <c r="BU1044" s="198">
        <v>14.708399999999999</v>
      </c>
      <c r="BV1044" s="198">
        <v>4.9317000000000002</v>
      </c>
      <c r="BW1044" s="198">
        <v>8.9793000000000003</v>
      </c>
      <c r="BX1044" s="198">
        <v>1.6694</v>
      </c>
      <c r="BZ1044" s="1051">
        <v>43717</v>
      </c>
      <c r="CA1044" s="198">
        <v>9.1728000000000005</v>
      </c>
      <c r="CB1044" s="198">
        <v>2.7187999999999999</v>
      </c>
      <c r="CC1044" s="198">
        <v>9.4423999999999992</v>
      </c>
      <c r="CD1044" s="198">
        <v>1.04938</v>
      </c>
      <c r="CF1044" s="1051">
        <v>43714</v>
      </c>
      <c r="CI1044" s="198">
        <v>10.1874</v>
      </c>
      <c r="CL1044" s="1051">
        <v>43738</v>
      </c>
      <c r="CM1044" s="198">
        <v>14.3116</v>
      </c>
      <c r="CN1044" s="198">
        <v>1.9508000000000001</v>
      </c>
      <c r="CO1044" s="198">
        <v>10.277200000000001</v>
      </c>
    </row>
    <row r="1045" spans="1:93" s="198" customFormat="1">
      <c r="A1045" s="1051">
        <v>43714</v>
      </c>
      <c r="B1045" s="1052">
        <f t="shared" si="162"/>
        <v>7.6212</v>
      </c>
      <c r="C1045" s="1052">
        <f t="shared" si="164"/>
        <v>6.0148000000000001</v>
      </c>
      <c r="D1045" s="1052">
        <f t="shared" si="168"/>
        <v>10.1144</v>
      </c>
      <c r="E1045" s="1052">
        <f t="shared" si="169"/>
        <v>6.8235000000000001</v>
      </c>
      <c r="F1045" s="1052">
        <f t="shared" si="170"/>
        <v>11.742900000000001</v>
      </c>
      <c r="G1045" s="1052">
        <f t="shared" si="171"/>
        <v>6.8341000000000003</v>
      </c>
      <c r="H1045" s="1047">
        <f t="shared" si="165"/>
        <v>6.8341000000000003</v>
      </c>
      <c r="I1045" s="1048">
        <f t="shared" si="163"/>
        <v>0.11517244406725102</v>
      </c>
      <c r="J1045" s="1048">
        <f t="shared" si="166"/>
        <v>0.12093838824177333</v>
      </c>
      <c r="K1045" s="1048">
        <f t="shared" si="167"/>
        <v>0.1</v>
      </c>
      <c r="L1045" s="1048"/>
      <c r="N1045" s="1051">
        <v>43714</v>
      </c>
      <c r="O1045" s="1053">
        <v>7.6212</v>
      </c>
      <c r="P1045" s="1053">
        <v>1.2007000000000001</v>
      </c>
      <c r="Q1045" s="1053">
        <v>11.1006</v>
      </c>
      <c r="R1045" s="1054">
        <f>'B. PE'!$U$23</f>
        <v>15.978235616082999</v>
      </c>
      <c r="S1045" s="1054"/>
      <c r="T1045" s="1054"/>
      <c r="V1045" s="1051">
        <v>43714</v>
      </c>
      <c r="W1045" s="198">
        <v>6.0148000000000001</v>
      </c>
      <c r="X1045" s="198">
        <v>0.4481</v>
      </c>
      <c r="Y1045" s="198">
        <v>6.2755000000000001</v>
      </c>
      <c r="Z1045" s="198">
        <v>0.27866999999999997</v>
      </c>
      <c r="AB1045" s="1051">
        <v>43677</v>
      </c>
      <c r="AC1045" s="198">
        <v>13.055099999999999</v>
      </c>
      <c r="AD1045" s="1053">
        <v>1.4432</v>
      </c>
      <c r="AE1045" s="198">
        <v>7.7980999999999998</v>
      </c>
      <c r="AF1045" s="198">
        <v>2.681E-2</v>
      </c>
      <c r="AH1045" s="1051">
        <v>43677</v>
      </c>
      <c r="AI1045" s="198">
        <v>9.7746999999999993</v>
      </c>
      <c r="AJ1045" s="198">
        <v>1.6773</v>
      </c>
      <c r="AK1045" s="198">
        <v>5.7561</v>
      </c>
      <c r="AL1045" s="198">
        <v>1.8319999999999999E-2</v>
      </c>
      <c r="AN1045" s="1051">
        <v>43682</v>
      </c>
      <c r="AO1045" s="198">
        <v>7.1612999999999998</v>
      </c>
      <c r="AP1045" s="198">
        <v>0.64880000000000004</v>
      </c>
      <c r="AQ1045" s="198">
        <v>5.0896999999999997</v>
      </c>
      <c r="AR1045" s="198">
        <v>0.12912000000000001</v>
      </c>
      <c r="AT1045" s="1051">
        <v>43599</v>
      </c>
      <c r="AU1045" s="198">
        <v>7.9759000000000002</v>
      </c>
      <c r="AV1045" s="198">
        <v>0.51539999999999997</v>
      </c>
      <c r="AW1045" s="198">
        <v>5.9226999999999999</v>
      </c>
      <c r="AX1045" s="198">
        <v>0.11301</v>
      </c>
      <c r="BA1045" s="1051">
        <v>43664</v>
      </c>
      <c r="BB1045" s="198">
        <v>7.3250000000000002</v>
      </c>
      <c r="BC1045" s="198">
        <v>1.5632999999999999</v>
      </c>
      <c r="BD1045" s="198">
        <v>7.64</v>
      </c>
      <c r="BE1045" s="198">
        <v>0.30108000000000001</v>
      </c>
      <c r="BG1045" s="1051">
        <v>43664</v>
      </c>
      <c r="BH1045" s="198">
        <v>13.5448</v>
      </c>
      <c r="BI1045" s="198">
        <v>2.9552999999999998</v>
      </c>
      <c r="BJ1045" s="198">
        <v>18.319900000000001</v>
      </c>
      <c r="BT1045" s="1051">
        <v>43714</v>
      </c>
      <c r="BU1045" s="198">
        <v>14.8224</v>
      </c>
      <c r="BV1045" s="198">
        <v>4.97</v>
      </c>
      <c r="BW1045" s="198">
        <v>9.0478000000000005</v>
      </c>
      <c r="BX1045" s="198">
        <v>1.6940999999999999</v>
      </c>
      <c r="BZ1045" s="1051">
        <v>43714</v>
      </c>
      <c r="CA1045" s="198">
        <v>8.9026999999999994</v>
      </c>
      <c r="CB1045" s="198">
        <v>2.6387</v>
      </c>
      <c r="CC1045" s="198">
        <v>9.2407000000000004</v>
      </c>
      <c r="CD1045" s="198">
        <v>0.99958999999999998</v>
      </c>
      <c r="CF1045" s="1051">
        <v>43713</v>
      </c>
      <c r="CI1045" s="198">
        <v>10.1874</v>
      </c>
      <c r="CL1045" s="1051">
        <v>43735</v>
      </c>
      <c r="CM1045" s="198">
        <v>14.1967</v>
      </c>
      <c r="CN1045" s="198">
        <v>1.9351</v>
      </c>
      <c r="CO1045" s="198">
        <v>10.196899999999999</v>
      </c>
    </row>
    <row r="1046" spans="1:93" s="198" customFormat="1">
      <c r="A1046" s="1051">
        <v>43713</v>
      </c>
      <c r="B1046" s="1052">
        <f t="shared" si="162"/>
        <v>7.4942000000000002</v>
      </c>
      <c r="C1046" s="1052">
        <f t="shared" si="164"/>
        <v>6.0621</v>
      </c>
      <c r="D1046" s="1052">
        <f t="shared" si="168"/>
        <v>9.9257000000000009</v>
      </c>
      <c r="E1046" s="1052">
        <f t="shared" si="169"/>
        <v>6.8235000000000001</v>
      </c>
      <c r="F1046" s="1052">
        <f t="shared" si="170"/>
        <v>11.805099999999999</v>
      </c>
      <c r="G1046" s="1052">
        <f t="shared" si="171"/>
        <v>6.8719000000000001</v>
      </c>
      <c r="H1046" s="1047">
        <f t="shared" si="165"/>
        <v>6.8719000000000001</v>
      </c>
      <c r="I1046" s="1048">
        <f t="shared" si="163"/>
        <v>9.0557196699602827E-2</v>
      </c>
      <c r="J1046" s="1048">
        <f t="shared" si="166"/>
        <v>0.12093838824177333</v>
      </c>
      <c r="K1046" s="1048">
        <f t="shared" si="167"/>
        <v>0.1</v>
      </c>
      <c r="L1046" s="1048"/>
      <c r="N1046" s="1051">
        <v>43713</v>
      </c>
      <c r="O1046" s="1053">
        <v>7.4942000000000002</v>
      </c>
      <c r="P1046" s="1053">
        <v>1.1807000000000001</v>
      </c>
      <c r="Q1046" s="1053">
        <v>11.001799999999999</v>
      </c>
      <c r="R1046" s="1054">
        <f>'B. PE'!$U$23</f>
        <v>15.978235616082999</v>
      </c>
      <c r="S1046" s="1054"/>
      <c r="T1046" s="1054"/>
      <c r="V1046" s="1051">
        <v>43713</v>
      </c>
      <c r="W1046" s="198">
        <v>6.0621</v>
      </c>
      <c r="X1046" s="198">
        <v>0.4516</v>
      </c>
      <c r="Y1046" s="198">
        <v>6.2935999999999996</v>
      </c>
      <c r="Z1046" s="198">
        <v>0.27939999999999998</v>
      </c>
      <c r="AB1046" s="1051">
        <v>43676</v>
      </c>
      <c r="AC1046" s="198">
        <v>12.4023</v>
      </c>
      <c r="AD1046" s="1053">
        <v>1.3711</v>
      </c>
      <c r="AE1046" s="198">
        <v>7.5242000000000004</v>
      </c>
      <c r="AF1046" s="198">
        <v>2.7009999999999999E-2</v>
      </c>
      <c r="AH1046" s="1051">
        <v>43676</v>
      </c>
      <c r="AI1046" s="198">
        <v>9.5860000000000003</v>
      </c>
      <c r="AJ1046" s="198">
        <v>1.645</v>
      </c>
      <c r="AK1046" s="198">
        <v>5.6585999999999999</v>
      </c>
      <c r="AL1046" s="198">
        <v>1.8579999999999999E-2</v>
      </c>
      <c r="AN1046" s="1051">
        <v>43679</v>
      </c>
      <c r="AO1046" s="198">
        <v>7.1612999999999998</v>
      </c>
      <c r="AP1046" s="198">
        <v>0.64880000000000004</v>
      </c>
      <c r="AQ1046" s="198">
        <v>5.0909000000000004</v>
      </c>
      <c r="AR1046" s="198">
        <v>0.13105</v>
      </c>
      <c r="AT1046" s="1051">
        <v>43598</v>
      </c>
      <c r="AU1046" s="198">
        <v>7.6504000000000003</v>
      </c>
      <c r="AV1046" s="198">
        <v>0.49440000000000001</v>
      </c>
      <c r="AW1046" s="198">
        <v>5.7523999999999997</v>
      </c>
      <c r="AX1046" s="198">
        <v>0.11291</v>
      </c>
      <c r="BA1046" s="1051">
        <v>43663</v>
      </c>
      <c r="BB1046" s="198">
        <v>7.2872000000000003</v>
      </c>
      <c r="BC1046" s="198">
        <v>1.5552999999999999</v>
      </c>
      <c r="BD1046" s="198">
        <v>7.6135999999999999</v>
      </c>
      <c r="BE1046" s="198">
        <v>0.29772999999999999</v>
      </c>
      <c r="BG1046" s="1051">
        <v>43663</v>
      </c>
      <c r="BH1046" s="198">
        <v>13.669</v>
      </c>
      <c r="BI1046" s="198">
        <v>2.9824000000000002</v>
      </c>
      <c r="BJ1046" s="198">
        <v>18.4313</v>
      </c>
      <c r="BT1046" s="1051">
        <v>43713</v>
      </c>
      <c r="BU1046" s="198">
        <v>14.7211</v>
      </c>
      <c r="BV1046" s="198">
        <v>4.9359999999999999</v>
      </c>
      <c r="BW1046" s="198">
        <v>8.9869000000000003</v>
      </c>
      <c r="BX1046" s="198">
        <v>1.6898</v>
      </c>
      <c r="BZ1046" s="1051">
        <v>43713</v>
      </c>
      <c r="CA1046" s="198">
        <v>9.0755999999999997</v>
      </c>
      <c r="CB1046" s="198">
        <v>2.69</v>
      </c>
      <c r="CC1046" s="198">
        <v>9.3697999999999997</v>
      </c>
      <c r="CD1046" s="198">
        <v>1.0545599999999999</v>
      </c>
      <c r="CF1046" s="1051">
        <v>43712</v>
      </c>
      <c r="CI1046" s="198">
        <v>10.1874</v>
      </c>
      <c r="CL1046" s="1051">
        <v>43734</v>
      </c>
      <c r="CM1046" s="198">
        <v>13.9152</v>
      </c>
      <c r="CN1046" s="198">
        <v>1.8967000000000001</v>
      </c>
      <c r="CO1046" s="198">
        <v>10.0002</v>
      </c>
    </row>
    <row r="1047" spans="1:93" s="198" customFormat="1">
      <c r="A1047" s="1051">
        <v>43712</v>
      </c>
      <c r="B1047" s="1052">
        <f t="shared" si="162"/>
        <v>7.6212</v>
      </c>
      <c r="C1047" s="1052">
        <f t="shared" si="164"/>
        <v>6.0541999999999998</v>
      </c>
      <c r="D1047" s="1052">
        <f t="shared" si="168"/>
        <v>9.9257000000000009</v>
      </c>
      <c r="E1047" s="1052">
        <f t="shared" si="169"/>
        <v>6.7560000000000002</v>
      </c>
      <c r="F1047" s="1052">
        <f t="shared" si="170"/>
        <v>11.8672</v>
      </c>
      <c r="G1047" s="1052">
        <f t="shared" si="171"/>
        <v>6.8341000000000003</v>
      </c>
      <c r="H1047" s="1047">
        <f t="shared" si="165"/>
        <v>6.8341000000000003</v>
      </c>
      <c r="I1047" s="1048">
        <f t="shared" si="163"/>
        <v>0.11517244406725102</v>
      </c>
      <c r="J1047" s="1048">
        <f t="shared" si="166"/>
        <v>0.12093838824177333</v>
      </c>
      <c r="K1047" s="1048">
        <f t="shared" si="167"/>
        <v>0.1</v>
      </c>
      <c r="L1047" s="1048"/>
      <c r="N1047" s="1051">
        <v>43712</v>
      </c>
      <c r="O1047" s="1053">
        <v>7.6212</v>
      </c>
      <c r="P1047" s="1053">
        <v>1.2007000000000001</v>
      </c>
      <c r="Q1047" s="1053">
        <v>11.1006</v>
      </c>
      <c r="R1047" s="1054">
        <f>'B. PE'!$U$23</f>
        <v>15.978235616082999</v>
      </c>
      <c r="S1047" s="1054"/>
      <c r="T1047" s="1054"/>
      <c r="V1047" s="1051">
        <v>43712</v>
      </c>
      <c r="W1047" s="198">
        <v>6.0541999999999998</v>
      </c>
      <c r="X1047" s="198">
        <v>0.45100000000000001</v>
      </c>
      <c r="Y1047" s="198">
        <v>6.2906000000000004</v>
      </c>
      <c r="Z1047" s="198">
        <v>0.27933999999999998</v>
      </c>
      <c r="AB1047" s="1051">
        <v>43675</v>
      </c>
      <c r="AC1047" s="198">
        <v>11.6874</v>
      </c>
      <c r="AD1047" s="1053">
        <v>1.292</v>
      </c>
      <c r="AE1047" s="198">
        <v>7.2243000000000004</v>
      </c>
      <c r="AF1047" s="198">
        <v>2.7869999999999999E-2</v>
      </c>
      <c r="AH1047" s="1051">
        <v>43675</v>
      </c>
      <c r="AI1047" s="198">
        <v>9.6991999999999994</v>
      </c>
      <c r="AJ1047" s="198">
        <v>1.6644000000000001</v>
      </c>
      <c r="AK1047" s="198">
        <v>5.7171000000000003</v>
      </c>
      <c r="AL1047" s="198">
        <v>1.865E-2</v>
      </c>
      <c r="AN1047" s="1051">
        <v>43678</v>
      </c>
      <c r="AO1047" s="198">
        <v>7.2289000000000003</v>
      </c>
      <c r="AP1047" s="198">
        <v>0.65490000000000004</v>
      </c>
      <c r="AQ1047" s="198">
        <v>5.1436000000000002</v>
      </c>
      <c r="AR1047" s="198">
        <v>0.12740000000000001</v>
      </c>
      <c r="AT1047" s="1051">
        <v>43595</v>
      </c>
      <c r="AU1047" s="198">
        <v>7.6504000000000003</v>
      </c>
      <c r="AV1047" s="198">
        <v>0.49440000000000001</v>
      </c>
      <c r="AW1047" s="198">
        <v>5.7553999999999998</v>
      </c>
      <c r="AX1047" s="198">
        <v>0.11567</v>
      </c>
      <c r="BA1047" s="1051">
        <v>43661</v>
      </c>
      <c r="BB1047" s="198">
        <v>7.0228999999999999</v>
      </c>
      <c r="BC1047" s="198">
        <v>1.4988999999999999</v>
      </c>
      <c r="BD1047" s="198">
        <v>7.4282000000000004</v>
      </c>
      <c r="BE1047" s="198">
        <v>0.30104999999999998</v>
      </c>
      <c r="BG1047" s="1051">
        <v>43661</v>
      </c>
      <c r="BH1047" s="198">
        <v>13.9176</v>
      </c>
      <c r="BI1047" s="198">
        <v>3.0367000000000002</v>
      </c>
      <c r="BJ1047" s="198">
        <v>18.654299999999999</v>
      </c>
      <c r="BT1047" s="1051">
        <v>43712</v>
      </c>
      <c r="BU1047" s="198">
        <v>14.936500000000001</v>
      </c>
      <c r="BV1047" s="198">
        <v>5.0082000000000004</v>
      </c>
      <c r="BW1047" s="198">
        <v>9.1164000000000005</v>
      </c>
      <c r="BX1047" s="198">
        <v>1.6794</v>
      </c>
      <c r="BZ1047" s="1051">
        <v>43712</v>
      </c>
      <c r="CA1047" s="198">
        <v>8.6433999999999997</v>
      </c>
      <c r="CB1047" s="198">
        <v>2.5619000000000001</v>
      </c>
      <c r="CC1047" s="198">
        <v>9.0471000000000004</v>
      </c>
      <c r="CD1047" s="198">
        <v>1.09931</v>
      </c>
      <c r="CF1047" s="1051">
        <v>43711</v>
      </c>
      <c r="CI1047" s="198">
        <v>10.1874</v>
      </c>
      <c r="CL1047" s="1051">
        <v>43733</v>
      </c>
      <c r="CM1047" s="198">
        <v>13.932399999999999</v>
      </c>
      <c r="CN1047" s="198">
        <v>1.8991</v>
      </c>
      <c r="CO1047" s="198">
        <v>10.0123</v>
      </c>
    </row>
    <row r="1048" spans="1:93" s="198" customFormat="1">
      <c r="A1048" s="1051">
        <v>43711</v>
      </c>
      <c r="B1048" s="1052">
        <f t="shared" si="162"/>
        <v>7.4306999999999999</v>
      </c>
      <c r="C1048" s="1052">
        <f t="shared" si="164"/>
        <v>6.0698999999999996</v>
      </c>
      <c r="D1048" s="1052">
        <f t="shared" si="168"/>
        <v>10.152100000000001</v>
      </c>
      <c r="E1048" s="1052">
        <f t="shared" si="169"/>
        <v>6.8235000000000001</v>
      </c>
      <c r="F1048" s="1052">
        <f t="shared" si="170"/>
        <v>11.8672</v>
      </c>
      <c r="G1048" s="1052">
        <f t="shared" si="171"/>
        <v>6.8719000000000001</v>
      </c>
      <c r="H1048" s="1047">
        <f t="shared" si="165"/>
        <v>6.8719000000000001</v>
      </c>
      <c r="I1048" s="1048">
        <f t="shared" si="163"/>
        <v>8.1316666424132933E-2</v>
      </c>
      <c r="J1048" s="1048">
        <f t="shared" si="166"/>
        <v>0.12093838824177333</v>
      </c>
      <c r="K1048" s="1048">
        <f t="shared" si="167"/>
        <v>0.1</v>
      </c>
      <c r="L1048" s="1048"/>
      <c r="N1048" s="1051">
        <v>43711</v>
      </c>
      <c r="O1048" s="1053">
        <v>7.4306999999999999</v>
      </c>
      <c r="P1048" s="1053">
        <v>1.1706000000000001</v>
      </c>
      <c r="Q1048" s="1053">
        <v>10.952400000000001</v>
      </c>
      <c r="R1048" s="1054">
        <f>'B. PE'!$U$23</f>
        <v>15.978235616082999</v>
      </c>
      <c r="S1048" s="1054"/>
      <c r="T1048" s="1054"/>
      <c r="V1048" s="1051">
        <v>43711</v>
      </c>
      <c r="W1048" s="198">
        <v>6.0698999999999996</v>
      </c>
      <c r="X1048" s="198">
        <v>0.45219999999999999</v>
      </c>
      <c r="Y1048" s="198">
        <v>6.2967000000000004</v>
      </c>
      <c r="Z1048" s="198">
        <v>0.27937000000000001</v>
      </c>
      <c r="AB1048" s="1051">
        <v>43672</v>
      </c>
      <c r="AC1048" s="198">
        <v>11.749599999999999</v>
      </c>
      <c r="AD1048" s="1053">
        <v>1.2988999999999999</v>
      </c>
      <c r="AE1048" s="198">
        <v>7.2504</v>
      </c>
      <c r="AF1048" s="198">
        <v>2.683E-2</v>
      </c>
      <c r="AH1048" s="1051">
        <v>43672</v>
      </c>
      <c r="AI1048" s="198">
        <v>9.8125</v>
      </c>
      <c r="AJ1048" s="198">
        <v>1.6838</v>
      </c>
      <c r="AK1048" s="198">
        <v>5.7755999999999998</v>
      </c>
      <c r="AL1048" s="198">
        <v>1.839E-2</v>
      </c>
      <c r="AN1048" s="1051">
        <v>43677</v>
      </c>
      <c r="AO1048" s="198">
        <v>7.2965</v>
      </c>
      <c r="AP1048" s="198">
        <v>0.66100000000000003</v>
      </c>
      <c r="AQ1048" s="198">
        <v>5.1970999999999998</v>
      </c>
      <c r="AR1048" s="198">
        <v>0.12726999999999999</v>
      </c>
      <c r="AT1048" s="1051">
        <v>43594</v>
      </c>
      <c r="AU1048" s="198">
        <v>7.6504000000000003</v>
      </c>
      <c r="AV1048" s="198">
        <v>0.49440000000000001</v>
      </c>
      <c r="AW1048" s="198">
        <v>5.7609000000000004</v>
      </c>
      <c r="AX1048" s="198">
        <v>0.11323999999999999</v>
      </c>
      <c r="BA1048" s="1051">
        <v>43658</v>
      </c>
      <c r="BB1048" s="198">
        <v>6.9474</v>
      </c>
      <c r="BC1048" s="198">
        <v>1.4826999999999999</v>
      </c>
      <c r="BD1048" s="198">
        <v>7.3752000000000004</v>
      </c>
      <c r="BE1048" s="198">
        <v>0.30653000000000002</v>
      </c>
      <c r="BG1048" s="1051">
        <v>43658</v>
      </c>
      <c r="BH1048" s="198">
        <v>13.9176</v>
      </c>
      <c r="BI1048" s="198">
        <v>3.0367000000000002</v>
      </c>
      <c r="BJ1048" s="198">
        <v>18.654299999999999</v>
      </c>
      <c r="BT1048" s="1051">
        <v>43711</v>
      </c>
      <c r="BU1048" s="198">
        <v>14.8985</v>
      </c>
      <c r="BV1048" s="198">
        <v>4.9954999999999998</v>
      </c>
      <c r="BW1048" s="198">
        <v>9.0935000000000006</v>
      </c>
      <c r="BX1048" s="198">
        <v>1.6523000000000001</v>
      </c>
      <c r="BZ1048" s="1051">
        <v>43711</v>
      </c>
      <c r="CA1048" s="198">
        <v>9.1188000000000002</v>
      </c>
      <c r="CB1048" s="198">
        <v>2.7027999999999999</v>
      </c>
      <c r="CC1048" s="198">
        <v>9.4021000000000008</v>
      </c>
      <c r="CD1048" s="198">
        <v>1.09945</v>
      </c>
      <c r="CF1048" s="1051">
        <v>43707</v>
      </c>
      <c r="CG1048" s="198">
        <v>6.0007999999999999</v>
      </c>
      <c r="CH1048" s="198">
        <v>1.0947</v>
      </c>
      <c r="CI1048" s="198">
        <v>10.1874</v>
      </c>
      <c r="CL1048" s="1051">
        <v>43732</v>
      </c>
      <c r="CM1048" s="198">
        <v>14.0358</v>
      </c>
      <c r="CN1048" s="198">
        <v>1.9132</v>
      </c>
      <c r="CO1048" s="198">
        <v>10.0845</v>
      </c>
    </row>
    <row r="1049" spans="1:93" s="198" customFormat="1">
      <c r="A1049" s="1051">
        <v>43707</v>
      </c>
      <c r="B1049" s="1052">
        <f t="shared" si="162"/>
        <v>7.4306999999999999</v>
      </c>
      <c r="C1049" s="1052">
        <f t="shared" si="164"/>
        <v>6.0698999999999996</v>
      </c>
      <c r="D1049" s="1052">
        <f t="shared" si="168"/>
        <v>10.303100000000001</v>
      </c>
      <c r="E1049" s="1052">
        <f t="shared" si="169"/>
        <v>6.9587000000000003</v>
      </c>
      <c r="F1049" s="1052">
        <f t="shared" si="170"/>
        <v>11.805099999999999</v>
      </c>
      <c r="G1049" s="1052">
        <f t="shared" si="171"/>
        <v>6.9097</v>
      </c>
      <c r="H1049" s="1047">
        <f t="shared" si="165"/>
        <v>6.9587000000000003</v>
      </c>
      <c r="I1049" s="1048">
        <f t="shared" si="163"/>
        <v>6.7828761119174574E-2</v>
      </c>
      <c r="J1049" s="1048">
        <f t="shared" si="166"/>
        <v>0.12093838824177333</v>
      </c>
      <c r="K1049" s="1048">
        <f t="shared" si="167"/>
        <v>0.1</v>
      </c>
      <c r="L1049" s="1048"/>
      <c r="N1049" s="1051">
        <v>43707</v>
      </c>
      <c r="O1049" s="1053">
        <v>7.4306999999999999</v>
      </c>
      <c r="P1049" s="1053">
        <v>1.1706000000000001</v>
      </c>
      <c r="Q1049" s="1053">
        <v>10.952400000000001</v>
      </c>
      <c r="R1049" s="1054">
        <f>'B. PE'!$U$23</f>
        <v>15.978235616082999</v>
      </c>
      <c r="S1049" s="1054"/>
      <c r="T1049" s="1054"/>
      <c r="V1049" s="1051">
        <v>43707</v>
      </c>
      <c r="W1049" s="198">
        <v>6.0698999999999996</v>
      </c>
      <c r="X1049" s="198">
        <v>0.45219999999999999</v>
      </c>
      <c r="Y1049" s="198">
        <v>6.2967000000000004</v>
      </c>
      <c r="Z1049" s="198">
        <v>0.27889999999999998</v>
      </c>
      <c r="AB1049" s="1051">
        <v>43671</v>
      </c>
      <c r="AC1049" s="198">
        <v>12.1226</v>
      </c>
      <c r="AD1049" s="1053">
        <v>1.3401000000000001</v>
      </c>
      <c r="AE1049" s="198">
        <v>7.4069000000000003</v>
      </c>
      <c r="AF1049" s="198">
        <v>2.7820000000000001E-2</v>
      </c>
      <c r="AH1049" s="1051">
        <v>43671</v>
      </c>
      <c r="AI1049" s="198">
        <v>9.8501999999999992</v>
      </c>
      <c r="AJ1049" s="198">
        <v>1.6902999999999999</v>
      </c>
      <c r="AK1049" s="198">
        <v>5.7950999999999997</v>
      </c>
      <c r="AL1049" s="198">
        <v>1.874E-2</v>
      </c>
      <c r="AN1049" s="1051">
        <v>43675</v>
      </c>
      <c r="AO1049" s="198">
        <v>7.0937999999999999</v>
      </c>
      <c r="AP1049" s="198">
        <v>0.64270000000000005</v>
      </c>
      <c r="AQ1049" s="198">
        <v>5.0389999999999997</v>
      </c>
      <c r="AR1049" s="198">
        <v>0.1263</v>
      </c>
      <c r="AT1049" s="1051">
        <v>43593</v>
      </c>
      <c r="AU1049" s="198">
        <v>7.8131000000000004</v>
      </c>
      <c r="AV1049" s="198">
        <v>0.50490000000000002</v>
      </c>
      <c r="AW1049" s="198">
        <v>5.8474000000000004</v>
      </c>
      <c r="AX1049" s="198">
        <v>0.11694</v>
      </c>
      <c r="BA1049" s="1051">
        <v>43657</v>
      </c>
      <c r="BB1049" s="198">
        <v>6.9851999999999999</v>
      </c>
      <c r="BC1049" s="198">
        <v>1.4907999999999999</v>
      </c>
      <c r="BD1049" s="198">
        <v>7.4016999999999999</v>
      </c>
      <c r="BE1049" s="198">
        <v>0.30832999999999999</v>
      </c>
      <c r="BG1049" s="1051">
        <v>43657</v>
      </c>
      <c r="BH1049" s="198">
        <v>14.1661</v>
      </c>
      <c r="BI1049" s="198">
        <v>3.0909</v>
      </c>
      <c r="BJ1049" s="198">
        <v>18.877199999999998</v>
      </c>
      <c r="BT1049" s="1051">
        <v>43707</v>
      </c>
      <c r="BU1049" s="198">
        <v>14.809799999999999</v>
      </c>
      <c r="BV1049" s="198">
        <v>4.9657</v>
      </c>
      <c r="BW1049" s="198">
        <v>9.0402000000000005</v>
      </c>
      <c r="BX1049" s="198">
        <v>1.6344000000000001</v>
      </c>
      <c r="BZ1049" s="1051">
        <v>43707</v>
      </c>
      <c r="CA1049" s="198">
        <v>9.5077999999999996</v>
      </c>
      <c r="CB1049" s="198">
        <v>2.8180999999999998</v>
      </c>
      <c r="CC1049" s="198">
        <v>9.6925000000000008</v>
      </c>
      <c r="CD1049" s="198">
        <v>1.0990200000000001</v>
      </c>
      <c r="CF1049" s="1051">
        <v>43706</v>
      </c>
      <c r="CI1049" s="198">
        <v>10.2149</v>
      </c>
      <c r="CL1049" s="1051">
        <v>43731</v>
      </c>
      <c r="CM1049" s="198">
        <v>13.656599999999999</v>
      </c>
      <c r="CN1049" s="198">
        <v>1.8614999999999999</v>
      </c>
      <c r="CO1049" s="198">
        <v>9.8195999999999994</v>
      </c>
    </row>
    <row r="1050" spans="1:93" s="198" customFormat="1">
      <c r="A1050" s="1051">
        <v>43706</v>
      </c>
      <c r="B1050" s="1052">
        <f t="shared" si="162"/>
        <v>7.3672000000000004</v>
      </c>
      <c r="C1050" s="1052">
        <f t="shared" si="164"/>
        <v>6.0698999999999996</v>
      </c>
      <c r="D1050" s="1052">
        <f t="shared" si="168"/>
        <v>10.303100000000001</v>
      </c>
      <c r="E1050" s="1052">
        <f t="shared" si="169"/>
        <v>6.9587000000000003</v>
      </c>
      <c r="F1050" s="1052">
        <f t="shared" si="170"/>
        <v>11.6187</v>
      </c>
      <c r="G1050" s="1052">
        <f t="shared" si="171"/>
        <v>6.9097</v>
      </c>
      <c r="H1050" s="1047">
        <f t="shared" si="165"/>
        <v>6.9587000000000003</v>
      </c>
      <c r="I1050" s="1048">
        <f t="shared" si="163"/>
        <v>5.8703493468607704E-2</v>
      </c>
      <c r="J1050" s="1048">
        <f t="shared" si="166"/>
        <v>0.12093838824177333</v>
      </c>
      <c r="K1050" s="1048">
        <f t="shared" si="167"/>
        <v>0.1</v>
      </c>
      <c r="L1050" s="1048"/>
      <c r="N1050" s="1051">
        <v>43706</v>
      </c>
      <c r="O1050" s="1053">
        <v>7.3672000000000004</v>
      </c>
      <c r="P1050" s="1053">
        <v>1.1606000000000001</v>
      </c>
      <c r="Q1050" s="1053">
        <v>10.903</v>
      </c>
      <c r="R1050" s="1054">
        <f>'B. PE'!$U$23</f>
        <v>15.978235616082999</v>
      </c>
      <c r="S1050" s="1054"/>
      <c r="T1050" s="1054"/>
      <c r="V1050" s="1051">
        <v>43706</v>
      </c>
      <c r="W1050" s="198">
        <v>6.0698999999999996</v>
      </c>
      <c r="X1050" s="198">
        <v>0.45219999999999999</v>
      </c>
      <c r="Y1050" s="198">
        <v>6.2967000000000004</v>
      </c>
      <c r="Z1050" s="198">
        <v>0.27718999999999999</v>
      </c>
      <c r="AB1050" s="1051">
        <v>43670</v>
      </c>
      <c r="AC1050" s="198">
        <v>11.6563</v>
      </c>
      <c r="AD1050" s="1053">
        <v>1.2886</v>
      </c>
      <c r="AE1050" s="198">
        <v>7.2112999999999996</v>
      </c>
      <c r="AF1050" s="198">
        <v>2.7619999999999999E-2</v>
      </c>
      <c r="AH1050" s="1051">
        <v>43670</v>
      </c>
      <c r="AI1050" s="198">
        <v>9.6991999999999994</v>
      </c>
      <c r="AJ1050" s="198">
        <v>1.6644000000000001</v>
      </c>
      <c r="AK1050" s="198">
        <v>5.7171000000000003</v>
      </c>
      <c r="AL1050" s="198">
        <v>1.8800000000000001E-2</v>
      </c>
      <c r="AN1050" s="1051">
        <v>43672</v>
      </c>
      <c r="AO1050" s="198">
        <v>7.0937999999999999</v>
      </c>
      <c r="AP1050" s="198">
        <v>0.64270000000000005</v>
      </c>
      <c r="AQ1050" s="198">
        <v>5.0389999999999997</v>
      </c>
      <c r="AR1050" s="198">
        <v>0.12636</v>
      </c>
      <c r="AT1050" s="1051">
        <v>43592</v>
      </c>
      <c r="AU1050" s="198">
        <v>7.6504000000000003</v>
      </c>
      <c r="AV1050" s="198">
        <v>0.49440000000000001</v>
      </c>
      <c r="AW1050" s="198">
        <v>5.7619999999999996</v>
      </c>
      <c r="AX1050" s="198">
        <v>0.11605</v>
      </c>
      <c r="BA1050" s="1051">
        <v>43656</v>
      </c>
      <c r="BB1050" s="198">
        <v>7.0983999999999998</v>
      </c>
      <c r="BC1050" s="198">
        <v>1.5149999999999999</v>
      </c>
      <c r="BD1050" s="198">
        <v>7.4810999999999996</v>
      </c>
      <c r="BE1050" s="198">
        <v>0.30513000000000001</v>
      </c>
      <c r="BG1050" s="1051">
        <v>43656</v>
      </c>
      <c r="BH1050" s="198">
        <v>14.4146</v>
      </c>
      <c r="BI1050" s="198">
        <v>3.1450999999999998</v>
      </c>
      <c r="BJ1050" s="198">
        <v>19.100100000000001</v>
      </c>
      <c r="BT1050" s="1051">
        <v>43706</v>
      </c>
      <c r="BU1050" s="198">
        <v>14.569100000000001</v>
      </c>
      <c r="BV1050" s="198">
        <v>4.8849999999999998</v>
      </c>
      <c r="BW1050" s="198">
        <v>8.8955000000000002</v>
      </c>
      <c r="BX1050" s="198">
        <v>1.6378999999999999</v>
      </c>
      <c r="BZ1050" s="1051">
        <v>43706</v>
      </c>
      <c r="CA1050" s="198">
        <v>9.5077999999999996</v>
      </c>
      <c r="CB1050" s="198">
        <v>2.8180999999999998</v>
      </c>
      <c r="CC1050" s="198">
        <v>9.6925000000000008</v>
      </c>
      <c r="CD1050" s="198">
        <v>1.1381300000000001</v>
      </c>
      <c r="CF1050" s="1051">
        <v>43705</v>
      </c>
      <c r="CG1050" s="198">
        <v>6.0507999999999997</v>
      </c>
      <c r="CH1050" s="198">
        <v>1.1037999999999999</v>
      </c>
      <c r="CI1050" s="198">
        <v>10.2149</v>
      </c>
      <c r="CL1050" s="1051">
        <v>43728</v>
      </c>
      <c r="CM1050" s="198">
        <v>14.145</v>
      </c>
      <c r="CN1050" s="198">
        <v>1.9280999999999999</v>
      </c>
      <c r="CO1050" s="198">
        <v>10.1608</v>
      </c>
    </row>
    <row r="1051" spans="1:93" s="198" customFormat="1">
      <c r="A1051" s="1051">
        <v>43705</v>
      </c>
      <c r="B1051" s="1052">
        <f t="shared" si="162"/>
        <v>7.2401999999999997</v>
      </c>
      <c r="C1051" s="1052">
        <f t="shared" si="164"/>
        <v>6.0621</v>
      </c>
      <c r="D1051" s="1052">
        <f t="shared" si="168"/>
        <v>10.076599999999999</v>
      </c>
      <c r="E1051" s="1052">
        <f t="shared" si="169"/>
        <v>6.8235000000000001</v>
      </c>
      <c r="F1051" s="1052">
        <f t="shared" si="170"/>
        <v>11.6187</v>
      </c>
      <c r="G1051" s="1052">
        <f t="shared" si="171"/>
        <v>6.7964000000000002</v>
      </c>
      <c r="H1051" s="1047">
        <f t="shared" si="165"/>
        <v>6.8235000000000001</v>
      </c>
      <c r="I1051" s="1048">
        <f t="shared" si="163"/>
        <v>6.1068366673994179E-2</v>
      </c>
      <c r="J1051" s="1048">
        <f t="shared" si="166"/>
        <v>0.12093838824177333</v>
      </c>
      <c r="K1051" s="1048">
        <f t="shared" si="167"/>
        <v>0.1</v>
      </c>
      <c r="L1051" s="1048"/>
      <c r="N1051" s="1051">
        <v>43705</v>
      </c>
      <c r="O1051" s="1053">
        <v>7.2401999999999997</v>
      </c>
      <c r="P1051" s="1053">
        <v>1.1406000000000001</v>
      </c>
      <c r="Q1051" s="1053">
        <v>10.8042</v>
      </c>
      <c r="R1051" s="1054">
        <f>'B. PE'!$U$23</f>
        <v>15.978235616082999</v>
      </c>
      <c r="S1051" s="1054"/>
      <c r="T1051" s="1054"/>
      <c r="V1051" s="1051">
        <v>43705</v>
      </c>
      <c r="W1051" s="198">
        <v>6.0621</v>
      </c>
      <c r="X1051" s="198">
        <v>0.4516</v>
      </c>
      <c r="Y1051" s="198">
        <v>6.2935999999999996</v>
      </c>
      <c r="Z1051" s="198">
        <v>0.27714</v>
      </c>
      <c r="AB1051" s="1051">
        <v>43669</v>
      </c>
      <c r="AC1051" s="198">
        <v>12.0915</v>
      </c>
      <c r="AD1051" s="1053">
        <v>1.3367</v>
      </c>
      <c r="AE1051" s="198">
        <v>7.3937999999999997</v>
      </c>
      <c r="AF1051" s="198">
        <v>2.8649999999999998E-2</v>
      </c>
      <c r="AH1051" s="1051">
        <v>43669</v>
      </c>
      <c r="AI1051" s="198">
        <v>9.8879000000000001</v>
      </c>
      <c r="AJ1051" s="198">
        <v>1.6968000000000001</v>
      </c>
      <c r="AK1051" s="198">
        <v>5.8146000000000004</v>
      </c>
      <c r="AL1051" s="198">
        <v>1.8669999999999999E-2</v>
      </c>
      <c r="AN1051" s="1051">
        <v>43671</v>
      </c>
      <c r="AO1051" s="198">
        <v>7.0262000000000002</v>
      </c>
      <c r="AP1051" s="198">
        <v>0.63649999999999995</v>
      </c>
      <c r="AQ1051" s="198">
        <v>4.9871999999999996</v>
      </c>
      <c r="AR1051" s="198">
        <v>0.12631999999999999</v>
      </c>
      <c r="AT1051" s="1051">
        <v>43591</v>
      </c>
      <c r="AU1051" s="198">
        <v>7.8944999999999999</v>
      </c>
      <c r="AV1051" s="198">
        <v>0.5101</v>
      </c>
      <c r="AW1051" s="198">
        <v>5.8902999999999999</v>
      </c>
      <c r="AX1051" s="198">
        <v>0.11607000000000001</v>
      </c>
      <c r="BA1051" s="1051">
        <v>43655</v>
      </c>
      <c r="BB1051" s="198">
        <v>7.1740000000000004</v>
      </c>
      <c r="BC1051" s="198">
        <v>1.5310999999999999</v>
      </c>
      <c r="BD1051" s="198">
        <v>7.5340999999999996</v>
      </c>
      <c r="BE1051" s="198">
        <v>0.30058000000000001</v>
      </c>
      <c r="BG1051" s="1051">
        <v>43655</v>
      </c>
      <c r="BH1051" s="198">
        <v>14.1661</v>
      </c>
      <c r="BI1051" s="198">
        <v>3.0909</v>
      </c>
      <c r="BJ1051" s="198">
        <v>18.877199999999998</v>
      </c>
      <c r="BT1051" s="1051">
        <v>43705</v>
      </c>
      <c r="BU1051" s="198">
        <v>14.417</v>
      </c>
      <c r="BV1051" s="198">
        <v>4.8339999999999996</v>
      </c>
      <c r="BW1051" s="198">
        <v>8.8041</v>
      </c>
      <c r="BX1051" s="198">
        <v>1.6720999999999999</v>
      </c>
      <c r="BZ1051" s="1051">
        <v>43705</v>
      </c>
      <c r="CA1051" s="198">
        <v>9.5077999999999996</v>
      </c>
      <c r="CB1051" s="198">
        <v>2.8180999999999998</v>
      </c>
      <c r="CC1051" s="198">
        <v>9.6925000000000008</v>
      </c>
      <c r="CD1051" s="198">
        <v>1.14168</v>
      </c>
      <c r="CF1051" s="1051">
        <v>43704</v>
      </c>
      <c r="CI1051" s="198">
        <v>10.2149</v>
      </c>
      <c r="CL1051" s="1051">
        <v>43727</v>
      </c>
      <c r="CM1051" s="198">
        <v>14.2254</v>
      </c>
      <c r="CN1051" s="198">
        <v>1.9390000000000001</v>
      </c>
      <c r="CO1051" s="198">
        <v>10.217000000000001</v>
      </c>
    </row>
    <row r="1052" spans="1:93" s="198" customFormat="1">
      <c r="A1052" s="1051">
        <v>43704</v>
      </c>
      <c r="B1052" s="1052">
        <f t="shared" si="162"/>
        <v>7.3989000000000003</v>
      </c>
      <c r="C1052" s="1052">
        <f t="shared" si="164"/>
        <v>6.0225999999999997</v>
      </c>
      <c r="D1052" s="1052">
        <f t="shared" si="168"/>
        <v>10.1144</v>
      </c>
      <c r="E1052" s="1052">
        <f t="shared" si="169"/>
        <v>6.7560000000000002</v>
      </c>
      <c r="F1052" s="1052">
        <f t="shared" si="170"/>
        <v>11.6808</v>
      </c>
      <c r="G1052" s="1052">
        <f t="shared" si="171"/>
        <v>6.7964000000000002</v>
      </c>
      <c r="H1052" s="1047">
        <f t="shared" si="165"/>
        <v>6.7964000000000002</v>
      </c>
      <c r="I1052" s="1048">
        <f t="shared" si="163"/>
        <v>8.8649873462421258E-2</v>
      </c>
      <c r="J1052" s="1048">
        <f t="shared" si="166"/>
        <v>0.12093838824177333</v>
      </c>
      <c r="K1052" s="1048">
        <f t="shared" si="167"/>
        <v>0.1</v>
      </c>
      <c r="L1052" s="1048"/>
      <c r="N1052" s="1051">
        <v>43704</v>
      </c>
      <c r="O1052" s="1053">
        <v>7.3989000000000003</v>
      </c>
      <c r="P1052" s="1053">
        <v>1.1656</v>
      </c>
      <c r="Q1052" s="1053">
        <v>10.9277</v>
      </c>
      <c r="R1052" s="1054">
        <f>'B. PE'!$U$23</f>
        <v>15.978235616082999</v>
      </c>
      <c r="S1052" s="1054"/>
      <c r="T1052" s="1054"/>
      <c r="V1052" s="1051">
        <v>43704</v>
      </c>
      <c r="W1052" s="198">
        <v>6.0225999999999997</v>
      </c>
      <c r="X1052" s="198">
        <v>0.44869999999999999</v>
      </c>
      <c r="Y1052" s="198">
        <v>6.2785000000000002</v>
      </c>
      <c r="Z1052" s="198">
        <v>0.27206999999999998</v>
      </c>
      <c r="AB1052" s="1051">
        <v>43668</v>
      </c>
      <c r="AC1052" s="198">
        <v>11.9671</v>
      </c>
      <c r="AD1052" s="1053">
        <v>1.323</v>
      </c>
      <c r="AE1052" s="198">
        <v>7.3417000000000003</v>
      </c>
      <c r="AF1052" s="198">
        <v>2.8379999999999999E-2</v>
      </c>
      <c r="AH1052" s="1051">
        <v>43668</v>
      </c>
      <c r="AI1052" s="198">
        <v>9.8879000000000001</v>
      </c>
      <c r="AJ1052" s="198">
        <v>1.6968000000000001</v>
      </c>
      <c r="AK1052" s="198">
        <v>5.8146000000000004</v>
      </c>
      <c r="AL1052" s="198">
        <v>1.7989999999999999E-2</v>
      </c>
      <c r="AN1052" s="1051">
        <v>43670</v>
      </c>
      <c r="AO1052" s="198">
        <v>7.0262000000000002</v>
      </c>
      <c r="AP1052" s="198">
        <v>0.63649999999999995</v>
      </c>
      <c r="AQ1052" s="198">
        <v>4.9871999999999996</v>
      </c>
      <c r="AR1052" s="198">
        <v>0.12645000000000001</v>
      </c>
      <c r="AT1052" s="1051">
        <v>43588</v>
      </c>
      <c r="AU1052" s="198">
        <v>7.8131000000000004</v>
      </c>
      <c r="AV1052" s="198">
        <v>0.50490000000000002</v>
      </c>
      <c r="AW1052" s="198">
        <v>5.8475999999999999</v>
      </c>
      <c r="AX1052" s="198">
        <v>0.11724999999999999</v>
      </c>
      <c r="BA1052" s="1051">
        <v>43654</v>
      </c>
      <c r="BB1052" s="198">
        <v>7.0983999999999998</v>
      </c>
      <c r="BC1052" s="198">
        <v>1.5149999999999999</v>
      </c>
      <c r="BD1052" s="198">
        <v>7.4810999999999996</v>
      </c>
      <c r="BE1052" s="198">
        <v>0.30321999999999999</v>
      </c>
      <c r="BG1052" s="1051">
        <v>43654</v>
      </c>
      <c r="BH1052" s="198">
        <v>14.0418</v>
      </c>
      <c r="BI1052" s="198">
        <v>3.0638000000000001</v>
      </c>
      <c r="BJ1052" s="198">
        <v>18.765699999999999</v>
      </c>
      <c r="BT1052" s="1051">
        <v>43704</v>
      </c>
      <c r="BU1052" s="198">
        <v>14.442399999999999</v>
      </c>
      <c r="BV1052" s="198">
        <v>4.8425000000000002</v>
      </c>
      <c r="BW1052" s="198">
        <v>8.8193000000000001</v>
      </c>
      <c r="BX1052" s="198">
        <v>1.6736</v>
      </c>
      <c r="BZ1052" s="1051">
        <v>43704</v>
      </c>
      <c r="CA1052" s="198">
        <v>9.8427000000000007</v>
      </c>
      <c r="CB1052" s="198">
        <v>2.9173</v>
      </c>
      <c r="CC1052" s="198">
        <v>9.9426000000000005</v>
      </c>
      <c r="CD1052" s="198">
        <v>1.19919</v>
      </c>
      <c r="CF1052" s="1051">
        <v>43703</v>
      </c>
      <c r="CG1052" s="198">
        <v>6.0507999999999997</v>
      </c>
      <c r="CH1052" s="198">
        <v>1.1037999999999999</v>
      </c>
      <c r="CI1052" s="198">
        <v>10.2149</v>
      </c>
      <c r="CL1052" s="1051">
        <v>43726</v>
      </c>
      <c r="CM1052" s="198">
        <v>14.127700000000001</v>
      </c>
      <c r="CN1052" s="198">
        <v>1.9257</v>
      </c>
      <c r="CO1052" s="198">
        <v>10.1488</v>
      </c>
    </row>
    <row r="1053" spans="1:93" s="198" customFormat="1">
      <c r="A1053" s="1051">
        <v>43703</v>
      </c>
      <c r="B1053" s="1052">
        <f t="shared" si="162"/>
        <v>7.5259999999999998</v>
      </c>
      <c r="C1053" s="1052">
        <f t="shared" si="164"/>
        <v>6.0225999999999997</v>
      </c>
      <c r="D1053" s="1052">
        <f t="shared" si="168"/>
        <v>9.8501999999999992</v>
      </c>
      <c r="E1053" s="1052">
        <f t="shared" si="169"/>
        <v>6.8235000000000001</v>
      </c>
      <c r="F1053" s="1052">
        <f t="shared" si="170"/>
        <v>11.6808</v>
      </c>
      <c r="G1053" s="1052">
        <f t="shared" si="171"/>
        <v>6.7964000000000002</v>
      </c>
      <c r="H1053" s="1047">
        <f t="shared" si="165"/>
        <v>6.8235000000000001</v>
      </c>
      <c r="I1053" s="1048">
        <f t="shared" si="163"/>
        <v>0.10295302996995681</v>
      </c>
      <c r="J1053" s="1048">
        <f t="shared" si="166"/>
        <v>0.12093838824177333</v>
      </c>
      <c r="K1053" s="1048">
        <f t="shared" si="167"/>
        <v>0.1</v>
      </c>
      <c r="L1053" s="1048"/>
      <c r="N1053" s="1051">
        <v>43703</v>
      </c>
      <c r="O1053" s="1053">
        <v>7.5259999999999998</v>
      </c>
      <c r="P1053" s="1053">
        <v>1.1857</v>
      </c>
      <c r="Q1053" s="1053">
        <v>11.0265</v>
      </c>
      <c r="R1053" s="1054">
        <f>'B. PE'!$U$23</f>
        <v>15.978235616082999</v>
      </c>
      <c r="S1053" s="1054"/>
      <c r="T1053" s="1054"/>
      <c r="V1053" s="1051">
        <v>43703</v>
      </c>
      <c r="W1053" s="198">
        <v>6.0225999999999997</v>
      </c>
      <c r="X1053" s="198">
        <v>0.44869999999999999</v>
      </c>
      <c r="Y1053" s="198">
        <v>6.2785000000000002</v>
      </c>
      <c r="Z1053" s="198">
        <v>0.27350999999999998</v>
      </c>
      <c r="AB1053" s="1051">
        <v>43665</v>
      </c>
      <c r="AC1053" s="198">
        <v>12.4023</v>
      </c>
      <c r="AD1053" s="1053">
        <v>1.3711</v>
      </c>
      <c r="AE1053" s="198">
        <v>7.5242000000000004</v>
      </c>
      <c r="AF1053" s="198">
        <v>2.8580000000000001E-2</v>
      </c>
      <c r="AH1053" s="1051">
        <v>43665</v>
      </c>
      <c r="AI1053" s="198">
        <v>9.8125</v>
      </c>
      <c r="AJ1053" s="198">
        <v>1.6838</v>
      </c>
      <c r="AK1053" s="198">
        <v>5.7755999999999998</v>
      </c>
      <c r="AL1053" s="198">
        <v>1.8120000000000001E-2</v>
      </c>
      <c r="AN1053" s="1051">
        <v>43669</v>
      </c>
      <c r="AO1053" s="198">
        <v>7.0262000000000002</v>
      </c>
      <c r="AP1053" s="198">
        <v>0.63649999999999995</v>
      </c>
      <c r="AQ1053" s="198">
        <v>4.9871999999999996</v>
      </c>
      <c r="AR1053" s="198">
        <v>0.12409000000000001</v>
      </c>
      <c r="AT1053" s="1051">
        <v>43587</v>
      </c>
      <c r="AU1053" s="198">
        <v>7.8131000000000004</v>
      </c>
      <c r="AV1053" s="198">
        <v>0.50490000000000002</v>
      </c>
      <c r="AW1053" s="198">
        <v>5.8475999999999999</v>
      </c>
      <c r="AX1053" s="198">
        <v>0.11612</v>
      </c>
      <c r="BA1053" s="1051">
        <v>43651</v>
      </c>
      <c r="BB1053" s="198">
        <v>6.9851999999999999</v>
      </c>
      <c r="BC1053" s="198">
        <v>1.4907999999999999</v>
      </c>
      <c r="BD1053" s="198">
        <v>7.4016999999999999</v>
      </c>
      <c r="BE1053" s="198">
        <v>0.30882999999999999</v>
      </c>
      <c r="BG1053" s="1051">
        <v>43651</v>
      </c>
      <c r="BH1053" s="198">
        <v>14.1661</v>
      </c>
      <c r="BI1053" s="198">
        <v>3.0909</v>
      </c>
      <c r="BJ1053" s="198">
        <v>18.877199999999998</v>
      </c>
      <c r="BT1053" s="1051">
        <v>43703</v>
      </c>
      <c r="BU1053" s="198">
        <v>14.7464</v>
      </c>
      <c r="BV1053" s="198">
        <v>4.9444999999999997</v>
      </c>
      <c r="BW1053" s="198">
        <v>9.0021000000000004</v>
      </c>
      <c r="BX1053" s="198">
        <v>1.6879</v>
      </c>
      <c r="BZ1053" s="1051">
        <v>43703</v>
      </c>
      <c r="CA1053" s="198">
        <v>9.8750999999999998</v>
      </c>
      <c r="CB1053" s="198">
        <v>2.9268999999999998</v>
      </c>
      <c r="CC1053" s="198">
        <v>9.9667999999999992</v>
      </c>
      <c r="CD1053" s="198">
        <v>1.20414</v>
      </c>
      <c r="CF1053" s="1051">
        <v>43700</v>
      </c>
      <c r="CG1053" s="198">
        <v>6.2008000000000001</v>
      </c>
      <c r="CH1053" s="198">
        <v>1.1312</v>
      </c>
      <c r="CI1053" s="198">
        <v>10.2973</v>
      </c>
      <c r="CL1053" s="1051">
        <v>43725</v>
      </c>
      <c r="CM1053" s="198">
        <v>14.064500000000001</v>
      </c>
      <c r="CN1053" s="198">
        <v>1.9171</v>
      </c>
      <c r="CO1053" s="198">
        <v>10.1046</v>
      </c>
    </row>
    <row r="1054" spans="1:93" s="198" customFormat="1">
      <c r="A1054" s="1051">
        <v>43700</v>
      </c>
      <c r="B1054" s="1052">
        <f t="shared" si="162"/>
        <v>7.6847000000000003</v>
      </c>
      <c r="C1054" s="1052">
        <f t="shared" si="164"/>
        <v>5.9123000000000001</v>
      </c>
      <c r="D1054" s="1052">
        <f t="shared" si="168"/>
        <v>9.8879000000000001</v>
      </c>
      <c r="E1054" s="1052">
        <f t="shared" si="169"/>
        <v>6.9587000000000003</v>
      </c>
      <c r="F1054" s="1052">
        <f t="shared" si="170"/>
        <v>11.9915</v>
      </c>
      <c r="G1054" s="1052">
        <f t="shared" si="171"/>
        <v>6.7964000000000002</v>
      </c>
      <c r="H1054" s="1047">
        <f t="shared" si="165"/>
        <v>6.9587000000000003</v>
      </c>
      <c r="I1054" s="1048">
        <f t="shared" si="163"/>
        <v>0.10432983172144228</v>
      </c>
      <c r="J1054" s="1048">
        <f t="shared" si="166"/>
        <v>0.12093838824177333</v>
      </c>
      <c r="K1054" s="1048">
        <f t="shared" si="167"/>
        <v>0.1</v>
      </c>
      <c r="L1054" s="1048"/>
      <c r="N1054" s="1051">
        <v>43700</v>
      </c>
      <c r="O1054" s="1053">
        <v>7.6847000000000003</v>
      </c>
      <c r="P1054" s="1053">
        <v>1.2107000000000001</v>
      </c>
      <c r="Q1054" s="1053">
        <v>11.15</v>
      </c>
      <c r="R1054" s="1054">
        <f>'B. PE'!$U$23</f>
        <v>15.978235616082999</v>
      </c>
      <c r="S1054" s="1054"/>
      <c r="T1054" s="1054"/>
      <c r="V1054" s="1051">
        <v>43700</v>
      </c>
      <c r="W1054" s="198">
        <v>5.9123000000000001</v>
      </c>
      <c r="X1054" s="198">
        <v>0.4405</v>
      </c>
      <c r="Y1054" s="198">
        <v>6.2362000000000002</v>
      </c>
      <c r="Z1054" s="198">
        <v>0.27172000000000002</v>
      </c>
      <c r="AB1054" s="1051">
        <v>43664</v>
      </c>
      <c r="AC1054" s="198">
        <v>12.309100000000001</v>
      </c>
      <c r="AD1054" s="1053">
        <v>1.3608</v>
      </c>
      <c r="AE1054" s="198">
        <v>7.4851000000000001</v>
      </c>
      <c r="AF1054" s="198">
        <v>2.7799999999999998E-2</v>
      </c>
      <c r="AH1054" s="1051">
        <v>43664</v>
      </c>
      <c r="AI1054" s="198">
        <v>9.4727999999999994</v>
      </c>
      <c r="AJ1054" s="198">
        <v>1.6254999999999999</v>
      </c>
      <c r="AK1054" s="198">
        <v>5.6</v>
      </c>
      <c r="AL1054" s="198">
        <v>1.8339999999999999E-2</v>
      </c>
      <c r="AN1054" s="1051">
        <v>43668</v>
      </c>
      <c r="AO1054" s="198">
        <v>7.0262000000000002</v>
      </c>
      <c r="AP1054" s="198">
        <v>0.63649999999999995</v>
      </c>
      <c r="AQ1054" s="198">
        <v>4.9871999999999996</v>
      </c>
      <c r="AR1054" s="198">
        <v>0.124</v>
      </c>
      <c r="AT1054" s="1051">
        <v>43585</v>
      </c>
      <c r="AU1054" s="198">
        <v>7.8944999999999999</v>
      </c>
      <c r="AV1054" s="198">
        <v>0.5101</v>
      </c>
      <c r="AW1054" s="198">
        <v>5.8921000000000001</v>
      </c>
      <c r="AX1054" s="198">
        <v>0.1149</v>
      </c>
      <c r="BA1054" s="1051">
        <v>43650</v>
      </c>
      <c r="BB1054" s="198">
        <v>7.0228999999999999</v>
      </c>
      <c r="BC1054" s="198">
        <v>1.4988999999999999</v>
      </c>
      <c r="BD1054" s="198">
        <v>7.4282000000000004</v>
      </c>
      <c r="BE1054" s="198">
        <v>0.31239</v>
      </c>
      <c r="BG1054" s="1051">
        <v>43650</v>
      </c>
      <c r="BH1054" s="198">
        <v>13.9176</v>
      </c>
      <c r="BI1054" s="198">
        <v>3.0367000000000002</v>
      </c>
      <c r="BJ1054" s="198">
        <v>18.654299999999999</v>
      </c>
      <c r="BT1054" s="1051">
        <v>43700</v>
      </c>
      <c r="BU1054" s="198">
        <v>14.7591</v>
      </c>
      <c r="BV1054" s="198">
        <v>4.9486999999999997</v>
      </c>
      <c r="BW1054" s="198">
        <v>9.0098000000000003</v>
      </c>
      <c r="BX1054" s="198">
        <v>1.7282</v>
      </c>
      <c r="BZ1054" s="1051">
        <v>43700</v>
      </c>
      <c r="CA1054" s="198">
        <v>10.3721</v>
      </c>
      <c r="CB1054" s="198">
        <v>3.0741999999999998</v>
      </c>
      <c r="CC1054" s="198">
        <v>10.3378</v>
      </c>
      <c r="CD1054" s="198">
        <v>1.21424</v>
      </c>
      <c r="CF1054" s="1051">
        <v>43699</v>
      </c>
      <c r="CG1054" s="198">
        <v>5.9008000000000003</v>
      </c>
      <c r="CH1054" s="198">
        <v>1.0764</v>
      </c>
      <c r="CI1054" s="198">
        <v>10.1325</v>
      </c>
      <c r="CL1054" s="1051">
        <v>43724</v>
      </c>
      <c r="CM1054" s="198">
        <v>14.190899999999999</v>
      </c>
      <c r="CN1054" s="198">
        <v>1.9342999999999999</v>
      </c>
      <c r="CO1054" s="198">
        <v>10.1929</v>
      </c>
    </row>
    <row r="1055" spans="1:93" s="198" customFormat="1">
      <c r="A1055" s="1051">
        <v>43699</v>
      </c>
      <c r="B1055" s="1052">
        <f t="shared" si="162"/>
        <v>7.7481999999999998</v>
      </c>
      <c r="C1055" s="1052">
        <f t="shared" si="164"/>
        <v>5.9438000000000004</v>
      </c>
      <c r="D1055" s="1052">
        <f t="shared" si="168"/>
        <v>9.7746999999999993</v>
      </c>
      <c r="E1055" s="1052">
        <f t="shared" si="169"/>
        <v>7.0262000000000002</v>
      </c>
      <c r="F1055" s="1052">
        <f t="shared" si="170"/>
        <v>12.053599999999999</v>
      </c>
      <c r="G1055" s="1052">
        <f t="shared" si="171"/>
        <v>6.8341000000000003</v>
      </c>
      <c r="H1055" s="1047">
        <f t="shared" si="165"/>
        <v>7.0262000000000002</v>
      </c>
      <c r="I1055" s="1048">
        <f t="shared" si="163"/>
        <v>0.10275824770146014</v>
      </c>
      <c r="J1055" s="1048">
        <f t="shared" si="166"/>
        <v>0.12093838824177333</v>
      </c>
      <c r="K1055" s="1048">
        <f t="shared" si="167"/>
        <v>0.1</v>
      </c>
      <c r="L1055" s="1048"/>
      <c r="N1055" s="1051">
        <v>43699</v>
      </c>
      <c r="O1055" s="1053">
        <v>7.7481999999999998</v>
      </c>
      <c r="P1055" s="1053">
        <v>1.2206999999999999</v>
      </c>
      <c r="Q1055" s="1053">
        <v>11.199299999999999</v>
      </c>
      <c r="R1055" s="1054">
        <f>'B. PE'!$U$23</f>
        <v>15.978235616082999</v>
      </c>
      <c r="S1055" s="1054"/>
      <c r="T1055" s="1054"/>
      <c r="V1055" s="1051">
        <v>43699</v>
      </c>
      <c r="W1055" s="198">
        <v>5.9438000000000004</v>
      </c>
      <c r="X1055" s="198">
        <v>0.44280000000000003</v>
      </c>
      <c r="Y1055" s="198">
        <v>6.2483000000000004</v>
      </c>
      <c r="Z1055" s="198">
        <v>0.27387</v>
      </c>
      <c r="AB1055" s="1051">
        <v>43663</v>
      </c>
      <c r="AC1055" s="198">
        <v>12.4023</v>
      </c>
      <c r="AD1055" s="1053">
        <v>1.3711</v>
      </c>
      <c r="AE1055" s="198">
        <v>7.5242000000000004</v>
      </c>
      <c r="AF1055" s="198">
        <v>2.8410000000000001E-2</v>
      </c>
      <c r="AH1055" s="1051">
        <v>43663</v>
      </c>
      <c r="AI1055" s="198">
        <v>9.5482999999999993</v>
      </c>
      <c r="AJ1055" s="198">
        <v>1.6385000000000001</v>
      </c>
      <c r="AK1055" s="198">
        <v>5.6391</v>
      </c>
      <c r="AL1055" s="198">
        <v>1.8440000000000002E-2</v>
      </c>
      <c r="AN1055" s="1051">
        <v>43665</v>
      </c>
      <c r="AO1055" s="198">
        <v>6.8910999999999998</v>
      </c>
      <c r="AP1055" s="198">
        <v>0.62429999999999997</v>
      </c>
      <c r="AQ1055" s="198">
        <v>4.8826000000000001</v>
      </c>
      <c r="AR1055" s="198">
        <v>0.12393999999999999</v>
      </c>
      <c r="AT1055" s="1051">
        <v>43584</v>
      </c>
      <c r="AU1055" s="198">
        <v>7.8131000000000004</v>
      </c>
      <c r="AV1055" s="198">
        <v>0.50490000000000002</v>
      </c>
      <c r="AW1055" s="198">
        <v>5.8494000000000002</v>
      </c>
      <c r="AX1055" s="198">
        <v>0.11568000000000001</v>
      </c>
      <c r="BA1055" s="1051">
        <v>43649</v>
      </c>
      <c r="BB1055" s="198">
        <v>7.1361999999999997</v>
      </c>
      <c r="BC1055" s="198">
        <v>1.5229999999999999</v>
      </c>
      <c r="BD1055" s="198">
        <v>7.5076000000000001</v>
      </c>
      <c r="BE1055" s="198">
        <v>0.31481999999999999</v>
      </c>
      <c r="BG1055" s="1051">
        <v>43649</v>
      </c>
      <c r="BH1055" s="198">
        <v>14.0418</v>
      </c>
      <c r="BI1055" s="198">
        <v>3.0638000000000001</v>
      </c>
      <c r="BJ1055" s="198">
        <v>18.765699999999999</v>
      </c>
      <c r="BT1055" s="1051">
        <v>43699</v>
      </c>
      <c r="BU1055" s="198">
        <v>14.8858</v>
      </c>
      <c r="BV1055" s="198">
        <v>4.9912000000000001</v>
      </c>
      <c r="BW1055" s="198">
        <v>9.0859000000000005</v>
      </c>
      <c r="BX1055" s="198">
        <v>1.7238</v>
      </c>
      <c r="BZ1055" s="1051">
        <v>43699</v>
      </c>
      <c r="CA1055" s="198">
        <v>10.4153</v>
      </c>
      <c r="CB1055" s="198">
        <v>3.0871</v>
      </c>
      <c r="CC1055" s="198">
        <v>10.370100000000001</v>
      </c>
      <c r="CD1055" s="198">
        <v>1.2366200000000001</v>
      </c>
      <c r="CF1055" s="1051">
        <v>43698</v>
      </c>
      <c r="CI1055" s="198">
        <v>10.1325</v>
      </c>
      <c r="CL1055" s="1051">
        <v>43721</v>
      </c>
      <c r="CM1055" s="198">
        <v>14.277100000000001</v>
      </c>
      <c r="CN1055" s="198">
        <v>1.9460999999999999</v>
      </c>
      <c r="CO1055" s="198">
        <v>10.2531</v>
      </c>
    </row>
    <row r="1056" spans="1:93" s="198" customFormat="1">
      <c r="A1056" s="1051">
        <v>43698</v>
      </c>
      <c r="B1056" s="1052">
        <f t="shared" si="162"/>
        <v>7.7005999999999997</v>
      </c>
      <c r="C1056" s="1052">
        <f t="shared" si="164"/>
        <v>5.9043999999999999</v>
      </c>
      <c r="D1056" s="1052">
        <f t="shared" si="168"/>
        <v>9.6615000000000002</v>
      </c>
      <c r="E1056" s="1052">
        <f t="shared" si="169"/>
        <v>6.9587000000000003</v>
      </c>
      <c r="F1056" s="1052">
        <f t="shared" si="170"/>
        <v>12.1157</v>
      </c>
      <c r="G1056" s="1052">
        <f t="shared" si="171"/>
        <v>6.7209000000000003</v>
      </c>
      <c r="H1056" s="1047">
        <f t="shared" si="165"/>
        <v>6.9587000000000003</v>
      </c>
      <c r="I1056" s="1048">
        <f t="shared" si="163"/>
        <v>0.10661474125914316</v>
      </c>
      <c r="J1056" s="1048">
        <f t="shared" si="166"/>
        <v>0.12093838824177333</v>
      </c>
      <c r="K1056" s="1048">
        <f t="shared" si="167"/>
        <v>0.1</v>
      </c>
      <c r="L1056" s="1048"/>
      <c r="N1056" s="1051">
        <v>43698</v>
      </c>
      <c r="O1056" s="1053">
        <v>7.7005999999999997</v>
      </c>
      <c r="P1056" s="1053">
        <v>1.2132000000000001</v>
      </c>
      <c r="Q1056" s="1053">
        <v>11.1623</v>
      </c>
      <c r="R1056" s="1054">
        <f>'B. PE'!$U$23</f>
        <v>15.978235616082999</v>
      </c>
      <c r="S1056" s="1054"/>
      <c r="T1056" s="1054"/>
      <c r="V1056" s="1051">
        <v>43698</v>
      </c>
      <c r="W1056" s="198">
        <v>5.9043999999999999</v>
      </c>
      <c r="X1056" s="198">
        <v>0.43990000000000001</v>
      </c>
      <c r="Y1056" s="198">
        <v>6.2332000000000001</v>
      </c>
      <c r="Z1056" s="198">
        <v>0.27204</v>
      </c>
      <c r="AB1056" s="1051">
        <v>43662</v>
      </c>
      <c r="AC1056" s="198">
        <v>12.0604</v>
      </c>
      <c r="AD1056" s="1053">
        <v>1.3332999999999999</v>
      </c>
      <c r="AE1056" s="198">
        <v>7.3807999999999998</v>
      </c>
      <c r="AF1056" s="198">
        <v>2.8209999999999999E-2</v>
      </c>
      <c r="AH1056" s="1051">
        <v>43662</v>
      </c>
      <c r="AI1056" s="198">
        <v>9.6615000000000002</v>
      </c>
      <c r="AJ1056" s="198">
        <v>1.6578999999999999</v>
      </c>
      <c r="AK1056" s="198">
        <v>5.6976000000000004</v>
      </c>
      <c r="AL1056" s="198">
        <v>1.8429999999999998E-2</v>
      </c>
      <c r="AN1056" s="1051">
        <v>43664</v>
      </c>
      <c r="AO1056" s="198">
        <v>6.8910999999999998</v>
      </c>
      <c r="AP1056" s="198">
        <v>0.62429999999999997</v>
      </c>
      <c r="AQ1056" s="198">
        <v>4.8886000000000003</v>
      </c>
      <c r="AR1056" s="198">
        <v>0.12416000000000001</v>
      </c>
      <c r="AT1056" s="1051">
        <v>43581</v>
      </c>
      <c r="AU1056" s="198">
        <v>7.7317</v>
      </c>
      <c r="AV1056" s="198">
        <v>0.49959999999999999</v>
      </c>
      <c r="AW1056" s="198">
        <v>5.8067000000000002</v>
      </c>
      <c r="AX1056" s="198">
        <v>0.11620999999999999</v>
      </c>
      <c r="BA1056" s="1051">
        <v>43648</v>
      </c>
      <c r="BB1056" s="198">
        <v>7.2117000000000004</v>
      </c>
      <c r="BC1056" s="198">
        <v>1.5391999999999999</v>
      </c>
      <c r="BD1056" s="198">
        <v>7.5606</v>
      </c>
      <c r="BE1056" s="198">
        <v>0.31446000000000002</v>
      </c>
      <c r="BG1056" s="1051">
        <v>43648</v>
      </c>
      <c r="BH1056" s="198">
        <v>14.1661</v>
      </c>
      <c r="BI1056" s="198">
        <v>3.0909</v>
      </c>
      <c r="BJ1056" s="198">
        <v>18.877199999999998</v>
      </c>
      <c r="BT1056" s="1051">
        <v>43698</v>
      </c>
      <c r="BU1056" s="198">
        <v>15.240500000000001</v>
      </c>
      <c r="BV1056" s="198">
        <v>5.1101000000000001</v>
      </c>
      <c r="BW1056" s="198">
        <v>9.2992000000000008</v>
      </c>
      <c r="BX1056" s="198">
        <v>1.6935</v>
      </c>
      <c r="BZ1056" s="1051">
        <v>43698</v>
      </c>
      <c r="CA1056" s="198">
        <v>10.501799999999999</v>
      </c>
      <c r="CB1056" s="198">
        <v>3.1126999999999998</v>
      </c>
      <c r="CC1056" s="198">
        <v>10.434699999999999</v>
      </c>
      <c r="CD1056" s="198">
        <v>1.2477499999999999</v>
      </c>
      <c r="CF1056" s="1051">
        <v>43697</v>
      </c>
      <c r="CG1056" s="198">
        <v>5.9008000000000003</v>
      </c>
      <c r="CH1056" s="198">
        <v>1.0764</v>
      </c>
      <c r="CI1056" s="198">
        <v>10.1325</v>
      </c>
      <c r="CL1056" s="1051">
        <v>43720</v>
      </c>
      <c r="CM1056" s="198">
        <v>14.179500000000001</v>
      </c>
      <c r="CN1056" s="198">
        <v>1.9328000000000001</v>
      </c>
      <c r="CO1056" s="198">
        <v>10.184900000000001</v>
      </c>
    </row>
    <row r="1057" spans="1:93" s="198" customFormat="1">
      <c r="A1057" s="1051">
        <v>43697</v>
      </c>
      <c r="B1057" s="1052">
        <f t="shared" si="162"/>
        <v>7.78</v>
      </c>
      <c r="C1057" s="1052">
        <f t="shared" si="164"/>
        <v>5.9516999999999998</v>
      </c>
      <c r="D1057" s="1052">
        <f t="shared" si="168"/>
        <v>9.7370000000000001</v>
      </c>
      <c r="E1057" s="1052">
        <f t="shared" si="169"/>
        <v>6.9587000000000003</v>
      </c>
      <c r="F1057" s="1052">
        <f t="shared" si="170"/>
        <v>12.1157</v>
      </c>
      <c r="G1057" s="1052">
        <f t="shared" si="171"/>
        <v>6.7586000000000004</v>
      </c>
      <c r="H1057" s="1047">
        <f t="shared" si="165"/>
        <v>6.9587000000000003</v>
      </c>
      <c r="I1057" s="1048">
        <f t="shared" si="163"/>
        <v>0.11802491844741114</v>
      </c>
      <c r="J1057" s="1048">
        <f t="shared" si="166"/>
        <v>0.12093838824177333</v>
      </c>
      <c r="K1057" s="1048">
        <f t="shared" si="167"/>
        <v>0.1</v>
      </c>
      <c r="L1057" s="1048"/>
      <c r="N1057" s="1051">
        <v>43697</v>
      </c>
      <c r="O1057" s="1053">
        <v>7.78</v>
      </c>
      <c r="P1057" s="1053">
        <v>1.2257</v>
      </c>
      <c r="Q1057" s="1053">
        <v>11.224</v>
      </c>
      <c r="R1057" s="1054">
        <f>'B. PE'!$U$23</f>
        <v>15.978235616082999</v>
      </c>
      <c r="S1057" s="1054"/>
      <c r="T1057" s="1054"/>
      <c r="V1057" s="1051">
        <v>43697</v>
      </c>
      <c r="W1057" s="198">
        <v>5.9516999999999998</v>
      </c>
      <c r="X1057" s="198">
        <v>0.44340000000000002</v>
      </c>
      <c r="Y1057" s="198">
        <v>6.2512999999999996</v>
      </c>
      <c r="Z1057" s="198">
        <v>0.27122000000000002</v>
      </c>
      <c r="AB1057" s="1051">
        <v>43661</v>
      </c>
      <c r="AC1057" s="198">
        <v>12.309100000000001</v>
      </c>
      <c r="AD1057" s="1053">
        <v>1.3608</v>
      </c>
      <c r="AE1057" s="198">
        <v>7.4851000000000001</v>
      </c>
      <c r="AF1057" s="198">
        <v>2.9700000000000001E-2</v>
      </c>
      <c r="AH1057" s="1051">
        <v>43661</v>
      </c>
      <c r="AI1057" s="198">
        <v>9.6991999999999994</v>
      </c>
      <c r="AJ1057" s="198">
        <v>1.6644000000000001</v>
      </c>
      <c r="AK1057" s="198">
        <v>5.7171000000000003</v>
      </c>
      <c r="AL1057" s="198">
        <v>1.805E-2</v>
      </c>
      <c r="AN1057" s="1051">
        <v>43663</v>
      </c>
      <c r="AO1057" s="198">
        <v>6.8910999999999998</v>
      </c>
      <c r="AP1057" s="198">
        <v>0.62429999999999997</v>
      </c>
      <c r="AQ1057" s="198">
        <v>4.8886000000000003</v>
      </c>
      <c r="AR1057" s="198">
        <v>0.12429</v>
      </c>
      <c r="AT1057" s="1051">
        <v>43580</v>
      </c>
      <c r="AU1057" s="198">
        <v>7.8131000000000004</v>
      </c>
      <c r="AV1057" s="198">
        <v>0.50490000000000002</v>
      </c>
      <c r="AW1057" s="198">
        <v>5.8528000000000002</v>
      </c>
      <c r="AX1057" s="198">
        <v>0.11629</v>
      </c>
      <c r="BA1057" s="1051">
        <v>43647</v>
      </c>
      <c r="BB1057" s="198">
        <v>7.2872000000000003</v>
      </c>
      <c r="BC1057" s="198">
        <v>1.5552999999999999</v>
      </c>
      <c r="BD1057" s="198">
        <v>7.6135999999999999</v>
      </c>
      <c r="BE1057" s="198">
        <v>0.31347000000000003</v>
      </c>
      <c r="BG1057" s="1051">
        <v>43647</v>
      </c>
      <c r="BH1057" s="198">
        <v>13.9176</v>
      </c>
      <c r="BI1057" s="198">
        <v>3.0367000000000002</v>
      </c>
      <c r="BJ1057" s="198">
        <v>18.654299999999999</v>
      </c>
      <c r="BT1057" s="1051">
        <v>43697</v>
      </c>
      <c r="BU1057" s="198">
        <v>15.202500000000001</v>
      </c>
      <c r="BV1057" s="198">
        <v>5.0974000000000004</v>
      </c>
      <c r="BW1057" s="198">
        <v>9.2763000000000009</v>
      </c>
      <c r="BX1057" s="198">
        <v>1.6842999999999999</v>
      </c>
      <c r="BZ1057" s="1051">
        <v>43697</v>
      </c>
      <c r="CA1057" s="198">
        <v>10.696199999999999</v>
      </c>
      <c r="CB1057" s="198">
        <v>3.1703000000000001</v>
      </c>
      <c r="CC1057" s="198">
        <v>10.5799</v>
      </c>
      <c r="CD1057" s="198">
        <v>1.23858</v>
      </c>
      <c r="CF1057" s="1051">
        <v>43696</v>
      </c>
      <c r="CI1057" s="198">
        <v>10.3522</v>
      </c>
      <c r="CL1057" s="1051">
        <v>43719</v>
      </c>
      <c r="CM1057" s="198">
        <v>14.265599999999999</v>
      </c>
      <c r="CN1057" s="198">
        <v>1.9444999999999999</v>
      </c>
      <c r="CO1057" s="198">
        <v>10.245100000000001</v>
      </c>
    </row>
    <row r="1058" spans="1:93" s="198" customFormat="1">
      <c r="A1058" s="1051">
        <v>43696</v>
      </c>
      <c r="B1058" s="1052">
        <f t="shared" si="162"/>
        <v>7.3989000000000003</v>
      </c>
      <c r="C1058" s="1052">
        <f t="shared" si="164"/>
        <v>5.9123000000000001</v>
      </c>
      <c r="D1058" s="1052">
        <f t="shared" si="168"/>
        <v>9.7746999999999993</v>
      </c>
      <c r="E1058" s="1052">
        <f t="shared" si="169"/>
        <v>7.0262000000000002</v>
      </c>
      <c r="F1058" s="1052">
        <f t="shared" si="170"/>
        <v>12.24</v>
      </c>
      <c r="G1058" s="1052">
        <f t="shared" si="171"/>
        <v>6.8719000000000001</v>
      </c>
      <c r="H1058" s="1047">
        <f t="shared" si="165"/>
        <v>7.0262000000000002</v>
      </c>
      <c r="I1058" s="1048">
        <f t="shared" si="163"/>
        <v>5.3044319831487829E-2</v>
      </c>
      <c r="J1058" s="1048">
        <f t="shared" si="166"/>
        <v>0.12093838824177333</v>
      </c>
      <c r="K1058" s="1048">
        <f t="shared" si="167"/>
        <v>0.1</v>
      </c>
      <c r="L1058" s="1048"/>
      <c r="N1058" s="1051">
        <v>43696</v>
      </c>
      <c r="O1058" s="1053">
        <v>7.3989000000000003</v>
      </c>
      <c r="P1058" s="1053">
        <v>1.1656</v>
      </c>
      <c r="Q1058" s="1053">
        <v>10.9277</v>
      </c>
      <c r="R1058" s="1054">
        <f>'B. PE'!$U$23</f>
        <v>15.978235616082999</v>
      </c>
      <c r="S1058" s="1054"/>
      <c r="T1058" s="1054"/>
      <c r="V1058" s="1051">
        <v>43696</v>
      </c>
      <c r="W1058" s="198">
        <v>5.9123000000000001</v>
      </c>
      <c r="X1058" s="198">
        <v>0.4405</v>
      </c>
      <c r="Y1058" s="198">
        <v>6.2362000000000002</v>
      </c>
      <c r="Z1058" s="198">
        <v>0.27201999999999998</v>
      </c>
      <c r="AB1058" s="1051">
        <v>43658</v>
      </c>
      <c r="AC1058" s="198">
        <v>12.278</v>
      </c>
      <c r="AD1058" s="1053">
        <v>1.3573</v>
      </c>
      <c r="AE1058" s="198">
        <v>7.4721000000000002</v>
      </c>
      <c r="AF1058" s="198">
        <v>2.98E-2</v>
      </c>
      <c r="AH1058" s="1051">
        <v>43658</v>
      </c>
      <c r="AI1058" s="198">
        <v>9.7370000000000001</v>
      </c>
      <c r="AJ1058" s="198">
        <v>1.6709000000000001</v>
      </c>
      <c r="AK1058" s="198">
        <v>5.7366000000000001</v>
      </c>
      <c r="AL1058" s="198">
        <v>1.7590000000000001E-2</v>
      </c>
      <c r="AN1058" s="1051">
        <v>43662</v>
      </c>
      <c r="AO1058" s="198">
        <v>6.8910999999999998</v>
      </c>
      <c r="AP1058" s="198">
        <v>0.62429999999999997</v>
      </c>
      <c r="AQ1058" s="198">
        <v>4.8886000000000003</v>
      </c>
      <c r="AR1058" s="198">
        <v>0.124</v>
      </c>
      <c r="AT1058" s="1051">
        <v>43579</v>
      </c>
      <c r="AU1058" s="198">
        <v>7.8131000000000004</v>
      </c>
      <c r="AV1058" s="198">
        <v>0.50490000000000002</v>
      </c>
      <c r="AW1058" s="198">
        <v>5.8528000000000002</v>
      </c>
      <c r="AX1058" s="198">
        <v>0.11977</v>
      </c>
      <c r="BA1058" s="1051">
        <v>43644</v>
      </c>
      <c r="BB1058" s="198">
        <v>7.2872000000000003</v>
      </c>
      <c r="BC1058" s="198">
        <v>1.5552999999999999</v>
      </c>
      <c r="BD1058" s="198">
        <v>7.6135999999999999</v>
      </c>
      <c r="BE1058" s="198">
        <v>0.31562000000000001</v>
      </c>
      <c r="BG1058" s="1051">
        <v>43644</v>
      </c>
      <c r="BH1058" s="198">
        <v>13.420500000000001</v>
      </c>
      <c r="BI1058" s="198">
        <v>2.9281999999999999</v>
      </c>
      <c r="BJ1058" s="198">
        <v>18.208400000000001</v>
      </c>
      <c r="BT1058" s="1051">
        <v>43696</v>
      </c>
      <c r="BU1058" s="198">
        <v>14.936500000000001</v>
      </c>
      <c r="BV1058" s="198">
        <v>5.0082000000000004</v>
      </c>
      <c r="BW1058" s="198">
        <v>9.1164000000000005</v>
      </c>
      <c r="BX1058" s="198">
        <v>1.7235</v>
      </c>
      <c r="BZ1058" s="1051">
        <v>43696</v>
      </c>
      <c r="CA1058" s="198">
        <v>10.7935</v>
      </c>
      <c r="CB1058" s="198">
        <v>3.1991000000000001</v>
      </c>
      <c r="CC1058" s="198">
        <v>10.6525</v>
      </c>
      <c r="CD1058" s="198">
        <v>1.22397</v>
      </c>
      <c r="CF1058" s="1051">
        <v>43693</v>
      </c>
      <c r="CG1058" s="198">
        <v>6.3007999999999997</v>
      </c>
      <c r="CH1058" s="198">
        <v>1.1494</v>
      </c>
      <c r="CI1058" s="198">
        <v>10.3522</v>
      </c>
      <c r="CL1058" s="1051">
        <v>43718</v>
      </c>
      <c r="CM1058" s="198">
        <v>14.0875</v>
      </c>
      <c r="CN1058" s="198">
        <v>1.9201999999999999</v>
      </c>
      <c r="CO1058" s="198">
        <v>10.120699999999999</v>
      </c>
    </row>
    <row r="1059" spans="1:93" s="198" customFormat="1">
      <c r="A1059" s="1051">
        <v>43693</v>
      </c>
      <c r="B1059" s="1052">
        <f t="shared" si="162"/>
        <v>7.3513000000000002</v>
      </c>
      <c r="C1059" s="1052">
        <f t="shared" si="164"/>
        <v>5.8964999999999996</v>
      </c>
      <c r="D1059" s="1052">
        <f t="shared" si="168"/>
        <v>9.7746999999999993</v>
      </c>
      <c r="E1059" s="1052">
        <f t="shared" si="169"/>
        <v>7.0262000000000002</v>
      </c>
      <c r="F1059" s="1052">
        <f t="shared" si="170"/>
        <v>12.1157</v>
      </c>
      <c r="G1059" s="1052">
        <f t="shared" si="171"/>
        <v>6.8341000000000003</v>
      </c>
      <c r="H1059" s="1047">
        <f t="shared" si="165"/>
        <v>7.0262000000000002</v>
      </c>
      <c r="I1059" s="1048">
        <f t="shared" si="163"/>
        <v>4.6269676354216971E-2</v>
      </c>
      <c r="J1059" s="1048">
        <f t="shared" si="166"/>
        <v>0.12093838824177333</v>
      </c>
      <c r="K1059" s="1048">
        <f t="shared" si="167"/>
        <v>0.1</v>
      </c>
      <c r="L1059" s="1048"/>
      <c r="N1059" s="1051">
        <v>43693</v>
      </c>
      <c r="O1059" s="1053">
        <v>7.3513000000000002</v>
      </c>
      <c r="P1059" s="1053">
        <v>1.1580999999999999</v>
      </c>
      <c r="Q1059" s="1053">
        <v>10.890599999999999</v>
      </c>
      <c r="R1059" s="1054">
        <f>'B. PE'!$U$23</f>
        <v>15.978235616082999</v>
      </c>
      <c r="S1059" s="1054"/>
      <c r="T1059" s="1054"/>
      <c r="V1059" s="1051">
        <v>43693</v>
      </c>
      <c r="W1059" s="198">
        <v>5.8964999999999996</v>
      </c>
      <c r="X1059" s="198">
        <v>0.43930000000000002</v>
      </c>
      <c r="Y1059" s="198">
        <v>6.2301000000000002</v>
      </c>
      <c r="Z1059" s="198">
        <v>0.27165</v>
      </c>
      <c r="AB1059" s="1051">
        <v>43657</v>
      </c>
      <c r="AC1059" s="198">
        <v>12.992900000000001</v>
      </c>
      <c r="AD1059" s="1053">
        <v>1.4362999999999999</v>
      </c>
      <c r="AE1059" s="198">
        <v>7.7720000000000002</v>
      </c>
      <c r="AF1059" s="198">
        <v>2.7730000000000001E-2</v>
      </c>
      <c r="AH1059" s="1051">
        <v>43657</v>
      </c>
      <c r="AI1059" s="198">
        <v>9.5860000000000003</v>
      </c>
      <c r="AJ1059" s="198">
        <v>1.645</v>
      </c>
      <c r="AK1059" s="198">
        <v>5.6585999999999999</v>
      </c>
      <c r="AL1059" s="198">
        <v>1.7330000000000002E-2</v>
      </c>
      <c r="AN1059" s="1051">
        <v>43661</v>
      </c>
      <c r="AO1059" s="198">
        <v>6.8910999999999998</v>
      </c>
      <c r="AP1059" s="198">
        <v>0.62429999999999997</v>
      </c>
      <c r="AQ1059" s="198">
        <v>4.8886000000000003</v>
      </c>
      <c r="AR1059" s="198">
        <v>0.12392</v>
      </c>
      <c r="AT1059" s="1051">
        <v>43578</v>
      </c>
      <c r="AU1059" s="198">
        <v>7.8131000000000004</v>
      </c>
      <c r="AV1059" s="198">
        <v>0.50490000000000002</v>
      </c>
      <c r="AW1059" s="198">
        <v>5.8528000000000002</v>
      </c>
      <c r="AX1059" s="198">
        <v>0.11949</v>
      </c>
      <c r="BA1059" s="1051">
        <v>43643</v>
      </c>
      <c r="BB1059" s="198">
        <v>7.1257999999999999</v>
      </c>
      <c r="BC1059" s="198">
        <v>1.4886999999999999</v>
      </c>
      <c r="BD1059" s="198">
        <v>7.5335000000000001</v>
      </c>
      <c r="BE1059" s="198">
        <v>0.31552999999999998</v>
      </c>
      <c r="BG1059" s="1051">
        <v>43643</v>
      </c>
      <c r="BH1059" s="198">
        <v>13.0078</v>
      </c>
      <c r="BI1059" s="198">
        <v>2.5874000000000001</v>
      </c>
      <c r="BJ1059" s="198">
        <v>17.553699999999999</v>
      </c>
      <c r="BT1059" s="1051">
        <v>43693</v>
      </c>
      <c r="BU1059" s="198">
        <v>14.8604</v>
      </c>
      <c r="BV1059" s="198">
        <v>4.9827000000000004</v>
      </c>
      <c r="BW1059" s="198">
        <v>9.0707000000000004</v>
      </c>
      <c r="BX1059" s="198">
        <v>1.7077</v>
      </c>
      <c r="BZ1059" s="1051">
        <v>43693</v>
      </c>
      <c r="CA1059" s="198">
        <v>10.7178</v>
      </c>
      <c r="CB1059" s="198">
        <v>3.1766999999999999</v>
      </c>
      <c r="CC1059" s="198">
        <v>10.596</v>
      </c>
      <c r="CD1059" s="198">
        <v>1.2363999999999999</v>
      </c>
      <c r="CF1059" s="1051">
        <v>43692</v>
      </c>
      <c r="CI1059" s="198">
        <v>10.3522</v>
      </c>
      <c r="CL1059" s="1051">
        <v>43717</v>
      </c>
      <c r="CM1059" s="198">
        <v>14.064500000000001</v>
      </c>
      <c r="CN1059" s="198">
        <v>1.9171</v>
      </c>
      <c r="CO1059" s="198">
        <v>10.1046</v>
      </c>
    </row>
    <row r="1060" spans="1:93" s="198" customFormat="1">
      <c r="A1060" s="1051">
        <v>43692</v>
      </c>
      <c r="B1060" s="1052">
        <f t="shared" si="162"/>
        <v>7.4147999999999996</v>
      </c>
      <c r="C1060" s="1052">
        <f t="shared" si="164"/>
        <v>5.9123000000000001</v>
      </c>
      <c r="D1060" s="1052">
        <f t="shared" si="168"/>
        <v>9.6237999999999992</v>
      </c>
      <c r="E1060" s="1052">
        <f t="shared" si="169"/>
        <v>6.9587000000000003</v>
      </c>
      <c r="F1060" s="1052">
        <f t="shared" si="170"/>
        <v>11.9915</v>
      </c>
      <c r="G1060" s="1052">
        <f t="shared" si="171"/>
        <v>6.7586000000000004</v>
      </c>
      <c r="H1060" s="1047">
        <f t="shared" si="165"/>
        <v>6.9587000000000003</v>
      </c>
      <c r="I1060" s="1048">
        <f t="shared" si="163"/>
        <v>6.5543851581473467E-2</v>
      </c>
      <c r="J1060" s="1048">
        <f t="shared" si="166"/>
        <v>0.12093838824177333</v>
      </c>
      <c r="K1060" s="1048">
        <f t="shared" si="167"/>
        <v>0.1</v>
      </c>
      <c r="L1060" s="1048"/>
      <c r="N1060" s="1051">
        <v>43692</v>
      </c>
      <c r="O1060" s="1053">
        <v>7.4147999999999996</v>
      </c>
      <c r="P1060" s="1053">
        <v>1.1680999999999999</v>
      </c>
      <c r="Q1060" s="1053">
        <v>10.94</v>
      </c>
      <c r="R1060" s="1054">
        <f>'B. PE'!$U$23</f>
        <v>15.978235616082999</v>
      </c>
      <c r="S1060" s="1054"/>
      <c r="T1060" s="1054"/>
      <c r="V1060" s="1051">
        <v>43692</v>
      </c>
      <c r="W1060" s="198">
        <v>5.9123000000000001</v>
      </c>
      <c r="X1060" s="198">
        <v>0.4405</v>
      </c>
      <c r="Y1060" s="198">
        <v>6.2362000000000002</v>
      </c>
      <c r="Z1060" s="198">
        <v>0.27456999999999998</v>
      </c>
      <c r="AB1060" s="1051">
        <v>43656</v>
      </c>
      <c r="AC1060" s="198">
        <v>13.055099999999999</v>
      </c>
      <c r="AD1060" s="1053">
        <v>1.4432</v>
      </c>
      <c r="AE1060" s="198">
        <v>7.7980999999999998</v>
      </c>
      <c r="AF1060" s="198">
        <v>2.8629999999999999E-2</v>
      </c>
      <c r="AH1060" s="1051">
        <v>43656</v>
      </c>
      <c r="AI1060" s="198">
        <v>9.3596000000000004</v>
      </c>
      <c r="AJ1060" s="198">
        <v>1.6061000000000001</v>
      </c>
      <c r="AK1060" s="198">
        <v>5.5415000000000001</v>
      </c>
      <c r="AL1060" s="198">
        <v>1.6299999999999999E-2</v>
      </c>
      <c r="AN1060" s="1051">
        <v>43658</v>
      </c>
      <c r="AO1060" s="198">
        <v>6.8910999999999998</v>
      </c>
      <c r="AP1060" s="198">
        <v>0.62429999999999997</v>
      </c>
      <c r="AQ1060" s="198">
        <v>4.8886000000000003</v>
      </c>
      <c r="AR1060" s="198">
        <v>0.12332</v>
      </c>
      <c r="AT1060" s="1051">
        <v>43577</v>
      </c>
      <c r="AU1060" s="198">
        <v>8.0572999999999997</v>
      </c>
      <c r="AV1060" s="198">
        <v>0.52070000000000005</v>
      </c>
      <c r="AW1060" s="198">
        <v>5.9809999999999999</v>
      </c>
      <c r="AX1060" s="198">
        <v>0.11908000000000001</v>
      </c>
      <c r="BA1060" s="1051">
        <v>43642</v>
      </c>
      <c r="BB1060" s="198">
        <v>7.1627000000000001</v>
      </c>
      <c r="BC1060" s="198">
        <v>1.4964</v>
      </c>
      <c r="BD1060" s="198">
        <v>7.5609000000000002</v>
      </c>
      <c r="BE1060" s="198">
        <v>0.31304999999999999</v>
      </c>
      <c r="BG1060" s="1051">
        <v>43642</v>
      </c>
      <c r="BH1060" s="198">
        <v>13.125999999999999</v>
      </c>
      <c r="BI1060" s="198">
        <v>2.6109</v>
      </c>
      <c r="BJ1060" s="198">
        <v>17.6584</v>
      </c>
      <c r="BT1060" s="1051">
        <v>43692</v>
      </c>
      <c r="BU1060" s="198">
        <v>15.202500000000001</v>
      </c>
      <c r="BV1060" s="198">
        <v>5.0974000000000004</v>
      </c>
      <c r="BW1060" s="198">
        <v>9.2763000000000009</v>
      </c>
      <c r="BX1060" s="198">
        <v>1.6919999999999999</v>
      </c>
      <c r="BZ1060" s="1051">
        <v>43692</v>
      </c>
      <c r="CA1060" s="198">
        <v>10.588200000000001</v>
      </c>
      <c r="CB1060" s="198">
        <v>3.1383000000000001</v>
      </c>
      <c r="CC1060" s="198">
        <v>10.4992</v>
      </c>
      <c r="CD1060" s="198">
        <v>1.2714799999999999</v>
      </c>
      <c r="CF1060" s="1051">
        <v>43691</v>
      </c>
      <c r="CG1060" s="198">
        <v>6.3007999999999997</v>
      </c>
      <c r="CH1060" s="198">
        <v>1.1494</v>
      </c>
      <c r="CI1060" s="198">
        <v>10.3522</v>
      </c>
      <c r="CL1060" s="1051">
        <v>43714</v>
      </c>
      <c r="CM1060" s="198">
        <v>13.857699999999999</v>
      </c>
      <c r="CN1060" s="198">
        <v>1.8889</v>
      </c>
      <c r="CO1060" s="198">
        <v>9.9601000000000006</v>
      </c>
    </row>
    <row r="1061" spans="1:93" s="198" customFormat="1">
      <c r="A1061" s="1051">
        <v>43691</v>
      </c>
      <c r="B1061" s="1052">
        <f t="shared" si="162"/>
        <v>7.4942000000000002</v>
      </c>
      <c r="C1061" s="1052">
        <f t="shared" si="164"/>
        <v>5.9043999999999999</v>
      </c>
      <c r="D1061" s="1052">
        <f t="shared" si="168"/>
        <v>9.8501999999999992</v>
      </c>
      <c r="E1061" s="1052">
        <f t="shared" si="169"/>
        <v>7.0937999999999999</v>
      </c>
      <c r="F1061" s="1052">
        <f t="shared" si="170"/>
        <v>12.302099999999999</v>
      </c>
      <c r="G1061" s="1052">
        <f t="shared" si="171"/>
        <v>6.5320999999999998</v>
      </c>
      <c r="H1061" s="1047">
        <f t="shared" si="165"/>
        <v>7.0937999999999999</v>
      </c>
      <c r="I1061" s="1048">
        <f t="shared" si="163"/>
        <v>5.6443655022695882E-2</v>
      </c>
      <c r="J1061" s="1048">
        <f t="shared" si="166"/>
        <v>0.12093838824177333</v>
      </c>
      <c r="K1061" s="1048">
        <f t="shared" si="167"/>
        <v>0.1</v>
      </c>
      <c r="L1061" s="1048"/>
      <c r="N1061" s="1051">
        <v>43691</v>
      </c>
      <c r="O1061" s="1053">
        <v>7.4942000000000002</v>
      </c>
      <c r="P1061" s="1053">
        <v>1.1807000000000001</v>
      </c>
      <c r="Q1061" s="1053">
        <v>11.001799999999999</v>
      </c>
      <c r="R1061" s="1054">
        <f>'B. PE'!$U$23</f>
        <v>15.978235616082999</v>
      </c>
      <c r="S1061" s="1054"/>
      <c r="T1061" s="1054"/>
      <c r="V1061" s="1051">
        <v>43691</v>
      </c>
      <c r="W1061" s="198">
        <v>5.9043999999999999</v>
      </c>
      <c r="X1061" s="198">
        <v>0.43990000000000001</v>
      </c>
      <c r="Y1061" s="198">
        <v>6.2332000000000001</v>
      </c>
      <c r="Z1061" s="198">
        <v>0.27572000000000002</v>
      </c>
      <c r="AB1061" s="1051">
        <v>43655</v>
      </c>
      <c r="AC1061" s="198">
        <v>12.184699999999999</v>
      </c>
      <c r="AD1061" s="1053">
        <v>1.347</v>
      </c>
      <c r="AE1061" s="198">
        <v>7.4329999999999998</v>
      </c>
      <c r="AF1061" s="198">
        <v>2.9659999999999999E-2</v>
      </c>
      <c r="AH1061" s="1051">
        <v>43655</v>
      </c>
      <c r="AI1061" s="198">
        <v>9.2463999999999995</v>
      </c>
      <c r="AJ1061" s="198">
        <v>1.5867</v>
      </c>
      <c r="AK1061" s="198">
        <v>5.4829999999999997</v>
      </c>
      <c r="AL1061" s="198">
        <v>1.6240000000000001E-2</v>
      </c>
      <c r="AN1061" s="1051">
        <v>43657</v>
      </c>
      <c r="AO1061" s="198">
        <v>6.8910999999999998</v>
      </c>
      <c r="AP1061" s="198">
        <v>0.62429999999999997</v>
      </c>
      <c r="AQ1061" s="198">
        <v>4.8886000000000003</v>
      </c>
      <c r="AR1061" s="198">
        <v>0.12453</v>
      </c>
      <c r="AT1061" s="1051">
        <v>43574</v>
      </c>
      <c r="AU1061" s="198">
        <v>8.0572999999999997</v>
      </c>
      <c r="AV1061" s="198">
        <v>0.52070000000000005</v>
      </c>
      <c r="AW1061" s="198">
        <v>5.9809999999999999</v>
      </c>
      <c r="AX1061" s="198">
        <v>0.11605</v>
      </c>
      <c r="BA1061" s="1051">
        <v>43641</v>
      </c>
      <c r="BB1061" s="198">
        <v>7.1627000000000001</v>
      </c>
      <c r="BC1061" s="198">
        <v>1.4964</v>
      </c>
      <c r="BD1061" s="198">
        <v>7.5609000000000002</v>
      </c>
      <c r="BE1061" s="198">
        <v>0.31835999999999998</v>
      </c>
      <c r="BG1061" s="1051">
        <v>43641</v>
      </c>
      <c r="BH1061" s="198">
        <v>12.8895</v>
      </c>
      <c r="BI1061" s="198">
        <v>2.5638999999999998</v>
      </c>
      <c r="BJ1061" s="198">
        <v>17.448899999999998</v>
      </c>
      <c r="BT1061" s="1051">
        <v>43691</v>
      </c>
      <c r="BU1061" s="198">
        <v>15.0631</v>
      </c>
      <c r="BV1061" s="198">
        <v>5.0507</v>
      </c>
      <c r="BW1061" s="198">
        <v>9.1926000000000005</v>
      </c>
      <c r="BX1061" s="198">
        <v>1.6809000000000001</v>
      </c>
      <c r="BZ1061" s="1051">
        <v>43691</v>
      </c>
      <c r="CA1061" s="198">
        <v>10.696199999999999</v>
      </c>
      <c r="CB1061" s="198">
        <v>3.1703000000000001</v>
      </c>
      <c r="CC1061" s="198">
        <v>10.5799</v>
      </c>
      <c r="CD1061" s="198">
        <v>1.2942400000000001</v>
      </c>
      <c r="CF1061" s="1051">
        <v>43690</v>
      </c>
      <c r="CG1061" s="198">
        <v>6.3007999999999997</v>
      </c>
      <c r="CH1061" s="198">
        <v>1.1494</v>
      </c>
      <c r="CI1061" s="198">
        <v>10.3522</v>
      </c>
      <c r="CL1061" s="1051">
        <v>43713</v>
      </c>
      <c r="CM1061" s="198">
        <v>13.932399999999999</v>
      </c>
      <c r="CN1061" s="198">
        <v>1.8991</v>
      </c>
      <c r="CO1061" s="198">
        <v>10.0123</v>
      </c>
    </row>
    <row r="1062" spans="1:93" s="198" customFormat="1">
      <c r="A1062" s="1051">
        <v>43690</v>
      </c>
      <c r="B1062" s="1052">
        <f t="shared" si="162"/>
        <v>7.4623999999999997</v>
      </c>
      <c r="C1062" s="1052">
        <f t="shared" si="164"/>
        <v>5.9675000000000002</v>
      </c>
      <c r="D1062" s="1052">
        <f t="shared" si="168"/>
        <v>9.6615000000000002</v>
      </c>
      <c r="E1062" s="1052">
        <f t="shared" si="169"/>
        <v>7.0937999999999999</v>
      </c>
      <c r="F1062" s="1052">
        <f t="shared" si="170"/>
        <v>12.3643</v>
      </c>
      <c r="G1062" s="1052">
        <f t="shared" si="171"/>
        <v>6.5697999999999999</v>
      </c>
      <c r="H1062" s="1047">
        <f t="shared" si="165"/>
        <v>7.0937999999999999</v>
      </c>
      <c r="I1062" s="1048">
        <f t="shared" si="163"/>
        <v>5.1960867236177988E-2</v>
      </c>
      <c r="J1062" s="1048">
        <f t="shared" si="166"/>
        <v>0.12093838824177333</v>
      </c>
      <c r="K1062" s="1048">
        <f t="shared" si="167"/>
        <v>0.1</v>
      </c>
      <c r="L1062" s="1048"/>
      <c r="N1062" s="1051">
        <v>43690</v>
      </c>
      <c r="O1062" s="1053">
        <v>7.4623999999999997</v>
      </c>
      <c r="P1062" s="1053">
        <v>1.1757</v>
      </c>
      <c r="Q1062" s="1053">
        <v>10.9771</v>
      </c>
      <c r="R1062" s="1054">
        <f>'B. PE'!$U$23</f>
        <v>15.978235616082999</v>
      </c>
      <c r="S1062" s="1054"/>
      <c r="T1062" s="1054"/>
      <c r="V1062" s="1051">
        <v>43690</v>
      </c>
      <c r="W1062" s="198">
        <v>5.9675000000000002</v>
      </c>
      <c r="X1062" s="198">
        <v>0.4446</v>
      </c>
      <c r="Y1062" s="198">
        <v>6.2573999999999996</v>
      </c>
      <c r="Z1062" s="198">
        <v>0.2757</v>
      </c>
      <c r="AB1062" s="1051">
        <v>43654</v>
      </c>
      <c r="AC1062" s="198">
        <v>12.557700000000001</v>
      </c>
      <c r="AD1062" s="1053">
        <v>1.3882000000000001</v>
      </c>
      <c r="AE1062" s="198">
        <v>7.5894000000000004</v>
      </c>
      <c r="AF1062" s="198">
        <v>2.963E-2</v>
      </c>
      <c r="AH1062" s="1051">
        <v>43654</v>
      </c>
      <c r="AI1062" s="198">
        <v>8.6803000000000008</v>
      </c>
      <c r="AJ1062" s="198">
        <v>1.4895</v>
      </c>
      <c r="AK1062" s="198">
        <v>5.1905000000000001</v>
      </c>
      <c r="AL1062" s="198">
        <v>1.6590000000000001E-2</v>
      </c>
      <c r="AN1062" s="1051">
        <v>43656</v>
      </c>
      <c r="AO1062" s="198">
        <v>6.8910999999999998</v>
      </c>
      <c r="AP1062" s="198">
        <v>0.62429999999999997</v>
      </c>
      <c r="AQ1062" s="198">
        <v>4.8886000000000003</v>
      </c>
      <c r="AR1062" s="198">
        <v>0.12453</v>
      </c>
      <c r="AT1062" s="1051">
        <v>43573</v>
      </c>
      <c r="AU1062" s="198">
        <v>8.0572999999999997</v>
      </c>
      <c r="AV1062" s="198">
        <v>0.52070000000000005</v>
      </c>
      <c r="AW1062" s="198">
        <v>5.9809999999999999</v>
      </c>
      <c r="AX1062" s="198">
        <v>0.11978</v>
      </c>
      <c r="BA1062" s="1051">
        <v>43640</v>
      </c>
      <c r="BB1062" s="198">
        <v>7.0888999999999998</v>
      </c>
      <c r="BC1062" s="198">
        <v>1.4810000000000001</v>
      </c>
      <c r="BD1062" s="198">
        <v>7.5061</v>
      </c>
      <c r="BE1062" s="198">
        <v>0.32090000000000002</v>
      </c>
      <c r="BG1062" s="1051">
        <v>43640</v>
      </c>
      <c r="BH1062" s="198">
        <v>13.0078</v>
      </c>
      <c r="BI1062" s="198">
        <v>2.5874000000000001</v>
      </c>
      <c r="BJ1062" s="198">
        <v>17.553699999999999</v>
      </c>
      <c r="BT1062" s="1051">
        <v>43690</v>
      </c>
      <c r="BU1062" s="198">
        <v>14.9238</v>
      </c>
      <c r="BV1062" s="198">
        <v>5.0039999999999996</v>
      </c>
      <c r="BW1062" s="198">
        <v>9.1088000000000005</v>
      </c>
      <c r="BX1062" s="198">
        <v>1.6649</v>
      </c>
      <c r="BZ1062" s="1051">
        <v>43690</v>
      </c>
      <c r="CA1062" s="198">
        <v>10.998699999999999</v>
      </c>
      <c r="CB1062" s="198">
        <v>3.26</v>
      </c>
      <c r="CC1062" s="198">
        <v>10.8057</v>
      </c>
      <c r="CD1062" s="198">
        <v>1.2991299999999999</v>
      </c>
      <c r="CF1062" s="1051">
        <v>43689</v>
      </c>
      <c r="CG1062" s="198">
        <v>6.3007999999999997</v>
      </c>
      <c r="CH1062" s="198">
        <v>1.1494</v>
      </c>
      <c r="CI1062" s="198">
        <v>10.3522</v>
      </c>
      <c r="CL1062" s="1051">
        <v>43712</v>
      </c>
      <c r="CM1062" s="198">
        <v>13.8003</v>
      </c>
      <c r="CN1062" s="198">
        <v>1.8811</v>
      </c>
      <c r="CO1062" s="198">
        <v>9.92</v>
      </c>
    </row>
    <row r="1063" spans="1:93" s="198" customFormat="1">
      <c r="A1063" s="1051">
        <v>43689</v>
      </c>
      <c r="B1063" s="1052">
        <f t="shared" si="162"/>
        <v>7.4623999999999997</v>
      </c>
      <c r="C1063" s="1052">
        <f t="shared" si="164"/>
        <v>5.9911000000000003</v>
      </c>
      <c r="D1063" s="1052">
        <f t="shared" si="168"/>
        <v>9.6991999999999994</v>
      </c>
      <c r="E1063" s="1052">
        <f t="shared" si="169"/>
        <v>7.0937999999999999</v>
      </c>
      <c r="F1063" s="1052">
        <f t="shared" si="170"/>
        <v>12.3643</v>
      </c>
      <c r="G1063" s="1052">
        <f t="shared" si="171"/>
        <v>6.5697999999999999</v>
      </c>
      <c r="H1063" s="1047">
        <f t="shared" si="165"/>
        <v>7.0937999999999999</v>
      </c>
      <c r="I1063" s="1048">
        <f t="shared" si="163"/>
        <v>5.1960867236177988E-2</v>
      </c>
      <c r="J1063" s="1048">
        <f t="shared" si="166"/>
        <v>0.12093838824177333</v>
      </c>
      <c r="K1063" s="1048">
        <f t="shared" si="167"/>
        <v>0.1</v>
      </c>
      <c r="L1063" s="1048"/>
      <c r="N1063" s="1051">
        <v>43689</v>
      </c>
      <c r="O1063" s="1053">
        <v>7.4623999999999997</v>
      </c>
      <c r="P1063" s="1053">
        <v>1.1757</v>
      </c>
      <c r="Q1063" s="1053">
        <v>10.9771</v>
      </c>
      <c r="R1063" s="1054">
        <f>'B. PE'!$U$23</f>
        <v>15.978235616082999</v>
      </c>
      <c r="S1063" s="1054"/>
      <c r="T1063" s="1054"/>
      <c r="V1063" s="1051">
        <v>43689</v>
      </c>
      <c r="W1063" s="198">
        <v>5.9911000000000003</v>
      </c>
      <c r="X1063" s="198">
        <v>0.44629999999999997</v>
      </c>
      <c r="Y1063" s="198">
        <v>6.2664</v>
      </c>
      <c r="Z1063" s="198">
        <v>0.27374999999999999</v>
      </c>
      <c r="AB1063" s="1051">
        <v>43651</v>
      </c>
      <c r="AC1063" s="198">
        <v>13.055099999999999</v>
      </c>
      <c r="AD1063" s="1053">
        <v>1.4432</v>
      </c>
      <c r="AE1063" s="198">
        <v>7.7980999999999998</v>
      </c>
      <c r="AF1063" s="198">
        <v>3.057E-2</v>
      </c>
      <c r="AH1063" s="1051">
        <v>43651</v>
      </c>
      <c r="AI1063" s="198">
        <v>8.6803000000000008</v>
      </c>
      <c r="AJ1063" s="198">
        <v>1.4895</v>
      </c>
      <c r="AK1063" s="198">
        <v>5.1905000000000001</v>
      </c>
      <c r="AL1063" s="198">
        <v>1.6979999999999999E-2</v>
      </c>
      <c r="AN1063" s="1051">
        <v>43655</v>
      </c>
      <c r="AO1063" s="198">
        <v>6.9587000000000003</v>
      </c>
      <c r="AP1063" s="198">
        <v>0.63039999999999996</v>
      </c>
      <c r="AQ1063" s="198">
        <v>4.9413999999999998</v>
      </c>
      <c r="AR1063" s="198">
        <v>0.12443</v>
      </c>
      <c r="AT1063" s="1051">
        <v>43572</v>
      </c>
      <c r="AU1063" s="198">
        <v>7.8131000000000004</v>
      </c>
      <c r="AV1063" s="198">
        <v>0.50490000000000002</v>
      </c>
      <c r="AW1063" s="198">
        <v>5.8528000000000002</v>
      </c>
      <c r="BA1063" s="1051">
        <v>43637</v>
      </c>
      <c r="BB1063" s="198">
        <v>7.2366000000000001</v>
      </c>
      <c r="BC1063" s="198">
        <v>1.5119</v>
      </c>
      <c r="BD1063" s="198">
        <v>7.6155999999999997</v>
      </c>
      <c r="BE1063" s="198">
        <v>0.31056</v>
      </c>
      <c r="BG1063" s="1051">
        <v>43637</v>
      </c>
      <c r="BH1063" s="198">
        <v>12.8895</v>
      </c>
      <c r="BI1063" s="198">
        <v>2.5638999999999998</v>
      </c>
      <c r="BJ1063" s="198">
        <v>17.448899999999998</v>
      </c>
      <c r="BT1063" s="1051">
        <v>43689</v>
      </c>
      <c r="BU1063" s="198">
        <v>14.8224</v>
      </c>
      <c r="BV1063" s="198">
        <v>4.97</v>
      </c>
      <c r="BW1063" s="198">
        <v>9.0478000000000005</v>
      </c>
      <c r="BX1063" s="198">
        <v>1.6225000000000001</v>
      </c>
      <c r="BZ1063" s="1051">
        <v>43689</v>
      </c>
      <c r="CA1063" s="198">
        <v>11.193199999999999</v>
      </c>
      <c r="CB1063" s="198">
        <v>3.3176000000000001</v>
      </c>
      <c r="CC1063" s="198">
        <v>10.951000000000001</v>
      </c>
      <c r="CD1063" s="198">
        <v>1.2810299999999999</v>
      </c>
      <c r="CF1063" s="1051">
        <v>43686</v>
      </c>
      <c r="CG1063" s="198">
        <v>6.3007999999999997</v>
      </c>
      <c r="CH1063" s="198">
        <v>1.1494</v>
      </c>
      <c r="CI1063" s="198">
        <v>10.3522</v>
      </c>
      <c r="CL1063" s="1051">
        <v>43711</v>
      </c>
      <c r="CM1063" s="198">
        <v>13.6968</v>
      </c>
      <c r="CN1063" s="198">
        <v>1.867</v>
      </c>
      <c r="CO1063" s="198">
        <v>9.8476999999999997</v>
      </c>
    </row>
    <row r="1064" spans="1:93" s="198" customFormat="1">
      <c r="A1064" s="1051">
        <v>43686</v>
      </c>
      <c r="B1064" s="1052">
        <f t="shared" si="162"/>
        <v>7.1765999999999996</v>
      </c>
      <c r="C1064" s="1052">
        <f t="shared" si="164"/>
        <v>5.9911000000000003</v>
      </c>
      <c r="D1064" s="1052">
        <f t="shared" si="168"/>
        <v>9.6991999999999994</v>
      </c>
      <c r="E1064" s="1052">
        <f t="shared" si="169"/>
        <v>7.2289000000000003</v>
      </c>
      <c r="F1064" s="1052">
        <f t="shared" si="170"/>
        <v>12.3643</v>
      </c>
      <c r="G1064" s="1052">
        <f t="shared" si="171"/>
        <v>6.6075999999999997</v>
      </c>
      <c r="H1064" s="1047">
        <f t="shared" si="165"/>
        <v>7.2289000000000003</v>
      </c>
      <c r="I1064" s="1048">
        <f t="shared" si="163"/>
        <v>-7.2348490088396389E-3</v>
      </c>
      <c r="J1064" s="1048">
        <f t="shared" si="166"/>
        <v>0.12093838824177333</v>
      </c>
      <c r="K1064" s="1048">
        <f t="shared" si="167"/>
        <v>0.1</v>
      </c>
      <c r="L1064" s="1048"/>
      <c r="N1064" s="1051">
        <v>43686</v>
      </c>
      <c r="O1064" s="1053">
        <v>7.1765999999999996</v>
      </c>
      <c r="P1064" s="1053">
        <v>1.1306</v>
      </c>
      <c r="Q1064" s="1053">
        <v>10.754799999999999</v>
      </c>
      <c r="R1064" s="1054">
        <f>'B. PE'!$U$23</f>
        <v>15.978235616082999</v>
      </c>
      <c r="S1064" s="1054"/>
      <c r="T1064" s="1054"/>
      <c r="V1064" s="1051">
        <v>43686</v>
      </c>
      <c r="W1064" s="198">
        <v>5.9911000000000003</v>
      </c>
      <c r="X1064" s="198">
        <v>0.44629999999999997</v>
      </c>
      <c r="Y1064" s="198">
        <v>6.2664</v>
      </c>
      <c r="Z1064" s="198">
        <v>0.27483000000000002</v>
      </c>
      <c r="AB1064" s="1051">
        <v>43650</v>
      </c>
      <c r="AC1064" s="198">
        <v>12.992900000000001</v>
      </c>
      <c r="AD1064" s="1053">
        <v>1.4362999999999999</v>
      </c>
      <c r="AE1064" s="198">
        <v>7.7720000000000002</v>
      </c>
      <c r="AF1064" s="198">
        <v>2.9690000000000001E-2</v>
      </c>
      <c r="AH1064" s="1051">
        <v>43650</v>
      </c>
      <c r="AI1064" s="198">
        <v>8.8312000000000008</v>
      </c>
      <c r="AJ1064" s="198">
        <v>1.5154000000000001</v>
      </c>
      <c r="AK1064" s="198">
        <v>5.2685000000000004</v>
      </c>
      <c r="AL1064" s="198">
        <v>1.7670000000000002E-2</v>
      </c>
      <c r="AN1064" s="1051">
        <v>43654</v>
      </c>
      <c r="AO1064" s="198">
        <v>6.9587000000000003</v>
      </c>
      <c r="AP1064" s="198">
        <v>0.63039999999999996</v>
      </c>
      <c r="AQ1064" s="198">
        <v>4.9455999999999998</v>
      </c>
      <c r="AR1064" s="198">
        <v>0.12347</v>
      </c>
      <c r="AT1064" s="1051">
        <v>43571</v>
      </c>
      <c r="AU1064" s="198">
        <v>8.0572999999999997</v>
      </c>
      <c r="AV1064" s="198">
        <v>0.52070000000000005</v>
      </c>
      <c r="AW1064" s="198">
        <v>5.9809999999999999</v>
      </c>
      <c r="AX1064" s="198">
        <v>0.11909</v>
      </c>
      <c r="BA1064" s="1051">
        <v>43636</v>
      </c>
      <c r="BB1064" s="198">
        <v>7.3103999999999996</v>
      </c>
      <c r="BC1064" s="198">
        <v>1.5273000000000001</v>
      </c>
      <c r="BD1064" s="198">
        <v>7.6703999999999999</v>
      </c>
      <c r="BE1064" s="198">
        <v>0.317</v>
      </c>
      <c r="BG1064" s="1051">
        <v>43636</v>
      </c>
      <c r="BH1064" s="198">
        <v>13.125999999999999</v>
      </c>
      <c r="BI1064" s="198">
        <v>2.6109</v>
      </c>
      <c r="BJ1064" s="198">
        <v>17.6584</v>
      </c>
      <c r="BT1064" s="1051">
        <v>43686</v>
      </c>
      <c r="BU1064" s="198">
        <v>14.6831</v>
      </c>
      <c r="BV1064" s="198">
        <v>4.9231999999999996</v>
      </c>
      <c r="BW1064" s="198">
        <v>8.9641000000000002</v>
      </c>
      <c r="BX1064" s="198">
        <v>1.6368</v>
      </c>
      <c r="BZ1064" s="1051">
        <v>43686</v>
      </c>
      <c r="CA1064" s="198">
        <v>11.2364</v>
      </c>
      <c r="CB1064" s="198">
        <v>3.3304</v>
      </c>
      <c r="CC1064" s="198">
        <v>10.9832</v>
      </c>
      <c r="CD1064" s="198">
        <v>1.2759799999999999</v>
      </c>
      <c r="CF1064" s="1051">
        <v>43685</v>
      </c>
      <c r="CI1064" s="198">
        <v>10.3522</v>
      </c>
      <c r="CL1064" s="1051">
        <v>43710</v>
      </c>
      <c r="CM1064" s="198">
        <v>13.8003</v>
      </c>
      <c r="CN1064" s="198">
        <v>1.8811</v>
      </c>
      <c r="CO1064" s="198">
        <v>9.92</v>
      </c>
    </row>
    <row r="1065" spans="1:93" s="198" customFormat="1">
      <c r="A1065" s="1051">
        <v>43685</v>
      </c>
      <c r="B1065" s="1052">
        <f t="shared" si="162"/>
        <v>7.1131000000000002</v>
      </c>
      <c r="C1065" s="1052">
        <f t="shared" si="164"/>
        <v>5.9516999999999998</v>
      </c>
      <c r="D1065" s="1052">
        <f t="shared" si="168"/>
        <v>9.6991999999999994</v>
      </c>
      <c r="E1065" s="1052">
        <f t="shared" si="169"/>
        <v>7.3639999999999999</v>
      </c>
      <c r="F1065" s="1052">
        <f t="shared" si="170"/>
        <v>12.1157</v>
      </c>
      <c r="G1065" s="1052">
        <f t="shared" si="171"/>
        <v>6.6830999999999996</v>
      </c>
      <c r="H1065" s="1047">
        <f t="shared" si="165"/>
        <v>7.3639999999999999</v>
      </c>
      <c r="I1065" s="1048">
        <f t="shared" si="163"/>
        <v>-3.4071156979902151E-2</v>
      </c>
      <c r="J1065" s="1048">
        <f t="shared" si="166"/>
        <v>0.12093838824177333</v>
      </c>
      <c r="K1065" s="1048">
        <f t="shared" si="167"/>
        <v>0.1</v>
      </c>
      <c r="L1065" s="1048"/>
      <c r="N1065" s="1051">
        <v>43685</v>
      </c>
      <c r="O1065" s="1053">
        <v>7.1131000000000002</v>
      </c>
      <c r="P1065" s="1053">
        <v>1.1206</v>
      </c>
      <c r="Q1065" s="1053">
        <v>10.705399999999999</v>
      </c>
      <c r="R1065" s="1054">
        <f>'B. PE'!$U$23</f>
        <v>15.978235616082999</v>
      </c>
      <c r="S1065" s="1054"/>
      <c r="T1065" s="1054"/>
      <c r="V1065" s="1051">
        <v>43685</v>
      </c>
      <c r="W1065" s="198">
        <v>5.9516999999999998</v>
      </c>
      <c r="X1065" s="198">
        <v>0.44340000000000002</v>
      </c>
      <c r="Y1065" s="198">
        <v>6.2512999999999996</v>
      </c>
      <c r="Z1065" s="198">
        <v>0.27503</v>
      </c>
      <c r="AB1065" s="1051">
        <v>43649</v>
      </c>
      <c r="AC1065" s="198">
        <v>13.428100000000001</v>
      </c>
      <c r="AD1065" s="1053">
        <v>1.4844999999999999</v>
      </c>
      <c r="AE1065" s="198">
        <v>7.9545000000000003</v>
      </c>
      <c r="AF1065" s="198">
        <v>3.007E-2</v>
      </c>
      <c r="AH1065" s="1051">
        <v>43649</v>
      </c>
      <c r="AI1065" s="198">
        <v>9.0577000000000005</v>
      </c>
      <c r="AJ1065" s="198">
        <v>1.5543</v>
      </c>
      <c r="AK1065" s="198">
        <v>5.3855000000000004</v>
      </c>
      <c r="AL1065" s="198">
        <v>1.787E-2</v>
      </c>
      <c r="AN1065" s="1051">
        <v>43651</v>
      </c>
      <c r="AO1065" s="198">
        <v>6.9587000000000003</v>
      </c>
      <c r="AP1065" s="198">
        <v>0.63039999999999996</v>
      </c>
      <c r="AQ1065" s="198">
        <v>4.9478</v>
      </c>
      <c r="AR1065" s="198">
        <v>0.12323000000000001</v>
      </c>
      <c r="AT1065" s="1051">
        <v>43570</v>
      </c>
      <c r="AW1065" s="198">
        <v>5.9382999999999999</v>
      </c>
      <c r="AX1065" s="198">
        <v>0.11749</v>
      </c>
      <c r="BA1065" s="1051">
        <v>43635</v>
      </c>
      <c r="BB1065" s="198">
        <v>7.1627000000000001</v>
      </c>
      <c r="BC1065" s="198">
        <v>1.4964</v>
      </c>
      <c r="BD1065" s="198">
        <v>7.5609000000000002</v>
      </c>
      <c r="BE1065" s="198">
        <v>0.30614999999999998</v>
      </c>
      <c r="BG1065" s="1051">
        <v>43635</v>
      </c>
      <c r="BH1065" s="198">
        <v>12.534800000000001</v>
      </c>
      <c r="BI1065" s="198">
        <v>2.4933000000000001</v>
      </c>
      <c r="BJ1065" s="198">
        <v>17.134499999999999</v>
      </c>
      <c r="BT1065" s="1051">
        <v>43685</v>
      </c>
      <c r="BU1065" s="198">
        <v>14.3157</v>
      </c>
      <c r="BV1065" s="198">
        <v>4.8000999999999996</v>
      </c>
      <c r="BW1065" s="198">
        <v>8.7431999999999999</v>
      </c>
      <c r="BX1065" s="198">
        <v>1.5764</v>
      </c>
      <c r="BZ1065" s="1051">
        <v>43685</v>
      </c>
      <c r="CA1065" s="198">
        <v>11.0852</v>
      </c>
      <c r="CB1065" s="198">
        <v>3.2856000000000001</v>
      </c>
      <c r="CC1065" s="198">
        <v>10.8703</v>
      </c>
      <c r="CD1065" s="198">
        <v>1.28104</v>
      </c>
      <c r="CF1065" s="1051">
        <v>43684</v>
      </c>
      <c r="CI1065" s="198">
        <v>10.3522</v>
      </c>
      <c r="CL1065" s="1051">
        <v>43707</v>
      </c>
      <c r="CM1065" s="198">
        <v>13.852</v>
      </c>
      <c r="CN1065" s="198">
        <v>1.8880999999999999</v>
      </c>
      <c r="CO1065" s="198">
        <v>9.9560999999999993</v>
      </c>
    </row>
    <row r="1066" spans="1:93" s="198" customFormat="1">
      <c r="A1066" s="1051">
        <v>43684</v>
      </c>
      <c r="B1066" s="1052">
        <f t="shared" si="162"/>
        <v>6.9226000000000001</v>
      </c>
      <c r="C1066" s="1052">
        <f t="shared" si="164"/>
        <v>5.9752999999999998</v>
      </c>
      <c r="D1066" s="1052">
        <f t="shared" si="168"/>
        <v>9.5482999999999993</v>
      </c>
      <c r="E1066" s="1052">
        <f t="shared" si="169"/>
        <v>7.0937999999999999</v>
      </c>
      <c r="F1066" s="1052">
        <f t="shared" si="170"/>
        <v>11.8672</v>
      </c>
      <c r="G1066" s="1052">
        <f t="shared" si="171"/>
        <v>6.7209000000000003</v>
      </c>
      <c r="H1066" s="1047">
        <f t="shared" si="165"/>
        <v>7.0937999999999999</v>
      </c>
      <c r="I1066" s="1048">
        <f t="shared" si="163"/>
        <v>-2.4133750599114712E-2</v>
      </c>
      <c r="J1066" s="1048">
        <f t="shared" si="166"/>
        <v>0.12093838824177333</v>
      </c>
      <c r="K1066" s="1048">
        <f t="shared" si="167"/>
        <v>0.1</v>
      </c>
      <c r="L1066" s="1048"/>
      <c r="N1066" s="1051">
        <v>43684</v>
      </c>
      <c r="O1066" s="1053">
        <v>6.9226000000000001</v>
      </c>
      <c r="P1066" s="1053">
        <v>1.0906</v>
      </c>
      <c r="Q1066" s="1053">
        <v>10.5572</v>
      </c>
      <c r="R1066" s="1054">
        <f>'B. PE'!$U$23</f>
        <v>15.978235616082999</v>
      </c>
      <c r="S1066" s="1054"/>
      <c r="T1066" s="1054"/>
      <c r="V1066" s="1051">
        <v>43684</v>
      </c>
      <c r="W1066" s="198">
        <v>5.9752999999999998</v>
      </c>
      <c r="X1066" s="198">
        <v>0.44519999999999998</v>
      </c>
      <c r="Y1066" s="198">
        <v>6.2603999999999997</v>
      </c>
      <c r="Z1066" s="198">
        <v>0.27489999999999998</v>
      </c>
      <c r="AB1066" s="1051">
        <v>43648</v>
      </c>
      <c r="AC1066" s="198">
        <v>13.055099999999999</v>
      </c>
      <c r="AD1066" s="1053">
        <v>1.4432</v>
      </c>
      <c r="AE1066" s="198">
        <v>7.7980999999999998</v>
      </c>
      <c r="AF1066" s="198">
        <v>2.7189999999999999E-2</v>
      </c>
      <c r="AH1066" s="1051">
        <v>43648</v>
      </c>
      <c r="AI1066" s="198">
        <v>9.4351000000000003</v>
      </c>
      <c r="AJ1066" s="198">
        <v>1.6191</v>
      </c>
      <c r="AK1066" s="198">
        <v>5.5804999999999998</v>
      </c>
      <c r="AL1066" s="198">
        <v>1.7559999999999999E-2</v>
      </c>
      <c r="AN1066" s="1051">
        <v>43650</v>
      </c>
      <c r="AO1066" s="198">
        <v>6.8910999999999998</v>
      </c>
      <c r="AP1066" s="198">
        <v>0.62429999999999997</v>
      </c>
      <c r="AQ1066" s="198">
        <v>4.8960999999999997</v>
      </c>
      <c r="AR1066" s="198">
        <v>0.12311</v>
      </c>
      <c r="AT1066" s="1051">
        <v>43567</v>
      </c>
      <c r="AU1066" s="198">
        <v>7.9759000000000002</v>
      </c>
      <c r="AV1066" s="198">
        <v>0.51539999999999997</v>
      </c>
      <c r="AW1066" s="198">
        <v>5.9382999999999999</v>
      </c>
      <c r="AX1066" s="198">
        <v>0.11434</v>
      </c>
      <c r="BA1066" s="1051">
        <v>43634</v>
      </c>
      <c r="BB1066" s="198">
        <v>7.3103999999999996</v>
      </c>
      <c r="BC1066" s="198">
        <v>1.5273000000000001</v>
      </c>
      <c r="BD1066" s="198">
        <v>7.6703999999999999</v>
      </c>
      <c r="BE1066" s="198">
        <v>0.30580000000000002</v>
      </c>
      <c r="BG1066" s="1051">
        <v>43634</v>
      </c>
      <c r="BH1066" s="198">
        <v>12.0618</v>
      </c>
      <c r="BI1066" s="198">
        <v>2.3992</v>
      </c>
      <c r="BJ1066" s="198">
        <v>16.715399999999999</v>
      </c>
      <c r="BT1066" s="1051">
        <v>43684</v>
      </c>
      <c r="BU1066" s="198">
        <v>14.442399999999999</v>
      </c>
      <c r="BV1066" s="198">
        <v>4.8425000000000002</v>
      </c>
      <c r="BW1066" s="198">
        <v>8.8193000000000001</v>
      </c>
      <c r="BX1066" s="198">
        <v>1.5685</v>
      </c>
      <c r="BZ1066" s="1051">
        <v>43684</v>
      </c>
      <c r="CA1066" s="198">
        <v>11.042</v>
      </c>
      <c r="CB1066" s="198">
        <v>3.2728000000000002</v>
      </c>
      <c r="CC1066" s="198">
        <v>10.837999999999999</v>
      </c>
      <c r="CD1066" s="198">
        <v>1.28542</v>
      </c>
      <c r="CF1066" s="1051">
        <v>43683</v>
      </c>
      <c r="CI1066" s="198">
        <v>10.3522</v>
      </c>
      <c r="CL1066" s="1051">
        <v>43706</v>
      </c>
      <c r="CM1066" s="198">
        <v>13.6854</v>
      </c>
      <c r="CN1066" s="198">
        <v>1.8653999999999999</v>
      </c>
      <c r="CO1066" s="198">
        <v>9.8397000000000006</v>
      </c>
    </row>
    <row r="1067" spans="1:93" s="198" customFormat="1">
      <c r="A1067" s="1051">
        <v>43683</v>
      </c>
      <c r="B1067" s="1052">
        <f t="shared" si="162"/>
        <v>6.8909000000000002</v>
      </c>
      <c r="C1067" s="1052">
        <f t="shared" si="164"/>
        <v>5.9911000000000003</v>
      </c>
      <c r="D1067" s="1052">
        <f t="shared" si="168"/>
        <v>8.8689999999999998</v>
      </c>
      <c r="E1067" s="1052">
        <f t="shared" si="169"/>
        <v>7.1612999999999998</v>
      </c>
      <c r="F1067" s="1052">
        <f t="shared" si="170"/>
        <v>11.8672</v>
      </c>
      <c r="G1067" s="1052">
        <f t="shared" si="171"/>
        <v>6.7209000000000003</v>
      </c>
      <c r="H1067" s="1047">
        <f t="shared" si="165"/>
        <v>7.1612999999999998</v>
      </c>
      <c r="I1067" s="1048">
        <f t="shared" si="163"/>
        <v>-3.7758507533548369E-2</v>
      </c>
      <c r="J1067" s="1048">
        <f t="shared" si="166"/>
        <v>0.12093838824177333</v>
      </c>
      <c r="K1067" s="1048">
        <f t="shared" si="167"/>
        <v>0.1</v>
      </c>
      <c r="L1067" s="1048"/>
      <c r="N1067" s="1051">
        <v>43683</v>
      </c>
      <c r="O1067" s="1053">
        <v>6.8909000000000002</v>
      </c>
      <c r="P1067" s="1053">
        <v>1.0855999999999999</v>
      </c>
      <c r="Q1067" s="1053">
        <v>10.532500000000001</v>
      </c>
      <c r="R1067" s="1054">
        <f>'B. PE'!$U$23</f>
        <v>15.978235616082999</v>
      </c>
      <c r="S1067" s="1054"/>
      <c r="T1067" s="1054"/>
      <c r="V1067" s="1051">
        <v>43683</v>
      </c>
      <c r="W1067" s="198">
        <v>5.9911000000000003</v>
      </c>
      <c r="X1067" s="198">
        <v>0.44629999999999997</v>
      </c>
      <c r="Y1067" s="198">
        <v>6.2664</v>
      </c>
      <c r="Z1067" s="198">
        <v>0.27828000000000003</v>
      </c>
      <c r="AB1067" s="1051">
        <v>43647</v>
      </c>
      <c r="AC1067" s="198">
        <v>13.179399999999999</v>
      </c>
      <c r="AD1067" s="1053">
        <v>1.4570000000000001</v>
      </c>
      <c r="AE1067" s="198">
        <v>7.8502000000000001</v>
      </c>
      <c r="AF1067" s="198">
        <v>2.7799999999999998E-2</v>
      </c>
      <c r="AH1067" s="1051">
        <v>43647</v>
      </c>
      <c r="AI1067" s="198">
        <v>9.5105000000000004</v>
      </c>
      <c r="AJ1067" s="198">
        <v>1.6319999999999999</v>
      </c>
      <c r="AK1067" s="198">
        <v>5.6196000000000002</v>
      </c>
      <c r="AL1067" s="198">
        <v>1.7899999999999999E-2</v>
      </c>
      <c r="AN1067" s="1051">
        <v>43649</v>
      </c>
      <c r="AO1067" s="198">
        <v>6.8910999999999998</v>
      </c>
      <c r="AP1067" s="198">
        <v>0.62429999999999997</v>
      </c>
      <c r="AQ1067" s="198">
        <v>4.8990999999999998</v>
      </c>
      <c r="AR1067" s="198">
        <v>0.12339</v>
      </c>
      <c r="AT1067" s="1051">
        <v>43566</v>
      </c>
      <c r="AU1067" s="198">
        <v>7.8944999999999999</v>
      </c>
      <c r="AV1067" s="198">
        <v>0.5101</v>
      </c>
      <c r="AW1067" s="198">
        <v>5.8955000000000002</v>
      </c>
      <c r="BA1067" s="1051">
        <v>43633</v>
      </c>
      <c r="BB1067" s="198">
        <v>7.0888999999999998</v>
      </c>
      <c r="BC1067" s="198">
        <v>1.4810000000000001</v>
      </c>
      <c r="BD1067" s="198">
        <v>7.5061</v>
      </c>
      <c r="BE1067" s="198">
        <v>0.30614999999999998</v>
      </c>
      <c r="BG1067" s="1051">
        <v>43633</v>
      </c>
      <c r="BH1067" s="198">
        <v>12.18</v>
      </c>
      <c r="BI1067" s="198">
        <v>2.4228000000000001</v>
      </c>
      <c r="BJ1067" s="198">
        <v>16.8202</v>
      </c>
      <c r="BT1067" s="1051">
        <v>43683</v>
      </c>
      <c r="BU1067" s="198">
        <v>13.935600000000001</v>
      </c>
      <c r="BV1067" s="198">
        <v>4.6726000000000001</v>
      </c>
      <c r="BW1067" s="198">
        <v>8.5146999999999995</v>
      </c>
      <c r="BX1067" s="198">
        <v>1.5497000000000001</v>
      </c>
      <c r="BZ1067" s="1051">
        <v>43683</v>
      </c>
      <c r="CA1067" s="198">
        <v>11.1068</v>
      </c>
      <c r="CB1067" s="198">
        <v>3.2919999999999998</v>
      </c>
      <c r="CC1067" s="198">
        <v>10.8864</v>
      </c>
      <c r="CD1067" s="198">
        <v>1.2477100000000001</v>
      </c>
      <c r="CF1067" s="1051">
        <v>43682</v>
      </c>
      <c r="CI1067" s="198">
        <v>10.3522</v>
      </c>
      <c r="CL1067" s="1051">
        <v>43705</v>
      </c>
      <c r="CM1067" s="198">
        <v>13.5647</v>
      </c>
      <c r="CN1067" s="198">
        <v>1.849</v>
      </c>
      <c r="CO1067" s="198">
        <v>9.7553999999999998</v>
      </c>
    </row>
    <row r="1068" spans="1:93" s="198" customFormat="1">
      <c r="A1068" s="1051">
        <v>43682</v>
      </c>
      <c r="B1068" s="1052">
        <f t="shared" si="162"/>
        <v>7.0972999999999997</v>
      </c>
      <c r="C1068" s="1052">
        <f t="shared" si="164"/>
        <v>5.9911000000000003</v>
      </c>
      <c r="D1068" s="1052">
        <f t="shared" si="168"/>
        <v>9.0198999999999998</v>
      </c>
      <c r="E1068" s="1052">
        <f t="shared" si="169"/>
        <v>7.1612999999999998</v>
      </c>
      <c r="F1068" s="1052">
        <f t="shared" si="170"/>
        <v>11.9915</v>
      </c>
      <c r="G1068" s="1052">
        <f t="shared" si="171"/>
        <v>6.6454000000000004</v>
      </c>
      <c r="H1068" s="1047">
        <f t="shared" si="165"/>
        <v>7.1612999999999998</v>
      </c>
      <c r="I1068" s="1048">
        <f t="shared" si="163"/>
        <v>-8.9369248600114082E-3</v>
      </c>
      <c r="J1068" s="1048">
        <f t="shared" si="166"/>
        <v>0.12093838824177333</v>
      </c>
      <c r="K1068" s="1048">
        <f t="shared" si="167"/>
        <v>0.1</v>
      </c>
      <c r="L1068" s="1048"/>
      <c r="N1068" s="1051">
        <v>43682</v>
      </c>
      <c r="O1068" s="1053">
        <v>7.0972999999999997</v>
      </c>
      <c r="P1068" s="1053">
        <v>1.1181000000000001</v>
      </c>
      <c r="Q1068" s="1053">
        <v>10.693</v>
      </c>
      <c r="R1068" s="1054">
        <f>'B. PE'!$U$23</f>
        <v>15.978235616082999</v>
      </c>
      <c r="S1068" s="1054"/>
      <c r="T1068" s="1054"/>
      <c r="V1068" s="1051">
        <v>43682</v>
      </c>
      <c r="W1068" s="198">
        <v>5.9911000000000003</v>
      </c>
      <c r="X1068" s="198">
        <v>0.44629999999999997</v>
      </c>
      <c r="Y1068" s="198">
        <v>6.2664</v>
      </c>
      <c r="Z1068" s="198">
        <v>0.27605000000000002</v>
      </c>
      <c r="AB1068" s="1051">
        <v>43644</v>
      </c>
      <c r="AC1068" s="198">
        <v>11.9361</v>
      </c>
      <c r="AD1068" s="1053">
        <v>1.3194999999999999</v>
      </c>
      <c r="AE1068" s="198">
        <v>7.3285999999999998</v>
      </c>
      <c r="AF1068" s="198">
        <v>2.7060000000000001E-2</v>
      </c>
      <c r="AH1068" s="1051">
        <v>43644</v>
      </c>
      <c r="AI1068" s="198">
        <v>9.3596000000000004</v>
      </c>
      <c r="AJ1068" s="198">
        <v>1.6061000000000001</v>
      </c>
      <c r="AK1068" s="198">
        <v>5.5415000000000001</v>
      </c>
      <c r="AL1068" s="198">
        <v>1.7590000000000001E-2</v>
      </c>
      <c r="AN1068" s="1051">
        <v>43648</v>
      </c>
      <c r="AO1068" s="198">
        <v>6.8910999999999998</v>
      </c>
      <c r="AP1068" s="198">
        <v>0.62429999999999997</v>
      </c>
      <c r="AQ1068" s="198">
        <v>4.8997000000000002</v>
      </c>
      <c r="AR1068" s="198">
        <v>0.12085</v>
      </c>
      <c r="AT1068" s="1051">
        <v>43565</v>
      </c>
      <c r="AU1068" s="198">
        <v>7.6504000000000003</v>
      </c>
      <c r="AV1068" s="198">
        <v>0.49440000000000001</v>
      </c>
      <c r="AW1068" s="198">
        <v>5.7672999999999996</v>
      </c>
      <c r="AX1068" s="198">
        <v>0.11706999999999999</v>
      </c>
      <c r="BA1068" s="1051">
        <v>43630</v>
      </c>
      <c r="BB1068" s="198">
        <v>7.0519999999999996</v>
      </c>
      <c r="BC1068" s="198">
        <v>1.4733000000000001</v>
      </c>
      <c r="BD1068" s="198">
        <v>7.4786999999999999</v>
      </c>
      <c r="BE1068" s="198">
        <v>0.29737000000000002</v>
      </c>
      <c r="BG1068" s="1051">
        <v>43630</v>
      </c>
      <c r="BH1068" s="198">
        <v>12.298299999999999</v>
      </c>
      <c r="BI1068" s="198">
        <v>2.4462999999999999</v>
      </c>
      <c r="BJ1068" s="198">
        <v>16.925000000000001</v>
      </c>
      <c r="BT1068" s="1051">
        <v>43682</v>
      </c>
      <c r="BU1068" s="198">
        <v>13.872299999999999</v>
      </c>
      <c r="BV1068" s="198">
        <v>4.6513999999999998</v>
      </c>
      <c r="BW1068" s="198">
        <v>8.4765999999999995</v>
      </c>
      <c r="BX1068" s="198">
        <v>1.5586</v>
      </c>
      <c r="BZ1068" s="1051">
        <v>43682</v>
      </c>
      <c r="CA1068" s="198">
        <v>11.15</v>
      </c>
      <c r="CB1068" s="198">
        <v>3.3048000000000002</v>
      </c>
      <c r="CC1068" s="198">
        <v>10.918699999999999</v>
      </c>
      <c r="CD1068" s="198">
        <v>1.24661</v>
      </c>
      <c r="CF1068" s="1051">
        <v>43679</v>
      </c>
      <c r="CI1068" s="198">
        <v>10.3522</v>
      </c>
      <c r="CL1068" s="1051">
        <v>43704</v>
      </c>
      <c r="CM1068" s="198">
        <v>13.7026</v>
      </c>
      <c r="CN1068" s="198">
        <v>1.8677999999999999</v>
      </c>
      <c r="CO1068" s="198">
        <v>9.8516999999999992</v>
      </c>
    </row>
    <row r="1069" spans="1:93" s="198" customFormat="1">
      <c r="A1069" s="1051">
        <v>43679</v>
      </c>
      <c r="B1069" s="1052">
        <f t="shared" si="162"/>
        <v>7.1924999999999999</v>
      </c>
      <c r="C1069" s="1052">
        <f t="shared" si="164"/>
        <v>6.0541999999999998</v>
      </c>
      <c r="D1069" s="1052">
        <f t="shared" si="168"/>
        <v>9.8125</v>
      </c>
      <c r="E1069" s="1052">
        <f t="shared" si="169"/>
        <v>7.1612999999999998</v>
      </c>
      <c r="F1069" s="1052">
        <f t="shared" si="170"/>
        <v>12.24</v>
      </c>
      <c r="G1069" s="1052">
        <f t="shared" si="171"/>
        <v>6.8341000000000003</v>
      </c>
      <c r="H1069" s="1047">
        <f t="shared" si="165"/>
        <v>7.1612999999999998</v>
      </c>
      <c r="I1069" s="1048">
        <f t="shared" si="163"/>
        <v>4.3567508692556878E-3</v>
      </c>
      <c r="J1069" s="1048">
        <f t="shared" si="166"/>
        <v>0.12093838824177333</v>
      </c>
      <c r="K1069" s="1048">
        <f t="shared" si="167"/>
        <v>0.1</v>
      </c>
      <c r="L1069" s="1048"/>
      <c r="N1069" s="1051">
        <v>43679</v>
      </c>
      <c r="O1069" s="1053">
        <v>7.1924999999999999</v>
      </c>
      <c r="P1069" s="1053">
        <v>1.1331</v>
      </c>
      <c r="Q1069" s="1053">
        <v>10.767099999999999</v>
      </c>
      <c r="R1069" s="1054">
        <f>'B. PE'!$U$23</f>
        <v>15.978235616082999</v>
      </c>
      <c r="S1069" s="1054"/>
      <c r="T1069" s="1054"/>
      <c r="V1069" s="1051">
        <v>43679</v>
      </c>
      <c r="W1069" s="198">
        <v>6.0541999999999998</v>
      </c>
      <c r="X1069" s="198">
        <v>0.45100000000000001</v>
      </c>
      <c r="Y1069" s="198">
        <v>6.2906000000000004</v>
      </c>
      <c r="Z1069" s="198">
        <v>0.27550999999999998</v>
      </c>
      <c r="AB1069" s="1051">
        <v>43643</v>
      </c>
      <c r="AC1069" s="198">
        <v>8.9030000000000005</v>
      </c>
      <c r="AD1069" s="1053">
        <v>1.2029000000000001</v>
      </c>
      <c r="AE1069" s="198">
        <v>7.1811999999999996</v>
      </c>
      <c r="AF1069" s="198">
        <v>2.5940000000000001E-2</v>
      </c>
      <c r="AH1069" s="1051">
        <v>43643</v>
      </c>
      <c r="AI1069" s="198">
        <v>10.034800000000001</v>
      </c>
      <c r="AJ1069" s="198">
        <v>1.6433</v>
      </c>
      <c r="AK1069" s="198">
        <v>5.7026000000000003</v>
      </c>
      <c r="AL1069" s="198">
        <v>1.753E-2</v>
      </c>
      <c r="AN1069" s="1051">
        <v>43647</v>
      </c>
      <c r="AO1069" s="198">
        <v>6.8910999999999998</v>
      </c>
      <c r="AP1069" s="198">
        <v>0.62429999999999997</v>
      </c>
      <c r="AQ1069" s="198">
        <v>4.8997000000000002</v>
      </c>
      <c r="AR1069" s="198">
        <v>0.11945</v>
      </c>
      <c r="AT1069" s="1051">
        <v>43564</v>
      </c>
      <c r="AW1069" s="198">
        <v>5.8528000000000002</v>
      </c>
      <c r="BA1069" s="1051">
        <v>43629</v>
      </c>
      <c r="BB1069" s="198">
        <v>7.0519999999999996</v>
      </c>
      <c r="BC1069" s="198">
        <v>1.4733000000000001</v>
      </c>
      <c r="BD1069" s="198">
        <v>7.4786999999999999</v>
      </c>
      <c r="BE1069" s="198">
        <v>0.29731000000000002</v>
      </c>
      <c r="BG1069" s="1051">
        <v>43629</v>
      </c>
      <c r="BH1069" s="198">
        <v>12.298299999999999</v>
      </c>
      <c r="BI1069" s="198">
        <v>2.4462999999999999</v>
      </c>
      <c r="BJ1069" s="198">
        <v>16.925000000000001</v>
      </c>
      <c r="BT1069" s="1051">
        <v>43679</v>
      </c>
      <c r="BU1069" s="198">
        <v>13.6823</v>
      </c>
      <c r="BV1069" s="198">
        <v>4.5876999999999999</v>
      </c>
      <c r="BW1069" s="198">
        <v>8.3622999999999994</v>
      </c>
      <c r="BX1069" s="198">
        <v>1.5331999999999999</v>
      </c>
      <c r="BZ1069" s="1051">
        <v>43679</v>
      </c>
      <c r="CA1069" s="198">
        <v>10.8043</v>
      </c>
      <c r="CB1069" s="198">
        <v>3.2023000000000001</v>
      </c>
      <c r="CC1069" s="198">
        <v>10.660600000000001</v>
      </c>
      <c r="CD1069" s="198">
        <v>1.1983699999999999</v>
      </c>
      <c r="CF1069" s="1051">
        <v>43678</v>
      </c>
      <c r="CI1069" s="198">
        <v>10.3522</v>
      </c>
      <c r="CL1069" s="1051">
        <v>43703</v>
      </c>
      <c r="CM1069" s="198">
        <v>13.7715</v>
      </c>
      <c r="CN1069" s="198">
        <v>1.8772</v>
      </c>
      <c r="CO1069" s="198">
        <v>9.8999000000000006</v>
      </c>
    </row>
    <row r="1070" spans="1:93" s="198" customFormat="1">
      <c r="A1070" s="1051">
        <v>43678</v>
      </c>
      <c r="B1070" s="1052">
        <f t="shared" si="162"/>
        <v>7.2560000000000002</v>
      </c>
      <c r="C1070" s="1052">
        <f t="shared" si="164"/>
        <v>5.9989999999999997</v>
      </c>
      <c r="D1070" s="1052">
        <f t="shared" si="168"/>
        <v>9.8125</v>
      </c>
      <c r="E1070" s="1052">
        <f t="shared" si="169"/>
        <v>7.2289000000000003</v>
      </c>
      <c r="F1070" s="1052">
        <f t="shared" si="170"/>
        <v>12.1157</v>
      </c>
      <c r="G1070" s="1052">
        <f t="shared" si="171"/>
        <v>6.7964000000000002</v>
      </c>
      <c r="H1070" s="1047">
        <f t="shared" si="165"/>
        <v>7.2289000000000003</v>
      </c>
      <c r="I1070" s="1048">
        <f t="shared" si="163"/>
        <v>3.7488414558231042E-3</v>
      </c>
      <c r="J1070" s="1048">
        <f t="shared" si="166"/>
        <v>0.12093838824177333</v>
      </c>
      <c r="K1070" s="1048">
        <f t="shared" si="167"/>
        <v>0.1</v>
      </c>
      <c r="L1070" s="1048"/>
      <c r="N1070" s="1051">
        <v>43678</v>
      </c>
      <c r="O1070" s="1053">
        <v>7.2560000000000002</v>
      </c>
      <c r="P1070" s="1053">
        <v>1.1431</v>
      </c>
      <c r="Q1070" s="1053">
        <v>10.8165</v>
      </c>
      <c r="R1070" s="1054">
        <f>'B. PE'!$U$23</f>
        <v>15.978235616082999</v>
      </c>
      <c r="S1070" s="1054"/>
      <c r="T1070" s="1054"/>
      <c r="V1070" s="1051">
        <v>43678</v>
      </c>
      <c r="W1070" s="198">
        <v>5.9989999999999997</v>
      </c>
      <c r="X1070" s="198">
        <v>0.44690000000000002</v>
      </c>
      <c r="Y1070" s="198">
        <v>6.2694999999999999</v>
      </c>
      <c r="Z1070" s="198">
        <v>0.27717000000000003</v>
      </c>
      <c r="AB1070" s="1051">
        <v>43642</v>
      </c>
      <c r="AC1070" s="198">
        <v>8.6765000000000008</v>
      </c>
      <c r="AD1070" s="1053">
        <v>1.1722999999999999</v>
      </c>
      <c r="AE1070" s="198">
        <v>7.0690999999999997</v>
      </c>
      <c r="AF1070" s="198">
        <v>2.283E-2</v>
      </c>
      <c r="AH1070" s="1051">
        <v>43642</v>
      </c>
      <c r="AI1070" s="198">
        <v>9.8762000000000008</v>
      </c>
      <c r="AJ1070" s="198">
        <v>1.6173</v>
      </c>
      <c r="AK1070" s="198">
        <v>5.6235999999999997</v>
      </c>
      <c r="AL1070" s="198">
        <v>1.789E-2</v>
      </c>
      <c r="AN1070" s="1051">
        <v>43644</v>
      </c>
      <c r="AO1070" s="198">
        <v>6.7560000000000002</v>
      </c>
      <c r="AP1070" s="198">
        <v>0.61209999999999998</v>
      </c>
      <c r="AQ1070" s="198">
        <v>4.7942</v>
      </c>
      <c r="AR1070" s="198">
        <v>0.11960999999999999</v>
      </c>
      <c r="AT1070" s="1051">
        <v>43563</v>
      </c>
      <c r="AU1070" s="198">
        <v>7.8131000000000004</v>
      </c>
      <c r="AV1070" s="198">
        <v>0.50490000000000002</v>
      </c>
      <c r="AW1070" s="198">
        <v>5.8528000000000002</v>
      </c>
      <c r="AX1070" s="198">
        <v>0.11762</v>
      </c>
      <c r="BA1070" s="1051">
        <v>43628</v>
      </c>
      <c r="BB1070" s="198">
        <v>6.8673999999999999</v>
      </c>
      <c r="BC1070" s="198">
        <v>1.4347000000000001</v>
      </c>
      <c r="BD1070" s="198">
        <v>7.3418000000000001</v>
      </c>
      <c r="BE1070" s="198">
        <v>0.29025000000000001</v>
      </c>
      <c r="BG1070" s="1051">
        <v>43628</v>
      </c>
      <c r="BH1070" s="198">
        <v>12.416499999999999</v>
      </c>
      <c r="BI1070" s="198">
        <v>2.4698000000000002</v>
      </c>
      <c r="BJ1070" s="198">
        <v>17.029800000000002</v>
      </c>
      <c r="BT1070" s="1051">
        <v>43678</v>
      </c>
      <c r="BU1070" s="198">
        <v>13.7456</v>
      </c>
      <c r="BV1070" s="198">
        <v>4.6089000000000002</v>
      </c>
      <c r="BW1070" s="198">
        <v>8.4003999999999994</v>
      </c>
      <c r="BX1070" s="198">
        <v>1.4898</v>
      </c>
      <c r="BZ1070" s="1051">
        <v>43678</v>
      </c>
      <c r="CA1070" s="198">
        <v>10.7827</v>
      </c>
      <c r="CB1070" s="198">
        <v>3.1959</v>
      </c>
      <c r="CC1070" s="198">
        <v>10.644399999999999</v>
      </c>
      <c r="CD1070" s="198">
        <v>1.19495</v>
      </c>
      <c r="CF1070" s="1051">
        <v>43677</v>
      </c>
      <c r="CI1070" s="198">
        <v>10.3522</v>
      </c>
      <c r="CL1070" s="1051">
        <v>43700</v>
      </c>
      <c r="CM1070" s="198">
        <v>13.817500000000001</v>
      </c>
      <c r="CN1070" s="198">
        <v>1.8834</v>
      </c>
      <c r="CO1070" s="198">
        <v>9.9320000000000004</v>
      </c>
    </row>
    <row r="1071" spans="1:93" s="198" customFormat="1">
      <c r="A1071" s="1051">
        <v>43677</v>
      </c>
      <c r="B1071" s="1052">
        <f t="shared" si="162"/>
        <v>7.1131000000000002</v>
      </c>
      <c r="C1071" s="1052">
        <f t="shared" si="164"/>
        <v>5.9911000000000003</v>
      </c>
      <c r="D1071" s="1052">
        <f t="shared" si="168"/>
        <v>9.7746999999999993</v>
      </c>
      <c r="E1071" s="1052">
        <f t="shared" si="169"/>
        <v>7.2965</v>
      </c>
      <c r="F1071" s="1052">
        <f t="shared" si="170"/>
        <v>12.302099999999999</v>
      </c>
      <c r="G1071" s="1052">
        <f t="shared" si="171"/>
        <v>6.7964000000000002</v>
      </c>
      <c r="H1071" s="1047">
        <f t="shared" si="165"/>
        <v>7.2965</v>
      </c>
      <c r="I1071" s="1048">
        <f t="shared" si="163"/>
        <v>-2.5135338861097756E-2</v>
      </c>
      <c r="J1071" s="1048">
        <f t="shared" si="166"/>
        <v>0.12093838824177333</v>
      </c>
      <c r="K1071" s="1048">
        <f t="shared" si="167"/>
        <v>0.1</v>
      </c>
      <c r="L1071" s="1048"/>
      <c r="N1071" s="1051">
        <v>43677</v>
      </c>
      <c r="O1071" s="1053">
        <v>7.1131000000000002</v>
      </c>
      <c r="P1071" s="1053">
        <v>1.1206</v>
      </c>
      <c r="Q1071" s="1053">
        <v>10.705399999999999</v>
      </c>
      <c r="R1071" s="1054">
        <f>'B. PE'!$U$23</f>
        <v>15.978235616082999</v>
      </c>
      <c r="S1071" s="1054"/>
      <c r="T1071" s="1054"/>
      <c r="V1071" s="1051">
        <v>43677</v>
      </c>
      <c r="W1071" s="198">
        <v>5.9911000000000003</v>
      </c>
      <c r="X1071" s="198">
        <v>0.44629999999999997</v>
      </c>
      <c r="Y1071" s="198">
        <v>6.2664</v>
      </c>
      <c r="Z1071" s="198">
        <v>0.27849000000000002</v>
      </c>
      <c r="AB1071" s="1051">
        <v>43641</v>
      </c>
      <c r="AC1071" s="198">
        <v>8.3140000000000001</v>
      </c>
      <c r="AD1071" s="1053">
        <v>1.1233</v>
      </c>
      <c r="AE1071" s="198">
        <v>6.8897000000000004</v>
      </c>
      <c r="AF1071" s="198">
        <v>1.9179999999999999E-2</v>
      </c>
      <c r="AH1071" s="1051">
        <v>43641</v>
      </c>
      <c r="AI1071" s="198">
        <v>9.8364999999999991</v>
      </c>
      <c r="AJ1071" s="198">
        <v>1.6108</v>
      </c>
      <c r="AK1071" s="198">
        <v>5.6039000000000003</v>
      </c>
      <c r="AL1071" s="198">
        <v>1.7829999999999999E-2</v>
      </c>
      <c r="AN1071" s="1051">
        <v>43643</v>
      </c>
      <c r="AO1071" s="198">
        <v>7.2253999999999996</v>
      </c>
      <c r="AP1071" s="198">
        <v>0.60960000000000003</v>
      </c>
      <c r="AQ1071" s="198">
        <v>3.84</v>
      </c>
      <c r="AR1071" s="198">
        <v>0.11806999999999999</v>
      </c>
      <c r="AT1071" s="1051">
        <v>43560</v>
      </c>
      <c r="AW1071" s="198">
        <v>5.8528000000000002</v>
      </c>
      <c r="BA1071" s="1051">
        <v>43627</v>
      </c>
      <c r="BB1071" s="198">
        <v>6.8673999999999999</v>
      </c>
      <c r="BC1071" s="198">
        <v>1.4347000000000001</v>
      </c>
      <c r="BD1071" s="198">
        <v>7.3418000000000001</v>
      </c>
      <c r="BE1071" s="198">
        <v>0.28795999999999999</v>
      </c>
      <c r="BG1071" s="1051">
        <v>43627</v>
      </c>
      <c r="BH1071" s="198">
        <v>12.416499999999999</v>
      </c>
      <c r="BI1071" s="198">
        <v>2.4698000000000002</v>
      </c>
      <c r="BJ1071" s="198">
        <v>17.029800000000002</v>
      </c>
      <c r="BT1071" s="1051">
        <v>43677</v>
      </c>
      <c r="BU1071" s="198">
        <v>13.530200000000001</v>
      </c>
      <c r="BV1071" s="198">
        <v>4.5366999999999997</v>
      </c>
      <c r="BW1071" s="198">
        <v>8.2708999999999993</v>
      </c>
      <c r="BX1071" s="198">
        <v>1.5221</v>
      </c>
      <c r="BZ1071" s="1051">
        <v>43677</v>
      </c>
      <c r="CA1071" s="198">
        <v>10.3721</v>
      </c>
      <c r="CB1071" s="198">
        <v>3.0741999999999998</v>
      </c>
      <c r="CC1071" s="198">
        <v>10.337899999999999</v>
      </c>
      <c r="CD1071" s="198">
        <v>1.19221</v>
      </c>
      <c r="CF1071" s="1051">
        <v>43676</v>
      </c>
      <c r="CI1071" s="198">
        <v>10.3522</v>
      </c>
      <c r="CL1071" s="1051">
        <v>43699</v>
      </c>
      <c r="CM1071" s="198">
        <v>13.7773</v>
      </c>
      <c r="CN1071" s="198">
        <v>1.8779999999999999</v>
      </c>
      <c r="CO1071" s="198">
        <v>9.9039000000000001</v>
      </c>
    </row>
    <row r="1072" spans="1:93" s="198" customFormat="1">
      <c r="A1072" s="1051">
        <v>43676</v>
      </c>
      <c r="B1072" s="1052">
        <f t="shared" si="162"/>
        <v>7.1448999999999998</v>
      </c>
      <c r="C1072" s="1052">
        <f t="shared" si="164"/>
        <v>6.0225999999999997</v>
      </c>
      <c r="D1072" s="1052">
        <f t="shared" si="168"/>
        <v>9.5860000000000003</v>
      </c>
      <c r="E1072" s="1052">
        <f t="shared" si="169"/>
        <v>7.2965</v>
      </c>
      <c r="F1072" s="1052">
        <f t="shared" si="170"/>
        <v>12.24</v>
      </c>
      <c r="G1072" s="1052">
        <f t="shared" si="171"/>
        <v>6.8341000000000003</v>
      </c>
      <c r="H1072" s="1047">
        <f t="shared" si="165"/>
        <v>7.2965</v>
      </c>
      <c r="I1072" s="1048">
        <f t="shared" si="163"/>
        <v>-2.0777084903720988E-2</v>
      </c>
      <c r="J1072" s="1048">
        <f t="shared" si="166"/>
        <v>0.12093838824177333</v>
      </c>
      <c r="K1072" s="1048">
        <f t="shared" si="167"/>
        <v>0.1</v>
      </c>
      <c r="L1072" s="1048"/>
      <c r="N1072" s="1051">
        <v>43676</v>
      </c>
      <c r="O1072" s="1053">
        <v>7.1448999999999998</v>
      </c>
      <c r="P1072" s="1053">
        <v>1.1255999999999999</v>
      </c>
      <c r="Q1072" s="1053">
        <v>10.7301</v>
      </c>
      <c r="R1072" s="1054">
        <f>'B. PE'!$U$23</f>
        <v>15.978235616082999</v>
      </c>
      <c r="S1072" s="1054"/>
      <c r="T1072" s="1054"/>
      <c r="V1072" s="1051">
        <v>43676</v>
      </c>
      <c r="W1072" s="198">
        <v>6.0225999999999997</v>
      </c>
      <c r="X1072" s="198">
        <v>0.44869999999999999</v>
      </c>
      <c r="Y1072" s="198">
        <v>6.2785000000000002</v>
      </c>
      <c r="Z1072" s="198">
        <v>0.27959000000000001</v>
      </c>
      <c r="AB1072" s="1051">
        <v>43640</v>
      </c>
      <c r="AC1072" s="198">
        <v>7.3171999999999997</v>
      </c>
      <c r="AD1072" s="1053">
        <v>0.98860000000000003</v>
      </c>
      <c r="AE1072" s="198">
        <v>6.3964999999999996</v>
      </c>
      <c r="AF1072" s="198">
        <v>1.9650000000000001E-2</v>
      </c>
      <c r="AH1072" s="1051">
        <v>43640</v>
      </c>
      <c r="AI1072" s="198">
        <v>10.034800000000001</v>
      </c>
      <c r="AJ1072" s="198">
        <v>1.6433</v>
      </c>
      <c r="AK1072" s="198">
        <v>5.7026000000000003</v>
      </c>
      <c r="AL1072" s="198">
        <v>1.7729999999999999E-2</v>
      </c>
      <c r="AN1072" s="1051">
        <v>43642</v>
      </c>
      <c r="AO1072" s="198">
        <v>7.2253999999999996</v>
      </c>
      <c r="AP1072" s="198">
        <v>0.60960000000000003</v>
      </c>
      <c r="AQ1072" s="198">
        <v>3.8416000000000001</v>
      </c>
      <c r="AR1072" s="198">
        <v>0.11587</v>
      </c>
      <c r="AT1072" s="1051">
        <v>43559</v>
      </c>
      <c r="AU1072" s="198">
        <v>7.8131000000000004</v>
      </c>
      <c r="AV1072" s="198">
        <v>0.50490000000000002</v>
      </c>
      <c r="AW1072" s="198">
        <v>5.8528000000000002</v>
      </c>
      <c r="BA1072" s="1051">
        <v>43626</v>
      </c>
      <c r="BB1072" s="198">
        <v>6.7196999999999996</v>
      </c>
      <c r="BC1072" s="198">
        <v>1.4038999999999999</v>
      </c>
      <c r="BD1072" s="198">
        <v>7.2321999999999997</v>
      </c>
      <c r="BE1072" s="198">
        <v>0.28739999999999999</v>
      </c>
      <c r="BG1072" s="1051">
        <v>43626</v>
      </c>
      <c r="BH1072" s="198">
        <v>12.0618</v>
      </c>
      <c r="BI1072" s="198">
        <v>2.3992</v>
      </c>
      <c r="BJ1072" s="198">
        <v>16.715399999999999</v>
      </c>
      <c r="BT1072" s="1051">
        <v>43676</v>
      </c>
      <c r="BU1072" s="198">
        <v>13.137499999999999</v>
      </c>
      <c r="BV1072" s="198">
        <v>4.4050000000000002</v>
      </c>
      <c r="BW1072" s="198">
        <v>8.0366</v>
      </c>
      <c r="BX1072" s="198">
        <v>1.5323</v>
      </c>
      <c r="BZ1072" s="1051">
        <v>43676</v>
      </c>
      <c r="CA1072" s="198">
        <v>10.3345</v>
      </c>
      <c r="CB1072" s="198">
        <v>3.0630999999999999</v>
      </c>
      <c r="CC1072" s="198">
        <v>10.309799999999999</v>
      </c>
      <c r="CD1072" s="198">
        <v>1.1944399999999999</v>
      </c>
      <c r="CF1072" s="1051">
        <v>43675</v>
      </c>
      <c r="CG1072" s="198">
        <v>6.3007999999999997</v>
      </c>
      <c r="CH1072" s="198">
        <v>1.1494</v>
      </c>
      <c r="CI1072" s="198">
        <v>10.3522</v>
      </c>
      <c r="CL1072" s="1051">
        <v>43698</v>
      </c>
      <c r="CM1072" s="198">
        <v>13.8347</v>
      </c>
      <c r="CN1072" s="198">
        <v>1.8857999999999999</v>
      </c>
      <c r="CO1072" s="198">
        <v>9.9441000000000006</v>
      </c>
    </row>
    <row r="1073" spans="1:93" s="198" customFormat="1">
      <c r="A1073" s="1051">
        <v>43675</v>
      </c>
      <c r="B1073" s="1052">
        <f t="shared" si="162"/>
        <v>7.2877999999999998</v>
      </c>
      <c r="C1073" s="1052">
        <f t="shared" si="164"/>
        <v>6.0541999999999998</v>
      </c>
      <c r="D1073" s="1052">
        <f t="shared" si="168"/>
        <v>9.6991999999999994</v>
      </c>
      <c r="E1073" s="1052">
        <f t="shared" si="169"/>
        <v>7.0937999999999999</v>
      </c>
      <c r="F1073" s="1052">
        <f t="shared" si="170"/>
        <v>12.24</v>
      </c>
      <c r="G1073" s="1052">
        <f t="shared" si="171"/>
        <v>6.8341000000000003</v>
      </c>
      <c r="H1073" s="1047">
        <f t="shared" si="165"/>
        <v>7.0937999999999999</v>
      </c>
      <c r="I1073" s="1048">
        <f t="shared" si="163"/>
        <v>2.7347824861146286E-2</v>
      </c>
      <c r="J1073" s="1048">
        <f t="shared" si="166"/>
        <v>0.12093838824177333</v>
      </c>
      <c r="K1073" s="1048">
        <f t="shared" si="167"/>
        <v>0.1</v>
      </c>
      <c r="L1073" s="1048"/>
      <c r="N1073" s="1051">
        <v>43675</v>
      </c>
      <c r="O1073" s="1053">
        <v>7.2877999999999998</v>
      </c>
      <c r="P1073" s="1053">
        <v>1.1480999999999999</v>
      </c>
      <c r="Q1073" s="1053">
        <v>10.841200000000001</v>
      </c>
      <c r="R1073" s="1054">
        <f>'B. PE'!$U$23</f>
        <v>15.978235616082999</v>
      </c>
      <c r="S1073" s="1054"/>
      <c r="T1073" s="1054"/>
      <c r="V1073" s="1051">
        <v>43675</v>
      </c>
      <c r="W1073" s="198">
        <v>6.0541999999999998</v>
      </c>
      <c r="X1073" s="198">
        <v>0.45100000000000001</v>
      </c>
      <c r="Y1073" s="198">
        <v>6.2906000000000004</v>
      </c>
      <c r="Z1073" s="198">
        <v>0.27564</v>
      </c>
      <c r="AB1073" s="1051">
        <v>43637</v>
      </c>
      <c r="AC1073" s="198">
        <v>6.1391999999999998</v>
      </c>
      <c r="AD1073" s="1053">
        <v>0.82950000000000002</v>
      </c>
      <c r="AE1073" s="198">
        <v>5.8136000000000001</v>
      </c>
      <c r="AF1073" s="198">
        <v>1.9140000000000001E-2</v>
      </c>
      <c r="AH1073" s="1051">
        <v>43637</v>
      </c>
      <c r="AI1073" s="198">
        <v>9.9952000000000005</v>
      </c>
      <c r="AJ1073" s="198">
        <v>1.6368</v>
      </c>
      <c r="AK1073" s="198">
        <v>5.6829000000000001</v>
      </c>
      <c r="AL1073" s="198">
        <v>1.7180000000000001E-2</v>
      </c>
      <c r="AN1073" s="1051">
        <v>43641</v>
      </c>
      <c r="AO1073" s="198">
        <v>7.1158999999999999</v>
      </c>
      <c r="AP1073" s="198">
        <v>0.60029999999999994</v>
      </c>
      <c r="AQ1073" s="198">
        <v>3.7538999999999998</v>
      </c>
      <c r="AR1073" s="198">
        <v>0.11723</v>
      </c>
      <c r="AT1073" s="1051">
        <v>43558</v>
      </c>
      <c r="AW1073" s="198">
        <v>5.8528000000000002</v>
      </c>
      <c r="AX1073" s="198">
        <v>0.11761000000000001</v>
      </c>
      <c r="BA1073" s="1051">
        <v>43623</v>
      </c>
      <c r="BB1073" s="198">
        <v>6.6458000000000004</v>
      </c>
      <c r="BC1073" s="198">
        <v>1.3884000000000001</v>
      </c>
      <c r="BD1073" s="198">
        <v>7.1775000000000002</v>
      </c>
      <c r="BE1073" s="198">
        <v>0.28498000000000001</v>
      </c>
      <c r="BG1073" s="1051">
        <v>43623</v>
      </c>
      <c r="BH1073" s="198">
        <v>11.588699999999999</v>
      </c>
      <c r="BI1073" s="198">
        <v>2.3052000000000001</v>
      </c>
      <c r="BJ1073" s="198">
        <v>16.296299999999999</v>
      </c>
      <c r="BT1073" s="1051">
        <v>43675</v>
      </c>
      <c r="BU1073" s="198">
        <v>13.428900000000001</v>
      </c>
      <c r="BV1073" s="198">
        <v>4.5026999999999999</v>
      </c>
      <c r="BW1073" s="198">
        <v>8.2118000000000002</v>
      </c>
      <c r="BX1073" s="198">
        <v>1.5497000000000001</v>
      </c>
      <c r="BZ1073" s="1051">
        <v>43675</v>
      </c>
      <c r="CA1073" s="198">
        <v>10.3157</v>
      </c>
      <c r="CB1073" s="198">
        <v>3.0575000000000001</v>
      </c>
      <c r="CC1073" s="198">
        <v>10.2958</v>
      </c>
      <c r="CD1073" s="198">
        <v>1.2293400000000001</v>
      </c>
      <c r="CF1073" s="1051">
        <v>43672</v>
      </c>
      <c r="CG1073" s="198">
        <v>6.5007999999999999</v>
      </c>
      <c r="CH1073" s="198">
        <v>1.1859</v>
      </c>
      <c r="CI1073" s="198">
        <v>10.4621</v>
      </c>
      <c r="CL1073" s="1051">
        <v>43697</v>
      </c>
      <c r="CM1073" s="198">
        <v>13.8003</v>
      </c>
      <c r="CN1073" s="198">
        <v>1.8811</v>
      </c>
      <c r="CO1073" s="198">
        <v>9.92</v>
      </c>
    </row>
    <row r="1074" spans="1:93" s="198" customFormat="1">
      <c r="A1074" s="1051">
        <v>43672</v>
      </c>
      <c r="B1074" s="1052">
        <f t="shared" si="162"/>
        <v>7.3672000000000004</v>
      </c>
      <c r="C1074" s="1052">
        <f t="shared" si="164"/>
        <v>6.0777999999999999</v>
      </c>
      <c r="D1074" s="1052">
        <f t="shared" si="168"/>
        <v>9.8125</v>
      </c>
      <c r="E1074" s="1052">
        <f t="shared" si="169"/>
        <v>7.0937999999999999</v>
      </c>
      <c r="F1074" s="1052">
        <f t="shared" si="170"/>
        <v>12.799200000000001</v>
      </c>
      <c r="G1074" s="1052">
        <f t="shared" si="171"/>
        <v>6.9474</v>
      </c>
      <c r="H1074" s="1047">
        <f t="shared" si="165"/>
        <v>7.0937999999999999</v>
      </c>
      <c r="I1074" s="1048">
        <f t="shared" si="163"/>
        <v>3.8540697510502264E-2</v>
      </c>
      <c r="J1074" s="1048">
        <f t="shared" si="166"/>
        <v>0.12093838824177333</v>
      </c>
      <c r="K1074" s="1048">
        <f t="shared" si="167"/>
        <v>0.1</v>
      </c>
      <c r="L1074" s="1048"/>
      <c r="N1074" s="1051">
        <v>43672</v>
      </c>
      <c r="O1074" s="1053">
        <v>7.3672000000000004</v>
      </c>
      <c r="P1074" s="1053">
        <v>1.1606000000000001</v>
      </c>
      <c r="Q1074" s="1053">
        <v>10.903</v>
      </c>
      <c r="R1074" s="1054">
        <f>'B. PE'!$U$23</f>
        <v>15.978235616082999</v>
      </c>
      <c r="S1074" s="1054"/>
      <c r="T1074" s="1054"/>
      <c r="V1074" s="1051">
        <v>43672</v>
      </c>
      <c r="W1074" s="198">
        <v>6.0777999999999999</v>
      </c>
      <c r="X1074" s="198">
        <v>0.45279999999999998</v>
      </c>
      <c r="Y1074" s="198">
        <v>6.2996999999999996</v>
      </c>
      <c r="Z1074" s="198">
        <v>0.27704000000000001</v>
      </c>
      <c r="AB1074" s="1051">
        <v>43636</v>
      </c>
      <c r="AC1074" s="198">
        <v>6.2751000000000001</v>
      </c>
      <c r="AD1074" s="1053">
        <v>0.8478</v>
      </c>
      <c r="AE1074" s="198">
        <v>5.8807999999999998</v>
      </c>
      <c r="AF1074" s="198">
        <v>1.9050000000000001E-2</v>
      </c>
      <c r="AH1074" s="1051">
        <v>43636</v>
      </c>
      <c r="AI1074" s="198">
        <v>9.9158000000000008</v>
      </c>
      <c r="AJ1074" s="198">
        <v>1.6237999999999999</v>
      </c>
      <c r="AK1074" s="198">
        <v>5.6433999999999997</v>
      </c>
      <c r="AL1074" s="198">
        <v>1.729E-2</v>
      </c>
      <c r="AN1074" s="1051">
        <v>43640</v>
      </c>
      <c r="AO1074" s="198">
        <v>7.0064000000000002</v>
      </c>
      <c r="AP1074" s="198">
        <v>0.59109999999999996</v>
      </c>
      <c r="AQ1074" s="198">
        <v>3.6648999999999998</v>
      </c>
      <c r="AR1074" s="198">
        <v>0.11874999999999999</v>
      </c>
      <c r="AT1074" s="1051">
        <v>43557</v>
      </c>
      <c r="AW1074" s="198">
        <v>5.8528000000000002</v>
      </c>
      <c r="AX1074" s="198">
        <v>0.11638</v>
      </c>
      <c r="BA1074" s="1051">
        <v>43622</v>
      </c>
      <c r="BB1074" s="198">
        <v>6.6458000000000004</v>
      </c>
      <c r="BC1074" s="198">
        <v>1.3884000000000001</v>
      </c>
      <c r="BD1074" s="198">
        <v>7.1775000000000002</v>
      </c>
      <c r="BE1074" s="198">
        <v>0.28560000000000002</v>
      </c>
      <c r="BG1074" s="1051">
        <v>43622</v>
      </c>
      <c r="BH1074" s="198">
        <v>11.3522</v>
      </c>
      <c r="BI1074" s="198">
        <v>2.2581000000000002</v>
      </c>
      <c r="BJ1074" s="198">
        <v>16.0867</v>
      </c>
      <c r="BT1074" s="1051">
        <v>43672</v>
      </c>
      <c r="BU1074" s="198">
        <v>13.5176</v>
      </c>
      <c r="BV1074" s="198">
        <v>4.5324</v>
      </c>
      <c r="BW1074" s="198">
        <v>8.2651000000000003</v>
      </c>
      <c r="BX1074" s="198">
        <v>1.5422</v>
      </c>
      <c r="BZ1074" s="1051">
        <v>43672</v>
      </c>
      <c r="CA1074" s="198">
        <v>10.3345</v>
      </c>
      <c r="CB1074" s="198">
        <v>3.0630999999999999</v>
      </c>
      <c r="CC1074" s="198">
        <v>10.309799999999999</v>
      </c>
      <c r="CD1074" s="198">
        <v>1.22262</v>
      </c>
      <c r="CF1074" s="1051">
        <v>43671</v>
      </c>
      <c r="CG1074" s="198">
        <v>7.0008999999999997</v>
      </c>
      <c r="CH1074" s="198">
        <v>1.2770999999999999</v>
      </c>
      <c r="CI1074" s="198">
        <v>10.7369</v>
      </c>
      <c r="CL1074" s="1051">
        <v>43696</v>
      </c>
      <c r="CM1074" s="198">
        <v>13.932399999999999</v>
      </c>
      <c r="CN1074" s="198">
        <v>1.8991</v>
      </c>
      <c r="CO1074" s="198">
        <v>10.0123</v>
      </c>
    </row>
    <row r="1075" spans="1:93" s="198" customFormat="1">
      <c r="A1075" s="1051">
        <v>43671</v>
      </c>
      <c r="B1075" s="1052">
        <f t="shared" si="162"/>
        <v>7.4942000000000002</v>
      </c>
      <c r="C1075" s="1052">
        <f t="shared" si="164"/>
        <v>5.9911000000000003</v>
      </c>
      <c r="D1075" s="1052">
        <f t="shared" si="168"/>
        <v>9.8501999999999992</v>
      </c>
      <c r="E1075" s="1052">
        <f t="shared" si="169"/>
        <v>7.0262000000000002</v>
      </c>
      <c r="F1075" s="1052">
        <f t="shared" si="170"/>
        <v>12.923400000000001</v>
      </c>
      <c r="G1075" s="1052">
        <f t="shared" si="171"/>
        <v>6.9851999999999999</v>
      </c>
      <c r="H1075" s="1047">
        <f t="shared" si="165"/>
        <v>7.0262000000000002</v>
      </c>
      <c r="I1075" s="1048">
        <f t="shared" si="163"/>
        <v>6.6607839230309329E-2</v>
      </c>
      <c r="J1075" s="1048">
        <f t="shared" si="166"/>
        <v>0.12093838824177333</v>
      </c>
      <c r="K1075" s="1048">
        <f t="shared" si="167"/>
        <v>0.1</v>
      </c>
      <c r="L1075" s="1048"/>
      <c r="N1075" s="1051">
        <v>43671</v>
      </c>
      <c r="O1075" s="1053">
        <v>7.4942000000000002</v>
      </c>
      <c r="P1075" s="1053">
        <v>1.1807000000000001</v>
      </c>
      <c r="Q1075" s="1053">
        <v>11.001799999999999</v>
      </c>
      <c r="R1075" s="1054">
        <f>'B. PE'!$U$23</f>
        <v>15.978235616082999</v>
      </c>
      <c r="S1075" s="1054"/>
      <c r="T1075" s="1054"/>
      <c r="V1075" s="1051">
        <v>43671</v>
      </c>
      <c r="W1075" s="198">
        <v>5.9911000000000003</v>
      </c>
      <c r="X1075" s="198">
        <v>0.44629999999999997</v>
      </c>
      <c r="Y1075" s="198">
        <v>6.2664</v>
      </c>
      <c r="Z1075" s="198">
        <v>0.28061999999999998</v>
      </c>
      <c r="AB1075" s="1051">
        <v>43635</v>
      </c>
      <c r="AC1075" s="198">
        <v>6.1844999999999999</v>
      </c>
      <c r="AD1075" s="1053">
        <v>0.83560000000000001</v>
      </c>
      <c r="AE1075" s="198">
        <v>5.8360000000000003</v>
      </c>
      <c r="AF1075" s="198">
        <v>1.84E-2</v>
      </c>
      <c r="AH1075" s="1051">
        <v>43635</v>
      </c>
      <c r="AI1075" s="198">
        <v>9.7174999999999994</v>
      </c>
      <c r="AJ1075" s="198">
        <v>1.5912999999999999</v>
      </c>
      <c r="AK1075" s="198">
        <v>5.5446999999999997</v>
      </c>
      <c r="AL1075" s="198">
        <v>1.7219999999999999E-2</v>
      </c>
      <c r="AN1075" s="1051">
        <v>43637</v>
      </c>
      <c r="AO1075" s="198">
        <v>7.0793999999999997</v>
      </c>
      <c r="AP1075" s="198">
        <v>0.59719999999999995</v>
      </c>
      <c r="AQ1075" s="198">
        <v>3.7242000000000002</v>
      </c>
      <c r="AR1075" s="198">
        <v>0.11564000000000001</v>
      </c>
      <c r="AT1075" s="1051">
        <v>43556</v>
      </c>
      <c r="AU1075" s="198">
        <v>7.8131000000000004</v>
      </c>
      <c r="AV1075" s="198">
        <v>0.50490000000000002</v>
      </c>
      <c r="AW1075" s="198">
        <v>5.8528000000000002</v>
      </c>
      <c r="AX1075" s="198">
        <v>0.11648</v>
      </c>
      <c r="BA1075" s="1051">
        <v>43621</v>
      </c>
      <c r="BB1075" s="198">
        <v>6.6089000000000002</v>
      </c>
      <c r="BC1075" s="198">
        <v>1.3807</v>
      </c>
      <c r="BD1075" s="198">
        <v>7.1501000000000001</v>
      </c>
      <c r="BE1075" s="198">
        <v>0.28663</v>
      </c>
      <c r="BG1075" s="1051">
        <v>43621</v>
      </c>
      <c r="BH1075" s="198">
        <v>11.234</v>
      </c>
      <c r="BI1075" s="198">
        <v>2.2345999999999999</v>
      </c>
      <c r="BJ1075" s="198">
        <v>15.9819</v>
      </c>
      <c r="BT1075" s="1051">
        <v>43671</v>
      </c>
      <c r="BU1075" s="198">
        <v>13.669600000000001</v>
      </c>
      <c r="BV1075" s="198">
        <v>4.5834000000000001</v>
      </c>
      <c r="BW1075" s="198">
        <v>8.3566000000000003</v>
      </c>
      <c r="BX1075" s="198">
        <v>1.5634999999999999</v>
      </c>
      <c r="BZ1075" s="1051">
        <v>43671</v>
      </c>
      <c r="CA1075" s="198">
        <v>10.635199999999999</v>
      </c>
      <c r="CB1075" s="198">
        <v>3.1522000000000001</v>
      </c>
      <c r="CC1075" s="198">
        <v>10.5343</v>
      </c>
      <c r="CD1075" s="198">
        <v>1.22241</v>
      </c>
      <c r="CF1075" s="1051">
        <v>43670</v>
      </c>
      <c r="CI1075" s="198">
        <v>10.599500000000001</v>
      </c>
      <c r="CL1075" s="1051">
        <v>43693</v>
      </c>
      <c r="CM1075" s="198">
        <v>13.7141</v>
      </c>
      <c r="CN1075" s="198">
        <v>1.8693</v>
      </c>
      <c r="CO1075" s="198">
        <v>9.8597999999999999</v>
      </c>
    </row>
    <row r="1076" spans="1:93" s="198" customFormat="1">
      <c r="A1076" s="1051">
        <v>43670</v>
      </c>
      <c r="B1076" s="1052">
        <f t="shared" si="162"/>
        <v>7.4942000000000002</v>
      </c>
      <c r="C1076" s="1052">
        <f t="shared" si="164"/>
        <v>6.0225999999999997</v>
      </c>
      <c r="D1076" s="1052">
        <f t="shared" si="168"/>
        <v>9.6991999999999994</v>
      </c>
      <c r="E1076" s="1052">
        <f t="shared" si="169"/>
        <v>7.0262000000000002</v>
      </c>
      <c r="F1076" s="1052">
        <f t="shared" si="170"/>
        <v>13.420500000000001</v>
      </c>
      <c r="G1076" s="1052">
        <f t="shared" si="171"/>
        <v>7.0983999999999998</v>
      </c>
      <c r="H1076" s="1047">
        <f t="shared" si="165"/>
        <v>7.0983999999999998</v>
      </c>
      <c r="I1076" s="1048">
        <f t="shared" si="163"/>
        <v>5.5759044291671334E-2</v>
      </c>
      <c r="J1076" s="1048">
        <f t="shared" si="166"/>
        <v>0.12093838824177333</v>
      </c>
      <c r="K1076" s="1048">
        <f t="shared" si="167"/>
        <v>0.1</v>
      </c>
      <c r="L1076" s="1048"/>
      <c r="N1076" s="1051">
        <v>43670</v>
      </c>
      <c r="O1076" s="1053">
        <v>7.4942000000000002</v>
      </c>
      <c r="P1076" s="1053">
        <v>1.1807000000000001</v>
      </c>
      <c r="Q1076" s="1053">
        <v>11.001799999999999</v>
      </c>
      <c r="R1076" s="1054">
        <f>'B. PE'!$U$23</f>
        <v>15.978235616082999</v>
      </c>
      <c r="S1076" s="1054"/>
      <c r="T1076" s="1054"/>
      <c r="V1076" s="1051">
        <v>43670</v>
      </c>
      <c r="W1076" s="198">
        <v>6.0225999999999997</v>
      </c>
      <c r="X1076" s="198">
        <v>0.44869999999999999</v>
      </c>
      <c r="Y1076" s="198">
        <v>6.2785000000000002</v>
      </c>
      <c r="Z1076" s="198">
        <v>0.28033000000000002</v>
      </c>
      <c r="AB1076" s="1051">
        <v>43634</v>
      </c>
      <c r="AC1076" s="198">
        <v>6.1391999999999998</v>
      </c>
      <c r="AD1076" s="1053">
        <v>0.82950000000000002</v>
      </c>
      <c r="AE1076" s="198">
        <v>5.8136000000000001</v>
      </c>
      <c r="AF1076" s="198">
        <v>1.7840000000000002E-2</v>
      </c>
      <c r="AH1076" s="1051">
        <v>43634</v>
      </c>
      <c r="AI1076" s="198">
        <v>9.7571999999999992</v>
      </c>
      <c r="AJ1076" s="198">
        <v>1.5978000000000001</v>
      </c>
      <c r="AK1076" s="198">
        <v>5.5644</v>
      </c>
      <c r="AL1076" s="198">
        <v>1.7770000000000001E-2</v>
      </c>
      <c r="AN1076" s="1051">
        <v>43636</v>
      </c>
      <c r="AO1076" s="198">
        <v>7.1889000000000003</v>
      </c>
      <c r="AP1076" s="198">
        <v>0.60650000000000004</v>
      </c>
      <c r="AQ1076" s="198">
        <v>3.8130999999999999</v>
      </c>
      <c r="AR1076" s="198">
        <v>0.11526</v>
      </c>
      <c r="AT1076" s="1051">
        <v>43553</v>
      </c>
      <c r="AU1076" s="198">
        <v>7.7317</v>
      </c>
      <c r="AV1076" s="198">
        <v>0.49959999999999999</v>
      </c>
      <c r="AW1076" s="198">
        <v>5.8101000000000003</v>
      </c>
      <c r="AX1076" s="198">
        <v>0.11912</v>
      </c>
      <c r="BA1076" s="1051">
        <v>43620</v>
      </c>
      <c r="BB1076" s="198">
        <v>6.6089000000000002</v>
      </c>
      <c r="BC1076" s="198">
        <v>1.3807</v>
      </c>
      <c r="BD1076" s="198">
        <v>7.1501000000000001</v>
      </c>
      <c r="BE1076" s="198">
        <v>0.28319</v>
      </c>
      <c r="BG1076" s="1051">
        <v>43620</v>
      </c>
      <c r="BH1076" s="198">
        <v>11.293100000000001</v>
      </c>
      <c r="BI1076" s="198">
        <v>2.2464</v>
      </c>
      <c r="BJ1076" s="198">
        <v>16.034300000000002</v>
      </c>
      <c r="BT1076" s="1051">
        <v>43670</v>
      </c>
      <c r="BU1076" s="198">
        <v>13.606199999999999</v>
      </c>
      <c r="BV1076" s="198">
        <v>4.5621999999999998</v>
      </c>
      <c r="BW1076" s="198">
        <v>8.3185000000000002</v>
      </c>
      <c r="BX1076" s="198">
        <v>1.5275000000000001</v>
      </c>
      <c r="BZ1076" s="1051">
        <v>43670</v>
      </c>
      <c r="CA1076" s="198">
        <v>10.578799999999999</v>
      </c>
      <c r="CB1076" s="198">
        <v>3.1355</v>
      </c>
      <c r="CC1076" s="198">
        <v>10.4922</v>
      </c>
      <c r="CD1076" s="198">
        <v>1.2146399999999999</v>
      </c>
      <c r="CF1076" s="1051">
        <v>43669</v>
      </c>
      <c r="CG1076" s="198">
        <v>6.7508999999999997</v>
      </c>
      <c r="CH1076" s="198">
        <v>1.2315</v>
      </c>
      <c r="CI1076" s="198">
        <v>10.599500000000001</v>
      </c>
      <c r="CL1076" s="1051">
        <v>43692</v>
      </c>
      <c r="CM1076" s="198">
        <v>13.581899999999999</v>
      </c>
      <c r="CN1076" s="198">
        <v>1.8512999999999999</v>
      </c>
      <c r="CO1076" s="198">
        <v>9.7675000000000001</v>
      </c>
    </row>
    <row r="1077" spans="1:93" s="198" customFormat="1">
      <c r="A1077" s="1051">
        <v>43669</v>
      </c>
      <c r="B1077" s="1052">
        <f t="shared" si="162"/>
        <v>7.5101000000000004</v>
      </c>
      <c r="C1077" s="1052">
        <f t="shared" si="164"/>
        <v>6.1014999999999997</v>
      </c>
      <c r="D1077" s="1052">
        <f t="shared" si="168"/>
        <v>9.8879000000000001</v>
      </c>
      <c r="E1077" s="1052">
        <f t="shared" si="169"/>
        <v>7.0262000000000002</v>
      </c>
      <c r="F1077" s="1052">
        <f t="shared" si="170"/>
        <v>13.420500000000001</v>
      </c>
      <c r="G1077" s="1052">
        <f t="shared" si="171"/>
        <v>7.1361999999999997</v>
      </c>
      <c r="H1077" s="1047">
        <f t="shared" si="165"/>
        <v>7.1361999999999997</v>
      </c>
      <c r="I1077" s="1048">
        <f t="shared" si="163"/>
        <v>5.2394831983408663E-2</v>
      </c>
      <c r="J1077" s="1048">
        <f t="shared" si="166"/>
        <v>0.12093838824177333</v>
      </c>
      <c r="K1077" s="1048">
        <f t="shared" si="167"/>
        <v>0.1</v>
      </c>
      <c r="L1077" s="1048"/>
      <c r="N1077" s="1051">
        <v>43669</v>
      </c>
      <c r="O1077" s="1053">
        <v>7.5101000000000004</v>
      </c>
      <c r="P1077" s="1053">
        <v>1.1832</v>
      </c>
      <c r="Q1077" s="1053">
        <v>11.014099999999999</v>
      </c>
      <c r="R1077" s="1054">
        <f>'B. PE'!$U$23</f>
        <v>15.978235616082999</v>
      </c>
      <c r="S1077" s="1054"/>
      <c r="T1077" s="1054"/>
      <c r="V1077" s="1051">
        <v>43669</v>
      </c>
      <c r="W1077" s="198">
        <v>6.1014999999999997</v>
      </c>
      <c r="X1077" s="198">
        <v>0.4546</v>
      </c>
      <c r="Y1077" s="198">
        <v>6.3087999999999997</v>
      </c>
      <c r="Z1077" s="198">
        <v>0.27953</v>
      </c>
      <c r="AB1077" s="1051">
        <v>43633</v>
      </c>
      <c r="AC1077" s="198">
        <v>5.9805999999999999</v>
      </c>
      <c r="AD1077" s="1053">
        <v>0.80810000000000004</v>
      </c>
      <c r="AE1077" s="198">
        <v>5.7351000000000001</v>
      </c>
      <c r="AF1077" s="198">
        <v>1.8249999999999999E-2</v>
      </c>
      <c r="AH1077" s="1051">
        <v>43633</v>
      </c>
      <c r="AI1077" s="198">
        <v>9.7967999999999993</v>
      </c>
      <c r="AJ1077" s="198">
        <v>1.6043000000000001</v>
      </c>
      <c r="AK1077" s="198">
        <v>5.5842000000000001</v>
      </c>
      <c r="AL1077" s="198">
        <v>1.72E-2</v>
      </c>
      <c r="AN1077" s="1051">
        <v>43635</v>
      </c>
      <c r="AO1077" s="198">
        <v>7.0429000000000004</v>
      </c>
      <c r="AP1077" s="198">
        <v>0.59419999999999995</v>
      </c>
      <c r="AQ1077" s="198">
        <v>3.6945999999999999</v>
      </c>
      <c r="AR1077" s="198">
        <v>0.115</v>
      </c>
      <c r="AT1077" s="1051">
        <v>43552</v>
      </c>
      <c r="AU1077" s="198">
        <v>7.8467000000000002</v>
      </c>
      <c r="AV1077" s="198">
        <v>0.53259999999999996</v>
      </c>
      <c r="AW1077" s="198">
        <v>5.7041000000000004</v>
      </c>
      <c r="AX1077" s="198">
        <v>0.11534999999999999</v>
      </c>
      <c r="BA1077" s="1051">
        <v>43616</v>
      </c>
      <c r="BB1077" s="198">
        <v>6.6826999999999996</v>
      </c>
      <c r="BC1077" s="198">
        <v>1.3962000000000001</v>
      </c>
      <c r="BD1077" s="198">
        <v>7.2049000000000003</v>
      </c>
      <c r="BE1077" s="198">
        <v>0.28593000000000002</v>
      </c>
      <c r="BG1077" s="1051">
        <v>43616</v>
      </c>
      <c r="BH1077" s="198">
        <v>11.3522</v>
      </c>
      <c r="BI1077" s="198">
        <v>2.2581000000000002</v>
      </c>
      <c r="BJ1077" s="198">
        <v>16.0867</v>
      </c>
      <c r="BT1077" s="1051">
        <v>43669</v>
      </c>
      <c r="BU1077" s="198">
        <v>13.7963</v>
      </c>
      <c r="BV1077" s="198">
        <v>4.6258999999999997</v>
      </c>
      <c r="BW1077" s="198">
        <v>8.4328000000000003</v>
      </c>
      <c r="BX1077" s="198">
        <v>1.5185</v>
      </c>
      <c r="BZ1077" s="1051">
        <v>43669</v>
      </c>
      <c r="CA1077" s="198">
        <v>10.578799999999999</v>
      </c>
      <c r="CB1077" s="198">
        <v>3.1355</v>
      </c>
      <c r="CC1077" s="198">
        <v>10.4922</v>
      </c>
      <c r="CD1077" s="198">
        <v>1.1926399999999999</v>
      </c>
      <c r="CF1077" s="1051">
        <v>43668</v>
      </c>
      <c r="CG1077" s="198">
        <v>6.7508999999999997</v>
      </c>
      <c r="CH1077" s="198">
        <v>1.2315</v>
      </c>
      <c r="CI1077" s="198">
        <v>10.599500000000001</v>
      </c>
      <c r="CL1077" s="1051">
        <v>43691</v>
      </c>
      <c r="CM1077" s="198">
        <v>13.6509</v>
      </c>
      <c r="CN1077" s="198">
        <v>1.8607</v>
      </c>
      <c r="CO1077" s="198">
        <v>9.8155999999999999</v>
      </c>
    </row>
    <row r="1078" spans="1:93" s="198" customFormat="1">
      <c r="A1078" s="1051">
        <v>43668</v>
      </c>
      <c r="B1078" s="1052">
        <f t="shared" si="162"/>
        <v>7.3353999999999999</v>
      </c>
      <c r="C1078" s="1052">
        <f t="shared" si="164"/>
        <v>6.1014999999999997</v>
      </c>
      <c r="D1078" s="1052">
        <f t="shared" si="168"/>
        <v>9.8879000000000001</v>
      </c>
      <c r="E1078" s="1052">
        <f t="shared" si="169"/>
        <v>7.0262000000000002</v>
      </c>
      <c r="F1078" s="1052">
        <f t="shared" si="170"/>
        <v>13.420500000000001</v>
      </c>
      <c r="G1078" s="1052">
        <f t="shared" si="171"/>
        <v>7.2495000000000003</v>
      </c>
      <c r="H1078" s="1047">
        <f t="shared" si="165"/>
        <v>7.2495000000000003</v>
      </c>
      <c r="I1078" s="1048">
        <f t="shared" si="163"/>
        <v>1.1849093040899428E-2</v>
      </c>
      <c r="J1078" s="1048">
        <f t="shared" si="166"/>
        <v>0.12093838824177333</v>
      </c>
      <c r="K1078" s="1048">
        <f t="shared" si="167"/>
        <v>0.1</v>
      </c>
      <c r="L1078" s="1048"/>
      <c r="N1078" s="1051">
        <v>43668</v>
      </c>
      <c r="O1078" s="1053">
        <v>7.3353999999999999</v>
      </c>
      <c r="P1078" s="1053">
        <v>1.1556</v>
      </c>
      <c r="Q1078" s="1053">
        <v>10.878299999999999</v>
      </c>
      <c r="R1078" s="1054">
        <f>'B. PE'!$U$23</f>
        <v>15.978235616082999</v>
      </c>
      <c r="S1078" s="1054"/>
      <c r="T1078" s="1054"/>
      <c r="V1078" s="1051">
        <v>43668</v>
      </c>
      <c r="W1078" s="198">
        <v>6.1014999999999997</v>
      </c>
      <c r="X1078" s="198">
        <v>0.4546</v>
      </c>
      <c r="Y1078" s="198">
        <v>6.3087999999999997</v>
      </c>
      <c r="Z1078" s="198">
        <v>0.27877999999999997</v>
      </c>
      <c r="AB1078" s="1051">
        <v>43630</v>
      </c>
      <c r="AC1078" s="198">
        <v>5.7994000000000003</v>
      </c>
      <c r="AD1078" s="1053">
        <v>0.78359999999999996</v>
      </c>
      <c r="AE1078" s="198">
        <v>5.6454000000000004</v>
      </c>
      <c r="AF1078" s="198">
        <v>1.8579999999999999E-2</v>
      </c>
      <c r="AH1078" s="1051">
        <v>43630</v>
      </c>
      <c r="AI1078" s="198">
        <v>10.114100000000001</v>
      </c>
      <c r="AJ1078" s="198">
        <v>1.6561999999999999</v>
      </c>
      <c r="AK1078" s="198">
        <v>5.7420999999999998</v>
      </c>
      <c r="AL1078" s="198">
        <v>1.7250000000000001E-2</v>
      </c>
      <c r="AN1078" s="1051">
        <v>43634</v>
      </c>
      <c r="AO1078" s="198">
        <v>7.0064000000000002</v>
      </c>
      <c r="AP1078" s="198">
        <v>0.59109999999999996</v>
      </c>
      <c r="AQ1078" s="198">
        <v>3.6648999999999998</v>
      </c>
      <c r="AR1078" s="198">
        <v>0.11758</v>
      </c>
      <c r="AT1078" s="1051">
        <v>43551</v>
      </c>
      <c r="AU1078" s="198">
        <v>8.0119000000000007</v>
      </c>
      <c r="AV1078" s="198">
        <v>0.54379999999999995</v>
      </c>
      <c r="AW1078" s="198">
        <v>5.7907999999999999</v>
      </c>
      <c r="AX1078" s="198">
        <v>0.11556</v>
      </c>
      <c r="BA1078" s="1051">
        <v>43615</v>
      </c>
      <c r="BB1078" s="198">
        <v>6.6458000000000004</v>
      </c>
      <c r="BC1078" s="198">
        <v>1.3884000000000001</v>
      </c>
      <c r="BD1078" s="198">
        <v>7.1775000000000002</v>
      </c>
      <c r="BE1078" s="198">
        <v>0.28591</v>
      </c>
      <c r="BG1078" s="1051">
        <v>43615</v>
      </c>
      <c r="BH1078" s="198">
        <v>11.234</v>
      </c>
      <c r="BI1078" s="198">
        <v>2.2345999999999999</v>
      </c>
      <c r="BJ1078" s="198">
        <v>15.9819</v>
      </c>
      <c r="BT1078" s="1051">
        <v>43668</v>
      </c>
      <c r="BU1078" s="198">
        <v>13.4922</v>
      </c>
      <c r="BV1078" s="198">
        <v>4.5239000000000003</v>
      </c>
      <c r="BW1078" s="198">
        <v>8.2499000000000002</v>
      </c>
      <c r="BX1078" s="198">
        <v>1.4916</v>
      </c>
      <c r="BZ1078" s="1051">
        <v>43668</v>
      </c>
      <c r="CA1078" s="198">
        <v>10.522399999999999</v>
      </c>
      <c r="CB1078" s="198">
        <v>3.1187999999999998</v>
      </c>
      <c r="CC1078" s="198">
        <v>10.450100000000001</v>
      </c>
      <c r="CD1078" s="198">
        <v>1.1680200000000001</v>
      </c>
      <c r="CF1078" s="1051">
        <v>43665</v>
      </c>
      <c r="CG1078" s="198">
        <v>6.1508000000000003</v>
      </c>
      <c r="CH1078" s="198">
        <v>1.1220000000000001</v>
      </c>
      <c r="CI1078" s="198">
        <v>10.2698</v>
      </c>
      <c r="CL1078" s="1051">
        <v>43690</v>
      </c>
      <c r="CM1078" s="198">
        <v>14.041600000000001</v>
      </c>
      <c r="CN1078" s="198">
        <v>1.9139999999999999</v>
      </c>
      <c r="CO1078" s="198">
        <v>10.0886</v>
      </c>
    </row>
    <row r="1079" spans="1:93" s="198" customFormat="1">
      <c r="A1079" s="1051">
        <v>43665</v>
      </c>
      <c r="B1079" s="1052">
        <f t="shared" si="162"/>
        <v>7.4623999999999997</v>
      </c>
      <c r="C1079" s="1052">
        <f t="shared" si="164"/>
        <v>6.0857000000000001</v>
      </c>
      <c r="D1079" s="1052">
        <f t="shared" si="168"/>
        <v>9.8125</v>
      </c>
      <c r="E1079" s="1052">
        <f t="shared" si="169"/>
        <v>6.8910999999999998</v>
      </c>
      <c r="F1079" s="1052">
        <f t="shared" si="170"/>
        <v>13.669</v>
      </c>
      <c r="G1079" s="1052">
        <f t="shared" si="171"/>
        <v>7.3250000000000002</v>
      </c>
      <c r="H1079" s="1047">
        <f t="shared" si="165"/>
        <v>7.3250000000000002</v>
      </c>
      <c r="I1079" s="1048">
        <f t="shared" si="163"/>
        <v>1.8757679180887221E-2</v>
      </c>
      <c r="J1079" s="1048">
        <f t="shared" si="166"/>
        <v>0.12093838824177333</v>
      </c>
      <c r="K1079" s="1048">
        <f t="shared" si="167"/>
        <v>0.1</v>
      </c>
      <c r="L1079" s="1048"/>
      <c r="N1079" s="1051">
        <v>43665</v>
      </c>
      <c r="O1079" s="1053">
        <v>7.4623999999999997</v>
      </c>
      <c r="P1079" s="1053">
        <v>1.1757</v>
      </c>
      <c r="Q1079" s="1053">
        <v>10.9771</v>
      </c>
      <c r="R1079" s="1054">
        <f>'B. PE'!$U$23</f>
        <v>15.978235616082999</v>
      </c>
      <c r="S1079" s="1054"/>
      <c r="T1079" s="1054"/>
      <c r="V1079" s="1051">
        <v>43665</v>
      </c>
      <c r="W1079" s="198">
        <v>6.0857000000000001</v>
      </c>
      <c r="X1079" s="198">
        <v>0.45340000000000003</v>
      </c>
      <c r="Y1079" s="198">
        <v>6.3026999999999997</v>
      </c>
      <c r="Z1079" s="198">
        <v>0.28115000000000001</v>
      </c>
      <c r="AB1079" s="1051">
        <v>43629</v>
      </c>
      <c r="AC1079" s="198">
        <v>5.9127000000000001</v>
      </c>
      <c r="AD1079" s="1053">
        <v>0.79890000000000005</v>
      </c>
      <c r="AE1079" s="198">
        <v>5.7015000000000002</v>
      </c>
      <c r="AF1079" s="198">
        <v>1.8710000000000001E-2</v>
      </c>
      <c r="AH1079" s="1051">
        <v>43629</v>
      </c>
      <c r="AI1079" s="198">
        <v>9.7571999999999992</v>
      </c>
      <c r="AJ1079" s="198">
        <v>1.5978000000000001</v>
      </c>
      <c r="AK1079" s="198">
        <v>5.5644</v>
      </c>
      <c r="AL1079" s="198">
        <v>1.7440000000000001E-2</v>
      </c>
      <c r="AN1079" s="1051">
        <v>43633</v>
      </c>
      <c r="AO1079" s="198">
        <v>7.0064000000000002</v>
      </c>
      <c r="AP1079" s="198">
        <v>0.59109999999999996</v>
      </c>
      <c r="AQ1079" s="198">
        <v>3.6648999999999998</v>
      </c>
      <c r="AR1079" s="198">
        <v>0.11513</v>
      </c>
      <c r="AT1079" s="1051">
        <v>43550</v>
      </c>
      <c r="AU1079" s="198">
        <v>7.7641</v>
      </c>
      <c r="AV1079" s="198">
        <v>0.52700000000000002</v>
      </c>
      <c r="AW1079" s="198">
        <v>5.6608000000000001</v>
      </c>
      <c r="BA1079" s="1051">
        <v>43614</v>
      </c>
      <c r="BB1079" s="198">
        <v>6.7196999999999996</v>
      </c>
      <c r="BC1079" s="198">
        <v>1.4038999999999999</v>
      </c>
      <c r="BD1079" s="198">
        <v>7.2321999999999997</v>
      </c>
      <c r="BE1079" s="198">
        <v>0.28442000000000001</v>
      </c>
      <c r="BG1079" s="1051">
        <v>43614</v>
      </c>
      <c r="BH1079" s="198">
        <v>10.8201</v>
      </c>
      <c r="BI1079" s="198">
        <v>2.1522999999999999</v>
      </c>
      <c r="BJ1079" s="198">
        <v>15.6152</v>
      </c>
      <c r="BT1079" s="1051">
        <v>43665</v>
      </c>
      <c r="BU1079" s="198">
        <v>13.4162</v>
      </c>
      <c r="BV1079" s="198">
        <v>4.4984999999999999</v>
      </c>
      <c r="BW1079" s="198">
        <v>8.2042000000000002</v>
      </c>
      <c r="BX1079" s="198">
        <v>1.4596</v>
      </c>
      <c r="BZ1079" s="1051">
        <v>43665</v>
      </c>
      <c r="CA1079" s="198">
        <v>10.3345</v>
      </c>
      <c r="CB1079" s="198">
        <v>3.0630999999999999</v>
      </c>
      <c r="CC1079" s="198">
        <v>10.309799999999999</v>
      </c>
      <c r="CD1079" s="198">
        <v>1.16666</v>
      </c>
      <c r="CF1079" s="1051">
        <v>43664</v>
      </c>
      <c r="CG1079" s="198">
        <v>6.6009000000000002</v>
      </c>
      <c r="CH1079" s="198">
        <v>1.2040999999999999</v>
      </c>
      <c r="CI1079" s="198">
        <v>10.517099999999999</v>
      </c>
      <c r="CL1079" s="1051">
        <v>43689</v>
      </c>
      <c r="CM1079" s="198">
        <v>13.978400000000001</v>
      </c>
      <c r="CN1079" s="198">
        <v>1.9054</v>
      </c>
      <c r="CO1079" s="198">
        <v>10.0444</v>
      </c>
    </row>
    <row r="1080" spans="1:93" s="198" customFormat="1">
      <c r="A1080" s="1051">
        <v>43664</v>
      </c>
      <c r="B1080" s="1052">
        <f t="shared" si="162"/>
        <v>7.4942000000000002</v>
      </c>
      <c r="C1080" s="1052">
        <f t="shared" si="164"/>
        <v>6.0621</v>
      </c>
      <c r="D1080" s="1052">
        <f t="shared" si="168"/>
        <v>9.4727999999999994</v>
      </c>
      <c r="E1080" s="1052">
        <f t="shared" si="169"/>
        <v>6.8910999999999998</v>
      </c>
      <c r="F1080" s="1052">
        <f t="shared" si="170"/>
        <v>13.5448</v>
      </c>
      <c r="G1080" s="1052">
        <f t="shared" si="171"/>
        <v>7.3250000000000002</v>
      </c>
      <c r="H1080" s="1047">
        <f t="shared" si="165"/>
        <v>7.3250000000000002</v>
      </c>
      <c r="I1080" s="1048">
        <f t="shared" si="163"/>
        <v>2.3098976109215075E-2</v>
      </c>
      <c r="J1080" s="1048">
        <f t="shared" si="166"/>
        <v>0.12093838824177333</v>
      </c>
      <c r="K1080" s="1048">
        <f t="shared" si="167"/>
        <v>0.1</v>
      </c>
      <c r="L1080" s="1048"/>
      <c r="N1080" s="1051">
        <v>43664</v>
      </c>
      <c r="O1080" s="1053">
        <v>7.4942000000000002</v>
      </c>
      <c r="P1080" s="1053">
        <v>1.1807000000000001</v>
      </c>
      <c r="Q1080" s="1053">
        <v>11.001799999999999</v>
      </c>
      <c r="R1080" s="1054">
        <f>'B. PE'!$U$23</f>
        <v>15.978235616082999</v>
      </c>
      <c r="S1080" s="1054"/>
      <c r="T1080" s="1054"/>
      <c r="V1080" s="1051">
        <v>43664</v>
      </c>
      <c r="W1080" s="198">
        <v>6.0621</v>
      </c>
      <c r="X1080" s="198">
        <v>0.4516</v>
      </c>
      <c r="Y1080" s="198">
        <v>6.2935999999999996</v>
      </c>
      <c r="Z1080" s="198">
        <v>0.28083000000000002</v>
      </c>
      <c r="AB1080" s="1051">
        <v>43628</v>
      </c>
      <c r="AC1080" s="198">
        <v>6.0033000000000003</v>
      </c>
      <c r="AD1080" s="1053">
        <v>0.81110000000000004</v>
      </c>
      <c r="AE1080" s="198">
        <v>5.7462999999999997</v>
      </c>
      <c r="AF1080" s="198">
        <v>1.7010000000000001E-2</v>
      </c>
      <c r="AH1080" s="1051">
        <v>43628</v>
      </c>
      <c r="AI1080" s="198">
        <v>9.7571999999999992</v>
      </c>
      <c r="AJ1080" s="198">
        <v>1.5978000000000001</v>
      </c>
      <c r="AK1080" s="198">
        <v>5.5644</v>
      </c>
      <c r="AL1080" s="198">
        <v>1.6729999999999998E-2</v>
      </c>
      <c r="AN1080" s="1051">
        <v>43630</v>
      </c>
      <c r="AO1080" s="198">
        <v>7.1524000000000001</v>
      </c>
      <c r="AP1080" s="198">
        <v>0.60340000000000005</v>
      </c>
      <c r="AQ1080" s="198">
        <v>3.7835000000000001</v>
      </c>
      <c r="AR1080" s="198">
        <v>0.11541999999999999</v>
      </c>
      <c r="AT1080" s="1051">
        <v>43549</v>
      </c>
      <c r="AU1080" s="198">
        <v>7.7641</v>
      </c>
      <c r="AV1080" s="198">
        <v>0.52700000000000002</v>
      </c>
      <c r="AW1080" s="198">
        <v>5.6608000000000001</v>
      </c>
      <c r="AX1080" s="198">
        <v>0.12099</v>
      </c>
      <c r="BA1080" s="1051">
        <v>43613</v>
      </c>
      <c r="BB1080" s="198">
        <v>6.7196999999999996</v>
      </c>
      <c r="BC1080" s="198">
        <v>1.4038999999999999</v>
      </c>
      <c r="BD1080" s="198">
        <v>7.2321999999999997</v>
      </c>
      <c r="BE1080" s="198">
        <v>0.28260000000000002</v>
      </c>
      <c r="BG1080" s="1051">
        <v>43613</v>
      </c>
      <c r="BH1080" s="198">
        <v>10.7018</v>
      </c>
      <c r="BI1080" s="198">
        <v>2.1286999999999998</v>
      </c>
      <c r="BJ1080" s="198">
        <v>15.510400000000001</v>
      </c>
      <c r="BT1080" s="1051">
        <v>43664</v>
      </c>
      <c r="BU1080" s="198">
        <v>13.162800000000001</v>
      </c>
      <c r="BV1080" s="198">
        <v>4.4135</v>
      </c>
      <c r="BW1080" s="198">
        <v>8.0518000000000001</v>
      </c>
      <c r="BX1080" s="198">
        <v>1.4683999999999999</v>
      </c>
      <c r="BZ1080" s="1051">
        <v>43664</v>
      </c>
      <c r="CA1080" s="198">
        <v>10.109</v>
      </c>
      <c r="CB1080" s="198">
        <v>2.9963000000000002</v>
      </c>
      <c r="CC1080" s="198">
        <v>10.141400000000001</v>
      </c>
      <c r="CD1080" s="198">
        <v>1.1668099999999999</v>
      </c>
      <c r="CF1080" s="1051">
        <v>43663</v>
      </c>
      <c r="CG1080" s="198">
        <v>6.0007999999999999</v>
      </c>
      <c r="CH1080" s="198">
        <v>1.0947</v>
      </c>
      <c r="CI1080" s="198">
        <v>10.1874</v>
      </c>
      <c r="CL1080" s="1051">
        <v>43686</v>
      </c>
      <c r="CM1080" s="198">
        <v>14.139200000000001</v>
      </c>
      <c r="CN1080" s="198">
        <v>1.9273</v>
      </c>
      <c r="CO1080" s="198">
        <v>10.1568</v>
      </c>
    </row>
    <row r="1081" spans="1:93" s="198" customFormat="1">
      <c r="A1081" s="1051">
        <v>43663</v>
      </c>
      <c r="B1081" s="1052">
        <f t="shared" si="162"/>
        <v>7.5259999999999998</v>
      </c>
      <c r="C1081" s="1052">
        <f t="shared" si="164"/>
        <v>6.1093999999999999</v>
      </c>
      <c r="D1081" s="1052">
        <f t="shared" si="168"/>
        <v>9.5482999999999993</v>
      </c>
      <c r="E1081" s="1052">
        <f t="shared" si="169"/>
        <v>6.8910999999999998</v>
      </c>
      <c r="F1081" s="1052">
        <f t="shared" si="170"/>
        <v>13.669</v>
      </c>
      <c r="G1081" s="1052">
        <f t="shared" si="171"/>
        <v>7.2872000000000003</v>
      </c>
      <c r="H1081" s="1047">
        <f t="shared" si="165"/>
        <v>7.2872000000000003</v>
      </c>
      <c r="I1081" s="1048">
        <f t="shared" si="163"/>
        <v>3.2769788121637777E-2</v>
      </c>
      <c r="J1081" s="1048">
        <f t="shared" si="166"/>
        <v>0.12093838824177333</v>
      </c>
      <c r="K1081" s="1048">
        <f t="shared" si="167"/>
        <v>0.1</v>
      </c>
      <c r="L1081" s="1048"/>
      <c r="N1081" s="1051">
        <v>43663</v>
      </c>
      <c r="O1081" s="1053">
        <v>7.5259999999999998</v>
      </c>
      <c r="P1081" s="1053">
        <v>1.1857</v>
      </c>
      <c r="Q1081" s="1053">
        <v>11.0265</v>
      </c>
      <c r="R1081" s="1054">
        <f>'B. PE'!$U$23</f>
        <v>15.978235616082999</v>
      </c>
      <c r="S1081" s="1054"/>
      <c r="T1081" s="1054"/>
      <c r="V1081" s="1051">
        <v>43663</v>
      </c>
      <c r="W1081" s="198">
        <v>6.1093999999999999</v>
      </c>
      <c r="X1081" s="198">
        <v>0.4551</v>
      </c>
      <c r="Y1081" s="198">
        <v>6.3117999999999999</v>
      </c>
      <c r="Z1081" s="198">
        <v>0.28227999999999998</v>
      </c>
      <c r="AB1081" s="1051">
        <v>43627</v>
      </c>
      <c r="AC1081" s="198">
        <v>6.0259</v>
      </c>
      <c r="AD1081" s="1053">
        <v>0.81420000000000003</v>
      </c>
      <c r="AE1081" s="198">
        <v>5.7575000000000003</v>
      </c>
      <c r="AF1081" s="198">
        <v>1.6449999999999999E-2</v>
      </c>
      <c r="AH1081" s="1051">
        <v>43627</v>
      </c>
      <c r="AI1081" s="198">
        <v>9.8364999999999991</v>
      </c>
      <c r="AJ1081" s="198">
        <v>1.6108</v>
      </c>
      <c r="AK1081" s="198">
        <v>5.6039000000000003</v>
      </c>
      <c r="AL1081" s="198">
        <v>1.5959999999999998E-2</v>
      </c>
      <c r="AN1081" s="1051">
        <v>43629</v>
      </c>
      <c r="AO1081" s="198">
        <v>7.0064000000000002</v>
      </c>
      <c r="AP1081" s="198">
        <v>0.59109999999999996</v>
      </c>
      <c r="AQ1081" s="198">
        <v>3.6648999999999998</v>
      </c>
      <c r="AR1081" s="198">
        <v>0.11616</v>
      </c>
      <c r="AT1081" s="1051">
        <v>43546</v>
      </c>
      <c r="AW1081" s="198">
        <v>5.8341000000000003</v>
      </c>
      <c r="AX1081" s="198">
        <v>0.12066</v>
      </c>
      <c r="BA1081" s="1051">
        <v>43612</v>
      </c>
      <c r="BB1081" s="198">
        <v>6.6826999999999996</v>
      </c>
      <c r="BC1081" s="198">
        <v>1.3962000000000001</v>
      </c>
      <c r="BD1081" s="198">
        <v>7.2049000000000003</v>
      </c>
      <c r="BE1081" s="198">
        <v>0.28036</v>
      </c>
      <c r="BG1081" s="1051">
        <v>43612</v>
      </c>
      <c r="BH1081" s="198">
        <v>10.760999999999999</v>
      </c>
      <c r="BI1081" s="198">
        <v>2.1404999999999998</v>
      </c>
      <c r="BJ1081" s="198">
        <v>15.562799999999999</v>
      </c>
      <c r="BT1081" s="1051">
        <v>43663</v>
      </c>
      <c r="BU1081" s="198">
        <v>12.871499999999999</v>
      </c>
      <c r="BV1081" s="198">
        <v>4.3158000000000003</v>
      </c>
      <c r="BW1081" s="198">
        <v>7.8765999999999998</v>
      </c>
      <c r="BX1081" s="198">
        <v>1.454</v>
      </c>
      <c r="BZ1081" s="1051">
        <v>43663</v>
      </c>
      <c r="CA1081" s="198">
        <v>10.090299999999999</v>
      </c>
      <c r="CB1081" s="198">
        <v>2.9906999999999999</v>
      </c>
      <c r="CC1081" s="198">
        <v>10.1274</v>
      </c>
      <c r="CD1081" s="198">
        <v>1.1950499999999999</v>
      </c>
      <c r="CF1081" s="1051">
        <v>43662</v>
      </c>
      <c r="CG1081" s="198">
        <v>5.8507999999999996</v>
      </c>
      <c r="CH1081" s="198">
        <v>1.0672999999999999</v>
      </c>
      <c r="CI1081" s="198">
        <v>10.105</v>
      </c>
      <c r="CL1081" s="1051">
        <v>43685</v>
      </c>
      <c r="CM1081" s="198">
        <v>14.213900000000001</v>
      </c>
      <c r="CN1081" s="198">
        <v>1.9375</v>
      </c>
      <c r="CO1081" s="198">
        <v>10.209</v>
      </c>
    </row>
    <row r="1082" spans="1:93" s="198" customFormat="1">
      <c r="A1082" s="1051">
        <v>43662</v>
      </c>
      <c r="B1082" s="1052">
        <f t="shared" si="162"/>
        <v>7.4623999999999997</v>
      </c>
      <c r="C1082" s="1052">
        <f t="shared" si="164"/>
        <v>6.1014999999999997</v>
      </c>
      <c r="D1082" s="1052">
        <f t="shared" si="168"/>
        <v>9.6615000000000002</v>
      </c>
      <c r="E1082" s="1052">
        <f t="shared" si="169"/>
        <v>6.8910999999999998</v>
      </c>
      <c r="F1082" s="1052">
        <f t="shared" si="170"/>
        <v>13.669</v>
      </c>
      <c r="G1082" s="1052">
        <f t="shared" si="171"/>
        <v>7.2872000000000003</v>
      </c>
      <c r="H1082" s="1047">
        <f t="shared" si="165"/>
        <v>7.2872000000000003</v>
      </c>
      <c r="I1082" s="1048">
        <f t="shared" si="163"/>
        <v>2.4042156109342239E-2</v>
      </c>
      <c r="J1082" s="1048">
        <f t="shared" si="166"/>
        <v>0.12093838824177333</v>
      </c>
      <c r="K1082" s="1048">
        <f t="shared" si="167"/>
        <v>0.1</v>
      </c>
      <c r="L1082" s="1048"/>
      <c r="N1082" s="1051">
        <v>43662</v>
      </c>
      <c r="O1082" s="1053">
        <v>7.4623999999999997</v>
      </c>
      <c r="P1082" s="1053">
        <v>1.1757</v>
      </c>
      <c r="Q1082" s="1053">
        <v>10.9771</v>
      </c>
      <c r="R1082" s="1054">
        <f>'B. PE'!$U$23</f>
        <v>15.978235616082999</v>
      </c>
      <c r="S1082" s="1054"/>
      <c r="T1082" s="1054"/>
      <c r="V1082" s="1051">
        <v>43662</v>
      </c>
      <c r="W1082" s="198">
        <v>6.1014999999999997</v>
      </c>
      <c r="X1082" s="198">
        <v>0.4546</v>
      </c>
      <c r="Y1082" s="198">
        <v>6.3087999999999997</v>
      </c>
      <c r="Z1082" s="198">
        <v>0.28119</v>
      </c>
      <c r="AB1082" s="1051">
        <v>43626</v>
      </c>
      <c r="AC1082" s="198">
        <v>5.4823000000000004</v>
      </c>
      <c r="AD1082" s="1053">
        <v>0.74070000000000003</v>
      </c>
      <c r="AE1082" s="198">
        <v>5.4885000000000002</v>
      </c>
      <c r="AF1082" s="198">
        <v>1.5949999999999999E-2</v>
      </c>
      <c r="AH1082" s="1051">
        <v>43626</v>
      </c>
      <c r="AI1082" s="198">
        <v>9.4398999999999997</v>
      </c>
      <c r="AJ1082" s="198">
        <v>1.5458000000000001</v>
      </c>
      <c r="AK1082" s="198">
        <v>5.4063999999999997</v>
      </c>
      <c r="AL1082" s="198">
        <v>1.5740000000000001E-2</v>
      </c>
      <c r="AN1082" s="1051">
        <v>43628</v>
      </c>
      <c r="AO1082" s="198">
        <v>7.0064000000000002</v>
      </c>
      <c r="AP1082" s="198">
        <v>0.59109999999999996</v>
      </c>
      <c r="AQ1082" s="198">
        <v>3.6648999999999998</v>
      </c>
      <c r="AR1082" s="198">
        <v>0.11537</v>
      </c>
      <c r="AT1082" s="1051">
        <v>43545</v>
      </c>
      <c r="AU1082" s="198">
        <v>8.0945</v>
      </c>
      <c r="AV1082" s="198">
        <v>0.5494</v>
      </c>
      <c r="AW1082" s="198">
        <v>5.8341000000000003</v>
      </c>
      <c r="AX1082" s="198">
        <v>0.11652</v>
      </c>
      <c r="BA1082" s="1051">
        <v>43609</v>
      </c>
      <c r="BB1082" s="198">
        <v>6.6458000000000004</v>
      </c>
      <c r="BC1082" s="198">
        <v>1.3884000000000001</v>
      </c>
      <c r="BD1082" s="198">
        <v>7.1775000000000002</v>
      </c>
      <c r="BE1082" s="198">
        <v>0.27878999999999998</v>
      </c>
      <c r="BG1082" s="1051">
        <v>43609</v>
      </c>
      <c r="BH1082" s="198">
        <v>10.8201</v>
      </c>
      <c r="BI1082" s="198">
        <v>2.1522999999999999</v>
      </c>
      <c r="BJ1082" s="198">
        <v>15.6152</v>
      </c>
      <c r="BT1082" s="1051">
        <v>43662</v>
      </c>
      <c r="BU1082" s="198">
        <v>12.9475</v>
      </c>
      <c r="BV1082" s="198">
        <v>4.3413000000000004</v>
      </c>
      <c r="BW1082" s="198">
        <v>7.9222999999999999</v>
      </c>
      <c r="BX1082" s="198">
        <v>1.4095</v>
      </c>
      <c r="BZ1082" s="1051">
        <v>43662</v>
      </c>
      <c r="CA1082" s="198">
        <v>10.090299999999999</v>
      </c>
      <c r="CB1082" s="198">
        <v>2.9906999999999999</v>
      </c>
      <c r="CC1082" s="198">
        <v>10.1274</v>
      </c>
      <c r="CD1082" s="198">
        <v>1.2102599999999999</v>
      </c>
      <c r="CF1082" s="1051">
        <v>43661</v>
      </c>
      <c r="CG1082" s="198">
        <v>5.9008000000000003</v>
      </c>
      <c r="CH1082" s="198">
        <v>1.0764</v>
      </c>
      <c r="CI1082" s="198">
        <v>10.1325</v>
      </c>
      <c r="CL1082" s="1051">
        <v>43684</v>
      </c>
      <c r="CM1082" s="198">
        <v>14.076000000000001</v>
      </c>
      <c r="CN1082" s="198">
        <v>1.9187000000000001</v>
      </c>
      <c r="CO1082" s="198">
        <v>10.1126</v>
      </c>
    </row>
    <row r="1083" spans="1:93" s="198" customFormat="1">
      <c r="A1083" s="1051">
        <v>43661</v>
      </c>
      <c r="B1083" s="1052">
        <f t="shared" si="162"/>
        <v>7.5101000000000004</v>
      </c>
      <c r="C1083" s="1052">
        <f t="shared" si="164"/>
        <v>6.133</v>
      </c>
      <c r="D1083" s="1052">
        <f t="shared" si="168"/>
        <v>9.6991999999999994</v>
      </c>
      <c r="E1083" s="1052">
        <f t="shared" si="169"/>
        <v>6.8910999999999998</v>
      </c>
      <c r="F1083" s="1052">
        <f t="shared" si="170"/>
        <v>13.9176</v>
      </c>
      <c r="G1083" s="1052">
        <f t="shared" si="171"/>
        <v>7.0228999999999999</v>
      </c>
      <c r="H1083" s="1047">
        <f t="shared" si="165"/>
        <v>7.0228999999999999</v>
      </c>
      <c r="I1083" s="1048">
        <f t="shared" si="163"/>
        <v>6.9373051018809972E-2</v>
      </c>
      <c r="J1083" s="1048">
        <f t="shared" si="166"/>
        <v>0.12093838824177333</v>
      </c>
      <c r="K1083" s="1048">
        <f t="shared" si="167"/>
        <v>0.1</v>
      </c>
      <c r="L1083" s="1048"/>
      <c r="N1083" s="1051">
        <v>43661</v>
      </c>
      <c r="O1083" s="1053">
        <v>7.5101000000000004</v>
      </c>
      <c r="P1083" s="1053">
        <v>1.1832</v>
      </c>
      <c r="Q1083" s="1053">
        <v>11.014099999999999</v>
      </c>
      <c r="R1083" s="1054">
        <f>'B. PE'!$U$23</f>
        <v>15.978235616082999</v>
      </c>
      <c r="S1083" s="1054"/>
      <c r="T1083" s="1054"/>
      <c r="V1083" s="1051">
        <v>43661</v>
      </c>
      <c r="W1083" s="198">
        <v>6.133</v>
      </c>
      <c r="X1083" s="198">
        <v>0.45689999999999997</v>
      </c>
      <c r="Y1083" s="198">
        <v>6.3209</v>
      </c>
      <c r="Z1083" s="198">
        <v>0.28225</v>
      </c>
      <c r="AB1083" s="1051">
        <v>43616</v>
      </c>
      <c r="AC1083" s="198">
        <v>5.3236999999999997</v>
      </c>
      <c r="AD1083" s="1053">
        <v>0.71930000000000005</v>
      </c>
      <c r="AE1083" s="198">
        <v>5.41</v>
      </c>
      <c r="AF1083" s="198">
        <v>1.523E-2</v>
      </c>
      <c r="AH1083" s="1051">
        <v>43616</v>
      </c>
      <c r="AI1083" s="198">
        <v>9.0432000000000006</v>
      </c>
      <c r="AJ1083" s="198">
        <v>1.4809000000000001</v>
      </c>
      <c r="AK1083" s="198">
        <v>5.2089999999999996</v>
      </c>
      <c r="AL1083" s="198">
        <v>1.592E-2</v>
      </c>
      <c r="AN1083" s="1051">
        <v>43627</v>
      </c>
      <c r="AO1083" s="198">
        <v>7.0429000000000004</v>
      </c>
      <c r="AP1083" s="198">
        <v>0.59419999999999995</v>
      </c>
      <c r="AQ1083" s="198">
        <v>3.6945999999999999</v>
      </c>
      <c r="AR1083" s="198">
        <v>0.11572</v>
      </c>
      <c r="AT1083" s="1051">
        <v>43544</v>
      </c>
      <c r="AU1083" s="198">
        <v>8.0945</v>
      </c>
      <c r="AV1083" s="198">
        <v>0.5494</v>
      </c>
      <c r="AW1083" s="198">
        <v>5.8341000000000003</v>
      </c>
      <c r="AX1083" s="198">
        <v>0.11645999999999999</v>
      </c>
      <c r="BA1083" s="1051">
        <v>43608</v>
      </c>
      <c r="BB1083" s="198">
        <v>6.6089000000000002</v>
      </c>
      <c r="BC1083" s="198">
        <v>1.3807</v>
      </c>
      <c r="BD1083" s="198">
        <v>7.1501000000000001</v>
      </c>
      <c r="BE1083" s="198">
        <v>0.26763999999999999</v>
      </c>
      <c r="BG1083" s="1051">
        <v>43608</v>
      </c>
      <c r="BH1083" s="198">
        <v>11.1157</v>
      </c>
      <c r="BI1083" s="198">
        <v>2.2111000000000001</v>
      </c>
      <c r="BJ1083" s="198">
        <v>15.8772</v>
      </c>
      <c r="BT1083" s="1051">
        <v>43661</v>
      </c>
      <c r="BU1083" s="198">
        <v>12.8208</v>
      </c>
      <c r="BV1083" s="198">
        <v>4.2988</v>
      </c>
      <c r="BW1083" s="198">
        <v>7.8460999999999999</v>
      </c>
      <c r="BX1083" s="198">
        <v>1.4078999999999999</v>
      </c>
      <c r="BZ1083" s="1051">
        <v>43661</v>
      </c>
      <c r="CA1083" s="198">
        <v>10.3345</v>
      </c>
      <c r="CB1083" s="198">
        <v>3.0630999999999999</v>
      </c>
      <c r="CC1083" s="198">
        <v>10.309799999999999</v>
      </c>
      <c r="CD1083" s="198">
        <v>1.21668</v>
      </c>
      <c r="CF1083" s="1051">
        <v>43658</v>
      </c>
      <c r="CI1083" s="198">
        <v>10.2424</v>
      </c>
      <c r="CL1083" s="1051">
        <v>43683</v>
      </c>
      <c r="CM1083" s="198">
        <v>14.0875</v>
      </c>
      <c r="CN1083" s="198">
        <v>1.9201999999999999</v>
      </c>
      <c r="CO1083" s="198">
        <v>10.120699999999999</v>
      </c>
    </row>
    <row r="1084" spans="1:93" s="198" customFormat="1">
      <c r="A1084" s="1051">
        <v>43658</v>
      </c>
      <c r="B1084" s="1052">
        <f t="shared" si="162"/>
        <v>7.2718999999999996</v>
      </c>
      <c r="C1084" s="1052">
        <f t="shared" si="164"/>
        <v>6.1093999999999999</v>
      </c>
      <c r="D1084" s="1052">
        <f t="shared" si="168"/>
        <v>9.7370000000000001</v>
      </c>
      <c r="E1084" s="1052">
        <f t="shared" si="169"/>
        <v>6.8910999999999998</v>
      </c>
      <c r="F1084" s="1052">
        <f t="shared" si="170"/>
        <v>13.9176</v>
      </c>
      <c r="G1084" s="1052">
        <f t="shared" si="171"/>
        <v>6.9474</v>
      </c>
      <c r="H1084" s="1047">
        <f t="shared" si="165"/>
        <v>6.9474</v>
      </c>
      <c r="I1084" s="1048">
        <f t="shared" si="163"/>
        <v>4.6708121023692151E-2</v>
      </c>
      <c r="J1084" s="1048">
        <f t="shared" si="166"/>
        <v>0.12093838824177333</v>
      </c>
      <c r="K1084" s="1048">
        <f t="shared" si="167"/>
        <v>0.1</v>
      </c>
      <c r="L1084" s="1048"/>
      <c r="N1084" s="1051">
        <v>43658</v>
      </c>
      <c r="O1084" s="1053">
        <v>7.2718999999999996</v>
      </c>
      <c r="P1084" s="1053">
        <v>1.1456</v>
      </c>
      <c r="Q1084" s="1053">
        <v>10.828900000000001</v>
      </c>
      <c r="R1084" s="1054">
        <f>'B. PE'!$U$23</f>
        <v>15.978235616082999</v>
      </c>
      <c r="S1084" s="1054"/>
      <c r="T1084" s="1054"/>
      <c r="V1084" s="1051">
        <v>43658</v>
      </c>
      <c r="W1084" s="198">
        <v>6.1093999999999999</v>
      </c>
      <c r="X1084" s="198">
        <v>0.4551</v>
      </c>
      <c r="Y1084" s="198">
        <v>6.3117999999999999</v>
      </c>
      <c r="Z1084" s="198">
        <v>0.28197</v>
      </c>
      <c r="AB1084" s="1051">
        <v>43614</v>
      </c>
      <c r="AC1084" s="198">
        <v>5.2103999999999999</v>
      </c>
      <c r="AD1084" s="1053">
        <v>0.70399999999999996</v>
      </c>
      <c r="AE1084" s="198">
        <v>5.3539000000000003</v>
      </c>
      <c r="AF1084" s="198">
        <v>1.5990000000000001E-2</v>
      </c>
      <c r="AH1084" s="1051">
        <v>43614</v>
      </c>
      <c r="AI1084" s="198">
        <v>9.0036000000000005</v>
      </c>
      <c r="AJ1084" s="198">
        <v>1.4743999999999999</v>
      </c>
      <c r="AK1084" s="198">
        <v>5.1891999999999996</v>
      </c>
      <c r="AL1084" s="198">
        <v>1.5429999999999999E-2</v>
      </c>
      <c r="AN1084" s="1051">
        <v>43626</v>
      </c>
      <c r="AO1084" s="198">
        <v>7.0064000000000002</v>
      </c>
      <c r="AP1084" s="198">
        <v>0.59109999999999996</v>
      </c>
      <c r="AQ1084" s="198">
        <v>3.6648999999999998</v>
      </c>
      <c r="AR1084" s="198">
        <v>0.11455</v>
      </c>
      <c r="AT1084" s="1051">
        <v>43543</v>
      </c>
      <c r="AU1084" s="198">
        <v>7.8467000000000002</v>
      </c>
      <c r="AV1084" s="198">
        <v>0.53259999999999996</v>
      </c>
      <c r="AW1084" s="198">
        <v>5.7041000000000004</v>
      </c>
      <c r="BA1084" s="1051">
        <v>43607</v>
      </c>
      <c r="BB1084" s="198">
        <v>6.5720000000000001</v>
      </c>
      <c r="BC1084" s="198">
        <v>1.373</v>
      </c>
      <c r="BD1084" s="198">
        <v>7.1227</v>
      </c>
      <c r="BE1084" s="198">
        <v>0.27950000000000003</v>
      </c>
      <c r="BG1084" s="1051">
        <v>43607</v>
      </c>
      <c r="BH1084" s="198">
        <v>11.4114</v>
      </c>
      <c r="BI1084" s="198">
        <v>2.2698999999999998</v>
      </c>
      <c r="BJ1084" s="198">
        <v>16.139099999999999</v>
      </c>
      <c r="BT1084" s="1051">
        <v>43658</v>
      </c>
      <c r="BU1084" s="198">
        <v>12.428000000000001</v>
      </c>
      <c r="BV1084" s="198">
        <v>4.1670999999999996</v>
      </c>
      <c r="BW1084" s="198">
        <v>7.61</v>
      </c>
      <c r="BX1084" s="198">
        <v>1.4123000000000001</v>
      </c>
      <c r="BZ1084" s="1051">
        <v>43658</v>
      </c>
      <c r="CA1084" s="198">
        <v>10.466100000000001</v>
      </c>
      <c r="CB1084" s="198">
        <v>3.1021000000000001</v>
      </c>
      <c r="CC1084" s="198">
        <v>10.407999999999999</v>
      </c>
      <c r="CD1084" s="198">
        <v>1.2371799999999999</v>
      </c>
      <c r="CF1084" s="1051">
        <v>43657</v>
      </c>
      <c r="CI1084" s="198">
        <v>10.2424</v>
      </c>
      <c r="CL1084" s="1051">
        <v>43682</v>
      </c>
      <c r="CM1084" s="198">
        <v>14.167999999999999</v>
      </c>
      <c r="CN1084" s="198">
        <v>1.9312</v>
      </c>
      <c r="CO1084" s="198">
        <v>10.1769</v>
      </c>
    </row>
    <row r="1085" spans="1:93" s="198" customFormat="1">
      <c r="A1085" s="1051">
        <v>43657</v>
      </c>
      <c r="B1085" s="1052">
        <f t="shared" si="162"/>
        <v>7.2718999999999996</v>
      </c>
      <c r="C1085" s="1052">
        <f t="shared" si="164"/>
        <v>6.133</v>
      </c>
      <c r="D1085" s="1052">
        <f t="shared" si="168"/>
        <v>9.5860000000000003</v>
      </c>
      <c r="E1085" s="1052">
        <f t="shared" si="169"/>
        <v>6.8910999999999998</v>
      </c>
      <c r="F1085" s="1052">
        <f t="shared" si="170"/>
        <v>14.1661</v>
      </c>
      <c r="G1085" s="1052">
        <f t="shared" si="171"/>
        <v>6.9851999999999999</v>
      </c>
      <c r="H1085" s="1047">
        <f t="shared" si="165"/>
        <v>6.9851999999999999</v>
      </c>
      <c r="I1085" s="1048">
        <f t="shared" si="163"/>
        <v>4.1043921433888686E-2</v>
      </c>
      <c r="J1085" s="1048">
        <f t="shared" si="166"/>
        <v>0.12093838824177333</v>
      </c>
      <c r="K1085" s="1048">
        <f t="shared" si="167"/>
        <v>0.1</v>
      </c>
      <c r="L1085" s="1048"/>
      <c r="N1085" s="1051">
        <v>43657</v>
      </c>
      <c r="O1085" s="1053">
        <v>7.2718999999999996</v>
      </c>
      <c r="P1085" s="1053">
        <v>1.1456</v>
      </c>
      <c r="Q1085" s="1053">
        <v>10.828900000000001</v>
      </c>
      <c r="R1085" s="1054">
        <f>'B. PE'!$U$23</f>
        <v>15.978235616082999</v>
      </c>
      <c r="S1085" s="1054"/>
      <c r="T1085" s="1054"/>
      <c r="V1085" s="1051">
        <v>43657</v>
      </c>
      <c r="W1085" s="198">
        <v>6.133</v>
      </c>
      <c r="X1085" s="198">
        <v>0.45689999999999997</v>
      </c>
      <c r="Y1085" s="198">
        <v>6.3209</v>
      </c>
      <c r="Z1085" s="198">
        <v>0.28228999999999999</v>
      </c>
      <c r="AB1085" s="1051">
        <v>43613</v>
      </c>
      <c r="AC1085" s="198">
        <v>4.9611999999999998</v>
      </c>
      <c r="AD1085" s="1053">
        <v>0.67030000000000001</v>
      </c>
      <c r="AE1085" s="198">
        <v>5.2305999999999999</v>
      </c>
      <c r="AF1085" s="198">
        <v>1.5970000000000002E-2</v>
      </c>
      <c r="AH1085" s="1051">
        <v>43613</v>
      </c>
      <c r="AI1085" s="198">
        <v>9.0829000000000004</v>
      </c>
      <c r="AJ1085" s="198">
        <v>1.4874000000000001</v>
      </c>
      <c r="AK1085" s="198">
        <v>5.2286999999999999</v>
      </c>
      <c r="AL1085" s="198">
        <v>1.5270000000000001E-2</v>
      </c>
      <c r="AN1085" s="1051">
        <v>43623</v>
      </c>
      <c r="AO1085" s="198">
        <v>7.0064000000000002</v>
      </c>
      <c r="AP1085" s="198">
        <v>0.59109999999999996</v>
      </c>
      <c r="AQ1085" s="198">
        <v>3.6648999999999998</v>
      </c>
      <c r="AR1085" s="198">
        <v>0.11501</v>
      </c>
      <c r="AT1085" s="1051">
        <v>43542</v>
      </c>
      <c r="AU1085" s="198">
        <v>7.8467000000000002</v>
      </c>
      <c r="AV1085" s="198">
        <v>0.53259999999999996</v>
      </c>
      <c r="AW1085" s="198">
        <v>5.7041000000000004</v>
      </c>
      <c r="AX1085" s="198">
        <v>0.11854000000000001</v>
      </c>
      <c r="BA1085" s="1051">
        <v>43606</v>
      </c>
      <c r="BB1085" s="198">
        <v>6.3135000000000003</v>
      </c>
      <c r="BC1085" s="198">
        <v>1.319</v>
      </c>
      <c r="BD1085" s="198">
        <v>6.931</v>
      </c>
      <c r="BE1085" s="198">
        <v>0.27792</v>
      </c>
      <c r="BG1085" s="1051">
        <v>43606</v>
      </c>
      <c r="BH1085" s="198">
        <v>10.9975</v>
      </c>
      <c r="BI1085" s="198">
        <v>2.1875</v>
      </c>
      <c r="BJ1085" s="198">
        <v>15.772399999999999</v>
      </c>
      <c r="BT1085" s="1051">
        <v>43657</v>
      </c>
      <c r="BU1085" s="198">
        <v>12.4154</v>
      </c>
      <c r="BV1085" s="198">
        <v>4.1628999999999996</v>
      </c>
      <c r="BW1085" s="198">
        <v>7.6022999999999996</v>
      </c>
      <c r="BX1085" s="198">
        <v>1.3918999999999999</v>
      </c>
      <c r="BZ1085" s="1051">
        <v>43657</v>
      </c>
      <c r="CA1085" s="198">
        <v>10.522399999999999</v>
      </c>
      <c r="CB1085" s="198">
        <v>3.1187999999999998</v>
      </c>
      <c r="CC1085" s="198">
        <v>10.450100000000001</v>
      </c>
      <c r="CD1085" s="198">
        <v>1.1870499999999999</v>
      </c>
      <c r="CF1085" s="1051">
        <v>43656</v>
      </c>
      <c r="CG1085" s="198">
        <v>6.1007999999999996</v>
      </c>
      <c r="CH1085" s="198">
        <v>1.1129</v>
      </c>
      <c r="CI1085" s="198">
        <v>10.2424</v>
      </c>
      <c r="CL1085" s="1051">
        <v>43679</v>
      </c>
      <c r="CM1085" s="198">
        <v>14.478199999999999</v>
      </c>
      <c r="CN1085" s="198">
        <v>1.9735</v>
      </c>
      <c r="CO1085" s="198">
        <v>10.393599999999999</v>
      </c>
    </row>
    <row r="1086" spans="1:93" s="198" customFormat="1">
      <c r="A1086" s="1051">
        <v>43656</v>
      </c>
      <c r="B1086" s="1052">
        <f t="shared" si="162"/>
        <v>7.3037000000000001</v>
      </c>
      <c r="C1086" s="1052">
        <f t="shared" si="164"/>
        <v>6.133</v>
      </c>
      <c r="D1086" s="1052">
        <f t="shared" si="168"/>
        <v>9.3596000000000004</v>
      </c>
      <c r="E1086" s="1052">
        <f t="shared" si="169"/>
        <v>6.8910999999999998</v>
      </c>
      <c r="F1086" s="1052">
        <f t="shared" si="170"/>
        <v>14.4146</v>
      </c>
      <c r="G1086" s="1052">
        <f t="shared" si="171"/>
        <v>7.0983999999999998</v>
      </c>
      <c r="H1086" s="1047">
        <f t="shared" si="165"/>
        <v>7.0983999999999998</v>
      </c>
      <c r="I1086" s="1048">
        <f t="shared" si="163"/>
        <v>2.8922010593936731E-2</v>
      </c>
      <c r="J1086" s="1048">
        <f t="shared" si="166"/>
        <v>0.12093838824177333</v>
      </c>
      <c r="K1086" s="1048">
        <f t="shared" si="167"/>
        <v>0.1</v>
      </c>
      <c r="L1086" s="1048"/>
      <c r="N1086" s="1051">
        <v>43656</v>
      </c>
      <c r="O1086" s="1053">
        <v>7.3037000000000001</v>
      </c>
      <c r="P1086" s="1053">
        <v>1.1506000000000001</v>
      </c>
      <c r="Q1086" s="1053">
        <v>10.8536</v>
      </c>
      <c r="R1086" s="1054">
        <f>'B. PE'!$U$23</f>
        <v>15.978235616082999</v>
      </c>
      <c r="S1086" s="1054"/>
      <c r="T1086" s="1054"/>
      <c r="V1086" s="1051">
        <v>43656</v>
      </c>
      <c r="W1086" s="198">
        <v>6.133</v>
      </c>
      <c r="X1086" s="198">
        <v>0.45689999999999997</v>
      </c>
      <c r="Y1086" s="198">
        <v>6.3209</v>
      </c>
      <c r="Z1086" s="198">
        <v>0.28205999999999998</v>
      </c>
      <c r="AB1086" s="1051">
        <v>43612</v>
      </c>
      <c r="AC1086" s="198">
        <v>5.2103999999999999</v>
      </c>
      <c r="AD1086" s="1053">
        <v>0.70399999999999996</v>
      </c>
      <c r="AE1086" s="198">
        <v>5.3539000000000003</v>
      </c>
      <c r="AF1086" s="198">
        <v>1.5299999999999999E-2</v>
      </c>
      <c r="AH1086" s="1051">
        <v>43612</v>
      </c>
      <c r="AI1086" s="198">
        <v>8.8053000000000008</v>
      </c>
      <c r="AJ1086" s="198">
        <v>1.4419</v>
      </c>
      <c r="AK1086" s="198">
        <v>5.0904999999999996</v>
      </c>
      <c r="AL1086" s="198">
        <v>1.4880000000000001E-2</v>
      </c>
      <c r="AN1086" s="1051">
        <v>43620</v>
      </c>
      <c r="AO1086" s="198">
        <v>6.9699</v>
      </c>
      <c r="AP1086" s="198">
        <v>0.58799999999999997</v>
      </c>
      <c r="AQ1086" s="198">
        <v>3.6353</v>
      </c>
      <c r="AR1086" s="198">
        <v>0.11479</v>
      </c>
      <c r="AT1086" s="1051">
        <v>43539</v>
      </c>
      <c r="AW1086" s="198">
        <v>5.7907999999999999</v>
      </c>
      <c r="AX1086" s="198">
        <v>0.11258</v>
      </c>
      <c r="BA1086" s="1051">
        <v>43602</v>
      </c>
      <c r="BB1086" s="198">
        <v>6.5720000000000001</v>
      </c>
      <c r="BC1086" s="198">
        <v>1.373</v>
      </c>
      <c r="BD1086" s="198">
        <v>7.1227</v>
      </c>
      <c r="BE1086" s="198">
        <v>0.27734999999999999</v>
      </c>
      <c r="BG1086" s="1051">
        <v>43602</v>
      </c>
      <c r="BH1086" s="198">
        <v>12.416499999999999</v>
      </c>
      <c r="BI1086" s="198">
        <v>2.4698000000000002</v>
      </c>
      <c r="BJ1086" s="198">
        <v>17.029800000000002</v>
      </c>
      <c r="BT1086" s="1051">
        <v>43656</v>
      </c>
      <c r="BU1086" s="198">
        <v>12.466100000000001</v>
      </c>
      <c r="BV1086" s="198">
        <v>4.1798999999999999</v>
      </c>
      <c r="BW1086" s="198">
        <v>7.6327999999999996</v>
      </c>
      <c r="BX1086" s="198">
        <v>1.3521000000000001</v>
      </c>
      <c r="BZ1086" s="1051">
        <v>43656</v>
      </c>
      <c r="CA1086" s="198">
        <v>10.7103</v>
      </c>
      <c r="CB1086" s="198">
        <v>3.1745000000000001</v>
      </c>
      <c r="CC1086" s="198">
        <v>10.590400000000001</v>
      </c>
      <c r="CD1086" s="198">
        <v>1.2316199999999999</v>
      </c>
      <c r="CF1086" s="1051">
        <v>43655</v>
      </c>
      <c r="CG1086" s="198">
        <v>6.2507999999999999</v>
      </c>
      <c r="CH1086" s="198">
        <v>1.1403000000000001</v>
      </c>
      <c r="CI1086" s="198">
        <v>10.3248</v>
      </c>
      <c r="CL1086" s="1051">
        <v>43677</v>
      </c>
      <c r="CM1086" s="198">
        <v>14.4495</v>
      </c>
      <c r="CN1086" s="198">
        <v>1.9696</v>
      </c>
      <c r="CO1086" s="198">
        <v>10.3735</v>
      </c>
    </row>
    <row r="1087" spans="1:93" s="198" customFormat="1">
      <c r="A1087" s="1051">
        <v>43655</v>
      </c>
      <c r="B1087" s="1052">
        <f t="shared" si="162"/>
        <v>7.3037000000000001</v>
      </c>
      <c r="C1087" s="1052">
        <f t="shared" si="164"/>
        <v>6.1409000000000002</v>
      </c>
      <c r="D1087" s="1052">
        <f t="shared" si="168"/>
        <v>9.2463999999999995</v>
      </c>
      <c r="E1087" s="1052">
        <f t="shared" si="169"/>
        <v>6.9587000000000003</v>
      </c>
      <c r="F1087" s="1052">
        <f t="shared" si="170"/>
        <v>14.1661</v>
      </c>
      <c r="G1087" s="1052">
        <f t="shared" si="171"/>
        <v>7.1740000000000004</v>
      </c>
      <c r="H1087" s="1047">
        <f t="shared" si="165"/>
        <v>7.1740000000000004</v>
      </c>
      <c r="I1087" s="1048">
        <f t="shared" si="163"/>
        <v>1.8079174797881237E-2</v>
      </c>
      <c r="J1087" s="1048">
        <f t="shared" si="166"/>
        <v>0.12093838824177333</v>
      </c>
      <c r="K1087" s="1048">
        <f t="shared" si="167"/>
        <v>0.1</v>
      </c>
      <c r="L1087" s="1048"/>
      <c r="N1087" s="1051">
        <v>43655</v>
      </c>
      <c r="O1087" s="1053">
        <v>7.3037000000000001</v>
      </c>
      <c r="P1087" s="1053">
        <v>1.1506000000000001</v>
      </c>
      <c r="Q1087" s="1053">
        <v>10.8536</v>
      </c>
      <c r="R1087" s="1054">
        <f>'B. PE'!$U$23</f>
        <v>15.978235616082999</v>
      </c>
      <c r="S1087" s="1054"/>
      <c r="T1087" s="1054"/>
      <c r="V1087" s="1051">
        <v>43655</v>
      </c>
      <c r="W1087" s="198">
        <v>6.1409000000000002</v>
      </c>
      <c r="X1087" s="198">
        <v>0.45750000000000002</v>
      </c>
      <c r="Y1087" s="198">
        <v>6.3239000000000001</v>
      </c>
      <c r="Z1087" s="198">
        <v>0.28254000000000001</v>
      </c>
      <c r="AB1087" s="1051">
        <v>43609</v>
      </c>
      <c r="AC1087" s="198">
        <v>5.1878000000000002</v>
      </c>
      <c r="AD1087" s="1053">
        <v>0.70089999999999997</v>
      </c>
      <c r="AE1087" s="198">
        <v>5.3426999999999998</v>
      </c>
      <c r="AF1087" s="198">
        <v>1.4200000000000001E-2</v>
      </c>
      <c r="AH1087" s="1051">
        <v>43609</v>
      </c>
      <c r="AI1087" s="198">
        <v>8.6862999999999992</v>
      </c>
      <c r="AJ1087" s="198">
        <v>1.4224000000000001</v>
      </c>
      <c r="AK1087" s="198">
        <v>5.0312999999999999</v>
      </c>
      <c r="AL1087" s="198">
        <v>1.434E-2</v>
      </c>
      <c r="AN1087" s="1051">
        <v>43619</v>
      </c>
      <c r="AO1087" s="198">
        <v>7.0064000000000002</v>
      </c>
      <c r="AP1087" s="198">
        <v>0.59109999999999996</v>
      </c>
      <c r="AQ1087" s="198">
        <v>3.6648999999999998</v>
      </c>
      <c r="AR1087" s="198">
        <v>0.11584999999999999</v>
      </c>
      <c r="AT1087" s="1051">
        <v>43538</v>
      </c>
      <c r="AU1087" s="198">
        <v>8.0119000000000007</v>
      </c>
      <c r="AV1087" s="198">
        <v>0.54379999999999995</v>
      </c>
      <c r="AW1087" s="198">
        <v>5.7907999999999999</v>
      </c>
      <c r="AX1087" s="198">
        <v>0.12</v>
      </c>
      <c r="BA1087" s="1051">
        <v>43601</v>
      </c>
      <c r="BB1087" s="198">
        <v>6.4981</v>
      </c>
      <c r="BC1087" s="198">
        <v>1.3575999999999999</v>
      </c>
      <c r="BD1087" s="198">
        <v>7.0678999999999998</v>
      </c>
      <c r="BE1087" s="198">
        <v>0.31419000000000002</v>
      </c>
      <c r="BG1087" s="1051">
        <v>43601</v>
      </c>
      <c r="BH1087" s="198">
        <v>12.298299999999999</v>
      </c>
      <c r="BI1087" s="198">
        <v>2.4462999999999999</v>
      </c>
      <c r="BJ1087" s="198">
        <v>16.925000000000001</v>
      </c>
      <c r="BT1087" s="1051">
        <v>43655</v>
      </c>
      <c r="BU1087" s="198">
        <v>12.2887</v>
      </c>
      <c r="BV1087" s="198">
        <v>4.1204000000000001</v>
      </c>
      <c r="BW1087" s="198">
        <v>7.5260999999999996</v>
      </c>
      <c r="BX1087" s="198">
        <v>1.3684000000000001</v>
      </c>
      <c r="BZ1087" s="1051">
        <v>43655</v>
      </c>
      <c r="CA1087" s="198">
        <v>10.2781</v>
      </c>
      <c r="CB1087" s="198">
        <v>3.0464000000000002</v>
      </c>
      <c r="CC1087" s="198">
        <v>10.2677</v>
      </c>
      <c r="CD1087" s="198">
        <v>1.2646900000000001</v>
      </c>
      <c r="CF1087" s="1051">
        <v>43654</v>
      </c>
      <c r="CI1087" s="198">
        <v>10.2973</v>
      </c>
      <c r="CL1087" s="1051">
        <v>43676</v>
      </c>
      <c r="CM1087" s="198">
        <v>14.5069</v>
      </c>
      <c r="CN1087" s="198">
        <v>1.9774</v>
      </c>
      <c r="CO1087" s="198">
        <v>10.4137</v>
      </c>
    </row>
    <row r="1088" spans="1:93" s="198" customFormat="1">
      <c r="A1088" s="1051">
        <v>43654</v>
      </c>
      <c r="B1088" s="1052">
        <f t="shared" si="162"/>
        <v>7.1608000000000001</v>
      </c>
      <c r="C1088" s="1052">
        <f t="shared" si="164"/>
        <v>6.1409000000000002</v>
      </c>
      <c r="D1088" s="1052">
        <f t="shared" si="168"/>
        <v>8.6803000000000008</v>
      </c>
      <c r="E1088" s="1052">
        <f t="shared" si="169"/>
        <v>6.9587000000000003</v>
      </c>
      <c r="F1088" s="1052">
        <f t="shared" si="170"/>
        <v>14.0418</v>
      </c>
      <c r="G1088" s="1052">
        <f t="shared" si="171"/>
        <v>7.0983999999999998</v>
      </c>
      <c r="H1088" s="1047">
        <f t="shared" si="165"/>
        <v>7.0983999999999998</v>
      </c>
      <c r="I1088" s="1048">
        <f t="shared" si="163"/>
        <v>8.7907134002029874E-3</v>
      </c>
      <c r="J1088" s="1048">
        <f t="shared" si="166"/>
        <v>0.12093838824177333</v>
      </c>
      <c r="K1088" s="1048">
        <f t="shared" si="167"/>
        <v>0.1</v>
      </c>
      <c r="L1088" s="1048"/>
      <c r="N1088" s="1051">
        <v>43654</v>
      </c>
      <c r="O1088" s="1053">
        <v>7.1608000000000001</v>
      </c>
      <c r="P1088" s="1053">
        <v>1.1281000000000001</v>
      </c>
      <c r="Q1088" s="1053">
        <v>10.7424</v>
      </c>
      <c r="R1088" s="1054">
        <f>'B. PE'!$U$23</f>
        <v>15.978235616082999</v>
      </c>
      <c r="S1088" s="1054"/>
      <c r="T1088" s="1054"/>
      <c r="V1088" s="1051">
        <v>43654</v>
      </c>
      <c r="W1088" s="198">
        <v>6.1409000000000002</v>
      </c>
      <c r="X1088" s="198">
        <v>0.45750000000000002</v>
      </c>
      <c r="Y1088" s="198">
        <v>6.3239000000000001</v>
      </c>
      <c r="Z1088" s="198">
        <v>0.28208</v>
      </c>
      <c r="AB1088" s="1051">
        <v>43608</v>
      </c>
      <c r="AC1088" s="198">
        <v>5.0065</v>
      </c>
      <c r="AD1088" s="1053">
        <v>0.6764</v>
      </c>
      <c r="AE1088" s="198">
        <v>5.2530999999999999</v>
      </c>
      <c r="AF1088" s="198">
        <v>1.439E-2</v>
      </c>
      <c r="AH1088" s="1051">
        <v>43608</v>
      </c>
      <c r="AI1088" s="198">
        <v>8.5275999999999996</v>
      </c>
      <c r="AJ1088" s="198">
        <v>1.3964000000000001</v>
      </c>
      <c r="AK1088" s="198">
        <v>4.9523000000000001</v>
      </c>
      <c r="AL1088" s="198">
        <v>1.4319999999999999E-2</v>
      </c>
      <c r="AN1088" s="1051">
        <v>43616</v>
      </c>
      <c r="AO1088" s="198">
        <v>7.0064000000000002</v>
      </c>
      <c r="AP1088" s="198">
        <v>0.59109999999999996</v>
      </c>
      <c r="AQ1088" s="198">
        <v>3.6648999999999998</v>
      </c>
      <c r="AR1088" s="198">
        <v>0.11662</v>
      </c>
      <c r="AT1088" s="1051">
        <v>43537</v>
      </c>
      <c r="AU1088" s="198">
        <v>7.5989000000000004</v>
      </c>
      <c r="AV1088" s="198">
        <v>0.51580000000000004</v>
      </c>
      <c r="AW1088" s="198">
        <v>5.5742000000000003</v>
      </c>
      <c r="AX1088" s="198">
        <v>0.12103</v>
      </c>
      <c r="BA1088" s="1051">
        <v>43600</v>
      </c>
      <c r="BB1088" s="198">
        <v>6.4611999999999998</v>
      </c>
      <c r="BC1088" s="198">
        <v>1.3499000000000001</v>
      </c>
      <c r="BD1088" s="198">
        <v>7.0404999999999998</v>
      </c>
      <c r="BE1088" s="198">
        <v>0.31614999999999999</v>
      </c>
      <c r="BG1088" s="1051">
        <v>43600</v>
      </c>
      <c r="BH1088" s="198">
        <v>12.653</v>
      </c>
      <c r="BI1088" s="198">
        <v>2.5169000000000001</v>
      </c>
      <c r="BJ1088" s="198">
        <v>17.2393</v>
      </c>
      <c r="BT1088" s="1051">
        <v>43654</v>
      </c>
      <c r="BU1088" s="198">
        <v>11.9466</v>
      </c>
      <c r="BV1088" s="198">
        <v>4.0057</v>
      </c>
      <c r="BW1088" s="198">
        <v>7.3204000000000002</v>
      </c>
      <c r="BX1088" s="198">
        <v>1.3694</v>
      </c>
      <c r="BZ1088" s="1051">
        <v>43654</v>
      </c>
      <c r="CA1088" s="198">
        <v>10.672700000000001</v>
      </c>
      <c r="CB1088" s="198">
        <v>3.1634000000000002</v>
      </c>
      <c r="CC1088" s="198">
        <v>10.5623</v>
      </c>
      <c r="CD1088" s="198">
        <v>1.2642500000000001</v>
      </c>
      <c r="CF1088" s="1051">
        <v>43651</v>
      </c>
      <c r="CG1088" s="198">
        <v>6.2008000000000001</v>
      </c>
      <c r="CH1088" s="198">
        <v>1.1312</v>
      </c>
      <c r="CI1088" s="198">
        <v>10.2973</v>
      </c>
      <c r="CL1088" s="1051">
        <v>43675</v>
      </c>
      <c r="CM1088" s="198">
        <v>14.7224</v>
      </c>
      <c r="CN1088" s="198">
        <v>2.0068000000000001</v>
      </c>
      <c r="CO1088" s="198">
        <v>10.5642</v>
      </c>
    </row>
    <row r="1089" spans="1:93" s="198" customFormat="1">
      <c r="A1089" s="1051">
        <v>43651</v>
      </c>
      <c r="B1089" s="1052">
        <f t="shared" si="162"/>
        <v>7.0655000000000001</v>
      </c>
      <c r="C1089" s="1052">
        <f t="shared" si="164"/>
        <v>6.1487999999999996</v>
      </c>
      <c r="D1089" s="1052">
        <f t="shared" si="168"/>
        <v>8.6803000000000008</v>
      </c>
      <c r="E1089" s="1052">
        <f t="shared" si="169"/>
        <v>6.9587000000000003</v>
      </c>
      <c r="F1089" s="1052">
        <f t="shared" si="170"/>
        <v>14.1661</v>
      </c>
      <c r="G1089" s="1052">
        <f t="shared" si="171"/>
        <v>6.9851999999999999</v>
      </c>
      <c r="H1089" s="1047">
        <f t="shared" si="165"/>
        <v>6.9851999999999999</v>
      </c>
      <c r="I1089" s="1048">
        <f t="shared" si="163"/>
        <v>1.1495733837255884E-2</v>
      </c>
      <c r="J1089" s="1048">
        <f t="shared" si="166"/>
        <v>0.12093838824177333</v>
      </c>
      <c r="K1089" s="1048">
        <f t="shared" si="167"/>
        <v>0.1</v>
      </c>
      <c r="L1089" s="1048"/>
      <c r="N1089" s="1051">
        <v>43651</v>
      </c>
      <c r="O1089" s="1053">
        <v>7.0655000000000001</v>
      </c>
      <c r="P1089" s="1053">
        <v>1.1131</v>
      </c>
      <c r="Q1089" s="1053">
        <v>10.6683</v>
      </c>
      <c r="R1089" s="1054">
        <f>'B. PE'!$U$23</f>
        <v>15.978235616082999</v>
      </c>
      <c r="S1089" s="1054"/>
      <c r="T1089" s="1054"/>
      <c r="V1089" s="1051">
        <v>43651</v>
      </c>
      <c r="W1089" s="198">
        <v>6.1487999999999996</v>
      </c>
      <c r="X1089" s="198">
        <v>0.45810000000000001</v>
      </c>
      <c r="Y1089" s="198">
        <v>6.3269000000000002</v>
      </c>
      <c r="Z1089" s="198">
        <v>0.28143000000000001</v>
      </c>
      <c r="AB1089" s="1051">
        <v>43607</v>
      </c>
      <c r="AC1089" s="198">
        <v>4.6666999999999996</v>
      </c>
      <c r="AD1089" s="1053">
        <v>0.63049999999999995</v>
      </c>
      <c r="AE1089" s="198">
        <v>5.0849000000000002</v>
      </c>
      <c r="AF1089" s="198">
        <v>1.41E-2</v>
      </c>
      <c r="AH1089" s="1051">
        <v>43607</v>
      </c>
      <c r="AI1089" s="198">
        <v>8.25</v>
      </c>
      <c r="AJ1089" s="198">
        <v>1.351</v>
      </c>
      <c r="AK1089" s="198">
        <v>4.8140999999999998</v>
      </c>
      <c r="AL1089" s="198">
        <v>1.423E-2</v>
      </c>
      <c r="AN1089" s="1051">
        <v>43615</v>
      </c>
      <c r="AO1089" s="198">
        <v>7.0793999999999997</v>
      </c>
      <c r="AP1089" s="198">
        <v>0.59719999999999995</v>
      </c>
      <c r="AQ1089" s="198">
        <v>3.7242000000000002</v>
      </c>
      <c r="AR1089" s="198">
        <v>0.11765</v>
      </c>
      <c r="AT1089" s="1051">
        <v>43536</v>
      </c>
      <c r="AU1089" s="198">
        <v>8.0945</v>
      </c>
      <c r="AV1089" s="198">
        <v>0.5494</v>
      </c>
      <c r="AW1089" s="198">
        <v>5.8341000000000003</v>
      </c>
      <c r="AX1089" s="198">
        <v>0.12720999999999999</v>
      </c>
      <c r="BA1089" s="1051">
        <v>43599</v>
      </c>
      <c r="BB1089" s="198">
        <v>7.3103999999999996</v>
      </c>
      <c r="BC1089" s="198">
        <v>1.5273000000000001</v>
      </c>
      <c r="BD1089" s="198">
        <v>7.6703999999999999</v>
      </c>
      <c r="BE1089" s="198">
        <v>0.32645999999999997</v>
      </c>
      <c r="BG1089" s="1051">
        <v>43599</v>
      </c>
      <c r="BH1089" s="198">
        <v>12.653</v>
      </c>
      <c r="BI1089" s="198">
        <v>2.5169000000000001</v>
      </c>
      <c r="BJ1089" s="198">
        <v>17.2393</v>
      </c>
      <c r="BT1089" s="1051">
        <v>43651</v>
      </c>
      <c r="BU1089" s="198">
        <v>12.086</v>
      </c>
      <c r="BV1089" s="198">
        <v>4.0523999999999996</v>
      </c>
      <c r="BW1089" s="198">
        <v>7.4043000000000001</v>
      </c>
      <c r="BX1089" s="198">
        <v>1.3712</v>
      </c>
      <c r="BZ1089" s="1051">
        <v>43651</v>
      </c>
      <c r="CA1089" s="198">
        <v>10.954599999999999</v>
      </c>
      <c r="CB1089" s="198">
        <v>3.2469000000000001</v>
      </c>
      <c r="CC1089" s="198">
        <v>10.7728</v>
      </c>
      <c r="CD1089" s="198">
        <v>1.30145</v>
      </c>
      <c r="CF1089" s="1051">
        <v>43650</v>
      </c>
      <c r="CG1089" s="198">
        <v>6.4008000000000003</v>
      </c>
      <c r="CH1089" s="198">
        <v>1.1677</v>
      </c>
      <c r="CI1089" s="198">
        <v>10.4072</v>
      </c>
      <c r="CL1089" s="1051">
        <v>43672</v>
      </c>
      <c r="CM1089" s="198">
        <v>14.6937</v>
      </c>
      <c r="CN1089" s="198">
        <v>2.0028999999999999</v>
      </c>
      <c r="CO1089" s="198">
        <v>10.5441</v>
      </c>
    </row>
    <row r="1090" spans="1:93" s="198" customFormat="1">
      <c r="A1090" s="1051">
        <v>43650</v>
      </c>
      <c r="B1090" s="1052">
        <f t="shared" si="162"/>
        <v>7.0019999999999998</v>
      </c>
      <c r="C1090" s="1052">
        <f t="shared" si="164"/>
        <v>6.1409000000000002</v>
      </c>
      <c r="D1090" s="1052">
        <f t="shared" si="168"/>
        <v>8.8312000000000008</v>
      </c>
      <c r="E1090" s="1052">
        <f t="shared" si="169"/>
        <v>6.8910999999999998</v>
      </c>
      <c r="F1090" s="1052">
        <f t="shared" si="170"/>
        <v>13.9176</v>
      </c>
      <c r="G1090" s="1052">
        <f t="shared" si="171"/>
        <v>7.0228999999999999</v>
      </c>
      <c r="H1090" s="1047">
        <f t="shared" si="165"/>
        <v>7.0228999999999999</v>
      </c>
      <c r="I1090" s="1048">
        <f t="shared" si="163"/>
        <v>-2.9759785843455067E-3</v>
      </c>
      <c r="J1090" s="1048">
        <f t="shared" si="166"/>
        <v>0.12093838824177333</v>
      </c>
      <c r="K1090" s="1048">
        <f t="shared" si="167"/>
        <v>0.1</v>
      </c>
      <c r="L1090" s="1048"/>
      <c r="N1090" s="1051">
        <v>43650</v>
      </c>
      <c r="O1090" s="1053">
        <v>7.0019999999999998</v>
      </c>
      <c r="P1090" s="1053">
        <v>1.1031</v>
      </c>
      <c r="Q1090" s="1053">
        <v>10.6189</v>
      </c>
      <c r="R1090" s="1054">
        <f>'B. PE'!$U$23</f>
        <v>15.978235616082999</v>
      </c>
      <c r="S1090" s="1054"/>
      <c r="T1090" s="1054"/>
      <c r="V1090" s="1051">
        <v>43650</v>
      </c>
      <c r="W1090" s="198">
        <v>6.1409000000000002</v>
      </c>
      <c r="X1090" s="198">
        <v>0.45750000000000002</v>
      </c>
      <c r="Y1090" s="198">
        <v>6.3239000000000001</v>
      </c>
      <c r="Z1090" s="198">
        <v>0.27714</v>
      </c>
      <c r="AB1090" s="1051">
        <v>43606</v>
      </c>
      <c r="AC1090" s="198">
        <v>4.7119999999999997</v>
      </c>
      <c r="AD1090" s="1053">
        <v>0.63660000000000005</v>
      </c>
      <c r="AE1090" s="198">
        <v>5.1073000000000004</v>
      </c>
      <c r="AF1090" s="198">
        <v>1.456E-2</v>
      </c>
      <c r="AH1090" s="1051">
        <v>43606</v>
      </c>
      <c r="AI1090" s="198">
        <v>8.2103000000000002</v>
      </c>
      <c r="AJ1090" s="198">
        <v>1.3445</v>
      </c>
      <c r="AK1090" s="198">
        <v>4.7942999999999998</v>
      </c>
      <c r="AL1090" s="198">
        <v>1.435E-2</v>
      </c>
      <c r="AN1090" s="1051">
        <v>43614</v>
      </c>
      <c r="AO1090" s="198">
        <v>7.1524000000000001</v>
      </c>
      <c r="AP1090" s="198">
        <v>0.60340000000000005</v>
      </c>
      <c r="AQ1090" s="198">
        <v>3.7835000000000001</v>
      </c>
      <c r="AR1090" s="198">
        <v>0.11586</v>
      </c>
      <c r="AT1090" s="1051">
        <v>43535</v>
      </c>
      <c r="AU1090" s="198">
        <v>8.1770999999999994</v>
      </c>
      <c r="AV1090" s="198">
        <v>0.55500000000000005</v>
      </c>
      <c r="AW1090" s="198">
        <v>5.8773999999999997</v>
      </c>
      <c r="AX1090" s="198">
        <v>0.12587999999999999</v>
      </c>
      <c r="BA1090" s="1051">
        <v>43598</v>
      </c>
      <c r="BB1090" s="198">
        <v>7.3842999999999996</v>
      </c>
      <c r="BC1090" s="198">
        <v>1.5427</v>
      </c>
      <c r="BD1090" s="198">
        <v>7.7252000000000001</v>
      </c>
      <c r="BE1090" s="198">
        <v>0.32723000000000002</v>
      </c>
      <c r="BG1090" s="1051">
        <v>43598</v>
      </c>
      <c r="BH1090" s="198">
        <v>13.0078</v>
      </c>
      <c r="BI1090" s="198">
        <v>2.5874000000000001</v>
      </c>
      <c r="BJ1090" s="198">
        <v>17.553699999999999</v>
      </c>
      <c r="BT1090" s="1051">
        <v>43650</v>
      </c>
      <c r="BU1090" s="198">
        <v>12.098699999999999</v>
      </c>
      <c r="BV1090" s="198">
        <v>4.0567000000000002</v>
      </c>
      <c r="BW1090" s="198">
        <v>7.4119000000000002</v>
      </c>
      <c r="BX1090" s="198">
        <v>1.3701000000000001</v>
      </c>
      <c r="BZ1090" s="1051">
        <v>43650</v>
      </c>
      <c r="CA1090" s="198">
        <v>10.954599999999999</v>
      </c>
      <c r="CB1090" s="198">
        <v>3.2469000000000001</v>
      </c>
      <c r="CC1090" s="198">
        <v>10.7728</v>
      </c>
      <c r="CD1090" s="198">
        <v>1.3017300000000001</v>
      </c>
      <c r="CF1090" s="1051">
        <v>43649</v>
      </c>
      <c r="CG1090" s="198">
        <v>6.2507999999999999</v>
      </c>
      <c r="CH1090" s="198">
        <v>1.1403000000000001</v>
      </c>
      <c r="CI1090" s="198">
        <v>10.3248</v>
      </c>
      <c r="CL1090" s="1051">
        <v>43671</v>
      </c>
      <c r="CM1090" s="198">
        <v>14.5931</v>
      </c>
      <c r="CN1090" s="198">
        <v>1.9892000000000001</v>
      </c>
      <c r="CO1090" s="198">
        <v>10.4739</v>
      </c>
    </row>
    <row r="1091" spans="1:93" s="198" customFormat="1">
      <c r="A1091" s="1051">
        <v>43649</v>
      </c>
      <c r="B1091" s="1052">
        <f t="shared" si="162"/>
        <v>6.9385000000000003</v>
      </c>
      <c r="C1091" s="1052">
        <f t="shared" si="164"/>
        <v>6.1250999999999998</v>
      </c>
      <c r="D1091" s="1052">
        <f t="shared" si="168"/>
        <v>9.0577000000000005</v>
      </c>
      <c r="E1091" s="1052">
        <f t="shared" si="169"/>
        <v>6.8910999999999998</v>
      </c>
      <c r="F1091" s="1052">
        <f t="shared" si="170"/>
        <v>14.0418</v>
      </c>
      <c r="G1091" s="1052">
        <f t="shared" si="171"/>
        <v>7.1361999999999997</v>
      </c>
      <c r="H1091" s="1047">
        <f t="shared" si="165"/>
        <v>7.1361999999999997</v>
      </c>
      <c r="I1091" s="1048">
        <f t="shared" si="163"/>
        <v>-2.7703819960202769E-2</v>
      </c>
      <c r="J1091" s="1048">
        <f t="shared" si="166"/>
        <v>0.12093838824177333</v>
      </c>
      <c r="K1091" s="1048">
        <f t="shared" si="167"/>
        <v>0.1</v>
      </c>
      <c r="L1091" s="1048"/>
      <c r="N1091" s="1051">
        <v>43649</v>
      </c>
      <c r="O1091" s="1053">
        <v>6.9385000000000003</v>
      </c>
      <c r="P1091" s="1053">
        <v>1.0931</v>
      </c>
      <c r="Q1091" s="1053">
        <v>10.5695</v>
      </c>
      <c r="R1091" s="1054">
        <f>'B. PE'!$U$23</f>
        <v>15.978235616082999</v>
      </c>
      <c r="S1091" s="1054"/>
      <c r="T1091" s="1054"/>
      <c r="V1091" s="1051">
        <v>43649</v>
      </c>
      <c r="W1091" s="198">
        <v>6.1250999999999998</v>
      </c>
      <c r="X1091" s="198">
        <v>0.45629999999999998</v>
      </c>
      <c r="Y1091" s="198">
        <v>6.3178000000000001</v>
      </c>
      <c r="Z1091" s="198">
        <v>0.27694999999999997</v>
      </c>
      <c r="AB1091" s="1051">
        <v>43605</v>
      </c>
      <c r="AC1091" s="198">
        <v>4.6214000000000004</v>
      </c>
      <c r="AD1091" s="1053">
        <v>0.62439999999999996</v>
      </c>
      <c r="AE1091" s="198">
        <v>5.0625</v>
      </c>
      <c r="AF1091" s="198">
        <v>1.46E-2</v>
      </c>
      <c r="AH1091" s="1051">
        <v>43605</v>
      </c>
      <c r="AI1091" s="198">
        <v>8.1706000000000003</v>
      </c>
      <c r="AJ1091" s="198">
        <v>1.3380000000000001</v>
      </c>
      <c r="AK1091" s="198">
        <v>4.7746000000000004</v>
      </c>
      <c r="AL1091" s="198">
        <v>1.4670000000000001E-2</v>
      </c>
      <c r="AN1091" s="1051">
        <v>43613</v>
      </c>
      <c r="AO1091" s="198">
        <v>7.1889000000000003</v>
      </c>
      <c r="AP1091" s="198">
        <v>0.60650000000000004</v>
      </c>
      <c r="AQ1091" s="198">
        <v>3.8130999999999999</v>
      </c>
      <c r="AR1091" s="198">
        <v>0.11705</v>
      </c>
      <c r="AT1091" s="1051">
        <v>43532</v>
      </c>
      <c r="AU1091" s="198">
        <v>8.5900999999999996</v>
      </c>
      <c r="AV1091" s="198">
        <v>0.58309999999999995</v>
      </c>
      <c r="AW1091" s="198">
        <v>6.0940000000000003</v>
      </c>
      <c r="AX1091" s="198">
        <v>0.12720999999999999</v>
      </c>
      <c r="BA1091" s="1051">
        <v>43595</v>
      </c>
      <c r="BB1091" s="198">
        <v>7.6058000000000003</v>
      </c>
      <c r="BC1091" s="198">
        <v>1.589</v>
      </c>
      <c r="BD1091" s="198">
        <v>7.8895</v>
      </c>
      <c r="BE1091" s="198">
        <v>0.33007999999999998</v>
      </c>
      <c r="BG1091" s="1051">
        <v>43595</v>
      </c>
      <c r="BH1091" s="198">
        <v>13.125999999999999</v>
      </c>
      <c r="BI1091" s="198">
        <v>2.6109</v>
      </c>
      <c r="BJ1091" s="198">
        <v>17.6584</v>
      </c>
      <c r="BT1091" s="1051">
        <v>43649</v>
      </c>
      <c r="BU1091" s="198">
        <v>12.1113</v>
      </c>
      <c r="BV1091" s="198">
        <v>4.0609000000000002</v>
      </c>
      <c r="BW1091" s="198">
        <v>7.4195000000000002</v>
      </c>
      <c r="BX1091" s="198">
        <v>1.3575999999999999</v>
      </c>
      <c r="BZ1091" s="1051">
        <v>43649</v>
      </c>
      <c r="CA1091" s="198">
        <v>11.273999999999999</v>
      </c>
      <c r="CB1091" s="198">
        <v>3.3416000000000001</v>
      </c>
      <c r="CC1091" s="198">
        <v>11.0113</v>
      </c>
      <c r="CD1091" s="198">
        <v>1.30084</v>
      </c>
      <c r="CF1091" s="1051">
        <v>43648</v>
      </c>
      <c r="CG1091" s="198">
        <v>6.2507999999999999</v>
      </c>
      <c r="CH1091" s="198">
        <v>1.1403000000000001</v>
      </c>
      <c r="CI1091" s="198">
        <v>10.3248</v>
      </c>
      <c r="CL1091" s="1051">
        <v>43670</v>
      </c>
      <c r="CM1091" s="198">
        <v>14.708</v>
      </c>
      <c r="CN1091" s="198">
        <v>2.0047999999999999</v>
      </c>
      <c r="CO1091" s="198">
        <v>10.5541</v>
      </c>
    </row>
    <row r="1092" spans="1:93" s="198" customFormat="1">
      <c r="A1092" s="1051">
        <v>43648</v>
      </c>
      <c r="B1092" s="1052">
        <f t="shared" si="162"/>
        <v>6.7956000000000003</v>
      </c>
      <c r="C1092" s="1052">
        <f t="shared" si="164"/>
        <v>6.0305</v>
      </c>
      <c r="D1092" s="1052">
        <f t="shared" si="168"/>
        <v>9.4351000000000003</v>
      </c>
      <c r="E1092" s="1052">
        <f t="shared" si="169"/>
        <v>6.8910999999999998</v>
      </c>
      <c r="F1092" s="1052">
        <f t="shared" si="170"/>
        <v>14.1661</v>
      </c>
      <c r="G1092" s="1052">
        <f t="shared" si="171"/>
        <v>7.2117000000000004</v>
      </c>
      <c r="H1092" s="1047">
        <f t="shared" si="165"/>
        <v>7.2117000000000004</v>
      </c>
      <c r="I1092" s="1048">
        <f t="shared" si="163"/>
        <v>-5.7697907566870543E-2</v>
      </c>
      <c r="J1092" s="1048">
        <f t="shared" si="166"/>
        <v>0.12093838824177333</v>
      </c>
      <c r="K1092" s="1048">
        <f t="shared" si="167"/>
        <v>0.1</v>
      </c>
      <c r="L1092" s="1048"/>
      <c r="N1092" s="1051">
        <v>43648</v>
      </c>
      <c r="O1092" s="1053">
        <v>6.7956000000000003</v>
      </c>
      <c r="P1092" s="1053">
        <v>1.0706</v>
      </c>
      <c r="Q1092" s="1053">
        <v>10.458399999999999</v>
      </c>
      <c r="R1092" s="1054">
        <f>'B. PE'!$U$23</f>
        <v>15.978235616082999</v>
      </c>
      <c r="S1092" s="1054"/>
      <c r="T1092" s="1054"/>
      <c r="V1092" s="1051">
        <v>43648</v>
      </c>
      <c r="W1092" s="198">
        <v>6.0305</v>
      </c>
      <c r="X1092" s="198">
        <v>0.44929999999999998</v>
      </c>
      <c r="Y1092" s="198">
        <v>6.2816000000000001</v>
      </c>
      <c r="Z1092" s="198">
        <v>0.27705999999999997</v>
      </c>
      <c r="AB1092" s="1051">
        <v>43602</v>
      </c>
      <c r="AC1092" s="198">
        <v>4.78</v>
      </c>
      <c r="AD1092" s="1053">
        <v>0.64580000000000004</v>
      </c>
      <c r="AE1092" s="198">
        <v>5.141</v>
      </c>
      <c r="AF1092" s="198">
        <v>1.4959999999999999E-2</v>
      </c>
      <c r="AH1092" s="1051">
        <v>43602</v>
      </c>
      <c r="AI1092" s="198">
        <v>8.25</v>
      </c>
      <c r="AJ1092" s="198">
        <v>1.351</v>
      </c>
      <c r="AK1092" s="198">
        <v>4.8140999999999998</v>
      </c>
      <c r="AL1092" s="198">
        <v>1.4200000000000001E-2</v>
      </c>
      <c r="AN1092" s="1051">
        <v>43612</v>
      </c>
      <c r="AO1092" s="198">
        <v>7.0793999999999997</v>
      </c>
      <c r="AP1092" s="198">
        <v>0.59719999999999995</v>
      </c>
      <c r="AQ1092" s="198">
        <v>3.7242000000000002</v>
      </c>
      <c r="AR1092" s="198">
        <v>0.12046</v>
      </c>
      <c r="AT1092" s="1051">
        <v>43531</v>
      </c>
      <c r="AU1092" s="198">
        <v>8.5075000000000003</v>
      </c>
      <c r="AV1092" s="198">
        <v>0.57740000000000002</v>
      </c>
      <c r="AW1092" s="198">
        <v>6.0507</v>
      </c>
      <c r="AX1092" s="198">
        <v>0.12737999999999999</v>
      </c>
      <c r="BA1092" s="1051">
        <v>43594</v>
      </c>
      <c r="BB1092" s="198">
        <v>7.6795999999999998</v>
      </c>
      <c r="BC1092" s="198">
        <v>1.6044</v>
      </c>
      <c r="BD1092" s="198">
        <v>7.9443000000000001</v>
      </c>
      <c r="BE1092" s="198">
        <v>0.33223000000000003</v>
      </c>
      <c r="BG1092" s="1051">
        <v>43594</v>
      </c>
      <c r="BH1092" s="198">
        <v>13.362500000000001</v>
      </c>
      <c r="BI1092" s="198">
        <v>2.6579999999999999</v>
      </c>
      <c r="BJ1092" s="198">
        <v>17.867999999999999</v>
      </c>
      <c r="BT1092" s="1051">
        <v>43648</v>
      </c>
      <c r="BU1092" s="198">
        <v>12.098699999999999</v>
      </c>
      <c r="BV1092" s="198">
        <v>4.0567000000000002</v>
      </c>
      <c r="BW1092" s="198">
        <v>7.4119000000000002</v>
      </c>
      <c r="BX1092" s="198">
        <v>1.3273999999999999</v>
      </c>
      <c r="BZ1092" s="1051">
        <v>43648</v>
      </c>
      <c r="CA1092" s="198">
        <v>11.273999999999999</v>
      </c>
      <c r="CB1092" s="198">
        <v>3.3416000000000001</v>
      </c>
      <c r="CC1092" s="198">
        <v>11.0113</v>
      </c>
      <c r="CD1092" s="198">
        <v>1.38446</v>
      </c>
      <c r="CF1092" s="1051">
        <v>43647</v>
      </c>
      <c r="CG1092" s="198">
        <v>6.4008000000000003</v>
      </c>
      <c r="CH1092" s="198">
        <v>1.1677</v>
      </c>
      <c r="CI1092" s="198">
        <v>10.4072</v>
      </c>
      <c r="CL1092" s="1051">
        <v>43669</v>
      </c>
      <c r="CM1092" s="198">
        <v>14.765499999999999</v>
      </c>
      <c r="CN1092" s="198">
        <v>2.0125999999999999</v>
      </c>
      <c r="CO1092" s="198">
        <v>10.5943</v>
      </c>
    </row>
    <row r="1093" spans="1:93" s="198" customFormat="1">
      <c r="A1093" s="1051">
        <v>43647</v>
      </c>
      <c r="B1093" s="1052">
        <f t="shared" si="162"/>
        <v>6.6844000000000001</v>
      </c>
      <c r="C1093" s="1052">
        <f t="shared" si="164"/>
        <v>6.0305</v>
      </c>
      <c r="D1093" s="1052">
        <f t="shared" si="168"/>
        <v>9.5105000000000004</v>
      </c>
      <c r="E1093" s="1052">
        <f t="shared" si="169"/>
        <v>6.8910999999999998</v>
      </c>
      <c r="F1093" s="1052">
        <f t="shared" si="170"/>
        <v>13.9176</v>
      </c>
      <c r="G1093" s="1052">
        <f t="shared" si="171"/>
        <v>7.2872000000000003</v>
      </c>
      <c r="H1093" s="1047">
        <f t="shared" si="165"/>
        <v>7.2872000000000003</v>
      </c>
      <c r="I1093" s="1048">
        <f t="shared" si="163"/>
        <v>-8.2720386431002324E-2</v>
      </c>
      <c r="J1093" s="1048">
        <f t="shared" si="166"/>
        <v>0.12093838824177333</v>
      </c>
      <c r="K1093" s="1048">
        <f t="shared" si="167"/>
        <v>0.1</v>
      </c>
      <c r="L1093" s="1048"/>
      <c r="N1093" s="1051">
        <v>43647</v>
      </c>
      <c r="O1093" s="1053">
        <v>6.6844000000000001</v>
      </c>
      <c r="P1093" s="1053">
        <v>1.0530999999999999</v>
      </c>
      <c r="Q1093" s="1053">
        <v>10.372</v>
      </c>
      <c r="R1093" s="1054">
        <f>'B. PE'!$U$23</f>
        <v>15.978235616082999</v>
      </c>
      <c r="S1093" s="1054"/>
      <c r="T1093" s="1054"/>
      <c r="V1093" s="1051">
        <v>43647</v>
      </c>
      <c r="W1093" s="198">
        <v>6.0305</v>
      </c>
      <c r="X1093" s="198">
        <v>0.44929999999999998</v>
      </c>
      <c r="Y1093" s="198">
        <v>6.2816000000000001</v>
      </c>
      <c r="Z1093" s="198">
        <v>0.27654000000000001</v>
      </c>
      <c r="AB1093" s="1051">
        <v>43601</v>
      </c>
      <c r="AC1093" s="198">
        <v>4.78</v>
      </c>
      <c r="AD1093" s="1053">
        <v>0.64580000000000004</v>
      </c>
      <c r="AE1093" s="198">
        <v>5.141</v>
      </c>
      <c r="AF1093" s="198">
        <v>1.506E-2</v>
      </c>
      <c r="AH1093" s="1051">
        <v>43601</v>
      </c>
      <c r="AI1093" s="198">
        <v>8.4085999999999999</v>
      </c>
      <c r="AJ1093" s="198">
        <v>1.377</v>
      </c>
      <c r="AK1093" s="198">
        <v>4.8929999999999998</v>
      </c>
      <c r="AL1093" s="198">
        <v>1.443E-2</v>
      </c>
      <c r="AN1093" s="1051">
        <v>43609</v>
      </c>
      <c r="AO1093" s="198">
        <v>7.1524000000000001</v>
      </c>
      <c r="AP1093" s="198">
        <v>0.60340000000000005</v>
      </c>
      <c r="AQ1093" s="198">
        <v>3.7835000000000001</v>
      </c>
      <c r="AR1093" s="198">
        <v>0.12305000000000001</v>
      </c>
      <c r="AT1093" s="1051">
        <v>43530</v>
      </c>
      <c r="AU1093" s="198">
        <v>8.5900999999999996</v>
      </c>
      <c r="AV1093" s="198">
        <v>0.58309999999999995</v>
      </c>
      <c r="AW1093" s="198">
        <v>6.0940000000000003</v>
      </c>
      <c r="AX1093" s="198">
        <v>0.12992999999999999</v>
      </c>
      <c r="BA1093" s="1051">
        <v>43593</v>
      </c>
      <c r="BB1093" s="198">
        <v>7.7534999999999998</v>
      </c>
      <c r="BC1093" s="198">
        <v>1.6197999999999999</v>
      </c>
      <c r="BD1093" s="198">
        <v>7.9989999999999997</v>
      </c>
      <c r="BE1093" s="198">
        <v>0.33221000000000001</v>
      </c>
      <c r="BG1093" s="1051">
        <v>43593</v>
      </c>
      <c r="BH1093" s="198">
        <v>13.244300000000001</v>
      </c>
      <c r="BI1093" s="198">
        <v>2.6345000000000001</v>
      </c>
      <c r="BJ1093" s="198">
        <v>17.763200000000001</v>
      </c>
      <c r="BT1093" s="1051">
        <v>43647</v>
      </c>
      <c r="BU1093" s="198">
        <v>11.997299999999999</v>
      </c>
      <c r="BV1093" s="198">
        <v>4.0227000000000004</v>
      </c>
      <c r="BW1093" s="198">
        <v>7.3509000000000002</v>
      </c>
      <c r="BX1093" s="198">
        <v>1.3009999999999999</v>
      </c>
      <c r="BZ1093" s="1051">
        <v>43647</v>
      </c>
      <c r="CA1093" s="198">
        <v>11.273999999999999</v>
      </c>
      <c r="CB1093" s="198">
        <v>3.3416000000000001</v>
      </c>
      <c r="CC1093" s="198">
        <v>11.0113</v>
      </c>
      <c r="CD1093" s="198">
        <v>1.29721</v>
      </c>
      <c r="CF1093" s="1051">
        <v>43644</v>
      </c>
      <c r="CI1093" s="198">
        <v>10.4072</v>
      </c>
      <c r="CL1093" s="1051">
        <v>43668</v>
      </c>
      <c r="CM1093" s="198">
        <v>14.492599999999999</v>
      </c>
      <c r="CN1093" s="198">
        <v>1.9755</v>
      </c>
      <c r="CO1093" s="198">
        <v>10.403600000000001</v>
      </c>
    </row>
    <row r="1094" spans="1:93" s="198" customFormat="1">
      <c r="A1094" s="1051">
        <v>43644</v>
      </c>
      <c r="B1094" s="1052">
        <f t="shared" ref="B1094:B1157" si="172">O1094</f>
        <v>6.6368</v>
      </c>
      <c r="C1094" s="1052">
        <f t="shared" si="164"/>
        <v>6.0462999999999996</v>
      </c>
      <c r="D1094" s="1052">
        <f t="shared" si="168"/>
        <v>9.3596000000000004</v>
      </c>
      <c r="E1094" s="1052">
        <f t="shared" si="169"/>
        <v>6.7560000000000002</v>
      </c>
      <c r="F1094" s="1052">
        <f t="shared" si="170"/>
        <v>13.420500000000001</v>
      </c>
      <c r="G1094" s="1052">
        <f t="shared" si="171"/>
        <v>7.2872000000000003</v>
      </c>
      <c r="H1094" s="1047">
        <f t="shared" si="165"/>
        <v>7.2872000000000003</v>
      </c>
      <c r="I1094" s="1048">
        <f t="shared" ref="I1094:I1157" si="173">B1094/H1094-1</f>
        <v>-8.9252387748380735E-2</v>
      </c>
      <c r="J1094" s="1048">
        <f t="shared" si="166"/>
        <v>0.12093838824177333</v>
      </c>
      <c r="K1094" s="1048">
        <f t="shared" si="167"/>
        <v>0.1</v>
      </c>
      <c r="L1094" s="1048"/>
      <c r="N1094" s="1051">
        <v>43644</v>
      </c>
      <c r="O1094" s="1053">
        <v>6.6368</v>
      </c>
      <c r="P1094" s="1053">
        <v>1.0456000000000001</v>
      </c>
      <c r="Q1094" s="1053">
        <v>10.334899999999999</v>
      </c>
      <c r="R1094" s="1054">
        <f>'B. PE'!$U$23</f>
        <v>15.978235616082999</v>
      </c>
      <c r="S1094" s="1054"/>
      <c r="T1094" s="1054"/>
      <c r="V1094" s="1051">
        <v>43644</v>
      </c>
      <c r="W1094" s="198">
        <v>6.0462999999999996</v>
      </c>
      <c r="X1094" s="198">
        <v>0.45050000000000001</v>
      </c>
      <c r="Y1094" s="198">
        <v>6.2876000000000003</v>
      </c>
      <c r="Z1094" s="198">
        <v>0.27811999999999998</v>
      </c>
      <c r="AB1094" s="1051">
        <v>43600</v>
      </c>
      <c r="AC1094" s="198">
        <v>4.8932000000000002</v>
      </c>
      <c r="AD1094" s="1053">
        <v>0.66110000000000002</v>
      </c>
      <c r="AE1094" s="198">
        <v>5.1970000000000001</v>
      </c>
      <c r="AF1094" s="198">
        <v>1.434E-2</v>
      </c>
      <c r="AH1094" s="1051">
        <v>43600</v>
      </c>
      <c r="AI1094" s="198">
        <v>8.1310000000000002</v>
      </c>
      <c r="AJ1094" s="198">
        <v>1.3314999999999999</v>
      </c>
      <c r="AK1094" s="198">
        <v>4.7548000000000004</v>
      </c>
      <c r="AL1094" s="198">
        <v>1.434E-2</v>
      </c>
      <c r="AN1094" s="1051">
        <v>43608</v>
      </c>
      <c r="AO1094" s="198">
        <v>7.3712999999999997</v>
      </c>
      <c r="AP1094" s="198">
        <v>0.62190000000000001</v>
      </c>
      <c r="AQ1094" s="198">
        <v>3.9613</v>
      </c>
      <c r="AR1094" s="198">
        <v>0.12096</v>
      </c>
      <c r="AT1094" s="1051">
        <v>43529</v>
      </c>
      <c r="AU1094" s="198">
        <v>8.5900999999999996</v>
      </c>
      <c r="AV1094" s="198">
        <v>0.58309999999999995</v>
      </c>
      <c r="AW1094" s="198">
        <v>6.0940000000000003</v>
      </c>
      <c r="AX1094" s="198">
        <v>0.12619</v>
      </c>
      <c r="BA1094" s="1051">
        <v>43592</v>
      </c>
      <c r="BB1094" s="198">
        <v>7.8273000000000001</v>
      </c>
      <c r="BC1094" s="198">
        <v>1.6353</v>
      </c>
      <c r="BD1094" s="198">
        <v>8.0538000000000007</v>
      </c>
      <c r="BE1094" s="198">
        <v>0.34647</v>
      </c>
      <c r="BG1094" s="1051">
        <v>43592</v>
      </c>
      <c r="BH1094" s="198">
        <v>13.244300000000001</v>
      </c>
      <c r="BI1094" s="198">
        <v>2.6345000000000001</v>
      </c>
      <c r="BJ1094" s="198">
        <v>17.763200000000001</v>
      </c>
      <c r="BT1094" s="1051">
        <v>43644</v>
      </c>
      <c r="BU1094" s="198">
        <v>11.756600000000001</v>
      </c>
      <c r="BV1094" s="198">
        <v>3.9420000000000002</v>
      </c>
      <c r="BW1094" s="198">
        <v>7.2061999999999999</v>
      </c>
      <c r="BX1094" s="198">
        <v>1.3272999999999999</v>
      </c>
      <c r="BZ1094" s="1051">
        <v>43644</v>
      </c>
      <c r="CA1094" s="198">
        <v>12.025600000000001</v>
      </c>
      <c r="CB1094" s="198">
        <v>3.5642999999999998</v>
      </c>
      <c r="CC1094" s="198">
        <v>11.5725</v>
      </c>
      <c r="CD1094" s="198">
        <v>1.2718700000000001</v>
      </c>
      <c r="CF1094" s="1051">
        <v>43643</v>
      </c>
      <c r="CG1094" s="198">
        <v>6.8437999999999999</v>
      </c>
      <c r="CH1094" s="198">
        <v>1.2218</v>
      </c>
      <c r="CI1094" s="198">
        <v>8.8955000000000002</v>
      </c>
      <c r="CL1094" s="1051">
        <v>43665</v>
      </c>
      <c r="CM1094" s="198">
        <v>14.492599999999999</v>
      </c>
      <c r="CN1094" s="198">
        <v>1.9755</v>
      </c>
      <c r="CO1094" s="198">
        <v>10.403600000000001</v>
      </c>
    </row>
    <row r="1095" spans="1:93" s="198" customFormat="1">
      <c r="A1095" s="1051">
        <v>43643</v>
      </c>
      <c r="B1095" s="1052">
        <f t="shared" si="172"/>
        <v>7.2682000000000002</v>
      </c>
      <c r="C1095" s="1052">
        <f t="shared" ref="C1095:C1158" si="174">IF(W1095=0,W1094,W1095)</f>
        <v>6.3409000000000004</v>
      </c>
      <c r="D1095" s="1052">
        <f t="shared" si="168"/>
        <v>10.034800000000001</v>
      </c>
      <c r="E1095" s="1052">
        <f t="shared" si="169"/>
        <v>7.2253999999999996</v>
      </c>
      <c r="F1095" s="1052">
        <f t="shared" si="170"/>
        <v>13.0078</v>
      </c>
      <c r="G1095" s="1052">
        <f t="shared" si="171"/>
        <v>7.1257999999999999</v>
      </c>
      <c r="H1095" s="1047">
        <f t="shared" ref="H1095:H1158" si="175">MEDIAN(C1095:G1095)</f>
        <v>7.2253999999999996</v>
      </c>
      <c r="I1095" s="1048">
        <f t="shared" si="173"/>
        <v>5.9235474852603609E-3</v>
      </c>
      <c r="J1095" s="1048">
        <f t="shared" ref="J1095:J1158" si="176">$I$3</f>
        <v>0.12093838824177333</v>
      </c>
      <c r="K1095" s="1048">
        <f t="shared" si="167"/>
        <v>0.1</v>
      </c>
      <c r="L1095" s="1048"/>
      <c r="N1095" s="1051">
        <v>43643</v>
      </c>
      <c r="O1095" s="1053">
        <v>7.2682000000000002</v>
      </c>
      <c r="P1095" s="1053">
        <v>1.0832999999999999</v>
      </c>
      <c r="Q1095" s="1053">
        <v>10.566700000000001</v>
      </c>
      <c r="R1095" s="1054">
        <f>'B. PE'!$U$23</f>
        <v>15.978235616082999</v>
      </c>
      <c r="S1095" s="1054"/>
      <c r="T1095" s="1054"/>
      <c r="V1095" s="1051">
        <v>43643</v>
      </c>
      <c r="W1095" s="198">
        <v>6.3409000000000004</v>
      </c>
      <c r="X1095" s="198">
        <v>0.44059999999999999</v>
      </c>
      <c r="Y1095" s="198">
        <v>5.7135999999999996</v>
      </c>
      <c r="Z1095" s="198">
        <v>0.27792</v>
      </c>
      <c r="AB1095" s="1051">
        <v>43599</v>
      </c>
      <c r="AC1095" s="198">
        <v>4.9158999999999997</v>
      </c>
      <c r="AD1095" s="1053">
        <v>0.66420000000000001</v>
      </c>
      <c r="AE1095" s="198">
        <v>5.2081999999999997</v>
      </c>
      <c r="AF1095" s="198">
        <v>1.5810000000000001E-2</v>
      </c>
      <c r="AH1095" s="1051">
        <v>43599</v>
      </c>
      <c r="AI1095" s="198">
        <v>8.25</v>
      </c>
      <c r="AJ1095" s="198">
        <v>1.351</v>
      </c>
      <c r="AK1095" s="198">
        <v>4.8140999999999998</v>
      </c>
      <c r="AL1095" s="198">
        <v>1.4279999999999999E-2</v>
      </c>
      <c r="AN1095" s="1051">
        <v>43606</v>
      </c>
      <c r="AO1095" s="198">
        <v>7.5172999999999996</v>
      </c>
      <c r="AP1095" s="198">
        <v>0.63419999999999999</v>
      </c>
      <c r="AQ1095" s="198">
        <v>4.0799000000000003</v>
      </c>
      <c r="AR1095" s="198">
        <v>0.12257999999999999</v>
      </c>
      <c r="AT1095" s="1051">
        <v>43528</v>
      </c>
      <c r="AU1095" s="198">
        <v>8.7553000000000001</v>
      </c>
      <c r="AV1095" s="198">
        <v>0.59430000000000005</v>
      </c>
      <c r="AW1095" s="198">
        <v>6.1806000000000001</v>
      </c>
      <c r="AX1095" s="198">
        <v>0.12544</v>
      </c>
      <c r="BA1095" s="1051">
        <v>43588</v>
      </c>
      <c r="BB1095" s="198">
        <v>7.8273000000000001</v>
      </c>
      <c r="BC1095" s="198">
        <v>1.6353</v>
      </c>
      <c r="BD1095" s="198">
        <v>8.0538000000000007</v>
      </c>
      <c r="BE1095" s="198">
        <v>0.35111999999999999</v>
      </c>
      <c r="BG1095" s="1051">
        <v>43588</v>
      </c>
      <c r="BH1095" s="198">
        <v>13.599</v>
      </c>
      <c r="BI1095" s="198">
        <v>2.7050000000000001</v>
      </c>
      <c r="BJ1095" s="198">
        <v>18.0776</v>
      </c>
      <c r="BT1095" s="1051">
        <v>43643</v>
      </c>
      <c r="BU1095" s="198">
        <v>12.7119</v>
      </c>
      <c r="BV1095" s="198">
        <v>4.0266000000000002</v>
      </c>
      <c r="BW1095" s="198">
        <v>8.0312000000000001</v>
      </c>
      <c r="BX1095" s="198">
        <v>1.3138000000000001</v>
      </c>
      <c r="BZ1095" s="1051">
        <v>43643</v>
      </c>
      <c r="CA1095" s="198">
        <v>11.7159</v>
      </c>
      <c r="CB1095" s="198">
        <v>3.4051999999999998</v>
      </c>
      <c r="CC1095" s="198">
        <v>12.2578</v>
      </c>
      <c r="CD1095" s="198">
        <v>1.2423299999999999</v>
      </c>
      <c r="CF1095" s="1051">
        <v>43642</v>
      </c>
      <c r="CG1095" s="198">
        <v>6.6833999999999998</v>
      </c>
      <c r="CH1095" s="198">
        <v>1.1932</v>
      </c>
      <c r="CI1095" s="198">
        <v>8.8076000000000008</v>
      </c>
      <c r="CL1095" s="1051">
        <v>43664</v>
      </c>
      <c r="CM1095" s="198">
        <v>14.340299999999999</v>
      </c>
      <c r="CN1095" s="198">
        <v>1.9547000000000001</v>
      </c>
      <c r="CO1095" s="198">
        <v>10.2973</v>
      </c>
    </row>
    <row r="1096" spans="1:93" s="198" customFormat="1">
      <c r="A1096" s="1051">
        <v>43642</v>
      </c>
      <c r="B1096" s="1052">
        <f t="shared" si="172"/>
        <v>7.2682000000000002</v>
      </c>
      <c r="C1096" s="1052">
        <f t="shared" si="174"/>
        <v>6.3739999999999997</v>
      </c>
      <c r="D1096" s="1052">
        <f t="shared" si="168"/>
        <v>9.8762000000000008</v>
      </c>
      <c r="E1096" s="1052">
        <f t="shared" si="169"/>
        <v>7.2253999999999996</v>
      </c>
      <c r="F1096" s="1052">
        <f t="shared" si="170"/>
        <v>13.125999999999999</v>
      </c>
      <c r="G1096" s="1052">
        <f t="shared" si="171"/>
        <v>7.1627000000000001</v>
      </c>
      <c r="H1096" s="1047">
        <f t="shared" si="175"/>
        <v>7.2253999999999996</v>
      </c>
      <c r="I1096" s="1048">
        <f t="shared" si="173"/>
        <v>5.9235474852603609E-3</v>
      </c>
      <c r="J1096" s="1048">
        <f t="shared" si="176"/>
        <v>0.12093838824177333</v>
      </c>
      <c r="K1096" s="1048">
        <f t="shared" ref="K1096:K1159" si="177">K1095</f>
        <v>0.1</v>
      </c>
      <c r="L1096" s="1048"/>
      <c r="N1096" s="1051">
        <v>43642</v>
      </c>
      <c r="O1096" s="1053">
        <v>7.2682000000000002</v>
      </c>
      <c r="P1096" s="1053">
        <v>1.0832999999999999</v>
      </c>
      <c r="Q1096" s="1053">
        <v>10.566700000000001</v>
      </c>
      <c r="R1096" s="1054">
        <f>'B. PE'!$U$23</f>
        <v>15.978235616082999</v>
      </c>
      <c r="S1096" s="1054"/>
      <c r="T1096" s="1054"/>
      <c r="V1096" s="1051">
        <v>43642</v>
      </c>
      <c r="W1096" s="198">
        <v>6.3739999999999997</v>
      </c>
      <c r="X1096" s="198">
        <v>0.44290000000000002</v>
      </c>
      <c r="Y1096" s="198">
        <v>5.7259000000000002</v>
      </c>
      <c r="Z1096" s="198">
        <v>0.28015000000000001</v>
      </c>
      <c r="AB1096" s="1051">
        <v>43598</v>
      </c>
      <c r="AC1096" s="198">
        <v>4.7119999999999997</v>
      </c>
      <c r="AD1096" s="1053">
        <v>0.63660000000000005</v>
      </c>
      <c r="AE1096" s="198">
        <v>5.1073000000000004</v>
      </c>
      <c r="AF1096" s="198">
        <v>1.397E-2</v>
      </c>
      <c r="AH1096" s="1051">
        <v>43598</v>
      </c>
      <c r="AI1096" s="198">
        <v>8.25</v>
      </c>
      <c r="AJ1096" s="198">
        <v>1.351</v>
      </c>
      <c r="AK1096" s="198">
        <v>4.8140999999999998</v>
      </c>
      <c r="AL1096" s="198">
        <v>1.397E-2</v>
      </c>
      <c r="AN1096" s="1051">
        <v>43602</v>
      </c>
      <c r="AO1096" s="198">
        <v>7.3712999999999997</v>
      </c>
      <c r="AP1096" s="198">
        <v>0.62190000000000001</v>
      </c>
      <c r="AQ1096" s="198">
        <v>3.9613</v>
      </c>
      <c r="AR1096" s="198">
        <v>0.1234</v>
      </c>
      <c r="AT1096" s="1051">
        <v>43525</v>
      </c>
      <c r="AU1096" s="198">
        <v>8.5075000000000003</v>
      </c>
      <c r="AV1096" s="198">
        <v>0.57740000000000002</v>
      </c>
      <c r="AW1096" s="198">
        <v>6.0507</v>
      </c>
      <c r="AX1096" s="198">
        <v>0.12909999999999999</v>
      </c>
      <c r="BA1096" s="1051">
        <v>43587</v>
      </c>
      <c r="BB1096" s="198">
        <v>8.1965000000000003</v>
      </c>
      <c r="BC1096" s="198">
        <v>1.7123999999999999</v>
      </c>
      <c r="BD1096" s="198">
        <v>8.3276000000000003</v>
      </c>
      <c r="BE1096" s="198">
        <v>0.35088000000000003</v>
      </c>
      <c r="BG1096" s="1051">
        <v>43587</v>
      </c>
      <c r="BH1096" s="198">
        <v>13.599</v>
      </c>
      <c r="BI1096" s="198">
        <v>2.7050000000000001</v>
      </c>
      <c r="BJ1096" s="198">
        <v>18.0776</v>
      </c>
      <c r="BT1096" s="1051">
        <v>43642</v>
      </c>
      <c r="BU1096" s="198">
        <v>12.9633</v>
      </c>
      <c r="BV1096" s="198">
        <v>4.1062000000000003</v>
      </c>
      <c r="BW1096" s="198">
        <v>8.1786999999999992</v>
      </c>
      <c r="BX1096" s="198">
        <v>1.3084</v>
      </c>
      <c r="BZ1096" s="1051">
        <v>43642</v>
      </c>
      <c r="CA1096" s="198">
        <v>11.4815</v>
      </c>
      <c r="CB1096" s="198">
        <v>3.3371</v>
      </c>
      <c r="CC1096" s="198">
        <v>12.083299999999999</v>
      </c>
      <c r="CD1096" s="198">
        <v>1.25342</v>
      </c>
      <c r="CF1096" s="1051">
        <v>43641</v>
      </c>
      <c r="CG1096" s="198">
        <v>6.6833999999999998</v>
      </c>
      <c r="CH1096" s="198">
        <v>1.1932</v>
      </c>
      <c r="CI1096" s="198">
        <v>8.8076000000000008</v>
      </c>
      <c r="CL1096" s="1051">
        <v>43663</v>
      </c>
      <c r="CM1096" s="198">
        <v>14.5213</v>
      </c>
      <c r="CN1096" s="198">
        <v>1.9794</v>
      </c>
      <c r="CO1096" s="198">
        <v>10.4237</v>
      </c>
    </row>
    <row r="1097" spans="1:93" s="198" customFormat="1">
      <c r="A1097" s="1051">
        <v>43641</v>
      </c>
      <c r="B1097" s="1052">
        <f t="shared" si="172"/>
        <v>7.2507999999999999</v>
      </c>
      <c r="C1097" s="1052">
        <f t="shared" si="174"/>
        <v>6.3657000000000004</v>
      </c>
      <c r="D1097" s="1052">
        <f t="shared" si="168"/>
        <v>9.8364999999999991</v>
      </c>
      <c r="E1097" s="1052">
        <f t="shared" si="169"/>
        <v>7.1158999999999999</v>
      </c>
      <c r="F1097" s="1052">
        <f t="shared" si="170"/>
        <v>12.8895</v>
      </c>
      <c r="G1097" s="1052">
        <f t="shared" si="171"/>
        <v>7.1627000000000001</v>
      </c>
      <c r="H1097" s="1047">
        <f t="shared" si="175"/>
        <v>7.1627000000000001</v>
      </c>
      <c r="I1097" s="1048">
        <f t="shared" si="173"/>
        <v>1.2299831069289446E-2</v>
      </c>
      <c r="J1097" s="1048">
        <f t="shared" si="176"/>
        <v>0.12093838824177333</v>
      </c>
      <c r="K1097" s="1048">
        <f t="shared" si="177"/>
        <v>0.1</v>
      </c>
      <c r="L1097" s="1048"/>
      <c r="N1097" s="1051">
        <v>43641</v>
      </c>
      <c r="O1097" s="1053">
        <v>7.2507999999999999</v>
      </c>
      <c r="P1097" s="1053">
        <v>1.0807</v>
      </c>
      <c r="Q1097" s="1053">
        <v>10.5527</v>
      </c>
      <c r="R1097" s="1054">
        <f>'B. PE'!$U$23</f>
        <v>15.978235616082999</v>
      </c>
      <c r="S1097" s="1054"/>
      <c r="T1097" s="1054"/>
      <c r="V1097" s="1051">
        <v>43641</v>
      </c>
      <c r="W1097" s="198">
        <v>6.3657000000000004</v>
      </c>
      <c r="X1097" s="198">
        <v>0.44230000000000003</v>
      </c>
      <c r="Y1097" s="198">
        <v>5.7228000000000003</v>
      </c>
      <c r="Z1097" s="198">
        <v>0.28000999999999998</v>
      </c>
      <c r="AB1097" s="1051">
        <v>43595</v>
      </c>
      <c r="AC1097" s="198">
        <v>5.1424000000000003</v>
      </c>
      <c r="AD1097" s="1053">
        <v>0.69479999999999997</v>
      </c>
      <c r="AE1097" s="198">
        <v>5.3202999999999996</v>
      </c>
      <c r="AF1097" s="198">
        <v>1.5140000000000001E-2</v>
      </c>
      <c r="AH1097" s="1051">
        <v>43595</v>
      </c>
      <c r="AI1097" s="198">
        <v>8.1310000000000002</v>
      </c>
      <c r="AJ1097" s="198">
        <v>1.3314999999999999</v>
      </c>
      <c r="AK1097" s="198">
        <v>4.7548000000000004</v>
      </c>
      <c r="AL1097" s="198">
        <v>1.4999999999999999E-2</v>
      </c>
      <c r="AN1097" s="1051">
        <v>43601</v>
      </c>
      <c r="AO1097" s="198">
        <v>7.4443000000000001</v>
      </c>
      <c r="AP1097" s="198">
        <v>0.628</v>
      </c>
      <c r="AQ1097" s="198">
        <v>4.0206</v>
      </c>
      <c r="AR1097" s="198">
        <v>0.12224</v>
      </c>
      <c r="AT1097" s="1051">
        <v>43524</v>
      </c>
      <c r="AU1097" s="198">
        <v>8.4248999999999992</v>
      </c>
      <c r="AV1097" s="198">
        <v>0.57179999999999997</v>
      </c>
      <c r="AW1097" s="198">
        <v>6.0072999999999999</v>
      </c>
      <c r="BA1097" s="1051">
        <v>43585</v>
      </c>
      <c r="BB1097" s="198">
        <v>8.2704000000000004</v>
      </c>
      <c r="BC1097" s="198">
        <v>1.7278</v>
      </c>
      <c r="BD1097" s="198">
        <v>8.3824000000000005</v>
      </c>
      <c r="BE1097" s="198">
        <v>0.35093000000000002</v>
      </c>
      <c r="BG1097" s="1051">
        <v>43585</v>
      </c>
      <c r="BH1097" s="198">
        <v>13.599</v>
      </c>
      <c r="BI1097" s="198">
        <v>2.7050000000000001</v>
      </c>
      <c r="BJ1097" s="198">
        <v>18.0776</v>
      </c>
      <c r="BT1097" s="1051">
        <v>43641</v>
      </c>
      <c r="BU1097" s="198">
        <v>12.823600000000001</v>
      </c>
      <c r="BV1097" s="198">
        <v>4.0620000000000003</v>
      </c>
      <c r="BW1097" s="198">
        <v>8.0968</v>
      </c>
      <c r="BX1097" s="198">
        <v>1.302</v>
      </c>
      <c r="BZ1097" s="1051">
        <v>43641</v>
      </c>
      <c r="CA1097" s="198">
        <v>11.2082</v>
      </c>
      <c r="CB1097" s="198">
        <v>3.2576999999999998</v>
      </c>
      <c r="CC1097" s="198">
        <v>11.879799999999999</v>
      </c>
      <c r="CD1097" s="198">
        <v>1.2571000000000001</v>
      </c>
      <c r="CF1097" s="1051">
        <v>43640</v>
      </c>
      <c r="CG1097" s="198">
        <v>6.6833999999999998</v>
      </c>
      <c r="CH1097" s="198">
        <v>1.1932</v>
      </c>
      <c r="CI1097" s="198">
        <v>8.8076000000000008</v>
      </c>
      <c r="CL1097" s="1051">
        <v>43662</v>
      </c>
      <c r="CM1097" s="198">
        <v>16.144400000000001</v>
      </c>
      <c r="CN1097" s="198">
        <v>2.2006000000000001</v>
      </c>
      <c r="CO1097" s="198">
        <v>11.557600000000001</v>
      </c>
    </row>
    <row r="1098" spans="1:93" s="198" customFormat="1">
      <c r="A1098" s="1051">
        <v>43640</v>
      </c>
      <c r="B1098" s="1052">
        <f t="shared" si="172"/>
        <v>7.4429999999999996</v>
      </c>
      <c r="C1098" s="1052">
        <f t="shared" si="174"/>
        <v>6.4154</v>
      </c>
      <c r="D1098" s="1052">
        <f t="shared" ref="D1098:D1161" si="178">IFERROR(          IF(VLOOKUP(A1098,$AH$5:$AI$1301,2,)=0,D1097,VLOOKUP(A1098,$AH$5:$AI$1301,2,)),D1097)</f>
        <v>10.034800000000001</v>
      </c>
      <c r="E1098" s="1052">
        <f t="shared" ref="E1098:E1161" si="179">IFERROR(IF(VLOOKUP(A1098,$AN$5:$AO$1301,2,)=0, E1097, VLOOKUP(A1098,$AN$5:$AO$1301,2,)),E1097)</f>
        <v>7.0064000000000002</v>
      </c>
      <c r="F1098" s="1052">
        <f t="shared" ref="F1098:F1161" si="180">IFERROR(IF(VLOOKUP(A1098,$BG$5:$BH$1301,2,)=0,F1097,VLOOKUP(A1098,$BG$5:$BH$1301,2,)),F1097)</f>
        <v>13.0078</v>
      </c>
      <c r="G1098" s="1052">
        <f t="shared" ref="G1098:G1161" si="181">IFERROR(IF(VLOOKUP(A1098,$BA$5:$BB$1301,2,)=0,G1097,VLOOKUP(A1098,$BA$5:$BB$1301,2,)),G1097)</f>
        <v>7.0888999999999998</v>
      </c>
      <c r="H1098" s="1047">
        <f t="shared" si="175"/>
        <v>7.0888999999999998</v>
      </c>
      <c r="I1098" s="1048">
        <f t="shared" si="173"/>
        <v>4.9951332364682743E-2</v>
      </c>
      <c r="J1098" s="1048">
        <f t="shared" si="176"/>
        <v>0.12093838824177333</v>
      </c>
      <c r="K1098" s="1048">
        <f t="shared" si="177"/>
        <v>0.1</v>
      </c>
      <c r="L1098" s="1048"/>
      <c r="N1098" s="1051">
        <v>43640</v>
      </c>
      <c r="O1098" s="1053">
        <v>7.4429999999999996</v>
      </c>
      <c r="P1098" s="1053">
        <v>1.1093999999999999</v>
      </c>
      <c r="Q1098" s="1053">
        <v>10.7059</v>
      </c>
      <c r="R1098" s="1054">
        <f>'B. PE'!$U$23</f>
        <v>15.978235616082999</v>
      </c>
      <c r="S1098" s="1054"/>
      <c r="T1098" s="1054"/>
      <c r="V1098" s="1051">
        <v>43640</v>
      </c>
      <c r="W1098" s="198">
        <v>6.4154</v>
      </c>
      <c r="X1098" s="198">
        <v>0.44579999999999997</v>
      </c>
      <c r="Y1098" s="198">
        <v>5.7412999999999998</v>
      </c>
      <c r="Z1098" s="198">
        <v>0.27998000000000001</v>
      </c>
      <c r="AB1098" s="1051">
        <v>43594</v>
      </c>
      <c r="AC1098" s="198">
        <v>4.5533999999999999</v>
      </c>
      <c r="AD1098" s="1053">
        <v>0.61519999999999997</v>
      </c>
      <c r="AE1098" s="198">
        <v>5.0289000000000001</v>
      </c>
      <c r="AF1098" s="198">
        <v>1.511E-2</v>
      </c>
      <c r="AH1098" s="1051">
        <v>43594</v>
      </c>
      <c r="AI1098" s="198">
        <v>7.9722999999999997</v>
      </c>
      <c r="AJ1098" s="198">
        <v>1.3055000000000001</v>
      </c>
      <c r="AK1098" s="198">
        <v>4.6757999999999997</v>
      </c>
      <c r="AL1098" s="198">
        <v>1.525E-2</v>
      </c>
      <c r="AN1098" s="1051">
        <v>43600</v>
      </c>
      <c r="AO1098" s="198">
        <v>7.5172999999999996</v>
      </c>
      <c r="AP1098" s="198">
        <v>0.63419999999999999</v>
      </c>
      <c r="AQ1098" s="198">
        <v>4.0799000000000003</v>
      </c>
      <c r="AR1098" s="198">
        <v>0.12126000000000001</v>
      </c>
      <c r="AT1098" s="1051">
        <v>43523</v>
      </c>
      <c r="AU1098" s="198">
        <v>8.6727000000000007</v>
      </c>
      <c r="AV1098" s="198">
        <v>0.5887</v>
      </c>
      <c r="AW1098" s="198">
        <v>6.1372999999999998</v>
      </c>
      <c r="AX1098" s="198">
        <v>0.13028000000000001</v>
      </c>
      <c r="BA1098" s="1051">
        <v>43584</v>
      </c>
      <c r="BB1098" s="198">
        <v>8.2704000000000004</v>
      </c>
      <c r="BC1098" s="198">
        <v>1.7278</v>
      </c>
      <c r="BD1098" s="198">
        <v>8.3824000000000005</v>
      </c>
      <c r="BE1098" s="198">
        <v>0.34927999999999998</v>
      </c>
      <c r="BG1098" s="1051">
        <v>43584</v>
      </c>
      <c r="BH1098" s="198">
        <v>13.7173</v>
      </c>
      <c r="BI1098" s="198">
        <v>2.7286000000000001</v>
      </c>
      <c r="BJ1098" s="198">
        <v>18.182300000000001</v>
      </c>
      <c r="BT1098" s="1051">
        <v>43640</v>
      </c>
      <c r="BU1098" s="198">
        <v>12.767799999999999</v>
      </c>
      <c r="BV1098" s="198">
        <v>4.0442999999999998</v>
      </c>
      <c r="BW1098" s="198">
        <v>8.0640000000000001</v>
      </c>
      <c r="BX1098" s="198">
        <v>1.2976000000000001</v>
      </c>
      <c r="BZ1098" s="1051">
        <v>43640</v>
      </c>
      <c r="CA1098" s="198">
        <v>11.3058</v>
      </c>
      <c r="CB1098" s="198">
        <v>3.2860999999999998</v>
      </c>
      <c r="CC1098" s="198">
        <v>11.952500000000001</v>
      </c>
      <c r="CD1098" s="198">
        <v>1.21156</v>
      </c>
      <c r="CF1098" s="1051">
        <v>43637</v>
      </c>
      <c r="CG1098" s="198">
        <v>6.8973000000000004</v>
      </c>
      <c r="CH1098" s="198">
        <v>1.2314000000000001</v>
      </c>
      <c r="CI1098" s="198">
        <v>8.9247999999999994</v>
      </c>
      <c r="CL1098" s="1051">
        <v>43661</v>
      </c>
      <c r="CM1098" s="198">
        <v>16.4603</v>
      </c>
      <c r="CN1098" s="198">
        <v>2.2437</v>
      </c>
      <c r="CO1098" s="198">
        <v>11.7783</v>
      </c>
    </row>
    <row r="1099" spans="1:93" s="198" customFormat="1">
      <c r="A1099" s="1051">
        <v>43637</v>
      </c>
      <c r="B1099" s="1052">
        <f t="shared" si="172"/>
        <v>7.5128000000000004</v>
      </c>
      <c r="C1099" s="1052">
        <f t="shared" si="174"/>
        <v>6.4154</v>
      </c>
      <c r="D1099" s="1052">
        <f t="shared" si="178"/>
        <v>9.9952000000000005</v>
      </c>
      <c r="E1099" s="1052">
        <f t="shared" si="179"/>
        <v>7.0793999999999997</v>
      </c>
      <c r="F1099" s="1052">
        <f t="shared" si="180"/>
        <v>12.8895</v>
      </c>
      <c r="G1099" s="1052">
        <f t="shared" si="181"/>
        <v>7.2366000000000001</v>
      </c>
      <c r="H1099" s="1047">
        <f t="shared" si="175"/>
        <v>7.2366000000000001</v>
      </c>
      <c r="I1099" s="1048">
        <f t="shared" si="173"/>
        <v>3.8167095044634225E-2</v>
      </c>
      <c r="J1099" s="1048">
        <f t="shared" si="176"/>
        <v>0.12093838824177333</v>
      </c>
      <c r="K1099" s="1048">
        <f t="shared" si="177"/>
        <v>0.1</v>
      </c>
      <c r="L1099" s="1048"/>
      <c r="N1099" s="1051">
        <v>43637</v>
      </c>
      <c r="O1099" s="1053">
        <v>7.5128000000000004</v>
      </c>
      <c r="P1099" s="1053">
        <v>1.1197999999999999</v>
      </c>
      <c r="Q1099" s="1053">
        <v>10.7616</v>
      </c>
      <c r="R1099" s="1054">
        <f>'B. PE'!$U$23</f>
        <v>15.978235616082999</v>
      </c>
      <c r="S1099" s="1054"/>
      <c r="T1099" s="1054"/>
      <c r="V1099" s="1051">
        <v>43637</v>
      </c>
      <c r="W1099" s="198">
        <v>6.4154</v>
      </c>
      <c r="X1099" s="198">
        <v>0.44579999999999997</v>
      </c>
      <c r="Y1099" s="198">
        <v>5.7412999999999998</v>
      </c>
      <c r="Z1099" s="198">
        <v>0.27872999999999998</v>
      </c>
      <c r="AB1099" s="1051">
        <v>43593</v>
      </c>
      <c r="AC1099" s="198">
        <v>4.9158999999999997</v>
      </c>
      <c r="AD1099" s="1053">
        <v>0.66420000000000001</v>
      </c>
      <c r="AE1099" s="198">
        <v>5.2081999999999997</v>
      </c>
      <c r="AF1099" s="198">
        <v>1.491E-2</v>
      </c>
      <c r="AH1099" s="1051">
        <v>43593</v>
      </c>
      <c r="AI1099" s="198">
        <v>8.5275999999999996</v>
      </c>
      <c r="AJ1099" s="198">
        <v>1.3964000000000001</v>
      </c>
      <c r="AK1099" s="198">
        <v>4.9523000000000001</v>
      </c>
      <c r="AL1099" s="198">
        <v>1.512E-2</v>
      </c>
      <c r="AN1099" s="1051">
        <v>43599</v>
      </c>
      <c r="AO1099" s="198">
        <v>7.4443000000000001</v>
      </c>
      <c r="AP1099" s="198">
        <v>0.628</v>
      </c>
      <c r="AQ1099" s="198">
        <v>4.0206</v>
      </c>
      <c r="AR1099" s="198">
        <v>0.12142</v>
      </c>
      <c r="AT1099" s="1051">
        <v>43522</v>
      </c>
      <c r="AW1099" s="198">
        <v>6.1806000000000001</v>
      </c>
      <c r="AX1099" s="198">
        <v>0.13005</v>
      </c>
      <c r="BA1099" s="1051">
        <v>43581</v>
      </c>
      <c r="BB1099" s="198">
        <v>8.2704000000000004</v>
      </c>
      <c r="BC1099" s="198">
        <v>1.7278</v>
      </c>
      <c r="BD1099" s="198">
        <v>8.3824000000000005</v>
      </c>
      <c r="BE1099" s="198">
        <v>0.34938000000000002</v>
      </c>
      <c r="BG1099" s="1051">
        <v>43581</v>
      </c>
      <c r="BH1099" s="198">
        <v>13.4808</v>
      </c>
      <c r="BI1099" s="198">
        <v>2.6815000000000002</v>
      </c>
      <c r="BJ1099" s="198">
        <v>17.972799999999999</v>
      </c>
      <c r="BT1099" s="1051">
        <v>43637</v>
      </c>
      <c r="BU1099" s="198">
        <v>12.7119</v>
      </c>
      <c r="BV1099" s="198">
        <v>4.0266000000000002</v>
      </c>
      <c r="BW1099" s="198">
        <v>8.0312000000000001</v>
      </c>
      <c r="BX1099" s="198">
        <v>1.2667999999999999</v>
      </c>
      <c r="BZ1099" s="1051">
        <v>43637</v>
      </c>
      <c r="CA1099" s="198">
        <v>11.344900000000001</v>
      </c>
      <c r="CB1099" s="198">
        <v>3.2974000000000001</v>
      </c>
      <c r="CC1099" s="198">
        <v>11.9816</v>
      </c>
      <c r="CD1099" s="198">
        <v>1.15029</v>
      </c>
      <c r="CF1099" s="1051">
        <v>43636</v>
      </c>
      <c r="CG1099" s="198">
        <v>6.5765000000000002</v>
      </c>
      <c r="CH1099" s="198">
        <v>1.1740999999999999</v>
      </c>
      <c r="CI1099" s="198">
        <v>8.7490000000000006</v>
      </c>
      <c r="CL1099" s="1051">
        <v>43658</v>
      </c>
      <c r="CM1099" s="198">
        <v>16.546500000000002</v>
      </c>
      <c r="CN1099" s="198">
        <v>2.2553999999999998</v>
      </c>
      <c r="CO1099" s="198">
        <v>11.8386</v>
      </c>
    </row>
    <row r="1100" spans="1:93" s="198" customFormat="1">
      <c r="A1100" s="1051">
        <v>43636</v>
      </c>
      <c r="B1100" s="1052">
        <f t="shared" si="172"/>
        <v>7.4429999999999996</v>
      </c>
      <c r="C1100" s="1052">
        <f t="shared" si="174"/>
        <v>6.4154</v>
      </c>
      <c r="D1100" s="1052">
        <f t="shared" si="178"/>
        <v>9.9158000000000008</v>
      </c>
      <c r="E1100" s="1052">
        <f t="shared" si="179"/>
        <v>7.1889000000000003</v>
      </c>
      <c r="F1100" s="1052">
        <f t="shared" si="180"/>
        <v>13.125999999999999</v>
      </c>
      <c r="G1100" s="1052">
        <f t="shared" si="181"/>
        <v>7.3103999999999996</v>
      </c>
      <c r="H1100" s="1047">
        <f t="shared" si="175"/>
        <v>7.3103999999999996</v>
      </c>
      <c r="I1100" s="1048">
        <f t="shared" si="173"/>
        <v>1.8138542350623732E-2</v>
      </c>
      <c r="J1100" s="1048">
        <f t="shared" si="176"/>
        <v>0.12093838824177333</v>
      </c>
      <c r="K1100" s="1048">
        <f t="shared" si="177"/>
        <v>0.1</v>
      </c>
      <c r="L1100" s="1048"/>
      <c r="N1100" s="1051">
        <v>43636</v>
      </c>
      <c r="O1100" s="1053">
        <v>7.4429999999999996</v>
      </c>
      <c r="P1100" s="1053">
        <v>1.1093999999999999</v>
      </c>
      <c r="Q1100" s="1053">
        <v>10.7059</v>
      </c>
      <c r="R1100" s="1054">
        <f>'B. PE'!$U$23</f>
        <v>15.978235616082999</v>
      </c>
      <c r="S1100" s="1054"/>
      <c r="T1100" s="1054"/>
      <c r="V1100" s="1051">
        <v>43636</v>
      </c>
      <c r="W1100" s="198">
        <v>6.4154</v>
      </c>
      <c r="X1100" s="198">
        <v>0.44579999999999997</v>
      </c>
      <c r="Y1100" s="198">
        <v>5.7412999999999998</v>
      </c>
      <c r="Z1100" s="198">
        <v>0.27814</v>
      </c>
      <c r="AB1100" s="1051">
        <v>43592</v>
      </c>
      <c r="AC1100" s="198">
        <v>4.9158999999999997</v>
      </c>
      <c r="AD1100" s="1053">
        <v>0.66420000000000001</v>
      </c>
      <c r="AE1100" s="198">
        <v>5.2081999999999997</v>
      </c>
      <c r="AF1100" s="198">
        <v>1.6209999999999999E-2</v>
      </c>
      <c r="AH1100" s="1051">
        <v>43592</v>
      </c>
      <c r="AI1100" s="198">
        <v>8.6862999999999992</v>
      </c>
      <c r="AJ1100" s="198">
        <v>1.4224000000000001</v>
      </c>
      <c r="AK1100" s="198">
        <v>5.0312999999999999</v>
      </c>
      <c r="AL1100" s="198">
        <v>1.5509999999999999E-2</v>
      </c>
      <c r="AN1100" s="1051">
        <v>43598</v>
      </c>
      <c r="AO1100" s="198">
        <v>7.3712999999999997</v>
      </c>
      <c r="AP1100" s="198">
        <v>0.62190000000000001</v>
      </c>
      <c r="AQ1100" s="198">
        <v>3.9613</v>
      </c>
      <c r="AR1100" s="198">
        <v>0.12252</v>
      </c>
      <c r="AT1100" s="1051">
        <v>43521</v>
      </c>
      <c r="AU1100" s="198">
        <v>8.7553000000000001</v>
      </c>
      <c r="AV1100" s="198">
        <v>0.59430000000000005</v>
      </c>
      <c r="AW1100" s="198">
        <v>6.1806000000000001</v>
      </c>
      <c r="AX1100" s="198">
        <v>0.12870999999999999</v>
      </c>
      <c r="BA1100" s="1051">
        <v>43580</v>
      </c>
      <c r="BB1100" s="198">
        <v>8.2704000000000004</v>
      </c>
      <c r="BC1100" s="198">
        <v>1.7278</v>
      </c>
      <c r="BD1100" s="198">
        <v>8.3824000000000005</v>
      </c>
      <c r="BE1100" s="198">
        <v>0.35020000000000001</v>
      </c>
      <c r="BG1100" s="1051">
        <v>43580</v>
      </c>
      <c r="BH1100" s="198">
        <v>13.4808</v>
      </c>
      <c r="BI1100" s="198">
        <v>2.6815000000000002</v>
      </c>
      <c r="BJ1100" s="198">
        <v>17.972799999999999</v>
      </c>
      <c r="BT1100" s="1051">
        <v>43636</v>
      </c>
      <c r="BU1100" s="198">
        <v>12.67</v>
      </c>
      <c r="BV1100" s="198">
        <v>4.0133000000000001</v>
      </c>
      <c r="BW1100" s="198">
        <v>8.0067000000000004</v>
      </c>
      <c r="BX1100" s="198">
        <v>1.2614000000000001</v>
      </c>
      <c r="BZ1100" s="1051">
        <v>43636</v>
      </c>
      <c r="CA1100" s="198">
        <v>10.934799999999999</v>
      </c>
      <c r="CB1100" s="198">
        <v>3.1781999999999999</v>
      </c>
      <c r="CC1100" s="198">
        <v>11.676299999999999</v>
      </c>
      <c r="CD1100" s="198">
        <v>1.1493500000000001</v>
      </c>
      <c r="CF1100" s="1051">
        <v>43635</v>
      </c>
      <c r="CG1100" s="198">
        <v>6.2824</v>
      </c>
      <c r="CH1100" s="198">
        <v>1.1215999999999999</v>
      </c>
      <c r="CI1100" s="198">
        <v>8.5878999999999994</v>
      </c>
      <c r="CL1100" s="1051">
        <v>43657</v>
      </c>
      <c r="CM1100" s="198">
        <v>16.288</v>
      </c>
      <c r="CN1100" s="198">
        <v>2.2202000000000002</v>
      </c>
      <c r="CO1100" s="198">
        <v>11.6579</v>
      </c>
    </row>
    <row r="1101" spans="1:93" s="198" customFormat="1">
      <c r="A1101" s="1051">
        <v>43635</v>
      </c>
      <c r="B1101" s="1052">
        <f t="shared" si="172"/>
        <v>7.3032000000000004</v>
      </c>
      <c r="C1101" s="1052">
        <f t="shared" si="174"/>
        <v>6.3906000000000001</v>
      </c>
      <c r="D1101" s="1052">
        <f t="shared" si="178"/>
        <v>9.7174999999999994</v>
      </c>
      <c r="E1101" s="1052">
        <f t="shared" si="179"/>
        <v>7.0429000000000004</v>
      </c>
      <c r="F1101" s="1052">
        <f t="shared" si="180"/>
        <v>12.534800000000001</v>
      </c>
      <c r="G1101" s="1052">
        <f t="shared" si="181"/>
        <v>7.1627000000000001</v>
      </c>
      <c r="H1101" s="1047">
        <f t="shared" si="175"/>
        <v>7.1627000000000001</v>
      </c>
      <c r="I1101" s="1048">
        <f t="shared" si="173"/>
        <v>1.9615508118447034E-2</v>
      </c>
      <c r="J1101" s="1048">
        <f t="shared" si="176"/>
        <v>0.12093838824177333</v>
      </c>
      <c r="K1101" s="1048">
        <f t="shared" si="177"/>
        <v>0.1</v>
      </c>
      <c r="L1101" s="1048"/>
      <c r="N1101" s="1051">
        <v>43635</v>
      </c>
      <c r="O1101" s="1053">
        <v>7.3032000000000004</v>
      </c>
      <c r="P1101" s="1053">
        <v>1.0886</v>
      </c>
      <c r="Q1101" s="1053">
        <v>10.5945</v>
      </c>
      <c r="R1101" s="1054">
        <f>'B. PE'!$U$23</f>
        <v>15.978235616082999</v>
      </c>
      <c r="S1101" s="1054"/>
      <c r="T1101" s="1054"/>
      <c r="V1101" s="1051">
        <v>43635</v>
      </c>
      <c r="W1101" s="198">
        <v>6.3906000000000001</v>
      </c>
      <c r="X1101" s="198">
        <v>0.44400000000000001</v>
      </c>
      <c r="Y1101" s="198">
        <v>5.7321</v>
      </c>
      <c r="Z1101" s="198">
        <v>0.28082000000000001</v>
      </c>
      <c r="AB1101" s="1051">
        <v>43591</v>
      </c>
      <c r="AC1101" s="198">
        <v>4.8253000000000004</v>
      </c>
      <c r="AD1101" s="1053">
        <v>0.65200000000000002</v>
      </c>
      <c r="AE1101" s="198">
        <v>5.1634000000000002</v>
      </c>
      <c r="AF1101" s="198">
        <v>1.585E-2</v>
      </c>
      <c r="AH1101" s="1051">
        <v>43591</v>
      </c>
      <c r="AI1101" s="198">
        <v>8.5672999999999995</v>
      </c>
      <c r="AJ1101" s="198">
        <v>1.4029</v>
      </c>
      <c r="AK1101" s="198">
        <v>4.9720000000000004</v>
      </c>
      <c r="AL1101" s="198">
        <v>1.5640000000000001E-2</v>
      </c>
      <c r="AN1101" s="1051">
        <v>43595</v>
      </c>
      <c r="AO1101" s="198">
        <v>7.3712999999999997</v>
      </c>
      <c r="AP1101" s="198">
        <v>0.62190000000000001</v>
      </c>
      <c r="AQ1101" s="198">
        <v>3.9613</v>
      </c>
      <c r="AR1101" s="198">
        <v>0.1229</v>
      </c>
      <c r="AT1101" s="1051">
        <v>43518</v>
      </c>
      <c r="AU1101" s="198">
        <v>8.7553000000000001</v>
      </c>
      <c r="AV1101" s="198">
        <v>0.59430000000000005</v>
      </c>
      <c r="AW1101" s="198">
        <v>6.1806000000000001</v>
      </c>
      <c r="AX1101" s="198">
        <v>0.12787000000000001</v>
      </c>
      <c r="BA1101" s="1051">
        <v>43579</v>
      </c>
      <c r="BB1101" s="198">
        <v>8.2704000000000004</v>
      </c>
      <c r="BC1101" s="198">
        <v>1.7278</v>
      </c>
      <c r="BD1101" s="198">
        <v>8.3824000000000005</v>
      </c>
      <c r="BE1101" s="198">
        <v>0.35109000000000001</v>
      </c>
      <c r="BG1101" s="1051">
        <v>43579</v>
      </c>
      <c r="BH1101" s="198">
        <v>13.8355</v>
      </c>
      <c r="BI1101" s="198">
        <v>2.7521</v>
      </c>
      <c r="BJ1101" s="198">
        <v>18.287099999999999</v>
      </c>
      <c r="BT1101" s="1051">
        <v>43635</v>
      </c>
      <c r="BU1101" s="198">
        <v>12.3766</v>
      </c>
      <c r="BV1101" s="198">
        <v>3.9203999999999999</v>
      </c>
      <c r="BW1101" s="198">
        <v>7.8346999999999998</v>
      </c>
      <c r="BX1101" s="198">
        <v>1.2534000000000001</v>
      </c>
      <c r="BZ1101" s="1051">
        <v>43635</v>
      </c>
      <c r="CA1101" s="198">
        <v>10.3881</v>
      </c>
      <c r="CB1101" s="198">
        <v>3.0192999999999999</v>
      </c>
      <c r="CC1101" s="198">
        <v>11.2692</v>
      </c>
      <c r="CD1101" s="198">
        <v>1.1442000000000001</v>
      </c>
      <c r="CF1101" s="1051">
        <v>43634</v>
      </c>
      <c r="CI1101" s="198">
        <v>8.5634999999999994</v>
      </c>
      <c r="CL1101" s="1051">
        <v>43656</v>
      </c>
      <c r="CM1101" s="198">
        <v>16.489100000000001</v>
      </c>
      <c r="CN1101" s="198">
        <v>2.2475999999999998</v>
      </c>
      <c r="CO1101" s="198">
        <v>11.798400000000001</v>
      </c>
    </row>
    <row r="1102" spans="1:93" s="198" customFormat="1">
      <c r="A1102" s="1051">
        <v>43634</v>
      </c>
      <c r="B1102" s="1052">
        <f t="shared" si="172"/>
        <v>7.3032000000000004</v>
      </c>
      <c r="C1102" s="1052">
        <f t="shared" si="174"/>
        <v>6.3822999999999999</v>
      </c>
      <c r="D1102" s="1052">
        <f t="shared" si="178"/>
        <v>9.7571999999999992</v>
      </c>
      <c r="E1102" s="1052">
        <f t="shared" si="179"/>
        <v>7.0064000000000002</v>
      </c>
      <c r="F1102" s="1052">
        <f t="shared" si="180"/>
        <v>12.0618</v>
      </c>
      <c r="G1102" s="1052">
        <f t="shared" si="181"/>
        <v>7.3103999999999996</v>
      </c>
      <c r="H1102" s="1047">
        <f t="shared" si="175"/>
        <v>7.3103999999999996</v>
      </c>
      <c r="I1102" s="1048">
        <f t="shared" si="173"/>
        <v>-9.8489822718306197E-4</v>
      </c>
      <c r="J1102" s="1048">
        <f t="shared" si="176"/>
        <v>0.12093838824177333</v>
      </c>
      <c r="K1102" s="1048">
        <f t="shared" si="177"/>
        <v>0.1</v>
      </c>
      <c r="L1102" s="1048"/>
      <c r="N1102" s="1051">
        <v>43634</v>
      </c>
      <c r="O1102" s="1053">
        <v>7.3032000000000004</v>
      </c>
      <c r="P1102" s="1053">
        <v>1.0886</v>
      </c>
      <c r="Q1102" s="1053">
        <v>10.5945</v>
      </c>
      <c r="R1102" s="1054">
        <f>'B. PE'!$U$23</f>
        <v>15.978235616082999</v>
      </c>
      <c r="S1102" s="1054"/>
      <c r="T1102" s="1054"/>
      <c r="V1102" s="1051">
        <v>43634</v>
      </c>
      <c r="W1102" s="198">
        <v>6.3822999999999999</v>
      </c>
      <c r="X1102" s="198">
        <v>0.44350000000000001</v>
      </c>
      <c r="Y1102" s="198">
        <v>5.7290000000000001</v>
      </c>
      <c r="Z1102" s="198">
        <v>0.27894999999999998</v>
      </c>
      <c r="AB1102" s="1051">
        <v>43588</v>
      </c>
      <c r="AC1102" s="198">
        <v>5.2331000000000003</v>
      </c>
      <c r="AD1102" s="1053">
        <v>0.70699999999999996</v>
      </c>
      <c r="AE1102" s="198">
        <v>5.3651999999999997</v>
      </c>
      <c r="AF1102" s="198">
        <v>2.043E-2</v>
      </c>
      <c r="AH1102" s="1051">
        <v>43588</v>
      </c>
      <c r="AI1102" s="198">
        <v>8.7655999999999992</v>
      </c>
      <c r="AJ1102" s="198">
        <v>1.4354</v>
      </c>
      <c r="AK1102" s="198">
        <v>5.0708000000000002</v>
      </c>
      <c r="AL1102" s="198">
        <v>1.5219999999999999E-2</v>
      </c>
      <c r="AN1102" s="1051">
        <v>43594</v>
      </c>
      <c r="AO1102" s="198">
        <v>7.4443000000000001</v>
      </c>
      <c r="AP1102" s="198">
        <v>0.628</v>
      </c>
      <c r="AQ1102" s="198">
        <v>4.0206</v>
      </c>
      <c r="AR1102" s="198">
        <v>0.12288</v>
      </c>
      <c r="AT1102" s="1051">
        <v>43517</v>
      </c>
      <c r="AU1102" s="198">
        <v>8.6727000000000007</v>
      </c>
      <c r="AV1102" s="198">
        <v>0.5887</v>
      </c>
      <c r="AW1102" s="198">
        <v>6.1372999999999998</v>
      </c>
      <c r="AX1102" s="198">
        <v>0.12744</v>
      </c>
      <c r="BA1102" s="1051">
        <v>43578</v>
      </c>
      <c r="BB1102" s="198">
        <v>8.2704000000000004</v>
      </c>
      <c r="BC1102" s="198">
        <v>1.7278</v>
      </c>
      <c r="BD1102" s="198">
        <v>8.3824000000000005</v>
      </c>
      <c r="BE1102" s="198">
        <v>0.35508000000000001</v>
      </c>
      <c r="BG1102" s="1051">
        <v>43578</v>
      </c>
      <c r="BH1102" s="198">
        <v>13.8355</v>
      </c>
      <c r="BI1102" s="198">
        <v>2.7521</v>
      </c>
      <c r="BJ1102" s="198">
        <v>18.287099999999999</v>
      </c>
      <c r="BT1102" s="1051">
        <v>43634</v>
      </c>
      <c r="BU1102" s="198">
        <v>12.3347</v>
      </c>
      <c r="BV1102" s="198">
        <v>3.9070999999999998</v>
      </c>
      <c r="BW1102" s="198">
        <v>7.8101000000000003</v>
      </c>
      <c r="BX1102" s="198">
        <v>1.2733000000000001</v>
      </c>
      <c r="BZ1102" s="1051">
        <v>43634</v>
      </c>
      <c r="CA1102" s="198">
        <v>10.3881</v>
      </c>
      <c r="CB1102" s="198">
        <v>3.0192999999999999</v>
      </c>
      <c r="CC1102" s="198">
        <v>11.2692</v>
      </c>
      <c r="CD1102" s="198">
        <v>1.1518600000000001</v>
      </c>
      <c r="CF1102" s="1051">
        <v>43633</v>
      </c>
      <c r="CI1102" s="198">
        <v>8.5634999999999994</v>
      </c>
      <c r="CL1102" s="1051">
        <v>43655</v>
      </c>
      <c r="CM1102" s="198">
        <v>16.6614</v>
      </c>
      <c r="CN1102" s="198">
        <v>2.2711000000000001</v>
      </c>
      <c r="CO1102" s="198">
        <v>11.918799999999999</v>
      </c>
    </row>
    <row r="1103" spans="1:93" s="198" customFormat="1">
      <c r="A1103" s="1051">
        <v>43633</v>
      </c>
      <c r="B1103" s="1052">
        <f t="shared" si="172"/>
        <v>7.3380999999999998</v>
      </c>
      <c r="C1103" s="1052">
        <f t="shared" si="174"/>
        <v>6.4485000000000001</v>
      </c>
      <c r="D1103" s="1052">
        <f t="shared" si="178"/>
        <v>9.7967999999999993</v>
      </c>
      <c r="E1103" s="1052">
        <f t="shared" si="179"/>
        <v>7.0064000000000002</v>
      </c>
      <c r="F1103" s="1052">
        <f t="shared" si="180"/>
        <v>12.18</v>
      </c>
      <c r="G1103" s="1052">
        <f t="shared" si="181"/>
        <v>7.0888999999999998</v>
      </c>
      <c r="H1103" s="1047">
        <f t="shared" si="175"/>
        <v>7.0888999999999998</v>
      </c>
      <c r="I1103" s="1048">
        <f t="shared" si="173"/>
        <v>3.5153549916066007E-2</v>
      </c>
      <c r="J1103" s="1048">
        <f t="shared" si="176"/>
        <v>0.12093838824177333</v>
      </c>
      <c r="K1103" s="1048">
        <f t="shared" si="177"/>
        <v>0.1</v>
      </c>
      <c r="L1103" s="1048"/>
      <c r="N1103" s="1051">
        <v>43633</v>
      </c>
      <c r="O1103" s="1053">
        <v>7.3380999999999998</v>
      </c>
      <c r="P1103" s="1053">
        <v>1.0938000000000001</v>
      </c>
      <c r="Q1103" s="1053">
        <v>10.622299999999999</v>
      </c>
      <c r="R1103" s="1054">
        <f>'B. PE'!$U$23</f>
        <v>15.978235616082999</v>
      </c>
      <c r="S1103" s="1054"/>
      <c r="T1103" s="1054"/>
      <c r="V1103" s="1051">
        <v>43633</v>
      </c>
      <c r="W1103" s="198">
        <v>6.4485000000000001</v>
      </c>
      <c r="X1103" s="198">
        <v>0.4481</v>
      </c>
      <c r="Y1103" s="198">
        <v>5.7535999999999996</v>
      </c>
      <c r="Z1103" s="198">
        <v>0.28161000000000003</v>
      </c>
      <c r="AB1103" s="1051">
        <v>43587</v>
      </c>
      <c r="AC1103" s="198">
        <v>5.1197999999999997</v>
      </c>
      <c r="AD1103" s="1053">
        <v>0.69169999999999998</v>
      </c>
      <c r="AE1103" s="198">
        <v>5.3090999999999999</v>
      </c>
      <c r="AF1103" s="198">
        <v>2.2599999999999999E-2</v>
      </c>
      <c r="AH1103" s="1051">
        <v>43587</v>
      </c>
      <c r="AI1103" s="198">
        <v>8.8449000000000009</v>
      </c>
      <c r="AJ1103" s="198">
        <v>1.4483999999999999</v>
      </c>
      <c r="AK1103" s="198">
        <v>5.1102999999999996</v>
      </c>
      <c r="AL1103" s="198">
        <v>1.521E-2</v>
      </c>
      <c r="AN1103" s="1051">
        <v>43593</v>
      </c>
      <c r="AO1103" s="198">
        <v>7.4443000000000001</v>
      </c>
      <c r="AP1103" s="198">
        <v>0.628</v>
      </c>
      <c r="AQ1103" s="198">
        <v>4.0206</v>
      </c>
      <c r="AR1103" s="198">
        <v>0.12175999999999999</v>
      </c>
      <c r="AT1103" s="1051">
        <v>43516</v>
      </c>
      <c r="AU1103" s="198">
        <v>8.5900999999999996</v>
      </c>
      <c r="AV1103" s="198">
        <v>0.58309999999999995</v>
      </c>
      <c r="AW1103" s="198">
        <v>6.0940000000000003</v>
      </c>
      <c r="AX1103" s="198">
        <v>0.12501000000000001</v>
      </c>
      <c r="BA1103" s="1051">
        <v>43577</v>
      </c>
      <c r="BB1103" s="198">
        <v>8.2704000000000004</v>
      </c>
      <c r="BC1103" s="198">
        <v>1.7278</v>
      </c>
      <c r="BD1103" s="198">
        <v>8.3824000000000005</v>
      </c>
      <c r="BE1103" s="198">
        <v>0.35500999999999999</v>
      </c>
      <c r="BG1103" s="1051">
        <v>43577</v>
      </c>
      <c r="BH1103" s="198">
        <v>13.953799999999999</v>
      </c>
      <c r="BI1103" s="198">
        <v>2.7755999999999998</v>
      </c>
      <c r="BJ1103" s="198">
        <v>18.3919</v>
      </c>
      <c r="BT1103" s="1051">
        <v>43633</v>
      </c>
      <c r="BU1103" s="198">
        <v>12.264900000000001</v>
      </c>
      <c r="BV1103" s="198">
        <v>3.8849999999999998</v>
      </c>
      <c r="BW1103" s="198">
        <v>7.7691999999999997</v>
      </c>
      <c r="BX1103" s="198">
        <v>1.2781</v>
      </c>
      <c r="BZ1103" s="1051">
        <v>43633</v>
      </c>
      <c r="CA1103" s="198">
        <v>10.349</v>
      </c>
      <c r="CB1103" s="198">
        <v>3.008</v>
      </c>
      <c r="CC1103" s="198">
        <v>11.2402</v>
      </c>
      <c r="CD1103" s="198">
        <v>1.16754</v>
      </c>
      <c r="CF1103" s="1051">
        <v>43630</v>
      </c>
      <c r="CG1103" s="198">
        <v>6.2378999999999998</v>
      </c>
      <c r="CH1103" s="198">
        <v>1.1135999999999999</v>
      </c>
      <c r="CI1103" s="198">
        <v>8.5634999999999994</v>
      </c>
      <c r="CL1103" s="1051">
        <v>43654</v>
      </c>
      <c r="CM1103" s="198">
        <v>16.747599999999998</v>
      </c>
      <c r="CN1103" s="198">
        <v>2.2827999999999999</v>
      </c>
      <c r="CO1103" s="198">
        <v>11.978999999999999</v>
      </c>
    </row>
    <row r="1104" spans="1:93" s="198" customFormat="1">
      <c r="A1104" s="1051">
        <v>43630</v>
      </c>
      <c r="B1104" s="1052">
        <f t="shared" si="172"/>
        <v>7.4779</v>
      </c>
      <c r="C1104" s="1052">
        <f t="shared" si="174"/>
        <v>6.3989000000000003</v>
      </c>
      <c r="D1104" s="1052">
        <f t="shared" si="178"/>
        <v>10.114100000000001</v>
      </c>
      <c r="E1104" s="1052">
        <f t="shared" si="179"/>
        <v>7.1524000000000001</v>
      </c>
      <c r="F1104" s="1052">
        <f t="shared" si="180"/>
        <v>12.298299999999999</v>
      </c>
      <c r="G1104" s="1052">
        <f t="shared" si="181"/>
        <v>7.0519999999999996</v>
      </c>
      <c r="H1104" s="1047">
        <f t="shared" si="175"/>
        <v>7.1524000000000001</v>
      </c>
      <c r="I1104" s="1048">
        <f t="shared" si="173"/>
        <v>4.5509199709188541E-2</v>
      </c>
      <c r="J1104" s="1048">
        <f t="shared" si="176"/>
        <v>0.12093838824177333</v>
      </c>
      <c r="K1104" s="1048">
        <f t="shared" si="177"/>
        <v>0.1</v>
      </c>
      <c r="L1104" s="1048"/>
      <c r="N1104" s="1051">
        <v>43630</v>
      </c>
      <c r="O1104" s="1053">
        <v>7.4779</v>
      </c>
      <c r="P1104" s="1053">
        <v>1.1146</v>
      </c>
      <c r="Q1104" s="1053">
        <v>10.733700000000001</v>
      </c>
      <c r="R1104" s="1054">
        <f>'B. PE'!$U$23</f>
        <v>15.978235616082999</v>
      </c>
      <c r="S1104" s="1054"/>
      <c r="T1104" s="1054"/>
      <c r="V1104" s="1051">
        <v>43630</v>
      </c>
      <c r="W1104" s="198">
        <v>6.3989000000000003</v>
      </c>
      <c r="X1104" s="198">
        <v>0.4446</v>
      </c>
      <c r="Y1104" s="198">
        <v>5.7351999999999999</v>
      </c>
      <c r="Z1104" s="198">
        <v>0.28044000000000002</v>
      </c>
      <c r="AB1104" s="1051">
        <v>43585</v>
      </c>
      <c r="AC1104" s="198">
        <v>6.5696000000000003</v>
      </c>
      <c r="AD1104" s="1053">
        <v>0.88759999999999994</v>
      </c>
      <c r="AE1104" s="198">
        <v>6.0266000000000002</v>
      </c>
      <c r="AF1104" s="198">
        <v>2.299E-2</v>
      </c>
      <c r="AH1104" s="1051">
        <v>43585</v>
      </c>
      <c r="AI1104" s="198">
        <v>8.5672999999999995</v>
      </c>
      <c r="AJ1104" s="198">
        <v>1.4029</v>
      </c>
      <c r="AK1104" s="198">
        <v>4.9720000000000004</v>
      </c>
      <c r="AL1104" s="198">
        <v>1.375E-2</v>
      </c>
      <c r="AN1104" s="1051">
        <v>43592</v>
      </c>
      <c r="AO1104" s="198">
        <v>7.4443000000000001</v>
      </c>
      <c r="AP1104" s="198">
        <v>0.628</v>
      </c>
      <c r="AQ1104" s="198">
        <v>4.0206</v>
      </c>
      <c r="AR1104" s="198">
        <v>0.12331</v>
      </c>
      <c r="AT1104" s="1051">
        <v>43515</v>
      </c>
      <c r="AU1104" s="198">
        <v>8.5900999999999996</v>
      </c>
      <c r="AV1104" s="198">
        <v>0.58309999999999995</v>
      </c>
      <c r="AW1104" s="198">
        <v>6.0940000000000003</v>
      </c>
      <c r="AX1104" s="198">
        <v>0.12367</v>
      </c>
      <c r="BA1104" s="1051">
        <v>43574</v>
      </c>
      <c r="BB1104" s="198">
        <v>8.3442000000000007</v>
      </c>
      <c r="BC1104" s="198">
        <v>1.7433000000000001</v>
      </c>
      <c r="BD1104" s="198">
        <v>8.4372000000000007</v>
      </c>
      <c r="BE1104" s="198">
        <v>0.35846</v>
      </c>
      <c r="BG1104" s="1051">
        <v>43574</v>
      </c>
      <c r="BH1104" s="198">
        <v>14.071999999999999</v>
      </c>
      <c r="BI1104" s="198">
        <v>2.7991000000000001</v>
      </c>
      <c r="BJ1104" s="198">
        <v>18.496700000000001</v>
      </c>
      <c r="BT1104" s="1051">
        <v>43630</v>
      </c>
      <c r="BU1104" s="198">
        <v>12.4465</v>
      </c>
      <c r="BV1104" s="198">
        <v>3.9424999999999999</v>
      </c>
      <c r="BW1104" s="198">
        <v>7.8757000000000001</v>
      </c>
      <c r="BX1104" s="198">
        <v>1.2963</v>
      </c>
      <c r="BZ1104" s="1051">
        <v>43630</v>
      </c>
      <c r="CA1104" s="198">
        <v>10.4076</v>
      </c>
      <c r="CB1104" s="198">
        <v>3.0249999999999999</v>
      </c>
      <c r="CC1104" s="198">
        <v>11.283799999999999</v>
      </c>
      <c r="CD1104" s="198">
        <v>1.1671899999999999</v>
      </c>
      <c r="CF1104" s="1051">
        <v>43629</v>
      </c>
      <c r="CI1104" s="198">
        <v>8.5634999999999994</v>
      </c>
      <c r="CL1104" s="1051">
        <v>43651</v>
      </c>
      <c r="CM1104" s="198">
        <v>16.647099999999998</v>
      </c>
      <c r="CN1104" s="198">
        <v>2.2690999999999999</v>
      </c>
      <c r="CO1104" s="198">
        <v>11.908799999999999</v>
      </c>
    </row>
    <row r="1105" spans="1:93" s="198" customFormat="1">
      <c r="A1105" s="1051">
        <v>43629</v>
      </c>
      <c r="B1105" s="1052">
        <f t="shared" si="172"/>
        <v>7.4779</v>
      </c>
      <c r="C1105" s="1052">
        <f t="shared" si="174"/>
        <v>6.4568000000000003</v>
      </c>
      <c r="D1105" s="1052">
        <f t="shared" si="178"/>
        <v>9.7571999999999992</v>
      </c>
      <c r="E1105" s="1052">
        <f t="shared" si="179"/>
        <v>7.0064000000000002</v>
      </c>
      <c r="F1105" s="1052">
        <f t="shared" si="180"/>
        <v>12.298299999999999</v>
      </c>
      <c r="G1105" s="1052">
        <f t="shared" si="181"/>
        <v>7.0519999999999996</v>
      </c>
      <c r="H1105" s="1047">
        <f t="shared" si="175"/>
        <v>7.0519999999999996</v>
      </c>
      <c r="I1105" s="1048">
        <f t="shared" si="173"/>
        <v>6.0394214407260449E-2</v>
      </c>
      <c r="J1105" s="1048">
        <f t="shared" si="176"/>
        <v>0.12093838824177333</v>
      </c>
      <c r="K1105" s="1048">
        <f t="shared" si="177"/>
        <v>0.1</v>
      </c>
      <c r="L1105" s="1048"/>
      <c r="N1105" s="1051">
        <v>43629</v>
      </c>
      <c r="O1105" s="1053">
        <v>7.4779</v>
      </c>
      <c r="P1105" s="1053">
        <v>1.1146</v>
      </c>
      <c r="Q1105" s="1053">
        <v>10.733700000000001</v>
      </c>
      <c r="R1105" s="1054">
        <f>'B. PE'!$U$23</f>
        <v>15.978235616082999</v>
      </c>
      <c r="S1105" s="1054"/>
      <c r="T1105" s="1054"/>
      <c r="V1105" s="1051">
        <v>43629</v>
      </c>
      <c r="W1105" s="198">
        <v>6.4568000000000003</v>
      </c>
      <c r="X1105" s="198">
        <v>0.4486</v>
      </c>
      <c r="Y1105" s="198">
        <v>5.7567000000000004</v>
      </c>
      <c r="Z1105" s="198">
        <v>0.28237000000000001</v>
      </c>
      <c r="AB1105" s="1051">
        <v>43584</v>
      </c>
      <c r="AC1105" s="198">
        <v>7.2718999999999996</v>
      </c>
      <c r="AD1105" s="1053">
        <v>0.98250000000000004</v>
      </c>
      <c r="AE1105" s="198">
        <v>6.3741000000000003</v>
      </c>
      <c r="AF1105" s="198">
        <v>2.256E-2</v>
      </c>
      <c r="AH1105" s="1051">
        <v>43584</v>
      </c>
      <c r="AI1105" s="198">
        <v>8.5672999999999995</v>
      </c>
      <c r="AJ1105" s="198">
        <v>1.4029</v>
      </c>
      <c r="AK1105" s="198">
        <v>4.9720000000000004</v>
      </c>
      <c r="AL1105" s="198">
        <v>1.37E-2</v>
      </c>
      <c r="AN1105" s="1051">
        <v>43591</v>
      </c>
      <c r="AO1105" s="198">
        <v>7.3712999999999997</v>
      </c>
      <c r="AP1105" s="198">
        <v>0.62190000000000001</v>
      </c>
      <c r="AQ1105" s="198">
        <v>3.9613</v>
      </c>
      <c r="AR1105" s="198">
        <v>0.12333</v>
      </c>
      <c r="AT1105" s="1051">
        <v>43514</v>
      </c>
      <c r="AU1105" s="198">
        <v>8.4248999999999992</v>
      </c>
      <c r="AV1105" s="198">
        <v>0.57179999999999997</v>
      </c>
      <c r="AW1105" s="198">
        <v>6.0072999999999999</v>
      </c>
      <c r="AX1105" s="198">
        <v>0.12508</v>
      </c>
      <c r="BA1105" s="1051">
        <v>43573</v>
      </c>
      <c r="BB1105" s="198">
        <v>8.3442000000000007</v>
      </c>
      <c r="BC1105" s="198">
        <v>1.7433000000000001</v>
      </c>
      <c r="BD1105" s="198">
        <v>8.4372000000000007</v>
      </c>
      <c r="BE1105" s="198">
        <v>0.35564000000000001</v>
      </c>
      <c r="BG1105" s="1051">
        <v>43573</v>
      </c>
      <c r="BH1105" s="198">
        <v>14.071999999999999</v>
      </c>
      <c r="BI1105" s="198">
        <v>2.7991000000000001</v>
      </c>
      <c r="BJ1105" s="198">
        <v>18.496700000000001</v>
      </c>
      <c r="BT1105" s="1051">
        <v>43629</v>
      </c>
      <c r="BU1105" s="198">
        <v>12.4884</v>
      </c>
      <c r="BV1105" s="198">
        <v>3.9558</v>
      </c>
      <c r="BW1105" s="198">
        <v>7.9001999999999999</v>
      </c>
      <c r="BX1105" s="198">
        <v>1.2796000000000001</v>
      </c>
      <c r="BZ1105" s="1051">
        <v>43629</v>
      </c>
      <c r="CA1105" s="198">
        <v>10.5443</v>
      </c>
      <c r="CB1105" s="198">
        <v>3.0647000000000002</v>
      </c>
      <c r="CC1105" s="198">
        <v>11.3855</v>
      </c>
      <c r="CD1105" s="198">
        <v>1.1295200000000001</v>
      </c>
      <c r="CF1105" s="1051">
        <v>43628</v>
      </c>
      <c r="CI1105" s="198">
        <v>8.5634999999999994</v>
      </c>
      <c r="CL1105" s="1051">
        <v>43650</v>
      </c>
      <c r="CM1105" s="198">
        <v>16.790700000000001</v>
      </c>
      <c r="CN1105" s="198">
        <v>2.2887</v>
      </c>
      <c r="CO1105" s="198">
        <v>12.0091</v>
      </c>
    </row>
    <row r="1106" spans="1:93" s="198" customFormat="1">
      <c r="A1106" s="1051">
        <v>43628</v>
      </c>
      <c r="B1106" s="1052">
        <f t="shared" si="172"/>
        <v>7.6351000000000004</v>
      </c>
      <c r="C1106" s="1052">
        <f t="shared" si="174"/>
        <v>6.4320000000000004</v>
      </c>
      <c r="D1106" s="1052">
        <f t="shared" si="178"/>
        <v>9.7571999999999992</v>
      </c>
      <c r="E1106" s="1052">
        <f t="shared" si="179"/>
        <v>7.0064000000000002</v>
      </c>
      <c r="F1106" s="1052">
        <f t="shared" si="180"/>
        <v>12.416499999999999</v>
      </c>
      <c r="G1106" s="1052">
        <f t="shared" si="181"/>
        <v>6.8673999999999999</v>
      </c>
      <c r="H1106" s="1047">
        <f t="shared" si="175"/>
        <v>7.0064000000000002</v>
      </c>
      <c r="I1106" s="1048">
        <f t="shared" si="173"/>
        <v>8.973224480474995E-2</v>
      </c>
      <c r="J1106" s="1048">
        <f t="shared" si="176"/>
        <v>0.12093838824177333</v>
      </c>
      <c r="K1106" s="1048">
        <f t="shared" si="177"/>
        <v>0.1</v>
      </c>
      <c r="L1106" s="1048"/>
      <c r="N1106" s="1051">
        <v>43628</v>
      </c>
      <c r="O1106" s="1053">
        <v>7.6351000000000004</v>
      </c>
      <c r="P1106" s="1053">
        <v>1.1379999999999999</v>
      </c>
      <c r="Q1106" s="1053">
        <v>10.859</v>
      </c>
      <c r="R1106" s="1054">
        <f>'B. PE'!$U$23</f>
        <v>15.978235616082999</v>
      </c>
      <c r="S1106" s="1054"/>
      <c r="T1106" s="1054"/>
      <c r="V1106" s="1051">
        <v>43628</v>
      </c>
      <c r="W1106" s="198">
        <v>6.4320000000000004</v>
      </c>
      <c r="X1106" s="198">
        <v>0.44690000000000002</v>
      </c>
      <c r="Y1106" s="198">
        <v>5.7474999999999996</v>
      </c>
      <c r="Z1106" s="198">
        <v>0.28136</v>
      </c>
      <c r="AB1106" s="1051">
        <v>43581</v>
      </c>
      <c r="AC1106" s="198">
        <v>7.3852000000000002</v>
      </c>
      <c r="AD1106" s="1053">
        <v>0.99780000000000002</v>
      </c>
      <c r="AE1106" s="198">
        <v>6.4301000000000004</v>
      </c>
      <c r="AF1106" s="198">
        <v>2.3359999999999999E-2</v>
      </c>
      <c r="AH1106" s="1051">
        <v>43581</v>
      </c>
      <c r="AI1106" s="198">
        <v>7.7343000000000002</v>
      </c>
      <c r="AJ1106" s="198">
        <v>1.2665</v>
      </c>
      <c r="AK1106" s="198">
        <v>4.5574000000000003</v>
      </c>
      <c r="AL1106" s="198">
        <v>1.376E-2</v>
      </c>
      <c r="AN1106" s="1051">
        <v>43588</v>
      </c>
      <c r="AO1106" s="198">
        <v>7.4443000000000001</v>
      </c>
      <c r="AP1106" s="198">
        <v>0.628</v>
      </c>
      <c r="AQ1106" s="198">
        <v>4.0206</v>
      </c>
      <c r="AR1106" s="198">
        <v>0.12329</v>
      </c>
      <c r="AT1106" s="1051">
        <v>43511</v>
      </c>
      <c r="AU1106" s="198">
        <v>8.3422999999999998</v>
      </c>
      <c r="AV1106" s="198">
        <v>0.56620000000000004</v>
      </c>
      <c r="AW1106" s="198">
        <v>5.9640000000000004</v>
      </c>
      <c r="AX1106" s="198">
        <v>0.12415</v>
      </c>
      <c r="BA1106" s="1051">
        <v>43572</v>
      </c>
      <c r="BB1106" s="198">
        <v>8.4179999999999993</v>
      </c>
      <c r="BC1106" s="198">
        <v>1.7586999999999999</v>
      </c>
      <c r="BD1106" s="198">
        <v>8.4920000000000009</v>
      </c>
      <c r="BE1106" s="198">
        <v>0.35159000000000001</v>
      </c>
      <c r="BG1106" s="1051">
        <v>43572</v>
      </c>
      <c r="BH1106" s="198">
        <v>14.3086</v>
      </c>
      <c r="BI1106" s="198">
        <v>2.8462000000000001</v>
      </c>
      <c r="BJ1106" s="198">
        <v>18.706299999999999</v>
      </c>
      <c r="BT1106" s="1051">
        <v>43628</v>
      </c>
      <c r="BU1106" s="198">
        <v>12.67</v>
      </c>
      <c r="BV1106" s="198">
        <v>4.0133000000000001</v>
      </c>
      <c r="BW1106" s="198">
        <v>8.0067000000000004</v>
      </c>
      <c r="BX1106" s="198">
        <v>1.264</v>
      </c>
      <c r="BZ1106" s="1051">
        <v>43628</v>
      </c>
      <c r="CA1106" s="198">
        <v>10.5443</v>
      </c>
      <c r="CB1106" s="198">
        <v>3.0647000000000002</v>
      </c>
      <c r="CC1106" s="198">
        <v>11.3855</v>
      </c>
      <c r="CD1106" s="198">
        <v>1.1326799999999999</v>
      </c>
      <c r="CF1106" s="1051">
        <v>43627</v>
      </c>
      <c r="CI1106" s="198">
        <v>8.5634999999999994</v>
      </c>
      <c r="CL1106" s="1051">
        <v>43649</v>
      </c>
      <c r="CM1106" s="198">
        <v>16.963100000000001</v>
      </c>
      <c r="CN1106" s="198">
        <v>2.3121999999999998</v>
      </c>
      <c r="CO1106" s="198">
        <v>12.1295</v>
      </c>
    </row>
    <row r="1107" spans="1:93" s="198" customFormat="1">
      <c r="A1107" s="1051">
        <v>43627</v>
      </c>
      <c r="B1107" s="1052">
        <f t="shared" si="172"/>
        <v>7.6525999999999996</v>
      </c>
      <c r="C1107" s="1052">
        <f t="shared" si="174"/>
        <v>6.4816000000000003</v>
      </c>
      <c r="D1107" s="1052">
        <f t="shared" si="178"/>
        <v>9.8364999999999991</v>
      </c>
      <c r="E1107" s="1052">
        <f t="shared" si="179"/>
        <v>7.0429000000000004</v>
      </c>
      <c r="F1107" s="1052">
        <f t="shared" si="180"/>
        <v>12.416499999999999</v>
      </c>
      <c r="G1107" s="1052">
        <f t="shared" si="181"/>
        <v>6.8673999999999999</v>
      </c>
      <c r="H1107" s="1047">
        <f t="shared" si="175"/>
        <v>7.0429000000000004</v>
      </c>
      <c r="I1107" s="1048">
        <f t="shared" si="173"/>
        <v>8.6569452924221357E-2</v>
      </c>
      <c r="J1107" s="1048">
        <f t="shared" si="176"/>
        <v>0.12093838824177333</v>
      </c>
      <c r="K1107" s="1048">
        <f t="shared" si="177"/>
        <v>0.1</v>
      </c>
      <c r="L1107" s="1048"/>
      <c r="N1107" s="1051">
        <v>43627</v>
      </c>
      <c r="O1107" s="1053">
        <v>7.6525999999999996</v>
      </c>
      <c r="P1107" s="1053">
        <v>1.1406000000000001</v>
      </c>
      <c r="Q1107" s="1053">
        <v>10.8729</v>
      </c>
      <c r="R1107" s="1054">
        <f>'B. PE'!$U$23</f>
        <v>15.978235616082999</v>
      </c>
      <c r="S1107" s="1054"/>
      <c r="T1107" s="1054"/>
      <c r="V1107" s="1051">
        <v>43627</v>
      </c>
      <c r="W1107" s="198">
        <v>6.4816000000000003</v>
      </c>
      <c r="X1107" s="198">
        <v>0.45040000000000002</v>
      </c>
      <c r="Y1107" s="198">
        <v>5.766</v>
      </c>
      <c r="Z1107" s="198">
        <v>0.2853</v>
      </c>
      <c r="AB1107" s="1051">
        <v>43580</v>
      </c>
      <c r="AC1107" s="198">
        <v>7.2718999999999996</v>
      </c>
      <c r="AD1107" s="1053">
        <v>0.98250000000000004</v>
      </c>
      <c r="AE1107" s="198">
        <v>6.3741000000000003</v>
      </c>
      <c r="AF1107" s="198">
        <v>2.2450000000000001E-2</v>
      </c>
      <c r="AH1107" s="1051">
        <v>43580</v>
      </c>
      <c r="AI1107" s="198">
        <v>7.7343000000000002</v>
      </c>
      <c r="AJ1107" s="198">
        <v>1.2665</v>
      </c>
      <c r="AK1107" s="198">
        <v>4.5574000000000003</v>
      </c>
      <c r="AL1107" s="198">
        <v>1.4019999999999999E-2</v>
      </c>
      <c r="AN1107" s="1051">
        <v>43587</v>
      </c>
      <c r="AO1107" s="198">
        <v>7.4443000000000001</v>
      </c>
      <c r="AP1107" s="198">
        <v>0.628</v>
      </c>
      <c r="AQ1107" s="198">
        <v>4.0206</v>
      </c>
      <c r="AR1107" s="198">
        <v>0.12216</v>
      </c>
      <c r="AT1107" s="1051">
        <v>43510</v>
      </c>
      <c r="AU1107" s="198">
        <v>8.4248999999999992</v>
      </c>
      <c r="AV1107" s="198">
        <v>0.57179999999999997</v>
      </c>
      <c r="AW1107" s="198">
        <v>6.0072999999999999</v>
      </c>
      <c r="AX1107" s="198">
        <v>0.12265</v>
      </c>
      <c r="BA1107" s="1051">
        <v>43567</v>
      </c>
      <c r="BB1107" s="198">
        <v>8.3442000000000007</v>
      </c>
      <c r="BC1107" s="198">
        <v>1.7433000000000001</v>
      </c>
      <c r="BD1107" s="198">
        <v>8.4372000000000007</v>
      </c>
      <c r="BE1107" s="198">
        <v>0.34329999999999999</v>
      </c>
      <c r="BG1107" s="1051">
        <v>43567</v>
      </c>
      <c r="BH1107" s="198">
        <v>14.190300000000001</v>
      </c>
      <c r="BI1107" s="198">
        <v>2.8226</v>
      </c>
      <c r="BJ1107" s="198">
        <v>18.601500000000001</v>
      </c>
      <c r="BT1107" s="1051">
        <v>43627</v>
      </c>
      <c r="BU1107" s="198">
        <v>12.516299999999999</v>
      </c>
      <c r="BV1107" s="198">
        <v>3.9645999999999999</v>
      </c>
      <c r="BW1107" s="198">
        <v>7.9165999999999999</v>
      </c>
      <c r="BX1107" s="198">
        <v>1.258</v>
      </c>
      <c r="BZ1107" s="1051">
        <v>43627</v>
      </c>
      <c r="CA1107" s="198">
        <v>10.212300000000001</v>
      </c>
      <c r="CB1107" s="198">
        <v>2.9681999999999999</v>
      </c>
      <c r="CC1107" s="198">
        <v>11.138400000000001</v>
      </c>
      <c r="CD1107" s="198">
        <v>1.07942</v>
      </c>
      <c r="CF1107" s="1051">
        <v>43626</v>
      </c>
      <c r="CI1107" s="198">
        <v>8.5634999999999994</v>
      </c>
      <c r="CL1107" s="1051">
        <v>43648</v>
      </c>
      <c r="CM1107" s="198">
        <v>16.819400000000002</v>
      </c>
      <c r="CN1107" s="198">
        <v>2.2926000000000002</v>
      </c>
      <c r="CO1107" s="198">
        <v>12.029199999999999</v>
      </c>
    </row>
    <row r="1108" spans="1:93" s="198" customFormat="1">
      <c r="A1108" s="1051">
        <v>43626</v>
      </c>
      <c r="B1108" s="1052">
        <f t="shared" si="172"/>
        <v>7.8098999999999998</v>
      </c>
      <c r="C1108" s="1052">
        <f t="shared" si="174"/>
        <v>6.4650999999999996</v>
      </c>
      <c r="D1108" s="1052">
        <f t="shared" si="178"/>
        <v>9.4398999999999997</v>
      </c>
      <c r="E1108" s="1052">
        <f t="shared" si="179"/>
        <v>7.0064000000000002</v>
      </c>
      <c r="F1108" s="1052">
        <f t="shared" si="180"/>
        <v>12.0618</v>
      </c>
      <c r="G1108" s="1052">
        <f t="shared" si="181"/>
        <v>6.7196999999999996</v>
      </c>
      <c r="H1108" s="1047">
        <f t="shared" si="175"/>
        <v>7.0064000000000002</v>
      </c>
      <c r="I1108" s="1048">
        <f t="shared" si="173"/>
        <v>0.11468086321077875</v>
      </c>
      <c r="J1108" s="1048">
        <f t="shared" si="176"/>
        <v>0.12093838824177333</v>
      </c>
      <c r="K1108" s="1048">
        <f t="shared" si="177"/>
        <v>0.1</v>
      </c>
      <c r="L1108" s="1048"/>
      <c r="N1108" s="1051">
        <v>43626</v>
      </c>
      <c r="O1108" s="1053">
        <v>7.8098999999999998</v>
      </c>
      <c r="P1108" s="1053">
        <v>1.1640999999999999</v>
      </c>
      <c r="Q1108" s="1053">
        <v>10.998200000000001</v>
      </c>
      <c r="R1108" s="1054">
        <f>'B. PE'!$U$23</f>
        <v>15.978235616082999</v>
      </c>
      <c r="S1108" s="1054"/>
      <c r="T1108" s="1054"/>
      <c r="V1108" s="1051">
        <v>43626</v>
      </c>
      <c r="W1108" s="198">
        <v>6.4650999999999996</v>
      </c>
      <c r="X1108" s="198">
        <v>0.44919999999999999</v>
      </c>
      <c r="Y1108" s="198">
        <v>5.7598000000000003</v>
      </c>
      <c r="Z1108" s="198">
        <v>0.28015000000000001</v>
      </c>
      <c r="AB1108" s="1051">
        <v>43579</v>
      </c>
      <c r="AC1108" s="198">
        <v>7.4984999999999999</v>
      </c>
      <c r="AD1108" s="1053">
        <v>1.0130999999999999</v>
      </c>
      <c r="AE1108" s="198">
        <v>6.4862000000000002</v>
      </c>
      <c r="AF1108" s="198">
        <v>2.1180000000000001E-2</v>
      </c>
      <c r="AH1108" s="1051">
        <v>43579</v>
      </c>
      <c r="AI1108" s="198">
        <v>7.7343000000000002</v>
      </c>
      <c r="AJ1108" s="198">
        <v>1.2665</v>
      </c>
      <c r="AK1108" s="198">
        <v>4.5574000000000003</v>
      </c>
      <c r="AL1108" s="198">
        <v>1.438E-2</v>
      </c>
      <c r="AN1108" s="1051">
        <v>43585</v>
      </c>
      <c r="AO1108" s="198">
        <v>7.4443000000000001</v>
      </c>
      <c r="AP1108" s="198">
        <v>0.628</v>
      </c>
      <c r="AQ1108" s="198">
        <v>4.0206</v>
      </c>
      <c r="AR1108" s="198">
        <v>0.12216</v>
      </c>
      <c r="AT1108" s="1051">
        <v>43509</v>
      </c>
      <c r="AU1108" s="198">
        <v>8.3422999999999998</v>
      </c>
      <c r="AV1108" s="198">
        <v>0.56620000000000004</v>
      </c>
      <c r="AW1108" s="198">
        <v>5.9640000000000004</v>
      </c>
      <c r="AX1108" s="198">
        <v>0.12280000000000001</v>
      </c>
      <c r="BA1108" s="1051">
        <v>43566</v>
      </c>
      <c r="BB1108" s="198">
        <v>8.2704000000000004</v>
      </c>
      <c r="BC1108" s="198">
        <v>1.7278</v>
      </c>
      <c r="BD1108" s="198">
        <v>8.3824000000000005</v>
      </c>
      <c r="BE1108" s="198">
        <v>0.34316000000000002</v>
      </c>
      <c r="BG1108" s="1051">
        <v>43566</v>
      </c>
      <c r="BH1108" s="198">
        <v>14.071999999999999</v>
      </c>
      <c r="BI1108" s="198">
        <v>2.7991000000000001</v>
      </c>
      <c r="BJ1108" s="198">
        <v>18.496700000000001</v>
      </c>
      <c r="BT1108" s="1051">
        <v>43626</v>
      </c>
      <c r="BU1108" s="198">
        <v>12.3766</v>
      </c>
      <c r="BV1108" s="198">
        <v>3.9203999999999999</v>
      </c>
      <c r="BW1108" s="198">
        <v>7.8346999999999998</v>
      </c>
      <c r="BX1108" s="198">
        <v>1.2319</v>
      </c>
      <c r="BZ1108" s="1051">
        <v>43626</v>
      </c>
      <c r="CA1108" s="198">
        <v>10.2514</v>
      </c>
      <c r="CB1108" s="198">
        <v>2.9796</v>
      </c>
      <c r="CC1108" s="198">
        <v>11.1675</v>
      </c>
      <c r="CD1108" s="198">
        <v>1.0768500000000001</v>
      </c>
      <c r="CF1108" s="1051">
        <v>43623</v>
      </c>
      <c r="CI1108" s="198">
        <v>8.5634999999999994</v>
      </c>
      <c r="CL1108" s="1051">
        <v>43647</v>
      </c>
      <c r="CM1108" s="198">
        <v>16.603999999999999</v>
      </c>
      <c r="CN1108" s="198">
        <v>2.2633000000000001</v>
      </c>
      <c r="CO1108" s="198">
        <v>11.8787</v>
      </c>
    </row>
    <row r="1109" spans="1:93" s="198" customFormat="1">
      <c r="A1109" s="1051">
        <v>43623</v>
      </c>
      <c r="B1109" s="1052">
        <f t="shared" si="172"/>
        <v>7.8098999999999998</v>
      </c>
      <c r="C1109" s="1052">
        <f t="shared" si="174"/>
        <v>6.5644</v>
      </c>
      <c r="D1109" s="1052">
        <f t="shared" si="178"/>
        <v>9.4398999999999997</v>
      </c>
      <c r="E1109" s="1052">
        <f t="shared" si="179"/>
        <v>7.0064000000000002</v>
      </c>
      <c r="F1109" s="1052">
        <f t="shared" si="180"/>
        <v>11.588699999999999</v>
      </c>
      <c r="G1109" s="1052">
        <f t="shared" si="181"/>
        <v>6.6458000000000004</v>
      </c>
      <c r="H1109" s="1047">
        <f t="shared" si="175"/>
        <v>7.0064000000000002</v>
      </c>
      <c r="I1109" s="1048">
        <f t="shared" si="173"/>
        <v>0.11468086321077875</v>
      </c>
      <c r="J1109" s="1048">
        <f t="shared" si="176"/>
        <v>0.12093838824177333</v>
      </c>
      <c r="K1109" s="1048">
        <f t="shared" si="177"/>
        <v>0.1</v>
      </c>
      <c r="L1109" s="1048"/>
      <c r="N1109" s="1051">
        <v>43623</v>
      </c>
      <c r="O1109" s="1053">
        <v>7.8098999999999998</v>
      </c>
      <c r="P1109" s="1053">
        <v>1.1640999999999999</v>
      </c>
      <c r="Q1109" s="1053">
        <v>10.998200000000001</v>
      </c>
      <c r="R1109" s="1054">
        <f>'B. PE'!$U$23</f>
        <v>15.978235616082999</v>
      </c>
      <c r="S1109" s="1054"/>
      <c r="T1109" s="1054"/>
      <c r="V1109" s="1051">
        <v>43623</v>
      </c>
      <c r="W1109" s="198">
        <v>6.5644</v>
      </c>
      <c r="X1109" s="198">
        <v>0.45610000000000001</v>
      </c>
      <c r="Y1109" s="198">
        <v>5.7967000000000004</v>
      </c>
      <c r="Z1109" s="198">
        <v>0.28042</v>
      </c>
      <c r="AB1109" s="1051">
        <v>43578</v>
      </c>
      <c r="AC1109" s="198">
        <v>7.1813000000000002</v>
      </c>
      <c r="AD1109" s="1053">
        <v>0.97030000000000005</v>
      </c>
      <c r="AE1109" s="198">
        <v>6.3292000000000002</v>
      </c>
      <c r="AF1109" s="198">
        <v>2.1989999999999999E-2</v>
      </c>
      <c r="AH1109" s="1051">
        <v>43578</v>
      </c>
      <c r="AI1109" s="198">
        <v>7.8532999999999999</v>
      </c>
      <c r="AJ1109" s="198">
        <v>1.286</v>
      </c>
      <c r="AK1109" s="198">
        <v>4.6166</v>
      </c>
      <c r="AL1109" s="198">
        <v>1.516E-2</v>
      </c>
      <c r="AN1109" s="1051">
        <v>43584</v>
      </c>
      <c r="AO1109" s="198">
        <v>7.3712999999999997</v>
      </c>
      <c r="AP1109" s="198">
        <v>0.62190000000000001</v>
      </c>
      <c r="AQ1109" s="198">
        <v>3.9613</v>
      </c>
      <c r="AR1109" s="198">
        <v>0.12171</v>
      </c>
      <c r="AT1109" s="1051">
        <v>43508</v>
      </c>
      <c r="AU1109" s="198">
        <v>8.2597000000000005</v>
      </c>
      <c r="AV1109" s="198">
        <v>0.56059999999999999</v>
      </c>
      <c r="AW1109" s="198">
        <v>5.9207000000000001</v>
      </c>
      <c r="AX1109" s="198">
        <v>0.12041</v>
      </c>
      <c r="BA1109" s="1051">
        <v>43565</v>
      </c>
      <c r="BB1109" s="198">
        <v>8.0488</v>
      </c>
      <c r="BC1109" s="198">
        <v>1.6816</v>
      </c>
      <c r="BD1109" s="198">
        <v>8.2180999999999997</v>
      </c>
      <c r="BE1109" s="198">
        <v>0.35093999999999997</v>
      </c>
      <c r="BG1109" s="1051">
        <v>43565</v>
      </c>
      <c r="BH1109" s="198">
        <v>13.8355</v>
      </c>
      <c r="BI1109" s="198">
        <v>2.7521</v>
      </c>
      <c r="BJ1109" s="198">
        <v>18.287099999999999</v>
      </c>
      <c r="BT1109" s="1051">
        <v>43623</v>
      </c>
      <c r="BU1109" s="198">
        <v>12.3347</v>
      </c>
      <c r="BV1109" s="198">
        <v>3.9070999999999998</v>
      </c>
      <c r="BW1109" s="198">
        <v>7.8101000000000003</v>
      </c>
      <c r="BX1109" s="198">
        <v>1.2329000000000001</v>
      </c>
      <c r="BZ1109" s="1051">
        <v>43623</v>
      </c>
      <c r="CA1109" s="198">
        <v>9.7827000000000002</v>
      </c>
      <c r="CB1109" s="198">
        <v>2.8433999999999999</v>
      </c>
      <c r="CC1109" s="198">
        <v>10.8186</v>
      </c>
      <c r="CD1109" s="198">
        <v>1.0764800000000001</v>
      </c>
      <c r="CF1109" s="1051">
        <v>43622</v>
      </c>
      <c r="CI1109" s="198">
        <v>8.5634999999999994</v>
      </c>
      <c r="CL1109" s="1051">
        <v>43644</v>
      </c>
      <c r="CM1109" s="198">
        <v>16.4316</v>
      </c>
      <c r="CN1109" s="198">
        <v>2.2397999999999998</v>
      </c>
      <c r="CO1109" s="198">
        <v>11.7583</v>
      </c>
    </row>
    <row r="1110" spans="1:93" s="198" customFormat="1">
      <c r="A1110" s="1051">
        <v>43622</v>
      </c>
      <c r="B1110" s="1052">
        <f t="shared" si="172"/>
        <v>7.5477999999999996</v>
      </c>
      <c r="C1110" s="1052">
        <f t="shared" si="174"/>
        <v>6.4485000000000001</v>
      </c>
      <c r="D1110" s="1052">
        <f t="shared" si="178"/>
        <v>9.4398999999999997</v>
      </c>
      <c r="E1110" s="1052">
        <f t="shared" si="179"/>
        <v>7.0064000000000002</v>
      </c>
      <c r="F1110" s="1052">
        <f t="shared" si="180"/>
        <v>11.3522</v>
      </c>
      <c r="G1110" s="1052">
        <f t="shared" si="181"/>
        <v>6.6458000000000004</v>
      </c>
      <c r="H1110" s="1047">
        <f t="shared" si="175"/>
        <v>7.0064000000000002</v>
      </c>
      <c r="I1110" s="1048">
        <f t="shared" si="173"/>
        <v>7.7272208266727427E-2</v>
      </c>
      <c r="J1110" s="1048">
        <f t="shared" si="176"/>
        <v>0.12093838824177333</v>
      </c>
      <c r="K1110" s="1048">
        <f t="shared" si="177"/>
        <v>0.1</v>
      </c>
      <c r="L1110" s="1048"/>
      <c r="N1110" s="1051">
        <v>43622</v>
      </c>
      <c r="O1110" s="1053">
        <v>7.5477999999999996</v>
      </c>
      <c r="P1110" s="1053">
        <v>1.125</v>
      </c>
      <c r="Q1110" s="1053">
        <v>10.789400000000001</v>
      </c>
      <c r="R1110" s="1054">
        <f>'B. PE'!$U$23</f>
        <v>15.978235616082999</v>
      </c>
      <c r="S1110" s="1054"/>
      <c r="T1110" s="1054"/>
      <c r="V1110" s="1051">
        <v>43622</v>
      </c>
      <c r="W1110" s="198">
        <v>6.4485000000000001</v>
      </c>
      <c r="X1110" s="198">
        <v>0.4481</v>
      </c>
      <c r="Y1110" s="198">
        <v>5.7535999999999996</v>
      </c>
      <c r="Z1110" s="198">
        <v>0.28341</v>
      </c>
      <c r="AB1110" s="1051">
        <v>43577</v>
      </c>
      <c r="AC1110" s="198">
        <v>6.7735000000000003</v>
      </c>
      <c r="AD1110" s="1053">
        <v>0.91520000000000001</v>
      </c>
      <c r="AE1110" s="198">
        <v>6.1273999999999997</v>
      </c>
      <c r="AF1110" s="198">
        <v>2.2009999999999998E-2</v>
      </c>
      <c r="AH1110" s="1051">
        <v>43577</v>
      </c>
      <c r="AI1110" s="198">
        <v>8.0517000000000003</v>
      </c>
      <c r="AJ1110" s="198">
        <v>1.3185</v>
      </c>
      <c r="AK1110" s="198">
        <v>4.7153</v>
      </c>
      <c r="AL1110" s="198">
        <v>1.555E-2</v>
      </c>
      <c r="AN1110" s="1051">
        <v>43581</v>
      </c>
      <c r="AO1110" s="198">
        <v>7.3712999999999997</v>
      </c>
      <c r="AP1110" s="198">
        <v>0.62190000000000001</v>
      </c>
      <c r="AQ1110" s="198">
        <v>3.9613</v>
      </c>
      <c r="AR1110" s="198">
        <v>0.12227</v>
      </c>
      <c r="AT1110" s="1051">
        <v>43507</v>
      </c>
      <c r="AU1110" s="198">
        <v>8.2597000000000005</v>
      </c>
      <c r="AV1110" s="198">
        <v>0.56059999999999999</v>
      </c>
      <c r="AW1110" s="198">
        <v>5.9207000000000001</v>
      </c>
      <c r="BA1110" s="1051">
        <v>43564</v>
      </c>
      <c r="BB1110" s="198">
        <v>8.0488</v>
      </c>
      <c r="BC1110" s="198">
        <v>1.6816</v>
      </c>
      <c r="BD1110" s="198">
        <v>8.2180999999999997</v>
      </c>
      <c r="BE1110" s="198">
        <v>0.35865999999999998</v>
      </c>
      <c r="BG1110" s="1051">
        <v>43564</v>
      </c>
      <c r="BH1110" s="198">
        <v>13.953799999999999</v>
      </c>
      <c r="BI1110" s="198">
        <v>2.7755999999999998</v>
      </c>
      <c r="BJ1110" s="198">
        <v>18.3919</v>
      </c>
      <c r="BT1110" s="1051">
        <v>43622</v>
      </c>
      <c r="BU1110" s="198">
        <v>12.083299999999999</v>
      </c>
      <c r="BV1110" s="198">
        <v>3.8275000000000001</v>
      </c>
      <c r="BW1110" s="198">
        <v>7.6627000000000001</v>
      </c>
      <c r="BX1110" s="198">
        <v>1.2249000000000001</v>
      </c>
      <c r="BZ1110" s="1051">
        <v>43622</v>
      </c>
      <c r="CA1110" s="198">
        <v>9.7631999999999994</v>
      </c>
      <c r="CB1110" s="198">
        <v>2.8376999999999999</v>
      </c>
      <c r="CC1110" s="198">
        <v>10.804</v>
      </c>
      <c r="CD1110" s="198">
        <v>1.06833</v>
      </c>
      <c r="CF1110" s="1051">
        <v>43621</v>
      </c>
      <c r="CG1110" s="198">
        <v>6.2378999999999998</v>
      </c>
      <c r="CH1110" s="198">
        <v>1.1135999999999999</v>
      </c>
      <c r="CI1110" s="198">
        <v>8.5634999999999994</v>
      </c>
      <c r="CL1110" s="1051">
        <v>43643</v>
      </c>
      <c r="CM1110" s="198">
        <v>14.574999999999999</v>
      </c>
      <c r="CN1110" s="198">
        <v>2.1732999999999998</v>
      </c>
      <c r="CO1110" s="198">
        <v>10.821400000000001</v>
      </c>
    </row>
    <row r="1111" spans="1:93" s="198" customFormat="1">
      <c r="A1111" s="1051">
        <v>43621</v>
      </c>
      <c r="B1111" s="1052">
        <f t="shared" si="172"/>
        <v>7.5477999999999996</v>
      </c>
      <c r="C1111" s="1052">
        <f t="shared" si="174"/>
        <v>6.4568000000000003</v>
      </c>
      <c r="D1111" s="1052">
        <f t="shared" si="178"/>
        <v>9.4398999999999997</v>
      </c>
      <c r="E1111" s="1052">
        <f t="shared" si="179"/>
        <v>7.0064000000000002</v>
      </c>
      <c r="F1111" s="1052">
        <f t="shared" si="180"/>
        <v>11.234</v>
      </c>
      <c r="G1111" s="1052">
        <f t="shared" si="181"/>
        <v>6.6089000000000002</v>
      </c>
      <c r="H1111" s="1047">
        <f t="shared" si="175"/>
        <v>7.0064000000000002</v>
      </c>
      <c r="I1111" s="1048">
        <f t="shared" si="173"/>
        <v>7.7272208266727427E-2</v>
      </c>
      <c r="J1111" s="1048">
        <f t="shared" si="176"/>
        <v>0.12093838824177333</v>
      </c>
      <c r="K1111" s="1048">
        <f t="shared" si="177"/>
        <v>0.1</v>
      </c>
      <c r="L1111" s="1048"/>
      <c r="N1111" s="1051">
        <v>43621</v>
      </c>
      <c r="O1111" s="1053">
        <v>7.5477999999999996</v>
      </c>
      <c r="P1111" s="1053">
        <v>1.125</v>
      </c>
      <c r="Q1111" s="1053">
        <v>10.789400000000001</v>
      </c>
      <c r="R1111" s="1054">
        <f>'B. PE'!$U$23</f>
        <v>15.978235616082999</v>
      </c>
      <c r="S1111" s="1054"/>
      <c r="T1111" s="1054"/>
      <c r="V1111" s="1051">
        <v>43621</v>
      </c>
      <c r="W1111" s="198">
        <v>6.4568000000000003</v>
      </c>
      <c r="X1111" s="198">
        <v>0.4486</v>
      </c>
      <c r="Y1111" s="198">
        <v>5.7567000000000004</v>
      </c>
      <c r="Z1111" s="198">
        <v>0.28422999999999998</v>
      </c>
      <c r="AB1111" s="1051">
        <v>43573</v>
      </c>
      <c r="AC1111" s="198">
        <v>7.0000999999999998</v>
      </c>
      <c r="AD1111" s="1053">
        <v>0.94579999999999997</v>
      </c>
      <c r="AE1111" s="198">
        <v>6.2396000000000003</v>
      </c>
      <c r="AF1111" s="198">
        <v>2.18E-2</v>
      </c>
      <c r="AH1111" s="1051">
        <v>43573</v>
      </c>
      <c r="AI1111" s="198">
        <v>8.4482999999999997</v>
      </c>
      <c r="AJ1111" s="198">
        <v>1.3835</v>
      </c>
      <c r="AK1111" s="198">
        <v>4.9127999999999998</v>
      </c>
      <c r="AL1111" s="198">
        <v>1.5480000000000001E-2</v>
      </c>
      <c r="AN1111" s="1051">
        <v>43580</v>
      </c>
      <c r="AO1111" s="198">
        <v>7.3712999999999997</v>
      </c>
      <c r="AP1111" s="198">
        <v>0.62190000000000001</v>
      </c>
      <c r="AQ1111" s="198">
        <v>3.9613</v>
      </c>
      <c r="AR1111" s="198">
        <v>0.12356</v>
      </c>
      <c r="AT1111" s="1051">
        <v>43504</v>
      </c>
      <c r="AU1111" s="198">
        <v>8.0945</v>
      </c>
      <c r="AV1111" s="198">
        <v>0.5494</v>
      </c>
      <c r="AW1111" s="198">
        <v>5.8341000000000003</v>
      </c>
      <c r="BA1111" s="1051">
        <v>43560</v>
      </c>
      <c r="BB1111" s="198">
        <v>8.2704000000000004</v>
      </c>
      <c r="BC1111" s="198">
        <v>1.7278</v>
      </c>
      <c r="BD1111" s="198">
        <v>8.3824000000000005</v>
      </c>
      <c r="BE1111" s="198">
        <v>0.37184</v>
      </c>
      <c r="BG1111" s="1051">
        <v>43560</v>
      </c>
      <c r="BH1111" s="198">
        <v>13.8355</v>
      </c>
      <c r="BI1111" s="198">
        <v>2.7521</v>
      </c>
      <c r="BJ1111" s="198">
        <v>18.287099999999999</v>
      </c>
      <c r="BT1111" s="1051">
        <v>43621</v>
      </c>
      <c r="BU1111" s="198">
        <v>12.097200000000001</v>
      </c>
      <c r="BV1111" s="198">
        <v>3.8319000000000001</v>
      </c>
      <c r="BW1111" s="198">
        <v>7.6708999999999996</v>
      </c>
      <c r="BX1111" s="198">
        <v>1.2110000000000001</v>
      </c>
      <c r="BZ1111" s="1051">
        <v>43621</v>
      </c>
      <c r="CA1111" s="198">
        <v>9.7631999999999994</v>
      </c>
      <c r="CB1111" s="198">
        <v>2.8376999999999999</v>
      </c>
      <c r="CC1111" s="198">
        <v>10.804</v>
      </c>
      <c r="CD1111" s="198">
        <v>1.07731</v>
      </c>
      <c r="CF1111" s="1051">
        <v>43620</v>
      </c>
      <c r="CG1111" s="198">
        <v>6.4161000000000001</v>
      </c>
      <c r="CH1111" s="198">
        <v>1.1454</v>
      </c>
      <c r="CI1111" s="198">
        <v>8.6611999999999991</v>
      </c>
      <c r="CL1111" s="1051">
        <v>43642</v>
      </c>
      <c r="CM1111" s="198">
        <v>14.3582</v>
      </c>
      <c r="CN1111" s="198">
        <v>2.141</v>
      </c>
      <c r="CO1111" s="198">
        <v>10.6402</v>
      </c>
    </row>
    <row r="1112" spans="1:93" s="198" customFormat="1">
      <c r="A1112" s="1051">
        <v>43620</v>
      </c>
      <c r="B1112" s="1052">
        <f t="shared" si="172"/>
        <v>7.5652999999999997</v>
      </c>
      <c r="C1112" s="1052">
        <f t="shared" si="174"/>
        <v>6.5229999999999997</v>
      </c>
      <c r="D1112" s="1052">
        <f t="shared" si="178"/>
        <v>9.4398999999999997</v>
      </c>
      <c r="E1112" s="1052">
        <f t="shared" si="179"/>
        <v>6.9699</v>
      </c>
      <c r="F1112" s="1052">
        <f t="shared" si="180"/>
        <v>11.293100000000001</v>
      </c>
      <c r="G1112" s="1052">
        <f t="shared" si="181"/>
        <v>6.6089000000000002</v>
      </c>
      <c r="H1112" s="1047">
        <f t="shared" si="175"/>
        <v>6.9699</v>
      </c>
      <c r="I1112" s="1048">
        <f t="shared" si="173"/>
        <v>8.5424468069843051E-2</v>
      </c>
      <c r="J1112" s="1048">
        <f t="shared" si="176"/>
        <v>0.12093838824177333</v>
      </c>
      <c r="K1112" s="1048">
        <f t="shared" si="177"/>
        <v>0.1</v>
      </c>
      <c r="L1112" s="1048"/>
      <c r="N1112" s="1051">
        <v>43620</v>
      </c>
      <c r="O1112" s="1053">
        <v>7.5652999999999997</v>
      </c>
      <c r="P1112" s="1053">
        <v>1.1275999999999999</v>
      </c>
      <c r="Q1112" s="1053">
        <v>10.8033</v>
      </c>
      <c r="R1112" s="1054">
        <f>'B. PE'!$U$23</f>
        <v>15.978235616082999</v>
      </c>
      <c r="S1112" s="1054"/>
      <c r="T1112" s="1054"/>
      <c r="V1112" s="1051">
        <v>43620</v>
      </c>
      <c r="W1112" s="198">
        <v>6.5229999999999997</v>
      </c>
      <c r="X1112" s="198">
        <v>0.45319999999999999</v>
      </c>
      <c r="Y1112" s="198">
        <v>5.7813999999999997</v>
      </c>
      <c r="Z1112" s="198">
        <v>0.28976000000000002</v>
      </c>
      <c r="AB1112" s="1051">
        <v>43571</v>
      </c>
      <c r="AC1112" s="198">
        <v>7.0227000000000004</v>
      </c>
      <c r="AD1112" s="1053">
        <v>0.94879999999999998</v>
      </c>
      <c r="AE1112" s="198">
        <v>6.2507999999999999</v>
      </c>
      <c r="AF1112" s="198">
        <v>2.3089999999999999E-2</v>
      </c>
      <c r="AH1112" s="1051">
        <v>43571</v>
      </c>
      <c r="AI1112" s="198">
        <v>8.6862999999999992</v>
      </c>
      <c r="AJ1112" s="198">
        <v>1.4224000000000001</v>
      </c>
      <c r="AK1112" s="198">
        <v>5.0312999999999999</v>
      </c>
      <c r="AL1112" s="198">
        <v>1.5869999999999999E-2</v>
      </c>
      <c r="AN1112" s="1051">
        <v>43579</v>
      </c>
      <c r="AO1112" s="198">
        <v>7.3712999999999997</v>
      </c>
      <c r="AP1112" s="198">
        <v>0.62190000000000001</v>
      </c>
      <c r="AQ1112" s="198">
        <v>3.9613</v>
      </c>
      <c r="AR1112" s="198">
        <v>0.1234</v>
      </c>
      <c r="AT1112" s="1051">
        <v>43503</v>
      </c>
      <c r="AW1112" s="198">
        <v>5.8773999999999997</v>
      </c>
      <c r="AX1112" s="198">
        <v>0.12085</v>
      </c>
      <c r="BA1112" s="1051">
        <v>43559</v>
      </c>
      <c r="BB1112" s="198">
        <v>8.4179999999999993</v>
      </c>
      <c r="BC1112" s="198">
        <v>1.7586999999999999</v>
      </c>
      <c r="BD1112" s="198">
        <v>8.4920000000000009</v>
      </c>
      <c r="BE1112" s="198">
        <v>0.37123</v>
      </c>
      <c r="BG1112" s="1051">
        <v>43559</v>
      </c>
      <c r="BH1112" s="198">
        <v>13.953799999999999</v>
      </c>
      <c r="BI1112" s="198">
        <v>2.7755999999999998</v>
      </c>
      <c r="BJ1112" s="198">
        <v>18.3919</v>
      </c>
      <c r="BT1112" s="1051">
        <v>43620</v>
      </c>
      <c r="BU1112" s="198">
        <v>12.013400000000001</v>
      </c>
      <c r="BV1112" s="198">
        <v>3.8052999999999999</v>
      </c>
      <c r="BW1112" s="198">
        <v>7.6218000000000004</v>
      </c>
      <c r="BX1112" s="198">
        <v>1.2258</v>
      </c>
      <c r="BZ1112" s="1051">
        <v>43620</v>
      </c>
      <c r="CA1112" s="198">
        <v>9.6851000000000003</v>
      </c>
      <c r="CB1112" s="198">
        <v>2.8149999999999999</v>
      </c>
      <c r="CC1112" s="198">
        <v>10.745900000000001</v>
      </c>
      <c r="CD1112" s="198">
        <v>1.09155</v>
      </c>
      <c r="CF1112" s="1051">
        <v>43619</v>
      </c>
      <c r="CG1112" s="198">
        <v>6.4606000000000003</v>
      </c>
      <c r="CH1112" s="198">
        <v>1.1534</v>
      </c>
      <c r="CI1112" s="198">
        <v>8.6856000000000009</v>
      </c>
      <c r="CL1112" s="1051">
        <v>43641</v>
      </c>
      <c r="CM1112" s="198">
        <v>14.269</v>
      </c>
      <c r="CN1112" s="198">
        <v>2.1276999999999999</v>
      </c>
      <c r="CO1112" s="198">
        <v>10.5656</v>
      </c>
    </row>
    <row r="1113" spans="1:93" s="198" customFormat="1">
      <c r="A1113" s="1051">
        <v>43619</v>
      </c>
      <c r="B1113" s="1052">
        <f t="shared" si="172"/>
        <v>7.5652999999999997</v>
      </c>
      <c r="C1113" s="1052">
        <f t="shared" si="174"/>
        <v>6.5396000000000001</v>
      </c>
      <c r="D1113" s="1052">
        <f t="shared" si="178"/>
        <v>9.4398999999999997</v>
      </c>
      <c r="E1113" s="1052">
        <f t="shared" si="179"/>
        <v>7.0064000000000002</v>
      </c>
      <c r="F1113" s="1052">
        <f t="shared" si="180"/>
        <v>11.293100000000001</v>
      </c>
      <c r="G1113" s="1052">
        <f t="shared" si="181"/>
        <v>6.6089000000000002</v>
      </c>
      <c r="H1113" s="1047">
        <f t="shared" si="175"/>
        <v>7.0064000000000002</v>
      </c>
      <c r="I1113" s="1048">
        <f t="shared" si="173"/>
        <v>7.9769924640328727E-2</v>
      </c>
      <c r="J1113" s="1048">
        <f t="shared" si="176"/>
        <v>0.12093838824177333</v>
      </c>
      <c r="K1113" s="1048">
        <f t="shared" si="177"/>
        <v>0.1</v>
      </c>
      <c r="L1113" s="1048"/>
      <c r="N1113" s="1051">
        <v>43619</v>
      </c>
      <c r="O1113" s="1053">
        <v>7.5652999999999997</v>
      </c>
      <c r="P1113" s="1053">
        <v>1.1275999999999999</v>
      </c>
      <c r="Q1113" s="1053">
        <v>10.8033</v>
      </c>
      <c r="R1113" s="1054">
        <f>'B. PE'!$U$23</f>
        <v>15.978235616082999</v>
      </c>
      <c r="S1113" s="1054"/>
      <c r="T1113" s="1054"/>
      <c r="V1113" s="1051">
        <v>43619</v>
      </c>
      <c r="W1113" s="198">
        <v>6.5396000000000001</v>
      </c>
      <c r="X1113" s="198">
        <v>0.45440000000000003</v>
      </c>
      <c r="Y1113" s="198">
        <v>5.7874999999999996</v>
      </c>
      <c r="Z1113" s="198">
        <v>0.29437000000000002</v>
      </c>
      <c r="AB1113" s="1051">
        <v>43570</v>
      </c>
      <c r="AC1113" s="198">
        <v>6.9547999999999996</v>
      </c>
      <c r="AD1113" s="1053">
        <v>0.93969999999999998</v>
      </c>
      <c r="AE1113" s="198">
        <v>6.2171000000000003</v>
      </c>
      <c r="AF1113" s="198">
        <v>2.283E-2</v>
      </c>
      <c r="AH1113" s="1051">
        <v>43570</v>
      </c>
      <c r="AI1113" s="198">
        <v>8.6465999999999994</v>
      </c>
      <c r="AJ1113" s="198">
        <v>1.4158999999999999</v>
      </c>
      <c r="AK1113" s="198">
        <v>5.0114999999999998</v>
      </c>
      <c r="AL1113" s="198">
        <v>1.5219999999999999E-2</v>
      </c>
      <c r="AN1113" s="1051">
        <v>43578</v>
      </c>
      <c r="AO1113" s="198">
        <v>7.4443000000000001</v>
      </c>
      <c r="AP1113" s="198">
        <v>0.628</v>
      </c>
      <c r="AQ1113" s="198">
        <v>4.0206</v>
      </c>
      <c r="AR1113" s="198">
        <v>0.12189999999999999</v>
      </c>
      <c r="AT1113" s="1051">
        <v>43500</v>
      </c>
      <c r="AW1113" s="198">
        <v>5.8773999999999997</v>
      </c>
      <c r="AX1113" s="198">
        <v>0.11813</v>
      </c>
      <c r="BA1113" s="1051">
        <v>43558</v>
      </c>
      <c r="BB1113" s="198">
        <v>8.7134</v>
      </c>
      <c r="BC1113" s="198">
        <v>1.8204</v>
      </c>
      <c r="BD1113" s="198">
        <v>8.7110000000000003</v>
      </c>
      <c r="BE1113" s="198">
        <v>0.37204999999999999</v>
      </c>
      <c r="BG1113" s="1051">
        <v>43558</v>
      </c>
      <c r="BH1113" s="198">
        <v>13.953799999999999</v>
      </c>
      <c r="BI1113" s="198">
        <v>2.7755999999999998</v>
      </c>
      <c r="BJ1113" s="198">
        <v>18.3919</v>
      </c>
      <c r="BT1113" s="1051">
        <v>43619</v>
      </c>
      <c r="BU1113" s="198">
        <v>11.873699999999999</v>
      </c>
      <c r="BV1113" s="198">
        <v>3.7610999999999999</v>
      </c>
      <c r="BW1113" s="198">
        <v>7.5399000000000003</v>
      </c>
      <c r="BX1113" s="198">
        <v>1.2468999999999999</v>
      </c>
      <c r="BZ1113" s="1051">
        <v>43619</v>
      </c>
      <c r="CA1113" s="198">
        <v>9.7631999999999994</v>
      </c>
      <c r="CB1113" s="198">
        <v>2.8376999999999999</v>
      </c>
      <c r="CC1113" s="198">
        <v>10.804</v>
      </c>
      <c r="CD1113" s="198">
        <v>1.0870200000000001</v>
      </c>
      <c r="CF1113" s="1051">
        <v>43616</v>
      </c>
      <c r="CG1113" s="198">
        <v>6.5942999999999996</v>
      </c>
      <c r="CH1113" s="198">
        <v>1.1773</v>
      </c>
      <c r="CI1113" s="198">
        <v>8.7588000000000008</v>
      </c>
      <c r="CL1113" s="1051">
        <v>43640</v>
      </c>
      <c r="CM1113" s="198">
        <v>14.269</v>
      </c>
      <c r="CN1113" s="198">
        <v>2.1276999999999999</v>
      </c>
      <c r="CO1113" s="198">
        <v>10.5656</v>
      </c>
    </row>
    <row r="1114" spans="1:93" s="198" customFormat="1">
      <c r="A1114" s="1051">
        <v>43616</v>
      </c>
      <c r="B1114" s="1052">
        <f t="shared" si="172"/>
        <v>7.7225000000000001</v>
      </c>
      <c r="C1114" s="1052">
        <f t="shared" si="174"/>
        <v>6.6719999999999997</v>
      </c>
      <c r="D1114" s="1052">
        <f t="shared" si="178"/>
        <v>9.0432000000000006</v>
      </c>
      <c r="E1114" s="1052">
        <f t="shared" si="179"/>
        <v>7.0064000000000002</v>
      </c>
      <c r="F1114" s="1052">
        <f t="shared" si="180"/>
        <v>11.3522</v>
      </c>
      <c r="G1114" s="1052">
        <f t="shared" si="181"/>
        <v>6.6826999999999996</v>
      </c>
      <c r="H1114" s="1047">
        <f t="shared" si="175"/>
        <v>7.0064000000000002</v>
      </c>
      <c r="I1114" s="1048">
        <f t="shared" si="173"/>
        <v>0.10220655400776435</v>
      </c>
      <c r="J1114" s="1048">
        <f t="shared" si="176"/>
        <v>0.12093838824177333</v>
      </c>
      <c r="K1114" s="1048">
        <f t="shared" si="177"/>
        <v>0.1</v>
      </c>
      <c r="L1114" s="1048"/>
      <c r="N1114" s="1051">
        <v>43616</v>
      </c>
      <c r="O1114" s="1053">
        <v>7.7225000000000001</v>
      </c>
      <c r="P1114" s="1053">
        <v>1.1511</v>
      </c>
      <c r="Q1114" s="1053">
        <v>10.928599999999999</v>
      </c>
      <c r="R1114" s="1054">
        <f>'B. PE'!$U$23</f>
        <v>15.978235616082999</v>
      </c>
      <c r="S1114" s="1054"/>
      <c r="T1114" s="1054"/>
      <c r="V1114" s="1051">
        <v>43616</v>
      </c>
      <c r="W1114" s="198">
        <v>6.6719999999999997</v>
      </c>
      <c r="X1114" s="198">
        <v>0.46360000000000001</v>
      </c>
      <c r="Y1114" s="198">
        <v>5.8368000000000002</v>
      </c>
      <c r="Z1114" s="198">
        <v>0.33079999999999998</v>
      </c>
      <c r="AB1114" s="1051">
        <v>43567</v>
      </c>
      <c r="AC1114" s="198">
        <v>7.3852000000000002</v>
      </c>
      <c r="AD1114" s="1053">
        <v>0.99780000000000002</v>
      </c>
      <c r="AE1114" s="198">
        <v>6.4301000000000004</v>
      </c>
      <c r="AF1114" s="198">
        <v>2.282E-2</v>
      </c>
      <c r="AH1114" s="1051">
        <v>43567</v>
      </c>
      <c r="AI1114" s="198">
        <v>8.8846000000000007</v>
      </c>
      <c r="AJ1114" s="198">
        <v>1.4549000000000001</v>
      </c>
      <c r="AK1114" s="198">
        <v>5.13</v>
      </c>
      <c r="AL1114" s="198">
        <v>1.533E-2</v>
      </c>
      <c r="AN1114" s="1051">
        <v>43577</v>
      </c>
      <c r="AO1114" s="198">
        <v>7.4443000000000001</v>
      </c>
      <c r="AP1114" s="198">
        <v>0.628</v>
      </c>
      <c r="AQ1114" s="198">
        <v>4.0206</v>
      </c>
      <c r="AR1114" s="198">
        <v>0.12148</v>
      </c>
      <c r="AT1114" s="1051">
        <v>43496</v>
      </c>
      <c r="AU1114" s="198">
        <v>8.1770999999999994</v>
      </c>
      <c r="AV1114" s="198">
        <v>0.55500000000000005</v>
      </c>
      <c r="AW1114" s="198">
        <v>5.8773999999999997</v>
      </c>
      <c r="AX1114" s="198">
        <v>0.11816</v>
      </c>
      <c r="BA1114" s="1051">
        <v>43557</v>
      </c>
      <c r="BB1114" s="198">
        <v>8.7134</v>
      </c>
      <c r="BC1114" s="198">
        <v>1.8204</v>
      </c>
      <c r="BD1114" s="198">
        <v>8.7110000000000003</v>
      </c>
      <c r="BE1114" s="198">
        <v>0.36832999999999999</v>
      </c>
      <c r="BG1114" s="1051">
        <v>43557</v>
      </c>
      <c r="BH1114" s="198">
        <v>13.953799999999999</v>
      </c>
      <c r="BI1114" s="198">
        <v>2.7755999999999998</v>
      </c>
      <c r="BJ1114" s="198">
        <v>18.3919</v>
      </c>
      <c r="BT1114" s="1051">
        <v>43616</v>
      </c>
      <c r="BU1114" s="198">
        <v>12.0274</v>
      </c>
      <c r="BV1114" s="198">
        <v>3.8098000000000001</v>
      </c>
      <c r="BW1114" s="198">
        <v>7.63</v>
      </c>
      <c r="BX1114" s="198">
        <v>1.2459</v>
      </c>
      <c r="BZ1114" s="1051">
        <v>43616</v>
      </c>
      <c r="CA1114" s="198">
        <v>9.8999000000000006</v>
      </c>
      <c r="CB1114" s="198">
        <v>2.8774000000000002</v>
      </c>
      <c r="CC1114" s="198">
        <v>10.905799999999999</v>
      </c>
      <c r="CD1114" s="198">
        <v>1.07667</v>
      </c>
      <c r="CF1114" s="1051">
        <v>43615</v>
      </c>
      <c r="CI1114" s="198">
        <v>8.6611999999999991</v>
      </c>
      <c r="CL1114" s="1051">
        <v>43637</v>
      </c>
      <c r="CM1114" s="198">
        <v>14.3072</v>
      </c>
      <c r="CN1114" s="198">
        <v>2.1334</v>
      </c>
      <c r="CO1114" s="198">
        <v>10.5975</v>
      </c>
    </row>
    <row r="1115" spans="1:93" s="198" customFormat="1">
      <c r="A1115" s="1051">
        <v>43615</v>
      </c>
      <c r="B1115" s="1052">
        <f t="shared" si="172"/>
        <v>7.9846000000000004</v>
      </c>
      <c r="C1115" s="1052">
        <f t="shared" si="174"/>
        <v>6.7796000000000003</v>
      </c>
      <c r="D1115" s="1052">
        <f t="shared" si="178"/>
        <v>9.0432000000000006</v>
      </c>
      <c r="E1115" s="1052">
        <f t="shared" si="179"/>
        <v>7.0793999999999997</v>
      </c>
      <c r="F1115" s="1052">
        <f t="shared" si="180"/>
        <v>11.234</v>
      </c>
      <c r="G1115" s="1052">
        <f t="shared" si="181"/>
        <v>6.6458000000000004</v>
      </c>
      <c r="H1115" s="1047">
        <f t="shared" si="175"/>
        <v>7.0793999999999997</v>
      </c>
      <c r="I1115" s="1048">
        <f t="shared" si="173"/>
        <v>0.12786394327202877</v>
      </c>
      <c r="J1115" s="1048">
        <f t="shared" si="176"/>
        <v>0.12093838824177333</v>
      </c>
      <c r="K1115" s="1048">
        <f t="shared" si="177"/>
        <v>0.1</v>
      </c>
      <c r="L1115" s="1048"/>
      <c r="N1115" s="1051">
        <v>43615</v>
      </c>
      <c r="O1115" s="1053">
        <v>7.9846000000000004</v>
      </c>
      <c r="P1115" s="1053">
        <v>1.1900999999999999</v>
      </c>
      <c r="Q1115" s="1053">
        <v>11.1374</v>
      </c>
      <c r="R1115" s="1054">
        <f>'B. PE'!$U$23</f>
        <v>15.978235616082999</v>
      </c>
      <c r="S1115" s="1054"/>
      <c r="T1115" s="1054"/>
      <c r="V1115" s="1051">
        <v>43615</v>
      </c>
      <c r="W1115" s="198">
        <v>6.7796000000000003</v>
      </c>
      <c r="X1115" s="198">
        <v>0.47110000000000002</v>
      </c>
      <c r="Y1115" s="198">
        <v>5.8768000000000002</v>
      </c>
      <c r="Z1115" s="198">
        <v>0.32489000000000001</v>
      </c>
      <c r="AB1115" s="1051">
        <v>43566</v>
      </c>
      <c r="AC1115" s="198">
        <v>7.3399000000000001</v>
      </c>
      <c r="AD1115" s="1053">
        <v>0.99170000000000003</v>
      </c>
      <c r="AE1115" s="198">
        <v>6.4077000000000002</v>
      </c>
      <c r="AF1115" s="198">
        <v>2.4160000000000001E-2</v>
      </c>
      <c r="AH1115" s="1051">
        <v>43566</v>
      </c>
      <c r="AI1115" s="198">
        <v>8.5672999999999995</v>
      </c>
      <c r="AJ1115" s="198">
        <v>1.4029</v>
      </c>
      <c r="AK1115" s="198">
        <v>4.9720000000000004</v>
      </c>
      <c r="AL1115" s="198">
        <v>1.5469999999999999E-2</v>
      </c>
      <c r="AN1115" s="1051">
        <v>43574</v>
      </c>
      <c r="AO1115" s="198">
        <v>7.3712999999999997</v>
      </c>
      <c r="AP1115" s="198">
        <v>0.62190000000000001</v>
      </c>
      <c r="AQ1115" s="198">
        <v>3.9613</v>
      </c>
      <c r="AR1115" s="198">
        <v>0.12089</v>
      </c>
      <c r="AT1115" s="1051">
        <v>43495</v>
      </c>
      <c r="AU1115" s="198">
        <v>8.0119000000000007</v>
      </c>
      <c r="AV1115" s="198">
        <v>0.54379999999999995</v>
      </c>
      <c r="AW1115" s="198">
        <v>5.7907999999999999</v>
      </c>
      <c r="AX1115" s="198">
        <v>0.12053</v>
      </c>
      <c r="BA1115" s="1051">
        <v>43556</v>
      </c>
      <c r="BB1115" s="198">
        <v>8.7134</v>
      </c>
      <c r="BC1115" s="198">
        <v>1.8204</v>
      </c>
      <c r="BD1115" s="198">
        <v>8.7110000000000003</v>
      </c>
      <c r="BE1115" s="198">
        <v>0.36707000000000001</v>
      </c>
      <c r="BG1115" s="1051">
        <v>43556</v>
      </c>
      <c r="BH1115" s="198">
        <v>13.953799999999999</v>
      </c>
      <c r="BI1115" s="198">
        <v>2.7755999999999998</v>
      </c>
      <c r="BJ1115" s="198">
        <v>18.3919</v>
      </c>
      <c r="BT1115" s="1051">
        <v>43615</v>
      </c>
      <c r="BU1115" s="198">
        <v>12.2369</v>
      </c>
      <c r="BV1115" s="198">
        <v>3.8761000000000001</v>
      </c>
      <c r="BW1115" s="198">
        <v>7.7527999999999997</v>
      </c>
      <c r="BX1115" s="198">
        <v>1.2565999999999999</v>
      </c>
      <c r="BZ1115" s="1051">
        <v>43615</v>
      </c>
      <c r="CA1115" s="198">
        <v>9.8609000000000009</v>
      </c>
      <c r="CB1115" s="198">
        <v>2.8660999999999999</v>
      </c>
      <c r="CC1115" s="198">
        <v>10.8767</v>
      </c>
      <c r="CD1115" s="198">
        <v>1.08378</v>
      </c>
      <c r="CF1115" s="1051">
        <v>43614</v>
      </c>
      <c r="CG1115" s="198">
        <v>6.4161000000000001</v>
      </c>
      <c r="CH1115" s="198">
        <v>1.1454</v>
      </c>
      <c r="CI1115" s="198">
        <v>8.6611999999999991</v>
      </c>
      <c r="CL1115" s="1051">
        <v>43636</v>
      </c>
      <c r="CM1115" s="198">
        <v>14.5495</v>
      </c>
      <c r="CN1115" s="198">
        <v>2.1695000000000002</v>
      </c>
      <c r="CO1115" s="198">
        <v>10.8001</v>
      </c>
    </row>
    <row r="1116" spans="1:93" s="198" customFormat="1">
      <c r="A1116" s="1051">
        <v>43614</v>
      </c>
      <c r="B1116" s="1052">
        <f t="shared" si="172"/>
        <v>7.9671000000000003</v>
      </c>
      <c r="C1116" s="1052">
        <f t="shared" si="174"/>
        <v>7.6157000000000004</v>
      </c>
      <c r="D1116" s="1052">
        <f t="shared" si="178"/>
        <v>9.0036000000000005</v>
      </c>
      <c r="E1116" s="1052">
        <f t="shared" si="179"/>
        <v>7.1524000000000001</v>
      </c>
      <c r="F1116" s="1052">
        <f t="shared" si="180"/>
        <v>10.8201</v>
      </c>
      <c r="G1116" s="1052">
        <f t="shared" si="181"/>
        <v>6.7196999999999996</v>
      </c>
      <c r="H1116" s="1047">
        <f t="shared" si="175"/>
        <v>7.6157000000000004</v>
      </c>
      <c r="I1116" s="1048">
        <f t="shared" si="173"/>
        <v>4.6141523431857845E-2</v>
      </c>
      <c r="J1116" s="1048">
        <f t="shared" si="176"/>
        <v>0.12093838824177333</v>
      </c>
      <c r="K1116" s="1048">
        <f t="shared" si="177"/>
        <v>0.1</v>
      </c>
      <c r="L1116" s="1048"/>
      <c r="N1116" s="1051">
        <v>43614</v>
      </c>
      <c r="O1116" s="1053">
        <v>7.9671000000000003</v>
      </c>
      <c r="P1116" s="1053">
        <v>1.1875</v>
      </c>
      <c r="Q1116" s="1053">
        <v>11.1235</v>
      </c>
      <c r="R1116" s="1054">
        <f>'B. PE'!$U$23</f>
        <v>15.978235616082999</v>
      </c>
      <c r="S1116" s="1054"/>
      <c r="T1116" s="1054"/>
      <c r="V1116" s="1051">
        <v>43614</v>
      </c>
      <c r="W1116" s="198">
        <v>7.6157000000000004</v>
      </c>
      <c r="X1116" s="198">
        <v>0.5292</v>
      </c>
      <c r="Y1116" s="198">
        <v>6.1878000000000002</v>
      </c>
      <c r="Z1116" s="198">
        <v>0.32644000000000001</v>
      </c>
      <c r="AB1116" s="1051">
        <v>43565</v>
      </c>
      <c r="AC1116" s="198">
        <v>7.3171999999999997</v>
      </c>
      <c r="AD1116" s="1053">
        <v>0.98860000000000003</v>
      </c>
      <c r="AE1116" s="198">
        <v>6.3964999999999996</v>
      </c>
      <c r="AF1116" s="198">
        <v>2.3380000000000001E-2</v>
      </c>
      <c r="AH1116" s="1051">
        <v>43565</v>
      </c>
      <c r="AI1116" s="198">
        <v>8.6068999999999996</v>
      </c>
      <c r="AJ1116" s="198">
        <v>1.4094</v>
      </c>
      <c r="AK1116" s="198">
        <v>4.9917999999999996</v>
      </c>
      <c r="AL1116" s="198">
        <v>1.5890000000000001E-2</v>
      </c>
      <c r="AN1116" s="1051">
        <v>43573</v>
      </c>
      <c r="AO1116" s="198">
        <v>7.3712999999999997</v>
      </c>
      <c r="AP1116" s="198">
        <v>0.62190000000000001</v>
      </c>
      <c r="AQ1116" s="198">
        <v>3.9613</v>
      </c>
      <c r="AR1116" s="198">
        <v>0.12099</v>
      </c>
      <c r="AT1116" s="1051">
        <v>43494</v>
      </c>
      <c r="AU1116" s="198">
        <v>8.0119000000000007</v>
      </c>
      <c r="AV1116" s="198">
        <v>0.54379999999999995</v>
      </c>
      <c r="AW1116" s="198">
        <v>5.7914000000000003</v>
      </c>
      <c r="AX1116" s="198">
        <v>0.11636000000000001</v>
      </c>
      <c r="BA1116" s="1051">
        <v>43553</v>
      </c>
      <c r="BB1116" s="198">
        <v>8.6395999999999997</v>
      </c>
      <c r="BC1116" s="198">
        <v>1.8049999999999999</v>
      </c>
      <c r="BD1116" s="198">
        <v>8.6562999999999999</v>
      </c>
      <c r="BE1116" s="198">
        <v>0.36059000000000002</v>
      </c>
      <c r="BG1116" s="1051">
        <v>43553</v>
      </c>
      <c r="BH1116" s="198">
        <v>14.071999999999999</v>
      </c>
      <c r="BI1116" s="198">
        <v>2.7991000000000001</v>
      </c>
      <c r="BJ1116" s="198">
        <v>18.496700000000001</v>
      </c>
      <c r="BT1116" s="1051">
        <v>43614</v>
      </c>
      <c r="BU1116" s="198">
        <v>12.223000000000001</v>
      </c>
      <c r="BV1116" s="198">
        <v>3.8717000000000001</v>
      </c>
      <c r="BW1116" s="198">
        <v>7.7446000000000002</v>
      </c>
      <c r="BX1116" s="198">
        <v>1.2499</v>
      </c>
      <c r="BZ1116" s="1051">
        <v>43614</v>
      </c>
      <c r="CA1116" s="198">
        <v>9.7631999999999994</v>
      </c>
      <c r="CB1116" s="198">
        <v>2.8376999999999999</v>
      </c>
      <c r="CC1116" s="198">
        <v>10.804</v>
      </c>
      <c r="CD1116" s="198">
        <v>1.1164799999999999</v>
      </c>
      <c r="CF1116" s="1051">
        <v>43613</v>
      </c>
      <c r="CG1116" s="198">
        <v>6.4161000000000001</v>
      </c>
      <c r="CH1116" s="198">
        <v>1.1454</v>
      </c>
      <c r="CI1116" s="198">
        <v>8.6611999999999991</v>
      </c>
      <c r="CL1116" s="1051">
        <v>43635</v>
      </c>
      <c r="CM1116" s="198">
        <v>14.4092</v>
      </c>
      <c r="CN1116" s="198">
        <v>2.1486000000000001</v>
      </c>
      <c r="CO1116" s="198">
        <v>10.6828</v>
      </c>
    </row>
    <row r="1117" spans="1:93" s="198" customFormat="1">
      <c r="A1117" s="1051">
        <v>43613</v>
      </c>
      <c r="B1117" s="1052">
        <f t="shared" si="172"/>
        <v>7.9671000000000003</v>
      </c>
      <c r="C1117" s="1052">
        <f t="shared" si="174"/>
        <v>7.4749999999999996</v>
      </c>
      <c r="D1117" s="1052">
        <f t="shared" si="178"/>
        <v>9.0829000000000004</v>
      </c>
      <c r="E1117" s="1052">
        <f t="shared" si="179"/>
        <v>7.1889000000000003</v>
      </c>
      <c r="F1117" s="1052">
        <f t="shared" si="180"/>
        <v>10.7018</v>
      </c>
      <c r="G1117" s="1052">
        <f t="shared" si="181"/>
        <v>6.7196999999999996</v>
      </c>
      <c r="H1117" s="1047">
        <f t="shared" si="175"/>
        <v>7.4749999999999996</v>
      </c>
      <c r="I1117" s="1048">
        <f t="shared" si="173"/>
        <v>6.5832775919732578E-2</v>
      </c>
      <c r="J1117" s="1048">
        <f t="shared" si="176"/>
        <v>0.12093838824177333</v>
      </c>
      <c r="K1117" s="1048">
        <f t="shared" si="177"/>
        <v>0.1</v>
      </c>
      <c r="L1117" s="1048"/>
      <c r="N1117" s="1051">
        <v>43613</v>
      </c>
      <c r="O1117" s="1053">
        <v>7.9671000000000003</v>
      </c>
      <c r="P1117" s="1053">
        <v>1.1875</v>
      </c>
      <c r="Q1117" s="1053">
        <v>11.1235</v>
      </c>
      <c r="R1117" s="1054">
        <f>'B. PE'!$U$23</f>
        <v>15.978235616082999</v>
      </c>
      <c r="S1117" s="1054"/>
      <c r="T1117" s="1054"/>
      <c r="V1117" s="1051">
        <v>43613</v>
      </c>
      <c r="W1117" s="198">
        <v>7.4749999999999996</v>
      </c>
      <c r="X1117" s="198">
        <v>0.51939999999999997</v>
      </c>
      <c r="Y1117" s="198">
        <v>6.1355000000000004</v>
      </c>
      <c r="Z1117" s="198">
        <v>0.33135999999999999</v>
      </c>
      <c r="AB1117" s="1051">
        <v>43564</v>
      </c>
      <c r="AC1117" s="198">
        <v>7.7476000000000003</v>
      </c>
      <c r="AD1117" s="1053">
        <v>1.0468</v>
      </c>
      <c r="AE1117" s="198">
        <v>6.6094999999999997</v>
      </c>
      <c r="AF1117" s="198">
        <v>2.4549999999999999E-2</v>
      </c>
      <c r="AH1117" s="1051">
        <v>43564</v>
      </c>
      <c r="AI1117" s="198">
        <v>8.6862999999999992</v>
      </c>
      <c r="AJ1117" s="198">
        <v>1.4224000000000001</v>
      </c>
      <c r="AK1117" s="198">
        <v>5.0312999999999999</v>
      </c>
      <c r="AL1117" s="198">
        <v>1.542E-2</v>
      </c>
      <c r="AN1117" s="1051">
        <v>43572</v>
      </c>
      <c r="AO1117" s="198">
        <v>7.2984</v>
      </c>
      <c r="AP1117" s="198">
        <v>0.61570000000000003</v>
      </c>
      <c r="AQ1117" s="198">
        <v>3.9020999999999999</v>
      </c>
      <c r="AR1117" s="198">
        <v>0.12089</v>
      </c>
      <c r="AT1117" s="1051">
        <v>43493</v>
      </c>
      <c r="AU1117" s="198">
        <v>8.1770999999999994</v>
      </c>
      <c r="AV1117" s="198">
        <v>0.55500000000000005</v>
      </c>
      <c r="AW1117" s="198">
        <v>5.8780000000000001</v>
      </c>
      <c r="AX1117" s="198">
        <v>0.11602999999999999</v>
      </c>
      <c r="BA1117" s="1051">
        <v>43552</v>
      </c>
      <c r="BB1117" s="198">
        <v>8.7690999999999999</v>
      </c>
      <c r="BC1117" s="198">
        <v>1.8829</v>
      </c>
      <c r="BD1117" s="198">
        <v>9.1008999999999993</v>
      </c>
      <c r="BE1117" s="198">
        <v>0.36674000000000001</v>
      </c>
      <c r="BG1117" s="1051">
        <v>43552</v>
      </c>
      <c r="BH1117" s="198">
        <v>14.099399999999999</v>
      </c>
      <c r="BI1117" s="198">
        <v>3.2961999999999998</v>
      </c>
      <c r="BJ1117" s="198">
        <v>17.197900000000001</v>
      </c>
      <c r="BT1117" s="1051">
        <v>43613</v>
      </c>
      <c r="BU1117" s="198">
        <v>12.3208</v>
      </c>
      <c r="BV1117" s="198">
        <v>3.9026999999999998</v>
      </c>
      <c r="BW1117" s="198">
        <v>7.8018999999999998</v>
      </c>
      <c r="BX1117" s="198">
        <v>1.2637</v>
      </c>
      <c r="BZ1117" s="1051">
        <v>43613</v>
      </c>
      <c r="CA1117" s="198">
        <v>9.8217999999999996</v>
      </c>
      <c r="CB1117" s="198">
        <v>2.8546999999999998</v>
      </c>
      <c r="CC1117" s="198">
        <v>10.8476</v>
      </c>
      <c r="CD1117" s="198">
        <v>1.0988599999999999</v>
      </c>
      <c r="CF1117" s="1051">
        <v>43612</v>
      </c>
      <c r="CI1117" s="198">
        <v>8.6611999999999991</v>
      </c>
      <c r="CL1117" s="1051">
        <v>43634</v>
      </c>
      <c r="CM1117" s="198">
        <v>14.3072</v>
      </c>
      <c r="CN1117" s="198">
        <v>2.1334</v>
      </c>
      <c r="CO1117" s="198">
        <v>10.5975</v>
      </c>
    </row>
    <row r="1118" spans="1:93" s="198" customFormat="1">
      <c r="A1118" s="1051">
        <v>43612</v>
      </c>
      <c r="B1118" s="1052">
        <f t="shared" si="172"/>
        <v>8.0370000000000008</v>
      </c>
      <c r="C1118" s="1052">
        <f t="shared" si="174"/>
        <v>7.5080999999999998</v>
      </c>
      <c r="D1118" s="1052">
        <f t="shared" si="178"/>
        <v>8.8053000000000008</v>
      </c>
      <c r="E1118" s="1052">
        <f t="shared" si="179"/>
        <v>7.0793999999999997</v>
      </c>
      <c r="F1118" s="1052">
        <f t="shared" si="180"/>
        <v>10.760999999999999</v>
      </c>
      <c r="G1118" s="1052">
        <f t="shared" si="181"/>
        <v>6.6826999999999996</v>
      </c>
      <c r="H1118" s="1047">
        <f t="shared" si="175"/>
        <v>7.5080999999999998</v>
      </c>
      <c r="I1118" s="1048">
        <f t="shared" si="173"/>
        <v>7.0443920565789186E-2</v>
      </c>
      <c r="J1118" s="1048">
        <f t="shared" si="176"/>
        <v>0.12093838824177333</v>
      </c>
      <c r="K1118" s="1048">
        <f t="shared" si="177"/>
        <v>0.1</v>
      </c>
      <c r="L1118" s="1048"/>
      <c r="N1118" s="1051">
        <v>43612</v>
      </c>
      <c r="O1118" s="1053">
        <v>8.0370000000000008</v>
      </c>
      <c r="P1118" s="1053">
        <v>1.1979</v>
      </c>
      <c r="Q1118" s="1053">
        <v>11.1792</v>
      </c>
      <c r="R1118" s="1054">
        <f>'B. PE'!$U$23</f>
        <v>15.978235616082999</v>
      </c>
      <c r="S1118" s="1054"/>
      <c r="T1118" s="1054"/>
      <c r="V1118" s="1051">
        <v>43612</v>
      </c>
      <c r="W1118" s="198">
        <v>7.5080999999999998</v>
      </c>
      <c r="X1118" s="198">
        <v>0.52170000000000005</v>
      </c>
      <c r="Y1118" s="198">
        <v>6.1478000000000002</v>
      </c>
      <c r="Z1118" s="198">
        <v>0.33101999999999998</v>
      </c>
      <c r="AB1118" s="1051">
        <v>43563</v>
      </c>
      <c r="AC1118" s="198">
        <v>7.4984999999999999</v>
      </c>
      <c r="AD1118" s="1053">
        <v>1.0130999999999999</v>
      </c>
      <c r="AE1118" s="198">
        <v>6.4862000000000002</v>
      </c>
      <c r="AF1118" s="198">
        <v>2.5219999999999999E-2</v>
      </c>
      <c r="AH1118" s="1051">
        <v>43563</v>
      </c>
      <c r="AI1118" s="198">
        <v>8.9242000000000008</v>
      </c>
      <c r="AJ1118" s="198">
        <v>1.4614</v>
      </c>
      <c r="AK1118" s="198">
        <v>5.1497000000000002</v>
      </c>
      <c r="AL1118" s="198">
        <v>1.491E-2</v>
      </c>
      <c r="AN1118" s="1051">
        <v>43571</v>
      </c>
      <c r="AO1118" s="198">
        <v>7.2984</v>
      </c>
      <c r="AP1118" s="198">
        <v>0.61570000000000003</v>
      </c>
      <c r="AQ1118" s="198">
        <v>3.9020999999999999</v>
      </c>
      <c r="AR1118" s="198">
        <v>0.12274</v>
      </c>
      <c r="AT1118" s="1051">
        <v>43490</v>
      </c>
      <c r="AU1118" s="198">
        <v>7.9292999999999996</v>
      </c>
      <c r="AV1118" s="198">
        <v>0.53820000000000001</v>
      </c>
      <c r="AW1118" s="198">
        <v>5.7481</v>
      </c>
      <c r="AX1118" s="198">
        <v>0.11727</v>
      </c>
      <c r="BA1118" s="1051">
        <v>43551</v>
      </c>
      <c r="BB1118" s="198">
        <v>8.6191999999999993</v>
      </c>
      <c r="BC1118" s="198">
        <v>1.8508</v>
      </c>
      <c r="BD1118" s="198">
        <v>8.9870000000000001</v>
      </c>
      <c r="BE1118" s="198">
        <v>0.36769000000000002</v>
      </c>
      <c r="BG1118" s="1051">
        <v>43551</v>
      </c>
      <c r="BH1118" s="198">
        <v>13.9819</v>
      </c>
      <c r="BI1118" s="198">
        <v>3.2686999999999999</v>
      </c>
      <c r="BJ1118" s="198">
        <v>17.097899999999999</v>
      </c>
      <c r="BT1118" s="1051">
        <v>43612</v>
      </c>
      <c r="BU1118" s="198">
        <v>12.2509</v>
      </c>
      <c r="BV1118" s="198">
        <v>3.8805999999999998</v>
      </c>
      <c r="BW1118" s="198">
        <v>7.7634999999999996</v>
      </c>
      <c r="BX1118" s="198">
        <v>1.2481</v>
      </c>
      <c r="BZ1118" s="1051">
        <v>43612</v>
      </c>
      <c r="CA1118" s="198">
        <v>10.114699999999999</v>
      </c>
      <c r="CB1118" s="198">
        <v>2.9399000000000002</v>
      </c>
      <c r="CC1118" s="198">
        <v>11.0657</v>
      </c>
      <c r="CD1118" s="198">
        <v>1.12907</v>
      </c>
      <c r="CF1118" s="1051">
        <v>43609</v>
      </c>
      <c r="CG1118" s="198">
        <v>6.4161000000000001</v>
      </c>
      <c r="CH1118" s="198">
        <v>1.1454</v>
      </c>
      <c r="CI1118" s="198">
        <v>8.6611999999999991</v>
      </c>
      <c r="CL1118" s="1051">
        <v>43633</v>
      </c>
      <c r="CM1118" s="198">
        <v>14.32</v>
      </c>
      <c r="CN1118" s="198">
        <v>2.1353</v>
      </c>
      <c r="CO1118" s="198">
        <v>10.6082</v>
      </c>
    </row>
    <row r="1119" spans="1:93" s="198" customFormat="1">
      <c r="A1119" s="1051">
        <v>43609</v>
      </c>
      <c r="B1119" s="1052">
        <f t="shared" si="172"/>
        <v>8.0370000000000008</v>
      </c>
      <c r="C1119" s="1052">
        <f t="shared" si="174"/>
        <v>7.6239999999999997</v>
      </c>
      <c r="D1119" s="1052">
        <f t="shared" si="178"/>
        <v>8.6862999999999992</v>
      </c>
      <c r="E1119" s="1052">
        <f t="shared" si="179"/>
        <v>7.1524000000000001</v>
      </c>
      <c r="F1119" s="1052">
        <f t="shared" si="180"/>
        <v>10.8201</v>
      </c>
      <c r="G1119" s="1052">
        <f t="shared" si="181"/>
        <v>6.6458000000000004</v>
      </c>
      <c r="H1119" s="1047">
        <f t="shared" si="175"/>
        <v>7.6239999999999997</v>
      </c>
      <c r="I1119" s="1048">
        <f t="shared" si="173"/>
        <v>5.417103882476404E-2</v>
      </c>
      <c r="J1119" s="1048">
        <f t="shared" si="176"/>
        <v>0.12093838824177333</v>
      </c>
      <c r="K1119" s="1048">
        <f t="shared" si="177"/>
        <v>0.1</v>
      </c>
      <c r="L1119" s="1048"/>
      <c r="N1119" s="1051">
        <v>43609</v>
      </c>
      <c r="O1119" s="1053">
        <v>8.0370000000000008</v>
      </c>
      <c r="P1119" s="1053">
        <v>1.1979</v>
      </c>
      <c r="Q1119" s="1053">
        <v>11.1792</v>
      </c>
      <c r="R1119" s="1054">
        <f>'B. PE'!$U$23</f>
        <v>15.978235616082999</v>
      </c>
      <c r="S1119" s="1054"/>
      <c r="T1119" s="1054"/>
      <c r="V1119" s="1051">
        <v>43609</v>
      </c>
      <c r="W1119" s="198">
        <v>7.6239999999999997</v>
      </c>
      <c r="X1119" s="198">
        <v>0.52969999999999995</v>
      </c>
      <c r="Y1119" s="198">
        <v>6.1909000000000001</v>
      </c>
      <c r="Z1119" s="198">
        <v>0.33054</v>
      </c>
      <c r="AB1119" s="1051">
        <v>43560</v>
      </c>
      <c r="AC1119" s="198">
        <v>7.8609</v>
      </c>
      <c r="AD1119" s="1053">
        <v>1.0621</v>
      </c>
      <c r="AE1119" s="198">
        <v>6.6654999999999998</v>
      </c>
      <c r="AF1119" s="198">
        <v>2.5569999999999999E-2</v>
      </c>
      <c r="AH1119" s="1051">
        <v>43560</v>
      </c>
      <c r="AI1119" s="198">
        <v>8.6465999999999994</v>
      </c>
      <c r="AJ1119" s="198">
        <v>1.4158999999999999</v>
      </c>
      <c r="AK1119" s="198">
        <v>5.0114999999999998</v>
      </c>
      <c r="AL1119" s="198">
        <v>1.4540000000000001E-2</v>
      </c>
      <c r="AN1119" s="1051">
        <v>43570</v>
      </c>
      <c r="AO1119" s="198">
        <v>7.2618999999999998</v>
      </c>
      <c r="AP1119" s="198">
        <v>0.61260000000000003</v>
      </c>
      <c r="AQ1119" s="198">
        <v>3.8723999999999998</v>
      </c>
      <c r="AR1119" s="198">
        <v>0.12354999999999999</v>
      </c>
      <c r="AT1119" s="1051">
        <v>43489</v>
      </c>
      <c r="AU1119" s="198">
        <v>7.9292999999999996</v>
      </c>
      <c r="AV1119" s="198">
        <v>0.53820000000000001</v>
      </c>
      <c r="AW1119" s="198">
        <v>5.7481</v>
      </c>
      <c r="AX1119" s="198">
        <v>0.11729000000000001</v>
      </c>
      <c r="BA1119" s="1051">
        <v>43550</v>
      </c>
      <c r="BB1119" s="198">
        <v>8.6941000000000006</v>
      </c>
      <c r="BC1119" s="198">
        <v>1.8669</v>
      </c>
      <c r="BD1119" s="198">
        <v>9.0440000000000005</v>
      </c>
      <c r="BE1119" s="198">
        <v>0.36529</v>
      </c>
      <c r="BG1119" s="1051">
        <v>43550</v>
      </c>
      <c r="BH1119" s="198">
        <v>13.9819</v>
      </c>
      <c r="BI1119" s="198">
        <v>3.2686999999999999</v>
      </c>
      <c r="BJ1119" s="198">
        <v>17.097899999999999</v>
      </c>
      <c r="BT1119" s="1051">
        <v>43609</v>
      </c>
      <c r="BU1119" s="198">
        <v>12.390599999999999</v>
      </c>
      <c r="BV1119" s="198">
        <v>3.9247999999999998</v>
      </c>
      <c r="BW1119" s="198">
        <v>7.8453999999999997</v>
      </c>
      <c r="BX1119" s="198">
        <v>1.2619</v>
      </c>
      <c r="BZ1119" s="1051">
        <v>43609</v>
      </c>
      <c r="CA1119" s="198">
        <v>9.9585000000000008</v>
      </c>
      <c r="CB1119" s="198">
        <v>2.8944999999999999</v>
      </c>
      <c r="CC1119" s="198">
        <v>10.949400000000001</v>
      </c>
      <c r="CD1119" s="198">
        <v>1.09108</v>
      </c>
      <c r="CF1119" s="1051">
        <v>43608</v>
      </c>
      <c r="CG1119" s="198">
        <v>6.5052000000000003</v>
      </c>
      <c r="CH1119" s="198">
        <v>1.1614</v>
      </c>
      <c r="CI1119" s="198">
        <v>8.7100000000000009</v>
      </c>
      <c r="CL1119" s="1051">
        <v>43630</v>
      </c>
      <c r="CM1119" s="198">
        <v>14.2052</v>
      </c>
      <c r="CN1119" s="198">
        <v>2.1181999999999999</v>
      </c>
      <c r="CO1119" s="198">
        <v>10.5123</v>
      </c>
    </row>
    <row r="1120" spans="1:93" s="198" customFormat="1">
      <c r="A1120" s="1051">
        <v>43608</v>
      </c>
      <c r="B1120" s="1052">
        <f t="shared" si="172"/>
        <v>8.1593</v>
      </c>
      <c r="C1120" s="1052">
        <f t="shared" si="174"/>
        <v>7.6157000000000004</v>
      </c>
      <c r="D1120" s="1052">
        <f t="shared" si="178"/>
        <v>8.5275999999999996</v>
      </c>
      <c r="E1120" s="1052">
        <f t="shared" si="179"/>
        <v>7.3712999999999997</v>
      </c>
      <c r="F1120" s="1052">
        <f t="shared" si="180"/>
        <v>11.1157</v>
      </c>
      <c r="G1120" s="1052">
        <f t="shared" si="181"/>
        <v>6.6089000000000002</v>
      </c>
      <c r="H1120" s="1047">
        <f t="shared" si="175"/>
        <v>7.6157000000000004</v>
      </c>
      <c r="I1120" s="1048">
        <f t="shared" si="173"/>
        <v>7.1378862087529749E-2</v>
      </c>
      <c r="J1120" s="1048">
        <f t="shared" si="176"/>
        <v>0.12093838824177333</v>
      </c>
      <c r="K1120" s="1048">
        <f t="shared" si="177"/>
        <v>0.1</v>
      </c>
      <c r="L1120" s="1048"/>
      <c r="N1120" s="1051">
        <v>43608</v>
      </c>
      <c r="O1120" s="1053">
        <v>8.1593</v>
      </c>
      <c r="P1120" s="1053">
        <v>1.2161999999999999</v>
      </c>
      <c r="Q1120" s="1053">
        <v>11.2767</v>
      </c>
      <c r="R1120" s="1054">
        <f>'B. PE'!$U$23</f>
        <v>15.978235616082999</v>
      </c>
      <c r="S1120" s="1054"/>
      <c r="T1120" s="1054"/>
      <c r="V1120" s="1051">
        <v>43608</v>
      </c>
      <c r="W1120" s="198">
        <v>7.6157000000000004</v>
      </c>
      <c r="X1120" s="198">
        <v>0.5292</v>
      </c>
      <c r="Y1120" s="198">
        <v>6.1878000000000002</v>
      </c>
      <c r="Z1120" s="198">
        <v>0.33295999999999998</v>
      </c>
      <c r="AB1120" s="1051">
        <v>43559</v>
      </c>
      <c r="AC1120" s="198">
        <v>8.0875000000000004</v>
      </c>
      <c r="AD1120" s="1053">
        <v>1.0927</v>
      </c>
      <c r="AE1120" s="198">
        <v>6.7775999999999996</v>
      </c>
      <c r="AF1120" s="198">
        <v>2.5760000000000002E-2</v>
      </c>
      <c r="AH1120" s="1051">
        <v>43559</v>
      </c>
      <c r="AI1120" s="198">
        <v>8.3689999999999998</v>
      </c>
      <c r="AJ1120" s="198">
        <v>1.3705000000000001</v>
      </c>
      <c r="AK1120" s="198">
        <v>4.8733000000000004</v>
      </c>
      <c r="AL1120" s="198">
        <v>1.478E-2</v>
      </c>
      <c r="AN1120" s="1051">
        <v>43567</v>
      </c>
      <c r="AO1120" s="198">
        <v>7.3712999999999997</v>
      </c>
      <c r="AP1120" s="198">
        <v>0.62190000000000001</v>
      </c>
      <c r="AQ1120" s="198">
        <v>3.9613</v>
      </c>
      <c r="AR1120" s="198">
        <v>0.12164</v>
      </c>
      <c r="AT1120" s="1051">
        <v>43488</v>
      </c>
      <c r="AU1120" s="198">
        <v>8.0119000000000007</v>
      </c>
      <c r="AV1120" s="198">
        <v>0.54379999999999995</v>
      </c>
      <c r="AW1120" s="198">
        <v>5.7914000000000003</v>
      </c>
      <c r="AX1120" s="198">
        <v>0.11649</v>
      </c>
      <c r="BA1120" s="1051">
        <v>43549</v>
      </c>
      <c r="BB1120" s="198">
        <v>8.6941000000000006</v>
      </c>
      <c r="BC1120" s="198">
        <v>1.8669</v>
      </c>
      <c r="BD1120" s="198">
        <v>9.0440000000000005</v>
      </c>
      <c r="BE1120" s="198">
        <v>0.38102999999999998</v>
      </c>
      <c r="BG1120" s="1051">
        <v>43549</v>
      </c>
      <c r="BH1120" s="198">
        <v>13.7469</v>
      </c>
      <c r="BI1120" s="198">
        <v>3.2136999999999998</v>
      </c>
      <c r="BJ1120" s="198">
        <v>16.898</v>
      </c>
      <c r="BT1120" s="1051">
        <v>43608</v>
      </c>
      <c r="BU1120" s="198">
        <v>12.2369</v>
      </c>
      <c r="BV1120" s="198">
        <v>3.8761000000000001</v>
      </c>
      <c r="BW1120" s="198">
        <v>7.7553000000000001</v>
      </c>
      <c r="BX1120" s="198">
        <v>1.2572000000000001</v>
      </c>
      <c r="BZ1120" s="1051">
        <v>43608</v>
      </c>
      <c r="CA1120" s="198">
        <v>10.2319</v>
      </c>
      <c r="CB1120" s="198">
        <v>2.9739</v>
      </c>
      <c r="CC1120" s="198">
        <v>11.152900000000001</v>
      </c>
      <c r="CD1120" s="198">
        <v>1.07782</v>
      </c>
      <c r="CF1120" s="1051">
        <v>43607</v>
      </c>
      <c r="CG1120" s="198">
        <v>6.5496999999999996</v>
      </c>
      <c r="CH1120" s="198">
        <v>1.1693</v>
      </c>
      <c r="CI1120" s="198">
        <v>8.7344000000000008</v>
      </c>
      <c r="CL1120" s="1051">
        <v>43629</v>
      </c>
      <c r="CM1120" s="198">
        <v>15.7864</v>
      </c>
      <c r="CN1120" s="198">
        <v>2.3538999999999999</v>
      </c>
      <c r="CO1120" s="198">
        <v>11.834</v>
      </c>
    </row>
    <row r="1121" spans="1:93" s="198" customFormat="1">
      <c r="A1121" s="1051">
        <v>43607</v>
      </c>
      <c r="B1121" s="1052">
        <f t="shared" si="172"/>
        <v>8.1768000000000001</v>
      </c>
      <c r="C1121" s="1052">
        <f t="shared" si="174"/>
        <v>7.5991999999999997</v>
      </c>
      <c r="D1121" s="1052">
        <f t="shared" si="178"/>
        <v>8.25</v>
      </c>
      <c r="E1121" s="1052">
        <f t="shared" si="179"/>
        <v>7.3712999999999997</v>
      </c>
      <c r="F1121" s="1052">
        <f t="shared" si="180"/>
        <v>11.4114</v>
      </c>
      <c r="G1121" s="1052">
        <f t="shared" si="181"/>
        <v>6.5720000000000001</v>
      </c>
      <c r="H1121" s="1047">
        <f t="shared" si="175"/>
        <v>7.5991999999999997</v>
      </c>
      <c r="I1121" s="1048">
        <f t="shared" si="173"/>
        <v>7.6008000842193946E-2</v>
      </c>
      <c r="J1121" s="1048">
        <f t="shared" si="176"/>
        <v>0.12093838824177333</v>
      </c>
      <c r="K1121" s="1048">
        <f t="shared" si="177"/>
        <v>0.1</v>
      </c>
      <c r="L1121" s="1048"/>
      <c r="N1121" s="1051">
        <v>43607</v>
      </c>
      <c r="O1121" s="1053">
        <v>8.1768000000000001</v>
      </c>
      <c r="P1121" s="1053">
        <v>1.2188000000000001</v>
      </c>
      <c r="Q1121" s="1053">
        <v>11.2906</v>
      </c>
      <c r="R1121" s="1054">
        <f>'B. PE'!$U$23</f>
        <v>15.978235616082999</v>
      </c>
      <c r="S1121" s="1054"/>
      <c r="T1121" s="1054"/>
      <c r="V1121" s="1051">
        <v>43607</v>
      </c>
      <c r="W1121" s="198">
        <v>7.5991999999999997</v>
      </c>
      <c r="X1121" s="198">
        <v>0.52800000000000002</v>
      </c>
      <c r="Y1121" s="198">
        <v>6.1817000000000002</v>
      </c>
      <c r="Z1121" s="198">
        <v>0.3327</v>
      </c>
      <c r="AB1121" s="1051">
        <v>43557</v>
      </c>
      <c r="AC1121" s="198">
        <v>8.2460000000000004</v>
      </c>
      <c r="AD1121" s="1053">
        <v>1.1141000000000001</v>
      </c>
      <c r="AE1121" s="198">
        <v>6.8560999999999996</v>
      </c>
      <c r="AF1121" s="198">
        <v>2.4840000000000001E-2</v>
      </c>
      <c r="AH1121" s="1051">
        <v>43557</v>
      </c>
      <c r="AI1121" s="198">
        <v>8.2103000000000002</v>
      </c>
      <c r="AJ1121" s="198">
        <v>1.3445</v>
      </c>
      <c r="AK1121" s="198">
        <v>4.7942999999999998</v>
      </c>
      <c r="AL1121" s="198">
        <v>1.5429999999999999E-2</v>
      </c>
      <c r="AN1121" s="1051">
        <v>43566</v>
      </c>
      <c r="AO1121" s="198">
        <v>7.4443000000000001</v>
      </c>
      <c r="AP1121" s="198">
        <v>0.628</v>
      </c>
      <c r="AQ1121" s="198">
        <v>4.0206</v>
      </c>
      <c r="AR1121" s="198">
        <v>0.12194000000000001</v>
      </c>
      <c r="AT1121" s="1051">
        <v>43487</v>
      </c>
      <c r="AU1121" s="198">
        <v>8.0119000000000007</v>
      </c>
      <c r="AV1121" s="198">
        <v>0.54379999999999995</v>
      </c>
      <c r="AW1121" s="198">
        <v>5.7914000000000003</v>
      </c>
      <c r="AX1121" s="198">
        <v>0.1167</v>
      </c>
      <c r="BA1121" s="1051">
        <v>43546</v>
      </c>
      <c r="BB1121" s="198">
        <v>8.6941000000000006</v>
      </c>
      <c r="BC1121" s="198">
        <v>1.8669</v>
      </c>
      <c r="BD1121" s="198">
        <v>9.0440000000000005</v>
      </c>
      <c r="BE1121" s="198">
        <v>0.37169000000000002</v>
      </c>
      <c r="BG1121" s="1051">
        <v>43546</v>
      </c>
      <c r="BH1121" s="198">
        <v>14.099399999999999</v>
      </c>
      <c r="BI1121" s="198">
        <v>3.2961999999999998</v>
      </c>
      <c r="BJ1121" s="198">
        <v>17.197900000000001</v>
      </c>
      <c r="BT1121" s="1051">
        <v>43607</v>
      </c>
      <c r="BU1121" s="198">
        <v>12.3627</v>
      </c>
      <c r="BV1121" s="198">
        <v>3.9159999999999999</v>
      </c>
      <c r="BW1121" s="198">
        <v>7.8289999999999997</v>
      </c>
      <c r="BX1121" s="198">
        <v>1.2577</v>
      </c>
      <c r="BZ1121" s="1051">
        <v>43607</v>
      </c>
      <c r="CA1121" s="198">
        <v>9.8803999999999998</v>
      </c>
      <c r="CB1121" s="198">
        <v>2.8717999999999999</v>
      </c>
      <c r="CC1121" s="198">
        <v>10.891299999999999</v>
      </c>
      <c r="CD1121" s="198">
        <v>1.0662199999999999</v>
      </c>
      <c r="CF1121" s="1051">
        <v>43606</v>
      </c>
      <c r="CG1121" s="198">
        <v>6.0151000000000003</v>
      </c>
      <c r="CH1121" s="198">
        <v>1.0739000000000001</v>
      </c>
      <c r="CI1121" s="198">
        <v>8.4414999999999996</v>
      </c>
      <c r="CL1121" s="1051">
        <v>43628</v>
      </c>
      <c r="CM1121" s="198">
        <v>15.799200000000001</v>
      </c>
      <c r="CN1121" s="198">
        <v>2.3557999999999999</v>
      </c>
      <c r="CO1121" s="198">
        <v>11.8447</v>
      </c>
    </row>
    <row r="1122" spans="1:93" s="198" customFormat="1">
      <c r="A1122" s="1051">
        <v>43606</v>
      </c>
      <c r="B1122" s="1052">
        <f t="shared" si="172"/>
        <v>8.1593</v>
      </c>
      <c r="C1122" s="1052">
        <f t="shared" si="174"/>
        <v>7.6570999999999998</v>
      </c>
      <c r="D1122" s="1052">
        <f t="shared" si="178"/>
        <v>8.2103000000000002</v>
      </c>
      <c r="E1122" s="1052">
        <f t="shared" si="179"/>
        <v>7.5172999999999996</v>
      </c>
      <c r="F1122" s="1052">
        <f t="shared" si="180"/>
        <v>10.9975</v>
      </c>
      <c r="G1122" s="1052">
        <f t="shared" si="181"/>
        <v>6.3135000000000003</v>
      </c>
      <c r="H1122" s="1047">
        <f t="shared" si="175"/>
        <v>7.6570999999999998</v>
      </c>
      <c r="I1122" s="1048">
        <f t="shared" si="173"/>
        <v>6.558618798239535E-2</v>
      </c>
      <c r="J1122" s="1048">
        <f t="shared" si="176"/>
        <v>0.12093838824177333</v>
      </c>
      <c r="K1122" s="1048">
        <f t="shared" si="177"/>
        <v>0.1</v>
      </c>
      <c r="L1122" s="1048"/>
      <c r="N1122" s="1051">
        <v>43606</v>
      </c>
      <c r="O1122" s="1053">
        <v>8.1593</v>
      </c>
      <c r="P1122" s="1053">
        <v>1.2161999999999999</v>
      </c>
      <c r="Q1122" s="1053">
        <v>11.2767</v>
      </c>
      <c r="R1122" s="1054">
        <f>'B. PE'!$U$23</f>
        <v>15.978235616082999</v>
      </c>
      <c r="S1122" s="1054"/>
      <c r="T1122" s="1054"/>
      <c r="V1122" s="1051">
        <v>43606</v>
      </c>
      <c r="W1122" s="198">
        <v>7.6570999999999998</v>
      </c>
      <c r="X1122" s="198">
        <v>0.53200000000000003</v>
      </c>
      <c r="Y1122" s="198">
        <v>6.2031999999999998</v>
      </c>
      <c r="Z1122" s="198">
        <v>0.33476</v>
      </c>
      <c r="AB1122" s="1051">
        <v>43556</v>
      </c>
      <c r="AC1122" s="198">
        <v>8.2912999999999997</v>
      </c>
      <c r="AD1122" s="1053">
        <v>1.1203000000000001</v>
      </c>
      <c r="AE1122" s="198">
        <v>6.8784999999999998</v>
      </c>
      <c r="AF1122" s="198">
        <v>2.5180000000000001E-2</v>
      </c>
      <c r="AH1122" s="1051">
        <v>43556</v>
      </c>
      <c r="AI1122" s="198">
        <v>8.3292999999999999</v>
      </c>
      <c r="AJ1122" s="198">
        <v>1.3640000000000001</v>
      </c>
      <c r="AK1122" s="198">
        <v>4.8536000000000001</v>
      </c>
      <c r="AL1122" s="198">
        <v>1.585E-2</v>
      </c>
      <c r="AN1122" s="1051">
        <v>43565</v>
      </c>
      <c r="AO1122" s="198">
        <v>7.2984</v>
      </c>
      <c r="AP1122" s="198">
        <v>0.61570000000000003</v>
      </c>
      <c r="AQ1122" s="198">
        <v>3.9020999999999999</v>
      </c>
      <c r="AR1122" s="198">
        <v>0.12195</v>
      </c>
      <c r="AT1122" s="1051">
        <v>43483</v>
      </c>
      <c r="AU1122" s="198">
        <v>7.9292999999999996</v>
      </c>
      <c r="AV1122" s="198">
        <v>0.53820000000000001</v>
      </c>
      <c r="AW1122" s="198">
        <v>5.7481</v>
      </c>
      <c r="AX1122" s="198">
        <v>0.11687</v>
      </c>
      <c r="BA1122" s="1051">
        <v>43545</v>
      </c>
      <c r="BB1122" s="198">
        <v>9.0688999999999993</v>
      </c>
      <c r="BC1122" s="198">
        <v>1.9473</v>
      </c>
      <c r="BD1122" s="198">
        <v>9.3285</v>
      </c>
      <c r="BE1122" s="198">
        <v>0.36617</v>
      </c>
      <c r="BG1122" s="1051">
        <v>43545</v>
      </c>
      <c r="BH1122" s="198">
        <v>14.216900000000001</v>
      </c>
      <c r="BI1122" s="198">
        <v>3.3235999999999999</v>
      </c>
      <c r="BJ1122" s="198">
        <v>17.297899999999998</v>
      </c>
      <c r="BT1122" s="1051">
        <v>43606</v>
      </c>
      <c r="BU1122" s="198">
        <v>12.3208</v>
      </c>
      <c r="BV1122" s="198">
        <v>3.9026999999999998</v>
      </c>
      <c r="BW1122" s="198">
        <v>7.8044000000000002</v>
      </c>
      <c r="BX1122" s="198">
        <v>1.2370000000000001</v>
      </c>
      <c r="BZ1122" s="1051">
        <v>43606</v>
      </c>
      <c r="CA1122" s="198">
        <v>9.7631999999999994</v>
      </c>
      <c r="CB1122" s="198">
        <v>2.8376999999999999</v>
      </c>
      <c r="CC1122" s="198">
        <v>10.804</v>
      </c>
      <c r="CD1122" s="198">
        <v>1.06619</v>
      </c>
      <c r="CF1122" s="1051">
        <v>43605</v>
      </c>
      <c r="CI1122" s="198">
        <v>8.4414999999999996</v>
      </c>
      <c r="CL1122" s="1051">
        <v>43627</v>
      </c>
      <c r="CM1122" s="198">
        <v>15.8757</v>
      </c>
      <c r="CN1122" s="198">
        <v>2.3672</v>
      </c>
      <c r="CO1122" s="198">
        <v>11.9086</v>
      </c>
    </row>
    <row r="1123" spans="1:93" s="198" customFormat="1">
      <c r="A1123" s="1051">
        <v>43605</v>
      </c>
      <c r="B1123" s="1052">
        <f t="shared" si="172"/>
        <v>7.9846000000000004</v>
      </c>
      <c r="C1123" s="1052">
        <f t="shared" si="174"/>
        <v>7.6570999999999998</v>
      </c>
      <c r="D1123" s="1052">
        <f t="shared" si="178"/>
        <v>8.1706000000000003</v>
      </c>
      <c r="E1123" s="1052">
        <f t="shared" si="179"/>
        <v>7.5172999999999996</v>
      </c>
      <c r="F1123" s="1052">
        <f t="shared" si="180"/>
        <v>10.9975</v>
      </c>
      <c r="G1123" s="1052">
        <f t="shared" si="181"/>
        <v>6.3135000000000003</v>
      </c>
      <c r="H1123" s="1047">
        <f t="shared" si="175"/>
        <v>7.6570999999999998</v>
      </c>
      <c r="I1123" s="1048">
        <f t="shared" si="173"/>
        <v>4.2770761776651733E-2</v>
      </c>
      <c r="J1123" s="1048">
        <f t="shared" si="176"/>
        <v>0.12093838824177333</v>
      </c>
      <c r="K1123" s="1048">
        <f t="shared" si="177"/>
        <v>0.1</v>
      </c>
      <c r="L1123" s="1048"/>
      <c r="N1123" s="1051">
        <v>43605</v>
      </c>
      <c r="O1123" s="1053">
        <v>7.9846000000000004</v>
      </c>
      <c r="P1123" s="1053">
        <v>1.1900999999999999</v>
      </c>
      <c r="Q1123" s="1053">
        <v>11.1374</v>
      </c>
      <c r="R1123" s="1054">
        <f>'B. PE'!$U$23</f>
        <v>15.978235616082999</v>
      </c>
      <c r="S1123" s="1054"/>
      <c r="T1123" s="1054"/>
      <c r="V1123" s="1051">
        <v>43605</v>
      </c>
      <c r="W1123" s="198">
        <v>7.6570999999999998</v>
      </c>
      <c r="X1123" s="198">
        <v>0.53200000000000003</v>
      </c>
      <c r="Y1123" s="198">
        <v>6.2031999999999998</v>
      </c>
      <c r="Z1123" s="198">
        <v>0.33481</v>
      </c>
      <c r="AB1123" s="1051">
        <v>43553</v>
      </c>
      <c r="AC1123" s="198">
        <v>8.0195000000000007</v>
      </c>
      <c r="AD1123" s="1053">
        <v>1.0834999999999999</v>
      </c>
      <c r="AE1123" s="198">
        <v>6.7439999999999998</v>
      </c>
      <c r="AF1123" s="198">
        <v>2.664E-2</v>
      </c>
      <c r="AH1123" s="1051">
        <v>43553</v>
      </c>
      <c r="AI1123" s="198">
        <v>8.7258999999999993</v>
      </c>
      <c r="AJ1123" s="198">
        <v>1.4289000000000001</v>
      </c>
      <c r="AK1123" s="198">
        <v>5.0510000000000002</v>
      </c>
      <c r="AL1123" s="198">
        <v>1.592E-2</v>
      </c>
      <c r="AN1123" s="1051">
        <v>43564</v>
      </c>
      <c r="AO1123" s="198">
        <v>7.2984</v>
      </c>
      <c r="AP1123" s="198">
        <v>0.61570000000000003</v>
      </c>
      <c r="AQ1123" s="198">
        <v>3.9020999999999999</v>
      </c>
      <c r="AR1123" s="198">
        <v>0.12164</v>
      </c>
      <c r="AT1123" s="1051">
        <v>43482</v>
      </c>
      <c r="AU1123" s="198">
        <v>7.9292999999999996</v>
      </c>
      <c r="AV1123" s="198">
        <v>0.53820000000000001</v>
      </c>
      <c r="AW1123" s="198">
        <v>5.7481</v>
      </c>
      <c r="AX1123" s="198">
        <v>0.11687</v>
      </c>
      <c r="BA1123" s="1051">
        <v>43544</v>
      </c>
      <c r="BB1123" s="198">
        <v>8.8439999999999994</v>
      </c>
      <c r="BC1123" s="198">
        <v>1.899</v>
      </c>
      <c r="BD1123" s="198">
        <v>9.1577999999999999</v>
      </c>
      <c r="BE1123" s="198">
        <v>0.36607000000000001</v>
      </c>
      <c r="BG1123" s="1051">
        <v>43544</v>
      </c>
      <c r="BH1123" s="198">
        <v>14.334300000000001</v>
      </c>
      <c r="BI1123" s="198">
        <v>3.3511000000000002</v>
      </c>
      <c r="BJ1123" s="198">
        <v>17.3979</v>
      </c>
      <c r="BT1123" s="1051">
        <v>43605</v>
      </c>
      <c r="BU1123" s="198">
        <v>12.3347</v>
      </c>
      <c r="BV1123" s="198">
        <v>3.9070999999999998</v>
      </c>
      <c r="BW1123" s="198">
        <v>7.8125999999999998</v>
      </c>
      <c r="BX1123" s="198">
        <v>1.23</v>
      </c>
      <c r="BZ1123" s="1051">
        <v>43605</v>
      </c>
      <c r="CA1123" s="198">
        <v>9.6655999999999995</v>
      </c>
      <c r="CB1123" s="198">
        <v>2.8092999999999999</v>
      </c>
      <c r="CC1123" s="198">
        <v>10.731299999999999</v>
      </c>
      <c r="CD1123" s="198">
        <v>1.0836399999999999</v>
      </c>
      <c r="CF1123" s="1051">
        <v>43602</v>
      </c>
      <c r="CG1123" s="198">
        <v>6.0151000000000003</v>
      </c>
      <c r="CH1123" s="198">
        <v>1.0739000000000001</v>
      </c>
      <c r="CI1123" s="198">
        <v>8.4414999999999996</v>
      </c>
      <c r="CL1123" s="1051">
        <v>43623</v>
      </c>
      <c r="CM1123" s="198">
        <v>15.799200000000001</v>
      </c>
      <c r="CN1123" s="198">
        <v>2.3557999999999999</v>
      </c>
      <c r="CO1123" s="198">
        <v>11.8447</v>
      </c>
    </row>
    <row r="1124" spans="1:93" s="198" customFormat="1">
      <c r="A1124" s="1051">
        <v>43602</v>
      </c>
      <c r="B1124" s="1052">
        <f t="shared" si="172"/>
        <v>7.9846000000000004</v>
      </c>
      <c r="C1124" s="1052">
        <f t="shared" si="174"/>
        <v>7.6737000000000002</v>
      </c>
      <c r="D1124" s="1052">
        <f t="shared" si="178"/>
        <v>8.25</v>
      </c>
      <c r="E1124" s="1052">
        <f t="shared" si="179"/>
        <v>7.3712999999999997</v>
      </c>
      <c r="F1124" s="1052">
        <f t="shared" si="180"/>
        <v>12.416499999999999</v>
      </c>
      <c r="G1124" s="1052">
        <f t="shared" si="181"/>
        <v>6.5720000000000001</v>
      </c>
      <c r="H1124" s="1047">
        <f t="shared" si="175"/>
        <v>7.6737000000000002</v>
      </c>
      <c r="I1124" s="1048">
        <f t="shared" si="173"/>
        <v>4.0515005799027781E-2</v>
      </c>
      <c r="J1124" s="1048">
        <f t="shared" si="176"/>
        <v>0.12093838824177333</v>
      </c>
      <c r="K1124" s="1048">
        <f t="shared" si="177"/>
        <v>0.1</v>
      </c>
      <c r="L1124" s="1048"/>
      <c r="N1124" s="1051">
        <v>43602</v>
      </c>
      <c r="O1124" s="1053">
        <v>7.9846000000000004</v>
      </c>
      <c r="P1124" s="1053">
        <v>1.1900999999999999</v>
      </c>
      <c r="Q1124" s="1053">
        <v>11.1374</v>
      </c>
      <c r="R1124" s="1054">
        <f>'B. PE'!$U$23</f>
        <v>15.978235616082999</v>
      </c>
      <c r="S1124" s="1054"/>
      <c r="T1124" s="1054"/>
      <c r="V1124" s="1051">
        <v>43602</v>
      </c>
      <c r="W1124" s="198">
        <v>7.6737000000000002</v>
      </c>
      <c r="X1124" s="198">
        <v>0.53320000000000001</v>
      </c>
      <c r="Y1124" s="198">
        <v>6.2093999999999996</v>
      </c>
      <c r="Z1124" s="198">
        <v>0.32419999999999999</v>
      </c>
      <c r="AB1124" s="1051">
        <v>43552</v>
      </c>
      <c r="AC1124" s="198">
        <v>6.4869000000000003</v>
      </c>
      <c r="AD1124" s="1053">
        <v>1.2202</v>
      </c>
      <c r="AE1124" s="198">
        <v>6.3076999999999996</v>
      </c>
      <c r="AF1124" s="198">
        <v>2.6950000000000002E-2</v>
      </c>
      <c r="AH1124" s="1051">
        <v>43552</v>
      </c>
      <c r="AI1124" s="198">
        <v>9.6325000000000003</v>
      </c>
      <c r="AJ1124" s="198">
        <v>1.5375000000000001</v>
      </c>
      <c r="AK1124" s="198">
        <v>5.1543999999999999</v>
      </c>
      <c r="AL1124" s="198">
        <v>1.6469999999999999E-2</v>
      </c>
      <c r="AN1124" s="1051">
        <v>43563</v>
      </c>
      <c r="AO1124" s="198">
        <v>7.2984</v>
      </c>
      <c r="AP1124" s="198">
        <v>0.61570000000000003</v>
      </c>
      <c r="AQ1124" s="198">
        <v>3.9020999999999999</v>
      </c>
      <c r="AR1124" s="198">
        <v>0.12130000000000001</v>
      </c>
      <c r="AT1124" s="1051">
        <v>43481</v>
      </c>
      <c r="AU1124" s="198">
        <v>7.9292999999999996</v>
      </c>
      <c r="AV1124" s="198">
        <v>0.53820000000000001</v>
      </c>
      <c r="AW1124" s="198">
        <v>5.7481</v>
      </c>
      <c r="AX1124" s="198">
        <v>0.11713999999999999</v>
      </c>
      <c r="BA1124" s="1051">
        <v>43543</v>
      </c>
      <c r="BB1124" s="198">
        <v>8.6941000000000006</v>
      </c>
      <c r="BC1124" s="198">
        <v>1.8669</v>
      </c>
      <c r="BD1124" s="198">
        <v>9.0440000000000005</v>
      </c>
      <c r="BE1124" s="198">
        <v>0.36277999999999999</v>
      </c>
      <c r="BG1124" s="1051">
        <v>43543</v>
      </c>
      <c r="BH1124" s="198">
        <v>13.8644</v>
      </c>
      <c r="BI1124" s="198">
        <v>3.2412000000000001</v>
      </c>
      <c r="BJ1124" s="198">
        <v>16.998000000000001</v>
      </c>
      <c r="BT1124" s="1051">
        <v>43602</v>
      </c>
      <c r="BU1124" s="198">
        <v>12.083299999999999</v>
      </c>
      <c r="BV1124" s="198">
        <v>3.8275000000000001</v>
      </c>
      <c r="BW1124" s="198">
        <v>7.6651999999999996</v>
      </c>
      <c r="BX1124" s="198">
        <v>1.2452000000000001</v>
      </c>
      <c r="BZ1124" s="1051">
        <v>43602</v>
      </c>
      <c r="CA1124" s="198">
        <v>9.6265000000000001</v>
      </c>
      <c r="CB1124" s="198">
        <v>2.798</v>
      </c>
      <c r="CC1124" s="198">
        <v>10.702299999999999</v>
      </c>
      <c r="CD1124" s="198">
        <v>1.0843799999999999</v>
      </c>
      <c r="CF1124" s="1051">
        <v>43601</v>
      </c>
      <c r="CI1124" s="198">
        <v>8.5634999999999994</v>
      </c>
      <c r="CL1124" s="1051">
        <v>43622</v>
      </c>
      <c r="CM1124" s="198">
        <v>15.748200000000001</v>
      </c>
      <c r="CN1124" s="198">
        <v>2.3481999999999998</v>
      </c>
      <c r="CO1124" s="198">
        <v>11.802</v>
      </c>
    </row>
    <row r="1125" spans="1:93" s="198" customFormat="1">
      <c r="A1125" s="1051">
        <v>43601</v>
      </c>
      <c r="B1125" s="1052">
        <f t="shared" si="172"/>
        <v>8.0020000000000007</v>
      </c>
      <c r="C1125" s="1052">
        <f t="shared" si="174"/>
        <v>7.6737000000000002</v>
      </c>
      <c r="D1125" s="1052">
        <f t="shared" si="178"/>
        <v>8.4085999999999999</v>
      </c>
      <c r="E1125" s="1052">
        <f t="shared" si="179"/>
        <v>7.4443000000000001</v>
      </c>
      <c r="F1125" s="1052">
        <f t="shared" si="180"/>
        <v>12.298299999999999</v>
      </c>
      <c r="G1125" s="1052">
        <f t="shared" si="181"/>
        <v>6.4981</v>
      </c>
      <c r="H1125" s="1047">
        <f t="shared" si="175"/>
        <v>7.6737000000000002</v>
      </c>
      <c r="I1125" s="1048">
        <f t="shared" si="173"/>
        <v>4.2782490845354904E-2</v>
      </c>
      <c r="J1125" s="1048">
        <f t="shared" si="176"/>
        <v>0.12093838824177333</v>
      </c>
      <c r="K1125" s="1048">
        <f t="shared" si="177"/>
        <v>0.1</v>
      </c>
      <c r="L1125" s="1048"/>
      <c r="N1125" s="1051">
        <v>43601</v>
      </c>
      <c r="O1125" s="1053">
        <v>8.0020000000000007</v>
      </c>
      <c r="P1125" s="1053">
        <v>1.1927000000000001</v>
      </c>
      <c r="Q1125" s="1053">
        <v>11.151400000000001</v>
      </c>
      <c r="R1125" s="1054">
        <f>'B. PE'!$U$23</f>
        <v>15.978235616082999</v>
      </c>
      <c r="S1125" s="1054"/>
      <c r="T1125" s="1054"/>
      <c r="V1125" s="1051">
        <v>43601</v>
      </c>
      <c r="W1125" s="198">
        <v>7.6737000000000002</v>
      </c>
      <c r="X1125" s="198">
        <v>0.53320000000000001</v>
      </c>
      <c r="Y1125" s="198">
        <v>6.2093999999999996</v>
      </c>
      <c r="Z1125" s="198">
        <v>0.32357999999999998</v>
      </c>
      <c r="AB1125" s="1051">
        <v>43551</v>
      </c>
      <c r="AC1125" s="198">
        <v>6.8662999999999998</v>
      </c>
      <c r="AD1125" s="1053">
        <v>1.2916000000000001</v>
      </c>
      <c r="AE1125" s="198">
        <v>6.5217000000000001</v>
      </c>
      <c r="AF1125" s="198">
        <v>2.6839999999999999E-2</v>
      </c>
      <c r="AH1125" s="1051">
        <v>43551</v>
      </c>
      <c r="AI1125" s="198">
        <v>9.6751000000000005</v>
      </c>
      <c r="AJ1125" s="198">
        <v>1.5444</v>
      </c>
      <c r="AK1125" s="198">
        <v>5.1749999999999998</v>
      </c>
      <c r="AL1125" s="198">
        <v>1.5570000000000001E-2</v>
      </c>
      <c r="AN1125" s="1051">
        <v>43560</v>
      </c>
      <c r="AO1125" s="198">
        <v>7.2618999999999998</v>
      </c>
      <c r="AP1125" s="198">
        <v>0.61260000000000003</v>
      </c>
      <c r="AQ1125" s="198">
        <v>3.8723999999999998</v>
      </c>
      <c r="AR1125" s="198">
        <v>0.12188</v>
      </c>
      <c r="AT1125" s="1051">
        <v>43480</v>
      </c>
      <c r="AU1125" s="198">
        <v>7.9292999999999996</v>
      </c>
      <c r="AV1125" s="198">
        <v>0.53820000000000001</v>
      </c>
      <c r="AW1125" s="198">
        <v>5.7481</v>
      </c>
      <c r="AX1125" s="198">
        <v>0.11845</v>
      </c>
      <c r="BA1125" s="1051">
        <v>43542</v>
      </c>
      <c r="BB1125" s="198">
        <v>8.6941000000000006</v>
      </c>
      <c r="BC1125" s="198">
        <v>1.8669</v>
      </c>
      <c r="BD1125" s="198">
        <v>9.0440000000000005</v>
      </c>
      <c r="BE1125" s="198">
        <v>0.35869000000000001</v>
      </c>
      <c r="BG1125" s="1051">
        <v>43542</v>
      </c>
      <c r="BH1125" s="198">
        <v>13.7469</v>
      </c>
      <c r="BI1125" s="198">
        <v>3.2136999999999998</v>
      </c>
      <c r="BJ1125" s="198">
        <v>16.898</v>
      </c>
      <c r="BT1125" s="1051">
        <v>43601</v>
      </c>
      <c r="BU1125" s="198">
        <v>12.013400000000001</v>
      </c>
      <c r="BV1125" s="198">
        <v>3.8052999999999999</v>
      </c>
      <c r="BW1125" s="198">
        <v>7.6242000000000001</v>
      </c>
      <c r="BX1125" s="198">
        <v>1.22</v>
      </c>
      <c r="BZ1125" s="1051">
        <v>43601</v>
      </c>
      <c r="CA1125" s="198">
        <v>9.7827000000000002</v>
      </c>
      <c r="CB1125" s="198">
        <v>2.8433999999999999</v>
      </c>
      <c r="CC1125" s="198">
        <v>10.8186</v>
      </c>
      <c r="CD1125" s="198">
        <v>1.0875999999999999</v>
      </c>
      <c r="CF1125" s="1051">
        <v>43600</v>
      </c>
      <c r="CI1125" s="198">
        <v>8.5634999999999994</v>
      </c>
      <c r="CL1125" s="1051">
        <v>43621</v>
      </c>
      <c r="CM1125" s="198">
        <v>15.8247</v>
      </c>
      <c r="CN1125" s="198">
        <v>2.3595999999999999</v>
      </c>
      <c r="CO1125" s="198">
        <v>11.866</v>
      </c>
    </row>
    <row r="1126" spans="1:93" s="198" customFormat="1">
      <c r="A1126" s="1051">
        <v>43600</v>
      </c>
      <c r="B1126" s="1052">
        <f t="shared" si="172"/>
        <v>8.0370000000000008</v>
      </c>
      <c r="C1126" s="1052">
        <f t="shared" si="174"/>
        <v>7.4253</v>
      </c>
      <c r="D1126" s="1052">
        <f t="shared" si="178"/>
        <v>8.1310000000000002</v>
      </c>
      <c r="E1126" s="1052">
        <f t="shared" si="179"/>
        <v>7.5172999999999996</v>
      </c>
      <c r="F1126" s="1052">
        <f t="shared" si="180"/>
        <v>12.653</v>
      </c>
      <c r="G1126" s="1052">
        <f t="shared" si="181"/>
        <v>6.4611999999999998</v>
      </c>
      <c r="H1126" s="1047">
        <f t="shared" si="175"/>
        <v>7.5172999999999996</v>
      </c>
      <c r="I1126" s="1048">
        <f t="shared" si="173"/>
        <v>6.9133864552432645E-2</v>
      </c>
      <c r="J1126" s="1048">
        <f t="shared" si="176"/>
        <v>0.12093838824177333</v>
      </c>
      <c r="K1126" s="1048">
        <f t="shared" si="177"/>
        <v>0.1</v>
      </c>
      <c r="L1126" s="1048"/>
      <c r="N1126" s="1051">
        <v>43600</v>
      </c>
      <c r="O1126" s="1053">
        <v>8.0370000000000008</v>
      </c>
      <c r="P1126" s="1053">
        <v>1.1979</v>
      </c>
      <c r="Q1126" s="1053">
        <v>11.1792</v>
      </c>
      <c r="R1126" s="1054">
        <f>'B. PE'!$U$23</f>
        <v>15.978235616082999</v>
      </c>
      <c r="S1126" s="1054"/>
      <c r="T1126" s="1054"/>
      <c r="V1126" s="1051">
        <v>43600</v>
      </c>
      <c r="W1126" s="198">
        <v>7.4253</v>
      </c>
      <c r="X1126" s="198">
        <v>0.51590000000000003</v>
      </c>
      <c r="Y1126" s="198">
        <v>6.117</v>
      </c>
      <c r="Z1126" s="198">
        <v>0.32024999999999998</v>
      </c>
      <c r="AB1126" s="1051">
        <v>43550</v>
      </c>
      <c r="AC1126" s="198">
        <v>6.9204999999999997</v>
      </c>
      <c r="AD1126" s="1053">
        <v>1.3018000000000001</v>
      </c>
      <c r="AE1126" s="198">
        <v>6.5522999999999998</v>
      </c>
      <c r="AF1126" s="198">
        <v>2.7969999999999998E-2</v>
      </c>
      <c r="AH1126" s="1051">
        <v>43550</v>
      </c>
      <c r="AI1126" s="198">
        <v>9.9734999999999996</v>
      </c>
      <c r="AJ1126" s="198">
        <v>1.5920000000000001</v>
      </c>
      <c r="AK1126" s="198">
        <v>5.3193000000000001</v>
      </c>
      <c r="AL1126" s="198">
        <v>1.553E-2</v>
      </c>
      <c r="AN1126" s="1051">
        <v>43559</v>
      </c>
      <c r="AO1126" s="198">
        <v>7.2253999999999996</v>
      </c>
      <c r="AP1126" s="198">
        <v>0.60960000000000003</v>
      </c>
      <c r="AQ1126" s="198">
        <v>3.8428</v>
      </c>
      <c r="AT1126" s="1051">
        <v>43479</v>
      </c>
      <c r="AU1126" s="198">
        <v>7.9292999999999996</v>
      </c>
      <c r="AV1126" s="198">
        <v>0.53820000000000001</v>
      </c>
      <c r="AW1126" s="198">
        <v>5.7499000000000002</v>
      </c>
      <c r="AX1126" s="198">
        <v>0.11978999999999999</v>
      </c>
      <c r="BA1126" s="1051">
        <v>43539</v>
      </c>
      <c r="BB1126" s="198">
        <v>8.6191999999999993</v>
      </c>
      <c r="BC1126" s="198">
        <v>1.8508</v>
      </c>
      <c r="BD1126" s="198">
        <v>8.9870000000000001</v>
      </c>
      <c r="BE1126" s="198">
        <v>0.36058000000000001</v>
      </c>
      <c r="BG1126" s="1051">
        <v>43539</v>
      </c>
      <c r="BH1126" s="198">
        <v>14.216900000000001</v>
      </c>
      <c r="BI1126" s="198">
        <v>3.3235999999999999</v>
      </c>
      <c r="BJ1126" s="198">
        <v>17.297899999999998</v>
      </c>
      <c r="BT1126" s="1051">
        <v>43600</v>
      </c>
      <c r="BU1126" s="198">
        <v>12.1531</v>
      </c>
      <c r="BV1126" s="198">
        <v>3.8496000000000001</v>
      </c>
      <c r="BW1126" s="198">
        <v>7.7061000000000002</v>
      </c>
      <c r="BX1126" s="198">
        <v>1.2168000000000001</v>
      </c>
      <c r="BZ1126" s="1051">
        <v>43600</v>
      </c>
      <c r="CA1126" s="198">
        <v>9.7827000000000002</v>
      </c>
      <c r="CB1126" s="198">
        <v>2.8433999999999999</v>
      </c>
      <c r="CC1126" s="198">
        <v>10.8186</v>
      </c>
      <c r="CD1126" s="198">
        <v>1.0690999999999999</v>
      </c>
      <c r="CF1126" s="1051">
        <v>43599</v>
      </c>
      <c r="CI1126" s="198">
        <v>8.5634999999999994</v>
      </c>
      <c r="CL1126" s="1051">
        <v>43620</v>
      </c>
      <c r="CM1126" s="198">
        <v>15.5824</v>
      </c>
      <c r="CN1126" s="198">
        <v>2.3235000000000001</v>
      </c>
      <c r="CO1126" s="198">
        <v>11.663500000000001</v>
      </c>
    </row>
    <row r="1127" spans="1:93" s="198" customFormat="1">
      <c r="A1127" s="1051">
        <v>43599</v>
      </c>
      <c r="B1127" s="1052">
        <f t="shared" si="172"/>
        <v>8.0893999999999995</v>
      </c>
      <c r="C1127" s="1052">
        <f t="shared" si="174"/>
        <v>7.4336000000000002</v>
      </c>
      <c r="D1127" s="1052">
        <f t="shared" si="178"/>
        <v>8.25</v>
      </c>
      <c r="E1127" s="1052">
        <f t="shared" si="179"/>
        <v>7.4443000000000001</v>
      </c>
      <c r="F1127" s="1052">
        <f t="shared" si="180"/>
        <v>12.653</v>
      </c>
      <c r="G1127" s="1052">
        <f t="shared" si="181"/>
        <v>7.3103999999999996</v>
      </c>
      <c r="H1127" s="1047">
        <f t="shared" si="175"/>
        <v>7.4443000000000001</v>
      </c>
      <c r="I1127" s="1048">
        <f t="shared" si="173"/>
        <v>8.6656905283236663E-2</v>
      </c>
      <c r="J1127" s="1048">
        <f t="shared" si="176"/>
        <v>0.12093838824177333</v>
      </c>
      <c r="K1127" s="1048">
        <f t="shared" si="177"/>
        <v>0.1</v>
      </c>
      <c r="L1127" s="1048"/>
      <c r="N1127" s="1051">
        <v>43599</v>
      </c>
      <c r="O1127" s="1053">
        <v>8.0893999999999995</v>
      </c>
      <c r="P1127" s="1053">
        <v>1.2057</v>
      </c>
      <c r="Q1127" s="1053">
        <v>11.221</v>
      </c>
      <c r="R1127" s="1054">
        <f>'B. PE'!$U$23</f>
        <v>15.978235616082999</v>
      </c>
      <c r="S1127" s="1054"/>
      <c r="T1127" s="1054"/>
      <c r="V1127" s="1051">
        <v>43599</v>
      </c>
      <c r="W1127" s="198">
        <v>7.4336000000000002</v>
      </c>
      <c r="X1127" s="198">
        <v>0.51649999999999996</v>
      </c>
      <c r="Y1127" s="198">
        <v>6.1200999999999999</v>
      </c>
      <c r="Z1127" s="198">
        <v>0.32167000000000001</v>
      </c>
      <c r="AB1127" s="1051">
        <v>43549</v>
      </c>
      <c r="AC1127" s="198">
        <v>6.8844000000000003</v>
      </c>
      <c r="AD1127" s="1053">
        <v>1.2949999999999999</v>
      </c>
      <c r="AE1127" s="198">
        <v>6.5319000000000003</v>
      </c>
      <c r="AF1127" s="198">
        <v>2.8330000000000001E-2</v>
      </c>
      <c r="AH1127" s="1051">
        <v>43549</v>
      </c>
      <c r="AI1127" s="198">
        <v>9.4193999999999996</v>
      </c>
      <c r="AJ1127" s="198">
        <v>1.5035000000000001</v>
      </c>
      <c r="AK1127" s="198">
        <v>5.0513000000000003</v>
      </c>
      <c r="AL1127" s="198">
        <v>1.5509999999999999E-2</v>
      </c>
      <c r="AN1127" s="1051">
        <v>43558</v>
      </c>
      <c r="AO1127" s="198">
        <v>7.2618999999999998</v>
      </c>
      <c r="AP1127" s="198">
        <v>0.61260000000000003</v>
      </c>
      <c r="AQ1127" s="198">
        <v>3.8723999999999998</v>
      </c>
      <c r="AR1127" s="198">
        <v>0.12128</v>
      </c>
      <c r="AT1127" s="1051">
        <v>43476</v>
      </c>
      <c r="AU1127" s="198">
        <v>8.0119000000000007</v>
      </c>
      <c r="AV1127" s="198">
        <v>0.54379999999999995</v>
      </c>
      <c r="AW1127" s="198">
        <v>5.7931999999999997</v>
      </c>
      <c r="AX1127" s="198">
        <v>0.11947000000000001</v>
      </c>
      <c r="BA1127" s="1051">
        <v>43538</v>
      </c>
      <c r="BB1127" s="198">
        <v>8.5442</v>
      </c>
      <c r="BC1127" s="198">
        <v>1.8347</v>
      </c>
      <c r="BD1127" s="198">
        <v>8.9300999999999995</v>
      </c>
      <c r="BE1127" s="198">
        <v>0.35693000000000003</v>
      </c>
      <c r="BG1127" s="1051">
        <v>43538</v>
      </c>
      <c r="BH1127" s="198">
        <v>14.216900000000001</v>
      </c>
      <c r="BI1127" s="198">
        <v>3.3235999999999999</v>
      </c>
      <c r="BJ1127" s="198">
        <v>17.297899999999998</v>
      </c>
      <c r="BT1127" s="1051">
        <v>43599</v>
      </c>
      <c r="BU1127" s="198">
        <v>11.9436</v>
      </c>
      <c r="BV1127" s="198">
        <v>3.7831999999999999</v>
      </c>
      <c r="BW1127" s="198">
        <v>7.5833000000000004</v>
      </c>
      <c r="BX1127" s="198">
        <v>1.2164999999999999</v>
      </c>
      <c r="BZ1127" s="1051">
        <v>43599</v>
      </c>
      <c r="CA1127" s="198">
        <v>9.8413000000000004</v>
      </c>
      <c r="CB1127" s="198">
        <v>2.8603999999999998</v>
      </c>
      <c r="CC1127" s="198">
        <v>10.8622</v>
      </c>
      <c r="CD1127" s="198">
        <v>1.0519099999999999</v>
      </c>
      <c r="CF1127" s="1051">
        <v>43598</v>
      </c>
      <c r="CI1127" s="198">
        <v>8.5634999999999994</v>
      </c>
      <c r="CL1127" s="1051">
        <v>43619</v>
      </c>
      <c r="CM1127" s="198">
        <v>15.3911</v>
      </c>
      <c r="CN1127" s="198">
        <v>2.2949999999999999</v>
      </c>
      <c r="CO1127" s="198">
        <v>11.5036</v>
      </c>
    </row>
    <row r="1128" spans="1:93" s="198" customFormat="1">
      <c r="A1128" s="1051">
        <v>43598</v>
      </c>
      <c r="B1128" s="1052">
        <f t="shared" si="172"/>
        <v>8.0718999999999994</v>
      </c>
      <c r="C1128" s="1052">
        <f t="shared" si="174"/>
        <v>7.3507999999999996</v>
      </c>
      <c r="D1128" s="1052">
        <f t="shared" si="178"/>
        <v>8.25</v>
      </c>
      <c r="E1128" s="1052">
        <f t="shared" si="179"/>
        <v>7.3712999999999997</v>
      </c>
      <c r="F1128" s="1052">
        <f t="shared" si="180"/>
        <v>13.0078</v>
      </c>
      <c r="G1128" s="1052">
        <f t="shared" si="181"/>
        <v>7.3842999999999996</v>
      </c>
      <c r="H1128" s="1047">
        <f t="shared" si="175"/>
        <v>7.3842999999999996</v>
      </c>
      <c r="I1128" s="1048">
        <f t="shared" si="173"/>
        <v>9.3116476849532059E-2</v>
      </c>
      <c r="J1128" s="1048">
        <f t="shared" si="176"/>
        <v>0.12093838824177333</v>
      </c>
      <c r="K1128" s="1048">
        <f t="shared" si="177"/>
        <v>0.1</v>
      </c>
      <c r="L1128" s="1048"/>
      <c r="N1128" s="1051">
        <v>43598</v>
      </c>
      <c r="O1128" s="1053">
        <v>8.0718999999999994</v>
      </c>
      <c r="P1128" s="1053">
        <v>1.2031000000000001</v>
      </c>
      <c r="Q1128" s="1053">
        <v>11.207000000000001</v>
      </c>
      <c r="R1128" s="1054">
        <f>'B. PE'!$U$23</f>
        <v>15.978235616082999</v>
      </c>
      <c r="S1128" s="1054"/>
      <c r="T1128" s="1054"/>
      <c r="V1128" s="1051">
        <v>43598</v>
      </c>
      <c r="W1128" s="198">
        <v>7.3507999999999996</v>
      </c>
      <c r="X1128" s="198">
        <v>0.51080000000000003</v>
      </c>
      <c r="Y1128" s="198">
        <v>6.0892999999999997</v>
      </c>
      <c r="Z1128" s="198">
        <v>0.31669000000000003</v>
      </c>
      <c r="AB1128" s="1051">
        <v>43546</v>
      </c>
      <c r="AC1128" s="198">
        <v>7.1916000000000002</v>
      </c>
      <c r="AD1128" s="1053">
        <v>1.3527</v>
      </c>
      <c r="AE1128" s="198">
        <v>6.7050999999999998</v>
      </c>
      <c r="AF1128" s="198">
        <v>2.8000000000000001E-2</v>
      </c>
      <c r="AH1128" s="1051">
        <v>43546</v>
      </c>
      <c r="AI1128" s="198">
        <v>9.4193999999999996</v>
      </c>
      <c r="AJ1128" s="198">
        <v>1.5035000000000001</v>
      </c>
      <c r="AK1128" s="198">
        <v>5.0513000000000003</v>
      </c>
      <c r="AL1128" s="198">
        <v>1.559E-2</v>
      </c>
      <c r="AN1128" s="1051">
        <v>43557</v>
      </c>
      <c r="AQ1128" s="198">
        <v>3.8428</v>
      </c>
      <c r="AR1128" s="198">
        <v>0.12067</v>
      </c>
      <c r="AT1128" s="1051">
        <v>43475</v>
      </c>
      <c r="AU1128" s="198">
        <v>8.0945</v>
      </c>
      <c r="AV1128" s="198">
        <v>0.5494</v>
      </c>
      <c r="AW1128" s="198">
        <v>5.8365</v>
      </c>
      <c r="AX1128" s="198">
        <v>0.11677</v>
      </c>
      <c r="BA1128" s="1051">
        <v>43537</v>
      </c>
      <c r="BB1128" s="198">
        <v>8.5442</v>
      </c>
      <c r="BC1128" s="198">
        <v>1.8347</v>
      </c>
      <c r="BD1128" s="198">
        <v>8.9300999999999995</v>
      </c>
      <c r="BE1128" s="198">
        <v>0.35963000000000001</v>
      </c>
      <c r="BG1128" s="1051">
        <v>43537</v>
      </c>
      <c r="BH1128" s="198">
        <v>14.4518</v>
      </c>
      <c r="BI1128" s="198">
        <v>3.3786</v>
      </c>
      <c r="BJ1128" s="198">
        <v>17.497900000000001</v>
      </c>
      <c r="BT1128" s="1051">
        <v>43598</v>
      </c>
      <c r="BU1128" s="198">
        <v>11.9017</v>
      </c>
      <c r="BV1128" s="198">
        <v>3.7698999999999998</v>
      </c>
      <c r="BW1128" s="198">
        <v>7.5587</v>
      </c>
      <c r="BX1128" s="198">
        <v>1.1984999999999999</v>
      </c>
      <c r="BZ1128" s="1051">
        <v>43598</v>
      </c>
      <c r="CA1128" s="198">
        <v>9.6655999999999995</v>
      </c>
      <c r="CB1128" s="198">
        <v>2.8092999999999999</v>
      </c>
      <c r="CC1128" s="198">
        <v>10.6601</v>
      </c>
      <c r="CD1128" s="198">
        <v>1.09914</v>
      </c>
      <c r="CF1128" s="1051">
        <v>43595</v>
      </c>
      <c r="CI1128" s="198">
        <v>8.5634999999999994</v>
      </c>
      <c r="CL1128" s="1051">
        <v>43616</v>
      </c>
      <c r="CM1128" s="198">
        <v>15.607900000000001</v>
      </c>
      <c r="CN1128" s="198">
        <v>2.3273000000000001</v>
      </c>
      <c r="CO1128" s="198">
        <v>11.684799999999999</v>
      </c>
    </row>
    <row r="1129" spans="1:93" s="198" customFormat="1">
      <c r="A1129" s="1051">
        <v>43595</v>
      </c>
      <c r="B1129" s="1052">
        <f t="shared" si="172"/>
        <v>7.8098999999999998</v>
      </c>
      <c r="C1129" s="1052">
        <f t="shared" si="174"/>
        <v>7.3673999999999999</v>
      </c>
      <c r="D1129" s="1052">
        <f t="shared" si="178"/>
        <v>8.1310000000000002</v>
      </c>
      <c r="E1129" s="1052">
        <f t="shared" si="179"/>
        <v>7.3712999999999997</v>
      </c>
      <c r="F1129" s="1052">
        <f t="shared" si="180"/>
        <v>13.125999999999999</v>
      </c>
      <c r="G1129" s="1052">
        <f t="shared" si="181"/>
        <v>7.6058000000000003</v>
      </c>
      <c r="H1129" s="1047">
        <f t="shared" si="175"/>
        <v>7.6058000000000003</v>
      </c>
      <c r="I1129" s="1048">
        <f t="shared" si="173"/>
        <v>2.6834783980646204E-2</v>
      </c>
      <c r="J1129" s="1048">
        <f t="shared" si="176"/>
        <v>0.12093838824177333</v>
      </c>
      <c r="K1129" s="1048">
        <f t="shared" si="177"/>
        <v>0.1</v>
      </c>
      <c r="L1129" s="1048"/>
      <c r="N1129" s="1051">
        <v>43595</v>
      </c>
      <c r="O1129" s="1053">
        <v>7.8098999999999998</v>
      </c>
      <c r="P1129" s="1053">
        <v>1.1640999999999999</v>
      </c>
      <c r="Q1129" s="1053">
        <v>10.998200000000001</v>
      </c>
      <c r="R1129" s="1054">
        <f>'B. PE'!$U$23</f>
        <v>15.978235616082999</v>
      </c>
      <c r="S1129" s="1054"/>
      <c r="T1129" s="1054"/>
      <c r="V1129" s="1051">
        <v>43595</v>
      </c>
      <c r="W1129" s="198">
        <v>7.3673999999999999</v>
      </c>
      <c r="X1129" s="198">
        <v>0.51190000000000002</v>
      </c>
      <c r="Y1129" s="198">
        <v>6.0955000000000004</v>
      </c>
      <c r="Z1129" s="198">
        <v>0.32250000000000001</v>
      </c>
      <c r="AB1129" s="1051">
        <v>43545</v>
      </c>
      <c r="AC1129" s="198">
        <v>7.2276999999999996</v>
      </c>
      <c r="AD1129" s="1053">
        <v>1.3594999999999999</v>
      </c>
      <c r="AE1129" s="198">
        <v>6.7255000000000003</v>
      </c>
      <c r="AF1129" s="198">
        <v>2.8340000000000001E-2</v>
      </c>
      <c r="AH1129" s="1051">
        <v>43545</v>
      </c>
      <c r="AI1129" s="198">
        <v>9.3341999999999992</v>
      </c>
      <c r="AJ1129" s="198">
        <v>1.4899</v>
      </c>
      <c r="AK1129" s="198">
        <v>5.01</v>
      </c>
      <c r="AL1129" s="198">
        <v>1.5299999999999999E-2</v>
      </c>
      <c r="AN1129" s="1051">
        <v>43556</v>
      </c>
      <c r="AO1129" s="198">
        <v>7.2253999999999996</v>
      </c>
      <c r="AP1129" s="198">
        <v>0.60960000000000003</v>
      </c>
      <c r="AQ1129" s="198">
        <v>3.8428</v>
      </c>
      <c r="AR1129" s="198">
        <v>0.12138</v>
      </c>
      <c r="AT1129" s="1051">
        <v>43474</v>
      </c>
      <c r="AU1129" s="198">
        <v>8.0945</v>
      </c>
      <c r="AV1129" s="198">
        <v>0.5494</v>
      </c>
      <c r="AW1129" s="198">
        <v>5.8365</v>
      </c>
      <c r="AX1129" s="198">
        <v>0.1166</v>
      </c>
      <c r="BA1129" s="1051">
        <v>43536</v>
      </c>
      <c r="BB1129" s="198">
        <v>8.4693000000000005</v>
      </c>
      <c r="BC1129" s="198">
        <v>1.8186</v>
      </c>
      <c r="BD1129" s="198">
        <v>8.8732000000000006</v>
      </c>
      <c r="BE1129" s="198">
        <v>0.36547000000000002</v>
      </c>
      <c r="BG1129" s="1051">
        <v>43536</v>
      </c>
      <c r="BH1129" s="198">
        <v>14.4518</v>
      </c>
      <c r="BI1129" s="198">
        <v>3.3786</v>
      </c>
      <c r="BJ1129" s="198">
        <v>17.497900000000001</v>
      </c>
      <c r="BT1129" s="1051">
        <v>43595</v>
      </c>
      <c r="BU1129" s="198">
        <v>11.873699999999999</v>
      </c>
      <c r="BV1129" s="198">
        <v>3.7610999999999999</v>
      </c>
      <c r="BW1129" s="198">
        <v>7.5423</v>
      </c>
      <c r="BX1129" s="198">
        <v>1.1915</v>
      </c>
      <c r="BZ1129" s="1051">
        <v>43595</v>
      </c>
      <c r="CA1129" s="198">
        <v>9.4898000000000007</v>
      </c>
      <c r="CB1129" s="198">
        <v>2.7583000000000002</v>
      </c>
      <c r="CC1129" s="198">
        <v>10.5306</v>
      </c>
      <c r="CD1129" s="198">
        <v>1.11134</v>
      </c>
      <c r="CF1129" s="1051">
        <v>43594</v>
      </c>
      <c r="CI1129" s="198">
        <v>8.5634999999999994</v>
      </c>
      <c r="CL1129" s="1051">
        <v>43614</v>
      </c>
      <c r="CM1129" s="198">
        <v>15.7864</v>
      </c>
      <c r="CN1129" s="198">
        <v>2.3538999999999999</v>
      </c>
      <c r="CO1129" s="198">
        <v>11.834</v>
      </c>
    </row>
    <row r="1130" spans="1:93" s="198" customFormat="1">
      <c r="A1130" s="1051">
        <v>43594</v>
      </c>
      <c r="B1130" s="1052">
        <f t="shared" si="172"/>
        <v>7.6875999999999998</v>
      </c>
      <c r="C1130" s="1052">
        <f t="shared" si="174"/>
        <v>7.2846000000000002</v>
      </c>
      <c r="D1130" s="1052">
        <f t="shared" si="178"/>
        <v>7.9722999999999997</v>
      </c>
      <c r="E1130" s="1052">
        <f t="shared" si="179"/>
        <v>7.4443000000000001</v>
      </c>
      <c r="F1130" s="1052">
        <f t="shared" si="180"/>
        <v>13.362500000000001</v>
      </c>
      <c r="G1130" s="1052">
        <f t="shared" si="181"/>
        <v>7.6795999999999998</v>
      </c>
      <c r="H1130" s="1047">
        <f t="shared" si="175"/>
        <v>7.6795999999999998</v>
      </c>
      <c r="I1130" s="1048">
        <f t="shared" si="173"/>
        <v>1.0417209229647284E-3</v>
      </c>
      <c r="J1130" s="1048">
        <f t="shared" si="176"/>
        <v>0.12093838824177333</v>
      </c>
      <c r="K1130" s="1048">
        <f t="shared" si="177"/>
        <v>0.1</v>
      </c>
      <c r="L1130" s="1048"/>
      <c r="N1130" s="1051">
        <v>43594</v>
      </c>
      <c r="O1130" s="1053">
        <v>7.6875999999999998</v>
      </c>
      <c r="P1130" s="1053">
        <v>1.1457999999999999</v>
      </c>
      <c r="Q1130" s="1053">
        <v>10.9008</v>
      </c>
      <c r="R1130" s="1054">
        <f>'B. PE'!$U$23</f>
        <v>15.978235616082999</v>
      </c>
      <c r="S1130" s="1054"/>
      <c r="T1130" s="1054"/>
      <c r="V1130" s="1051">
        <v>43594</v>
      </c>
      <c r="W1130" s="198">
        <v>7.2846000000000002</v>
      </c>
      <c r="X1130" s="198">
        <v>0.50619999999999998</v>
      </c>
      <c r="Y1130" s="198">
        <v>6.0647000000000002</v>
      </c>
      <c r="Z1130" s="198">
        <v>0.32341999999999999</v>
      </c>
      <c r="AB1130" s="1051">
        <v>43544</v>
      </c>
      <c r="AC1130" s="198">
        <v>7.1734999999999998</v>
      </c>
      <c r="AD1130" s="1053">
        <v>1.3492999999999999</v>
      </c>
      <c r="AE1130" s="198">
        <v>6.6948999999999996</v>
      </c>
      <c r="AF1130" s="198">
        <v>2.8129999999999999E-2</v>
      </c>
      <c r="AH1130" s="1051">
        <v>43544</v>
      </c>
      <c r="AI1130" s="198">
        <v>9.4193999999999996</v>
      </c>
      <c r="AJ1130" s="198">
        <v>1.5035000000000001</v>
      </c>
      <c r="AK1130" s="198">
        <v>5.0513000000000003</v>
      </c>
      <c r="AL1130" s="198">
        <v>1.54E-2</v>
      </c>
      <c r="AN1130" s="1051">
        <v>43553</v>
      </c>
      <c r="AO1130" s="198">
        <v>7.1889000000000003</v>
      </c>
      <c r="AP1130" s="198">
        <v>0.60650000000000004</v>
      </c>
      <c r="AQ1130" s="198">
        <v>3.8130999999999999</v>
      </c>
      <c r="AR1130" s="198">
        <v>0.12218999999999999</v>
      </c>
      <c r="AT1130" s="1051">
        <v>43473</v>
      </c>
      <c r="AU1130" s="198">
        <v>7.9292999999999996</v>
      </c>
      <c r="AV1130" s="198">
        <v>0.53820000000000001</v>
      </c>
      <c r="AW1130" s="198">
        <v>5.7499000000000002</v>
      </c>
      <c r="BA1130" s="1051">
        <v>43535</v>
      </c>
      <c r="BB1130" s="198">
        <v>8.5442</v>
      </c>
      <c r="BC1130" s="198">
        <v>1.8347</v>
      </c>
      <c r="BD1130" s="198">
        <v>8.9300999999999995</v>
      </c>
      <c r="BE1130" s="198">
        <v>0.36409000000000002</v>
      </c>
      <c r="BG1130" s="1051">
        <v>43535</v>
      </c>
      <c r="BH1130" s="198">
        <v>14.4518</v>
      </c>
      <c r="BI1130" s="198">
        <v>3.3786</v>
      </c>
      <c r="BJ1130" s="198">
        <v>17.497900000000001</v>
      </c>
      <c r="BT1130" s="1051">
        <v>43594</v>
      </c>
      <c r="BU1130" s="198">
        <v>11.747999999999999</v>
      </c>
      <c r="BV1130" s="198">
        <v>3.7212999999999998</v>
      </c>
      <c r="BW1130" s="198">
        <v>7.4686000000000003</v>
      </c>
      <c r="BX1130" s="198">
        <v>1.1993</v>
      </c>
      <c r="BZ1130" s="1051">
        <v>43594</v>
      </c>
      <c r="CA1130" s="198">
        <v>9.9585000000000008</v>
      </c>
      <c r="CB1130" s="198">
        <v>2.8944999999999999</v>
      </c>
      <c r="CC1130" s="198">
        <v>10.875999999999999</v>
      </c>
      <c r="CD1130" s="198">
        <v>1.1197299999999999</v>
      </c>
      <c r="CF1130" s="1051">
        <v>43593</v>
      </c>
      <c r="CI1130" s="198">
        <v>8.5634999999999994</v>
      </c>
      <c r="CL1130" s="1051">
        <v>43613</v>
      </c>
      <c r="CM1130" s="198">
        <v>16.117999999999999</v>
      </c>
      <c r="CN1130" s="198">
        <v>2.4034</v>
      </c>
      <c r="CO1130" s="198">
        <v>12.1112</v>
      </c>
    </row>
    <row r="1131" spans="1:93" s="198" customFormat="1">
      <c r="A1131" s="1051">
        <v>43593</v>
      </c>
      <c r="B1131" s="1052">
        <f t="shared" si="172"/>
        <v>7.7923999999999998</v>
      </c>
      <c r="C1131" s="1052">
        <f t="shared" si="174"/>
        <v>7.4088000000000003</v>
      </c>
      <c r="D1131" s="1052">
        <f t="shared" si="178"/>
        <v>8.5275999999999996</v>
      </c>
      <c r="E1131" s="1052">
        <f t="shared" si="179"/>
        <v>7.4443000000000001</v>
      </c>
      <c r="F1131" s="1052">
        <f t="shared" si="180"/>
        <v>13.244300000000001</v>
      </c>
      <c r="G1131" s="1052">
        <f t="shared" si="181"/>
        <v>7.7534999999999998</v>
      </c>
      <c r="H1131" s="1047">
        <f t="shared" si="175"/>
        <v>7.7534999999999998</v>
      </c>
      <c r="I1131" s="1048">
        <f t="shared" si="173"/>
        <v>5.0170890565550685E-3</v>
      </c>
      <c r="J1131" s="1048">
        <f t="shared" si="176"/>
        <v>0.12093838824177333</v>
      </c>
      <c r="K1131" s="1048">
        <f t="shared" si="177"/>
        <v>0.1</v>
      </c>
      <c r="L1131" s="1048"/>
      <c r="N1131" s="1051">
        <v>43593</v>
      </c>
      <c r="O1131" s="1053">
        <v>7.7923999999999998</v>
      </c>
      <c r="P1131" s="1053">
        <v>1.1615</v>
      </c>
      <c r="Q1131" s="1053">
        <v>10.984299999999999</v>
      </c>
      <c r="R1131" s="1054">
        <f>'B. PE'!$U$23</f>
        <v>15.978235616082999</v>
      </c>
      <c r="S1131" s="1054"/>
      <c r="T1131" s="1054"/>
      <c r="V1131" s="1051">
        <v>43593</v>
      </c>
      <c r="W1131" s="198">
        <v>7.4088000000000003</v>
      </c>
      <c r="X1131" s="198">
        <v>0.51480000000000004</v>
      </c>
      <c r="Y1131" s="198">
        <v>6.1108000000000002</v>
      </c>
      <c r="Z1131" s="198">
        <v>0.32396999999999998</v>
      </c>
      <c r="AB1131" s="1051">
        <v>43543</v>
      </c>
      <c r="AC1131" s="198">
        <v>7.2638999999999996</v>
      </c>
      <c r="AD1131" s="1053">
        <v>1.3663000000000001</v>
      </c>
      <c r="AE1131" s="198">
        <v>6.7458999999999998</v>
      </c>
      <c r="AF1131" s="198">
        <v>2.8930000000000001E-2</v>
      </c>
      <c r="AH1131" s="1051">
        <v>43543</v>
      </c>
      <c r="AI1131" s="198">
        <v>9.2489000000000008</v>
      </c>
      <c r="AJ1131" s="198">
        <v>1.4762999999999999</v>
      </c>
      <c r="AK1131" s="198">
        <v>4.9687999999999999</v>
      </c>
      <c r="AL1131" s="198">
        <v>1.545E-2</v>
      </c>
      <c r="AN1131" s="1051">
        <v>43552</v>
      </c>
      <c r="AO1131" s="198">
        <v>7.2253999999999996</v>
      </c>
      <c r="AP1131" s="198">
        <v>0.61850000000000005</v>
      </c>
      <c r="AQ1131" s="198">
        <v>4.1856</v>
      </c>
      <c r="AR1131" s="198">
        <v>0.12271</v>
      </c>
      <c r="AT1131" s="1051">
        <v>43472</v>
      </c>
      <c r="AU1131" s="198">
        <v>7.9292999999999996</v>
      </c>
      <c r="AV1131" s="198">
        <v>0.53820000000000001</v>
      </c>
      <c r="AW1131" s="198">
        <v>5.7499000000000002</v>
      </c>
      <c r="AX1131" s="198">
        <v>0.11942</v>
      </c>
      <c r="BA1131" s="1051">
        <v>43532</v>
      </c>
      <c r="BB1131" s="198">
        <v>8.6941000000000006</v>
      </c>
      <c r="BC1131" s="198">
        <v>1.8669</v>
      </c>
      <c r="BD1131" s="198">
        <v>9.0440000000000005</v>
      </c>
      <c r="BE1131" s="198">
        <v>0.36735000000000001</v>
      </c>
      <c r="BG1131" s="1051">
        <v>43532</v>
      </c>
      <c r="BH1131" s="198">
        <v>14.5693</v>
      </c>
      <c r="BI1131" s="198">
        <v>3.4060000000000001</v>
      </c>
      <c r="BJ1131" s="198">
        <v>17.597899999999999</v>
      </c>
      <c r="BT1131" s="1051">
        <v>43593</v>
      </c>
      <c r="BU1131" s="198">
        <v>11.664199999999999</v>
      </c>
      <c r="BV1131" s="198">
        <v>3.6947000000000001</v>
      </c>
      <c r="BW1131" s="198">
        <v>7.4194000000000004</v>
      </c>
      <c r="BX1131" s="198">
        <v>1.1999</v>
      </c>
      <c r="BZ1131" s="1051">
        <v>43593</v>
      </c>
      <c r="CA1131" s="198">
        <v>10.056100000000001</v>
      </c>
      <c r="CB1131" s="198">
        <v>2.9228000000000001</v>
      </c>
      <c r="CC1131" s="198">
        <v>10.948</v>
      </c>
      <c r="CD1131" s="198">
        <v>1.12599</v>
      </c>
      <c r="CF1131" s="1051">
        <v>43592</v>
      </c>
      <c r="CI1131" s="198">
        <v>8.5634999999999994</v>
      </c>
      <c r="CL1131" s="1051">
        <v>43612</v>
      </c>
      <c r="CM1131" s="198">
        <v>15.9139</v>
      </c>
      <c r="CN1131" s="198">
        <v>2.3729</v>
      </c>
      <c r="CO1131" s="198">
        <v>11.9406</v>
      </c>
    </row>
    <row r="1132" spans="1:93" s="198" customFormat="1">
      <c r="A1132" s="1051">
        <v>43592</v>
      </c>
      <c r="B1132" s="1052">
        <f t="shared" si="172"/>
        <v>7.8273000000000001</v>
      </c>
      <c r="C1132" s="1052">
        <f t="shared" si="174"/>
        <v>7.4169999999999998</v>
      </c>
      <c r="D1132" s="1052">
        <f t="shared" si="178"/>
        <v>8.6862999999999992</v>
      </c>
      <c r="E1132" s="1052">
        <f t="shared" si="179"/>
        <v>7.4443000000000001</v>
      </c>
      <c r="F1132" s="1052">
        <f t="shared" si="180"/>
        <v>13.244300000000001</v>
      </c>
      <c r="G1132" s="1052">
        <f t="shared" si="181"/>
        <v>7.8273000000000001</v>
      </c>
      <c r="H1132" s="1047">
        <f t="shared" si="175"/>
        <v>7.8273000000000001</v>
      </c>
      <c r="I1132" s="1048">
        <f t="shared" si="173"/>
        <v>0</v>
      </c>
      <c r="J1132" s="1048">
        <f t="shared" si="176"/>
        <v>0.12093838824177333</v>
      </c>
      <c r="K1132" s="1048">
        <f t="shared" si="177"/>
        <v>0.1</v>
      </c>
      <c r="L1132" s="1048"/>
      <c r="N1132" s="1051">
        <v>43592</v>
      </c>
      <c r="O1132" s="1053">
        <v>7.8273000000000001</v>
      </c>
      <c r="P1132" s="1053">
        <v>1.1667000000000001</v>
      </c>
      <c r="Q1132" s="1053">
        <v>11.0121</v>
      </c>
      <c r="R1132" s="1054">
        <f>'B. PE'!$U$23</f>
        <v>15.978235616082999</v>
      </c>
      <c r="S1132" s="1054"/>
      <c r="T1132" s="1054"/>
      <c r="V1132" s="1051">
        <v>43592</v>
      </c>
      <c r="W1132" s="198">
        <v>7.4169999999999998</v>
      </c>
      <c r="X1132" s="198">
        <v>0.51539999999999997</v>
      </c>
      <c r="Y1132" s="198">
        <v>6.1139000000000001</v>
      </c>
      <c r="Z1132" s="198">
        <v>0.32578000000000001</v>
      </c>
      <c r="AB1132" s="1051">
        <v>43542</v>
      </c>
      <c r="AC1132" s="198">
        <v>7.2276999999999996</v>
      </c>
      <c r="AD1132" s="1053">
        <v>1.3594999999999999</v>
      </c>
      <c r="AE1132" s="198">
        <v>6.7255000000000003</v>
      </c>
      <c r="AF1132" s="198">
        <v>2.9149999999999999E-2</v>
      </c>
      <c r="AH1132" s="1051">
        <v>43542</v>
      </c>
      <c r="AI1132" s="198">
        <v>9.3341999999999992</v>
      </c>
      <c r="AJ1132" s="198">
        <v>1.4899</v>
      </c>
      <c r="AK1132" s="198">
        <v>5.01</v>
      </c>
      <c r="AL1132" s="198">
        <v>1.465E-2</v>
      </c>
      <c r="AN1132" s="1051">
        <v>43551</v>
      </c>
      <c r="AO1132" s="198">
        <v>7.2618999999999998</v>
      </c>
      <c r="AP1132" s="198">
        <v>0.62170000000000003</v>
      </c>
      <c r="AQ1132" s="198">
        <v>4.2161</v>
      </c>
      <c r="AR1132" s="198">
        <v>0.12293999999999999</v>
      </c>
      <c r="AT1132" s="1051">
        <v>43469</v>
      </c>
      <c r="AW1132" s="198">
        <v>5.8799000000000001</v>
      </c>
      <c r="BA1132" s="1051">
        <v>43531</v>
      </c>
      <c r="BB1132" s="198">
        <v>8.6941000000000006</v>
      </c>
      <c r="BC1132" s="198">
        <v>1.8669</v>
      </c>
      <c r="BD1132" s="198">
        <v>9.0440000000000005</v>
      </c>
      <c r="BE1132" s="198">
        <v>0.35848999999999998</v>
      </c>
      <c r="BG1132" s="1051">
        <v>43531</v>
      </c>
      <c r="BH1132" s="198">
        <v>14.5266</v>
      </c>
      <c r="BI1132" s="198">
        <v>3.3959999999999999</v>
      </c>
      <c r="BJ1132" s="198">
        <v>17.561499999999999</v>
      </c>
      <c r="BT1132" s="1051">
        <v>43592</v>
      </c>
      <c r="BU1132" s="198">
        <v>11.7201</v>
      </c>
      <c r="BV1132" s="198">
        <v>3.7124000000000001</v>
      </c>
      <c r="BW1132" s="198">
        <v>7.4522000000000004</v>
      </c>
      <c r="BX1132" s="198">
        <v>1.2313000000000001</v>
      </c>
      <c r="BZ1132" s="1051">
        <v>43592</v>
      </c>
      <c r="CA1132" s="198">
        <v>10.114699999999999</v>
      </c>
      <c r="CB1132" s="198">
        <v>2.9399000000000002</v>
      </c>
      <c r="CC1132" s="198">
        <v>10.991099999999999</v>
      </c>
      <c r="CD1132" s="198">
        <v>1.12941</v>
      </c>
      <c r="CF1132" s="1051">
        <v>43591</v>
      </c>
      <c r="CI1132" s="198">
        <v>8.5634999999999994</v>
      </c>
      <c r="CL1132" s="1051">
        <v>43609</v>
      </c>
      <c r="CM1132" s="198">
        <v>15.799200000000001</v>
      </c>
      <c r="CN1132" s="198">
        <v>2.3557999999999999</v>
      </c>
      <c r="CO1132" s="198">
        <v>11.8447</v>
      </c>
    </row>
    <row r="1133" spans="1:93" s="198" customFormat="1">
      <c r="A1133" s="1051">
        <v>43591</v>
      </c>
      <c r="B1133" s="1052">
        <f t="shared" si="172"/>
        <v>7.7050000000000001</v>
      </c>
      <c r="C1133" s="1052">
        <f t="shared" si="174"/>
        <v>7.4169999999999998</v>
      </c>
      <c r="D1133" s="1052">
        <f t="shared" si="178"/>
        <v>8.5672999999999995</v>
      </c>
      <c r="E1133" s="1052">
        <f t="shared" si="179"/>
        <v>7.3712999999999997</v>
      </c>
      <c r="F1133" s="1052">
        <f t="shared" si="180"/>
        <v>13.244300000000001</v>
      </c>
      <c r="G1133" s="1052">
        <f t="shared" si="181"/>
        <v>7.8273000000000001</v>
      </c>
      <c r="H1133" s="1047">
        <f t="shared" si="175"/>
        <v>7.8273000000000001</v>
      </c>
      <c r="I1133" s="1048">
        <f t="shared" si="173"/>
        <v>-1.5624800378163606E-2</v>
      </c>
      <c r="J1133" s="1048">
        <f t="shared" si="176"/>
        <v>0.12093838824177333</v>
      </c>
      <c r="K1133" s="1048">
        <f t="shared" si="177"/>
        <v>0.1</v>
      </c>
      <c r="L1133" s="1048"/>
      <c r="N1133" s="1051">
        <v>43591</v>
      </c>
      <c r="O1133" s="1053">
        <v>7.7050000000000001</v>
      </c>
      <c r="P1133" s="1053">
        <v>1.1485000000000001</v>
      </c>
      <c r="Q1133" s="1053">
        <v>10.9147</v>
      </c>
      <c r="R1133" s="1054">
        <f>'B. PE'!$U$23</f>
        <v>15.978235616082999</v>
      </c>
      <c r="S1133" s="1054"/>
      <c r="T1133" s="1054"/>
      <c r="V1133" s="1051">
        <v>43591</v>
      </c>
      <c r="W1133" s="198">
        <v>7.4169999999999998</v>
      </c>
      <c r="X1133" s="198">
        <v>0.51539999999999997</v>
      </c>
      <c r="Y1133" s="198">
        <v>6.1139000000000001</v>
      </c>
      <c r="Z1133" s="198">
        <v>0.32765</v>
      </c>
      <c r="AB1133" s="1051">
        <v>43539</v>
      </c>
      <c r="AC1133" s="198">
        <v>7.4446000000000003</v>
      </c>
      <c r="AD1133" s="1053">
        <v>1.4003000000000001</v>
      </c>
      <c r="AE1133" s="198">
        <v>6.8478000000000003</v>
      </c>
      <c r="AF1133" s="198">
        <v>2.8230000000000002E-2</v>
      </c>
      <c r="AH1133" s="1051">
        <v>43539</v>
      </c>
      <c r="AI1133" s="198">
        <v>9.3767999999999994</v>
      </c>
      <c r="AJ1133" s="198">
        <v>1.4966999999999999</v>
      </c>
      <c r="AK1133" s="198">
        <v>5.0305999999999997</v>
      </c>
      <c r="AL1133" s="198">
        <v>1.4109999999999999E-2</v>
      </c>
      <c r="AN1133" s="1051">
        <v>43550</v>
      </c>
      <c r="AO1133" s="198">
        <v>7.2984</v>
      </c>
      <c r="AP1133" s="198">
        <v>0.62480000000000002</v>
      </c>
      <c r="AQ1133" s="198">
        <v>4.2465000000000002</v>
      </c>
      <c r="AR1133" s="198">
        <v>0.12523000000000001</v>
      </c>
      <c r="AT1133" s="1051">
        <v>43468</v>
      </c>
      <c r="AU1133" s="198">
        <v>8.1770999999999994</v>
      </c>
      <c r="AV1133" s="198">
        <v>0.55500000000000005</v>
      </c>
      <c r="AW1133" s="198">
        <v>5.8799000000000001</v>
      </c>
      <c r="BA1133" s="1051">
        <v>43530</v>
      </c>
      <c r="BB1133" s="198">
        <v>8.7690999999999999</v>
      </c>
      <c r="BC1133" s="198">
        <v>1.8829</v>
      </c>
      <c r="BD1133" s="198">
        <v>9.1008999999999993</v>
      </c>
      <c r="BE1133" s="198">
        <v>0.35777999999999999</v>
      </c>
      <c r="BG1133" s="1051">
        <v>43530</v>
      </c>
      <c r="BH1133" s="198">
        <v>14.7402</v>
      </c>
      <c r="BI1133" s="198">
        <v>3.4460000000000002</v>
      </c>
      <c r="BJ1133" s="198">
        <v>17.743300000000001</v>
      </c>
      <c r="BT1133" s="1051">
        <v>43591</v>
      </c>
      <c r="BU1133" s="198">
        <v>11.706099999999999</v>
      </c>
      <c r="BV1133" s="198">
        <v>3.7080000000000002</v>
      </c>
      <c r="BW1133" s="198">
        <v>7.444</v>
      </c>
      <c r="BX1133" s="198">
        <v>1.2330000000000001</v>
      </c>
      <c r="BZ1133" s="1051">
        <v>43591</v>
      </c>
      <c r="CA1133" s="198">
        <v>10.153700000000001</v>
      </c>
      <c r="CB1133" s="198">
        <v>2.9512</v>
      </c>
      <c r="CC1133" s="198">
        <v>11.0199</v>
      </c>
      <c r="CD1133" s="198">
        <v>1.12744</v>
      </c>
      <c r="CF1133" s="1051">
        <v>43588</v>
      </c>
      <c r="CI1133" s="198">
        <v>8.5634999999999994</v>
      </c>
      <c r="CL1133" s="1051">
        <v>43608</v>
      </c>
      <c r="CM1133" s="198">
        <v>15.709899999999999</v>
      </c>
      <c r="CN1133" s="198">
        <v>2.3424999999999998</v>
      </c>
      <c r="CO1133" s="198">
        <v>11.770099999999999</v>
      </c>
    </row>
    <row r="1134" spans="1:93" s="198" customFormat="1">
      <c r="A1134" s="1051">
        <v>43588</v>
      </c>
      <c r="B1134" s="1052">
        <f t="shared" si="172"/>
        <v>7.9321999999999999</v>
      </c>
      <c r="C1134" s="1052">
        <f t="shared" si="174"/>
        <v>7.4501999999999997</v>
      </c>
      <c r="D1134" s="1052">
        <f t="shared" si="178"/>
        <v>8.7655999999999992</v>
      </c>
      <c r="E1134" s="1052">
        <f t="shared" si="179"/>
        <v>7.4443000000000001</v>
      </c>
      <c r="F1134" s="1052">
        <f t="shared" si="180"/>
        <v>13.599</v>
      </c>
      <c r="G1134" s="1052">
        <f t="shared" si="181"/>
        <v>7.8273000000000001</v>
      </c>
      <c r="H1134" s="1047">
        <f t="shared" si="175"/>
        <v>7.8273000000000001</v>
      </c>
      <c r="I1134" s="1048">
        <f t="shared" si="173"/>
        <v>1.340181160808962E-2</v>
      </c>
      <c r="J1134" s="1048">
        <f t="shared" si="176"/>
        <v>0.12093838824177333</v>
      </c>
      <c r="K1134" s="1048">
        <f t="shared" si="177"/>
        <v>0.1</v>
      </c>
      <c r="L1134" s="1048"/>
      <c r="N1134" s="1051">
        <v>43588</v>
      </c>
      <c r="O1134" s="1053">
        <v>7.9321999999999999</v>
      </c>
      <c r="P1134" s="1053">
        <v>1.1822999999999999</v>
      </c>
      <c r="Q1134" s="1053">
        <v>11.095700000000001</v>
      </c>
      <c r="R1134" s="1054">
        <f>'B. PE'!$U$23</f>
        <v>15.978235616082999</v>
      </c>
      <c r="S1134" s="1054"/>
      <c r="T1134" s="1054"/>
      <c r="V1134" s="1051">
        <v>43588</v>
      </c>
      <c r="W1134" s="198">
        <v>7.4501999999999997</v>
      </c>
      <c r="X1134" s="198">
        <v>0.51770000000000005</v>
      </c>
      <c r="Y1134" s="198">
        <v>6.1261999999999999</v>
      </c>
      <c r="Z1134" s="198">
        <v>0.32524999999999998</v>
      </c>
      <c r="AB1134" s="1051">
        <v>43538</v>
      </c>
      <c r="AC1134" s="198">
        <v>7.5167999999999999</v>
      </c>
      <c r="AD1134" s="1053">
        <v>1.4138999999999999</v>
      </c>
      <c r="AE1134" s="198">
        <v>6.8886000000000003</v>
      </c>
      <c r="AF1134" s="198">
        <v>2.793E-2</v>
      </c>
      <c r="AH1134" s="1051">
        <v>43538</v>
      </c>
      <c r="AI1134" s="198">
        <v>8.9078999999999997</v>
      </c>
      <c r="AJ1134" s="198">
        <v>1.4218999999999999</v>
      </c>
      <c r="AK1134" s="198">
        <v>4.8037999999999998</v>
      </c>
      <c r="AL1134" s="198">
        <v>1.414E-2</v>
      </c>
      <c r="AN1134" s="1051">
        <v>43549</v>
      </c>
      <c r="AO1134" s="198">
        <v>7.2984</v>
      </c>
      <c r="AP1134" s="198">
        <v>0.62480000000000002</v>
      </c>
      <c r="AQ1134" s="198">
        <v>4.2465000000000002</v>
      </c>
      <c r="AR1134" s="198">
        <v>0.12223000000000001</v>
      </c>
      <c r="AT1134" s="1051">
        <v>43467</v>
      </c>
      <c r="AW1134" s="198">
        <v>5.6197999999999997</v>
      </c>
      <c r="BA1134" s="1051">
        <v>43529</v>
      </c>
      <c r="BB1134" s="198">
        <v>8.5442</v>
      </c>
      <c r="BC1134" s="198">
        <v>1.8347</v>
      </c>
      <c r="BD1134" s="198">
        <v>8.9300999999999995</v>
      </c>
      <c r="BE1134" s="198">
        <v>0.35510000000000003</v>
      </c>
      <c r="BG1134" s="1051">
        <v>43529</v>
      </c>
      <c r="BH1134" s="198">
        <v>14.206200000000001</v>
      </c>
      <c r="BI1134" s="198">
        <v>3.3210999999999999</v>
      </c>
      <c r="BJ1134" s="198">
        <v>17.288799999999998</v>
      </c>
      <c r="BT1134" s="1051">
        <v>43588</v>
      </c>
      <c r="BU1134" s="198">
        <v>11.999499999999999</v>
      </c>
      <c r="BV1134" s="198">
        <v>3.8008999999999999</v>
      </c>
      <c r="BW1134" s="198">
        <v>7.6159999999999997</v>
      </c>
      <c r="BX1134" s="198">
        <v>1.2163999999999999</v>
      </c>
      <c r="BZ1134" s="1051">
        <v>43588</v>
      </c>
      <c r="CA1134" s="198">
        <v>10.173299999999999</v>
      </c>
      <c r="CB1134" s="198">
        <v>2.9569000000000001</v>
      </c>
      <c r="CC1134" s="198">
        <v>11.0343</v>
      </c>
      <c r="CD1134" s="198">
        <v>1.1093299999999999</v>
      </c>
      <c r="CF1134" s="1051">
        <v>43587</v>
      </c>
      <c r="CG1134" s="198">
        <v>6.2378999999999998</v>
      </c>
      <c r="CH1134" s="198">
        <v>1.1135999999999999</v>
      </c>
      <c r="CI1134" s="198">
        <v>8.5634999999999994</v>
      </c>
      <c r="CL1134" s="1051">
        <v>43607</v>
      </c>
      <c r="CM1134" s="198">
        <v>15.837400000000001</v>
      </c>
      <c r="CN1134" s="198">
        <v>2.3614999999999999</v>
      </c>
      <c r="CO1134" s="198">
        <v>11.8767</v>
      </c>
    </row>
    <row r="1135" spans="1:93" s="198" customFormat="1">
      <c r="A1135" s="1051">
        <v>43587</v>
      </c>
      <c r="B1135" s="1052">
        <f t="shared" si="172"/>
        <v>7.9321999999999999</v>
      </c>
      <c r="C1135" s="1052">
        <f t="shared" si="174"/>
        <v>7.4915000000000003</v>
      </c>
      <c r="D1135" s="1052">
        <f t="shared" si="178"/>
        <v>8.8449000000000009</v>
      </c>
      <c r="E1135" s="1052">
        <f t="shared" si="179"/>
        <v>7.4443000000000001</v>
      </c>
      <c r="F1135" s="1052">
        <f t="shared" si="180"/>
        <v>13.599</v>
      </c>
      <c r="G1135" s="1052">
        <f t="shared" si="181"/>
        <v>8.1965000000000003</v>
      </c>
      <c r="H1135" s="1047">
        <f t="shared" si="175"/>
        <v>8.1965000000000003</v>
      </c>
      <c r="I1135" s="1048">
        <f t="shared" si="173"/>
        <v>-3.2245470627706996E-2</v>
      </c>
      <c r="J1135" s="1048">
        <f t="shared" si="176"/>
        <v>0.12093838824177333</v>
      </c>
      <c r="K1135" s="1048">
        <f t="shared" si="177"/>
        <v>0.1</v>
      </c>
      <c r="L1135" s="1048"/>
      <c r="N1135" s="1051">
        <v>43587</v>
      </c>
      <c r="O1135" s="1053">
        <v>7.9321999999999999</v>
      </c>
      <c r="P1135" s="1053">
        <v>1.1822999999999999</v>
      </c>
      <c r="Q1135" s="1053">
        <v>11.095700000000001</v>
      </c>
      <c r="R1135" s="1054">
        <f>'B. PE'!$U$23</f>
        <v>15.978235616082999</v>
      </c>
      <c r="S1135" s="1054"/>
      <c r="T1135" s="1054"/>
      <c r="V1135" s="1051">
        <v>43587</v>
      </c>
      <c r="W1135" s="198">
        <v>7.4915000000000003</v>
      </c>
      <c r="X1135" s="198">
        <v>0.52049999999999996</v>
      </c>
      <c r="Y1135" s="198">
        <v>6.1416000000000004</v>
      </c>
      <c r="Z1135" s="198">
        <v>0.32244</v>
      </c>
      <c r="AB1135" s="1051">
        <v>43537</v>
      </c>
      <c r="AC1135" s="198">
        <v>7.2638999999999996</v>
      </c>
      <c r="AD1135" s="1053">
        <v>1.3663000000000001</v>
      </c>
      <c r="AE1135" s="198">
        <v>6.7458999999999998</v>
      </c>
      <c r="AF1135" s="198">
        <v>2.7869999999999999E-2</v>
      </c>
      <c r="AH1135" s="1051">
        <v>43537</v>
      </c>
      <c r="AI1135" s="198">
        <v>8.5670000000000002</v>
      </c>
      <c r="AJ1135" s="198">
        <v>1.3674999999999999</v>
      </c>
      <c r="AK1135" s="198">
        <v>4.6387999999999998</v>
      </c>
      <c r="AL1135" s="198">
        <v>1.4460000000000001E-2</v>
      </c>
      <c r="AN1135" s="1051">
        <v>43546</v>
      </c>
      <c r="AO1135" s="198">
        <v>7.4443000000000001</v>
      </c>
      <c r="AP1135" s="198">
        <v>0.63729999999999998</v>
      </c>
      <c r="AQ1135" s="198">
        <v>4.3684000000000003</v>
      </c>
      <c r="AR1135" s="198">
        <v>0.12250999999999999</v>
      </c>
      <c r="AT1135" s="1051">
        <v>43465</v>
      </c>
      <c r="AW1135" s="198">
        <v>5.6197999999999997</v>
      </c>
      <c r="AX1135" s="198">
        <v>0.11151999999999999</v>
      </c>
      <c r="BA1135" s="1051">
        <v>43528</v>
      </c>
      <c r="BB1135" s="198">
        <v>8.5442</v>
      </c>
      <c r="BC1135" s="198">
        <v>1.8347</v>
      </c>
      <c r="BD1135" s="198">
        <v>8.9300999999999995</v>
      </c>
      <c r="BE1135" s="198">
        <v>0.35781000000000002</v>
      </c>
      <c r="BG1135" s="1051">
        <v>43528</v>
      </c>
      <c r="BH1135" s="198">
        <v>14.099399999999999</v>
      </c>
      <c r="BI1135" s="198">
        <v>3.2961999999999998</v>
      </c>
      <c r="BJ1135" s="198">
        <v>17.197900000000001</v>
      </c>
      <c r="BT1135" s="1051">
        <v>43587</v>
      </c>
      <c r="BU1135" s="198">
        <v>12.013400000000001</v>
      </c>
      <c r="BV1135" s="198">
        <v>3.8052999999999999</v>
      </c>
      <c r="BW1135" s="198">
        <v>7.6242000000000001</v>
      </c>
      <c r="BX1135" s="198">
        <v>1.1966000000000001</v>
      </c>
      <c r="BZ1135" s="1051">
        <v>43587</v>
      </c>
      <c r="CA1135" s="198">
        <v>10.153700000000001</v>
      </c>
      <c r="CB1135" s="198">
        <v>2.9512</v>
      </c>
      <c r="CC1135" s="198">
        <v>11.0199</v>
      </c>
      <c r="CD1135" s="198">
        <v>1.1421300000000001</v>
      </c>
      <c r="CF1135" s="1051">
        <v>43581</v>
      </c>
      <c r="CG1135" s="198">
        <v>6.1041999999999996</v>
      </c>
      <c r="CH1135" s="198">
        <v>1.0898000000000001</v>
      </c>
      <c r="CI1135" s="198">
        <v>8.4902999999999995</v>
      </c>
      <c r="CL1135" s="1051">
        <v>43606</v>
      </c>
      <c r="CM1135" s="198">
        <v>15.8757</v>
      </c>
      <c r="CN1135" s="198">
        <v>2.3672</v>
      </c>
      <c r="CO1135" s="198">
        <v>11.9086</v>
      </c>
    </row>
    <row r="1136" spans="1:93" s="198" customFormat="1">
      <c r="A1136" s="1051">
        <v>43581</v>
      </c>
      <c r="B1136" s="1052">
        <f t="shared" si="172"/>
        <v>7.9671000000000003</v>
      </c>
      <c r="C1136" s="1052">
        <f t="shared" si="174"/>
        <v>7.4419000000000004</v>
      </c>
      <c r="D1136" s="1052">
        <f t="shared" si="178"/>
        <v>7.7343000000000002</v>
      </c>
      <c r="E1136" s="1052">
        <f t="shared" si="179"/>
        <v>7.3712999999999997</v>
      </c>
      <c r="F1136" s="1052">
        <f t="shared" si="180"/>
        <v>13.4808</v>
      </c>
      <c r="G1136" s="1052">
        <f t="shared" si="181"/>
        <v>8.2704000000000004</v>
      </c>
      <c r="H1136" s="1047">
        <f t="shared" si="175"/>
        <v>7.7343000000000002</v>
      </c>
      <c r="I1136" s="1048">
        <f t="shared" si="173"/>
        <v>3.0099685815135224E-2</v>
      </c>
      <c r="J1136" s="1048">
        <f t="shared" si="176"/>
        <v>0.12093838824177333</v>
      </c>
      <c r="K1136" s="1048">
        <f t="shared" si="177"/>
        <v>0.1</v>
      </c>
      <c r="L1136" s="1048"/>
      <c r="N1136" s="1051">
        <v>43581</v>
      </c>
      <c r="O1136" s="1053">
        <v>7.9671000000000003</v>
      </c>
      <c r="P1136" s="1053">
        <v>1.1875</v>
      </c>
      <c r="Q1136" s="1053">
        <v>11.1235</v>
      </c>
      <c r="R1136" s="1054">
        <f>'B. PE'!$U$23</f>
        <v>15.978235616082999</v>
      </c>
      <c r="S1136" s="1054"/>
      <c r="T1136" s="1054"/>
      <c r="V1136" s="1051">
        <v>43581</v>
      </c>
      <c r="W1136" s="198">
        <v>7.4419000000000004</v>
      </c>
      <c r="X1136" s="198">
        <v>0.5171</v>
      </c>
      <c r="Y1136" s="198">
        <v>6.1231999999999998</v>
      </c>
      <c r="Z1136" s="198">
        <v>0.32250000000000001</v>
      </c>
      <c r="AB1136" s="1051">
        <v>43536</v>
      </c>
      <c r="AC1136" s="198">
        <v>7.1734999999999998</v>
      </c>
      <c r="AD1136" s="1053">
        <v>1.3492999999999999</v>
      </c>
      <c r="AE1136" s="198">
        <v>6.6948999999999996</v>
      </c>
      <c r="AF1136" s="198">
        <v>2.775E-2</v>
      </c>
      <c r="AH1136" s="1051">
        <v>43536</v>
      </c>
      <c r="AI1136" s="198">
        <v>8.5670000000000002</v>
      </c>
      <c r="AJ1136" s="198">
        <v>1.3674999999999999</v>
      </c>
      <c r="AK1136" s="198">
        <v>4.6387999999999998</v>
      </c>
      <c r="AL1136" s="198">
        <v>1.461E-2</v>
      </c>
      <c r="AN1136" s="1051">
        <v>43545</v>
      </c>
      <c r="AO1136" s="198">
        <v>7.2253999999999996</v>
      </c>
      <c r="AP1136" s="198">
        <v>0.61850000000000005</v>
      </c>
      <c r="AQ1136" s="198">
        <v>4.1856</v>
      </c>
      <c r="AR1136" s="198">
        <v>0.12204</v>
      </c>
      <c r="AT1136" s="1051">
        <v>43462</v>
      </c>
      <c r="AW1136" s="198">
        <v>5.9653</v>
      </c>
      <c r="BA1136" s="1051">
        <v>43525</v>
      </c>
      <c r="BB1136" s="198">
        <v>8.4693000000000005</v>
      </c>
      <c r="BC1136" s="198">
        <v>1.8186</v>
      </c>
      <c r="BD1136" s="198">
        <v>8.8732000000000006</v>
      </c>
      <c r="BE1136" s="198">
        <v>0.36580000000000001</v>
      </c>
      <c r="BG1136" s="1051">
        <v>43525</v>
      </c>
      <c r="BH1136" s="198">
        <v>14.5266</v>
      </c>
      <c r="BI1136" s="198">
        <v>3.3959999999999999</v>
      </c>
      <c r="BJ1136" s="198">
        <v>17.561499999999999</v>
      </c>
      <c r="BT1136" s="1051">
        <v>43581</v>
      </c>
      <c r="BU1136" s="198">
        <v>11.8598</v>
      </c>
      <c r="BV1136" s="198">
        <v>3.7566999999999999</v>
      </c>
      <c r="BW1136" s="198">
        <v>7.5340999999999996</v>
      </c>
      <c r="BX1136" s="198">
        <v>1.1910000000000001</v>
      </c>
      <c r="BZ1136" s="1051">
        <v>43581</v>
      </c>
      <c r="CA1136" s="198">
        <v>9.9975000000000005</v>
      </c>
      <c r="CB1136" s="198">
        <v>2.9058000000000002</v>
      </c>
      <c r="CC1136" s="198">
        <v>10.9048</v>
      </c>
      <c r="CD1136" s="198">
        <v>1.1067100000000001</v>
      </c>
      <c r="CF1136" s="1051">
        <v>43580</v>
      </c>
      <c r="CI1136" s="198">
        <v>8.2217000000000002</v>
      </c>
      <c r="CL1136" s="1051">
        <v>43605</v>
      </c>
      <c r="CM1136" s="198">
        <v>15.6334</v>
      </c>
      <c r="CN1136" s="198">
        <v>2.3311000000000002</v>
      </c>
      <c r="CO1136" s="198">
        <v>11.706099999999999</v>
      </c>
    </row>
    <row r="1137" spans="1:93" s="198" customFormat="1">
      <c r="A1137" s="1051">
        <v>43580</v>
      </c>
      <c r="B1137" s="1052">
        <f t="shared" si="172"/>
        <v>7.8971999999999998</v>
      </c>
      <c r="C1137" s="1052">
        <f t="shared" si="174"/>
        <v>7.3757000000000001</v>
      </c>
      <c r="D1137" s="1052">
        <f t="shared" si="178"/>
        <v>7.7343000000000002</v>
      </c>
      <c r="E1137" s="1052">
        <f t="shared" si="179"/>
        <v>7.3712999999999997</v>
      </c>
      <c r="F1137" s="1052">
        <f t="shared" si="180"/>
        <v>13.4808</v>
      </c>
      <c r="G1137" s="1052">
        <f t="shared" si="181"/>
        <v>8.2704000000000004</v>
      </c>
      <c r="H1137" s="1047">
        <f t="shared" si="175"/>
        <v>7.7343000000000002</v>
      </c>
      <c r="I1137" s="1048">
        <f t="shared" si="173"/>
        <v>2.1062022419611193E-2</v>
      </c>
      <c r="J1137" s="1048">
        <f t="shared" si="176"/>
        <v>0.12093838824177333</v>
      </c>
      <c r="K1137" s="1048">
        <f t="shared" si="177"/>
        <v>0.1</v>
      </c>
      <c r="L1137" s="1048"/>
      <c r="N1137" s="1051">
        <v>43580</v>
      </c>
      <c r="O1137" s="1053">
        <v>7.8971999999999998</v>
      </c>
      <c r="P1137" s="1053">
        <v>1.1771</v>
      </c>
      <c r="Q1137" s="1053">
        <v>11.0678</v>
      </c>
      <c r="R1137" s="1054">
        <f>'B. PE'!$U$23</f>
        <v>15.978235616082999</v>
      </c>
      <c r="S1137" s="1054"/>
      <c r="T1137" s="1054"/>
      <c r="V1137" s="1051">
        <v>43580</v>
      </c>
      <c r="W1137" s="198">
        <v>7.3757000000000001</v>
      </c>
      <c r="X1137" s="198">
        <v>0.51249999999999996</v>
      </c>
      <c r="Y1137" s="198">
        <v>6.0984999999999996</v>
      </c>
      <c r="Z1137" s="198">
        <v>0.32268000000000002</v>
      </c>
      <c r="AB1137" s="1051">
        <v>43535</v>
      </c>
      <c r="AC1137" s="198">
        <v>7.1734999999999998</v>
      </c>
      <c r="AD1137" s="1053">
        <v>1.3492999999999999</v>
      </c>
      <c r="AE1137" s="198">
        <v>6.6948999999999996</v>
      </c>
      <c r="AF1137" s="198">
        <v>2.8240000000000001E-2</v>
      </c>
      <c r="AH1137" s="1051">
        <v>43535</v>
      </c>
      <c r="AI1137" s="198">
        <v>8.7800999999999991</v>
      </c>
      <c r="AJ1137" s="198">
        <v>1.4015</v>
      </c>
      <c r="AK1137" s="198">
        <v>4.7419000000000002</v>
      </c>
      <c r="AL1137" s="198">
        <v>1.448E-2</v>
      </c>
      <c r="AN1137" s="1051">
        <v>43544</v>
      </c>
      <c r="AO1137" s="198">
        <v>7.2618999999999998</v>
      </c>
      <c r="AP1137" s="198">
        <v>0.62170000000000003</v>
      </c>
      <c r="AQ1137" s="198">
        <v>4.2161</v>
      </c>
      <c r="AR1137" s="198">
        <v>0.12259</v>
      </c>
      <c r="AT1137" s="1051">
        <v>43461</v>
      </c>
      <c r="AU1137" s="198">
        <v>7.9303999999999997</v>
      </c>
      <c r="AV1137" s="198">
        <v>0.51500000000000001</v>
      </c>
      <c r="AW1137" s="198">
        <v>5.9653</v>
      </c>
      <c r="BA1137" s="1051">
        <v>43524</v>
      </c>
      <c r="BB1137" s="198">
        <v>8.4693000000000005</v>
      </c>
      <c r="BC1137" s="198">
        <v>1.8186</v>
      </c>
      <c r="BD1137" s="198">
        <v>8.8732000000000006</v>
      </c>
      <c r="BE1137" s="198">
        <v>0.36710999999999999</v>
      </c>
      <c r="BG1137" s="1051">
        <v>43524</v>
      </c>
      <c r="BH1137" s="198">
        <v>14.6334</v>
      </c>
      <c r="BI1137" s="198">
        <v>3.4209999999999998</v>
      </c>
      <c r="BJ1137" s="198">
        <v>17.6524</v>
      </c>
      <c r="BT1137" s="1051">
        <v>43580</v>
      </c>
      <c r="BU1137" s="198">
        <v>11.664199999999999</v>
      </c>
      <c r="BV1137" s="198">
        <v>3.6947000000000001</v>
      </c>
      <c r="BW1137" s="198">
        <v>7.4194000000000004</v>
      </c>
      <c r="BX1137" s="198">
        <v>1.1888000000000001</v>
      </c>
      <c r="BZ1137" s="1051">
        <v>43580</v>
      </c>
      <c r="CA1137" s="198">
        <v>10.2904</v>
      </c>
      <c r="CB1137" s="198">
        <v>2.9908999999999999</v>
      </c>
      <c r="CC1137" s="198">
        <v>11.120699999999999</v>
      </c>
      <c r="CD1137" s="198">
        <v>1.11819</v>
      </c>
      <c r="CF1137" s="1051">
        <v>43579</v>
      </c>
      <c r="CI1137" s="198">
        <v>8.2217000000000002</v>
      </c>
      <c r="CL1137" s="1051">
        <v>43602</v>
      </c>
      <c r="CM1137" s="198">
        <v>15.837400000000001</v>
      </c>
      <c r="CN1137" s="198">
        <v>2.3614999999999999</v>
      </c>
      <c r="CO1137" s="198">
        <v>11.8767</v>
      </c>
    </row>
    <row r="1138" spans="1:93" s="198" customFormat="1">
      <c r="A1138" s="1051">
        <v>43579</v>
      </c>
      <c r="B1138" s="1052">
        <f t="shared" si="172"/>
        <v>7.9321999999999999</v>
      </c>
      <c r="C1138" s="1052">
        <f t="shared" si="174"/>
        <v>7.3673999999999999</v>
      </c>
      <c r="D1138" s="1052">
        <f t="shared" si="178"/>
        <v>7.7343000000000002</v>
      </c>
      <c r="E1138" s="1052">
        <f t="shared" si="179"/>
        <v>7.3712999999999997</v>
      </c>
      <c r="F1138" s="1052">
        <f t="shared" si="180"/>
        <v>13.8355</v>
      </c>
      <c r="G1138" s="1052">
        <f t="shared" si="181"/>
        <v>8.2704000000000004</v>
      </c>
      <c r="H1138" s="1047">
        <f t="shared" si="175"/>
        <v>7.7343000000000002</v>
      </c>
      <c r="I1138" s="1048">
        <f t="shared" si="173"/>
        <v>2.5587318826525873E-2</v>
      </c>
      <c r="J1138" s="1048">
        <f t="shared" si="176"/>
        <v>0.12093838824177333</v>
      </c>
      <c r="K1138" s="1048">
        <f t="shared" si="177"/>
        <v>0.1</v>
      </c>
      <c r="L1138" s="1048"/>
      <c r="N1138" s="1051">
        <v>43579</v>
      </c>
      <c r="O1138" s="1053">
        <v>7.9321999999999999</v>
      </c>
      <c r="P1138" s="1053">
        <v>1.1822999999999999</v>
      </c>
      <c r="Q1138" s="1053">
        <v>11.095700000000001</v>
      </c>
      <c r="R1138" s="1054">
        <f>'B. PE'!$U$23</f>
        <v>15.978235616082999</v>
      </c>
      <c r="S1138" s="1054"/>
      <c r="T1138" s="1054"/>
      <c r="V1138" s="1051">
        <v>43579</v>
      </c>
      <c r="W1138" s="198">
        <v>7.3673999999999999</v>
      </c>
      <c r="X1138" s="198">
        <v>0.51190000000000002</v>
      </c>
      <c r="Y1138" s="198">
        <v>6.0955000000000004</v>
      </c>
      <c r="Z1138" s="198">
        <v>0.32020999999999999</v>
      </c>
      <c r="AB1138" s="1051">
        <v>43532</v>
      </c>
      <c r="AC1138" s="198">
        <v>7.1734999999999998</v>
      </c>
      <c r="AD1138" s="1053">
        <v>1.3492999999999999</v>
      </c>
      <c r="AE1138" s="198">
        <v>6.6948999999999996</v>
      </c>
      <c r="AF1138" s="198">
        <v>2.8879999999999999E-2</v>
      </c>
      <c r="AH1138" s="1051">
        <v>43532</v>
      </c>
      <c r="AI1138" s="198">
        <v>8.9078999999999997</v>
      </c>
      <c r="AJ1138" s="198">
        <v>1.4218999999999999</v>
      </c>
      <c r="AK1138" s="198">
        <v>4.8037999999999998</v>
      </c>
      <c r="AL1138" s="198">
        <v>1.366E-2</v>
      </c>
      <c r="AN1138" s="1051">
        <v>43543</v>
      </c>
      <c r="AO1138" s="198">
        <v>7.2618999999999998</v>
      </c>
      <c r="AP1138" s="198">
        <v>0.62170000000000003</v>
      </c>
      <c r="AQ1138" s="198">
        <v>4.2161</v>
      </c>
      <c r="AR1138" s="198">
        <v>0.12243999999999999</v>
      </c>
      <c r="AT1138" s="1051">
        <v>43460</v>
      </c>
      <c r="AW1138" s="198">
        <v>5.9653</v>
      </c>
      <c r="AX1138" s="198">
        <v>0.11122</v>
      </c>
      <c r="BA1138" s="1051">
        <v>43523</v>
      </c>
      <c r="BB1138" s="198">
        <v>8.6191999999999993</v>
      </c>
      <c r="BC1138" s="198">
        <v>1.8508</v>
      </c>
      <c r="BD1138" s="198">
        <v>8.9870000000000001</v>
      </c>
      <c r="BE1138" s="198">
        <v>0.37724999999999997</v>
      </c>
      <c r="BG1138" s="1051">
        <v>43523</v>
      </c>
      <c r="BH1138" s="198">
        <v>14.953900000000001</v>
      </c>
      <c r="BI1138" s="198">
        <v>3.4958999999999998</v>
      </c>
      <c r="BJ1138" s="198">
        <v>17.9251</v>
      </c>
      <c r="BT1138" s="1051">
        <v>43579</v>
      </c>
      <c r="BU1138" s="198">
        <v>11.5944</v>
      </c>
      <c r="BV1138" s="198">
        <v>3.6726000000000001</v>
      </c>
      <c r="BW1138" s="198">
        <v>7.3784000000000001</v>
      </c>
      <c r="BX1138" s="198">
        <v>1.1919</v>
      </c>
      <c r="BZ1138" s="1051">
        <v>43579</v>
      </c>
      <c r="CA1138" s="198">
        <v>9.9585000000000008</v>
      </c>
      <c r="CB1138" s="198">
        <v>2.8944999999999999</v>
      </c>
      <c r="CC1138" s="198">
        <v>10.875999999999999</v>
      </c>
      <c r="CD1138" s="198">
        <v>1.1075699999999999</v>
      </c>
      <c r="CF1138" s="1051">
        <v>43578</v>
      </c>
      <c r="CI1138" s="198">
        <v>8.2217000000000002</v>
      </c>
      <c r="CL1138" s="1051">
        <v>43601</v>
      </c>
      <c r="CM1138" s="198">
        <v>15.888400000000001</v>
      </c>
      <c r="CN1138" s="198">
        <v>2.3691</v>
      </c>
      <c r="CO1138" s="198">
        <v>11.9193</v>
      </c>
    </row>
    <row r="1139" spans="1:93" s="198" customFormat="1">
      <c r="A1139" s="1051">
        <v>43578</v>
      </c>
      <c r="B1139" s="1052">
        <f t="shared" si="172"/>
        <v>7.8623000000000003</v>
      </c>
      <c r="C1139" s="1052">
        <f t="shared" si="174"/>
        <v>7.3673999999999999</v>
      </c>
      <c r="D1139" s="1052">
        <f t="shared" si="178"/>
        <v>7.8532999999999999</v>
      </c>
      <c r="E1139" s="1052">
        <f t="shared" si="179"/>
        <v>7.4443000000000001</v>
      </c>
      <c r="F1139" s="1052">
        <f t="shared" si="180"/>
        <v>13.8355</v>
      </c>
      <c r="G1139" s="1052">
        <f t="shared" si="181"/>
        <v>8.2704000000000004</v>
      </c>
      <c r="H1139" s="1047">
        <f t="shared" si="175"/>
        <v>7.8532999999999999</v>
      </c>
      <c r="I1139" s="1048">
        <f t="shared" si="173"/>
        <v>1.1460150509976508E-3</v>
      </c>
      <c r="J1139" s="1048">
        <f t="shared" si="176"/>
        <v>0.12093838824177333</v>
      </c>
      <c r="K1139" s="1048">
        <f t="shared" si="177"/>
        <v>0.1</v>
      </c>
      <c r="L1139" s="1048"/>
      <c r="N1139" s="1051">
        <v>43578</v>
      </c>
      <c r="O1139" s="1053">
        <v>7.8623000000000003</v>
      </c>
      <c r="P1139" s="1053">
        <v>1.1718999999999999</v>
      </c>
      <c r="Q1139" s="1053">
        <v>11.04</v>
      </c>
      <c r="R1139" s="1054">
        <f>'B. PE'!$U$23</f>
        <v>15.978235616082999</v>
      </c>
      <c r="S1139" s="1054"/>
      <c r="T1139" s="1054"/>
      <c r="V1139" s="1051">
        <v>43578</v>
      </c>
      <c r="W1139" s="198">
        <v>7.3673999999999999</v>
      </c>
      <c r="X1139" s="198">
        <v>0.51190000000000002</v>
      </c>
      <c r="Y1139" s="198">
        <v>6.0955000000000004</v>
      </c>
      <c r="Z1139" s="198">
        <v>0.31986999999999999</v>
      </c>
      <c r="AB1139" s="1051">
        <v>43530</v>
      </c>
      <c r="AC1139" s="198">
        <v>7.2276999999999996</v>
      </c>
      <c r="AD1139" s="1053">
        <v>1.3594999999999999</v>
      </c>
      <c r="AE1139" s="198">
        <v>6.7255000000000003</v>
      </c>
      <c r="AF1139" s="198">
        <v>2.9149999999999999E-2</v>
      </c>
      <c r="AH1139" s="1051">
        <v>43530</v>
      </c>
      <c r="AI1139" s="198">
        <v>8.7375000000000007</v>
      </c>
      <c r="AJ1139" s="198">
        <v>1.3947000000000001</v>
      </c>
      <c r="AK1139" s="198">
        <v>4.7213000000000003</v>
      </c>
      <c r="AL1139" s="198">
        <v>1.358E-2</v>
      </c>
      <c r="AN1139" s="1051">
        <v>43542</v>
      </c>
      <c r="AO1139" s="198">
        <v>7.2984</v>
      </c>
      <c r="AP1139" s="198">
        <v>0.62480000000000002</v>
      </c>
      <c r="AQ1139" s="198">
        <v>4.2465000000000002</v>
      </c>
      <c r="AR1139" s="198">
        <v>0.11976000000000001</v>
      </c>
      <c r="AT1139" s="1051">
        <v>43458</v>
      </c>
      <c r="AW1139" s="198">
        <v>5.9653</v>
      </c>
      <c r="BA1139" s="1051">
        <v>43522</v>
      </c>
      <c r="BB1139" s="198">
        <v>8.6191999999999993</v>
      </c>
      <c r="BC1139" s="198">
        <v>1.8508</v>
      </c>
      <c r="BD1139" s="198">
        <v>8.9870000000000001</v>
      </c>
      <c r="BE1139" s="198">
        <v>0.36407</v>
      </c>
      <c r="BG1139" s="1051">
        <v>43522</v>
      </c>
      <c r="BH1139" s="198">
        <v>14.5266</v>
      </c>
      <c r="BI1139" s="198">
        <v>3.3959999999999999</v>
      </c>
      <c r="BJ1139" s="198">
        <v>17.561499999999999</v>
      </c>
      <c r="BT1139" s="1051">
        <v>43578</v>
      </c>
      <c r="BU1139" s="198">
        <v>11.5664</v>
      </c>
      <c r="BV1139" s="198">
        <v>3.6637</v>
      </c>
      <c r="BW1139" s="198">
        <v>7.3620999999999999</v>
      </c>
      <c r="BX1139" s="198">
        <v>1.1805000000000001</v>
      </c>
      <c r="BZ1139" s="1051">
        <v>43578</v>
      </c>
      <c r="CA1139" s="198">
        <v>10.056100000000001</v>
      </c>
      <c r="CB1139" s="198">
        <v>2.9228000000000001</v>
      </c>
      <c r="CC1139" s="198">
        <v>10.948</v>
      </c>
      <c r="CD1139" s="198">
        <v>1.14893</v>
      </c>
      <c r="CF1139" s="1051">
        <v>43577</v>
      </c>
      <c r="CG1139" s="198">
        <v>5.6140999999999996</v>
      </c>
      <c r="CH1139" s="198">
        <v>1.0023</v>
      </c>
      <c r="CI1139" s="198">
        <v>8.2217000000000002</v>
      </c>
      <c r="CL1139" s="1051">
        <v>43600</v>
      </c>
      <c r="CM1139" s="198">
        <v>15.6206</v>
      </c>
      <c r="CN1139" s="198">
        <v>2.3292000000000002</v>
      </c>
      <c r="CO1139" s="198">
        <v>11.695399999999999</v>
      </c>
    </row>
    <row r="1140" spans="1:93" s="198" customFormat="1">
      <c r="A1140" s="1051">
        <v>43577</v>
      </c>
      <c r="B1140" s="1052">
        <f t="shared" si="172"/>
        <v>7.7923999999999998</v>
      </c>
      <c r="C1140" s="1052">
        <f t="shared" si="174"/>
        <v>7.3094000000000001</v>
      </c>
      <c r="D1140" s="1052">
        <f t="shared" si="178"/>
        <v>8.0517000000000003</v>
      </c>
      <c r="E1140" s="1052">
        <f t="shared" si="179"/>
        <v>7.4443000000000001</v>
      </c>
      <c r="F1140" s="1052">
        <f t="shared" si="180"/>
        <v>13.953799999999999</v>
      </c>
      <c r="G1140" s="1052">
        <f t="shared" si="181"/>
        <v>8.2704000000000004</v>
      </c>
      <c r="H1140" s="1047">
        <f t="shared" si="175"/>
        <v>8.0517000000000003</v>
      </c>
      <c r="I1140" s="1048">
        <f t="shared" si="173"/>
        <v>-3.220437919942376E-2</v>
      </c>
      <c r="J1140" s="1048">
        <f t="shared" si="176"/>
        <v>0.12093838824177333</v>
      </c>
      <c r="K1140" s="1048">
        <f t="shared" si="177"/>
        <v>0.1</v>
      </c>
      <c r="L1140" s="1048"/>
      <c r="N1140" s="1051">
        <v>43577</v>
      </c>
      <c r="O1140" s="1053">
        <v>7.7923999999999998</v>
      </c>
      <c r="P1140" s="1053">
        <v>1.1615</v>
      </c>
      <c r="Q1140" s="1053">
        <v>10.984299999999999</v>
      </c>
      <c r="R1140" s="1054">
        <f>'B. PE'!$U$23</f>
        <v>15.978235616082999</v>
      </c>
      <c r="S1140" s="1054"/>
      <c r="T1140" s="1054"/>
      <c r="V1140" s="1051">
        <v>43577</v>
      </c>
      <c r="W1140" s="198">
        <v>7.3094000000000001</v>
      </c>
      <c r="X1140" s="198">
        <v>0.50790000000000002</v>
      </c>
      <c r="Y1140" s="198">
        <v>6.0739000000000001</v>
      </c>
      <c r="Z1140" s="198">
        <v>0.31761</v>
      </c>
      <c r="AB1140" s="1051">
        <v>43529</v>
      </c>
      <c r="AC1140" s="198">
        <v>7.3723000000000001</v>
      </c>
      <c r="AD1140" s="1053">
        <v>1.3867</v>
      </c>
      <c r="AE1140" s="198">
        <v>6.8070000000000004</v>
      </c>
      <c r="AF1140" s="198">
        <v>2.9479999999999999E-2</v>
      </c>
      <c r="AH1140" s="1051">
        <v>43529</v>
      </c>
      <c r="AI1140" s="198">
        <v>8.2260000000000009</v>
      </c>
      <c r="AJ1140" s="198">
        <v>1.3129999999999999</v>
      </c>
      <c r="AK1140" s="198">
        <v>4.4739000000000004</v>
      </c>
      <c r="AL1140" s="198">
        <v>1.354E-2</v>
      </c>
      <c r="AN1140" s="1051">
        <v>43539</v>
      </c>
      <c r="AO1140" s="198">
        <v>7.2984</v>
      </c>
      <c r="AP1140" s="198">
        <v>0.62480000000000002</v>
      </c>
      <c r="AQ1140" s="198">
        <v>4.2465000000000002</v>
      </c>
      <c r="AR1140" s="198">
        <v>0.12114999999999999</v>
      </c>
      <c r="AT1140" s="1051">
        <v>43455</v>
      </c>
      <c r="AU1140" s="198">
        <v>7.9303999999999997</v>
      </c>
      <c r="AV1140" s="198">
        <v>0.51500000000000001</v>
      </c>
      <c r="AW1140" s="198">
        <v>5.9653</v>
      </c>
      <c r="AX1140" s="198">
        <v>0.11126999999999999</v>
      </c>
      <c r="BA1140" s="1051">
        <v>43521</v>
      </c>
      <c r="BB1140" s="198">
        <v>8.8439999999999994</v>
      </c>
      <c r="BC1140" s="198">
        <v>1.899</v>
      </c>
      <c r="BD1140" s="198">
        <v>9.1577999999999999</v>
      </c>
      <c r="BE1140" s="198">
        <v>0.35851</v>
      </c>
      <c r="BG1140" s="1051">
        <v>43521</v>
      </c>
      <c r="BH1140" s="198">
        <v>14.5266</v>
      </c>
      <c r="BI1140" s="198">
        <v>3.3959999999999999</v>
      </c>
      <c r="BJ1140" s="198">
        <v>17.561499999999999</v>
      </c>
      <c r="BT1140" s="1051">
        <v>43577</v>
      </c>
      <c r="BU1140" s="198">
        <v>11.5944</v>
      </c>
      <c r="BV1140" s="198">
        <v>3.6726000000000001</v>
      </c>
      <c r="BW1140" s="198">
        <v>7.3784000000000001</v>
      </c>
      <c r="BX1140" s="198">
        <v>1.17</v>
      </c>
      <c r="BZ1140" s="1051">
        <v>43577</v>
      </c>
      <c r="CA1140" s="198">
        <v>9.9585000000000008</v>
      </c>
      <c r="CB1140" s="198">
        <v>2.8944999999999999</v>
      </c>
      <c r="CC1140" s="198">
        <v>10.875999999999999</v>
      </c>
      <c r="CD1140" s="198">
        <v>1.13036</v>
      </c>
      <c r="CF1140" s="1051">
        <v>43574</v>
      </c>
      <c r="CI1140" s="198">
        <v>8.3193999999999999</v>
      </c>
      <c r="CL1140" s="1051">
        <v>43599</v>
      </c>
      <c r="CM1140" s="198">
        <v>15.569599999999999</v>
      </c>
      <c r="CN1140" s="198">
        <v>2.3216000000000001</v>
      </c>
      <c r="CO1140" s="198">
        <v>11.652799999999999</v>
      </c>
    </row>
    <row r="1141" spans="1:93" s="198" customFormat="1">
      <c r="A1141" s="1051">
        <v>43574</v>
      </c>
      <c r="B1141" s="1052">
        <f t="shared" si="172"/>
        <v>7.7923999999999998</v>
      </c>
      <c r="C1141" s="1052">
        <f t="shared" si="174"/>
        <v>7.3011999999999997</v>
      </c>
      <c r="D1141" s="1052">
        <f t="shared" si="178"/>
        <v>8.0517000000000003</v>
      </c>
      <c r="E1141" s="1052">
        <f t="shared" si="179"/>
        <v>7.3712999999999997</v>
      </c>
      <c r="F1141" s="1052">
        <f t="shared" si="180"/>
        <v>14.071999999999999</v>
      </c>
      <c r="G1141" s="1052">
        <f t="shared" si="181"/>
        <v>8.3442000000000007</v>
      </c>
      <c r="H1141" s="1047">
        <f t="shared" si="175"/>
        <v>8.0517000000000003</v>
      </c>
      <c r="I1141" s="1048">
        <f t="shared" si="173"/>
        <v>-3.220437919942376E-2</v>
      </c>
      <c r="J1141" s="1048">
        <f t="shared" si="176"/>
        <v>0.12093838824177333</v>
      </c>
      <c r="K1141" s="1048">
        <f t="shared" si="177"/>
        <v>0.1</v>
      </c>
      <c r="L1141" s="1048"/>
      <c r="N1141" s="1051">
        <v>43574</v>
      </c>
      <c r="O1141" s="1053">
        <v>7.7923999999999998</v>
      </c>
      <c r="P1141" s="1053">
        <v>1.1615</v>
      </c>
      <c r="Q1141" s="1053">
        <v>10.984299999999999</v>
      </c>
      <c r="R1141" s="1054">
        <f>'B. PE'!$U$23</f>
        <v>15.978235616082999</v>
      </c>
      <c r="S1141" s="1054"/>
      <c r="T1141" s="1054"/>
      <c r="V1141" s="1051">
        <v>43574</v>
      </c>
      <c r="W1141" s="198">
        <v>7.3011999999999997</v>
      </c>
      <c r="X1141" s="198">
        <v>0.50729999999999997</v>
      </c>
      <c r="Y1141" s="198">
        <v>6.0708000000000002</v>
      </c>
      <c r="Z1141" s="198">
        <v>0.32219999999999999</v>
      </c>
      <c r="AB1141" s="1051">
        <v>43528</v>
      </c>
      <c r="AC1141" s="198">
        <v>7.4446000000000003</v>
      </c>
      <c r="AD1141" s="1053">
        <v>1.4003000000000001</v>
      </c>
      <c r="AE1141" s="198">
        <v>6.8478000000000003</v>
      </c>
      <c r="AF1141" s="198">
        <v>2.9530000000000001E-2</v>
      </c>
      <c r="AH1141" s="1051">
        <v>43528</v>
      </c>
      <c r="AI1141" s="198">
        <v>8.1834000000000007</v>
      </c>
      <c r="AJ1141" s="198">
        <v>1.3062</v>
      </c>
      <c r="AK1141" s="198">
        <v>4.4531999999999998</v>
      </c>
      <c r="AL1141" s="198">
        <v>1.371E-2</v>
      </c>
      <c r="AN1141" s="1051">
        <v>43538</v>
      </c>
      <c r="AO1141" s="198">
        <v>7.1524000000000001</v>
      </c>
      <c r="AP1141" s="198">
        <v>0.61229999999999996</v>
      </c>
      <c r="AQ1141" s="198">
        <v>4.1246999999999998</v>
      </c>
      <c r="AR1141" s="198">
        <v>0.12123</v>
      </c>
      <c r="AT1141" s="1051">
        <v>43454</v>
      </c>
      <c r="AW1141" s="198">
        <v>5.9653</v>
      </c>
      <c r="AX1141" s="198">
        <v>0.11444</v>
      </c>
      <c r="BA1141" s="1051">
        <v>43518</v>
      </c>
      <c r="BB1141" s="198">
        <v>8.5442</v>
      </c>
      <c r="BC1141" s="198">
        <v>1.8347</v>
      </c>
      <c r="BD1141" s="198">
        <v>8.9300999999999995</v>
      </c>
      <c r="BE1141" s="198">
        <v>0.33145000000000002</v>
      </c>
      <c r="BG1141" s="1051">
        <v>43518</v>
      </c>
      <c r="BH1141" s="198">
        <v>14.4198</v>
      </c>
      <c r="BI1141" s="198">
        <v>3.3711000000000002</v>
      </c>
      <c r="BJ1141" s="198">
        <v>17.470600000000001</v>
      </c>
      <c r="BT1141" s="1051">
        <v>43574</v>
      </c>
      <c r="BU1141" s="198">
        <v>11.4826</v>
      </c>
      <c r="BV1141" s="198">
        <v>3.6372</v>
      </c>
      <c r="BW1141" s="198">
        <v>7.3129</v>
      </c>
      <c r="BX1141" s="198">
        <v>1.1753</v>
      </c>
      <c r="BZ1141" s="1051">
        <v>43574</v>
      </c>
      <c r="CA1141" s="198">
        <v>10.329499999999999</v>
      </c>
      <c r="CB1141" s="198">
        <v>3.0023</v>
      </c>
      <c r="CC1141" s="198">
        <v>11.1495</v>
      </c>
      <c r="CD1141" s="198">
        <v>1.14296</v>
      </c>
      <c r="CF1141" s="1051">
        <v>43573</v>
      </c>
      <c r="CG1141" s="198">
        <v>5.7923</v>
      </c>
      <c r="CH1141" s="198">
        <v>1.0341</v>
      </c>
      <c r="CI1141" s="198">
        <v>8.3193999999999999</v>
      </c>
      <c r="CL1141" s="1051">
        <v>43598</v>
      </c>
      <c r="CM1141" s="198">
        <v>15.0213</v>
      </c>
      <c r="CN1141" s="198">
        <v>2.2397999999999998</v>
      </c>
      <c r="CO1141" s="198">
        <v>11.1945</v>
      </c>
    </row>
    <row r="1142" spans="1:93" s="198" customFormat="1">
      <c r="A1142" s="1051">
        <v>43573</v>
      </c>
      <c r="B1142" s="1052">
        <f t="shared" si="172"/>
        <v>7.6875999999999998</v>
      </c>
      <c r="C1142" s="1052">
        <f t="shared" si="174"/>
        <v>7.2431999999999999</v>
      </c>
      <c r="D1142" s="1052">
        <f t="shared" si="178"/>
        <v>8.4482999999999997</v>
      </c>
      <c r="E1142" s="1052">
        <f t="shared" si="179"/>
        <v>7.3712999999999997</v>
      </c>
      <c r="F1142" s="1052">
        <f t="shared" si="180"/>
        <v>14.071999999999999</v>
      </c>
      <c r="G1142" s="1052">
        <f t="shared" si="181"/>
        <v>8.3442000000000007</v>
      </c>
      <c r="H1142" s="1047">
        <f t="shared" si="175"/>
        <v>8.3442000000000007</v>
      </c>
      <c r="I1142" s="1048">
        <f t="shared" si="173"/>
        <v>-7.8689389036696311E-2</v>
      </c>
      <c r="J1142" s="1048">
        <f t="shared" si="176"/>
        <v>0.12093838824177333</v>
      </c>
      <c r="K1142" s="1048">
        <f t="shared" si="177"/>
        <v>0.1</v>
      </c>
      <c r="L1142" s="1048"/>
      <c r="N1142" s="1051">
        <v>43573</v>
      </c>
      <c r="O1142" s="1053">
        <v>7.6875999999999998</v>
      </c>
      <c r="P1142" s="1053">
        <v>1.1457999999999999</v>
      </c>
      <c r="Q1142" s="1053">
        <v>10.9008</v>
      </c>
      <c r="R1142" s="1054">
        <f>'B. PE'!$U$23</f>
        <v>15.978235616082999</v>
      </c>
      <c r="S1142" s="1054"/>
      <c r="T1142" s="1054"/>
      <c r="V1142" s="1051">
        <v>43573</v>
      </c>
      <c r="W1142" s="198">
        <v>7.2431999999999999</v>
      </c>
      <c r="X1142" s="198">
        <v>0.50329999999999997</v>
      </c>
      <c r="Y1142" s="198">
        <v>6.0492999999999997</v>
      </c>
      <c r="Z1142" s="198">
        <v>0.32214999999999999</v>
      </c>
      <c r="AB1142" s="1051">
        <v>43525</v>
      </c>
      <c r="AC1142" s="198">
        <v>7.5529999999999999</v>
      </c>
      <c r="AD1142" s="1053">
        <v>1.4207000000000001</v>
      </c>
      <c r="AE1142" s="198">
        <v>6.9089</v>
      </c>
      <c r="AF1142" s="198">
        <v>3.0630000000000001E-2</v>
      </c>
      <c r="AH1142" s="1051">
        <v>43525</v>
      </c>
      <c r="AI1142" s="198">
        <v>8.1834000000000007</v>
      </c>
      <c r="AJ1142" s="198">
        <v>1.3062</v>
      </c>
      <c r="AK1142" s="198">
        <v>4.4531999999999998</v>
      </c>
      <c r="AL1142" s="198">
        <v>1.4109999999999999E-2</v>
      </c>
      <c r="AN1142" s="1051">
        <v>43537</v>
      </c>
      <c r="AO1142" s="198">
        <v>7.2253999999999996</v>
      </c>
      <c r="AP1142" s="198">
        <v>0.61850000000000005</v>
      </c>
      <c r="AQ1142" s="198">
        <v>4.1856</v>
      </c>
      <c r="AR1142" s="198">
        <v>0.12103</v>
      </c>
      <c r="AT1142" s="1051">
        <v>43453</v>
      </c>
      <c r="AU1142" s="198">
        <v>7.9303999999999997</v>
      </c>
      <c r="AV1142" s="198">
        <v>0.51500000000000001</v>
      </c>
      <c r="AW1142" s="198">
        <v>5.9653</v>
      </c>
      <c r="BA1142" s="1051">
        <v>43517</v>
      </c>
      <c r="BB1142" s="198">
        <v>8.3942999999999994</v>
      </c>
      <c r="BC1142" s="198">
        <v>1.8025</v>
      </c>
      <c r="BD1142" s="198">
        <v>8.8163</v>
      </c>
      <c r="BE1142" s="198">
        <v>0.32987</v>
      </c>
      <c r="BG1142" s="1051">
        <v>43517</v>
      </c>
      <c r="BH1142" s="198">
        <v>14.206200000000001</v>
      </c>
      <c r="BI1142" s="198">
        <v>3.3210999999999999</v>
      </c>
      <c r="BJ1142" s="198">
        <v>17.288799999999998</v>
      </c>
      <c r="BT1142" s="1051">
        <v>43573</v>
      </c>
      <c r="BU1142" s="198">
        <v>11.370900000000001</v>
      </c>
      <c r="BV1142" s="198">
        <v>3.6017999999999999</v>
      </c>
      <c r="BW1142" s="198">
        <v>7.2473999999999998</v>
      </c>
      <c r="BX1142" s="198">
        <v>1.1737</v>
      </c>
      <c r="BZ1142" s="1051">
        <v>43573</v>
      </c>
      <c r="CA1142" s="198">
        <v>10.153700000000001</v>
      </c>
      <c r="CB1142" s="198">
        <v>2.9512</v>
      </c>
      <c r="CC1142" s="198">
        <v>11.0199</v>
      </c>
      <c r="CD1142" s="198">
        <v>1.1601399999999999</v>
      </c>
      <c r="CF1142" s="1051">
        <v>43572</v>
      </c>
      <c r="CI1142" s="198">
        <v>8.4414999999999996</v>
      </c>
      <c r="CL1142" s="1051">
        <v>43595</v>
      </c>
      <c r="CM1142" s="198">
        <v>15.467599999999999</v>
      </c>
      <c r="CN1142" s="198">
        <v>2.3064</v>
      </c>
      <c r="CO1142" s="198">
        <v>11.567500000000001</v>
      </c>
    </row>
    <row r="1143" spans="1:93" s="198" customFormat="1">
      <c r="A1143" s="1051">
        <v>43572</v>
      </c>
      <c r="B1143" s="1052">
        <f t="shared" si="172"/>
        <v>7.8623000000000003</v>
      </c>
      <c r="C1143" s="1052">
        <f t="shared" si="174"/>
        <v>7.3507999999999996</v>
      </c>
      <c r="D1143" s="1052">
        <f t="shared" si="178"/>
        <v>8.4482999999999997</v>
      </c>
      <c r="E1143" s="1052">
        <f t="shared" si="179"/>
        <v>7.2984</v>
      </c>
      <c r="F1143" s="1052">
        <f t="shared" si="180"/>
        <v>14.3086</v>
      </c>
      <c r="G1143" s="1052">
        <f t="shared" si="181"/>
        <v>8.4179999999999993</v>
      </c>
      <c r="H1143" s="1047">
        <f t="shared" si="175"/>
        <v>8.4179999999999993</v>
      </c>
      <c r="I1143" s="1048">
        <f t="shared" si="173"/>
        <v>-6.6013304822998276E-2</v>
      </c>
      <c r="J1143" s="1048">
        <f t="shared" si="176"/>
        <v>0.12093838824177333</v>
      </c>
      <c r="K1143" s="1048">
        <f t="shared" si="177"/>
        <v>0.1</v>
      </c>
      <c r="L1143" s="1048"/>
      <c r="N1143" s="1051">
        <v>43572</v>
      </c>
      <c r="O1143" s="1053">
        <v>7.8623000000000003</v>
      </c>
      <c r="P1143" s="1053">
        <v>1.1718999999999999</v>
      </c>
      <c r="Q1143" s="1053">
        <v>11.04</v>
      </c>
      <c r="R1143" s="1054">
        <f>'B. PE'!$U$23</f>
        <v>15.978235616082999</v>
      </c>
      <c r="S1143" s="1054"/>
      <c r="T1143" s="1054"/>
      <c r="V1143" s="1051">
        <v>43572</v>
      </c>
      <c r="W1143" s="198">
        <v>7.3507999999999996</v>
      </c>
      <c r="X1143" s="198">
        <v>0.51080000000000003</v>
      </c>
      <c r="Y1143" s="198">
        <v>6.0892999999999997</v>
      </c>
      <c r="Z1143" s="198">
        <v>0.32305</v>
      </c>
      <c r="AB1143" s="1051">
        <v>43524</v>
      </c>
      <c r="AC1143" s="198">
        <v>7.5529999999999999</v>
      </c>
      <c r="AD1143" s="1053">
        <v>1.4207000000000001</v>
      </c>
      <c r="AE1143" s="198">
        <v>6.9089</v>
      </c>
      <c r="AF1143" s="198">
        <v>3.1460000000000002E-2</v>
      </c>
      <c r="AH1143" s="1051">
        <v>43524</v>
      </c>
      <c r="AI1143" s="198">
        <v>8.2685999999999993</v>
      </c>
      <c r="AJ1143" s="198">
        <v>1.3198000000000001</v>
      </c>
      <c r="AK1143" s="198">
        <v>4.4945000000000004</v>
      </c>
      <c r="AL1143" s="198">
        <v>1.423E-2</v>
      </c>
      <c r="AN1143" s="1051">
        <v>43536</v>
      </c>
      <c r="AO1143" s="198">
        <v>7.2253999999999996</v>
      </c>
      <c r="AP1143" s="198">
        <v>0.61850000000000005</v>
      </c>
      <c r="AQ1143" s="198">
        <v>4.1856</v>
      </c>
      <c r="AR1143" s="198">
        <v>0.1211</v>
      </c>
      <c r="AT1143" s="1051">
        <v>43452</v>
      </c>
      <c r="AU1143" s="198">
        <v>8.1861999999999995</v>
      </c>
      <c r="AV1143" s="198">
        <v>0.53159999999999996</v>
      </c>
      <c r="AW1143" s="198">
        <v>6.1050000000000004</v>
      </c>
      <c r="AX1143" s="198">
        <v>0.1099</v>
      </c>
      <c r="BA1143" s="1051">
        <v>43516</v>
      </c>
      <c r="BB1143" s="198">
        <v>7.7198000000000002</v>
      </c>
      <c r="BC1143" s="198">
        <v>1.6576</v>
      </c>
      <c r="BD1143" s="198">
        <v>8.3041</v>
      </c>
      <c r="BE1143" s="198">
        <v>0.32007000000000002</v>
      </c>
      <c r="BG1143" s="1051">
        <v>43516</v>
      </c>
      <c r="BH1143" s="198">
        <v>13.458500000000001</v>
      </c>
      <c r="BI1143" s="198">
        <v>3.1463000000000001</v>
      </c>
      <c r="BJ1143" s="198">
        <v>16.6526</v>
      </c>
      <c r="BT1143" s="1051">
        <v>43572</v>
      </c>
      <c r="BU1143" s="198">
        <v>11.4267</v>
      </c>
      <c r="BV1143" s="198">
        <v>3.6194999999999999</v>
      </c>
      <c r="BW1143" s="198">
        <v>7.2801</v>
      </c>
      <c r="BX1143" s="198">
        <v>1.1859</v>
      </c>
      <c r="BZ1143" s="1051">
        <v>43572</v>
      </c>
      <c r="CA1143" s="198">
        <v>10.270899999999999</v>
      </c>
      <c r="CB1143" s="198">
        <v>2.9853000000000001</v>
      </c>
      <c r="CC1143" s="198">
        <v>11.106299999999999</v>
      </c>
      <c r="CD1143" s="198">
        <v>1.1934</v>
      </c>
      <c r="CF1143" s="1051">
        <v>43571</v>
      </c>
      <c r="CI1143" s="198">
        <v>8.4414999999999996</v>
      </c>
      <c r="CL1143" s="1051">
        <v>43594</v>
      </c>
      <c r="CM1143" s="198">
        <v>15.429399999999999</v>
      </c>
      <c r="CN1143" s="198">
        <v>2.3007</v>
      </c>
      <c r="CO1143" s="198">
        <v>11.535600000000001</v>
      </c>
    </row>
    <row r="1144" spans="1:93" s="198" customFormat="1">
      <c r="A1144" s="1051">
        <v>43571</v>
      </c>
      <c r="B1144" s="1052">
        <f t="shared" si="172"/>
        <v>7.8971999999999998</v>
      </c>
      <c r="C1144" s="1052">
        <f t="shared" si="174"/>
        <v>7.3507999999999996</v>
      </c>
      <c r="D1144" s="1052">
        <f t="shared" si="178"/>
        <v>8.6862999999999992</v>
      </c>
      <c r="E1144" s="1052">
        <f t="shared" si="179"/>
        <v>7.2984</v>
      </c>
      <c r="F1144" s="1052">
        <f t="shared" si="180"/>
        <v>14.3086</v>
      </c>
      <c r="G1144" s="1052">
        <f t="shared" si="181"/>
        <v>8.4179999999999993</v>
      </c>
      <c r="H1144" s="1047">
        <f t="shared" si="175"/>
        <v>8.4179999999999993</v>
      </c>
      <c r="I1144" s="1048">
        <f t="shared" si="173"/>
        <v>-6.1867426942266546E-2</v>
      </c>
      <c r="J1144" s="1048">
        <f t="shared" si="176"/>
        <v>0.12093838824177333</v>
      </c>
      <c r="K1144" s="1048">
        <f t="shared" si="177"/>
        <v>0.1</v>
      </c>
      <c r="L1144" s="1048"/>
      <c r="N1144" s="1051">
        <v>43571</v>
      </c>
      <c r="O1144" s="1053">
        <v>7.8971999999999998</v>
      </c>
      <c r="P1144" s="1053">
        <v>1.1771</v>
      </c>
      <c r="Q1144" s="1053">
        <v>11.0678</v>
      </c>
      <c r="R1144" s="1054">
        <f>'B. PE'!$U$23</f>
        <v>15.978235616082999</v>
      </c>
      <c r="S1144" s="1054"/>
      <c r="T1144" s="1054"/>
      <c r="V1144" s="1051">
        <v>43571</v>
      </c>
      <c r="W1144" s="198">
        <v>7.3507999999999996</v>
      </c>
      <c r="X1144" s="198">
        <v>0.51080000000000003</v>
      </c>
      <c r="Y1144" s="198">
        <v>6.0892999999999997</v>
      </c>
      <c r="Z1144" s="198">
        <v>0.32668000000000003</v>
      </c>
      <c r="AB1144" s="1051">
        <v>43523</v>
      </c>
      <c r="AC1144" s="198">
        <v>7.7698</v>
      </c>
      <c r="AD1144" s="1053">
        <v>1.4615</v>
      </c>
      <c r="AE1144" s="198">
        <v>7.0312000000000001</v>
      </c>
      <c r="AF1144" s="198">
        <v>3.1469999999999998E-2</v>
      </c>
      <c r="AH1144" s="1051">
        <v>43523</v>
      </c>
      <c r="AI1144" s="198">
        <v>8.4390999999999998</v>
      </c>
      <c r="AJ1144" s="198">
        <v>1.3471</v>
      </c>
      <c r="AK1144" s="198">
        <v>4.577</v>
      </c>
      <c r="AL1144" s="198">
        <v>1.3729999999999999E-2</v>
      </c>
      <c r="AN1144" s="1051">
        <v>43535</v>
      </c>
      <c r="AO1144" s="198">
        <v>7.2253999999999996</v>
      </c>
      <c r="AP1144" s="198">
        <v>0.61850000000000005</v>
      </c>
      <c r="AQ1144" s="198">
        <v>4.1856</v>
      </c>
      <c r="AR1144" s="198">
        <v>0.12099</v>
      </c>
      <c r="AT1144" s="1051">
        <v>43451</v>
      </c>
      <c r="AW1144" s="198">
        <v>5.9253999999999998</v>
      </c>
      <c r="AX1144" s="198">
        <v>0.10757</v>
      </c>
      <c r="BA1144" s="1051">
        <v>43514</v>
      </c>
      <c r="BB1144" s="198">
        <v>7.7198000000000002</v>
      </c>
      <c r="BC1144" s="198">
        <v>1.6576</v>
      </c>
      <c r="BD1144" s="198">
        <v>8.3041</v>
      </c>
      <c r="BE1144" s="198">
        <v>0.31934000000000001</v>
      </c>
      <c r="BG1144" s="1051">
        <v>43514</v>
      </c>
      <c r="BH1144" s="198">
        <v>13.565300000000001</v>
      </c>
      <c r="BI1144" s="198">
        <v>3.1713</v>
      </c>
      <c r="BJ1144" s="198">
        <v>16.743500000000001</v>
      </c>
      <c r="BT1144" s="1051">
        <v>43571</v>
      </c>
      <c r="BU1144" s="198">
        <v>11.412800000000001</v>
      </c>
      <c r="BV1144" s="198">
        <v>3.6151</v>
      </c>
      <c r="BW1144" s="198">
        <v>7.2720000000000002</v>
      </c>
      <c r="BX1144" s="198">
        <v>1.1859</v>
      </c>
      <c r="BZ1144" s="1051">
        <v>43571</v>
      </c>
      <c r="CA1144" s="198">
        <v>10.427099999999999</v>
      </c>
      <c r="CB1144" s="198">
        <v>3.0306999999999999</v>
      </c>
      <c r="CC1144" s="198">
        <v>11.221399999999999</v>
      </c>
      <c r="CD1144" s="198">
        <v>1.1564399999999999</v>
      </c>
      <c r="CF1144" s="1051">
        <v>43567</v>
      </c>
      <c r="CG1144" s="198">
        <v>6.0151000000000003</v>
      </c>
      <c r="CH1144" s="198">
        <v>1.0739000000000001</v>
      </c>
      <c r="CI1144" s="198">
        <v>8.4414999999999996</v>
      </c>
      <c r="CL1144" s="1051">
        <v>43593</v>
      </c>
      <c r="CM1144" s="198">
        <v>15.569599999999999</v>
      </c>
      <c r="CN1144" s="198">
        <v>2.3216000000000001</v>
      </c>
      <c r="CO1144" s="198">
        <v>11.652799999999999</v>
      </c>
    </row>
    <row r="1145" spans="1:93" s="198" customFormat="1">
      <c r="A1145" s="1051">
        <v>43567</v>
      </c>
      <c r="B1145" s="1052">
        <f t="shared" si="172"/>
        <v>7.8971999999999998</v>
      </c>
      <c r="C1145" s="1052">
        <f t="shared" si="174"/>
        <v>7.3673999999999999</v>
      </c>
      <c r="D1145" s="1052">
        <f t="shared" si="178"/>
        <v>8.8846000000000007</v>
      </c>
      <c r="E1145" s="1052">
        <f t="shared" si="179"/>
        <v>7.3712999999999997</v>
      </c>
      <c r="F1145" s="1052">
        <f t="shared" si="180"/>
        <v>14.190300000000001</v>
      </c>
      <c r="G1145" s="1052">
        <f t="shared" si="181"/>
        <v>8.3442000000000007</v>
      </c>
      <c r="H1145" s="1047">
        <f t="shared" si="175"/>
        <v>8.3442000000000007</v>
      </c>
      <c r="I1145" s="1048">
        <f t="shared" si="173"/>
        <v>-5.3570144531530972E-2</v>
      </c>
      <c r="J1145" s="1048">
        <f t="shared" si="176"/>
        <v>0.12093838824177333</v>
      </c>
      <c r="K1145" s="1048">
        <f t="shared" si="177"/>
        <v>0.1</v>
      </c>
      <c r="L1145" s="1048"/>
      <c r="N1145" s="1051">
        <v>43567</v>
      </c>
      <c r="O1145" s="1053">
        <v>7.8971999999999998</v>
      </c>
      <c r="P1145" s="1053">
        <v>1.1771</v>
      </c>
      <c r="Q1145" s="1053">
        <v>11.0678</v>
      </c>
      <c r="R1145" s="1054">
        <f>'B. PE'!$U$23</f>
        <v>15.978235616082999</v>
      </c>
      <c r="S1145" s="1054"/>
      <c r="T1145" s="1054"/>
      <c r="V1145" s="1051">
        <v>43567</v>
      </c>
      <c r="W1145" s="198">
        <v>7.3673999999999999</v>
      </c>
      <c r="X1145" s="198">
        <v>0.51190000000000002</v>
      </c>
      <c r="Y1145" s="198">
        <v>6.0955000000000004</v>
      </c>
      <c r="Z1145" s="198">
        <v>0.32668000000000003</v>
      </c>
      <c r="AB1145" s="1051">
        <v>43522</v>
      </c>
      <c r="AC1145" s="198">
        <v>7.9504999999999999</v>
      </c>
      <c r="AD1145" s="1053">
        <v>1.4955000000000001</v>
      </c>
      <c r="AE1145" s="198">
        <v>7.1330999999999998</v>
      </c>
      <c r="AF1145" s="198">
        <v>2.9819999999999999E-2</v>
      </c>
      <c r="AH1145" s="1051">
        <v>43522</v>
      </c>
      <c r="AI1145" s="198">
        <v>8.4817</v>
      </c>
      <c r="AJ1145" s="198">
        <v>1.3539000000000001</v>
      </c>
      <c r="AK1145" s="198">
        <v>4.5975999999999999</v>
      </c>
      <c r="AL1145" s="198">
        <v>1.277E-2</v>
      </c>
      <c r="AN1145" s="1051">
        <v>43532</v>
      </c>
      <c r="AO1145" s="198">
        <v>7.2253999999999996</v>
      </c>
      <c r="AP1145" s="198">
        <v>0.61850000000000005</v>
      </c>
      <c r="AQ1145" s="198">
        <v>4.1856</v>
      </c>
      <c r="AR1145" s="198">
        <v>0.11987</v>
      </c>
      <c r="AT1145" s="1051">
        <v>43448</v>
      </c>
      <c r="AU1145" s="198">
        <v>7.8451000000000004</v>
      </c>
      <c r="AV1145" s="198">
        <v>0.50949999999999995</v>
      </c>
      <c r="AW1145" s="198">
        <v>5.9253999999999998</v>
      </c>
      <c r="BA1145" s="1051">
        <v>43511</v>
      </c>
      <c r="BB1145" s="198">
        <v>7.4949000000000003</v>
      </c>
      <c r="BC1145" s="198">
        <v>1.6093999999999999</v>
      </c>
      <c r="BD1145" s="198">
        <v>8.1333000000000002</v>
      </c>
      <c r="BE1145" s="198">
        <v>0.31589</v>
      </c>
      <c r="BG1145" s="1051">
        <v>43511</v>
      </c>
      <c r="BH1145" s="198">
        <v>13.458500000000001</v>
      </c>
      <c r="BI1145" s="198">
        <v>3.1463000000000001</v>
      </c>
      <c r="BJ1145" s="198">
        <v>16.6526</v>
      </c>
      <c r="BT1145" s="1051">
        <v>43567</v>
      </c>
      <c r="BU1145" s="198">
        <v>11.5245</v>
      </c>
      <c r="BV1145" s="198">
        <v>3.6505000000000001</v>
      </c>
      <c r="BW1145" s="198">
        <v>7.3375000000000004</v>
      </c>
      <c r="BX1145" s="198">
        <v>1.1901999999999999</v>
      </c>
      <c r="BZ1145" s="1051">
        <v>43567</v>
      </c>
      <c r="CA1145" s="198">
        <v>10.72</v>
      </c>
      <c r="CB1145" s="198">
        <v>3.1158000000000001</v>
      </c>
      <c r="CC1145" s="198">
        <v>11.4374</v>
      </c>
      <c r="CD1145" s="198">
        <v>1.13036</v>
      </c>
      <c r="CF1145" s="1051">
        <v>43566</v>
      </c>
      <c r="CI1145" s="198">
        <v>8.8076000000000008</v>
      </c>
      <c r="CL1145" s="1051">
        <v>43592</v>
      </c>
      <c r="CM1145" s="198">
        <v>15.5059</v>
      </c>
      <c r="CN1145" s="198">
        <v>2.3121</v>
      </c>
      <c r="CO1145" s="198">
        <v>11.599500000000001</v>
      </c>
    </row>
    <row r="1146" spans="1:93" s="198" customFormat="1">
      <c r="A1146" s="1051">
        <v>43566</v>
      </c>
      <c r="B1146" s="1052">
        <f t="shared" si="172"/>
        <v>7.9321999999999999</v>
      </c>
      <c r="C1146" s="1052">
        <f t="shared" si="174"/>
        <v>7.4501999999999997</v>
      </c>
      <c r="D1146" s="1052">
        <f t="shared" si="178"/>
        <v>8.5672999999999995</v>
      </c>
      <c r="E1146" s="1052">
        <f t="shared" si="179"/>
        <v>7.4443000000000001</v>
      </c>
      <c r="F1146" s="1052">
        <f t="shared" si="180"/>
        <v>14.071999999999999</v>
      </c>
      <c r="G1146" s="1052">
        <f t="shared" si="181"/>
        <v>8.2704000000000004</v>
      </c>
      <c r="H1146" s="1047">
        <f t="shared" si="175"/>
        <v>8.2704000000000004</v>
      </c>
      <c r="I1146" s="1048">
        <f t="shared" si="173"/>
        <v>-4.0892822596246936E-2</v>
      </c>
      <c r="J1146" s="1048">
        <f t="shared" si="176"/>
        <v>0.12093838824177333</v>
      </c>
      <c r="K1146" s="1048">
        <f t="shared" si="177"/>
        <v>0.1</v>
      </c>
      <c r="L1146" s="1048"/>
      <c r="N1146" s="1051">
        <v>43566</v>
      </c>
      <c r="O1146" s="1053">
        <v>7.9321999999999999</v>
      </c>
      <c r="P1146" s="1053">
        <v>1.1822999999999999</v>
      </c>
      <c r="Q1146" s="1053">
        <v>11.095700000000001</v>
      </c>
      <c r="R1146" s="1054">
        <f>'B. PE'!$U$23</f>
        <v>15.978235616082999</v>
      </c>
      <c r="S1146" s="1054"/>
      <c r="T1146" s="1054"/>
      <c r="V1146" s="1051">
        <v>43566</v>
      </c>
      <c r="W1146" s="198">
        <v>7.4501999999999997</v>
      </c>
      <c r="X1146" s="198">
        <v>0.51770000000000005</v>
      </c>
      <c r="Y1146" s="198">
        <v>6.1261999999999999</v>
      </c>
      <c r="Z1146" s="198">
        <v>0.32777000000000001</v>
      </c>
      <c r="AB1146" s="1051">
        <v>43521</v>
      </c>
      <c r="AC1146" s="198">
        <v>7.9504999999999999</v>
      </c>
      <c r="AD1146" s="1053">
        <v>1.4955000000000001</v>
      </c>
      <c r="AE1146" s="198">
        <v>7.1330999999999998</v>
      </c>
      <c r="AF1146" s="198">
        <v>3.0110000000000001E-2</v>
      </c>
      <c r="AH1146" s="1051">
        <v>43521</v>
      </c>
      <c r="AI1146" s="198">
        <v>8.1834000000000007</v>
      </c>
      <c r="AJ1146" s="198">
        <v>1.3062</v>
      </c>
      <c r="AK1146" s="198">
        <v>4.4531999999999998</v>
      </c>
      <c r="AL1146" s="198">
        <v>1.2500000000000001E-2</v>
      </c>
      <c r="AN1146" s="1051">
        <v>43531</v>
      </c>
      <c r="AO1146" s="198">
        <v>7.2253999999999996</v>
      </c>
      <c r="AP1146" s="198">
        <v>0.61850000000000005</v>
      </c>
      <c r="AQ1146" s="198">
        <v>4.1856</v>
      </c>
      <c r="AR1146" s="198">
        <v>0.12003</v>
      </c>
      <c r="AT1146" s="1051">
        <v>43447</v>
      </c>
      <c r="AU1146" s="198">
        <v>7.6745999999999999</v>
      </c>
      <c r="AV1146" s="198">
        <v>0.49840000000000001</v>
      </c>
      <c r="AW1146" s="198">
        <v>5.8356000000000003</v>
      </c>
      <c r="AX1146" s="198">
        <v>0.11232</v>
      </c>
      <c r="BA1146" s="1051">
        <v>43510</v>
      </c>
      <c r="BB1146" s="198">
        <v>7.4949000000000003</v>
      </c>
      <c r="BC1146" s="198">
        <v>1.6093999999999999</v>
      </c>
      <c r="BD1146" s="198">
        <v>8.1333000000000002</v>
      </c>
      <c r="BE1146" s="198">
        <v>0.31167</v>
      </c>
      <c r="BG1146" s="1051">
        <v>43510</v>
      </c>
      <c r="BH1146" s="198">
        <v>13.565300000000001</v>
      </c>
      <c r="BI1146" s="198">
        <v>3.1713</v>
      </c>
      <c r="BJ1146" s="198">
        <v>16.743500000000001</v>
      </c>
      <c r="BT1146" s="1051">
        <v>43566</v>
      </c>
      <c r="BU1146" s="198">
        <v>11.5245</v>
      </c>
      <c r="BV1146" s="198">
        <v>3.6505000000000001</v>
      </c>
      <c r="BW1146" s="198">
        <v>7.3375000000000004</v>
      </c>
      <c r="BX1146" s="198">
        <v>1.2031000000000001</v>
      </c>
      <c r="BZ1146" s="1051">
        <v>43566</v>
      </c>
      <c r="CA1146" s="198">
        <v>10.3881</v>
      </c>
      <c r="CB1146" s="198">
        <v>3.0192999999999999</v>
      </c>
      <c r="CC1146" s="198">
        <v>11.1927</v>
      </c>
      <c r="CD1146" s="198">
        <v>1.1694800000000001</v>
      </c>
      <c r="CF1146" s="1051">
        <v>43565</v>
      </c>
      <c r="CI1146" s="198">
        <v>8.8076000000000008</v>
      </c>
      <c r="CL1146" s="1051">
        <v>43591</v>
      </c>
      <c r="CM1146" s="198">
        <v>15.6334</v>
      </c>
      <c r="CN1146" s="198">
        <v>2.3311000000000002</v>
      </c>
      <c r="CO1146" s="198">
        <v>11.706099999999999</v>
      </c>
    </row>
    <row r="1147" spans="1:93" s="198" customFormat="1">
      <c r="A1147" s="1051">
        <v>43565</v>
      </c>
      <c r="B1147" s="1052">
        <f t="shared" si="172"/>
        <v>7.9146999999999998</v>
      </c>
      <c r="C1147" s="1052">
        <f t="shared" si="174"/>
        <v>7.4501999999999997</v>
      </c>
      <c r="D1147" s="1052">
        <f t="shared" si="178"/>
        <v>8.6068999999999996</v>
      </c>
      <c r="E1147" s="1052">
        <f t="shared" si="179"/>
        <v>7.2984</v>
      </c>
      <c r="F1147" s="1052">
        <f t="shared" si="180"/>
        <v>13.8355</v>
      </c>
      <c r="G1147" s="1052">
        <f t="shared" si="181"/>
        <v>8.0488</v>
      </c>
      <c r="H1147" s="1047">
        <f t="shared" si="175"/>
        <v>8.0488</v>
      </c>
      <c r="I1147" s="1048">
        <f t="shared" si="173"/>
        <v>-1.6660868700924425E-2</v>
      </c>
      <c r="J1147" s="1048">
        <f t="shared" si="176"/>
        <v>0.12093838824177333</v>
      </c>
      <c r="K1147" s="1048">
        <f t="shared" si="177"/>
        <v>0.1</v>
      </c>
      <c r="L1147" s="1048"/>
      <c r="N1147" s="1051">
        <v>43565</v>
      </c>
      <c r="O1147" s="1053">
        <v>7.9146999999999998</v>
      </c>
      <c r="P1147" s="1053">
        <v>1.1797</v>
      </c>
      <c r="Q1147" s="1053">
        <v>11.081799999999999</v>
      </c>
      <c r="R1147" s="1054">
        <f>'B. PE'!$U$23</f>
        <v>15.978235616082999</v>
      </c>
      <c r="S1147" s="1054"/>
      <c r="T1147" s="1054"/>
      <c r="V1147" s="1051">
        <v>43565</v>
      </c>
      <c r="W1147" s="198">
        <v>7.4501999999999997</v>
      </c>
      <c r="X1147" s="198">
        <v>0.51770000000000005</v>
      </c>
      <c r="Y1147" s="198">
        <v>6.1261999999999999</v>
      </c>
      <c r="Z1147" s="198">
        <v>0.33030999999999999</v>
      </c>
      <c r="AB1147" s="1051">
        <v>43518</v>
      </c>
      <c r="AC1147" s="198">
        <v>7.5529999999999999</v>
      </c>
      <c r="AD1147" s="1053">
        <v>1.4207000000000001</v>
      </c>
      <c r="AE1147" s="198">
        <v>6.9089</v>
      </c>
      <c r="AF1147" s="198">
        <v>3.1519999999999999E-2</v>
      </c>
      <c r="AH1147" s="1051">
        <v>43518</v>
      </c>
      <c r="AI1147" s="198">
        <v>7.6292999999999997</v>
      </c>
      <c r="AJ1147" s="198">
        <v>1.2178</v>
      </c>
      <c r="AK1147" s="198">
        <v>4.1852</v>
      </c>
      <c r="AL1147" s="198">
        <v>1.291E-2</v>
      </c>
      <c r="AN1147" s="1051">
        <v>43530</v>
      </c>
      <c r="AO1147" s="198">
        <v>7.1524000000000001</v>
      </c>
      <c r="AP1147" s="198">
        <v>0.61229999999999996</v>
      </c>
      <c r="AQ1147" s="198">
        <v>4.1246999999999998</v>
      </c>
      <c r="AR1147" s="198">
        <v>0.12197</v>
      </c>
      <c r="AT1147" s="1051">
        <v>43446</v>
      </c>
      <c r="AW1147" s="198">
        <v>6.0152000000000001</v>
      </c>
      <c r="AX1147" s="198">
        <v>0.11496000000000001</v>
      </c>
      <c r="BA1147" s="1051">
        <v>43509</v>
      </c>
      <c r="BB1147" s="198">
        <v>7.42</v>
      </c>
      <c r="BC1147" s="198">
        <v>1.5932999999999999</v>
      </c>
      <c r="BD1147" s="198">
        <v>8.0763999999999996</v>
      </c>
      <c r="BE1147" s="198">
        <v>0.31173000000000001</v>
      </c>
      <c r="BG1147" s="1051">
        <v>43509</v>
      </c>
      <c r="BH1147" s="198">
        <v>13.565300000000001</v>
      </c>
      <c r="BI1147" s="198">
        <v>3.1713</v>
      </c>
      <c r="BJ1147" s="198">
        <v>16.743500000000001</v>
      </c>
      <c r="BT1147" s="1051">
        <v>43565</v>
      </c>
      <c r="BU1147" s="198">
        <v>11.5664</v>
      </c>
      <c r="BV1147" s="198">
        <v>3.6637</v>
      </c>
      <c r="BW1147" s="198">
        <v>7.3620999999999999</v>
      </c>
      <c r="BX1147" s="198">
        <v>1.2074</v>
      </c>
      <c r="BZ1147" s="1051">
        <v>43565</v>
      </c>
      <c r="CA1147" s="198">
        <v>10.153700000000001</v>
      </c>
      <c r="CB1147" s="198">
        <v>2.9512</v>
      </c>
      <c r="CC1147" s="198">
        <v>11.0199</v>
      </c>
      <c r="CD1147" s="198">
        <v>1.1694800000000001</v>
      </c>
      <c r="CF1147" s="1051">
        <v>43564</v>
      </c>
      <c r="CI1147" s="198">
        <v>8.8076000000000008</v>
      </c>
      <c r="CL1147" s="1051">
        <v>43588</v>
      </c>
      <c r="CM1147" s="198">
        <v>15.799200000000001</v>
      </c>
      <c r="CN1147" s="198">
        <v>2.3557999999999999</v>
      </c>
      <c r="CO1147" s="198">
        <v>11.8447</v>
      </c>
    </row>
    <row r="1148" spans="1:93" s="198" customFormat="1">
      <c r="A1148" s="1051">
        <v>43564</v>
      </c>
      <c r="B1148" s="1052">
        <f t="shared" si="172"/>
        <v>7.8971999999999998</v>
      </c>
      <c r="C1148" s="1052">
        <f t="shared" si="174"/>
        <v>7.4749999999999996</v>
      </c>
      <c r="D1148" s="1052">
        <f t="shared" si="178"/>
        <v>8.6862999999999992</v>
      </c>
      <c r="E1148" s="1052">
        <f t="shared" si="179"/>
        <v>7.2984</v>
      </c>
      <c r="F1148" s="1052">
        <f t="shared" si="180"/>
        <v>13.953799999999999</v>
      </c>
      <c r="G1148" s="1052">
        <f t="shared" si="181"/>
        <v>8.0488</v>
      </c>
      <c r="H1148" s="1047">
        <f t="shared" si="175"/>
        <v>8.0488</v>
      </c>
      <c r="I1148" s="1048">
        <f t="shared" si="173"/>
        <v>-1.8835105854288825E-2</v>
      </c>
      <c r="J1148" s="1048">
        <f t="shared" si="176"/>
        <v>0.12093838824177333</v>
      </c>
      <c r="K1148" s="1048">
        <f t="shared" si="177"/>
        <v>0.1</v>
      </c>
      <c r="L1148" s="1048"/>
      <c r="N1148" s="1051">
        <v>43564</v>
      </c>
      <c r="O1148" s="1053">
        <v>7.8971999999999998</v>
      </c>
      <c r="P1148" s="1053">
        <v>1.1771</v>
      </c>
      <c r="Q1148" s="1053">
        <v>11.0678</v>
      </c>
      <c r="R1148" s="1054">
        <f>'B. PE'!$U$23</f>
        <v>15.978235616082999</v>
      </c>
      <c r="S1148" s="1054"/>
      <c r="T1148" s="1054"/>
      <c r="V1148" s="1051">
        <v>43564</v>
      </c>
      <c r="W1148" s="198">
        <v>7.4749999999999996</v>
      </c>
      <c r="X1148" s="198">
        <v>0.51939999999999997</v>
      </c>
      <c r="Y1148" s="198">
        <v>6.1355000000000004</v>
      </c>
      <c r="Z1148" s="198">
        <v>0.33234999999999998</v>
      </c>
      <c r="AB1148" s="1051">
        <v>43517</v>
      </c>
      <c r="AC1148" s="198">
        <v>7.6614000000000004</v>
      </c>
      <c r="AD1148" s="1053">
        <v>1.4411</v>
      </c>
      <c r="AE1148" s="198">
        <v>6.9701000000000004</v>
      </c>
      <c r="AF1148" s="198">
        <v>3.1009999999999999E-2</v>
      </c>
      <c r="AH1148" s="1051">
        <v>43517</v>
      </c>
      <c r="AI1148" s="198">
        <v>7.5014000000000003</v>
      </c>
      <c r="AJ1148" s="198">
        <v>1.1974</v>
      </c>
      <c r="AK1148" s="198">
        <v>4.1233000000000004</v>
      </c>
      <c r="AL1148" s="198">
        <v>1.2800000000000001E-2</v>
      </c>
      <c r="AN1148" s="1051">
        <v>43529</v>
      </c>
      <c r="AO1148" s="198">
        <v>7.1524000000000001</v>
      </c>
      <c r="AP1148" s="198">
        <v>0.61229999999999996</v>
      </c>
      <c r="AQ1148" s="198">
        <v>4.1246999999999998</v>
      </c>
      <c r="AR1148" s="198">
        <v>0.11884</v>
      </c>
      <c r="AT1148" s="1051">
        <v>43445</v>
      </c>
      <c r="AU1148" s="198">
        <v>8.0157000000000007</v>
      </c>
      <c r="AV1148" s="198">
        <v>0.52049999999999996</v>
      </c>
      <c r="AW1148" s="198">
        <v>6.0152000000000001</v>
      </c>
      <c r="AX1148" s="198">
        <v>0.1129</v>
      </c>
      <c r="BA1148" s="1051">
        <v>43508</v>
      </c>
      <c r="BB1148" s="198">
        <v>7.3075999999999999</v>
      </c>
      <c r="BC1148" s="198">
        <v>1.5690999999999999</v>
      </c>
      <c r="BD1148" s="198">
        <v>7.9909999999999997</v>
      </c>
      <c r="BE1148" s="198">
        <v>0.30298000000000003</v>
      </c>
      <c r="BG1148" s="1051">
        <v>43508</v>
      </c>
      <c r="BH1148" s="198">
        <v>13.351699999999999</v>
      </c>
      <c r="BI1148" s="198">
        <v>3.1214</v>
      </c>
      <c r="BJ1148" s="198">
        <v>16.561699999999998</v>
      </c>
      <c r="BT1148" s="1051">
        <v>43564</v>
      </c>
      <c r="BU1148" s="198">
        <v>11.6921</v>
      </c>
      <c r="BV1148" s="198">
        <v>3.7035999999999998</v>
      </c>
      <c r="BW1148" s="198">
        <v>7.4358000000000004</v>
      </c>
      <c r="BX1148" s="198">
        <v>1.2082999999999999</v>
      </c>
      <c r="BZ1148" s="1051">
        <v>43564</v>
      </c>
      <c r="CA1148" s="198">
        <v>10.5052</v>
      </c>
      <c r="CB1148" s="198">
        <v>3.0533999999999999</v>
      </c>
      <c r="CC1148" s="198">
        <v>11.279</v>
      </c>
      <c r="CD1148" s="198">
        <v>1.1885399999999999</v>
      </c>
      <c r="CF1148" s="1051">
        <v>43563</v>
      </c>
      <c r="CG1148" s="198">
        <v>6.6833999999999998</v>
      </c>
      <c r="CH1148" s="198">
        <v>1.1932</v>
      </c>
      <c r="CI1148" s="198">
        <v>8.8076000000000008</v>
      </c>
      <c r="CL1148" s="1051">
        <v>43587</v>
      </c>
      <c r="CM1148" s="198">
        <v>15.850199999999999</v>
      </c>
      <c r="CN1148" s="198">
        <v>2.3633999999999999</v>
      </c>
      <c r="CO1148" s="198">
        <v>11.8873</v>
      </c>
    </row>
    <row r="1149" spans="1:93" s="198" customFormat="1">
      <c r="A1149" s="1051">
        <v>43563</v>
      </c>
      <c r="B1149" s="1052">
        <f t="shared" si="172"/>
        <v>8.0020000000000007</v>
      </c>
      <c r="C1149" s="1052">
        <f t="shared" si="174"/>
        <v>7.5328999999999997</v>
      </c>
      <c r="D1149" s="1052">
        <f t="shared" si="178"/>
        <v>8.9242000000000008</v>
      </c>
      <c r="E1149" s="1052">
        <f t="shared" si="179"/>
        <v>7.2984</v>
      </c>
      <c r="F1149" s="1052">
        <f t="shared" si="180"/>
        <v>13.953799999999999</v>
      </c>
      <c r="G1149" s="1052">
        <f t="shared" si="181"/>
        <v>8.0488</v>
      </c>
      <c r="H1149" s="1047">
        <f t="shared" si="175"/>
        <v>8.0488</v>
      </c>
      <c r="I1149" s="1048">
        <f t="shared" si="173"/>
        <v>-5.8145313587117942E-3</v>
      </c>
      <c r="J1149" s="1048">
        <f t="shared" si="176"/>
        <v>0.12093838824177333</v>
      </c>
      <c r="K1149" s="1048">
        <f t="shared" si="177"/>
        <v>0.1</v>
      </c>
      <c r="L1149" s="1048"/>
      <c r="N1149" s="1051">
        <v>43563</v>
      </c>
      <c r="O1149" s="1053">
        <v>8.0020000000000007</v>
      </c>
      <c r="P1149" s="1053">
        <v>1.1927000000000001</v>
      </c>
      <c r="Q1149" s="1053">
        <v>11.151400000000001</v>
      </c>
      <c r="R1149" s="1054">
        <f>'B. PE'!$U$23</f>
        <v>15.978235616082999</v>
      </c>
      <c r="S1149" s="1054"/>
      <c r="T1149" s="1054"/>
      <c r="V1149" s="1051">
        <v>43563</v>
      </c>
      <c r="W1149" s="198">
        <v>7.5328999999999997</v>
      </c>
      <c r="X1149" s="198">
        <v>0.52339999999999998</v>
      </c>
      <c r="Y1149" s="198">
        <v>6.157</v>
      </c>
      <c r="Z1149" s="198">
        <v>0.33341999999999999</v>
      </c>
      <c r="AB1149" s="1051">
        <v>43516</v>
      </c>
      <c r="AC1149" s="198">
        <v>7.9866000000000001</v>
      </c>
      <c r="AD1149" s="1053">
        <v>1.5023</v>
      </c>
      <c r="AE1149" s="198">
        <v>7.1535000000000002</v>
      </c>
      <c r="AF1149" s="198">
        <v>2.887E-2</v>
      </c>
      <c r="AH1149" s="1051">
        <v>43516</v>
      </c>
      <c r="AI1149" s="198">
        <v>7.7145000000000001</v>
      </c>
      <c r="AJ1149" s="198">
        <v>1.2314000000000001</v>
      </c>
      <c r="AK1149" s="198">
        <v>4.2263999999999999</v>
      </c>
      <c r="AL1149" s="198">
        <v>1.281E-2</v>
      </c>
      <c r="AN1149" s="1051">
        <v>43528</v>
      </c>
      <c r="AO1149" s="198">
        <v>7.2618999999999998</v>
      </c>
      <c r="AP1149" s="198">
        <v>0.62170000000000003</v>
      </c>
      <c r="AQ1149" s="198">
        <v>4.2161</v>
      </c>
      <c r="AR1149" s="198">
        <v>0.12113</v>
      </c>
      <c r="AT1149" s="1051">
        <v>43444</v>
      </c>
      <c r="AU1149" s="198">
        <v>8.1861999999999995</v>
      </c>
      <c r="AV1149" s="198">
        <v>0.53159999999999996</v>
      </c>
      <c r="AW1149" s="198">
        <v>6.1050000000000004</v>
      </c>
      <c r="AX1149" s="198">
        <v>0.11516</v>
      </c>
      <c r="BA1149" s="1051">
        <v>43507</v>
      </c>
      <c r="BB1149" s="198">
        <v>7.3449999999999998</v>
      </c>
      <c r="BC1149" s="198">
        <v>1.5771999999999999</v>
      </c>
      <c r="BD1149" s="198">
        <v>8.0195000000000007</v>
      </c>
      <c r="BE1149" s="198">
        <v>0.30709999999999998</v>
      </c>
      <c r="BG1149" s="1051">
        <v>43507</v>
      </c>
      <c r="BH1149" s="198">
        <v>13.0312</v>
      </c>
      <c r="BI1149" s="198">
        <v>3.0464000000000002</v>
      </c>
      <c r="BJ1149" s="198">
        <v>16.289000000000001</v>
      </c>
      <c r="BT1149" s="1051">
        <v>43563</v>
      </c>
      <c r="BU1149" s="198">
        <v>11.734</v>
      </c>
      <c r="BV1149" s="198">
        <v>3.7168000000000001</v>
      </c>
      <c r="BW1149" s="198">
        <v>7.4603999999999999</v>
      </c>
      <c r="BX1149" s="198">
        <v>1.1997</v>
      </c>
      <c r="BZ1149" s="1051">
        <v>43563</v>
      </c>
      <c r="CA1149" s="198">
        <v>10.5052</v>
      </c>
      <c r="CB1149" s="198">
        <v>3.0533999999999999</v>
      </c>
      <c r="CC1149" s="198">
        <v>11.279</v>
      </c>
      <c r="CD1149" s="198">
        <v>1.1732800000000001</v>
      </c>
      <c r="CF1149" s="1051">
        <v>43560</v>
      </c>
      <c r="CI1149" s="198">
        <v>8.5878999999999994</v>
      </c>
      <c r="CL1149" s="1051">
        <v>43585</v>
      </c>
      <c r="CM1149" s="198">
        <v>15.952199999999999</v>
      </c>
      <c r="CN1149" s="198">
        <v>2.3786</v>
      </c>
      <c r="CO1149" s="198">
        <v>11.9726</v>
      </c>
    </row>
    <row r="1150" spans="1:93" s="198" customFormat="1">
      <c r="A1150" s="1051">
        <v>43560</v>
      </c>
      <c r="B1150" s="1052">
        <f t="shared" si="172"/>
        <v>7.8098999999999998</v>
      </c>
      <c r="C1150" s="1052">
        <f t="shared" si="174"/>
        <v>7.5826000000000002</v>
      </c>
      <c r="D1150" s="1052">
        <f t="shared" si="178"/>
        <v>8.6465999999999994</v>
      </c>
      <c r="E1150" s="1052">
        <f t="shared" si="179"/>
        <v>7.2618999999999998</v>
      </c>
      <c r="F1150" s="1052">
        <f t="shared" si="180"/>
        <v>13.8355</v>
      </c>
      <c r="G1150" s="1052">
        <f t="shared" si="181"/>
        <v>8.2704000000000004</v>
      </c>
      <c r="H1150" s="1047">
        <f t="shared" si="175"/>
        <v>8.2704000000000004</v>
      </c>
      <c r="I1150" s="1048">
        <f t="shared" si="173"/>
        <v>-5.568049912942552E-2</v>
      </c>
      <c r="J1150" s="1048">
        <f t="shared" si="176"/>
        <v>0.12093838824177333</v>
      </c>
      <c r="K1150" s="1048">
        <f t="shared" si="177"/>
        <v>0.1</v>
      </c>
      <c r="L1150" s="1048"/>
      <c r="N1150" s="1051">
        <v>43560</v>
      </c>
      <c r="O1150" s="1053">
        <v>7.8098999999999998</v>
      </c>
      <c r="P1150" s="1053">
        <v>1.1640999999999999</v>
      </c>
      <c r="Q1150" s="1053">
        <v>10.998200000000001</v>
      </c>
      <c r="R1150" s="1054">
        <f>'B. PE'!$U$23</f>
        <v>15.978235616082999</v>
      </c>
      <c r="S1150" s="1054"/>
      <c r="T1150" s="1054"/>
      <c r="V1150" s="1051">
        <v>43560</v>
      </c>
      <c r="W1150" s="198">
        <v>7.5826000000000002</v>
      </c>
      <c r="X1150" s="198">
        <v>0.52690000000000003</v>
      </c>
      <c r="Y1150" s="198">
        <v>6.1755000000000004</v>
      </c>
      <c r="Z1150" s="198">
        <v>0.33030999999999999</v>
      </c>
      <c r="AB1150" s="1051">
        <v>43515</v>
      </c>
      <c r="AC1150" s="198">
        <v>7.8781999999999996</v>
      </c>
      <c r="AD1150" s="1053">
        <v>1.4819</v>
      </c>
      <c r="AE1150" s="198">
        <v>7.0923999999999996</v>
      </c>
      <c r="AF1150" s="198">
        <v>2.767E-2</v>
      </c>
      <c r="AH1150" s="1051">
        <v>43515</v>
      </c>
      <c r="AI1150" s="198">
        <v>7.6718999999999999</v>
      </c>
      <c r="AJ1150" s="198">
        <v>1.2245999999999999</v>
      </c>
      <c r="AK1150" s="198">
        <v>4.2058</v>
      </c>
      <c r="AL1150" s="198">
        <v>1.281E-2</v>
      </c>
      <c r="AN1150" s="1051">
        <v>43525</v>
      </c>
      <c r="AO1150" s="198">
        <v>7.0793999999999997</v>
      </c>
      <c r="AP1150" s="198">
        <v>0.60599999999999998</v>
      </c>
      <c r="AQ1150" s="198">
        <v>4.0636999999999999</v>
      </c>
      <c r="AR1150" s="198">
        <v>0.12171999999999999</v>
      </c>
      <c r="AT1150" s="1051">
        <v>43441</v>
      </c>
      <c r="AU1150" s="198">
        <v>8.0157000000000007</v>
      </c>
      <c r="AV1150" s="198">
        <v>0.52049999999999996</v>
      </c>
      <c r="AW1150" s="198">
        <v>6.0152000000000001</v>
      </c>
      <c r="AX1150" s="198">
        <v>0.11916</v>
      </c>
      <c r="BA1150" s="1051">
        <v>43504</v>
      </c>
      <c r="BB1150" s="198">
        <v>7.1577000000000002</v>
      </c>
      <c r="BC1150" s="198">
        <v>1.5368999999999999</v>
      </c>
      <c r="BD1150" s="198">
        <v>7.8772000000000002</v>
      </c>
      <c r="BE1150" s="198">
        <v>0.30895</v>
      </c>
      <c r="BG1150" s="1051">
        <v>43504</v>
      </c>
      <c r="BH1150" s="198">
        <v>13.2448</v>
      </c>
      <c r="BI1150" s="198">
        <v>3.0964</v>
      </c>
      <c r="BJ1150" s="198">
        <v>16.470800000000001</v>
      </c>
      <c r="BT1150" s="1051">
        <v>43560</v>
      </c>
      <c r="BU1150" s="198">
        <v>11.747999999999999</v>
      </c>
      <c r="BV1150" s="198">
        <v>3.7212999999999998</v>
      </c>
      <c r="BW1150" s="198">
        <v>7.4686000000000003</v>
      </c>
      <c r="BX1150" s="198">
        <v>1.2044999999999999</v>
      </c>
      <c r="BZ1150" s="1051">
        <v>43560</v>
      </c>
      <c r="CA1150" s="198">
        <v>10.680999999999999</v>
      </c>
      <c r="CB1150" s="198">
        <v>3.1044999999999998</v>
      </c>
      <c r="CC1150" s="198">
        <v>11.4086</v>
      </c>
      <c r="CD1150" s="198">
        <v>1.2173099999999999</v>
      </c>
      <c r="CF1150" s="1051">
        <v>43559</v>
      </c>
      <c r="CG1150" s="198">
        <v>6.2824</v>
      </c>
      <c r="CH1150" s="198">
        <v>1.1215999999999999</v>
      </c>
      <c r="CI1150" s="198">
        <v>8.5878999999999994</v>
      </c>
      <c r="CL1150" s="1051">
        <v>43584</v>
      </c>
      <c r="CM1150" s="198">
        <v>16.169</v>
      </c>
      <c r="CN1150" s="198">
        <v>2.411</v>
      </c>
      <c r="CO1150" s="198">
        <v>12.1538</v>
      </c>
    </row>
    <row r="1151" spans="1:93" s="198" customFormat="1">
      <c r="A1151" s="1051">
        <v>43559</v>
      </c>
      <c r="B1151" s="1052">
        <f t="shared" si="172"/>
        <v>7.6177000000000001</v>
      </c>
      <c r="C1151" s="1052">
        <f t="shared" si="174"/>
        <v>7.6074000000000002</v>
      </c>
      <c r="D1151" s="1052">
        <f t="shared" si="178"/>
        <v>8.3689999999999998</v>
      </c>
      <c r="E1151" s="1052">
        <f t="shared" si="179"/>
        <v>7.2253999999999996</v>
      </c>
      <c r="F1151" s="1052">
        <f t="shared" si="180"/>
        <v>13.953799999999999</v>
      </c>
      <c r="G1151" s="1052">
        <f t="shared" si="181"/>
        <v>8.4179999999999993</v>
      </c>
      <c r="H1151" s="1047">
        <f t="shared" si="175"/>
        <v>8.3689999999999998</v>
      </c>
      <c r="I1151" s="1048">
        <f t="shared" si="173"/>
        <v>-8.9771776795316005E-2</v>
      </c>
      <c r="J1151" s="1048">
        <f t="shared" si="176"/>
        <v>0.12093838824177333</v>
      </c>
      <c r="K1151" s="1048">
        <f t="shared" si="177"/>
        <v>0.1</v>
      </c>
      <c r="L1151" s="1048"/>
      <c r="N1151" s="1051">
        <v>43559</v>
      </c>
      <c r="O1151" s="1053">
        <v>7.6177000000000001</v>
      </c>
      <c r="P1151" s="1053">
        <v>1.1354</v>
      </c>
      <c r="Q1151" s="1053">
        <v>10.8451</v>
      </c>
      <c r="R1151" s="1054">
        <f>'B. PE'!$U$23</f>
        <v>15.978235616082999</v>
      </c>
      <c r="S1151" s="1054"/>
      <c r="T1151" s="1054"/>
      <c r="V1151" s="1051">
        <v>43559</v>
      </c>
      <c r="W1151" s="198">
        <v>7.6074000000000002</v>
      </c>
      <c r="X1151" s="198">
        <v>0.52859999999999996</v>
      </c>
      <c r="Y1151" s="198">
        <v>6.1848000000000001</v>
      </c>
      <c r="Z1151" s="198">
        <v>0.33030999999999999</v>
      </c>
      <c r="AB1151" s="1051">
        <v>43514</v>
      </c>
      <c r="AC1151" s="198">
        <v>7.3723000000000001</v>
      </c>
      <c r="AD1151" s="1053">
        <v>1.3867</v>
      </c>
      <c r="AE1151" s="198">
        <v>6.8070000000000004</v>
      </c>
      <c r="AF1151" s="198">
        <v>2.7660000000000001E-2</v>
      </c>
      <c r="AH1151" s="1051">
        <v>43514</v>
      </c>
      <c r="AI1151" s="198">
        <v>7.7145000000000001</v>
      </c>
      <c r="AJ1151" s="198">
        <v>1.2314000000000001</v>
      </c>
      <c r="AK1151" s="198">
        <v>4.2263999999999999</v>
      </c>
      <c r="AL1151" s="198">
        <v>1.277E-2</v>
      </c>
      <c r="AN1151" s="1051">
        <v>43524</v>
      </c>
      <c r="AO1151" s="198">
        <v>7.1889000000000003</v>
      </c>
      <c r="AP1151" s="198">
        <v>0.61539999999999995</v>
      </c>
      <c r="AQ1151" s="198">
        <v>4.1551</v>
      </c>
      <c r="AR1151" s="198">
        <v>0.12121999999999999</v>
      </c>
      <c r="AT1151" s="1051">
        <v>43440</v>
      </c>
      <c r="AU1151" s="198">
        <v>8.1861999999999995</v>
      </c>
      <c r="AV1151" s="198">
        <v>0.53159999999999996</v>
      </c>
      <c r="AW1151" s="198">
        <v>6.1050000000000004</v>
      </c>
      <c r="AX1151" s="198">
        <v>0.1162</v>
      </c>
      <c r="BA1151" s="1051">
        <v>43503</v>
      </c>
      <c r="BB1151" s="198">
        <v>7.1951000000000001</v>
      </c>
      <c r="BC1151" s="198">
        <v>1.5449999999999999</v>
      </c>
      <c r="BD1151" s="198">
        <v>7.9057000000000004</v>
      </c>
      <c r="BE1151" s="198">
        <v>0.30871999999999999</v>
      </c>
      <c r="BG1151" s="1051">
        <v>43503</v>
      </c>
      <c r="BH1151" s="198">
        <v>13.138</v>
      </c>
      <c r="BI1151" s="198">
        <v>3.0714000000000001</v>
      </c>
      <c r="BJ1151" s="198">
        <v>16.379899999999999</v>
      </c>
      <c r="BT1151" s="1051">
        <v>43559</v>
      </c>
      <c r="BU1151" s="198">
        <v>11.664199999999999</v>
      </c>
      <c r="BV1151" s="198">
        <v>3.6947000000000001</v>
      </c>
      <c r="BW1151" s="198">
        <v>7.4194000000000004</v>
      </c>
      <c r="BX1151" s="198">
        <v>1.2089000000000001</v>
      </c>
      <c r="BZ1151" s="1051">
        <v>43559</v>
      </c>
      <c r="CA1151" s="198">
        <v>10.5443</v>
      </c>
      <c r="CB1151" s="198">
        <v>3.0647000000000002</v>
      </c>
      <c r="CC1151" s="198">
        <v>11.3078</v>
      </c>
      <c r="CD1151" s="198">
        <v>1.1434</v>
      </c>
      <c r="CF1151" s="1051">
        <v>43558</v>
      </c>
      <c r="CG1151" s="198">
        <v>6.0151000000000003</v>
      </c>
      <c r="CH1151" s="198">
        <v>1.0739000000000001</v>
      </c>
      <c r="CI1151" s="198">
        <v>8.4414999999999996</v>
      </c>
      <c r="CL1151" s="1051">
        <v>43581</v>
      </c>
      <c r="CM1151" s="198">
        <v>16.0032</v>
      </c>
      <c r="CN1151" s="198">
        <v>2.3862999999999999</v>
      </c>
      <c r="CO1151" s="198">
        <v>12.0152</v>
      </c>
    </row>
    <row r="1152" spans="1:93" s="198" customFormat="1">
      <c r="A1152" s="1051">
        <v>43558</v>
      </c>
      <c r="B1152" s="1052">
        <f t="shared" si="172"/>
        <v>7.8098999999999998</v>
      </c>
      <c r="C1152" s="1052">
        <f t="shared" si="174"/>
        <v>7.5328999999999997</v>
      </c>
      <c r="D1152" s="1052">
        <f t="shared" si="178"/>
        <v>8.3689999999999998</v>
      </c>
      <c r="E1152" s="1052">
        <f t="shared" si="179"/>
        <v>7.2618999999999998</v>
      </c>
      <c r="F1152" s="1052">
        <f t="shared" si="180"/>
        <v>13.953799999999999</v>
      </c>
      <c r="G1152" s="1052">
        <f t="shared" si="181"/>
        <v>8.7134</v>
      </c>
      <c r="H1152" s="1047">
        <f t="shared" si="175"/>
        <v>8.3689999999999998</v>
      </c>
      <c r="I1152" s="1048">
        <f t="shared" si="173"/>
        <v>-6.6806070020313024E-2</v>
      </c>
      <c r="J1152" s="1048">
        <f t="shared" si="176"/>
        <v>0.12093838824177333</v>
      </c>
      <c r="K1152" s="1048">
        <f t="shared" si="177"/>
        <v>0.1</v>
      </c>
      <c r="L1152" s="1048"/>
      <c r="N1152" s="1051">
        <v>43558</v>
      </c>
      <c r="O1152" s="1053">
        <v>7.8098999999999998</v>
      </c>
      <c r="P1152" s="1053">
        <v>1.1640999999999999</v>
      </c>
      <c r="Q1152" s="1053">
        <v>10.819599999999999</v>
      </c>
      <c r="R1152" s="1054">
        <f>'B. PE'!$U$23</f>
        <v>15.978235616082999</v>
      </c>
      <c r="S1152" s="1054"/>
      <c r="T1152" s="1054"/>
      <c r="V1152" s="1051">
        <v>43558</v>
      </c>
      <c r="W1152" s="198">
        <v>7.5328999999999997</v>
      </c>
      <c r="X1152" s="198">
        <v>0.52339999999999998</v>
      </c>
      <c r="Y1152" s="198">
        <v>6.157</v>
      </c>
      <c r="Z1152" s="198">
        <v>0.32705000000000001</v>
      </c>
      <c r="AB1152" s="1051">
        <v>43511</v>
      </c>
      <c r="AC1152" s="198">
        <v>7.0651000000000002</v>
      </c>
      <c r="AD1152" s="1053">
        <v>1.3289</v>
      </c>
      <c r="AE1152" s="198">
        <v>6.6337999999999999</v>
      </c>
      <c r="AF1152" s="198">
        <v>2.8799999999999999E-2</v>
      </c>
      <c r="AH1152" s="1051">
        <v>43511</v>
      </c>
      <c r="AI1152" s="198">
        <v>7.7145000000000001</v>
      </c>
      <c r="AJ1152" s="198">
        <v>1.2314000000000001</v>
      </c>
      <c r="AK1152" s="198">
        <v>4.2263999999999999</v>
      </c>
      <c r="AL1152" s="198">
        <v>1.277E-2</v>
      </c>
      <c r="AN1152" s="1051">
        <v>43523</v>
      </c>
      <c r="AO1152" s="198">
        <v>7.2253999999999996</v>
      </c>
      <c r="AP1152" s="198">
        <v>0.61850000000000005</v>
      </c>
      <c r="AQ1152" s="198">
        <v>4.1856</v>
      </c>
      <c r="AR1152" s="198">
        <v>0.12106</v>
      </c>
      <c r="AT1152" s="1051">
        <v>43439</v>
      </c>
      <c r="AU1152" s="198">
        <v>8.4420999999999999</v>
      </c>
      <c r="AV1152" s="198">
        <v>0.54820000000000002</v>
      </c>
      <c r="AW1152" s="198">
        <v>6.2397999999999998</v>
      </c>
      <c r="AX1152" s="198">
        <v>0.11523</v>
      </c>
      <c r="BA1152" s="1051">
        <v>43502</v>
      </c>
      <c r="BB1152" s="198">
        <v>7.2325999999999997</v>
      </c>
      <c r="BC1152" s="198">
        <v>1.5529999999999999</v>
      </c>
      <c r="BD1152" s="198">
        <v>7.9340999999999999</v>
      </c>
      <c r="BE1152" s="198">
        <v>0.30821999999999999</v>
      </c>
      <c r="BG1152" s="1051">
        <v>43502</v>
      </c>
      <c r="BH1152" s="198">
        <v>13.6721</v>
      </c>
      <c r="BI1152" s="198">
        <v>3.1962999999999999</v>
      </c>
      <c r="BJ1152" s="198">
        <v>16.834299999999999</v>
      </c>
      <c r="BT1152" s="1051">
        <v>43558</v>
      </c>
      <c r="BU1152" s="198">
        <v>11.706099999999999</v>
      </c>
      <c r="BV1152" s="198">
        <v>3.7080000000000002</v>
      </c>
      <c r="BW1152" s="198">
        <v>7.444</v>
      </c>
      <c r="BX1152" s="198">
        <v>1.2089000000000001</v>
      </c>
      <c r="BZ1152" s="1051">
        <v>43558</v>
      </c>
      <c r="CA1152" s="198">
        <v>10.934799999999999</v>
      </c>
      <c r="CB1152" s="198">
        <v>3.1781999999999999</v>
      </c>
      <c r="CC1152" s="198">
        <v>11.595700000000001</v>
      </c>
      <c r="CD1152" s="198">
        <v>1.0694900000000001</v>
      </c>
      <c r="CF1152" s="1051">
        <v>43557</v>
      </c>
      <c r="CI1152" s="198">
        <v>8.4414999999999996</v>
      </c>
      <c r="CL1152" s="1051">
        <v>43580</v>
      </c>
      <c r="CM1152" s="198">
        <v>15.8629</v>
      </c>
      <c r="CN1152" s="198">
        <v>2.3653</v>
      </c>
      <c r="CO1152" s="198">
        <v>11.898</v>
      </c>
    </row>
    <row r="1153" spans="1:93" s="198" customFormat="1">
      <c r="A1153" s="1051">
        <v>43557</v>
      </c>
      <c r="B1153" s="1052">
        <f t="shared" si="172"/>
        <v>7.8796999999999997</v>
      </c>
      <c r="C1153" s="1052">
        <f t="shared" si="174"/>
        <v>7.5328999999999997</v>
      </c>
      <c r="D1153" s="1052">
        <f t="shared" si="178"/>
        <v>8.2103000000000002</v>
      </c>
      <c r="E1153" s="1052">
        <f t="shared" si="179"/>
        <v>7.2618999999999998</v>
      </c>
      <c r="F1153" s="1052">
        <f t="shared" si="180"/>
        <v>13.953799999999999</v>
      </c>
      <c r="G1153" s="1052">
        <f t="shared" si="181"/>
        <v>8.7134</v>
      </c>
      <c r="H1153" s="1047">
        <f t="shared" si="175"/>
        <v>8.2103000000000002</v>
      </c>
      <c r="I1153" s="1048">
        <f t="shared" si="173"/>
        <v>-4.0266494525169616E-2</v>
      </c>
      <c r="J1153" s="1048">
        <f t="shared" si="176"/>
        <v>0.12093838824177333</v>
      </c>
      <c r="K1153" s="1048">
        <f t="shared" si="177"/>
        <v>0.1</v>
      </c>
      <c r="L1153" s="1048"/>
      <c r="N1153" s="1051">
        <v>43557</v>
      </c>
      <c r="O1153" s="1053">
        <v>7.8796999999999997</v>
      </c>
      <c r="P1153" s="1053">
        <v>1.1745000000000001</v>
      </c>
      <c r="Q1153" s="1053">
        <v>10.873699999999999</v>
      </c>
      <c r="R1153" s="1054">
        <f>'B. PE'!$U$23</f>
        <v>15.978235616082999</v>
      </c>
      <c r="S1153" s="1054"/>
      <c r="T1153" s="1054"/>
      <c r="V1153" s="1051">
        <v>43557</v>
      </c>
      <c r="W1153" s="198">
        <v>7.5328999999999997</v>
      </c>
      <c r="X1153" s="198">
        <v>0.52339999999999998</v>
      </c>
      <c r="Y1153" s="198">
        <v>6.157</v>
      </c>
      <c r="Z1153" s="198">
        <v>0.33341999999999999</v>
      </c>
      <c r="AB1153" s="1051">
        <v>43510</v>
      </c>
      <c r="AC1153" s="198">
        <v>7.0469999999999997</v>
      </c>
      <c r="AD1153" s="1053">
        <v>1.3254999999999999</v>
      </c>
      <c r="AE1153" s="198">
        <v>6.6235999999999997</v>
      </c>
      <c r="AF1153" s="198">
        <v>2.9760000000000002E-2</v>
      </c>
      <c r="AH1153" s="1051">
        <v>43510</v>
      </c>
      <c r="AI1153" s="198">
        <v>7.6718999999999999</v>
      </c>
      <c r="AJ1153" s="198">
        <v>1.2245999999999999</v>
      </c>
      <c r="AK1153" s="198">
        <v>4.2058</v>
      </c>
      <c r="AL1153" s="198">
        <v>1.282E-2</v>
      </c>
      <c r="AN1153" s="1051">
        <v>43522</v>
      </c>
      <c r="AO1153" s="198">
        <v>7.1889000000000003</v>
      </c>
      <c r="AP1153" s="198">
        <v>0.61539999999999995</v>
      </c>
      <c r="AQ1153" s="198">
        <v>4.1551</v>
      </c>
      <c r="AR1153" s="198">
        <v>0.12268999999999999</v>
      </c>
      <c r="AT1153" s="1051">
        <v>43438</v>
      </c>
      <c r="AU1153" s="198">
        <v>8.1861999999999995</v>
      </c>
      <c r="AV1153" s="198">
        <v>0.53159999999999996</v>
      </c>
      <c r="AW1153" s="198">
        <v>6.1050000000000004</v>
      </c>
      <c r="BA1153" s="1051">
        <v>43501</v>
      </c>
      <c r="BB1153" s="198">
        <v>7.2325999999999997</v>
      </c>
      <c r="BC1153" s="198">
        <v>1.5529999999999999</v>
      </c>
      <c r="BD1153" s="198">
        <v>7.9340999999999999</v>
      </c>
      <c r="BE1153" s="198">
        <v>0.30681000000000003</v>
      </c>
      <c r="BG1153" s="1051">
        <v>43501</v>
      </c>
      <c r="BH1153" s="198">
        <v>13.6721</v>
      </c>
      <c r="BI1153" s="198">
        <v>3.1962999999999999</v>
      </c>
      <c r="BJ1153" s="198">
        <v>16.834299999999999</v>
      </c>
      <c r="BT1153" s="1051">
        <v>43557</v>
      </c>
      <c r="BU1153" s="198">
        <v>11.747999999999999</v>
      </c>
      <c r="BV1153" s="198">
        <v>3.7212999999999998</v>
      </c>
      <c r="BW1153" s="198">
        <v>7.4686000000000003</v>
      </c>
      <c r="BX1153" s="198">
        <v>1.2182999999999999</v>
      </c>
      <c r="BZ1153" s="1051">
        <v>43557</v>
      </c>
      <c r="CA1153" s="198">
        <v>10.270899999999999</v>
      </c>
      <c r="CB1153" s="198">
        <v>2.9853000000000001</v>
      </c>
      <c r="CC1153" s="198">
        <v>11.106299999999999</v>
      </c>
      <c r="CD1153" s="198">
        <v>1.07985</v>
      </c>
      <c r="CF1153" s="1051">
        <v>43556</v>
      </c>
      <c r="CG1153" s="198">
        <v>6.0151000000000003</v>
      </c>
      <c r="CH1153" s="198">
        <v>1.0739000000000001</v>
      </c>
      <c r="CI1153" s="198">
        <v>8.4414999999999996</v>
      </c>
      <c r="CL1153" s="1051">
        <v>43579</v>
      </c>
      <c r="CM1153" s="198">
        <v>15.9267</v>
      </c>
      <c r="CN1153" s="198">
        <v>2.3748</v>
      </c>
      <c r="CO1153" s="198">
        <v>11.9513</v>
      </c>
    </row>
    <row r="1154" spans="1:93" s="198" customFormat="1">
      <c r="A1154" s="1051">
        <v>43556</v>
      </c>
      <c r="B1154" s="1052">
        <f t="shared" si="172"/>
        <v>7.9496000000000002</v>
      </c>
      <c r="C1154" s="1052">
        <f t="shared" si="174"/>
        <v>7.4584000000000001</v>
      </c>
      <c r="D1154" s="1052">
        <f t="shared" si="178"/>
        <v>8.3292999999999999</v>
      </c>
      <c r="E1154" s="1052">
        <f t="shared" si="179"/>
        <v>7.2253999999999996</v>
      </c>
      <c r="F1154" s="1052">
        <f t="shared" si="180"/>
        <v>13.953799999999999</v>
      </c>
      <c r="G1154" s="1052">
        <f t="shared" si="181"/>
        <v>8.7134</v>
      </c>
      <c r="H1154" s="1047">
        <f t="shared" si="175"/>
        <v>8.3292999999999999</v>
      </c>
      <c r="I1154" s="1048">
        <f t="shared" si="173"/>
        <v>-4.5586063654808884E-2</v>
      </c>
      <c r="J1154" s="1048">
        <f t="shared" si="176"/>
        <v>0.12093838824177333</v>
      </c>
      <c r="K1154" s="1048">
        <f t="shared" si="177"/>
        <v>0.1</v>
      </c>
      <c r="L1154" s="1048"/>
      <c r="N1154" s="1051">
        <v>43556</v>
      </c>
      <c r="O1154" s="1053">
        <v>7.9496000000000002</v>
      </c>
      <c r="P1154" s="1053">
        <v>1.1849000000000001</v>
      </c>
      <c r="Q1154" s="1053">
        <v>10.9278</v>
      </c>
      <c r="R1154" s="1054">
        <f>'B. PE'!$U$23</f>
        <v>15.978235616082999</v>
      </c>
      <c r="S1154" s="1054"/>
      <c r="T1154" s="1054"/>
      <c r="V1154" s="1051">
        <v>43556</v>
      </c>
      <c r="W1154" s="198">
        <v>7.4584000000000001</v>
      </c>
      <c r="X1154" s="198">
        <v>0.51819999999999999</v>
      </c>
      <c r="Y1154" s="198">
        <v>6.1292999999999997</v>
      </c>
      <c r="Z1154" s="198">
        <v>0.33357999999999999</v>
      </c>
      <c r="AB1154" s="1051">
        <v>43509</v>
      </c>
      <c r="AC1154" s="198">
        <v>7.3361000000000001</v>
      </c>
      <c r="AD1154" s="1053">
        <v>1.3798999999999999</v>
      </c>
      <c r="AE1154" s="198">
        <v>6.7866999999999997</v>
      </c>
      <c r="AF1154" s="198">
        <v>3.0329999999999999E-2</v>
      </c>
      <c r="AH1154" s="1051">
        <v>43509</v>
      </c>
      <c r="AI1154" s="198">
        <v>7.6718999999999999</v>
      </c>
      <c r="AJ1154" s="198">
        <v>1.2245999999999999</v>
      </c>
      <c r="AK1154" s="198">
        <v>4.2058</v>
      </c>
      <c r="AL1154" s="198">
        <v>1.2829999999999999E-2</v>
      </c>
      <c r="AN1154" s="1051">
        <v>43521</v>
      </c>
      <c r="AO1154" s="198">
        <v>7.1889000000000003</v>
      </c>
      <c r="AP1154" s="198">
        <v>0.61539999999999995</v>
      </c>
      <c r="AQ1154" s="198">
        <v>4.1551</v>
      </c>
      <c r="AR1154" s="198">
        <v>0.12257999999999999</v>
      </c>
      <c r="AT1154" s="1051">
        <v>43437</v>
      </c>
      <c r="AU1154" s="198">
        <v>8.1861999999999995</v>
      </c>
      <c r="AV1154" s="198">
        <v>0.53159999999999996</v>
      </c>
      <c r="AW1154" s="198">
        <v>6.1050000000000004</v>
      </c>
      <c r="AX1154" s="198">
        <v>0.11949</v>
      </c>
      <c r="BA1154" s="1051">
        <v>43500</v>
      </c>
      <c r="BB1154" s="198">
        <v>7.2325999999999997</v>
      </c>
      <c r="BC1154" s="198">
        <v>1.5529999999999999</v>
      </c>
      <c r="BD1154" s="198">
        <v>7.9340999999999999</v>
      </c>
      <c r="BE1154" s="198">
        <v>0.30893999999999999</v>
      </c>
      <c r="BG1154" s="1051">
        <v>43500</v>
      </c>
      <c r="BH1154" s="198">
        <v>13.8857</v>
      </c>
      <c r="BI1154" s="198">
        <v>3.2462</v>
      </c>
      <c r="BJ1154" s="198">
        <v>17.016100000000002</v>
      </c>
      <c r="BT1154" s="1051">
        <v>43556</v>
      </c>
      <c r="BU1154" s="198">
        <v>11.747999999999999</v>
      </c>
      <c r="BV1154" s="198">
        <v>3.7212999999999998</v>
      </c>
      <c r="BW1154" s="198">
        <v>7.4686000000000003</v>
      </c>
      <c r="BX1154" s="198">
        <v>1.2132000000000001</v>
      </c>
      <c r="BZ1154" s="1051">
        <v>43556</v>
      </c>
      <c r="CA1154" s="198">
        <v>9.6069999999999993</v>
      </c>
      <c r="CB1154" s="198">
        <v>2.7923</v>
      </c>
      <c r="CC1154" s="198">
        <v>10.616899999999999</v>
      </c>
      <c r="CD1154" s="198">
        <v>1.0434099999999999</v>
      </c>
      <c r="CF1154" s="1051">
        <v>43553</v>
      </c>
      <c r="CI1154" s="198">
        <v>8.4169999999999998</v>
      </c>
      <c r="CL1154" s="1051">
        <v>43578</v>
      </c>
      <c r="CM1154" s="198">
        <v>15.8247</v>
      </c>
      <c r="CN1154" s="198">
        <v>2.3595999999999999</v>
      </c>
      <c r="CO1154" s="198">
        <v>11.866</v>
      </c>
    </row>
    <row r="1155" spans="1:93" s="198" customFormat="1">
      <c r="A1155" s="1051">
        <v>43553</v>
      </c>
      <c r="B1155" s="1052">
        <f t="shared" si="172"/>
        <v>7.9496000000000002</v>
      </c>
      <c r="C1155" s="1052">
        <f t="shared" si="174"/>
        <v>7.6074000000000002</v>
      </c>
      <c r="D1155" s="1052">
        <f t="shared" si="178"/>
        <v>8.7258999999999993</v>
      </c>
      <c r="E1155" s="1052">
        <f t="shared" si="179"/>
        <v>7.1889000000000003</v>
      </c>
      <c r="F1155" s="1052">
        <f t="shared" si="180"/>
        <v>14.071999999999999</v>
      </c>
      <c r="G1155" s="1052">
        <f t="shared" si="181"/>
        <v>8.6395999999999997</v>
      </c>
      <c r="H1155" s="1047">
        <f t="shared" si="175"/>
        <v>8.6395999999999997</v>
      </c>
      <c r="I1155" s="1048">
        <f t="shared" si="173"/>
        <v>-7.9864808555951572E-2</v>
      </c>
      <c r="J1155" s="1048">
        <f t="shared" si="176"/>
        <v>0.12093838824177333</v>
      </c>
      <c r="K1155" s="1048">
        <f t="shared" si="177"/>
        <v>0.1</v>
      </c>
      <c r="L1155" s="1048"/>
      <c r="N1155" s="1051">
        <v>43553</v>
      </c>
      <c r="O1155" s="1053">
        <v>7.9496000000000002</v>
      </c>
      <c r="P1155" s="1053">
        <v>1.1849000000000001</v>
      </c>
      <c r="Q1155" s="1053">
        <v>10.9278</v>
      </c>
      <c r="R1155" s="1054">
        <f>'B. PE'!$U$23</f>
        <v>15.978235616082999</v>
      </c>
      <c r="S1155" s="1054"/>
      <c r="T1155" s="1054"/>
      <c r="V1155" s="1051">
        <v>43553</v>
      </c>
      <c r="W1155" s="198">
        <v>7.6074000000000002</v>
      </c>
      <c r="X1155" s="198">
        <v>0.52859999999999996</v>
      </c>
      <c r="Y1155" s="198">
        <v>6.1848000000000001</v>
      </c>
      <c r="Z1155" s="198">
        <v>0.33357999999999999</v>
      </c>
      <c r="AB1155" s="1051">
        <v>43508</v>
      </c>
      <c r="AC1155" s="198">
        <v>7.5529999999999999</v>
      </c>
      <c r="AD1155" s="1053">
        <v>1.4207000000000001</v>
      </c>
      <c r="AE1155" s="198">
        <v>6.9089</v>
      </c>
      <c r="AF1155" s="198">
        <v>3.1210000000000002E-2</v>
      </c>
      <c r="AH1155" s="1051">
        <v>43508</v>
      </c>
      <c r="AI1155" s="198">
        <v>7.6718999999999999</v>
      </c>
      <c r="AJ1155" s="198">
        <v>1.2245999999999999</v>
      </c>
      <c r="AK1155" s="198">
        <v>4.2058</v>
      </c>
      <c r="AL1155" s="198">
        <v>1.29E-2</v>
      </c>
      <c r="AN1155" s="1051">
        <v>43518</v>
      </c>
      <c r="AO1155" s="198">
        <v>7.2984</v>
      </c>
      <c r="AP1155" s="198">
        <v>0.62480000000000002</v>
      </c>
      <c r="AQ1155" s="198">
        <v>4.2465000000000002</v>
      </c>
      <c r="AR1155" s="198">
        <v>0.12296</v>
      </c>
      <c r="AT1155" s="1051">
        <v>43434</v>
      </c>
      <c r="AW1155" s="198">
        <v>6.2846000000000002</v>
      </c>
      <c r="BA1155" s="1051">
        <v>43497</v>
      </c>
      <c r="BB1155" s="198">
        <v>7.1951000000000001</v>
      </c>
      <c r="BC1155" s="198">
        <v>1.5449999999999999</v>
      </c>
      <c r="BD1155" s="198">
        <v>7.9057000000000004</v>
      </c>
      <c r="BE1155" s="198">
        <v>0.30778</v>
      </c>
      <c r="BG1155" s="1051">
        <v>43497</v>
      </c>
      <c r="BH1155" s="198">
        <v>13.9925</v>
      </c>
      <c r="BI1155" s="198">
        <v>3.2711999999999999</v>
      </c>
      <c r="BJ1155" s="198">
        <v>17.106999999999999</v>
      </c>
      <c r="BT1155" s="1051">
        <v>43553</v>
      </c>
      <c r="BU1155" s="198">
        <v>11.845800000000001</v>
      </c>
      <c r="BV1155" s="198">
        <v>3.7522000000000002</v>
      </c>
      <c r="BW1155" s="198">
        <v>7.5259</v>
      </c>
      <c r="BX1155" s="198">
        <v>1.2132000000000001</v>
      </c>
      <c r="BZ1155" s="1051">
        <v>43553</v>
      </c>
      <c r="CA1155" s="198">
        <v>9.7045999999999992</v>
      </c>
      <c r="CB1155" s="198">
        <v>2.8207</v>
      </c>
      <c r="CC1155" s="198">
        <v>10.6889</v>
      </c>
      <c r="CD1155" s="198">
        <v>1.0412300000000001</v>
      </c>
      <c r="CF1155" s="1051">
        <v>43552</v>
      </c>
      <c r="CG1155" s="198">
        <v>5.9264999999999999</v>
      </c>
      <c r="CH1155" s="198">
        <v>1.1133</v>
      </c>
      <c r="CI1155" s="198">
        <v>9.6328999999999994</v>
      </c>
      <c r="CL1155" s="1051">
        <v>43573</v>
      </c>
      <c r="CM1155" s="198">
        <v>15.6844</v>
      </c>
      <c r="CN1155" s="198">
        <v>2.3386999999999998</v>
      </c>
      <c r="CO1155" s="198">
        <v>11.748699999999999</v>
      </c>
    </row>
    <row r="1156" spans="1:93" s="198" customFormat="1">
      <c r="A1156" s="1051">
        <v>43552</v>
      </c>
      <c r="B1156" s="1052">
        <f t="shared" si="172"/>
        <v>8.4560999999999993</v>
      </c>
      <c r="C1156" s="1052">
        <f t="shared" si="174"/>
        <v>7.4599000000000002</v>
      </c>
      <c r="D1156" s="1052">
        <f t="shared" si="178"/>
        <v>9.6325000000000003</v>
      </c>
      <c r="E1156" s="1052">
        <f t="shared" si="179"/>
        <v>7.2253999999999996</v>
      </c>
      <c r="F1156" s="1052">
        <f t="shared" si="180"/>
        <v>14.099399999999999</v>
      </c>
      <c r="G1156" s="1052">
        <f t="shared" si="181"/>
        <v>8.7690999999999999</v>
      </c>
      <c r="H1156" s="1047">
        <f t="shared" si="175"/>
        <v>8.7690999999999999</v>
      </c>
      <c r="I1156" s="1048">
        <f t="shared" si="173"/>
        <v>-3.5693514727851317E-2</v>
      </c>
      <c r="J1156" s="1048">
        <f t="shared" si="176"/>
        <v>0.12093838824177333</v>
      </c>
      <c r="K1156" s="1048">
        <f t="shared" si="177"/>
        <v>0.1</v>
      </c>
      <c r="L1156" s="1048"/>
      <c r="N1156" s="1051">
        <v>43552</v>
      </c>
      <c r="O1156" s="1053">
        <v>8.4560999999999993</v>
      </c>
      <c r="P1156" s="1053">
        <v>1.2251000000000001</v>
      </c>
      <c r="Q1156" s="1053">
        <v>11.47</v>
      </c>
      <c r="R1156" s="1054">
        <f>'B. PE'!$U$23</f>
        <v>15.978235616082999</v>
      </c>
      <c r="S1156" s="1054"/>
      <c r="T1156" s="1054"/>
      <c r="V1156" s="1051">
        <v>43552</v>
      </c>
      <c r="W1156" s="198">
        <v>7.4599000000000002</v>
      </c>
      <c r="X1156" s="198">
        <v>0.53869999999999996</v>
      </c>
      <c r="Y1156" s="198">
        <v>6.1044999999999998</v>
      </c>
      <c r="Z1156" s="198">
        <v>0.33019999999999999</v>
      </c>
      <c r="AB1156" s="1051">
        <v>43507</v>
      </c>
      <c r="AC1156" s="198">
        <v>7.7336999999999998</v>
      </c>
      <c r="AD1156" s="1053">
        <v>1.4547000000000001</v>
      </c>
      <c r="AE1156" s="198">
        <v>7.0109000000000004</v>
      </c>
      <c r="AF1156" s="198">
        <v>3.117E-2</v>
      </c>
      <c r="AH1156" s="1051">
        <v>43507</v>
      </c>
      <c r="AI1156" s="198">
        <v>7.7145000000000001</v>
      </c>
      <c r="AJ1156" s="198">
        <v>1.2314000000000001</v>
      </c>
      <c r="AK1156" s="198">
        <v>4.2263999999999999</v>
      </c>
      <c r="AL1156" s="198">
        <v>1.3010000000000001E-2</v>
      </c>
      <c r="AN1156" s="1051">
        <v>43517</v>
      </c>
      <c r="AO1156" s="198">
        <v>7.2984</v>
      </c>
      <c r="AP1156" s="198">
        <v>0.62480000000000002</v>
      </c>
      <c r="AQ1156" s="198">
        <v>4.2465000000000002</v>
      </c>
      <c r="AR1156" s="198">
        <v>0.12254</v>
      </c>
      <c r="AT1156" s="1051">
        <v>43433</v>
      </c>
      <c r="AU1156" s="198">
        <v>8.5273000000000003</v>
      </c>
      <c r="AV1156" s="198">
        <v>0.55379999999999996</v>
      </c>
      <c r="AW1156" s="198">
        <v>6.2846000000000002</v>
      </c>
      <c r="AX1156" s="198">
        <v>0.12164999999999999</v>
      </c>
      <c r="BA1156" s="1051">
        <v>43496</v>
      </c>
      <c r="BB1156" s="198">
        <v>7.2325999999999997</v>
      </c>
      <c r="BC1156" s="198">
        <v>1.5529999999999999</v>
      </c>
      <c r="BD1156" s="198">
        <v>7.9340999999999999</v>
      </c>
      <c r="BE1156" s="198">
        <v>0.30504999999999999</v>
      </c>
      <c r="BG1156" s="1051">
        <v>43496</v>
      </c>
      <c r="BH1156" s="198">
        <v>13.9925</v>
      </c>
      <c r="BI1156" s="198">
        <v>3.2711999999999999</v>
      </c>
      <c r="BJ1156" s="198">
        <v>17.106999999999999</v>
      </c>
      <c r="BT1156" s="1051">
        <v>43552</v>
      </c>
      <c r="BU1156" s="198">
        <v>12.555899999999999</v>
      </c>
      <c r="BV1156" s="198">
        <v>4.1662999999999997</v>
      </c>
      <c r="BW1156" s="198">
        <v>7.9775</v>
      </c>
      <c r="BX1156" s="198">
        <v>1.2083999999999999</v>
      </c>
      <c r="BZ1156" s="1051">
        <v>43552</v>
      </c>
      <c r="CA1156" s="198">
        <v>9.3865999999999996</v>
      </c>
      <c r="CB1156" s="198">
        <v>2.8788999999999998</v>
      </c>
      <c r="CC1156" s="198">
        <v>11.454599999999999</v>
      </c>
      <c r="CD1156" s="198">
        <v>1.0626</v>
      </c>
      <c r="CF1156" s="1051">
        <v>43551</v>
      </c>
      <c r="CI1156" s="198">
        <v>9.6328999999999994</v>
      </c>
      <c r="CL1156" s="1051">
        <v>43572</v>
      </c>
      <c r="CM1156" s="198">
        <v>15.5059</v>
      </c>
      <c r="CN1156" s="198">
        <v>2.3121</v>
      </c>
      <c r="CO1156" s="198">
        <v>11.599500000000001</v>
      </c>
    </row>
    <row r="1157" spans="1:93" s="198" customFormat="1">
      <c r="A1157" s="1051">
        <v>43551</v>
      </c>
      <c r="B1157" s="1052">
        <f t="shared" si="172"/>
        <v>8.4743999999999993</v>
      </c>
      <c r="C1157" s="1052">
        <f t="shared" si="174"/>
        <v>7.4599000000000002</v>
      </c>
      <c r="D1157" s="1052">
        <f t="shared" si="178"/>
        <v>9.6751000000000005</v>
      </c>
      <c r="E1157" s="1052">
        <f t="shared" si="179"/>
        <v>7.2618999999999998</v>
      </c>
      <c r="F1157" s="1052">
        <f t="shared" si="180"/>
        <v>13.9819</v>
      </c>
      <c r="G1157" s="1052">
        <f t="shared" si="181"/>
        <v>8.6191999999999993</v>
      </c>
      <c r="H1157" s="1047">
        <f t="shared" si="175"/>
        <v>8.6191999999999993</v>
      </c>
      <c r="I1157" s="1048">
        <f t="shared" si="173"/>
        <v>-1.6799702988676501E-2</v>
      </c>
      <c r="J1157" s="1048">
        <f t="shared" si="176"/>
        <v>0.12093838824177333</v>
      </c>
      <c r="K1157" s="1048">
        <f t="shared" si="177"/>
        <v>0.1</v>
      </c>
      <c r="L1157" s="1048"/>
      <c r="N1157" s="1051">
        <v>43551</v>
      </c>
      <c r="O1157" s="1053">
        <v>8.4743999999999993</v>
      </c>
      <c r="P1157" s="1053">
        <v>1.2278</v>
      </c>
      <c r="Q1157" s="1053">
        <v>11.483700000000001</v>
      </c>
      <c r="R1157" s="1054">
        <f>'B. PE'!$U$23</f>
        <v>15.978235616082999</v>
      </c>
      <c r="S1157" s="1054"/>
      <c r="T1157" s="1054"/>
      <c r="V1157" s="1051">
        <v>43551</v>
      </c>
      <c r="W1157" s="198">
        <v>7.4599000000000002</v>
      </c>
      <c r="X1157" s="198">
        <v>0.53869999999999996</v>
      </c>
      <c r="Y1157" s="198">
        <v>6.1044999999999998</v>
      </c>
      <c r="Z1157" s="198">
        <v>0.33030999999999999</v>
      </c>
      <c r="AB1157" s="1051">
        <v>43504</v>
      </c>
      <c r="AC1157" s="198">
        <v>7.9143999999999997</v>
      </c>
      <c r="AD1157" s="1053">
        <v>1.4886999999999999</v>
      </c>
      <c r="AE1157" s="198">
        <v>7.1128</v>
      </c>
      <c r="AF1157" s="198">
        <v>3.245E-2</v>
      </c>
      <c r="AH1157" s="1051">
        <v>43504</v>
      </c>
      <c r="AI1157" s="198">
        <v>7.7145000000000001</v>
      </c>
      <c r="AJ1157" s="198">
        <v>1.2314000000000001</v>
      </c>
      <c r="AK1157" s="198">
        <v>4.2263999999999999</v>
      </c>
      <c r="AL1157" s="198">
        <v>1.3140000000000001E-2</v>
      </c>
      <c r="AN1157" s="1051">
        <v>43516</v>
      </c>
      <c r="AO1157" s="198">
        <v>7.2984</v>
      </c>
      <c r="AP1157" s="198">
        <v>0.62480000000000002</v>
      </c>
      <c r="AQ1157" s="198">
        <v>4.2465000000000002</v>
      </c>
      <c r="AR1157" s="198">
        <v>0.12132999999999999</v>
      </c>
      <c r="AT1157" s="1051">
        <v>43432</v>
      </c>
      <c r="AW1157" s="198">
        <v>6.3743999999999996</v>
      </c>
      <c r="AX1157" s="198">
        <v>0.11224000000000001</v>
      </c>
      <c r="BA1157" s="1051">
        <v>43495</v>
      </c>
      <c r="BB1157" s="198">
        <v>7.2325999999999997</v>
      </c>
      <c r="BC1157" s="198">
        <v>1.5529999999999999</v>
      </c>
      <c r="BD1157" s="198">
        <v>7.9340999999999999</v>
      </c>
      <c r="BE1157" s="198">
        <v>0.30613000000000001</v>
      </c>
      <c r="BG1157" s="1051">
        <v>43495</v>
      </c>
      <c r="BH1157" s="198">
        <v>13.7789</v>
      </c>
      <c r="BI1157" s="198">
        <v>3.2212000000000001</v>
      </c>
      <c r="BJ1157" s="198">
        <v>16.9252</v>
      </c>
      <c r="BT1157" s="1051">
        <v>43551</v>
      </c>
      <c r="BU1157" s="198">
        <v>12.555899999999999</v>
      </c>
      <c r="BV1157" s="198">
        <v>4.1662999999999997</v>
      </c>
      <c r="BW1157" s="198">
        <v>7.9805999999999999</v>
      </c>
      <c r="BX1157" s="198">
        <v>1.2044999999999999</v>
      </c>
      <c r="BZ1157" s="1051">
        <v>43551</v>
      </c>
      <c r="CA1157" s="198">
        <v>9.3670000000000009</v>
      </c>
      <c r="CB1157" s="198">
        <v>2.8729</v>
      </c>
      <c r="CC1157" s="198">
        <v>11.4399</v>
      </c>
      <c r="CD1157" s="198">
        <v>1.0434099999999999</v>
      </c>
      <c r="CF1157" s="1051">
        <v>43550</v>
      </c>
      <c r="CG1157" s="198">
        <v>5.9264999999999999</v>
      </c>
      <c r="CH1157" s="198">
        <v>1.1133</v>
      </c>
      <c r="CI1157" s="198">
        <v>9.6328999999999994</v>
      </c>
      <c r="CL1157" s="1051">
        <v>43571</v>
      </c>
      <c r="CM1157" s="198">
        <v>15.378399999999999</v>
      </c>
      <c r="CN1157" s="198">
        <v>2.2930999999999999</v>
      </c>
      <c r="CO1157" s="198">
        <v>11.492900000000001</v>
      </c>
    </row>
    <row r="1158" spans="1:93" s="198" customFormat="1">
      <c r="A1158" s="1051">
        <v>43550</v>
      </c>
      <c r="B1158" s="1052">
        <f t="shared" ref="B1158:B1180" si="182">O1158</f>
        <v>8.4194999999999993</v>
      </c>
      <c r="C1158" s="1052">
        <f t="shared" si="174"/>
        <v>7.3868999999999998</v>
      </c>
      <c r="D1158" s="1052">
        <f t="shared" si="178"/>
        <v>9.9734999999999996</v>
      </c>
      <c r="E1158" s="1052">
        <f t="shared" si="179"/>
        <v>7.2984</v>
      </c>
      <c r="F1158" s="1052">
        <f t="shared" si="180"/>
        <v>13.9819</v>
      </c>
      <c r="G1158" s="1052">
        <f t="shared" si="181"/>
        <v>8.6941000000000006</v>
      </c>
      <c r="H1158" s="1047">
        <f t="shared" si="175"/>
        <v>8.6941000000000006</v>
      </c>
      <c r="I1158" s="1048">
        <f t="shared" ref="I1158:I1221" si="183">B1158/H1158-1</f>
        <v>-3.1584637857857811E-2</v>
      </c>
      <c r="J1158" s="1048">
        <f t="shared" si="176"/>
        <v>0.12093838824177333</v>
      </c>
      <c r="K1158" s="1048">
        <f t="shared" si="177"/>
        <v>0.1</v>
      </c>
      <c r="L1158" s="1048"/>
      <c r="N1158" s="1051">
        <v>43550</v>
      </c>
      <c r="O1158" s="1053">
        <v>8.4194999999999993</v>
      </c>
      <c r="P1158" s="1053">
        <v>1.2198</v>
      </c>
      <c r="Q1158" s="1053">
        <v>11.4427</v>
      </c>
      <c r="R1158" s="1054">
        <f>'B. PE'!$U$23</f>
        <v>15.978235616082999</v>
      </c>
      <c r="S1158" s="1054"/>
      <c r="T1158" s="1054"/>
      <c r="V1158" s="1051">
        <v>43550</v>
      </c>
      <c r="W1158" s="198">
        <v>7.3868999999999998</v>
      </c>
      <c r="X1158" s="198">
        <v>0.53339999999999999</v>
      </c>
      <c r="Y1158" s="198">
        <v>6.0778999999999996</v>
      </c>
      <c r="Z1158" s="198">
        <v>0.33576</v>
      </c>
      <c r="AB1158" s="1051">
        <v>43503</v>
      </c>
      <c r="AC1158" s="198">
        <v>7.8781999999999996</v>
      </c>
      <c r="AD1158" s="1053">
        <v>1.4819</v>
      </c>
      <c r="AE1158" s="198">
        <v>7.0923999999999996</v>
      </c>
      <c r="AF1158" s="198">
        <v>3.1890000000000002E-2</v>
      </c>
      <c r="AH1158" s="1051">
        <v>43503</v>
      </c>
      <c r="AI1158" s="198">
        <v>7.7572000000000001</v>
      </c>
      <c r="AJ1158" s="198">
        <v>1.2382</v>
      </c>
      <c r="AK1158" s="198">
        <v>4.2469999999999999</v>
      </c>
      <c r="AL1158" s="198">
        <v>1.294E-2</v>
      </c>
      <c r="AN1158" s="1051">
        <v>43515</v>
      </c>
      <c r="AO1158" s="198">
        <v>7.2984</v>
      </c>
      <c r="AP1158" s="198">
        <v>0.62480000000000002</v>
      </c>
      <c r="AQ1158" s="198">
        <v>4.2465000000000002</v>
      </c>
      <c r="AR1158" s="198">
        <v>0.12123</v>
      </c>
      <c r="AT1158" s="1051">
        <v>43431</v>
      </c>
      <c r="AU1158" s="198">
        <v>8.6979000000000006</v>
      </c>
      <c r="AV1158" s="198">
        <v>0.56479999999999997</v>
      </c>
      <c r="AW1158" s="198">
        <v>6.3743999999999996</v>
      </c>
      <c r="AX1158" s="198">
        <v>0.1145</v>
      </c>
      <c r="BA1158" s="1051">
        <v>43494</v>
      </c>
      <c r="BB1158" s="198">
        <v>7.1951000000000001</v>
      </c>
      <c r="BC1158" s="198">
        <v>1.5449999999999999</v>
      </c>
      <c r="BD1158" s="198">
        <v>7.9057000000000004</v>
      </c>
      <c r="BE1158" s="198">
        <v>0.30763000000000001</v>
      </c>
      <c r="BG1158" s="1051">
        <v>43494</v>
      </c>
      <c r="BH1158" s="198">
        <v>13.6721</v>
      </c>
      <c r="BI1158" s="198">
        <v>3.1962999999999999</v>
      </c>
      <c r="BJ1158" s="198">
        <v>16.834299999999999</v>
      </c>
      <c r="BT1158" s="1051">
        <v>43550</v>
      </c>
      <c r="BU1158" s="198">
        <v>12.511200000000001</v>
      </c>
      <c r="BV1158" s="198">
        <v>4.1515000000000004</v>
      </c>
      <c r="BW1158" s="198">
        <v>7.9545000000000003</v>
      </c>
      <c r="BX1158" s="198">
        <v>1.2534000000000001</v>
      </c>
      <c r="BZ1158" s="1051">
        <v>43550</v>
      </c>
      <c r="CA1158" s="198">
        <v>9.5625999999999998</v>
      </c>
      <c r="CB1158" s="198">
        <v>2.9327999999999999</v>
      </c>
      <c r="CC1158" s="198">
        <v>11.587300000000001</v>
      </c>
      <c r="CD1158" s="198">
        <v>1.1086199999999999</v>
      </c>
      <c r="CF1158" s="1051">
        <v>43549</v>
      </c>
      <c r="CI1158" s="198">
        <v>9.9625000000000004</v>
      </c>
      <c r="CL1158" s="1051">
        <v>43570</v>
      </c>
      <c r="CM1158" s="198">
        <v>15.3401</v>
      </c>
      <c r="CN1158" s="198">
        <v>2.2873999999999999</v>
      </c>
      <c r="CO1158" s="198">
        <v>11.460900000000001</v>
      </c>
    </row>
    <row r="1159" spans="1:93" s="198" customFormat="1">
      <c r="A1159" s="1051">
        <v>43549</v>
      </c>
      <c r="B1159" s="1052">
        <f t="shared" si="182"/>
        <v>8.3095999999999997</v>
      </c>
      <c r="C1159" s="1052">
        <f t="shared" ref="C1159:C1180" si="184">IF(W1159=0,W1158,W1159)</f>
        <v>7.3868999999999998</v>
      </c>
      <c r="D1159" s="1052">
        <f t="shared" si="178"/>
        <v>9.4193999999999996</v>
      </c>
      <c r="E1159" s="1052">
        <f t="shared" si="179"/>
        <v>7.2984</v>
      </c>
      <c r="F1159" s="1052">
        <f t="shared" si="180"/>
        <v>13.7469</v>
      </c>
      <c r="G1159" s="1052">
        <f t="shared" si="181"/>
        <v>8.6941000000000006</v>
      </c>
      <c r="H1159" s="1047">
        <f t="shared" ref="H1159:H1222" si="185">MEDIAN(C1159:G1159)</f>
        <v>8.6941000000000006</v>
      </c>
      <c r="I1159" s="1048">
        <f t="shared" si="183"/>
        <v>-4.4225394232870641E-2</v>
      </c>
      <c r="J1159" s="1048">
        <f t="shared" ref="J1159:J1222" si="186">$I$3</f>
        <v>0.12093838824177333</v>
      </c>
      <c r="K1159" s="1048">
        <f t="shared" si="177"/>
        <v>0.1</v>
      </c>
      <c r="L1159" s="1048"/>
      <c r="N1159" s="1051">
        <v>43549</v>
      </c>
      <c r="O1159" s="1053">
        <v>8.3095999999999997</v>
      </c>
      <c r="P1159" s="1053">
        <v>1.2039</v>
      </c>
      <c r="Q1159" s="1053">
        <v>11.360799999999999</v>
      </c>
      <c r="R1159" s="1054">
        <f>'B. PE'!$U$23</f>
        <v>15.978235616082999</v>
      </c>
      <c r="S1159" s="1054"/>
      <c r="T1159" s="1054"/>
      <c r="V1159" s="1051">
        <v>43549</v>
      </c>
      <c r="W1159" s="198">
        <v>7.3868999999999998</v>
      </c>
      <c r="X1159" s="198">
        <v>0.53339999999999999</v>
      </c>
      <c r="Y1159" s="198">
        <v>6.0778999999999996</v>
      </c>
      <c r="Z1159" s="198">
        <v>0.33539000000000002</v>
      </c>
      <c r="AB1159" s="1051">
        <v>43502</v>
      </c>
      <c r="AC1159" s="198">
        <v>8.1672999999999991</v>
      </c>
      <c r="AD1159" s="1053">
        <v>1.5363</v>
      </c>
      <c r="AE1159" s="198">
        <v>7.2553999999999998</v>
      </c>
      <c r="AF1159" s="198">
        <v>3.2739999999999998E-2</v>
      </c>
      <c r="AH1159" s="1051">
        <v>43502</v>
      </c>
      <c r="AI1159" s="198">
        <v>7.7998000000000003</v>
      </c>
      <c r="AJ1159" s="198">
        <v>1.2450000000000001</v>
      </c>
      <c r="AK1159" s="198">
        <v>4.2676999999999996</v>
      </c>
      <c r="AL1159" s="198">
        <v>1.2800000000000001E-2</v>
      </c>
      <c r="AN1159" s="1051">
        <v>43514</v>
      </c>
      <c r="AO1159" s="198">
        <v>7.2253999999999996</v>
      </c>
      <c r="AP1159" s="198">
        <v>0.61850000000000005</v>
      </c>
      <c r="AQ1159" s="198">
        <v>4.1856</v>
      </c>
      <c r="AR1159" s="198">
        <v>0.12263</v>
      </c>
      <c r="AT1159" s="1051">
        <v>43430</v>
      </c>
      <c r="AU1159" s="198">
        <v>8.0157000000000007</v>
      </c>
      <c r="AV1159" s="198">
        <v>0.52049999999999996</v>
      </c>
      <c r="AW1159" s="198">
        <v>6.0152000000000001</v>
      </c>
      <c r="BA1159" s="1051">
        <v>43493</v>
      </c>
      <c r="BB1159" s="198">
        <v>7.2325999999999997</v>
      </c>
      <c r="BC1159" s="198">
        <v>1.5529999999999999</v>
      </c>
      <c r="BD1159" s="198">
        <v>7.9340999999999999</v>
      </c>
      <c r="BE1159" s="198">
        <v>0.30120000000000002</v>
      </c>
      <c r="BG1159" s="1051">
        <v>43493</v>
      </c>
      <c r="BH1159" s="198">
        <v>13.8857</v>
      </c>
      <c r="BI1159" s="198">
        <v>3.2462</v>
      </c>
      <c r="BJ1159" s="198">
        <v>17.016100000000002</v>
      </c>
      <c r="BT1159" s="1051">
        <v>43549</v>
      </c>
      <c r="BU1159" s="198">
        <v>12.4666</v>
      </c>
      <c r="BV1159" s="198">
        <v>4.1367000000000003</v>
      </c>
      <c r="BW1159" s="198">
        <v>7.9283999999999999</v>
      </c>
      <c r="BX1159" s="198">
        <v>1.2635000000000001</v>
      </c>
      <c r="BZ1159" s="1051">
        <v>43549</v>
      </c>
      <c r="CA1159" s="198">
        <v>9.3865999999999996</v>
      </c>
      <c r="CB1159" s="198">
        <v>2.8788999999999998</v>
      </c>
      <c r="CC1159" s="198">
        <v>11.454599999999999</v>
      </c>
      <c r="CD1159" s="198">
        <v>1.11297</v>
      </c>
      <c r="CF1159" s="1051">
        <v>43546</v>
      </c>
      <c r="CG1159" s="198">
        <v>6.5457000000000001</v>
      </c>
      <c r="CH1159" s="198">
        <v>1.2296</v>
      </c>
      <c r="CI1159" s="198">
        <v>9.9625000000000004</v>
      </c>
      <c r="CL1159" s="1051">
        <v>43567</v>
      </c>
      <c r="CM1159" s="198">
        <v>15.3019</v>
      </c>
      <c r="CN1159" s="198">
        <v>2.2816999999999998</v>
      </c>
      <c r="CO1159" s="198">
        <v>11.429</v>
      </c>
    </row>
    <row r="1160" spans="1:93" s="198" customFormat="1">
      <c r="A1160" s="1051">
        <v>43546</v>
      </c>
      <c r="B1160" s="1052">
        <f t="shared" si="182"/>
        <v>8.5292999999999992</v>
      </c>
      <c r="C1160" s="1052">
        <f t="shared" si="184"/>
        <v>7.5086000000000004</v>
      </c>
      <c r="D1160" s="1052">
        <f t="shared" si="178"/>
        <v>9.4193999999999996</v>
      </c>
      <c r="E1160" s="1052">
        <f t="shared" si="179"/>
        <v>7.4443000000000001</v>
      </c>
      <c r="F1160" s="1052">
        <f t="shared" si="180"/>
        <v>14.099399999999999</v>
      </c>
      <c r="G1160" s="1052">
        <f t="shared" si="181"/>
        <v>8.6941000000000006</v>
      </c>
      <c r="H1160" s="1047">
        <f t="shared" si="185"/>
        <v>8.6941000000000006</v>
      </c>
      <c r="I1160" s="1048">
        <f t="shared" si="183"/>
        <v>-1.8955383535961379E-2</v>
      </c>
      <c r="J1160" s="1048">
        <f t="shared" si="186"/>
        <v>0.12093838824177333</v>
      </c>
      <c r="K1160" s="1048">
        <f t="shared" ref="K1160:K1223" si="187">K1159</f>
        <v>0.1</v>
      </c>
      <c r="L1160" s="1048"/>
      <c r="N1160" s="1051">
        <v>43546</v>
      </c>
      <c r="O1160" s="1053">
        <v>8.5292999999999992</v>
      </c>
      <c r="P1160" s="1053">
        <v>1.2357</v>
      </c>
      <c r="Q1160" s="1053">
        <v>11.524699999999999</v>
      </c>
      <c r="R1160" s="1054">
        <f>'B. PE'!$U$23</f>
        <v>15.978235616082999</v>
      </c>
      <c r="S1160" s="1054"/>
      <c r="T1160" s="1054"/>
      <c r="V1160" s="1051">
        <v>43546</v>
      </c>
      <c r="W1160" s="198">
        <v>7.5086000000000004</v>
      </c>
      <c r="X1160" s="198">
        <v>0.54220000000000002</v>
      </c>
      <c r="Y1160" s="198">
        <v>6.1223000000000001</v>
      </c>
      <c r="Z1160" s="198">
        <v>0.33732000000000001</v>
      </c>
      <c r="AB1160" s="1051">
        <v>43500</v>
      </c>
      <c r="AC1160" s="198">
        <v>8.0588999999999995</v>
      </c>
      <c r="AD1160" s="1053">
        <v>1.5159</v>
      </c>
      <c r="AE1160" s="198">
        <v>7.1943000000000001</v>
      </c>
      <c r="AF1160" s="198">
        <v>3.2890000000000003E-2</v>
      </c>
      <c r="AH1160" s="1051">
        <v>43500</v>
      </c>
      <c r="AI1160" s="198">
        <v>7.7145000000000001</v>
      </c>
      <c r="AJ1160" s="198">
        <v>1.2314000000000001</v>
      </c>
      <c r="AK1160" s="198">
        <v>4.2263999999999999</v>
      </c>
      <c r="AL1160" s="198">
        <v>1.286E-2</v>
      </c>
      <c r="AN1160" s="1051">
        <v>43511</v>
      </c>
      <c r="AO1160" s="198">
        <v>7.2253999999999996</v>
      </c>
      <c r="AP1160" s="198">
        <v>0.61850000000000005</v>
      </c>
      <c r="AQ1160" s="198">
        <v>4.1856</v>
      </c>
      <c r="AR1160" s="198">
        <v>0.11924</v>
      </c>
      <c r="AT1160" s="1051">
        <v>43427</v>
      </c>
      <c r="AU1160" s="198">
        <v>8.1861999999999995</v>
      </c>
      <c r="AV1160" s="198">
        <v>0.53159999999999996</v>
      </c>
      <c r="AW1160" s="198">
        <v>6.1050000000000004</v>
      </c>
      <c r="BA1160" s="1051">
        <v>43490</v>
      </c>
      <c r="BB1160" s="198">
        <v>7.2701000000000002</v>
      </c>
      <c r="BC1160" s="198">
        <v>1.5610999999999999</v>
      </c>
      <c r="BD1160" s="198">
        <v>7.9626000000000001</v>
      </c>
      <c r="BE1160" s="198">
        <v>0.30430000000000001</v>
      </c>
      <c r="BG1160" s="1051">
        <v>43490</v>
      </c>
      <c r="BH1160" s="198">
        <v>13.565300000000001</v>
      </c>
      <c r="BI1160" s="198">
        <v>3.1713</v>
      </c>
      <c r="BJ1160" s="198">
        <v>16.743500000000001</v>
      </c>
      <c r="BT1160" s="1051">
        <v>43546</v>
      </c>
      <c r="BU1160" s="198">
        <v>12.9724</v>
      </c>
      <c r="BV1160" s="198">
        <v>4.3045</v>
      </c>
      <c r="BW1160" s="198">
        <v>8.2241999999999997</v>
      </c>
      <c r="BX1160" s="198">
        <v>1.2712000000000001</v>
      </c>
      <c r="BZ1160" s="1051">
        <v>43546</v>
      </c>
      <c r="CA1160" s="198">
        <v>9.9733000000000001</v>
      </c>
      <c r="CB1160" s="198">
        <v>3.0588000000000002</v>
      </c>
      <c r="CC1160" s="198">
        <v>11.8969</v>
      </c>
      <c r="CD1160" s="198">
        <v>1.1512500000000001</v>
      </c>
      <c r="CF1160" s="1051">
        <v>43545</v>
      </c>
      <c r="CG1160" s="198">
        <v>6.3688000000000002</v>
      </c>
      <c r="CH1160" s="198">
        <v>1.1963999999999999</v>
      </c>
      <c r="CI1160" s="198">
        <v>9.8682999999999996</v>
      </c>
      <c r="CL1160" s="1051">
        <v>43566</v>
      </c>
      <c r="CM1160" s="198">
        <v>15.3019</v>
      </c>
      <c r="CN1160" s="198">
        <v>2.2816999999999998</v>
      </c>
      <c r="CO1160" s="198">
        <v>11.429</v>
      </c>
    </row>
    <row r="1161" spans="1:93" s="198" customFormat="1">
      <c r="A1161" s="1051">
        <v>43545</v>
      </c>
      <c r="B1161" s="1052">
        <f t="shared" si="182"/>
        <v>8.5292999999999992</v>
      </c>
      <c r="C1161" s="1052">
        <f t="shared" si="184"/>
        <v>7.5004999999999997</v>
      </c>
      <c r="D1161" s="1052">
        <f t="shared" si="178"/>
        <v>9.3341999999999992</v>
      </c>
      <c r="E1161" s="1052">
        <f t="shared" si="179"/>
        <v>7.2253999999999996</v>
      </c>
      <c r="F1161" s="1052">
        <f t="shared" si="180"/>
        <v>14.216900000000001</v>
      </c>
      <c r="G1161" s="1052">
        <f t="shared" si="181"/>
        <v>9.0688999999999993</v>
      </c>
      <c r="H1161" s="1047">
        <f t="shared" si="185"/>
        <v>9.0688999999999993</v>
      </c>
      <c r="I1161" s="1048">
        <f t="shared" si="183"/>
        <v>-5.9500049620130335E-2</v>
      </c>
      <c r="J1161" s="1048">
        <f t="shared" si="186"/>
        <v>0.12093838824177333</v>
      </c>
      <c r="K1161" s="1048">
        <f t="shared" si="187"/>
        <v>0.1</v>
      </c>
      <c r="L1161" s="1048"/>
      <c r="N1161" s="1051">
        <v>43545</v>
      </c>
      <c r="O1161" s="1053">
        <v>8.5292999999999992</v>
      </c>
      <c r="P1161" s="1053">
        <v>1.2357</v>
      </c>
      <c r="Q1161" s="1053">
        <v>11.524699999999999</v>
      </c>
      <c r="R1161" s="1054">
        <f>'B. PE'!$U$23</f>
        <v>15.978235616082999</v>
      </c>
      <c r="S1161" s="1054"/>
      <c r="T1161" s="1054"/>
      <c r="V1161" s="1051">
        <v>43545</v>
      </c>
      <c r="W1161" s="198">
        <v>7.5004999999999997</v>
      </c>
      <c r="X1161" s="198">
        <v>0.54159999999999997</v>
      </c>
      <c r="Y1161" s="198">
        <v>6.1193</v>
      </c>
      <c r="Z1161" s="198">
        <v>0.34094000000000002</v>
      </c>
      <c r="AB1161" s="1051">
        <v>43497</v>
      </c>
      <c r="AC1161" s="198">
        <v>8.2757000000000005</v>
      </c>
      <c r="AD1161" s="1053">
        <v>1.5567</v>
      </c>
      <c r="AE1161" s="198">
        <v>7.3166000000000002</v>
      </c>
      <c r="AF1161" s="198">
        <v>3.2250000000000001E-2</v>
      </c>
      <c r="AH1161" s="1051">
        <v>43497</v>
      </c>
      <c r="AI1161" s="198">
        <v>7.6292999999999997</v>
      </c>
      <c r="AJ1161" s="198">
        <v>1.2178</v>
      </c>
      <c r="AK1161" s="198">
        <v>4.1852</v>
      </c>
      <c r="AL1161" s="198">
        <v>1.273E-2</v>
      </c>
      <c r="AN1161" s="1051">
        <v>43510</v>
      </c>
      <c r="AO1161" s="198">
        <v>7.2984</v>
      </c>
      <c r="AP1161" s="198">
        <v>0.62480000000000002</v>
      </c>
      <c r="AQ1161" s="198">
        <v>4.2465000000000002</v>
      </c>
      <c r="AT1161" s="1051">
        <v>43426</v>
      </c>
      <c r="AW1161" s="198">
        <v>6.0152000000000001</v>
      </c>
      <c r="BA1161" s="1051">
        <v>43489</v>
      </c>
      <c r="BB1161" s="198">
        <v>7.1577000000000002</v>
      </c>
      <c r="BC1161" s="198">
        <v>1.5368999999999999</v>
      </c>
      <c r="BD1161" s="198">
        <v>7.8772000000000002</v>
      </c>
      <c r="BE1161" s="198">
        <v>0.30369000000000002</v>
      </c>
      <c r="BG1161" s="1051">
        <v>43489</v>
      </c>
      <c r="BH1161" s="198">
        <v>13.565300000000001</v>
      </c>
      <c r="BI1161" s="198">
        <v>3.1713</v>
      </c>
      <c r="BJ1161" s="198">
        <v>16.743500000000001</v>
      </c>
      <c r="BT1161" s="1051">
        <v>43545</v>
      </c>
      <c r="BU1161" s="198">
        <v>13.076599999999999</v>
      </c>
      <c r="BV1161" s="198">
        <v>4.3391000000000002</v>
      </c>
      <c r="BW1161" s="198">
        <v>8.2850999999999999</v>
      </c>
      <c r="BX1161" s="198">
        <v>1.2797000000000001</v>
      </c>
      <c r="BZ1161" s="1051">
        <v>43545</v>
      </c>
      <c r="CA1161" s="198">
        <v>10.0124</v>
      </c>
      <c r="CB1161" s="198">
        <v>3.0708000000000002</v>
      </c>
      <c r="CC1161" s="198">
        <v>11.926299999999999</v>
      </c>
      <c r="CD1161" s="198">
        <v>1.1837800000000001</v>
      </c>
      <c r="CF1161" s="1051">
        <v>43544</v>
      </c>
      <c r="CI1161" s="198">
        <v>9.7742000000000004</v>
      </c>
      <c r="CL1161" s="1051">
        <v>43565</v>
      </c>
      <c r="CM1161" s="198">
        <v>15.225300000000001</v>
      </c>
      <c r="CN1161" s="198">
        <v>2.2703000000000002</v>
      </c>
      <c r="CO1161" s="198">
        <v>11.365</v>
      </c>
    </row>
    <row r="1162" spans="1:93" s="198" customFormat="1">
      <c r="A1162" s="1051">
        <v>43544</v>
      </c>
      <c r="B1162" s="1052">
        <f t="shared" si="182"/>
        <v>8.6207999999999991</v>
      </c>
      <c r="C1162" s="1052">
        <f t="shared" si="184"/>
        <v>7.5491999999999999</v>
      </c>
      <c r="D1162" s="1052">
        <f t="shared" ref="D1162:D1225" si="188">IFERROR(          IF(VLOOKUP(A1162,$AH$5:$AI$1301,2,)=0,D1161,VLOOKUP(A1162,$AH$5:$AI$1301,2,)),D1161)</f>
        <v>9.4193999999999996</v>
      </c>
      <c r="E1162" s="1052">
        <f t="shared" ref="E1162:E1225" si="189">IFERROR(IF(VLOOKUP(A1162,$AN$5:$AO$1301,2,)=0, E1161, VLOOKUP(A1162,$AN$5:$AO$1301,2,)),E1161)</f>
        <v>7.2618999999999998</v>
      </c>
      <c r="F1162" s="1052">
        <f t="shared" ref="F1162:F1225" si="190">IFERROR(IF(VLOOKUP(A1162,$BG$5:$BH$1301,2,)=0,F1161,VLOOKUP(A1162,$BG$5:$BH$1301,2,)),F1161)</f>
        <v>14.334300000000001</v>
      </c>
      <c r="G1162" s="1052">
        <f t="shared" ref="G1162:G1225" si="191">IFERROR(IF(VLOOKUP(A1162,$BA$5:$BB$1301,2,)=0,G1161,VLOOKUP(A1162,$BA$5:$BB$1301,2,)),G1161)</f>
        <v>8.8439999999999994</v>
      </c>
      <c r="H1162" s="1047">
        <f t="shared" si="185"/>
        <v>8.8439999999999994</v>
      </c>
      <c r="I1162" s="1048">
        <f t="shared" si="183"/>
        <v>-2.5237449118046151E-2</v>
      </c>
      <c r="J1162" s="1048">
        <f t="shared" si="186"/>
        <v>0.12093838824177333</v>
      </c>
      <c r="K1162" s="1048">
        <f t="shared" si="187"/>
        <v>0.1</v>
      </c>
      <c r="L1162" s="1048"/>
      <c r="N1162" s="1051">
        <v>43544</v>
      </c>
      <c r="O1162" s="1053">
        <v>8.6207999999999991</v>
      </c>
      <c r="P1162" s="1053">
        <v>1.2490000000000001</v>
      </c>
      <c r="Q1162" s="1053">
        <v>11.593</v>
      </c>
      <c r="R1162" s="1054">
        <f>'B. PE'!$U$23</f>
        <v>15.978235616082999</v>
      </c>
      <c r="S1162" s="1054"/>
      <c r="T1162" s="1054"/>
      <c r="V1162" s="1051">
        <v>43544</v>
      </c>
      <c r="W1162" s="198">
        <v>7.5491999999999999</v>
      </c>
      <c r="X1162" s="198">
        <v>0.54510000000000003</v>
      </c>
      <c r="Y1162" s="198">
        <v>6.1371000000000002</v>
      </c>
      <c r="Z1162" s="198">
        <v>0.33923999999999999</v>
      </c>
      <c r="AB1162" s="1051">
        <v>43496</v>
      </c>
      <c r="AC1162" s="198">
        <v>8.2757000000000005</v>
      </c>
      <c r="AD1162" s="1053">
        <v>1.5567</v>
      </c>
      <c r="AE1162" s="198">
        <v>7.3166000000000002</v>
      </c>
      <c r="AF1162" s="198">
        <v>3.2649999999999998E-2</v>
      </c>
      <c r="AH1162" s="1051">
        <v>43496</v>
      </c>
      <c r="AI1162" s="198">
        <v>7.6292999999999997</v>
      </c>
      <c r="AJ1162" s="198">
        <v>1.2178</v>
      </c>
      <c r="AK1162" s="198">
        <v>4.1852</v>
      </c>
      <c r="AL1162" s="198">
        <v>1.2919999999999999E-2</v>
      </c>
      <c r="AN1162" s="1051">
        <v>43509</v>
      </c>
      <c r="AO1162" s="198">
        <v>7.0793999999999997</v>
      </c>
      <c r="AP1162" s="198">
        <v>0.60599999999999998</v>
      </c>
      <c r="AQ1162" s="198">
        <v>4.0636999999999999</v>
      </c>
      <c r="AT1162" s="1051">
        <v>43425</v>
      </c>
      <c r="AW1162" s="198">
        <v>6.0152000000000001</v>
      </c>
      <c r="AX1162" s="198">
        <v>0.11212</v>
      </c>
      <c r="BA1162" s="1051">
        <v>43488</v>
      </c>
      <c r="BB1162" s="198">
        <v>7.2325999999999997</v>
      </c>
      <c r="BC1162" s="198">
        <v>1.5529999999999999</v>
      </c>
      <c r="BD1162" s="198">
        <v>7.9340999999999999</v>
      </c>
      <c r="BE1162" s="198">
        <v>0.30980000000000002</v>
      </c>
      <c r="BG1162" s="1051">
        <v>43488</v>
      </c>
      <c r="BH1162" s="198">
        <v>13.7789</v>
      </c>
      <c r="BI1162" s="198">
        <v>3.2212000000000001</v>
      </c>
      <c r="BJ1162" s="198">
        <v>16.9252</v>
      </c>
      <c r="BT1162" s="1051">
        <v>43544</v>
      </c>
      <c r="BU1162" s="198">
        <v>13.165800000000001</v>
      </c>
      <c r="BV1162" s="198">
        <v>4.3686999999999996</v>
      </c>
      <c r="BW1162" s="198">
        <v>8.3373000000000008</v>
      </c>
      <c r="BX1162" s="198">
        <v>1.2816000000000001</v>
      </c>
      <c r="BZ1162" s="1051">
        <v>43544</v>
      </c>
      <c r="CA1162" s="198">
        <v>10.3644</v>
      </c>
      <c r="CB1162" s="198">
        <v>3.1787000000000001</v>
      </c>
      <c r="CC1162" s="198">
        <v>12.191700000000001</v>
      </c>
      <c r="CD1162" s="198">
        <v>1.1950499999999999</v>
      </c>
      <c r="CF1162" s="1051">
        <v>43543</v>
      </c>
      <c r="CI1162" s="198">
        <v>9.7742000000000004</v>
      </c>
      <c r="CL1162" s="1051">
        <v>43564</v>
      </c>
      <c r="CM1162" s="198">
        <v>15.1106</v>
      </c>
      <c r="CN1162" s="198">
        <v>2.2532000000000001</v>
      </c>
      <c r="CO1162" s="198">
        <v>11.2691</v>
      </c>
    </row>
    <row r="1163" spans="1:93" s="198" customFormat="1">
      <c r="A1163" s="1051">
        <v>43543</v>
      </c>
      <c r="B1163" s="1052">
        <f t="shared" si="182"/>
        <v>8.7123000000000008</v>
      </c>
      <c r="C1163" s="1052">
        <f t="shared" si="184"/>
        <v>7.6303999999999998</v>
      </c>
      <c r="D1163" s="1052">
        <f t="shared" si="188"/>
        <v>9.2489000000000008</v>
      </c>
      <c r="E1163" s="1052">
        <f t="shared" si="189"/>
        <v>7.2618999999999998</v>
      </c>
      <c r="F1163" s="1052">
        <f t="shared" si="190"/>
        <v>13.8644</v>
      </c>
      <c r="G1163" s="1052">
        <f t="shared" si="191"/>
        <v>8.6941000000000006</v>
      </c>
      <c r="H1163" s="1047">
        <f t="shared" si="185"/>
        <v>8.6941000000000006</v>
      </c>
      <c r="I1163" s="1048">
        <f t="shared" si="183"/>
        <v>2.0933736671995273E-3</v>
      </c>
      <c r="J1163" s="1048">
        <f t="shared" si="186"/>
        <v>0.12093838824177333</v>
      </c>
      <c r="K1163" s="1048">
        <f t="shared" si="187"/>
        <v>0.1</v>
      </c>
      <c r="L1163" s="1048"/>
      <c r="N1163" s="1051">
        <v>43543</v>
      </c>
      <c r="O1163" s="1053">
        <v>8.7123000000000008</v>
      </c>
      <c r="P1163" s="1053">
        <v>1.2622</v>
      </c>
      <c r="Q1163" s="1053">
        <v>11.661300000000001</v>
      </c>
      <c r="R1163" s="1054">
        <f>'B. PE'!$U$23</f>
        <v>15.978235616082999</v>
      </c>
      <c r="S1163" s="1054"/>
      <c r="T1163" s="1054"/>
      <c r="V1163" s="1051">
        <v>43543</v>
      </c>
      <c r="W1163" s="198">
        <v>7.6303999999999998</v>
      </c>
      <c r="X1163" s="198">
        <v>0.55100000000000005</v>
      </c>
      <c r="Y1163" s="198">
        <v>6.1666999999999996</v>
      </c>
      <c r="Z1163" s="198">
        <v>0.33557999999999999</v>
      </c>
      <c r="AB1163" s="1051">
        <v>43495</v>
      </c>
      <c r="AC1163" s="198">
        <v>8.2395999999999994</v>
      </c>
      <c r="AD1163" s="1053">
        <v>1.5499000000000001</v>
      </c>
      <c r="AE1163" s="198">
        <v>7.2961999999999998</v>
      </c>
      <c r="AF1163" s="198">
        <v>3.2379999999999999E-2</v>
      </c>
      <c r="AH1163" s="1051">
        <v>43495</v>
      </c>
      <c r="AI1163" s="198">
        <v>7.6718999999999999</v>
      </c>
      <c r="AJ1163" s="198">
        <v>1.2245999999999999</v>
      </c>
      <c r="AK1163" s="198">
        <v>4.2058</v>
      </c>
      <c r="AL1163" s="198">
        <v>1.285E-2</v>
      </c>
      <c r="AN1163" s="1051">
        <v>43508</v>
      </c>
      <c r="AQ1163" s="198">
        <v>4.0636999999999999</v>
      </c>
      <c r="AT1163" s="1051">
        <v>43423</v>
      </c>
      <c r="AW1163" s="198">
        <v>6.0152000000000001</v>
      </c>
      <c r="AX1163" s="198">
        <v>0.1124</v>
      </c>
      <c r="BA1163" s="1051">
        <v>43487</v>
      </c>
      <c r="BB1163" s="198">
        <v>7.2325999999999997</v>
      </c>
      <c r="BC1163" s="198">
        <v>1.5529999999999999</v>
      </c>
      <c r="BD1163" s="198">
        <v>7.9340999999999999</v>
      </c>
      <c r="BE1163" s="198">
        <v>0.31175000000000003</v>
      </c>
      <c r="BG1163" s="1051">
        <v>43487</v>
      </c>
      <c r="BH1163" s="198">
        <v>12.817600000000001</v>
      </c>
      <c r="BI1163" s="198">
        <v>2.9965000000000002</v>
      </c>
      <c r="BJ1163" s="198">
        <v>16.107199999999999</v>
      </c>
      <c r="BT1163" s="1051">
        <v>43543</v>
      </c>
      <c r="BU1163" s="198">
        <v>13.255100000000001</v>
      </c>
      <c r="BV1163" s="198">
        <v>4.3982999999999999</v>
      </c>
      <c r="BW1163" s="198">
        <v>8.3895</v>
      </c>
      <c r="BX1163" s="198">
        <v>1.2728999999999999</v>
      </c>
      <c r="BZ1163" s="1051">
        <v>43543</v>
      </c>
      <c r="CA1163" s="198">
        <v>10.6577</v>
      </c>
      <c r="CB1163" s="198">
        <v>3.2686999999999999</v>
      </c>
      <c r="CC1163" s="198">
        <v>12.412800000000001</v>
      </c>
      <c r="CD1163" s="198">
        <v>1.20581</v>
      </c>
      <c r="CF1163" s="1051">
        <v>43542</v>
      </c>
      <c r="CG1163" s="198">
        <v>6.1919000000000004</v>
      </c>
      <c r="CH1163" s="198">
        <v>1.1632</v>
      </c>
      <c r="CI1163" s="198">
        <v>9.7742000000000004</v>
      </c>
      <c r="CL1163" s="1051">
        <v>43563</v>
      </c>
      <c r="CM1163" s="198">
        <v>15.1233</v>
      </c>
      <c r="CN1163" s="198">
        <v>2.2551000000000001</v>
      </c>
      <c r="CO1163" s="198">
        <v>11.2797</v>
      </c>
    </row>
    <row r="1164" spans="1:93" s="198" customFormat="1">
      <c r="A1164" s="1051">
        <v>43542</v>
      </c>
      <c r="B1164" s="1052">
        <f t="shared" si="182"/>
        <v>8.7489000000000008</v>
      </c>
      <c r="C1164" s="1052">
        <f t="shared" si="184"/>
        <v>7.5898000000000003</v>
      </c>
      <c r="D1164" s="1052">
        <f t="shared" si="188"/>
        <v>9.3341999999999992</v>
      </c>
      <c r="E1164" s="1052">
        <f t="shared" si="189"/>
        <v>7.2984</v>
      </c>
      <c r="F1164" s="1052">
        <f t="shared" si="190"/>
        <v>13.7469</v>
      </c>
      <c r="G1164" s="1052">
        <f t="shared" si="191"/>
        <v>8.6941000000000006</v>
      </c>
      <c r="H1164" s="1047">
        <f t="shared" si="185"/>
        <v>8.6941000000000006</v>
      </c>
      <c r="I1164" s="1048">
        <f t="shared" si="183"/>
        <v>6.3031251078318196E-3</v>
      </c>
      <c r="J1164" s="1048">
        <f t="shared" si="186"/>
        <v>0.12093838824177333</v>
      </c>
      <c r="K1164" s="1048">
        <f t="shared" si="187"/>
        <v>0.1</v>
      </c>
      <c r="L1164" s="1048"/>
      <c r="N1164" s="1051">
        <v>43542</v>
      </c>
      <c r="O1164" s="1053">
        <v>8.7489000000000008</v>
      </c>
      <c r="P1164" s="1053">
        <v>1.2676000000000001</v>
      </c>
      <c r="Q1164" s="1053">
        <v>11.688599999999999</v>
      </c>
      <c r="R1164" s="1054">
        <f>'B. PE'!$U$23</f>
        <v>15.978235616082999</v>
      </c>
      <c r="S1164" s="1054"/>
      <c r="T1164" s="1054"/>
      <c r="V1164" s="1051">
        <v>43542</v>
      </c>
      <c r="W1164" s="198">
        <v>7.5898000000000003</v>
      </c>
      <c r="X1164" s="198">
        <v>0.54810000000000003</v>
      </c>
      <c r="Y1164" s="198">
        <v>6.1519000000000004</v>
      </c>
      <c r="Z1164" s="198">
        <v>0.32799</v>
      </c>
      <c r="AB1164" s="1051">
        <v>43494</v>
      </c>
      <c r="AC1164" s="198">
        <v>8.3118999999999996</v>
      </c>
      <c r="AD1164" s="1053">
        <v>1.5634999999999999</v>
      </c>
      <c r="AE1164" s="198">
        <v>7.3369</v>
      </c>
      <c r="AF1164" s="198">
        <v>3.2849999999999997E-2</v>
      </c>
      <c r="AH1164" s="1051">
        <v>43494</v>
      </c>
      <c r="AI1164" s="198">
        <v>7.7572000000000001</v>
      </c>
      <c r="AJ1164" s="198">
        <v>1.2382</v>
      </c>
      <c r="AK1164" s="198">
        <v>4.2469999999999999</v>
      </c>
      <c r="AL1164" s="198">
        <v>1.3010000000000001E-2</v>
      </c>
      <c r="AN1164" s="1051">
        <v>43507</v>
      </c>
      <c r="AQ1164" s="198">
        <v>4.0636999999999999</v>
      </c>
      <c r="AR1164" s="198">
        <v>0.1191</v>
      </c>
      <c r="AT1164" s="1051">
        <v>43420</v>
      </c>
      <c r="AU1164" s="198">
        <v>8.0157000000000007</v>
      </c>
      <c r="AV1164" s="198">
        <v>0.52049999999999996</v>
      </c>
      <c r="AW1164" s="198">
        <v>6.0152000000000001</v>
      </c>
      <c r="BA1164" s="1051">
        <v>43486</v>
      </c>
      <c r="BB1164" s="198">
        <v>7.3825000000000003</v>
      </c>
      <c r="BC1164" s="198">
        <v>1.5851999999999999</v>
      </c>
      <c r="BD1164" s="198">
        <v>8.0479000000000003</v>
      </c>
      <c r="BE1164" s="198">
        <v>0.31018000000000001</v>
      </c>
      <c r="BG1164" s="1051">
        <v>43486</v>
      </c>
      <c r="BH1164" s="198">
        <v>12.710800000000001</v>
      </c>
      <c r="BI1164" s="198">
        <v>2.9714999999999998</v>
      </c>
      <c r="BJ1164" s="198">
        <v>16.016300000000001</v>
      </c>
      <c r="BT1164" s="1051">
        <v>43542</v>
      </c>
      <c r="BU1164" s="198">
        <v>13.27</v>
      </c>
      <c r="BV1164" s="198">
        <v>4.4032</v>
      </c>
      <c r="BW1164" s="198">
        <v>8.3981999999999992</v>
      </c>
      <c r="BX1164" s="198">
        <v>1.2786999999999999</v>
      </c>
      <c r="BZ1164" s="1051">
        <v>43542</v>
      </c>
      <c r="CA1164" s="198">
        <v>10.7555</v>
      </c>
      <c r="CB1164" s="198">
        <v>3.2987000000000002</v>
      </c>
      <c r="CC1164" s="198">
        <v>12.486499999999999</v>
      </c>
      <c r="CD1164" s="198">
        <v>1.23851</v>
      </c>
      <c r="CF1164" s="1051">
        <v>43539</v>
      </c>
      <c r="CG1164" s="198">
        <v>6.1033999999999997</v>
      </c>
      <c r="CH1164" s="198">
        <v>1.1465000000000001</v>
      </c>
      <c r="CI1164" s="198">
        <v>9.7271000000000001</v>
      </c>
      <c r="CL1164" s="1051">
        <v>43560</v>
      </c>
      <c r="CM1164" s="198">
        <v>15.2636</v>
      </c>
      <c r="CN1164" s="198">
        <v>2.2759999999999998</v>
      </c>
      <c r="CO1164" s="198">
        <v>11.397</v>
      </c>
    </row>
    <row r="1165" spans="1:93" s="198" customFormat="1">
      <c r="A1165" s="1051">
        <v>43539</v>
      </c>
      <c r="B1165" s="1052">
        <f t="shared" si="182"/>
        <v>8.5292999999999992</v>
      </c>
      <c r="C1165" s="1052">
        <f t="shared" si="184"/>
        <v>7.5086000000000004</v>
      </c>
      <c r="D1165" s="1052">
        <f t="shared" si="188"/>
        <v>9.3767999999999994</v>
      </c>
      <c r="E1165" s="1052">
        <f t="shared" si="189"/>
        <v>7.2984</v>
      </c>
      <c r="F1165" s="1052">
        <f t="shared" si="190"/>
        <v>14.216900000000001</v>
      </c>
      <c r="G1165" s="1052">
        <f t="shared" si="191"/>
        <v>8.6191999999999993</v>
      </c>
      <c r="H1165" s="1047">
        <f t="shared" si="185"/>
        <v>8.6191999999999993</v>
      </c>
      <c r="I1165" s="1048">
        <f t="shared" si="183"/>
        <v>-1.043020233896419E-2</v>
      </c>
      <c r="J1165" s="1048">
        <f t="shared" si="186"/>
        <v>0.12093838824177333</v>
      </c>
      <c r="K1165" s="1048">
        <f t="shared" si="187"/>
        <v>0.1</v>
      </c>
      <c r="L1165" s="1048"/>
      <c r="N1165" s="1051">
        <v>43539</v>
      </c>
      <c r="O1165" s="1053">
        <v>8.5292999999999992</v>
      </c>
      <c r="P1165" s="1053">
        <v>1.2357</v>
      </c>
      <c r="Q1165" s="1053">
        <v>11.524699999999999</v>
      </c>
      <c r="R1165" s="1054">
        <f>'B. PE'!$U$23</f>
        <v>15.978235616082999</v>
      </c>
      <c r="S1165" s="1054"/>
      <c r="T1165" s="1054"/>
      <c r="V1165" s="1051">
        <v>43539</v>
      </c>
      <c r="W1165" s="198">
        <v>7.5086000000000004</v>
      </c>
      <c r="X1165" s="198">
        <v>0.54220000000000002</v>
      </c>
      <c r="Y1165" s="198">
        <v>6.1223000000000001</v>
      </c>
      <c r="Z1165" s="198">
        <v>0.32850000000000001</v>
      </c>
      <c r="AB1165" s="1051">
        <v>43493</v>
      </c>
      <c r="AC1165" s="198">
        <v>8.2395999999999994</v>
      </c>
      <c r="AD1165" s="1053">
        <v>1.5499000000000001</v>
      </c>
      <c r="AE1165" s="198">
        <v>7.2961999999999998</v>
      </c>
      <c r="AF1165" s="198">
        <v>3.3799999999999997E-2</v>
      </c>
      <c r="AH1165" s="1051">
        <v>43493</v>
      </c>
      <c r="AI1165" s="198">
        <v>7.7145000000000001</v>
      </c>
      <c r="AJ1165" s="198">
        <v>1.2314000000000001</v>
      </c>
      <c r="AK1165" s="198">
        <v>4.2263999999999999</v>
      </c>
      <c r="AL1165" s="198">
        <v>1.2869999999999999E-2</v>
      </c>
      <c r="AN1165" s="1051">
        <v>43504</v>
      </c>
      <c r="AQ1165" s="198">
        <v>4.0636999999999999</v>
      </c>
      <c r="AR1165" s="198">
        <v>0.11745</v>
      </c>
      <c r="AT1165" s="1051">
        <v>43419</v>
      </c>
      <c r="AU1165" s="198">
        <v>8.0157000000000007</v>
      </c>
      <c r="AV1165" s="198">
        <v>0.52049999999999996</v>
      </c>
      <c r="AW1165" s="198">
        <v>6.0152000000000001</v>
      </c>
      <c r="BA1165" s="1051">
        <v>43483</v>
      </c>
      <c r="BB1165" s="198">
        <v>7.42</v>
      </c>
      <c r="BC1165" s="198">
        <v>1.5932999999999999</v>
      </c>
      <c r="BD1165" s="198">
        <v>8.0763999999999996</v>
      </c>
      <c r="BE1165" s="198">
        <v>0.31069000000000002</v>
      </c>
      <c r="BG1165" s="1051">
        <v>43483</v>
      </c>
      <c r="BH1165" s="198">
        <v>12.603999999999999</v>
      </c>
      <c r="BI1165" s="198">
        <v>2.9466000000000001</v>
      </c>
      <c r="BJ1165" s="198">
        <v>15.9254</v>
      </c>
      <c r="BT1165" s="1051">
        <v>43539</v>
      </c>
      <c r="BU1165" s="198">
        <v>13.1807</v>
      </c>
      <c r="BV1165" s="198">
        <v>4.3735999999999997</v>
      </c>
      <c r="BW1165" s="198">
        <v>8.3460000000000001</v>
      </c>
      <c r="BX1165" s="198">
        <v>1.2849999999999999</v>
      </c>
      <c r="BZ1165" s="1051">
        <v>43539</v>
      </c>
      <c r="CA1165" s="198">
        <v>10.853300000000001</v>
      </c>
      <c r="CB1165" s="198">
        <v>3.3287</v>
      </c>
      <c r="CC1165" s="198">
        <v>12.5602</v>
      </c>
      <c r="CD1165" s="198">
        <v>1.26078</v>
      </c>
      <c r="CF1165" s="1051">
        <v>43538</v>
      </c>
      <c r="CI1165" s="198">
        <v>9.4444999999999997</v>
      </c>
      <c r="CL1165" s="1051">
        <v>43559</v>
      </c>
      <c r="CM1165" s="198">
        <v>15.2126</v>
      </c>
      <c r="CN1165" s="198">
        <v>2.2684000000000002</v>
      </c>
      <c r="CO1165" s="198">
        <v>11.3544</v>
      </c>
    </row>
    <row r="1166" spans="1:93" s="198" customFormat="1">
      <c r="A1166" s="1051">
        <v>43538</v>
      </c>
      <c r="B1166" s="1052">
        <f t="shared" si="182"/>
        <v>8.4926999999999992</v>
      </c>
      <c r="C1166" s="1052">
        <f t="shared" si="184"/>
        <v>7.3381999999999996</v>
      </c>
      <c r="D1166" s="1052">
        <f t="shared" si="188"/>
        <v>8.9078999999999997</v>
      </c>
      <c r="E1166" s="1052">
        <f t="shared" si="189"/>
        <v>7.1524000000000001</v>
      </c>
      <c r="F1166" s="1052">
        <f t="shared" si="190"/>
        <v>14.216900000000001</v>
      </c>
      <c r="G1166" s="1052">
        <f t="shared" si="191"/>
        <v>8.5442</v>
      </c>
      <c r="H1166" s="1047">
        <f t="shared" si="185"/>
        <v>8.5442</v>
      </c>
      <c r="I1166" s="1048">
        <f t="shared" si="183"/>
        <v>-6.0274806301351402E-3</v>
      </c>
      <c r="J1166" s="1048">
        <f t="shared" si="186"/>
        <v>0.12093838824177333</v>
      </c>
      <c r="K1166" s="1048">
        <f t="shared" si="187"/>
        <v>0.1</v>
      </c>
      <c r="L1166" s="1048"/>
      <c r="N1166" s="1051">
        <v>43538</v>
      </c>
      <c r="O1166" s="1053">
        <v>8.4926999999999992</v>
      </c>
      <c r="P1166" s="1053">
        <v>1.2303999999999999</v>
      </c>
      <c r="Q1166" s="1053">
        <v>11.497400000000001</v>
      </c>
      <c r="R1166" s="1054">
        <f>'B. PE'!$U$23</f>
        <v>15.978235616082999</v>
      </c>
      <c r="S1166" s="1054"/>
      <c r="T1166" s="1054"/>
      <c r="V1166" s="1051">
        <v>43538</v>
      </c>
      <c r="W1166" s="198">
        <v>7.3381999999999996</v>
      </c>
      <c r="X1166" s="198">
        <v>0.52990000000000004</v>
      </c>
      <c r="Y1166" s="198">
        <v>6.0601000000000003</v>
      </c>
      <c r="Z1166" s="198">
        <v>0.32292999999999999</v>
      </c>
      <c r="AB1166" s="1051">
        <v>43490</v>
      </c>
      <c r="AC1166" s="198">
        <v>8.3480000000000008</v>
      </c>
      <c r="AD1166" s="1053">
        <v>1.5703</v>
      </c>
      <c r="AE1166" s="198">
        <v>7.3573000000000004</v>
      </c>
      <c r="AF1166" s="198">
        <v>3.465E-2</v>
      </c>
      <c r="AH1166" s="1051">
        <v>43490</v>
      </c>
      <c r="AI1166" s="198">
        <v>7.7998000000000003</v>
      </c>
      <c r="AJ1166" s="198">
        <v>1.2450000000000001</v>
      </c>
      <c r="AK1166" s="198">
        <v>4.2676999999999996</v>
      </c>
      <c r="AL1166" s="198">
        <v>1.294E-2</v>
      </c>
      <c r="AN1166" s="1051">
        <v>43503</v>
      </c>
      <c r="AO1166" s="198">
        <v>7.0793999999999997</v>
      </c>
      <c r="AP1166" s="198">
        <v>0.60599999999999998</v>
      </c>
      <c r="AQ1166" s="198">
        <v>4.0636999999999999</v>
      </c>
      <c r="AT1166" s="1051">
        <v>43418</v>
      </c>
      <c r="AW1166" s="198">
        <v>6.0152000000000001</v>
      </c>
      <c r="BA1166" s="1051">
        <v>43482</v>
      </c>
      <c r="BB1166" s="198">
        <v>7.3825000000000003</v>
      </c>
      <c r="BC1166" s="198">
        <v>1.5851999999999999</v>
      </c>
      <c r="BD1166" s="198">
        <v>8.0479000000000003</v>
      </c>
      <c r="BE1166" s="198">
        <v>0.30565999999999999</v>
      </c>
      <c r="BG1166" s="1051">
        <v>43482</v>
      </c>
      <c r="BH1166" s="198">
        <v>12.497199999999999</v>
      </c>
      <c r="BI1166" s="198">
        <v>2.9216000000000002</v>
      </c>
      <c r="BJ1166" s="198">
        <v>15.8345</v>
      </c>
      <c r="BT1166" s="1051">
        <v>43538</v>
      </c>
      <c r="BU1166" s="198">
        <v>13.2402</v>
      </c>
      <c r="BV1166" s="198">
        <v>4.3933999999999997</v>
      </c>
      <c r="BW1166" s="198">
        <v>8.3808000000000007</v>
      </c>
      <c r="BX1166" s="198">
        <v>1.2716000000000001</v>
      </c>
      <c r="BZ1166" s="1051">
        <v>43538</v>
      </c>
      <c r="CA1166" s="198">
        <v>11.146599999999999</v>
      </c>
      <c r="CB1166" s="198">
        <v>3.4186000000000001</v>
      </c>
      <c r="CC1166" s="198">
        <v>12.7814</v>
      </c>
      <c r="CD1166" s="198">
        <v>1.2581199999999999</v>
      </c>
      <c r="CF1166" s="1051">
        <v>43537</v>
      </c>
      <c r="CG1166" s="198">
        <v>5.5727000000000002</v>
      </c>
      <c r="CH1166" s="198">
        <v>1.0468</v>
      </c>
      <c r="CI1166" s="198">
        <v>9.4444999999999997</v>
      </c>
      <c r="CL1166" s="1051">
        <v>43558</v>
      </c>
      <c r="CM1166" s="198">
        <v>15.1998</v>
      </c>
      <c r="CN1166" s="198">
        <v>2.2665000000000002</v>
      </c>
      <c r="CO1166" s="198">
        <v>11.3437</v>
      </c>
    </row>
    <row r="1167" spans="1:93" s="198" customFormat="1">
      <c r="A1167" s="1051">
        <v>43537</v>
      </c>
      <c r="B1167" s="1052">
        <f t="shared" si="182"/>
        <v>8.3461999999999996</v>
      </c>
      <c r="C1167" s="1052">
        <f t="shared" si="184"/>
        <v>7.3463000000000003</v>
      </c>
      <c r="D1167" s="1052">
        <f t="shared" si="188"/>
        <v>8.5670000000000002</v>
      </c>
      <c r="E1167" s="1052">
        <f t="shared" si="189"/>
        <v>7.2253999999999996</v>
      </c>
      <c r="F1167" s="1052">
        <f t="shared" si="190"/>
        <v>14.4518</v>
      </c>
      <c r="G1167" s="1052">
        <f t="shared" si="191"/>
        <v>8.5442</v>
      </c>
      <c r="H1167" s="1047">
        <f t="shared" si="185"/>
        <v>8.5442</v>
      </c>
      <c r="I1167" s="1048">
        <f t="shared" si="183"/>
        <v>-2.3173614849839708E-2</v>
      </c>
      <c r="J1167" s="1048">
        <f t="shared" si="186"/>
        <v>0.12093838824177333</v>
      </c>
      <c r="K1167" s="1048">
        <f t="shared" si="187"/>
        <v>0.1</v>
      </c>
      <c r="L1167" s="1048"/>
      <c r="N1167" s="1051">
        <v>43537</v>
      </c>
      <c r="O1167" s="1053">
        <v>8.3461999999999996</v>
      </c>
      <c r="P1167" s="1053">
        <v>1.2092000000000001</v>
      </c>
      <c r="Q1167" s="1053">
        <v>11.3881</v>
      </c>
      <c r="R1167" s="1054">
        <f>'B. PE'!$U$23</f>
        <v>15.978235616082999</v>
      </c>
      <c r="S1167" s="1054"/>
      <c r="T1167" s="1054"/>
      <c r="V1167" s="1051">
        <v>43537</v>
      </c>
      <c r="W1167" s="198">
        <v>7.3463000000000003</v>
      </c>
      <c r="X1167" s="198">
        <v>0.53049999999999997</v>
      </c>
      <c r="Y1167" s="198">
        <v>6.0631000000000004</v>
      </c>
      <c r="Z1167" s="198">
        <v>0.31979000000000002</v>
      </c>
      <c r="AB1167" s="1051">
        <v>43489</v>
      </c>
      <c r="AC1167" s="198">
        <v>8.6371000000000002</v>
      </c>
      <c r="AD1167" s="1053">
        <v>1.6246</v>
      </c>
      <c r="AE1167" s="198">
        <v>7.5204000000000004</v>
      </c>
      <c r="AF1167" s="198">
        <v>3.3890000000000003E-2</v>
      </c>
      <c r="AH1167" s="1051">
        <v>43489</v>
      </c>
      <c r="AI1167" s="198">
        <v>7.7572000000000001</v>
      </c>
      <c r="AJ1167" s="198">
        <v>1.2382</v>
      </c>
      <c r="AK1167" s="198">
        <v>4.2469999999999999</v>
      </c>
      <c r="AL1167" s="198">
        <v>1.238E-2</v>
      </c>
      <c r="AN1167" s="1051">
        <v>43500</v>
      </c>
      <c r="AO1167" s="198">
        <v>7.0064000000000002</v>
      </c>
      <c r="AP1167" s="198">
        <v>0.5998</v>
      </c>
      <c r="AQ1167" s="198">
        <v>4.0027999999999997</v>
      </c>
      <c r="AR1167" s="198">
        <v>0.11691</v>
      </c>
      <c r="AT1167" s="1051">
        <v>43417</v>
      </c>
      <c r="AW1167" s="198">
        <v>6.0152000000000001</v>
      </c>
      <c r="BA1167" s="1051">
        <v>43481</v>
      </c>
      <c r="BB1167" s="198">
        <v>7.3825000000000003</v>
      </c>
      <c r="BC1167" s="198">
        <v>1.5851999999999999</v>
      </c>
      <c r="BD1167" s="198">
        <v>8.0479000000000003</v>
      </c>
      <c r="BE1167" s="198">
        <v>0.30703000000000003</v>
      </c>
      <c r="BG1167" s="1051">
        <v>43481</v>
      </c>
      <c r="BH1167" s="198">
        <v>12.3903</v>
      </c>
      <c r="BI1167" s="198">
        <v>2.8965999999999998</v>
      </c>
      <c r="BJ1167" s="198">
        <v>15.743600000000001</v>
      </c>
      <c r="BT1167" s="1051">
        <v>43537</v>
      </c>
      <c r="BU1167" s="198">
        <v>13.2997</v>
      </c>
      <c r="BV1167" s="198">
        <v>4.4131</v>
      </c>
      <c r="BW1167" s="198">
        <v>8.4155999999999995</v>
      </c>
      <c r="BX1167" s="198">
        <v>1.2563</v>
      </c>
      <c r="BZ1167" s="1051">
        <v>43537</v>
      </c>
      <c r="CA1167" s="198">
        <v>11.3421</v>
      </c>
      <c r="CB1167" s="198">
        <v>3.4786000000000001</v>
      </c>
      <c r="CC1167" s="198">
        <v>12.928800000000001</v>
      </c>
      <c r="CD1167" s="198">
        <v>1.2499100000000001</v>
      </c>
      <c r="CF1167" s="1051">
        <v>43536</v>
      </c>
      <c r="CG1167" s="198">
        <v>5.9706999999999999</v>
      </c>
      <c r="CH1167" s="198">
        <v>1.1215999999999999</v>
      </c>
      <c r="CI1167" s="198">
        <v>9.6563999999999997</v>
      </c>
      <c r="CL1167" s="1051">
        <v>43557</v>
      </c>
      <c r="CM1167" s="198">
        <v>14.804500000000001</v>
      </c>
      <c r="CN1167" s="198">
        <v>2.2075</v>
      </c>
      <c r="CO1167" s="198">
        <v>11.013299999999999</v>
      </c>
    </row>
    <row r="1168" spans="1:93" s="198" customFormat="1">
      <c r="A1168" s="1051">
        <v>43536</v>
      </c>
      <c r="B1168" s="1052">
        <f t="shared" si="182"/>
        <v>8.3095999999999997</v>
      </c>
      <c r="C1168" s="1052">
        <f t="shared" si="184"/>
        <v>7.2244999999999999</v>
      </c>
      <c r="D1168" s="1052">
        <f t="shared" si="188"/>
        <v>8.5670000000000002</v>
      </c>
      <c r="E1168" s="1052">
        <f t="shared" si="189"/>
        <v>7.2253999999999996</v>
      </c>
      <c r="F1168" s="1052">
        <f t="shared" si="190"/>
        <v>14.4518</v>
      </c>
      <c r="G1168" s="1052">
        <f t="shared" si="191"/>
        <v>8.4693000000000005</v>
      </c>
      <c r="H1168" s="1047">
        <f t="shared" si="185"/>
        <v>8.4693000000000005</v>
      </c>
      <c r="I1168" s="1048">
        <f t="shared" si="183"/>
        <v>-1.885633995725744E-2</v>
      </c>
      <c r="J1168" s="1048">
        <f t="shared" si="186"/>
        <v>0.12093838824177333</v>
      </c>
      <c r="K1168" s="1048">
        <f t="shared" si="187"/>
        <v>0.1</v>
      </c>
      <c r="L1168" s="1048"/>
      <c r="N1168" s="1051">
        <v>43536</v>
      </c>
      <c r="O1168" s="1053">
        <v>8.3095999999999997</v>
      </c>
      <c r="P1168" s="1053">
        <v>1.2039</v>
      </c>
      <c r="Q1168" s="1053">
        <v>11.360799999999999</v>
      </c>
      <c r="R1168" s="1054">
        <f>'B. PE'!$U$23</f>
        <v>15.978235616082999</v>
      </c>
      <c r="S1168" s="1054"/>
      <c r="T1168" s="1054"/>
      <c r="V1168" s="1051">
        <v>43536</v>
      </c>
      <c r="W1168" s="198">
        <v>7.2244999999999999</v>
      </c>
      <c r="X1168" s="198">
        <v>0.52170000000000005</v>
      </c>
      <c r="Y1168" s="198">
        <v>6.0186999999999999</v>
      </c>
      <c r="Z1168" s="198">
        <v>0.31979000000000002</v>
      </c>
      <c r="AB1168" s="1051">
        <v>43488</v>
      </c>
      <c r="AC1168" s="198">
        <v>8.8539999999999992</v>
      </c>
      <c r="AD1168" s="1053">
        <v>1.6654</v>
      </c>
      <c r="AE1168" s="198">
        <v>7.6426999999999996</v>
      </c>
      <c r="AF1168" s="198">
        <v>3.15E-2</v>
      </c>
      <c r="AH1168" s="1051">
        <v>43488</v>
      </c>
      <c r="AI1168" s="198">
        <v>7.7998000000000003</v>
      </c>
      <c r="AJ1168" s="198">
        <v>1.2450000000000001</v>
      </c>
      <c r="AK1168" s="198">
        <v>4.2676999999999996</v>
      </c>
      <c r="AL1168" s="198">
        <v>1.238E-2</v>
      </c>
      <c r="AN1168" s="1051">
        <v>43496</v>
      </c>
      <c r="AQ1168" s="198">
        <v>4.0027999999999997</v>
      </c>
      <c r="AR1168" s="198">
        <v>0.11634</v>
      </c>
      <c r="AT1168" s="1051">
        <v>43416</v>
      </c>
      <c r="AW1168" s="198">
        <v>6.0152000000000001</v>
      </c>
      <c r="AX1168" s="198">
        <v>0.11286</v>
      </c>
      <c r="BA1168" s="1051">
        <v>43480</v>
      </c>
      <c r="BB1168" s="198">
        <v>7.3075999999999999</v>
      </c>
      <c r="BC1168" s="198">
        <v>1.5690999999999999</v>
      </c>
      <c r="BD1168" s="198">
        <v>7.9909999999999997</v>
      </c>
      <c r="BE1168" s="198">
        <v>0.30841000000000002</v>
      </c>
      <c r="BG1168" s="1051">
        <v>43480</v>
      </c>
      <c r="BH1168" s="198">
        <v>12.3903</v>
      </c>
      <c r="BI1168" s="198">
        <v>2.8965999999999998</v>
      </c>
      <c r="BJ1168" s="198">
        <v>15.743600000000001</v>
      </c>
      <c r="BT1168" s="1051">
        <v>43536</v>
      </c>
      <c r="BU1168" s="198">
        <v>13.165800000000001</v>
      </c>
      <c r="BV1168" s="198">
        <v>4.3686999999999996</v>
      </c>
      <c r="BW1168" s="198">
        <v>8.3373000000000008</v>
      </c>
      <c r="BX1168" s="198">
        <v>1.2447999999999999</v>
      </c>
      <c r="BZ1168" s="1051">
        <v>43536</v>
      </c>
      <c r="CA1168" s="198">
        <v>11.3226</v>
      </c>
      <c r="CB1168" s="198">
        <v>3.4725999999999999</v>
      </c>
      <c r="CC1168" s="198">
        <v>12.914</v>
      </c>
      <c r="CD1168" s="198">
        <v>1.26078</v>
      </c>
      <c r="CF1168" s="1051">
        <v>43535</v>
      </c>
      <c r="CG1168" s="198">
        <v>5.9706999999999999</v>
      </c>
      <c r="CH1168" s="198">
        <v>1.1215999999999999</v>
      </c>
      <c r="CI1168" s="198">
        <v>9.6563999999999997</v>
      </c>
      <c r="CL1168" s="1051">
        <v>43556</v>
      </c>
      <c r="CM1168" s="198">
        <v>14.7918</v>
      </c>
      <c r="CN1168" s="198">
        <v>2.2056</v>
      </c>
      <c r="CO1168" s="198">
        <v>11.002599999999999</v>
      </c>
    </row>
    <row r="1169" spans="1:93" s="198" customFormat="1">
      <c r="A1169" s="1051">
        <v>43535</v>
      </c>
      <c r="B1169" s="1052">
        <f t="shared" si="182"/>
        <v>8.3095999999999997</v>
      </c>
      <c r="C1169" s="1052">
        <f t="shared" si="184"/>
        <v>7.1515000000000004</v>
      </c>
      <c r="D1169" s="1052">
        <f t="shared" si="188"/>
        <v>8.7800999999999991</v>
      </c>
      <c r="E1169" s="1052">
        <f t="shared" si="189"/>
        <v>7.2253999999999996</v>
      </c>
      <c r="F1169" s="1052">
        <f t="shared" si="190"/>
        <v>14.4518</v>
      </c>
      <c r="G1169" s="1052">
        <f t="shared" si="191"/>
        <v>8.5442</v>
      </c>
      <c r="H1169" s="1047">
        <f t="shared" si="185"/>
        <v>8.5442</v>
      </c>
      <c r="I1169" s="1048">
        <f t="shared" si="183"/>
        <v>-2.745722244329496E-2</v>
      </c>
      <c r="J1169" s="1048">
        <f t="shared" si="186"/>
        <v>0.12093838824177333</v>
      </c>
      <c r="K1169" s="1048">
        <f t="shared" si="187"/>
        <v>0.1</v>
      </c>
      <c r="L1169" s="1048"/>
      <c r="N1169" s="1051">
        <v>43535</v>
      </c>
      <c r="O1169" s="1053">
        <v>8.3095999999999997</v>
      </c>
      <c r="P1169" s="1053">
        <v>1.2039</v>
      </c>
      <c r="Q1169" s="1053">
        <v>11.360799999999999</v>
      </c>
      <c r="R1169" s="1054">
        <f>'B. PE'!$U$23</f>
        <v>15.978235616082999</v>
      </c>
      <c r="S1169" s="1054"/>
      <c r="T1169" s="1054"/>
      <c r="V1169" s="1051">
        <v>43535</v>
      </c>
      <c r="W1169" s="198">
        <v>7.1515000000000004</v>
      </c>
      <c r="X1169" s="198">
        <v>0.51639999999999997</v>
      </c>
      <c r="Y1169" s="198">
        <v>5.992</v>
      </c>
      <c r="Z1169" s="198">
        <v>0.32145000000000001</v>
      </c>
      <c r="AB1169" s="1051">
        <v>43487</v>
      </c>
      <c r="AC1169" s="198">
        <v>8.7094000000000005</v>
      </c>
      <c r="AD1169" s="1053">
        <v>1.6382000000000001</v>
      </c>
      <c r="AE1169" s="198">
        <v>7.5610999999999997</v>
      </c>
      <c r="AF1169" s="198">
        <v>3.2439999999999997E-2</v>
      </c>
      <c r="AH1169" s="1051">
        <v>43487</v>
      </c>
      <c r="AI1169" s="198">
        <v>7.5014000000000003</v>
      </c>
      <c r="AJ1169" s="198">
        <v>1.1974</v>
      </c>
      <c r="AK1169" s="198">
        <v>4.1233000000000004</v>
      </c>
      <c r="AL1169" s="198">
        <v>1.208E-2</v>
      </c>
      <c r="AN1169" s="1051">
        <v>43495</v>
      </c>
      <c r="AO1169" s="198">
        <v>7.0064000000000002</v>
      </c>
      <c r="AP1169" s="198">
        <v>0.5998</v>
      </c>
      <c r="AQ1169" s="198">
        <v>4.0027999999999997</v>
      </c>
      <c r="AR1169" s="198">
        <v>0.11809</v>
      </c>
      <c r="AT1169" s="1051">
        <v>43413</v>
      </c>
      <c r="AW1169" s="198">
        <v>6.0152000000000001</v>
      </c>
      <c r="AX1169" s="198">
        <v>0.11803</v>
      </c>
      <c r="BA1169" s="1051">
        <v>43479</v>
      </c>
      <c r="BB1169" s="198">
        <v>7.3449999999999998</v>
      </c>
      <c r="BC1169" s="198">
        <v>1.5771999999999999</v>
      </c>
      <c r="BD1169" s="198">
        <v>8.0195000000000007</v>
      </c>
      <c r="BE1169" s="198">
        <v>0.30878</v>
      </c>
      <c r="BG1169" s="1051">
        <v>43479</v>
      </c>
      <c r="BH1169" s="198">
        <v>12.603999999999999</v>
      </c>
      <c r="BI1169" s="198">
        <v>2.9466000000000001</v>
      </c>
      <c r="BJ1169" s="198">
        <v>15.9254</v>
      </c>
      <c r="BT1169" s="1051">
        <v>43535</v>
      </c>
      <c r="BU1169" s="198">
        <v>13.0022</v>
      </c>
      <c r="BV1169" s="198">
        <v>4.3144</v>
      </c>
      <c r="BW1169" s="198">
        <v>8.2416</v>
      </c>
      <c r="BX1169" s="198">
        <v>1.26</v>
      </c>
      <c r="BZ1169" s="1051">
        <v>43535</v>
      </c>
      <c r="CA1169" s="198">
        <v>11.244400000000001</v>
      </c>
      <c r="CB1169" s="198">
        <v>3.4485999999999999</v>
      </c>
      <c r="CC1169" s="198">
        <v>12.8551</v>
      </c>
      <c r="CD1169" s="198">
        <v>1.2819100000000001</v>
      </c>
      <c r="CF1169" s="1051">
        <v>43532</v>
      </c>
      <c r="CI1169" s="198">
        <v>9.8447999999999993</v>
      </c>
      <c r="CL1169" s="1051">
        <v>43553</v>
      </c>
      <c r="CM1169" s="198">
        <v>14.6388</v>
      </c>
      <c r="CN1169" s="198">
        <v>2.1827999999999999</v>
      </c>
      <c r="CO1169" s="198">
        <v>10.874700000000001</v>
      </c>
    </row>
    <row r="1170" spans="1:93" s="198" customFormat="1">
      <c r="A1170" s="1051">
        <v>43532</v>
      </c>
      <c r="B1170" s="1052">
        <f t="shared" si="182"/>
        <v>8.4011999999999993</v>
      </c>
      <c r="C1170" s="1052">
        <f t="shared" si="184"/>
        <v>7.1515000000000004</v>
      </c>
      <c r="D1170" s="1052">
        <f t="shared" si="188"/>
        <v>8.9078999999999997</v>
      </c>
      <c r="E1170" s="1052">
        <f t="shared" si="189"/>
        <v>7.2253999999999996</v>
      </c>
      <c r="F1170" s="1052">
        <f t="shared" si="190"/>
        <v>14.5693</v>
      </c>
      <c r="G1170" s="1052">
        <f t="shared" si="191"/>
        <v>8.6941000000000006</v>
      </c>
      <c r="H1170" s="1047">
        <f t="shared" si="185"/>
        <v>8.6941000000000006</v>
      </c>
      <c r="I1170" s="1048">
        <f t="shared" si="183"/>
        <v>-3.3689513578173846E-2</v>
      </c>
      <c r="J1170" s="1048">
        <f t="shared" si="186"/>
        <v>0.12093838824177333</v>
      </c>
      <c r="K1170" s="1048">
        <f t="shared" si="187"/>
        <v>0.1</v>
      </c>
      <c r="L1170" s="1048"/>
      <c r="N1170" s="1051">
        <v>43532</v>
      </c>
      <c r="O1170" s="1053">
        <v>8.4011999999999993</v>
      </c>
      <c r="P1170" s="1053">
        <v>1.2172000000000001</v>
      </c>
      <c r="Q1170" s="1053">
        <v>11.4291</v>
      </c>
      <c r="R1170" s="1054">
        <f>'B. PE'!$U$23</f>
        <v>15.978235616082999</v>
      </c>
      <c r="S1170" s="1054"/>
      <c r="T1170" s="1054"/>
      <c r="V1170" s="1051">
        <v>43532</v>
      </c>
      <c r="W1170" s="198">
        <v>7.1515000000000004</v>
      </c>
      <c r="X1170" s="198">
        <v>0.51639999999999997</v>
      </c>
      <c r="Y1170" s="198">
        <v>5.992</v>
      </c>
      <c r="Z1170" s="198">
        <v>0.32799</v>
      </c>
      <c r="AB1170" s="1051">
        <v>43486</v>
      </c>
      <c r="AC1170" s="198">
        <v>8.0951000000000004</v>
      </c>
      <c r="AD1170" s="1053">
        <v>1.5226999999999999</v>
      </c>
      <c r="AE1170" s="198">
        <v>7.2146999999999997</v>
      </c>
      <c r="AF1170" s="198">
        <v>3.2500000000000001E-2</v>
      </c>
      <c r="AH1170" s="1051">
        <v>43486</v>
      </c>
      <c r="AI1170" s="198">
        <v>7.5014000000000003</v>
      </c>
      <c r="AJ1170" s="198">
        <v>1.1974</v>
      </c>
      <c r="AK1170" s="198">
        <v>4.1233000000000004</v>
      </c>
      <c r="AL1170" s="198">
        <v>1.196E-2</v>
      </c>
      <c r="AN1170" s="1051">
        <v>43494</v>
      </c>
      <c r="AO1170" s="198">
        <v>6.9699</v>
      </c>
      <c r="AP1170" s="198">
        <v>0.59670000000000001</v>
      </c>
      <c r="AQ1170" s="198">
        <v>3.9723000000000002</v>
      </c>
      <c r="AR1170" s="198">
        <v>0.11636000000000001</v>
      </c>
      <c r="AT1170" s="1051">
        <v>43412</v>
      </c>
      <c r="AU1170" s="198">
        <v>8.0157000000000007</v>
      </c>
      <c r="AV1170" s="198">
        <v>0.52049999999999996</v>
      </c>
      <c r="AW1170" s="198">
        <v>6.0152000000000001</v>
      </c>
      <c r="BA1170" s="1051">
        <v>43476</v>
      </c>
      <c r="BB1170" s="198">
        <v>7.3825000000000003</v>
      </c>
      <c r="BC1170" s="198">
        <v>1.5851999999999999</v>
      </c>
      <c r="BD1170" s="198">
        <v>8.0479000000000003</v>
      </c>
      <c r="BE1170" s="198">
        <v>0.30819000000000002</v>
      </c>
      <c r="BG1170" s="1051">
        <v>43476</v>
      </c>
      <c r="BH1170" s="198">
        <v>12.710800000000001</v>
      </c>
      <c r="BI1170" s="198">
        <v>2.9714999999999998</v>
      </c>
      <c r="BJ1170" s="198">
        <v>16.016300000000001</v>
      </c>
      <c r="BT1170" s="1051">
        <v>43532</v>
      </c>
      <c r="BU1170" s="198">
        <v>12.8832</v>
      </c>
      <c r="BV1170" s="198">
        <v>4.2748999999999997</v>
      </c>
      <c r="BW1170" s="198">
        <v>8.1720000000000006</v>
      </c>
      <c r="BX1170" s="198">
        <v>1.2658</v>
      </c>
      <c r="BZ1170" s="1051">
        <v>43532</v>
      </c>
      <c r="CA1170" s="198">
        <v>11.3421</v>
      </c>
      <c r="CB1170" s="198">
        <v>3.4786000000000001</v>
      </c>
      <c r="CC1170" s="198">
        <v>12.928800000000001</v>
      </c>
      <c r="CD1170" s="198">
        <v>1.29935</v>
      </c>
      <c r="CF1170" s="1051">
        <v>43531</v>
      </c>
      <c r="CG1170" s="198">
        <v>6.3246000000000002</v>
      </c>
      <c r="CH1170" s="198">
        <v>1.1880999999999999</v>
      </c>
      <c r="CI1170" s="198">
        <v>9.8447999999999993</v>
      </c>
      <c r="CL1170" s="1051">
        <v>43552</v>
      </c>
      <c r="CM1170" s="198">
        <v>14.6898</v>
      </c>
      <c r="CN1170" s="198">
        <v>2.1903999999999999</v>
      </c>
      <c r="CO1170" s="198">
        <v>10.917299999999999</v>
      </c>
    </row>
    <row r="1171" spans="1:93" s="198" customFormat="1">
      <c r="A1171" s="1051">
        <v>43531</v>
      </c>
      <c r="B1171" s="1052">
        <f t="shared" si="182"/>
        <v>8.4743999999999993</v>
      </c>
      <c r="C1171" s="1052">
        <f t="shared" si="184"/>
        <v>7.1920000000000002</v>
      </c>
      <c r="D1171" s="1052">
        <f t="shared" si="188"/>
        <v>8.9078999999999997</v>
      </c>
      <c r="E1171" s="1052">
        <f t="shared" si="189"/>
        <v>7.2253999999999996</v>
      </c>
      <c r="F1171" s="1052">
        <f t="shared" si="190"/>
        <v>14.5266</v>
      </c>
      <c r="G1171" s="1052">
        <f t="shared" si="191"/>
        <v>8.6941000000000006</v>
      </c>
      <c r="H1171" s="1047">
        <f t="shared" si="185"/>
        <v>8.6941000000000006</v>
      </c>
      <c r="I1171" s="1048">
        <f t="shared" si="183"/>
        <v>-2.5270010696909595E-2</v>
      </c>
      <c r="J1171" s="1048">
        <f t="shared" si="186"/>
        <v>0.12093838824177333</v>
      </c>
      <c r="K1171" s="1048">
        <f t="shared" si="187"/>
        <v>0.1</v>
      </c>
      <c r="L1171" s="1048"/>
      <c r="N1171" s="1051">
        <v>43531</v>
      </c>
      <c r="O1171" s="1053">
        <v>8.4743999999999993</v>
      </c>
      <c r="P1171" s="1053">
        <v>1.2278</v>
      </c>
      <c r="Q1171" s="1053">
        <v>11.483700000000001</v>
      </c>
      <c r="R1171" s="1054">
        <f>'B. PE'!$U$23</f>
        <v>15.978235616082999</v>
      </c>
      <c r="S1171" s="1054"/>
      <c r="T1171" s="1054"/>
      <c r="V1171" s="1051">
        <v>43531</v>
      </c>
      <c r="W1171" s="198">
        <v>7.1920000000000002</v>
      </c>
      <c r="X1171" s="198">
        <v>0.51939999999999997</v>
      </c>
      <c r="Y1171" s="198">
        <v>6.0068000000000001</v>
      </c>
      <c r="Z1171" s="198">
        <v>0.32980999999999999</v>
      </c>
      <c r="AB1171" s="1051">
        <v>43483</v>
      </c>
      <c r="AC1171" s="198">
        <v>8.3480000000000008</v>
      </c>
      <c r="AD1171" s="1053">
        <v>1.5703</v>
      </c>
      <c r="AE1171" s="198">
        <v>7.3573000000000004</v>
      </c>
      <c r="AF1171" s="198">
        <v>3.4639999999999997E-2</v>
      </c>
      <c r="AH1171" s="1051">
        <v>43483</v>
      </c>
      <c r="AI1171" s="198">
        <v>7.3308999999999997</v>
      </c>
      <c r="AJ1171" s="198">
        <v>1.1701999999999999</v>
      </c>
      <c r="AK1171" s="198">
        <v>4.0407999999999999</v>
      </c>
      <c r="AL1171" s="198">
        <v>1.188E-2</v>
      </c>
      <c r="AN1171" s="1051">
        <v>43493</v>
      </c>
      <c r="AO1171" s="198">
        <v>7.0793999999999997</v>
      </c>
      <c r="AP1171" s="198">
        <v>0.60599999999999998</v>
      </c>
      <c r="AQ1171" s="198">
        <v>4.0636999999999999</v>
      </c>
      <c r="AR1171" s="198">
        <v>0.11845</v>
      </c>
      <c r="AT1171" s="1051">
        <v>43411</v>
      </c>
      <c r="AU1171" s="198">
        <v>8.3567999999999998</v>
      </c>
      <c r="AV1171" s="198">
        <v>0.54269999999999996</v>
      </c>
      <c r="AW1171" s="198">
        <v>6.1947999999999999</v>
      </c>
      <c r="BA1171" s="1051">
        <v>43475</v>
      </c>
      <c r="BB1171" s="198">
        <v>7.3825000000000003</v>
      </c>
      <c r="BC1171" s="198">
        <v>1.5851999999999999</v>
      </c>
      <c r="BD1171" s="198">
        <v>8.0479000000000003</v>
      </c>
      <c r="BE1171" s="198">
        <v>0.30745</v>
      </c>
      <c r="BG1171" s="1051">
        <v>43475</v>
      </c>
      <c r="BH1171" s="198">
        <v>12.710800000000001</v>
      </c>
      <c r="BI1171" s="198">
        <v>2.9714999999999998</v>
      </c>
      <c r="BJ1171" s="198">
        <v>16.016300000000001</v>
      </c>
      <c r="BT1171" s="1051">
        <v>43531</v>
      </c>
      <c r="BU1171" s="198">
        <v>13.046799999999999</v>
      </c>
      <c r="BV1171" s="198">
        <v>4.3292000000000002</v>
      </c>
      <c r="BW1171" s="198">
        <v>8.2676999999999996</v>
      </c>
      <c r="BX1171" s="198">
        <v>1.2615000000000001</v>
      </c>
      <c r="BZ1171" s="1051">
        <v>43531</v>
      </c>
      <c r="CA1171" s="198">
        <v>11.537699999999999</v>
      </c>
      <c r="CB1171" s="198">
        <v>3.5386000000000002</v>
      </c>
      <c r="CC1171" s="198">
        <v>13.0762</v>
      </c>
      <c r="CD1171" s="198">
        <v>1.29935</v>
      </c>
      <c r="CF1171" s="1051">
        <v>43530</v>
      </c>
      <c r="CG1171" s="198">
        <v>5.7496</v>
      </c>
      <c r="CH1171" s="198">
        <v>1.0801000000000001</v>
      </c>
      <c r="CI1171" s="198">
        <v>9.5387000000000004</v>
      </c>
      <c r="CL1171" s="1051">
        <v>43551</v>
      </c>
      <c r="CM1171" s="198">
        <v>14.766299999999999</v>
      </c>
      <c r="CN1171" s="198">
        <v>2.2018</v>
      </c>
      <c r="CO1171" s="198">
        <v>10.981299999999999</v>
      </c>
    </row>
    <row r="1172" spans="1:93" s="198" customFormat="1">
      <c r="A1172" s="1051">
        <v>43530</v>
      </c>
      <c r="B1172" s="1052">
        <f t="shared" si="182"/>
        <v>8.5109999999999992</v>
      </c>
      <c r="C1172" s="1052">
        <f t="shared" si="184"/>
        <v>7.3381999999999996</v>
      </c>
      <c r="D1172" s="1052">
        <f t="shared" si="188"/>
        <v>8.7375000000000007</v>
      </c>
      <c r="E1172" s="1052">
        <f t="shared" si="189"/>
        <v>7.1524000000000001</v>
      </c>
      <c r="F1172" s="1052">
        <f t="shared" si="190"/>
        <v>14.7402</v>
      </c>
      <c r="G1172" s="1052">
        <f t="shared" si="191"/>
        <v>8.7690999999999999</v>
      </c>
      <c r="H1172" s="1047">
        <f t="shared" si="185"/>
        <v>8.7375000000000007</v>
      </c>
      <c r="I1172" s="1048">
        <f t="shared" si="183"/>
        <v>-2.5922746781116057E-2</v>
      </c>
      <c r="J1172" s="1048">
        <f t="shared" si="186"/>
        <v>0.12093838824177333</v>
      </c>
      <c r="K1172" s="1048">
        <f t="shared" si="187"/>
        <v>0.1</v>
      </c>
      <c r="L1172" s="1048"/>
      <c r="N1172" s="1051">
        <v>43530</v>
      </c>
      <c r="O1172" s="1053">
        <v>8.5109999999999992</v>
      </c>
      <c r="P1172" s="1053">
        <v>1.2331000000000001</v>
      </c>
      <c r="Q1172" s="1053">
        <v>11.510999999999999</v>
      </c>
      <c r="R1172" s="1054">
        <f>'B. PE'!$U$23</f>
        <v>15.978235616082999</v>
      </c>
      <c r="S1172" s="1054"/>
      <c r="T1172" s="1054"/>
      <c r="V1172" s="1051">
        <v>43530</v>
      </c>
      <c r="W1172" s="198">
        <v>7.3381999999999996</v>
      </c>
      <c r="X1172" s="198">
        <v>0.52990000000000004</v>
      </c>
      <c r="Y1172" s="198">
        <v>6.0601000000000003</v>
      </c>
      <c r="Z1172" s="198">
        <v>0.32668000000000003</v>
      </c>
      <c r="AB1172" s="1051">
        <v>43482</v>
      </c>
      <c r="AC1172" s="198">
        <v>8.3480000000000008</v>
      </c>
      <c r="AD1172" s="1053">
        <v>1.5703</v>
      </c>
      <c r="AE1172" s="198">
        <v>7.3573000000000004</v>
      </c>
      <c r="AF1172" s="198">
        <v>3.5999999999999997E-2</v>
      </c>
      <c r="AH1172" s="1051">
        <v>43482</v>
      </c>
      <c r="AI1172" s="198">
        <v>7.2457000000000003</v>
      </c>
      <c r="AJ1172" s="198">
        <v>1.1566000000000001</v>
      </c>
      <c r="AK1172" s="198">
        <v>3.9996</v>
      </c>
      <c r="AL1172" s="198">
        <v>1.193E-2</v>
      </c>
      <c r="AN1172" s="1051">
        <v>43490</v>
      </c>
      <c r="AO1172" s="198">
        <v>7.0064000000000002</v>
      </c>
      <c r="AP1172" s="198">
        <v>0.5998</v>
      </c>
      <c r="AQ1172" s="198">
        <v>4.0027999999999997</v>
      </c>
      <c r="AR1172" s="198">
        <v>0.11606</v>
      </c>
      <c r="AT1172" s="1051">
        <v>43409</v>
      </c>
      <c r="AW1172" s="198">
        <v>6.1498999999999997</v>
      </c>
      <c r="BA1172" s="1051">
        <v>43474</v>
      </c>
      <c r="BB1172" s="198">
        <v>7.3825000000000003</v>
      </c>
      <c r="BC1172" s="198">
        <v>1.5851999999999999</v>
      </c>
      <c r="BD1172" s="198">
        <v>8.0479000000000003</v>
      </c>
      <c r="BE1172" s="198">
        <v>0.30349999999999999</v>
      </c>
      <c r="BG1172" s="1051">
        <v>43474</v>
      </c>
      <c r="BH1172" s="198">
        <v>12.817600000000001</v>
      </c>
      <c r="BI1172" s="198">
        <v>2.9965000000000002</v>
      </c>
      <c r="BJ1172" s="198">
        <v>16.107199999999999</v>
      </c>
      <c r="BT1172" s="1051">
        <v>43530</v>
      </c>
      <c r="BU1172" s="198">
        <v>13.106299999999999</v>
      </c>
      <c r="BV1172" s="198">
        <v>4.3489000000000004</v>
      </c>
      <c r="BW1172" s="198">
        <v>8.3025000000000002</v>
      </c>
      <c r="BX1172" s="198">
        <v>1.2793000000000001</v>
      </c>
      <c r="BZ1172" s="1051">
        <v>43530</v>
      </c>
      <c r="CA1172" s="198">
        <v>11.694100000000001</v>
      </c>
      <c r="CB1172" s="198">
        <v>3.5865999999999998</v>
      </c>
      <c r="CC1172" s="198">
        <v>13.194100000000001</v>
      </c>
      <c r="CD1172" s="198">
        <v>1.30643</v>
      </c>
      <c r="CF1172" s="1051">
        <v>43529</v>
      </c>
      <c r="CG1172" s="198">
        <v>5.9706999999999999</v>
      </c>
      <c r="CH1172" s="198">
        <v>1.1215999999999999</v>
      </c>
      <c r="CI1172" s="198">
        <v>9.6563999999999997</v>
      </c>
      <c r="CL1172" s="1051">
        <v>43550</v>
      </c>
      <c r="CM1172" s="198">
        <v>14.6005</v>
      </c>
      <c r="CN1172" s="198">
        <v>2.1770999999999998</v>
      </c>
      <c r="CO1172" s="198">
        <v>10.842700000000001</v>
      </c>
    </row>
    <row r="1173" spans="1:93" s="198" customFormat="1">
      <c r="A1173" s="1051">
        <v>43529</v>
      </c>
      <c r="B1173" s="1052">
        <f t="shared" si="182"/>
        <v>8.4926999999999992</v>
      </c>
      <c r="C1173" s="1052">
        <f t="shared" si="184"/>
        <v>7.3787000000000003</v>
      </c>
      <c r="D1173" s="1052">
        <f t="shared" si="188"/>
        <v>8.2260000000000009</v>
      </c>
      <c r="E1173" s="1052">
        <f t="shared" si="189"/>
        <v>7.1524000000000001</v>
      </c>
      <c r="F1173" s="1052">
        <f t="shared" si="190"/>
        <v>14.206200000000001</v>
      </c>
      <c r="G1173" s="1052">
        <f t="shared" si="191"/>
        <v>8.5442</v>
      </c>
      <c r="H1173" s="1047">
        <f t="shared" si="185"/>
        <v>8.2260000000000009</v>
      </c>
      <c r="I1173" s="1048">
        <f t="shared" si="183"/>
        <v>3.2421590080233154E-2</v>
      </c>
      <c r="J1173" s="1048">
        <f t="shared" si="186"/>
        <v>0.12093838824177333</v>
      </c>
      <c r="K1173" s="1048">
        <f t="shared" si="187"/>
        <v>0.1</v>
      </c>
      <c r="L1173" s="1048"/>
      <c r="N1173" s="1051">
        <v>43529</v>
      </c>
      <c r="O1173" s="1053">
        <v>8.4926999999999992</v>
      </c>
      <c r="P1173" s="1053">
        <v>1.2303999999999999</v>
      </c>
      <c r="Q1173" s="1053">
        <v>11.497400000000001</v>
      </c>
      <c r="R1173" s="1054">
        <f>'B. PE'!$U$23</f>
        <v>15.978235616082999</v>
      </c>
      <c r="S1173" s="1054"/>
      <c r="T1173" s="1054"/>
      <c r="V1173" s="1051">
        <v>43529</v>
      </c>
      <c r="W1173" s="198">
        <v>7.3787000000000003</v>
      </c>
      <c r="X1173" s="198">
        <v>0.53280000000000005</v>
      </c>
      <c r="Y1173" s="198">
        <v>6.0749000000000004</v>
      </c>
      <c r="Z1173" s="198">
        <v>0.31941999999999998</v>
      </c>
      <c r="AB1173" s="1051">
        <v>43481</v>
      </c>
      <c r="AC1173" s="198">
        <v>8.8539999999999992</v>
      </c>
      <c r="AD1173" s="1053">
        <v>1.6654</v>
      </c>
      <c r="AE1173" s="198">
        <v>7.6426999999999996</v>
      </c>
      <c r="AF1173" s="198">
        <v>3.4410000000000003E-2</v>
      </c>
      <c r="AH1173" s="1051">
        <v>43481</v>
      </c>
      <c r="AI1173" s="198">
        <v>7.1604000000000001</v>
      </c>
      <c r="AJ1173" s="198">
        <v>1.143</v>
      </c>
      <c r="AK1173" s="198">
        <v>3.9582999999999999</v>
      </c>
      <c r="AL1173" s="198">
        <v>1.187E-2</v>
      </c>
      <c r="AN1173" s="1051">
        <v>43489</v>
      </c>
      <c r="AO1173" s="198">
        <v>7.1524000000000001</v>
      </c>
      <c r="AP1173" s="198">
        <v>0.61229999999999996</v>
      </c>
      <c r="AQ1173" s="198">
        <v>4.1246999999999998</v>
      </c>
      <c r="AR1173" s="198">
        <v>0.11729000000000001</v>
      </c>
      <c r="AT1173" s="1051">
        <v>43406</v>
      </c>
      <c r="AW1173" s="198">
        <v>6.1498999999999997</v>
      </c>
      <c r="AX1173" s="198">
        <v>0.1159</v>
      </c>
      <c r="BA1173" s="1051">
        <v>43473</v>
      </c>
      <c r="BB1173" s="198">
        <v>7.3825000000000003</v>
      </c>
      <c r="BC1173" s="198">
        <v>1.5851999999999999</v>
      </c>
      <c r="BD1173" s="198">
        <v>8.0479000000000003</v>
      </c>
      <c r="BE1173" s="198">
        <v>0.30941000000000002</v>
      </c>
      <c r="BG1173" s="1051">
        <v>43473</v>
      </c>
      <c r="BH1173" s="198">
        <v>12.9244</v>
      </c>
      <c r="BI1173" s="198">
        <v>3.0215000000000001</v>
      </c>
      <c r="BJ1173" s="198">
        <v>16.1981</v>
      </c>
      <c r="BT1173" s="1051">
        <v>43529</v>
      </c>
      <c r="BU1173" s="198">
        <v>13.0617</v>
      </c>
      <c r="BV1173" s="198">
        <v>4.3341000000000003</v>
      </c>
      <c r="BW1173" s="198">
        <v>8.2764000000000006</v>
      </c>
      <c r="BX1173" s="198">
        <v>1.2577</v>
      </c>
      <c r="BZ1173" s="1051">
        <v>43529</v>
      </c>
      <c r="CA1173" s="198">
        <v>11.694100000000001</v>
      </c>
      <c r="CB1173" s="198">
        <v>3.5865999999999998</v>
      </c>
      <c r="CC1173" s="198">
        <v>13.194100000000001</v>
      </c>
      <c r="CD1173" s="198">
        <v>1.3368599999999999</v>
      </c>
      <c r="CF1173" s="1051">
        <v>43528</v>
      </c>
      <c r="CG1173" s="198">
        <v>5.9706999999999999</v>
      </c>
      <c r="CH1173" s="198">
        <v>1.1215999999999999</v>
      </c>
      <c r="CI1173" s="198">
        <v>9.6563999999999997</v>
      </c>
      <c r="CL1173" s="1051">
        <v>43549</v>
      </c>
      <c r="CM1173" s="198">
        <v>14.536799999999999</v>
      </c>
      <c r="CN1173" s="198">
        <v>2.1676000000000002</v>
      </c>
      <c r="CO1173" s="198">
        <v>10.789400000000001</v>
      </c>
    </row>
    <row r="1174" spans="1:93" s="198" customFormat="1">
      <c r="A1174" s="1051">
        <v>43528</v>
      </c>
      <c r="B1174" s="1052">
        <f t="shared" si="182"/>
        <v>8.4926999999999992</v>
      </c>
      <c r="C1174" s="1052">
        <f t="shared" si="184"/>
        <v>7.3056999999999999</v>
      </c>
      <c r="D1174" s="1052">
        <f t="shared" si="188"/>
        <v>8.1834000000000007</v>
      </c>
      <c r="E1174" s="1052">
        <f t="shared" si="189"/>
        <v>7.2618999999999998</v>
      </c>
      <c r="F1174" s="1052">
        <f t="shared" si="190"/>
        <v>14.099399999999999</v>
      </c>
      <c r="G1174" s="1052">
        <f t="shared" si="191"/>
        <v>8.5442</v>
      </c>
      <c r="H1174" s="1047">
        <f t="shared" si="185"/>
        <v>8.1834000000000007</v>
      </c>
      <c r="I1174" s="1048">
        <f t="shared" si="183"/>
        <v>3.7796026101620139E-2</v>
      </c>
      <c r="J1174" s="1048">
        <f t="shared" si="186"/>
        <v>0.12093838824177333</v>
      </c>
      <c r="K1174" s="1048">
        <f t="shared" si="187"/>
        <v>0.1</v>
      </c>
      <c r="L1174" s="1048"/>
      <c r="N1174" s="1051">
        <v>43528</v>
      </c>
      <c r="O1174" s="1053">
        <v>8.4926999999999992</v>
      </c>
      <c r="P1174" s="1053">
        <v>1.2303999999999999</v>
      </c>
      <c r="Q1174" s="1053">
        <v>11.497400000000001</v>
      </c>
      <c r="R1174" s="1054">
        <f>'B. PE'!$U$23</f>
        <v>15.978235616082999</v>
      </c>
      <c r="S1174" s="1054"/>
      <c r="T1174" s="1054"/>
      <c r="V1174" s="1051">
        <v>43528</v>
      </c>
      <c r="W1174" s="198">
        <v>7.3056999999999999</v>
      </c>
      <c r="X1174" s="198">
        <v>0.52759999999999996</v>
      </c>
      <c r="Y1174" s="198">
        <v>6.0483000000000002</v>
      </c>
      <c r="Z1174" s="198">
        <v>0.31747999999999998</v>
      </c>
      <c r="AB1174" s="1051">
        <v>43480</v>
      </c>
      <c r="AC1174" s="198">
        <v>9.2154000000000007</v>
      </c>
      <c r="AD1174" s="1053">
        <v>1.7334000000000001</v>
      </c>
      <c r="AE1174" s="198">
        <v>7.8464999999999998</v>
      </c>
      <c r="AF1174" s="198">
        <v>3.551E-2</v>
      </c>
      <c r="AH1174" s="1051">
        <v>43480</v>
      </c>
      <c r="AI1174" s="198">
        <v>7.2031000000000001</v>
      </c>
      <c r="AJ1174" s="198">
        <v>1.1497999999999999</v>
      </c>
      <c r="AK1174" s="198">
        <v>3.9790000000000001</v>
      </c>
      <c r="AL1174" s="198">
        <v>1.172E-2</v>
      </c>
      <c r="AN1174" s="1051">
        <v>43488</v>
      </c>
      <c r="AO1174" s="198">
        <v>7.0064000000000002</v>
      </c>
      <c r="AP1174" s="198">
        <v>0.5998</v>
      </c>
      <c r="AQ1174" s="198">
        <v>4.0027999999999997</v>
      </c>
      <c r="AR1174" s="198">
        <v>0.11771</v>
      </c>
      <c r="AT1174" s="1051">
        <v>43405</v>
      </c>
      <c r="AW1174" s="198">
        <v>6.1498999999999997</v>
      </c>
      <c r="AX1174" s="198">
        <v>0.11593000000000001</v>
      </c>
      <c r="BA1174" s="1051">
        <v>43472</v>
      </c>
      <c r="BB1174" s="198">
        <v>7.2701000000000002</v>
      </c>
      <c r="BC1174" s="198">
        <v>1.5610999999999999</v>
      </c>
      <c r="BD1174" s="198">
        <v>7.9626000000000001</v>
      </c>
      <c r="BE1174" s="198">
        <v>0.30585000000000001</v>
      </c>
      <c r="BG1174" s="1051">
        <v>43472</v>
      </c>
      <c r="BH1174" s="198">
        <v>12.9244</v>
      </c>
      <c r="BI1174" s="198">
        <v>3.0215000000000001</v>
      </c>
      <c r="BJ1174" s="198">
        <v>16.1981</v>
      </c>
      <c r="BT1174" s="1051">
        <v>43528</v>
      </c>
      <c r="BU1174" s="198">
        <v>13.2402</v>
      </c>
      <c r="BV1174" s="198">
        <v>4.3933999999999997</v>
      </c>
      <c r="BW1174" s="198">
        <v>8.3808000000000007</v>
      </c>
      <c r="BX1174" s="198">
        <v>1.2472000000000001</v>
      </c>
      <c r="BZ1174" s="1051">
        <v>43528</v>
      </c>
      <c r="CA1174" s="198">
        <v>11.752800000000001</v>
      </c>
      <c r="CB1174" s="198">
        <v>3.6046</v>
      </c>
      <c r="CC1174" s="198">
        <v>13.2384</v>
      </c>
      <c r="CD1174" s="198">
        <v>1.3363499999999999</v>
      </c>
      <c r="CF1174" s="1051">
        <v>43525</v>
      </c>
      <c r="CG1174" s="198">
        <v>6.1475999999999997</v>
      </c>
      <c r="CH1174" s="198">
        <v>1.1548</v>
      </c>
      <c r="CI1174" s="198">
        <v>9.7506000000000004</v>
      </c>
      <c r="CL1174" s="1051">
        <v>43546</v>
      </c>
      <c r="CM1174" s="198">
        <v>14.957599999999999</v>
      </c>
      <c r="CN1174" s="198">
        <v>2.2303000000000002</v>
      </c>
      <c r="CO1174" s="198">
        <v>11.1412</v>
      </c>
    </row>
    <row r="1175" spans="1:93" s="198" customFormat="1">
      <c r="A1175" s="1051">
        <v>43525</v>
      </c>
      <c r="B1175" s="1052">
        <f t="shared" si="182"/>
        <v>8.4926999999999992</v>
      </c>
      <c r="C1175" s="1052">
        <f t="shared" si="184"/>
        <v>7.1433</v>
      </c>
      <c r="D1175" s="1052">
        <f t="shared" si="188"/>
        <v>8.1834000000000007</v>
      </c>
      <c r="E1175" s="1052">
        <f t="shared" si="189"/>
        <v>7.0793999999999997</v>
      </c>
      <c r="F1175" s="1052">
        <f t="shared" si="190"/>
        <v>14.5266</v>
      </c>
      <c r="G1175" s="1052">
        <f t="shared" si="191"/>
        <v>8.4693000000000005</v>
      </c>
      <c r="H1175" s="1047">
        <f t="shared" si="185"/>
        <v>8.1834000000000007</v>
      </c>
      <c r="I1175" s="1048">
        <f t="shared" si="183"/>
        <v>3.7796026101620139E-2</v>
      </c>
      <c r="J1175" s="1048">
        <f t="shared" si="186"/>
        <v>0.12093838824177333</v>
      </c>
      <c r="K1175" s="1048">
        <f t="shared" si="187"/>
        <v>0.1</v>
      </c>
      <c r="L1175" s="1048"/>
      <c r="N1175" s="1051">
        <v>43525</v>
      </c>
      <c r="O1175" s="1053">
        <v>8.4926999999999992</v>
      </c>
      <c r="P1175" s="1053">
        <v>1.2303999999999999</v>
      </c>
      <c r="Q1175" s="1053">
        <v>11.497400000000001</v>
      </c>
      <c r="R1175" s="1054">
        <f>'B. PE'!$U$23</f>
        <v>15.978235616082999</v>
      </c>
      <c r="S1175" s="1054"/>
      <c r="T1175" s="1054"/>
      <c r="V1175" s="1051">
        <v>43525</v>
      </c>
      <c r="W1175" s="198">
        <v>7.1433</v>
      </c>
      <c r="X1175" s="198">
        <v>0.51580000000000004</v>
      </c>
      <c r="Y1175" s="198">
        <v>5.9889999999999999</v>
      </c>
      <c r="Z1175" s="198">
        <v>0.31929999999999997</v>
      </c>
      <c r="AB1175" s="1051">
        <v>43479</v>
      </c>
      <c r="AC1175" s="198">
        <v>8.7454999999999998</v>
      </c>
      <c r="AD1175" s="1053">
        <v>1.645</v>
      </c>
      <c r="AE1175" s="198">
        <v>7.5815000000000001</v>
      </c>
      <c r="AF1175" s="198">
        <v>3.4130000000000001E-2</v>
      </c>
      <c r="AH1175" s="1051">
        <v>43479</v>
      </c>
      <c r="AI1175" s="198">
        <v>7.1177999999999999</v>
      </c>
      <c r="AJ1175" s="198">
        <v>1.1362000000000001</v>
      </c>
      <c r="AK1175" s="198">
        <v>3.9377</v>
      </c>
      <c r="AL1175" s="198">
        <v>1.159E-2</v>
      </c>
      <c r="AN1175" s="1051">
        <v>43487</v>
      </c>
      <c r="AO1175" s="198">
        <v>7.0793999999999997</v>
      </c>
      <c r="AP1175" s="198">
        <v>0.60599999999999998</v>
      </c>
      <c r="AQ1175" s="198">
        <v>4.0636999999999999</v>
      </c>
      <c r="AR1175" s="198">
        <v>0.11792</v>
      </c>
      <c r="AT1175" s="1051">
        <v>43402</v>
      </c>
      <c r="AU1175" s="198">
        <v>8.1861999999999995</v>
      </c>
      <c r="AV1175" s="198">
        <v>0.53159999999999996</v>
      </c>
      <c r="AW1175" s="198">
        <v>6.1050000000000004</v>
      </c>
      <c r="AX1175" s="198">
        <v>0.11481</v>
      </c>
      <c r="BA1175" s="1051">
        <v>43469</v>
      </c>
      <c r="BB1175" s="198">
        <v>7.42</v>
      </c>
      <c r="BC1175" s="198">
        <v>1.5932999999999999</v>
      </c>
      <c r="BD1175" s="198">
        <v>8.0763999999999996</v>
      </c>
      <c r="BE1175" s="198">
        <v>0.30353000000000002</v>
      </c>
      <c r="BG1175" s="1051">
        <v>43469</v>
      </c>
      <c r="BH1175" s="198">
        <v>12.1767</v>
      </c>
      <c r="BI1175" s="198">
        <v>2.8466999999999998</v>
      </c>
      <c r="BJ1175" s="198">
        <v>15.5618</v>
      </c>
      <c r="BT1175" s="1051">
        <v>43525</v>
      </c>
      <c r="BU1175" s="198">
        <v>13.017099999999999</v>
      </c>
      <c r="BV1175" s="198">
        <v>4.3193000000000001</v>
      </c>
      <c r="BW1175" s="198">
        <v>8.2502999999999993</v>
      </c>
      <c r="BX1175" s="198">
        <v>1.2673000000000001</v>
      </c>
      <c r="BZ1175" s="1051">
        <v>43525</v>
      </c>
      <c r="CA1175" s="198">
        <v>12.0266</v>
      </c>
      <c r="CB1175" s="198">
        <v>3.6884999999999999</v>
      </c>
      <c r="CC1175" s="198">
        <v>13.444699999999999</v>
      </c>
      <c r="CD1175" s="198">
        <v>1.36459</v>
      </c>
      <c r="CF1175" s="1051">
        <v>43524</v>
      </c>
      <c r="CG1175" s="198">
        <v>5.7496</v>
      </c>
      <c r="CH1175" s="198">
        <v>1.0801000000000001</v>
      </c>
      <c r="CI1175" s="198">
        <v>9.5387000000000004</v>
      </c>
      <c r="CL1175" s="1051">
        <v>43545</v>
      </c>
      <c r="CM1175" s="198">
        <v>15.3911</v>
      </c>
      <c r="CN1175" s="198">
        <v>2.2949999999999999</v>
      </c>
      <c r="CO1175" s="198">
        <v>11.5036</v>
      </c>
    </row>
    <row r="1176" spans="1:93" s="198" customFormat="1">
      <c r="A1176" s="1051">
        <v>43524</v>
      </c>
      <c r="B1176" s="1052">
        <f t="shared" si="182"/>
        <v>8.5658999999999992</v>
      </c>
      <c r="C1176" s="1052">
        <f t="shared" si="184"/>
        <v>7.1028000000000002</v>
      </c>
      <c r="D1176" s="1052">
        <f t="shared" si="188"/>
        <v>8.2685999999999993</v>
      </c>
      <c r="E1176" s="1052">
        <f t="shared" si="189"/>
        <v>7.1889000000000003</v>
      </c>
      <c r="F1176" s="1052">
        <f t="shared" si="190"/>
        <v>14.6334</v>
      </c>
      <c r="G1176" s="1052">
        <f t="shared" si="191"/>
        <v>8.4693000000000005</v>
      </c>
      <c r="H1176" s="1047">
        <f t="shared" si="185"/>
        <v>8.2685999999999993</v>
      </c>
      <c r="I1176" s="1048">
        <f t="shared" si="183"/>
        <v>3.5955300776431276E-2</v>
      </c>
      <c r="J1176" s="1048">
        <f t="shared" si="186"/>
        <v>0.12093838824177333</v>
      </c>
      <c r="K1176" s="1048">
        <f t="shared" si="187"/>
        <v>0.1</v>
      </c>
      <c r="L1176" s="1048"/>
      <c r="N1176" s="1051">
        <v>43524</v>
      </c>
      <c r="O1176" s="1053">
        <v>8.5658999999999992</v>
      </c>
      <c r="P1176" s="1053">
        <v>1.2410000000000001</v>
      </c>
      <c r="Q1176" s="1053">
        <v>11.552</v>
      </c>
      <c r="R1176" s="1054">
        <f>'B. PE'!$U$23</f>
        <v>15.978235616082999</v>
      </c>
      <c r="S1176" s="1054"/>
      <c r="T1176" s="1054"/>
      <c r="V1176" s="1051">
        <v>43524</v>
      </c>
      <c r="W1176" s="198">
        <v>7.1028000000000002</v>
      </c>
      <c r="X1176" s="198">
        <v>0.51290000000000002</v>
      </c>
      <c r="Y1176" s="198">
        <v>5.9741999999999997</v>
      </c>
      <c r="Z1176" s="198">
        <v>0.32106000000000001</v>
      </c>
      <c r="AB1176" s="1051">
        <v>43476</v>
      </c>
      <c r="AC1176" s="198">
        <v>9.0347000000000008</v>
      </c>
      <c r="AD1176" s="1053">
        <v>1.6994</v>
      </c>
      <c r="AE1176" s="198">
        <v>7.7446000000000002</v>
      </c>
      <c r="AF1176" s="198">
        <v>3.3919999999999999E-2</v>
      </c>
      <c r="AH1176" s="1051">
        <v>43476</v>
      </c>
      <c r="AI1176" s="198">
        <v>7.0326000000000004</v>
      </c>
      <c r="AJ1176" s="198">
        <v>1.1225000000000001</v>
      </c>
      <c r="AK1176" s="198">
        <v>3.8965000000000001</v>
      </c>
      <c r="AL1176" s="198">
        <v>1.136E-2</v>
      </c>
      <c r="AN1176" s="1051">
        <v>43483</v>
      </c>
      <c r="AO1176" s="198">
        <v>7.0793999999999997</v>
      </c>
      <c r="AP1176" s="198">
        <v>0.60599999999999998</v>
      </c>
      <c r="AQ1176" s="198">
        <v>4.0636999999999999</v>
      </c>
      <c r="AR1176" s="198">
        <v>0.11565</v>
      </c>
      <c r="BA1176" s="1051">
        <v>43468</v>
      </c>
      <c r="BB1176" s="198">
        <v>7.3825000000000003</v>
      </c>
      <c r="BC1176" s="198">
        <v>1.5851999999999999</v>
      </c>
      <c r="BD1176" s="198">
        <v>8.0479000000000003</v>
      </c>
      <c r="BE1176" s="198">
        <v>0.30112</v>
      </c>
      <c r="BG1176" s="1051">
        <v>43468</v>
      </c>
      <c r="BH1176" s="198">
        <v>12.2835</v>
      </c>
      <c r="BI1176" s="198">
        <v>2.8715999999999999</v>
      </c>
      <c r="BJ1176" s="198">
        <v>15.652699999999999</v>
      </c>
      <c r="BT1176" s="1051">
        <v>43524</v>
      </c>
      <c r="BU1176" s="198">
        <v>12.9129</v>
      </c>
      <c r="BV1176" s="198">
        <v>4.2847999999999997</v>
      </c>
      <c r="BW1176" s="198">
        <v>8.1893999999999991</v>
      </c>
      <c r="BX1176" s="198">
        <v>1.2714000000000001</v>
      </c>
      <c r="BZ1176" s="1051">
        <v>43524</v>
      </c>
      <c r="CA1176" s="198">
        <v>12.0266</v>
      </c>
      <c r="CB1176" s="198">
        <v>3.6884999999999999</v>
      </c>
      <c r="CC1176" s="198">
        <v>13.444699999999999</v>
      </c>
      <c r="CD1176" s="198">
        <v>1.3339399999999999</v>
      </c>
      <c r="CF1176" s="1051">
        <v>43523</v>
      </c>
      <c r="CG1176" s="198">
        <v>5.3072999999999997</v>
      </c>
      <c r="CH1176" s="198">
        <v>0.997</v>
      </c>
      <c r="CI1176" s="198">
        <v>9.3033000000000001</v>
      </c>
      <c r="CL1176" s="1051">
        <v>43544</v>
      </c>
      <c r="CM1176" s="198">
        <v>15.289099999999999</v>
      </c>
      <c r="CN1176" s="198">
        <v>2.2797999999999998</v>
      </c>
      <c r="CO1176" s="198">
        <v>11.4183</v>
      </c>
    </row>
    <row r="1177" spans="1:93" s="198" customFormat="1">
      <c r="A1177" s="1051">
        <v>43523</v>
      </c>
      <c r="B1177" s="1052">
        <f t="shared" si="182"/>
        <v>8.7489000000000008</v>
      </c>
      <c r="C1177" s="1052">
        <f t="shared" si="184"/>
        <v>7.1433</v>
      </c>
      <c r="D1177" s="1052">
        <f t="shared" si="188"/>
        <v>8.4390999999999998</v>
      </c>
      <c r="E1177" s="1052">
        <f t="shared" si="189"/>
        <v>7.2253999999999996</v>
      </c>
      <c r="F1177" s="1052">
        <f t="shared" si="190"/>
        <v>14.953900000000001</v>
      </c>
      <c r="G1177" s="1052">
        <f t="shared" si="191"/>
        <v>8.6191999999999993</v>
      </c>
      <c r="H1177" s="1047">
        <f t="shared" si="185"/>
        <v>8.4390999999999998</v>
      </c>
      <c r="I1177" s="1048">
        <f t="shared" si="183"/>
        <v>3.6710075718974888E-2</v>
      </c>
      <c r="J1177" s="1048">
        <f t="shared" si="186"/>
        <v>0.12093838824177333</v>
      </c>
      <c r="K1177" s="1048">
        <f t="shared" si="187"/>
        <v>0.1</v>
      </c>
      <c r="L1177" s="1048"/>
      <c r="N1177" s="1051">
        <v>43523</v>
      </c>
      <c r="O1177" s="1053">
        <v>8.7489000000000008</v>
      </c>
      <c r="P1177" s="1053">
        <v>1.2676000000000001</v>
      </c>
      <c r="Q1177" s="1053">
        <v>11.688599999999999</v>
      </c>
      <c r="R1177" s="1054">
        <f>'B. PE'!$U$23</f>
        <v>15.978235616082999</v>
      </c>
      <c r="S1177" s="1054"/>
      <c r="T1177" s="1054"/>
      <c r="V1177" s="1051">
        <v>43523</v>
      </c>
      <c r="W1177" s="198">
        <v>7.1433</v>
      </c>
      <c r="X1177" s="198">
        <v>0.51580000000000004</v>
      </c>
      <c r="Y1177" s="198">
        <v>5.9889999999999999</v>
      </c>
      <c r="Z1177" s="198">
        <v>0.32088</v>
      </c>
      <c r="AB1177" s="1051">
        <v>43475</v>
      </c>
      <c r="AC1177" s="198">
        <v>8.6732999999999993</v>
      </c>
      <c r="AD1177" s="1053">
        <v>1.6314</v>
      </c>
      <c r="AE1177" s="198">
        <v>7.5407999999999999</v>
      </c>
      <c r="AF1177" s="198">
        <v>3.4770000000000002E-2</v>
      </c>
      <c r="AH1177" s="1051">
        <v>43475</v>
      </c>
      <c r="AI1177" s="198">
        <v>6.9473000000000003</v>
      </c>
      <c r="AJ1177" s="198">
        <v>1.1089</v>
      </c>
      <c r="AK1177" s="198">
        <v>3.8552</v>
      </c>
      <c r="AL1177" s="198">
        <v>1.128E-2</v>
      </c>
      <c r="AN1177" s="1051">
        <v>43482</v>
      </c>
      <c r="AO1177" s="198">
        <v>7.0793999999999997</v>
      </c>
      <c r="AP1177" s="198">
        <v>0.60599999999999998</v>
      </c>
      <c r="AQ1177" s="198">
        <v>4.0636999999999999</v>
      </c>
      <c r="AR1177" s="198">
        <v>0.11626</v>
      </c>
      <c r="BA1177" s="1051">
        <v>43467</v>
      </c>
      <c r="BB1177" s="198">
        <v>7.3449999999999998</v>
      </c>
      <c r="BC1177" s="198">
        <v>1.5771999999999999</v>
      </c>
      <c r="BD1177" s="198">
        <v>8.0195000000000007</v>
      </c>
      <c r="BE1177" s="198">
        <v>0.29349999999999998</v>
      </c>
      <c r="BG1177" s="1051">
        <v>43467</v>
      </c>
      <c r="BH1177" s="198">
        <v>12.2835</v>
      </c>
      <c r="BI1177" s="198">
        <v>2.8715999999999999</v>
      </c>
      <c r="BJ1177" s="198">
        <v>15.652699999999999</v>
      </c>
      <c r="BT1177" s="1051">
        <v>43523</v>
      </c>
      <c r="BU1177" s="198">
        <v>13.1212</v>
      </c>
      <c r="BV1177" s="198">
        <v>4.3539000000000003</v>
      </c>
      <c r="BW1177" s="198">
        <v>8.3111999999999995</v>
      </c>
      <c r="BX1177" s="198">
        <v>1.2865</v>
      </c>
      <c r="BZ1177" s="1051">
        <v>43523</v>
      </c>
      <c r="CA1177" s="198">
        <v>12.280799999999999</v>
      </c>
      <c r="CB1177" s="198">
        <v>3.7665000000000002</v>
      </c>
      <c r="CC1177" s="198">
        <v>13.6364</v>
      </c>
      <c r="CD1177" s="198">
        <v>1.31148</v>
      </c>
      <c r="CF1177" s="1051">
        <v>43522</v>
      </c>
      <c r="CG1177" s="198">
        <v>5.7496</v>
      </c>
      <c r="CH1177" s="198">
        <v>1.0801000000000001</v>
      </c>
      <c r="CI1177" s="198">
        <v>9.5387000000000004</v>
      </c>
      <c r="CL1177" s="1051">
        <v>43543</v>
      </c>
      <c r="CM1177" s="198">
        <v>15.607900000000001</v>
      </c>
      <c r="CN1177" s="198">
        <v>2.3273000000000001</v>
      </c>
      <c r="CO1177" s="198">
        <v>11.684799999999999</v>
      </c>
    </row>
    <row r="1178" spans="1:93" s="198" customFormat="1">
      <c r="A1178" s="1051">
        <v>43522</v>
      </c>
      <c r="B1178" s="1052">
        <f t="shared" si="182"/>
        <v>8.7855000000000008</v>
      </c>
      <c r="C1178" s="1052">
        <f t="shared" si="184"/>
        <v>7.1839000000000004</v>
      </c>
      <c r="D1178" s="1052">
        <f t="shared" si="188"/>
        <v>8.4817</v>
      </c>
      <c r="E1178" s="1052">
        <f t="shared" si="189"/>
        <v>7.1889000000000003</v>
      </c>
      <c r="F1178" s="1052">
        <f t="shared" si="190"/>
        <v>14.5266</v>
      </c>
      <c r="G1178" s="1052">
        <f t="shared" si="191"/>
        <v>8.6191999999999993</v>
      </c>
      <c r="H1178" s="1047">
        <f t="shared" si="185"/>
        <v>8.4817</v>
      </c>
      <c r="I1178" s="1048">
        <f t="shared" si="183"/>
        <v>3.5818291144463998E-2</v>
      </c>
      <c r="J1178" s="1048">
        <f t="shared" si="186"/>
        <v>0.12093838824177333</v>
      </c>
      <c r="K1178" s="1048">
        <f t="shared" si="187"/>
        <v>0.1</v>
      </c>
      <c r="L1178" s="1048"/>
      <c r="N1178" s="1051">
        <v>43522</v>
      </c>
      <c r="O1178" s="1053">
        <v>8.7855000000000008</v>
      </c>
      <c r="P1178" s="1053">
        <v>1.2728999999999999</v>
      </c>
      <c r="Q1178" s="1053">
        <v>11.7159</v>
      </c>
      <c r="R1178" s="1054">
        <f>'B. PE'!$U$23</f>
        <v>15.978235616082999</v>
      </c>
      <c r="S1178" s="1054"/>
      <c r="T1178" s="1054"/>
      <c r="V1178" s="1051">
        <v>43522</v>
      </c>
      <c r="W1178" s="198">
        <v>7.1839000000000004</v>
      </c>
      <c r="X1178" s="198">
        <v>0.51880000000000004</v>
      </c>
      <c r="Y1178" s="198">
        <v>6.0038</v>
      </c>
      <c r="Z1178" s="198">
        <v>0.31941000000000003</v>
      </c>
      <c r="AB1178" s="1051">
        <v>43474</v>
      </c>
      <c r="AC1178" s="198">
        <v>8.6371000000000002</v>
      </c>
      <c r="AD1178" s="1053">
        <v>1.6246</v>
      </c>
      <c r="AE1178" s="198">
        <v>7.5204000000000004</v>
      </c>
      <c r="AF1178" s="198">
        <v>3.5499999999999997E-2</v>
      </c>
      <c r="AH1178" s="1051">
        <v>43474</v>
      </c>
      <c r="AI1178" s="198">
        <v>6.8194999999999997</v>
      </c>
      <c r="AJ1178" s="198">
        <v>1.0885</v>
      </c>
      <c r="AK1178" s="198">
        <v>3.7934000000000001</v>
      </c>
      <c r="AL1178" s="198">
        <v>1.1429999999999999E-2</v>
      </c>
      <c r="AN1178" s="1051">
        <v>43481</v>
      </c>
      <c r="AO1178" s="198">
        <v>6.9333999999999998</v>
      </c>
      <c r="AP1178" s="198">
        <v>0.59360000000000002</v>
      </c>
      <c r="AQ1178" s="198">
        <v>3.9419</v>
      </c>
      <c r="AR1178" s="198">
        <v>0.11652999999999999</v>
      </c>
      <c r="BA1178" s="1051">
        <v>43462</v>
      </c>
      <c r="BB1178" s="198">
        <v>7.3449999999999998</v>
      </c>
      <c r="BC1178" s="198">
        <v>1.5771999999999999</v>
      </c>
      <c r="BD1178" s="198">
        <v>8.0195000000000007</v>
      </c>
      <c r="BE1178" s="198">
        <v>0.30064000000000002</v>
      </c>
      <c r="BG1178" s="1051">
        <v>43462</v>
      </c>
      <c r="BH1178" s="198">
        <v>12.1767</v>
      </c>
      <c r="BI1178" s="198">
        <v>2.8466999999999998</v>
      </c>
      <c r="BJ1178" s="198">
        <v>15.5618</v>
      </c>
      <c r="BT1178" s="1051">
        <v>43522</v>
      </c>
      <c r="BU1178" s="198">
        <v>13.165800000000001</v>
      </c>
      <c r="BV1178" s="198">
        <v>4.3686999999999996</v>
      </c>
      <c r="BW1178" s="198">
        <v>8.3373000000000008</v>
      </c>
      <c r="BX1178" s="198">
        <v>1.2778</v>
      </c>
      <c r="BZ1178" s="1051">
        <v>43522</v>
      </c>
      <c r="CA1178" s="198">
        <v>12.007</v>
      </c>
      <c r="CB1178" s="198">
        <v>3.6825000000000001</v>
      </c>
      <c r="CC1178" s="198">
        <v>13.43</v>
      </c>
      <c r="CD1178" s="198">
        <v>1.30491</v>
      </c>
      <c r="CF1178" s="1051">
        <v>43521</v>
      </c>
      <c r="CG1178" s="198">
        <v>6.1475999999999997</v>
      </c>
      <c r="CH1178" s="198">
        <v>1.1548</v>
      </c>
      <c r="CI1178" s="198">
        <v>9.7506000000000004</v>
      </c>
      <c r="CL1178" s="1051">
        <v>43542</v>
      </c>
      <c r="CM1178" s="198">
        <v>15.556900000000001</v>
      </c>
      <c r="CN1178" s="198">
        <v>2.3197000000000001</v>
      </c>
      <c r="CO1178" s="198">
        <v>11.642200000000001</v>
      </c>
    </row>
    <row r="1179" spans="1:93" s="198" customFormat="1">
      <c r="A1179" s="1051">
        <v>43521</v>
      </c>
      <c r="B1179" s="1052">
        <f t="shared" si="182"/>
        <v>8.8770000000000007</v>
      </c>
      <c r="C1179" s="1052">
        <f t="shared" si="184"/>
        <v>7.1839000000000004</v>
      </c>
      <c r="D1179" s="1052">
        <f t="shared" si="188"/>
        <v>8.1834000000000007</v>
      </c>
      <c r="E1179" s="1052">
        <f t="shared" si="189"/>
        <v>7.1889000000000003</v>
      </c>
      <c r="F1179" s="1052">
        <f t="shared" si="190"/>
        <v>14.5266</v>
      </c>
      <c r="G1179" s="1052">
        <f t="shared" si="191"/>
        <v>8.8439999999999994</v>
      </c>
      <c r="H1179" s="1047">
        <f t="shared" si="185"/>
        <v>8.1834000000000007</v>
      </c>
      <c r="I1179" s="1048">
        <f t="shared" si="183"/>
        <v>8.4756946990248494E-2</v>
      </c>
      <c r="J1179" s="1048">
        <f t="shared" si="186"/>
        <v>0.12093838824177333</v>
      </c>
      <c r="K1179" s="1048">
        <f t="shared" si="187"/>
        <v>0.1</v>
      </c>
      <c r="L1179" s="1048"/>
      <c r="N1179" s="1051">
        <v>43521</v>
      </c>
      <c r="O1179" s="1053">
        <v>8.8770000000000007</v>
      </c>
      <c r="P1179" s="1053">
        <v>1.2861</v>
      </c>
      <c r="Q1179" s="1053">
        <v>11.7843</v>
      </c>
      <c r="R1179" s="1054">
        <f>'B. PE'!$U$23</f>
        <v>15.978235616082999</v>
      </c>
      <c r="S1179" s="1054"/>
      <c r="T1179" s="1054"/>
      <c r="V1179" s="1051">
        <v>43521</v>
      </c>
      <c r="W1179" s="198">
        <v>7.1839000000000004</v>
      </c>
      <c r="X1179" s="198">
        <v>0.51880000000000004</v>
      </c>
      <c r="Y1179" s="198">
        <v>6.0038</v>
      </c>
      <c r="Z1179" s="198">
        <v>0.31928000000000001</v>
      </c>
      <c r="AB1179" s="1051">
        <v>43473</v>
      </c>
      <c r="AC1179" s="198">
        <v>8.8539999999999992</v>
      </c>
      <c r="AD1179" s="1053">
        <v>1.6654</v>
      </c>
      <c r="AE1179" s="198">
        <v>7.6426999999999996</v>
      </c>
      <c r="AF1179" s="198">
        <v>3.4329999999999999E-2</v>
      </c>
      <c r="AH1179" s="1051">
        <v>43473</v>
      </c>
      <c r="AI1179" s="198">
        <v>6.7769000000000004</v>
      </c>
      <c r="AJ1179" s="198">
        <v>1.0817000000000001</v>
      </c>
      <c r="AK1179" s="198">
        <v>3.7726999999999999</v>
      </c>
      <c r="AL1179" s="198">
        <v>1.133E-2</v>
      </c>
      <c r="AN1179" s="1051">
        <v>43480</v>
      </c>
      <c r="AO1179" s="198">
        <v>6.9699</v>
      </c>
      <c r="AP1179" s="198">
        <v>0.59670000000000001</v>
      </c>
      <c r="AQ1179" s="198">
        <v>3.9723000000000002</v>
      </c>
      <c r="AR1179" s="198">
        <v>0.11723</v>
      </c>
      <c r="BA1179" s="1051">
        <v>43461</v>
      </c>
      <c r="BB1179" s="198">
        <v>8.3016000000000005</v>
      </c>
      <c r="BC1179" s="198">
        <v>1.6496</v>
      </c>
      <c r="BD1179" s="198">
        <v>9.7279999999999998</v>
      </c>
      <c r="BE1179" s="198">
        <v>0.30088999999999999</v>
      </c>
      <c r="BG1179" s="1051">
        <v>43461</v>
      </c>
      <c r="BH1179" s="198">
        <v>12.666700000000001</v>
      </c>
      <c r="BI1179" s="198">
        <v>3.0445000000000002</v>
      </c>
      <c r="BJ1179" s="198">
        <v>15.7585</v>
      </c>
      <c r="BT1179" s="1051">
        <v>43521</v>
      </c>
      <c r="BU1179" s="198">
        <v>13.329499999999999</v>
      </c>
      <c r="BV1179" s="198">
        <v>4.423</v>
      </c>
      <c r="BW1179" s="198">
        <v>8.4329999999999998</v>
      </c>
      <c r="BX1179" s="198">
        <v>1.2628999999999999</v>
      </c>
      <c r="BZ1179" s="1051">
        <v>43521</v>
      </c>
      <c r="CA1179" s="198">
        <v>11.811500000000001</v>
      </c>
      <c r="CB1179" s="198">
        <v>3.6225999999999998</v>
      </c>
      <c r="CC1179" s="198">
        <v>13.2826</v>
      </c>
      <c r="CD1179" s="198">
        <v>1.3058700000000001</v>
      </c>
      <c r="CF1179" s="1051">
        <v>43518</v>
      </c>
      <c r="CG1179" s="198">
        <v>6.1475999999999997</v>
      </c>
      <c r="CH1179" s="198">
        <v>1.1548</v>
      </c>
      <c r="CI1179" s="198">
        <v>9.7506000000000004</v>
      </c>
      <c r="CL1179" s="1051">
        <v>43539</v>
      </c>
      <c r="CM1179" s="198">
        <v>15.4421</v>
      </c>
      <c r="CN1179" s="198">
        <v>2.3026</v>
      </c>
      <c r="CO1179" s="198">
        <v>11.546200000000001</v>
      </c>
    </row>
    <row r="1180" spans="1:93" s="198" customFormat="1">
      <c r="A1180" s="1051">
        <v>43518</v>
      </c>
      <c r="B1180" s="1052">
        <f t="shared" si="182"/>
        <v>8.8953000000000007</v>
      </c>
      <c r="C1180" s="1052">
        <f t="shared" si="184"/>
        <v>7.1515000000000004</v>
      </c>
      <c r="D1180" s="1052">
        <f t="shared" si="188"/>
        <v>7.6292999999999997</v>
      </c>
      <c r="E1180" s="1052">
        <f t="shared" si="189"/>
        <v>7.2984</v>
      </c>
      <c r="F1180" s="1052">
        <f t="shared" si="190"/>
        <v>14.4198</v>
      </c>
      <c r="G1180" s="1052">
        <f t="shared" si="191"/>
        <v>8.5442</v>
      </c>
      <c r="H1180" s="1047">
        <f t="shared" si="185"/>
        <v>7.6292999999999997</v>
      </c>
      <c r="I1180" s="1048">
        <f t="shared" si="183"/>
        <v>0.16593920805316364</v>
      </c>
      <c r="J1180" s="1048">
        <f t="shared" si="186"/>
        <v>0.12093838824177333</v>
      </c>
      <c r="K1180" s="1048">
        <f t="shared" si="187"/>
        <v>0.1</v>
      </c>
      <c r="L1180" s="1048"/>
      <c r="N1180" s="1051">
        <v>43518</v>
      </c>
      <c r="O1180" s="1053">
        <v>8.8953000000000007</v>
      </c>
      <c r="P1180" s="1053">
        <v>1.2887999999999999</v>
      </c>
      <c r="Q1180" s="1053">
        <v>11.7979</v>
      </c>
      <c r="R1180" s="1054">
        <f>'B. PE'!$U$23</f>
        <v>15.978235616082999</v>
      </c>
      <c r="S1180" s="1054"/>
      <c r="T1180" s="1054"/>
      <c r="V1180" s="1051">
        <v>43518</v>
      </c>
      <c r="W1180" s="198">
        <v>7.1515000000000004</v>
      </c>
      <c r="X1180" s="198">
        <v>0.51639999999999997</v>
      </c>
      <c r="Y1180" s="198">
        <v>5.992</v>
      </c>
      <c r="Z1180" s="198">
        <v>0.31929999999999997</v>
      </c>
      <c r="AB1180" s="1051">
        <v>43472</v>
      </c>
      <c r="AC1180" s="198">
        <v>9.0347000000000008</v>
      </c>
      <c r="AD1180" s="1053">
        <v>1.6994</v>
      </c>
      <c r="AE1180" s="198">
        <v>7.7446000000000002</v>
      </c>
      <c r="AF1180" s="198">
        <v>3.1870000000000002E-2</v>
      </c>
      <c r="AH1180" s="1051">
        <v>43472</v>
      </c>
      <c r="AI1180" s="198">
        <v>6.8620999999999999</v>
      </c>
      <c r="AJ1180" s="198">
        <v>1.0952999999999999</v>
      </c>
      <c r="AK1180" s="198">
        <v>3.8140000000000001</v>
      </c>
      <c r="AL1180" s="198">
        <v>1.1480000000000001E-2</v>
      </c>
      <c r="AN1180" s="1051">
        <v>43479</v>
      </c>
      <c r="AO1180" s="198">
        <v>6.9699</v>
      </c>
      <c r="AP1180" s="198">
        <v>0.59670000000000001</v>
      </c>
      <c r="AQ1180" s="198">
        <v>3.9723000000000002</v>
      </c>
      <c r="AR1180" s="198">
        <v>0.11673</v>
      </c>
      <c r="BA1180" s="1051">
        <v>43460</v>
      </c>
      <c r="BB1180" s="198">
        <v>8.5189000000000004</v>
      </c>
      <c r="BC1180" s="198">
        <v>1.6927000000000001</v>
      </c>
      <c r="BD1180" s="198">
        <v>9.8953000000000007</v>
      </c>
      <c r="BE1180" s="198">
        <v>0.30252000000000001</v>
      </c>
      <c r="BG1180" s="1051">
        <v>43460</v>
      </c>
      <c r="BH1180" s="198">
        <v>12.666700000000001</v>
      </c>
      <c r="BI1180" s="198">
        <v>3.0445000000000002</v>
      </c>
      <c r="BJ1180" s="198">
        <v>15.7585</v>
      </c>
      <c r="BT1180" s="1051">
        <v>43518</v>
      </c>
      <c r="BU1180" s="198">
        <v>13.2402</v>
      </c>
      <c r="BV1180" s="198">
        <v>4.3933999999999997</v>
      </c>
      <c r="BW1180" s="198">
        <v>8.3808000000000007</v>
      </c>
      <c r="BX1180" s="198">
        <v>1.2515000000000001</v>
      </c>
      <c r="BZ1180" s="1051">
        <v>43518</v>
      </c>
      <c r="CA1180" s="198">
        <v>11.752800000000001</v>
      </c>
      <c r="CB1180" s="198">
        <v>3.6046</v>
      </c>
      <c r="CC1180" s="198">
        <v>13.2384</v>
      </c>
      <c r="CD1180" s="198">
        <v>1.35808</v>
      </c>
      <c r="CF1180" s="1051">
        <v>43517</v>
      </c>
      <c r="CI1180" s="198">
        <v>9.7742000000000004</v>
      </c>
      <c r="CL1180" s="1051">
        <v>43538</v>
      </c>
      <c r="CM1180" s="198">
        <v>15.467599999999999</v>
      </c>
      <c r="CN1180" s="198">
        <v>2.3064</v>
      </c>
      <c r="CO1180" s="198">
        <v>11.567500000000001</v>
      </c>
    </row>
    <row r="1181" spans="1:93" s="198" customFormat="1">
      <c r="A1181" s="1051">
        <v>43517</v>
      </c>
      <c r="B1181" s="1052">
        <f t="shared" ref="B1181:B1212" si="192">O1181</f>
        <v>8.6757000000000009</v>
      </c>
      <c r="C1181" s="1052">
        <f t="shared" ref="C1181:C1212" si="193">IF(W1181=0,W1180,W1181)</f>
        <v>7.1433</v>
      </c>
      <c r="D1181" s="1052">
        <f t="shared" si="188"/>
        <v>7.5014000000000003</v>
      </c>
      <c r="E1181" s="1052">
        <f t="shared" si="189"/>
        <v>7.2984</v>
      </c>
      <c r="F1181" s="1052">
        <f t="shared" si="190"/>
        <v>14.206200000000001</v>
      </c>
      <c r="G1181" s="1052">
        <f t="shared" si="191"/>
        <v>8.3942999999999994</v>
      </c>
      <c r="H1181" s="1047">
        <f t="shared" si="185"/>
        <v>7.5014000000000003</v>
      </c>
      <c r="I1181" s="1048">
        <f t="shared" si="183"/>
        <v>0.15654411176580374</v>
      </c>
      <c r="J1181" s="1048">
        <f t="shared" si="186"/>
        <v>0.12093838824177333</v>
      </c>
      <c r="K1181" s="1048">
        <f t="shared" si="187"/>
        <v>0.1</v>
      </c>
      <c r="L1181" s="1048"/>
      <c r="N1181" s="1051">
        <v>43517</v>
      </c>
      <c r="O1181" s="1053">
        <v>8.6757000000000009</v>
      </c>
      <c r="P1181" s="1053">
        <v>1.2568999999999999</v>
      </c>
      <c r="Q1181" s="1053">
        <v>11.634</v>
      </c>
      <c r="R1181" s="1054">
        <f>'B. PE'!$U$23</f>
        <v>15.978235616082999</v>
      </c>
      <c r="S1181" s="1054"/>
      <c r="T1181" s="1054"/>
      <c r="V1181" s="1051">
        <v>43517</v>
      </c>
      <c r="W1181" s="198">
        <v>7.1433</v>
      </c>
      <c r="X1181" s="198">
        <v>0.51580000000000004</v>
      </c>
      <c r="Y1181" s="198">
        <v>5.9889999999999999</v>
      </c>
      <c r="Z1181" s="198">
        <v>0.31796999999999997</v>
      </c>
      <c r="AB1181" s="1051">
        <v>43469</v>
      </c>
      <c r="AC1181" s="198">
        <v>8.8178000000000001</v>
      </c>
      <c r="AD1181" s="1053">
        <v>1.6586000000000001</v>
      </c>
      <c r="AE1181" s="198">
        <v>7.6223000000000001</v>
      </c>
      <c r="AF1181" s="198">
        <v>3.0540000000000001E-2</v>
      </c>
      <c r="AH1181" s="1051">
        <v>43469</v>
      </c>
      <c r="AI1181" s="198">
        <v>6.8620999999999999</v>
      </c>
      <c r="AJ1181" s="198">
        <v>1.0952999999999999</v>
      </c>
      <c r="AK1181" s="198">
        <v>3.8140000000000001</v>
      </c>
      <c r="AL1181" s="198">
        <v>1.1730000000000001E-2</v>
      </c>
      <c r="AN1181" s="1051">
        <v>43476</v>
      </c>
      <c r="AO1181" s="198">
        <v>7.0064000000000002</v>
      </c>
      <c r="AP1181" s="198">
        <v>0.5998</v>
      </c>
      <c r="AQ1181" s="198">
        <v>4.0027999999999997</v>
      </c>
      <c r="BA1181" s="1051">
        <v>43459</v>
      </c>
      <c r="BB1181" s="198">
        <v>8.5189000000000004</v>
      </c>
      <c r="BC1181" s="198">
        <v>1.6927000000000001</v>
      </c>
      <c r="BD1181" s="198">
        <v>9.8953000000000007</v>
      </c>
      <c r="BE1181" s="198">
        <v>0.30325000000000002</v>
      </c>
      <c r="BG1181" s="1051">
        <v>43459</v>
      </c>
      <c r="BH1181" s="198">
        <v>12.666700000000001</v>
      </c>
      <c r="BI1181" s="198">
        <v>3.0445000000000002</v>
      </c>
      <c r="BJ1181" s="198">
        <v>15.7585</v>
      </c>
      <c r="BT1181" s="1051">
        <v>43517</v>
      </c>
      <c r="BU1181" s="198">
        <v>13.076599999999999</v>
      </c>
      <c r="BV1181" s="198">
        <v>4.3391000000000002</v>
      </c>
      <c r="BW1181" s="198">
        <v>8.2850999999999999</v>
      </c>
      <c r="BX1181" s="198">
        <v>1.2504999999999999</v>
      </c>
      <c r="BZ1181" s="1051">
        <v>43517</v>
      </c>
      <c r="CA1181" s="198">
        <v>11.752800000000001</v>
      </c>
      <c r="CB1181" s="198">
        <v>3.6046</v>
      </c>
      <c r="CC1181" s="198">
        <v>13.2384</v>
      </c>
      <c r="CD1181" s="198">
        <v>1.3651199999999999</v>
      </c>
      <c r="CF1181" s="1051">
        <v>43516</v>
      </c>
      <c r="CG1181" s="198">
        <v>6.1919000000000004</v>
      </c>
      <c r="CH1181" s="198">
        <v>1.1632</v>
      </c>
      <c r="CI1181" s="198">
        <v>9.7742000000000004</v>
      </c>
      <c r="CL1181" s="1051">
        <v>43537</v>
      </c>
      <c r="CM1181" s="198">
        <v>15.518599999999999</v>
      </c>
      <c r="CN1181" s="198">
        <v>2.3140000000000001</v>
      </c>
      <c r="CO1181" s="198">
        <v>11.610200000000001</v>
      </c>
    </row>
    <row r="1182" spans="1:93" s="198" customFormat="1">
      <c r="A1182" s="1051">
        <v>43516</v>
      </c>
      <c r="B1182" s="1052">
        <f t="shared" si="192"/>
        <v>8.6757000000000009</v>
      </c>
      <c r="C1182" s="1052">
        <f t="shared" si="193"/>
        <v>7.1433</v>
      </c>
      <c r="D1182" s="1052">
        <f t="shared" si="188"/>
        <v>7.7145000000000001</v>
      </c>
      <c r="E1182" s="1052">
        <f t="shared" si="189"/>
        <v>7.2984</v>
      </c>
      <c r="F1182" s="1052">
        <f t="shared" si="190"/>
        <v>13.458500000000001</v>
      </c>
      <c r="G1182" s="1052">
        <f t="shared" si="191"/>
        <v>7.7198000000000002</v>
      </c>
      <c r="H1182" s="1047">
        <f t="shared" si="185"/>
        <v>7.7145000000000001</v>
      </c>
      <c r="I1182" s="1048">
        <f t="shared" si="183"/>
        <v>0.12459653898502832</v>
      </c>
      <c r="J1182" s="1048">
        <f t="shared" si="186"/>
        <v>0.12093838824177333</v>
      </c>
      <c r="K1182" s="1048">
        <f t="shared" si="187"/>
        <v>0.1</v>
      </c>
      <c r="L1182" s="1048"/>
      <c r="N1182" s="1051">
        <v>43516</v>
      </c>
      <c r="O1182" s="1053">
        <v>8.6757000000000009</v>
      </c>
      <c r="P1182" s="1053">
        <v>1.2568999999999999</v>
      </c>
      <c r="Q1182" s="1053">
        <v>11.634</v>
      </c>
      <c r="R1182" s="1054">
        <f>'B. PE'!$U$23</f>
        <v>15.978235616082999</v>
      </c>
      <c r="S1182" s="1054"/>
      <c r="T1182" s="1054"/>
      <c r="V1182" s="1051">
        <v>43516</v>
      </c>
      <c r="W1182" s="198">
        <v>7.1433</v>
      </c>
      <c r="X1182" s="198">
        <v>0.51580000000000004</v>
      </c>
      <c r="Y1182" s="198">
        <v>5.9889999999999999</v>
      </c>
      <c r="Z1182" s="198">
        <v>0.31780999999999998</v>
      </c>
      <c r="AB1182" s="1051">
        <v>43468</v>
      </c>
      <c r="AC1182" s="198">
        <v>8.2757000000000005</v>
      </c>
      <c r="AD1182" s="1053">
        <v>1.5567</v>
      </c>
      <c r="AE1182" s="198">
        <v>7.3166000000000002</v>
      </c>
      <c r="AF1182" s="198">
        <v>3.0300000000000001E-2</v>
      </c>
      <c r="AH1182" s="1051">
        <v>43468</v>
      </c>
      <c r="AI1182" s="198">
        <v>7.0326000000000004</v>
      </c>
      <c r="AJ1182" s="198">
        <v>1.1225000000000001</v>
      </c>
      <c r="AK1182" s="198">
        <v>3.8965000000000001</v>
      </c>
      <c r="AL1182" s="198">
        <v>1.191E-2</v>
      </c>
      <c r="AN1182" s="1051">
        <v>43475</v>
      </c>
      <c r="AO1182" s="198">
        <v>6.9699</v>
      </c>
      <c r="AP1182" s="198">
        <v>0.59670000000000001</v>
      </c>
      <c r="AQ1182" s="198">
        <v>3.9723000000000002</v>
      </c>
      <c r="AR1182" s="198">
        <v>0.11555</v>
      </c>
      <c r="BA1182" s="1051">
        <v>43458</v>
      </c>
      <c r="BB1182" s="198">
        <v>8.5624000000000002</v>
      </c>
      <c r="BC1182" s="198">
        <v>1.7014</v>
      </c>
      <c r="BD1182" s="198">
        <v>9.9288000000000007</v>
      </c>
      <c r="BE1182" s="198">
        <v>0.30018</v>
      </c>
      <c r="BG1182" s="1051">
        <v>43458</v>
      </c>
      <c r="BH1182" s="198">
        <v>13.1111</v>
      </c>
      <c r="BI1182" s="198">
        <v>3.1513</v>
      </c>
      <c r="BJ1182" s="198">
        <v>16.1297</v>
      </c>
      <c r="BT1182" s="1051">
        <v>43516</v>
      </c>
      <c r="BU1182" s="198">
        <v>12.9575</v>
      </c>
      <c r="BV1182" s="198">
        <v>4.2995999999999999</v>
      </c>
      <c r="BW1182" s="198">
        <v>8.2155000000000005</v>
      </c>
      <c r="BX1182" s="198">
        <v>1.2370000000000001</v>
      </c>
      <c r="BZ1182" s="1051">
        <v>43516</v>
      </c>
      <c r="CA1182" s="198">
        <v>12.222099999999999</v>
      </c>
      <c r="CB1182" s="198">
        <v>3.7484999999999999</v>
      </c>
      <c r="CC1182" s="198">
        <v>13.5922</v>
      </c>
      <c r="CD1182" s="198">
        <v>1.39049</v>
      </c>
      <c r="CF1182" s="1051">
        <v>43515</v>
      </c>
      <c r="CI1182" s="198">
        <v>9.7977000000000007</v>
      </c>
      <c r="CL1182" s="1051">
        <v>43536</v>
      </c>
      <c r="CM1182" s="198">
        <v>15.607900000000001</v>
      </c>
      <c r="CN1182" s="198">
        <v>2.3273000000000001</v>
      </c>
      <c r="CO1182" s="198">
        <v>11.684799999999999</v>
      </c>
    </row>
    <row r="1183" spans="1:93" s="198" customFormat="1">
      <c r="A1183" s="1051">
        <v>43515</v>
      </c>
      <c r="B1183" s="1052">
        <f t="shared" si="192"/>
        <v>8.7489000000000008</v>
      </c>
      <c r="C1183" s="1052">
        <f t="shared" si="193"/>
        <v>7.1109</v>
      </c>
      <c r="D1183" s="1052">
        <f t="shared" si="188"/>
        <v>7.6718999999999999</v>
      </c>
      <c r="E1183" s="1052">
        <f t="shared" si="189"/>
        <v>7.2984</v>
      </c>
      <c r="F1183" s="1052">
        <f t="shared" si="190"/>
        <v>13.458500000000001</v>
      </c>
      <c r="G1183" s="1052">
        <f t="shared" si="191"/>
        <v>7.7198000000000002</v>
      </c>
      <c r="H1183" s="1047">
        <f t="shared" si="185"/>
        <v>7.6718999999999999</v>
      </c>
      <c r="I1183" s="1048">
        <f t="shared" si="183"/>
        <v>0.14038243459899125</v>
      </c>
      <c r="J1183" s="1048">
        <f t="shared" si="186"/>
        <v>0.12093838824177333</v>
      </c>
      <c r="K1183" s="1048">
        <f t="shared" si="187"/>
        <v>0.1</v>
      </c>
      <c r="L1183" s="1048"/>
      <c r="N1183" s="1051">
        <v>43515</v>
      </c>
      <c r="O1183" s="1053">
        <v>8.7489000000000008</v>
      </c>
      <c r="P1183" s="1053">
        <v>1.2676000000000001</v>
      </c>
      <c r="Q1183" s="1053">
        <v>11.688599999999999</v>
      </c>
      <c r="R1183" s="1054">
        <f>'B. PE'!$U$23</f>
        <v>15.978235616082999</v>
      </c>
      <c r="S1183" s="1054"/>
      <c r="T1183" s="1054"/>
      <c r="V1183" s="1051">
        <v>43515</v>
      </c>
      <c r="W1183" s="198">
        <v>7.1109</v>
      </c>
      <c r="X1183" s="198">
        <v>0.51349999999999996</v>
      </c>
      <c r="Y1183" s="198">
        <v>5.9771999999999998</v>
      </c>
      <c r="Z1183" s="198">
        <v>0.31273000000000001</v>
      </c>
      <c r="AB1183" s="1051">
        <v>43467</v>
      </c>
      <c r="AC1183" s="198">
        <v>7.9504999999999999</v>
      </c>
      <c r="AD1183" s="1053">
        <v>1.4955000000000001</v>
      </c>
      <c r="AE1183" s="198">
        <v>7.1330999999999998</v>
      </c>
      <c r="AF1183" s="198">
        <v>2.9440000000000001E-2</v>
      </c>
      <c r="AH1183" s="1051">
        <v>43467</v>
      </c>
      <c r="AI1183" s="198">
        <v>7.2031000000000001</v>
      </c>
      <c r="AJ1183" s="198">
        <v>1.1497999999999999</v>
      </c>
      <c r="AK1183" s="198">
        <v>3.9790000000000001</v>
      </c>
      <c r="AL1183" s="198">
        <v>1.205E-2</v>
      </c>
      <c r="AN1183" s="1051">
        <v>43474</v>
      </c>
      <c r="AQ1183" s="198">
        <v>3.9419</v>
      </c>
      <c r="AR1183" s="198">
        <v>0.11600000000000001</v>
      </c>
      <c r="BA1183" s="1051">
        <v>43455</v>
      </c>
      <c r="BB1183" s="198">
        <v>8.6058000000000003</v>
      </c>
      <c r="BC1183" s="198">
        <v>1.71</v>
      </c>
      <c r="BD1183" s="198">
        <v>9.9621999999999993</v>
      </c>
      <c r="BE1183" s="198">
        <v>0.29515000000000002</v>
      </c>
      <c r="BG1183" s="1051">
        <v>43455</v>
      </c>
      <c r="BH1183" s="198">
        <v>13</v>
      </c>
      <c r="BI1183" s="198">
        <v>3.1246</v>
      </c>
      <c r="BJ1183" s="198">
        <v>16.036899999999999</v>
      </c>
      <c r="BT1183" s="1051">
        <v>43515</v>
      </c>
      <c r="BU1183" s="198">
        <v>12.9427</v>
      </c>
      <c r="BV1183" s="198">
        <v>4.2946</v>
      </c>
      <c r="BW1183" s="198">
        <v>8.2067999999999994</v>
      </c>
      <c r="BX1183" s="198">
        <v>1.2370000000000001</v>
      </c>
      <c r="BZ1183" s="1051">
        <v>43515</v>
      </c>
      <c r="CA1183" s="198">
        <v>12.280799999999999</v>
      </c>
      <c r="CB1183" s="198">
        <v>3.7665000000000002</v>
      </c>
      <c r="CC1183" s="198">
        <v>13.6364</v>
      </c>
      <c r="CD1183" s="198">
        <v>1.39049</v>
      </c>
      <c r="CF1183" s="1051">
        <v>43514</v>
      </c>
      <c r="CG1183" s="198">
        <v>6.2361000000000004</v>
      </c>
      <c r="CH1183" s="198">
        <v>1.1715</v>
      </c>
      <c r="CI1183" s="198">
        <v>9.7977000000000007</v>
      </c>
      <c r="CL1183" s="1051">
        <v>43535</v>
      </c>
      <c r="CM1183" s="198">
        <v>15.518599999999999</v>
      </c>
      <c r="CN1183" s="198">
        <v>2.3140000000000001</v>
      </c>
      <c r="CO1183" s="198">
        <v>11.610200000000001</v>
      </c>
    </row>
    <row r="1184" spans="1:93" s="198" customFormat="1">
      <c r="A1184" s="1051">
        <v>43514</v>
      </c>
      <c r="B1184" s="1052">
        <f t="shared" si="192"/>
        <v>8.8221000000000007</v>
      </c>
      <c r="C1184" s="1052">
        <f t="shared" si="193"/>
        <v>7.1109</v>
      </c>
      <c r="D1184" s="1052">
        <f t="shared" si="188"/>
        <v>7.7145000000000001</v>
      </c>
      <c r="E1184" s="1052">
        <f t="shared" si="189"/>
        <v>7.2253999999999996</v>
      </c>
      <c r="F1184" s="1052">
        <f t="shared" si="190"/>
        <v>13.565300000000001</v>
      </c>
      <c r="G1184" s="1052">
        <f t="shared" si="191"/>
        <v>7.7198000000000002</v>
      </c>
      <c r="H1184" s="1047">
        <f t="shared" si="185"/>
        <v>7.7145000000000001</v>
      </c>
      <c r="I1184" s="1048">
        <f t="shared" si="183"/>
        <v>0.14357378961695511</v>
      </c>
      <c r="J1184" s="1048">
        <f t="shared" si="186"/>
        <v>0.12093838824177333</v>
      </c>
      <c r="K1184" s="1048">
        <f t="shared" si="187"/>
        <v>0.1</v>
      </c>
      <c r="L1184" s="1048"/>
      <c r="N1184" s="1051">
        <v>43514</v>
      </c>
      <c r="O1184" s="1053">
        <v>8.8221000000000007</v>
      </c>
      <c r="P1184" s="1053">
        <v>1.2782</v>
      </c>
      <c r="Q1184" s="1053">
        <v>11.7433</v>
      </c>
      <c r="R1184" s="1054">
        <f>'B. PE'!$U$23</f>
        <v>15.978235616082999</v>
      </c>
      <c r="S1184" s="1054"/>
      <c r="T1184" s="1054"/>
      <c r="V1184" s="1051">
        <v>43514</v>
      </c>
      <c r="W1184" s="198">
        <v>7.1109</v>
      </c>
      <c r="X1184" s="198">
        <v>0.51349999999999996</v>
      </c>
      <c r="Y1184" s="198">
        <v>5.9771999999999998</v>
      </c>
      <c r="Z1184" s="198">
        <v>0.31215999999999999</v>
      </c>
      <c r="AB1184" s="1051">
        <v>43462</v>
      </c>
      <c r="AC1184" s="198">
        <v>7.9504999999999999</v>
      </c>
      <c r="AD1184" s="1053">
        <v>1.4955000000000001</v>
      </c>
      <c r="AE1184" s="198">
        <v>7.1330999999999998</v>
      </c>
      <c r="AF1184" s="198">
        <v>2.9250000000000002E-2</v>
      </c>
      <c r="AH1184" s="1051">
        <v>43462</v>
      </c>
      <c r="AI1184" s="198">
        <v>7.3735999999999997</v>
      </c>
      <c r="AJ1184" s="198">
        <v>1.177</v>
      </c>
      <c r="AK1184" s="198">
        <v>4.0613999999999999</v>
      </c>
      <c r="AL1184" s="198">
        <v>1.1209999999999999E-2</v>
      </c>
      <c r="AN1184" s="1051">
        <v>43473</v>
      </c>
      <c r="AO1184" s="198">
        <v>6.9333999999999998</v>
      </c>
      <c r="AP1184" s="198">
        <v>0.59360000000000002</v>
      </c>
      <c r="AQ1184" s="198">
        <v>3.9419</v>
      </c>
      <c r="AR1184" s="198">
        <v>0.11463</v>
      </c>
      <c r="BA1184" s="1051">
        <v>43454</v>
      </c>
      <c r="BB1184" s="198">
        <v>8.5189000000000004</v>
      </c>
      <c r="BC1184" s="198">
        <v>1.6927000000000001</v>
      </c>
      <c r="BD1184" s="198">
        <v>9.8953000000000007</v>
      </c>
      <c r="BE1184" s="198">
        <v>0.28706999999999999</v>
      </c>
      <c r="BG1184" s="1051">
        <v>43454</v>
      </c>
      <c r="BH1184" s="198">
        <v>13.222200000000001</v>
      </c>
      <c r="BI1184" s="198">
        <v>3.1779999999999999</v>
      </c>
      <c r="BJ1184" s="198">
        <v>16.2225</v>
      </c>
      <c r="BT1184" s="1051">
        <v>43514</v>
      </c>
      <c r="BU1184" s="198">
        <v>12.8088</v>
      </c>
      <c r="BV1184" s="198">
        <v>4.2502000000000004</v>
      </c>
      <c r="BW1184" s="198">
        <v>8.1285000000000007</v>
      </c>
      <c r="BX1184" s="198">
        <v>1.2319</v>
      </c>
      <c r="BZ1184" s="1051">
        <v>43514</v>
      </c>
      <c r="CA1184" s="198">
        <v>12.515499999999999</v>
      </c>
      <c r="CB1184" s="198">
        <v>3.8384999999999998</v>
      </c>
      <c r="CC1184" s="198">
        <v>13.8133</v>
      </c>
      <c r="CD1184" s="198">
        <v>1.4238200000000001</v>
      </c>
      <c r="CF1184" s="1051">
        <v>43511</v>
      </c>
      <c r="CG1184" s="198">
        <v>6.2803000000000004</v>
      </c>
      <c r="CH1184" s="198">
        <v>1.1798</v>
      </c>
      <c r="CI1184" s="198">
        <v>9.8211999999999993</v>
      </c>
      <c r="CL1184" s="1051">
        <v>43532</v>
      </c>
      <c r="CM1184" s="198">
        <v>15.556900000000001</v>
      </c>
      <c r="CN1184" s="198">
        <v>2.3197000000000001</v>
      </c>
      <c r="CO1184" s="198">
        <v>11.642200000000001</v>
      </c>
    </row>
    <row r="1185" spans="1:93" s="198" customFormat="1">
      <c r="A1185" s="1051">
        <v>43511</v>
      </c>
      <c r="B1185" s="1052">
        <f t="shared" si="192"/>
        <v>8.7489000000000008</v>
      </c>
      <c r="C1185" s="1052">
        <f t="shared" si="193"/>
        <v>6.9972000000000003</v>
      </c>
      <c r="D1185" s="1052">
        <f t="shared" si="188"/>
        <v>7.7145000000000001</v>
      </c>
      <c r="E1185" s="1052">
        <f t="shared" si="189"/>
        <v>7.2253999999999996</v>
      </c>
      <c r="F1185" s="1052">
        <f t="shared" si="190"/>
        <v>13.458500000000001</v>
      </c>
      <c r="G1185" s="1052">
        <f t="shared" si="191"/>
        <v>7.4949000000000003</v>
      </c>
      <c r="H1185" s="1047">
        <f t="shared" si="185"/>
        <v>7.4949000000000003</v>
      </c>
      <c r="I1185" s="1048">
        <f t="shared" si="183"/>
        <v>0.16731377336588893</v>
      </c>
      <c r="J1185" s="1048">
        <f t="shared" si="186"/>
        <v>0.12093838824177333</v>
      </c>
      <c r="K1185" s="1048">
        <f t="shared" si="187"/>
        <v>0.1</v>
      </c>
      <c r="L1185" s="1048"/>
      <c r="N1185" s="1051">
        <v>43511</v>
      </c>
      <c r="O1185" s="1053">
        <v>8.7489000000000008</v>
      </c>
      <c r="P1185" s="1053">
        <v>1.2676000000000001</v>
      </c>
      <c r="Q1185" s="1053">
        <v>11.688599999999999</v>
      </c>
      <c r="R1185" s="1054">
        <f>'B. PE'!$U$23</f>
        <v>15.978235616082999</v>
      </c>
      <c r="S1185" s="1054"/>
      <c r="T1185" s="1054"/>
      <c r="V1185" s="1051">
        <v>43511</v>
      </c>
      <c r="W1185" s="198">
        <v>6.9972000000000003</v>
      </c>
      <c r="X1185" s="198">
        <v>0.50529999999999997</v>
      </c>
      <c r="Y1185" s="198">
        <v>5.9356999999999998</v>
      </c>
      <c r="Z1185" s="198">
        <v>0.31524999999999997</v>
      </c>
      <c r="AB1185" s="1051">
        <v>43461</v>
      </c>
      <c r="AC1185" s="198">
        <v>8.3468</v>
      </c>
      <c r="AD1185" s="1053">
        <v>1.3993</v>
      </c>
      <c r="AE1185" s="198">
        <v>8.4921000000000006</v>
      </c>
      <c r="AF1185" s="198">
        <v>3.0120000000000001E-2</v>
      </c>
      <c r="AH1185" s="1051">
        <v>43461</v>
      </c>
      <c r="AI1185" s="198">
        <v>7.4486999999999997</v>
      </c>
      <c r="AJ1185" s="198">
        <v>1.2758</v>
      </c>
      <c r="AK1185" s="198">
        <v>4.5598999999999998</v>
      </c>
      <c r="AL1185" s="198">
        <v>1.123E-2</v>
      </c>
      <c r="AN1185" s="1051">
        <v>43472</v>
      </c>
      <c r="AO1185" s="198">
        <v>6.9699</v>
      </c>
      <c r="AP1185" s="198">
        <v>0.59670000000000001</v>
      </c>
      <c r="AQ1185" s="198">
        <v>3.9723000000000002</v>
      </c>
      <c r="AR1185" s="198">
        <v>0.11398999999999999</v>
      </c>
      <c r="BA1185" s="1051">
        <v>43453</v>
      </c>
      <c r="BB1185" s="198">
        <v>8.3885000000000005</v>
      </c>
      <c r="BC1185" s="198">
        <v>1.6668000000000001</v>
      </c>
      <c r="BD1185" s="198">
        <v>9.7949000000000002</v>
      </c>
      <c r="BE1185" s="198">
        <v>0.29886000000000001</v>
      </c>
      <c r="BG1185" s="1051">
        <v>43453</v>
      </c>
      <c r="BH1185" s="198">
        <v>13.222200000000001</v>
      </c>
      <c r="BI1185" s="198">
        <v>3.1779999999999999</v>
      </c>
      <c r="BJ1185" s="198">
        <v>16.2225</v>
      </c>
      <c r="BT1185" s="1051">
        <v>43511</v>
      </c>
      <c r="BU1185" s="198">
        <v>12.8088</v>
      </c>
      <c r="BV1185" s="198">
        <v>4.2502000000000004</v>
      </c>
      <c r="BW1185" s="198">
        <v>8.1285000000000007</v>
      </c>
      <c r="BX1185" s="198">
        <v>1.2383</v>
      </c>
      <c r="BZ1185" s="1051">
        <v>43511</v>
      </c>
      <c r="CA1185" s="198">
        <v>12.515499999999999</v>
      </c>
      <c r="CB1185" s="198">
        <v>3.8384999999999998</v>
      </c>
      <c r="CC1185" s="198">
        <v>13.8133</v>
      </c>
      <c r="CD1185" s="198">
        <v>1.42954</v>
      </c>
      <c r="CF1185" s="1051">
        <v>43510</v>
      </c>
      <c r="CI1185" s="198">
        <v>9.7742000000000004</v>
      </c>
      <c r="CL1185" s="1051">
        <v>43531</v>
      </c>
      <c r="CM1185" s="198">
        <v>15.467599999999999</v>
      </c>
      <c r="CN1185" s="198">
        <v>2.3064</v>
      </c>
      <c r="CO1185" s="198">
        <v>11.567500000000001</v>
      </c>
    </row>
    <row r="1186" spans="1:93" s="198" customFormat="1">
      <c r="A1186" s="1051">
        <v>43510</v>
      </c>
      <c r="B1186" s="1052">
        <f t="shared" si="192"/>
        <v>8.7489000000000008</v>
      </c>
      <c r="C1186" s="1052">
        <f t="shared" si="193"/>
        <v>6.9809999999999999</v>
      </c>
      <c r="D1186" s="1052">
        <f t="shared" si="188"/>
        <v>7.6718999999999999</v>
      </c>
      <c r="E1186" s="1052">
        <f t="shared" si="189"/>
        <v>7.2984</v>
      </c>
      <c r="F1186" s="1052">
        <f t="shared" si="190"/>
        <v>13.565300000000001</v>
      </c>
      <c r="G1186" s="1052">
        <f t="shared" si="191"/>
        <v>7.4949000000000003</v>
      </c>
      <c r="H1186" s="1047">
        <f t="shared" si="185"/>
        <v>7.4949000000000003</v>
      </c>
      <c r="I1186" s="1048">
        <f t="shared" si="183"/>
        <v>0.16731377336588893</v>
      </c>
      <c r="J1186" s="1048">
        <f t="shared" si="186"/>
        <v>0.12093838824177333</v>
      </c>
      <c r="K1186" s="1048">
        <f t="shared" si="187"/>
        <v>0.1</v>
      </c>
      <c r="L1186" s="1048"/>
      <c r="N1186" s="1051">
        <v>43510</v>
      </c>
      <c r="O1186" s="1053">
        <v>8.7489000000000008</v>
      </c>
      <c r="P1186" s="1053">
        <v>1.2676000000000001</v>
      </c>
      <c r="Q1186" s="1053">
        <v>11.688599999999999</v>
      </c>
      <c r="R1186" s="1054">
        <f>'B. PE'!$U$23</f>
        <v>15.978235616082999</v>
      </c>
      <c r="S1186" s="1054"/>
      <c r="T1186" s="1054"/>
      <c r="V1186" s="1051">
        <v>43510</v>
      </c>
      <c r="W1186" s="198">
        <v>6.9809999999999999</v>
      </c>
      <c r="X1186" s="198">
        <v>0.50409999999999999</v>
      </c>
      <c r="Y1186" s="198">
        <v>5.9298000000000002</v>
      </c>
      <c r="Z1186" s="198">
        <v>0.31566</v>
      </c>
      <c r="AB1186" s="1051">
        <v>43460</v>
      </c>
      <c r="AC1186" s="198">
        <v>8.3079999999999998</v>
      </c>
      <c r="AD1186" s="1053">
        <v>1.3928</v>
      </c>
      <c r="AE1186" s="198">
        <v>8.4686000000000003</v>
      </c>
      <c r="AF1186" s="198">
        <v>3.083E-2</v>
      </c>
      <c r="AH1186" s="1051">
        <v>43460</v>
      </c>
      <c r="AI1186" s="198">
        <v>6.9408000000000003</v>
      </c>
      <c r="AJ1186" s="198">
        <v>1.1888000000000001</v>
      </c>
      <c r="AK1186" s="198">
        <v>4.3056000000000001</v>
      </c>
      <c r="AL1186" s="198">
        <v>1.129E-2</v>
      </c>
      <c r="AN1186" s="1051">
        <v>43469</v>
      </c>
      <c r="AO1186" s="198">
        <v>6.8970000000000002</v>
      </c>
      <c r="AP1186" s="198">
        <v>0.59040000000000004</v>
      </c>
      <c r="AQ1186" s="198">
        <v>3.9114</v>
      </c>
      <c r="AR1186" s="198">
        <v>0.1142</v>
      </c>
      <c r="BA1186" s="1051">
        <v>43452</v>
      </c>
      <c r="BB1186" s="198">
        <v>8.1712000000000007</v>
      </c>
      <c r="BC1186" s="198">
        <v>1.6235999999999999</v>
      </c>
      <c r="BD1186" s="198">
        <v>9.6277000000000008</v>
      </c>
      <c r="BE1186" s="198">
        <v>0.30464000000000002</v>
      </c>
      <c r="BG1186" s="1051">
        <v>43452</v>
      </c>
      <c r="BH1186" s="198">
        <v>12.8889</v>
      </c>
      <c r="BI1186" s="198">
        <v>3.0979000000000001</v>
      </c>
      <c r="BJ1186" s="198">
        <v>15.944100000000001</v>
      </c>
      <c r="BT1186" s="1051">
        <v>43510</v>
      </c>
      <c r="BU1186" s="198">
        <v>12.7493</v>
      </c>
      <c r="BV1186" s="198">
        <v>4.2305000000000001</v>
      </c>
      <c r="BW1186" s="198">
        <v>8.0937000000000001</v>
      </c>
      <c r="BX1186" s="198">
        <v>1.2155</v>
      </c>
      <c r="BZ1186" s="1051">
        <v>43510</v>
      </c>
      <c r="CA1186" s="198">
        <v>12.8088</v>
      </c>
      <c r="CB1186" s="198">
        <v>3.9283999999999999</v>
      </c>
      <c r="CC1186" s="198">
        <v>14.0344</v>
      </c>
      <c r="CD1186" s="198">
        <v>1.4297200000000001</v>
      </c>
      <c r="CF1186" s="1051">
        <v>43509</v>
      </c>
      <c r="CG1186" s="198">
        <v>6.1919000000000004</v>
      </c>
      <c r="CH1186" s="198">
        <v>1.1632</v>
      </c>
      <c r="CI1186" s="198">
        <v>9.7742000000000004</v>
      </c>
      <c r="CL1186" s="1051">
        <v>43530</v>
      </c>
      <c r="CM1186" s="198">
        <v>15.518599999999999</v>
      </c>
      <c r="CN1186" s="198">
        <v>2.3140000000000001</v>
      </c>
      <c r="CO1186" s="198">
        <v>11.610200000000001</v>
      </c>
    </row>
    <row r="1187" spans="1:93" s="198" customFormat="1">
      <c r="A1187" s="1051">
        <v>43509</v>
      </c>
      <c r="B1187" s="1052">
        <f t="shared" si="192"/>
        <v>8.7855000000000008</v>
      </c>
      <c r="C1187" s="1052">
        <f t="shared" si="193"/>
        <v>7.0540000000000003</v>
      </c>
      <c r="D1187" s="1052">
        <f t="shared" si="188"/>
        <v>7.6718999999999999</v>
      </c>
      <c r="E1187" s="1052">
        <f t="shared" si="189"/>
        <v>7.0793999999999997</v>
      </c>
      <c r="F1187" s="1052">
        <f t="shared" si="190"/>
        <v>13.565300000000001</v>
      </c>
      <c r="G1187" s="1052">
        <f t="shared" si="191"/>
        <v>7.42</v>
      </c>
      <c r="H1187" s="1047">
        <f t="shared" si="185"/>
        <v>7.42</v>
      </c>
      <c r="I1187" s="1048">
        <f t="shared" si="183"/>
        <v>0.18402964959568746</v>
      </c>
      <c r="J1187" s="1048">
        <f t="shared" si="186"/>
        <v>0.12093838824177333</v>
      </c>
      <c r="K1187" s="1048">
        <f t="shared" si="187"/>
        <v>0.1</v>
      </c>
      <c r="L1187" s="1048"/>
      <c r="N1187" s="1051">
        <v>43509</v>
      </c>
      <c r="O1187" s="1053">
        <v>8.7855000000000008</v>
      </c>
      <c r="P1187" s="1053">
        <v>1.2728999999999999</v>
      </c>
      <c r="Q1187" s="1053">
        <v>11.7159</v>
      </c>
      <c r="R1187" s="1054">
        <f>'B. PE'!$U$23</f>
        <v>15.978235616082999</v>
      </c>
      <c r="S1187" s="1054"/>
      <c r="T1187" s="1054"/>
      <c r="V1187" s="1051">
        <v>43509</v>
      </c>
      <c r="W1187" s="198">
        <v>7.0540000000000003</v>
      </c>
      <c r="X1187" s="198">
        <v>0.50939999999999996</v>
      </c>
      <c r="Y1187" s="198">
        <v>5.9565000000000001</v>
      </c>
      <c r="Z1187" s="198">
        <v>0.31347999999999998</v>
      </c>
      <c r="AB1187" s="1051">
        <v>43455</v>
      </c>
      <c r="AC1187" s="198">
        <v>8.5410000000000004</v>
      </c>
      <c r="AD1187" s="1053">
        <v>1.4318</v>
      </c>
      <c r="AE1187" s="198">
        <v>8.6097000000000001</v>
      </c>
      <c r="AF1187" s="198">
        <v>3.202E-2</v>
      </c>
      <c r="AH1187" s="1051">
        <v>43455</v>
      </c>
      <c r="AI1187" s="198">
        <v>6.9408000000000003</v>
      </c>
      <c r="AJ1187" s="198">
        <v>1.1888000000000001</v>
      </c>
      <c r="AK1187" s="198">
        <v>4.3056000000000001</v>
      </c>
      <c r="AL1187" s="198">
        <v>1.1440000000000001E-2</v>
      </c>
      <c r="AN1187" s="1051">
        <v>43468</v>
      </c>
      <c r="AO1187" s="198">
        <v>6.8970000000000002</v>
      </c>
      <c r="AP1187" s="198">
        <v>0.59040000000000004</v>
      </c>
      <c r="AQ1187" s="198">
        <v>3.9114</v>
      </c>
      <c r="AR1187" s="198">
        <v>0.11611</v>
      </c>
      <c r="BA1187" s="1051">
        <v>43451</v>
      </c>
      <c r="BB1187" s="198">
        <v>8.5189000000000004</v>
      </c>
      <c r="BC1187" s="198">
        <v>1.6927000000000001</v>
      </c>
      <c r="BD1187" s="198">
        <v>9.8953000000000007</v>
      </c>
      <c r="BE1187" s="198">
        <v>0.30384</v>
      </c>
      <c r="BG1187" s="1051">
        <v>43451</v>
      </c>
      <c r="BH1187" s="198">
        <v>13.1111</v>
      </c>
      <c r="BI1187" s="198">
        <v>3.1513</v>
      </c>
      <c r="BJ1187" s="198">
        <v>16.1297</v>
      </c>
      <c r="BT1187" s="1051">
        <v>43509</v>
      </c>
      <c r="BU1187" s="198">
        <v>12.823700000000001</v>
      </c>
      <c r="BV1187" s="198">
        <v>4.2550999999999997</v>
      </c>
      <c r="BW1187" s="198">
        <v>8.1372</v>
      </c>
      <c r="BX1187" s="198">
        <v>1.2155</v>
      </c>
      <c r="BZ1187" s="1051">
        <v>43509</v>
      </c>
      <c r="CA1187" s="198">
        <v>12.8675</v>
      </c>
      <c r="CB1187" s="198">
        <v>3.9464000000000001</v>
      </c>
      <c r="CC1187" s="198">
        <v>14.0786</v>
      </c>
      <c r="CD1187" s="198">
        <v>1.43407</v>
      </c>
      <c r="CF1187" s="1051">
        <v>43508</v>
      </c>
      <c r="CG1187" s="198">
        <v>6.5899000000000001</v>
      </c>
      <c r="CH1187" s="198">
        <v>1.2379</v>
      </c>
      <c r="CI1187" s="198">
        <v>9.9860000000000007</v>
      </c>
      <c r="CL1187" s="1051">
        <v>43529</v>
      </c>
      <c r="CM1187" s="198">
        <v>15.187099999999999</v>
      </c>
      <c r="CN1187" s="198">
        <v>2.2646000000000002</v>
      </c>
      <c r="CO1187" s="198">
        <v>11.333</v>
      </c>
    </row>
    <row r="1188" spans="1:93" s="198" customFormat="1">
      <c r="A1188" s="1051">
        <v>43508</v>
      </c>
      <c r="B1188" s="1052">
        <f t="shared" si="192"/>
        <v>8.8587000000000007</v>
      </c>
      <c r="C1188" s="1052">
        <f t="shared" si="193"/>
        <v>7.0621999999999998</v>
      </c>
      <c r="D1188" s="1052">
        <f t="shared" si="188"/>
        <v>7.6718999999999999</v>
      </c>
      <c r="E1188" s="1052">
        <f t="shared" si="189"/>
        <v>7.0793999999999997</v>
      </c>
      <c r="F1188" s="1052">
        <f t="shared" si="190"/>
        <v>13.351699999999999</v>
      </c>
      <c r="G1188" s="1052">
        <f t="shared" si="191"/>
        <v>7.3075999999999999</v>
      </c>
      <c r="H1188" s="1047">
        <f t="shared" si="185"/>
        <v>7.3075999999999999</v>
      </c>
      <c r="I1188" s="1048">
        <f t="shared" si="183"/>
        <v>0.21225847063331327</v>
      </c>
      <c r="J1188" s="1048">
        <f t="shared" si="186"/>
        <v>0.12093838824177333</v>
      </c>
      <c r="K1188" s="1048">
        <f t="shared" si="187"/>
        <v>0.1</v>
      </c>
      <c r="L1188" s="1048"/>
      <c r="N1188" s="1051">
        <v>43508</v>
      </c>
      <c r="O1188" s="1053">
        <v>8.8587000000000007</v>
      </c>
      <c r="P1188" s="1053">
        <v>1.2835000000000001</v>
      </c>
      <c r="Q1188" s="1053">
        <v>11.7706</v>
      </c>
      <c r="R1188" s="1054">
        <f>'B. PE'!$U$23</f>
        <v>15.978235616082999</v>
      </c>
      <c r="S1188" s="1054"/>
      <c r="T1188" s="1054"/>
      <c r="V1188" s="1051">
        <v>43508</v>
      </c>
      <c r="W1188" s="198">
        <v>7.0621999999999998</v>
      </c>
      <c r="X1188" s="198">
        <v>0.51</v>
      </c>
      <c r="Y1188" s="198">
        <v>5.9593999999999996</v>
      </c>
      <c r="Z1188" s="198">
        <v>0.30476999999999999</v>
      </c>
      <c r="AB1188" s="1051">
        <v>43454</v>
      </c>
      <c r="AC1188" s="198">
        <v>8.6963000000000008</v>
      </c>
      <c r="AD1188" s="1053">
        <v>1.4579</v>
      </c>
      <c r="AE1188" s="198">
        <v>8.7036999999999995</v>
      </c>
      <c r="AF1188" s="198">
        <v>3.0599999999999999E-2</v>
      </c>
      <c r="AH1188" s="1051">
        <v>43454</v>
      </c>
      <c r="AI1188" s="198">
        <v>6.9408000000000003</v>
      </c>
      <c r="AJ1188" s="198">
        <v>1.1888000000000001</v>
      </c>
      <c r="AK1188" s="198">
        <v>4.3056000000000001</v>
      </c>
      <c r="AL1188" s="198">
        <v>1.108E-2</v>
      </c>
      <c r="AN1188" s="1051">
        <v>43467</v>
      </c>
      <c r="AO1188" s="198">
        <v>6.8970000000000002</v>
      </c>
      <c r="AP1188" s="198">
        <v>0.59040000000000004</v>
      </c>
      <c r="AQ1188" s="198">
        <v>3.9114</v>
      </c>
      <c r="AR1188" s="198">
        <v>0.11737</v>
      </c>
      <c r="BA1188" s="1051">
        <v>43448</v>
      </c>
      <c r="BB1188" s="198">
        <v>8.6928000000000001</v>
      </c>
      <c r="BC1188" s="198">
        <v>1.7273000000000001</v>
      </c>
      <c r="BD1188" s="198">
        <v>10.0291</v>
      </c>
      <c r="BE1188" s="198">
        <v>0.30531999999999998</v>
      </c>
      <c r="BG1188" s="1051">
        <v>43448</v>
      </c>
      <c r="BH1188" s="198">
        <v>13.5556</v>
      </c>
      <c r="BI1188" s="198">
        <v>3.2581000000000002</v>
      </c>
      <c r="BJ1188" s="198">
        <v>16.500900000000001</v>
      </c>
      <c r="BT1188" s="1051">
        <v>43508</v>
      </c>
      <c r="BU1188" s="198">
        <v>12.585599999999999</v>
      </c>
      <c r="BV1188" s="198">
        <v>4.1761999999999997</v>
      </c>
      <c r="BW1188" s="198">
        <v>7.9980000000000002</v>
      </c>
      <c r="BX1188" s="198">
        <v>1.1924999999999999</v>
      </c>
      <c r="BZ1188" s="1051">
        <v>43508</v>
      </c>
      <c r="CA1188" s="198">
        <v>12.8675</v>
      </c>
      <c r="CB1188" s="198">
        <v>3.9464000000000001</v>
      </c>
      <c r="CC1188" s="198">
        <v>14.0786</v>
      </c>
      <c r="CD1188" s="198">
        <v>1.43624</v>
      </c>
      <c r="CF1188" s="1051">
        <v>43507</v>
      </c>
      <c r="CG1188" s="198">
        <v>6.6341000000000001</v>
      </c>
      <c r="CH1188" s="198">
        <v>1.2462</v>
      </c>
      <c r="CI1188" s="198">
        <v>10.009600000000001</v>
      </c>
      <c r="CL1188" s="1051">
        <v>43528</v>
      </c>
      <c r="CM1188" s="198">
        <v>15.1616</v>
      </c>
      <c r="CN1188" s="198">
        <v>2.2608000000000001</v>
      </c>
      <c r="CO1188" s="198">
        <v>11.3117</v>
      </c>
    </row>
    <row r="1189" spans="1:93" s="198" customFormat="1">
      <c r="A1189" s="1051">
        <v>43507</v>
      </c>
      <c r="B1189" s="1052">
        <f t="shared" si="192"/>
        <v>8.7855000000000008</v>
      </c>
      <c r="C1189" s="1052">
        <f t="shared" si="193"/>
        <v>7.0134999999999996</v>
      </c>
      <c r="D1189" s="1052">
        <f t="shared" si="188"/>
        <v>7.7145000000000001</v>
      </c>
      <c r="E1189" s="1052">
        <f t="shared" si="189"/>
        <v>7.0793999999999997</v>
      </c>
      <c r="F1189" s="1052">
        <f t="shared" si="190"/>
        <v>13.0312</v>
      </c>
      <c r="G1189" s="1052">
        <f t="shared" si="191"/>
        <v>7.3449999999999998</v>
      </c>
      <c r="H1189" s="1047">
        <f t="shared" si="185"/>
        <v>7.3449999999999998</v>
      </c>
      <c r="I1189" s="1048">
        <f t="shared" si="183"/>
        <v>0.19611980939414586</v>
      </c>
      <c r="J1189" s="1048">
        <f t="shared" si="186"/>
        <v>0.12093838824177333</v>
      </c>
      <c r="K1189" s="1048">
        <f t="shared" si="187"/>
        <v>0.1</v>
      </c>
      <c r="L1189" s="1048"/>
      <c r="N1189" s="1051">
        <v>43507</v>
      </c>
      <c r="O1189" s="1053">
        <v>8.7855000000000008</v>
      </c>
      <c r="P1189" s="1053">
        <v>1.2728999999999999</v>
      </c>
      <c r="Q1189" s="1053">
        <v>11.7159</v>
      </c>
      <c r="R1189" s="1054">
        <f>'B. PE'!$U$23</f>
        <v>15.978235616082999</v>
      </c>
      <c r="S1189" s="1054"/>
      <c r="T1189" s="1054"/>
      <c r="V1189" s="1051">
        <v>43507</v>
      </c>
      <c r="W1189" s="198">
        <v>7.0134999999999996</v>
      </c>
      <c r="X1189" s="198">
        <v>0.50649999999999995</v>
      </c>
      <c r="Y1189" s="198">
        <v>5.9416000000000002</v>
      </c>
      <c r="Z1189" s="198">
        <v>0.30018</v>
      </c>
      <c r="AB1189" s="1051">
        <v>43453</v>
      </c>
      <c r="AC1189" s="198">
        <v>8.968</v>
      </c>
      <c r="AD1189" s="1053">
        <v>1.5034000000000001</v>
      </c>
      <c r="AE1189" s="198">
        <v>8.8682999999999996</v>
      </c>
      <c r="AF1189" s="198">
        <v>3.0040000000000001E-2</v>
      </c>
      <c r="AH1189" s="1051">
        <v>43453</v>
      </c>
      <c r="AI1189" s="198">
        <v>6.9831000000000003</v>
      </c>
      <c r="AJ1189" s="198">
        <v>1.1960999999999999</v>
      </c>
      <c r="AK1189" s="198">
        <v>4.3268000000000004</v>
      </c>
      <c r="AL1189" s="198">
        <v>1.1390000000000001E-2</v>
      </c>
      <c r="AN1189" s="1051">
        <v>43465</v>
      </c>
      <c r="AO1189" s="198">
        <v>7.0064000000000002</v>
      </c>
      <c r="AP1189" s="198">
        <v>0.5998</v>
      </c>
      <c r="AQ1189" s="198">
        <v>4.0027999999999997</v>
      </c>
      <c r="AR1189" s="198">
        <v>0.11452</v>
      </c>
      <c r="BA1189" s="1051">
        <v>43447</v>
      </c>
      <c r="BB1189" s="198">
        <v>8.6493000000000002</v>
      </c>
      <c r="BC1189" s="198">
        <v>1.7185999999999999</v>
      </c>
      <c r="BD1189" s="198">
        <v>9.9956999999999994</v>
      </c>
      <c r="BE1189" s="198">
        <v>0.31062000000000001</v>
      </c>
      <c r="BG1189" s="1051">
        <v>43447</v>
      </c>
      <c r="BH1189" s="198">
        <v>13.8889</v>
      </c>
      <c r="BI1189" s="198">
        <v>3.3382999999999998</v>
      </c>
      <c r="BJ1189" s="198">
        <v>16.779299999999999</v>
      </c>
      <c r="BT1189" s="1051">
        <v>43507</v>
      </c>
      <c r="BU1189" s="198">
        <v>12.585599999999999</v>
      </c>
      <c r="BV1189" s="198">
        <v>4.1761999999999997</v>
      </c>
      <c r="BW1189" s="198">
        <v>7.9980000000000002</v>
      </c>
      <c r="BX1189" s="198">
        <v>1.1930000000000001</v>
      </c>
      <c r="BZ1189" s="1051">
        <v>43507</v>
      </c>
      <c r="CA1189" s="198">
        <v>12.906599999999999</v>
      </c>
      <c r="CB1189" s="198">
        <v>3.9584000000000001</v>
      </c>
      <c r="CC1189" s="198">
        <v>14.1081</v>
      </c>
      <c r="CD1189" s="198">
        <v>1.48685</v>
      </c>
      <c r="CF1189" s="1051">
        <v>43497</v>
      </c>
      <c r="CG1189" s="198">
        <v>6.5899000000000001</v>
      </c>
      <c r="CH1189" s="198">
        <v>1.2379</v>
      </c>
      <c r="CI1189" s="198">
        <v>9.9860000000000007</v>
      </c>
      <c r="CL1189" s="1051">
        <v>43525</v>
      </c>
      <c r="CM1189" s="198">
        <v>15.1106</v>
      </c>
      <c r="CN1189" s="198">
        <v>2.2532000000000001</v>
      </c>
      <c r="CO1189" s="198">
        <v>11.2691</v>
      </c>
    </row>
    <row r="1190" spans="1:93" s="198" customFormat="1">
      <c r="A1190" s="1051">
        <v>43497</v>
      </c>
      <c r="B1190" s="1052">
        <f t="shared" si="192"/>
        <v>8.7855000000000008</v>
      </c>
      <c r="C1190" s="1052">
        <f t="shared" si="193"/>
        <v>6.8186</v>
      </c>
      <c r="D1190" s="1052">
        <f t="shared" si="188"/>
        <v>7.6292999999999997</v>
      </c>
      <c r="E1190" s="1052">
        <f t="shared" si="189"/>
        <v>7.0793999999999997</v>
      </c>
      <c r="F1190" s="1052">
        <f t="shared" si="190"/>
        <v>13.9925</v>
      </c>
      <c r="G1190" s="1052">
        <f t="shared" si="191"/>
        <v>7.1951000000000001</v>
      </c>
      <c r="H1190" s="1047">
        <f t="shared" si="185"/>
        <v>7.1951000000000001</v>
      </c>
      <c r="I1190" s="1048">
        <f t="shared" si="183"/>
        <v>0.22103931842503943</v>
      </c>
      <c r="J1190" s="1048">
        <f t="shared" si="186"/>
        <v>0.12093838824177333</v>
      </c>
      <c r="K1190" s="1048">
        <f t="shared" si="187"/>
        <v>0.1</v>
      </c>
      <c r="L1190" s="1048"/>
      <c r="N1190" s="1051">
        <v>43497</v>
      </c>
      <c r="O1190" s="1053">
        <v>8.7855000000000008</v>
      </c>
      <c r="P1190" s="1053">
        <v>1.2728999999999999</v>
      </c>
      <c r="Q1190" s="1053">
        <v>11.7159</v>
      </c>
      <c r="R1190" s="1054">
        <f>'B. PE'!$U$23</f>
        <v>15.978235616082999</v>
      </c>
      <c r="S1190" s="1054"/>
      <c r="T1190" s="1054"/>
      <c r="V1190" s="1051">
        <v>43497</v>
      </c>
      <c r="W1190" s="198">
        <v>6.8186</v>
      </c>
      <c r="X1190" s="198">
        <v>0.4924</v>
      </c>
      <c r="Y1190" s="198">
        <v>5.8705999999999996</v>
      </c>
      <c r="Z1190" s="198">
        <v>0.29315999999999998</v>
      </c>
      <c r="AB1190" s="1051">
        <v>43452</v>
      </c>
      <c r="AC1190" s="198">
        <v>8.5798000000000005</v>
      </c>
      <c r="AD1190" s="1053">
        <v>1.4382999999999999</v>
      </c>
      <c r="AE1190" s="198">
        <v>8.6332000000000004</v>
      </c>
      <c r="AF1190" s="198">
        <v>2.9989999999999999E-2</v>
      </c>
      <c r="AH1190" s="1051">
        <v>43452</v>
      </c>
      <c r="AI1190" s="198">
        <v>6.7714999999999996</v>
      </c>
      <c r="AJ1190" s="198">
        <v>1.1597999999999999</v>
      </c>
      <c r="AK1190" s="198">
        <v>4.2209000000000003</v>
      </c>
      <c r="AL1190" s="198">
        <v>1.123E-2</v>
      </c>
      <c r="AN1190" s="1051">
        <v>43462</v>
      </c>
      <c r="AO1190" s="198">
        <v>6.2903000000000002</v>
      </c>
      <c r="AP1190" s="198">
        <v>0.61729999999999996</v>
      </c>
      <c r="AQ1190" s="198">
        <v>3.1248</v>
      </c>
      <c r="AR1190" s="198">
        <v>0.11121</v>
      </c>
      <c r="BA1190" s="1051">
        <v>43446</v>
      </c>
      <c r="BB1190" s="198">
        <v>8.6928000000000001</v>
      </c>
      <c r="BC1190" s="198">
        <v>1.7273000000000001</v>
      </c>
      <c r="BD1190" s="198">
        <v>10.0291</v>
      </c>
      <c r="BE1190" s="198">
        <v>0.31346000000000002</v>
      </c>
      <c r="BG1190" s="1051">
        <v>43446</v>
      </c>
      <c r="BH1190" s="198">
        <v>14</v>
      </c>
      <c r="BI1190" s="198">
        <v>3.3650000000000002</v>
      </c>
      <c r="BJ1190" s="198">
        <v>16.8721</v>
      </c>
      <c r="BT1190" s="1051">
        <v>43497</v>
      </c>
      <c r="BU1190" s="198">
        <v>12.3476</v>
      </c>
      <c r="BV1190" s="198">
        <v>4.0972</v>
      </c>
      <c r="BW1190" s="198">
        <v>7.8587999999999996</v>
      </c>
      <c r="BX1190" s="198">
        <v>1.2011000000000001</v>
      </c>
      <c r="BZ1190" s="1051">
        <v>43497</v>
      </c>
      <c r="CA1190" s="198">
        <v>12.9261</v>
      </c>
      <c r="CB1190" s="198">
        <v>3.9643999999999999</v>
      </c>
      <c r="CC1190" s="198">
        <v>14.1229</v>
      </c>
      <c r="CD1190" s="198">
        <v>1.4883900000000001</v>
      </c>
      <c r="CF1190" s="1051">
        <v>43496</v>
      </c>
      <c r="CI1190" s="198">
        <v>10.056699999999999</v>
      </c>
      <c r="CL1190" s="1051">
        <v>43524</v>
      </c>
      <c r="CM1190" s="198">
        <v>14.9321</v>
      </c>
      <c r="CN1190" s="198">
        <v>2.2265000000000001</v>
      </c>
      <c r="CO1190" s="198">
        <v>11.1198</v>
      </c>
    </row>
    <row r="1191" spans="1:93" s="198" customFormat="1">
      <c r="A1191" s="1051">
        <v>43496</v>
      </c>
      <c r="B1191" s="1052">
        <f t="shared" si="192"/>
        <v>8.5292999999999992</v>
      </c>
      <c r="C1191" s="1052">
        <f t="shared" si="193"/>
        <v>6.7130999999999998</v>
      </c>
      <c r="D1191" s="1052">
        <f t="shared" si="188"/>
        <v>7.6292999999999997</v>
      </c>
      <c r="E1191" s="1052">
        <f t="shared" si="189"/>
        <v>7.0793999999999997</v>
      </c>
      <c r="F1191" s="1052">
        <f t="shared" si="190"/>
        <v>13.9925</v>
      </c>
      <c r="G1191" s="1052">
        <f t="shared" si="191"/>
        <v>7.2325999999999997</v>
      </c>
      <c r="H1191" s="1047">
        <f t="shared" si="185"/>
        <v>7.2325999999999997</v>
      </c>
      <c r="I1191" s="1048">
        <f t="shared" si="183"/>
        <v>0.17928545751182146</v>
      </c>
      <c r="J1191" s="1048">
        <f t="shared" si="186"/>
        <v>0.12093838824177333</v>
      </c>
      <c r="K1191" s="1048">
        <f t="shared" si="187"/>
        <v>0.1</v>
      </c>
      <c r="L1191" s="1048"/>
      <c r="N1191" s="1051">
        <v>43496</v>
      </c>
      <c r="O1191" s="1053">
        <v>8.5292999999999992</v>
      </c>
      <c r="P1191" s="1053">
        <v>1.2357</v>
      </c>
      <c r="Q1191" s="1053">
        <v>11.524699999999999</v>
      </c>
      <c r="R1191" s="1054">
        <f>'B. PE'!$U$23</f>
        <v>15.978235616082999</v>
      </c>
      <c r="S1191" s="1054"/>
      <c r="T1191" s="1054"/>
      <c r="V1191" s="1051">
        <v>43496</v>
      </c>
      <c r="W1191" s="198">
        <v>6.7130999999999998</v>
      </c>
      <c r="X1191" s="198">
        <v>0.48480000000000001</v>
      </c>
      <c r="Y1191" s="198">
        <v>5.8320999999999996</v>
      </c>
      <c r="Z1191" s="198">
        <v>0.29329</v>
      </c>
      <c r="AB1191" s="1051">
        <v>43451</v>
      </c>
      <c r="AC1191" s="198">
        <v>8.5021000000000004</v>
      </c>
      <c r="AD1191" s="1053">
        <v>1.4253</v>
      </c>
      <c r="AE1191" s="198">
        <v>8.5861999999999998</v>
      </c>
      <c r="AF1191" s="198">
        <v>3.1719999999999998E-2</v>
      </c>
      <c r="AH1191" s="1051">
        <v>43451</v>
      </c>
      <c r="AI1191" s="198">
        <v>7.0254000000000003</v>
      </c>
      <c r="AJ1191" s="198">
        <v>1.2033</v>
      </c>
      <c r="AK1191" s="198">
        <v>4.3479999999999999</v>
      </c>
      <c r="AL1191" s="198">
        <v>1.1520000000000001E-2</v>
      </c>
      <c r="AN1191" s="1051">
        <v>43461</v>
      </c>
      <c r="AO1191" s="198">
        <v>6.1612999999999998</v>
      </c>
      <c r="AP1191" s="198">
        <v>0.60460000000000003</v>
      </c>
      <c r="AQ1191" s="198">
        <v>3.0211000000000001</v>
      </c>
      <c r="AR1191" s="198">
        <v>0.11378000000000001</v>
      </c>
      <c r="BA1191" s="1051">
        <v>43445</v>
      </c>
      <c r="BB1191" s="198">
        <v>8.8666</v>
      </c>
      <c r="BC1191" s="198">
        <v>1.7618</v>
      </c>
      <c r="BD1191" s="198">
        <v>10.1629</v>
      </c>
      <c r="BE1191" s="198">
        <v>0.31351000000000001</v>
      </c>
      <c r="BG1191" s="1051">
        <v>43445</v>
      </c>
      <c r="BH1191" s="198">
        <v>14.1111</v>
      </c>
      <c r="BI1191" s="198">
        <v>3.3917000000000002</v>
      </c>
      <c r="BJ1191" s="198">
        <v>16.9649</v>
      </c>
      <c r="BT1191" s="1051">
        <v>43496</v>
      </c>
      <c r="BU1191" s="198">
        <v>12.3476</v>
      </c>
      <c r="BV1191" s="198">
        <v>4.0972</v>
      </c>
      <c r="BW1191" s="198">
        <v>7.8587999999999996</v>
      </c>
      <c r="BX1191" s="198">
        <v>1.2290000000000001</v>
      </c>
      <c r="BZ1191" s="1051">
        <v>43496</v>
      </c>
      <c r="CA1191" s="198">
        <v>13.3759</v>
      </c>
      <c r="CB1191" s="198">
        <v>4.1024000000000003</v>
      </c>
      <c r="CC1191" s="198">
        <v>14.4619</v>
      </c>
      <c r="CD1191" s="198">
        <v>1.4977199999999999</v>
      </c>
      <c r="CF1191" s="1051">
        <v>43495</v>
      </c>
      <c r="CI1191" s="198">
        <v>10.056699999999999</v>
      </c>
      <c r="CL1191" s="1051">
        <v>43523</v>
      </c>
      <c r="CM1191" s="198">
        <v>15.0213</v>
      </c>
      <c r="CN1191" s="198">
        <v>2.2397999999999998</v>
      </c>
      <c r="CO1191" s="198">
        <v>11.1945</v>
      </c>
    </row>
    <row r="1192" spans="1:93" s="198" customFormat="1">
      <c r="A1192" s="1051">
        <v>43495</v>
      </c>
      <c r="B1192" s="1052">
        <f t="shared" si="192"/>
        <v>8.3095999999999997</v>
      </c>
      <c r="C1192" s="1052">
        <f t="shared" si="193"/>
        <v>6.5589000000000004</v>
      </c>
      <c r="D1192" s="1052">
        <f t="shared" si="188"/>
        <v>7.6718999999999999</v>
      </c>
      <c r="E1192" s="1052">
        <f t="shared" si="189"/>
        <v>7.0064000000000002</v>
      </c>
      <c r="F1192" s="1052">
        <f t="shared" si="190"/>
        <v>13.7789</v>
      </c>
      <c r="G1192" s="1052">
        <f t="shared" si="191"/>
        <v>7.2325999999999997</v>
      </c>
      <c r="H1192" s="1047">
        <f t="shared" si="185"/>
        <v>7.2325999999999997</v>
      </c>
      <c r="I1192" s="1048">
        <f t="shared" si="183"/>
        <v>0.14890910599231266</v>
      </c>
      <c r="J1192" s="1048">
        <f t="shared" si="186"/>
        <v>0.12093838824177333</v>
      </c>
      <c r="K1192" s="1048">
        <f t="shared" si="187"/>
        <v>0.1</v>
      </c>
      <c r="L1192" s="1048"/>
      <c r="N1192" s="1051">
        <v>43495</v>
      </c>
      <c r="O1192" s="1053">
        <v>8.3095999999999997</v>
      </c>
      <c r="P1192" s="1053">
        <v>1.2039</v>
      </c>
      <c r="Q1192" s="1053">
        <v>11.360799999999999</v>
      </c>
      <c r="R1192" s="1054">
        <f>'B. PE'!$U$23</f>
        <v>15.978235616082999</v>
      </c>
      <c r="S1192" s="1054"/>
      <c r="T1192" s="1054"/>
      <c r="V1192" s="1051">
        <v>43495</v>
      </c>
      <c r="W1192" s="198">
        <v>6.5589000000000004</v>
      </c>
      <c r="X1192" s="198">
        <v>0.47360000000000002</v>
      </c>
      <c r="Y1192" s="198">
        <v>5.7758000000000003</v>
      </c>
      <c r="Z1192" s="198">
        <v>0.29359000000000002</v>
      </c>
      <c r="AB1192" s="1051">
        <v>43448</v>
      </c>
      <c r="AC1192" s="198">
        <v>8.5021000000000004</v>
      </c>
      <c r="AD1192" s="1053">
        <v>1.4253</v>
      </c>
      <c r="AE1192" s="198">
        <v>8.5861999999999998</v>
      </c>
      <c r="AF1192" s="198">
        <v>3.141E-2</v>
      </c>
      <c r="AH1192" s="1051">
        <v>43448</v>
      </c>
      <c r="AI1192" s="198">
        <v>6.9408000000000003</v>
      </c>
      <c r="AJ1192" s="198">
        <v>1.1888000000000001</v>
      </c>
      <c r="AK1192" s="198">
        <v>4.3056000000000001</v>
      </c>
      <c r="AL1192" s="198">
        <v>1.1440000000000001E-2</v>
      </c>
      <c r="AN1192" s="1051">
        <v>43460</v>
      </c>
      <c r="AO1192" s="198">
        <v>6</v>
      </c>
      <c r="AP1192" s="198">
        <v>0.58879999999999999</v>
      </c>
      <c r="AQ1192" s="198">
        <v>2.8914</v>
      </c>
      <c r="AR1192" s="198">
        <v>0.10883</v>
      </c>
      <c r="BA1192" s="1051">
        <v>43441</v>
      </c>
      <c r="BB1192" s="198">
        <v>8.9535</v>
      </c>
      <c r="BC1192" s="198">
        <v>1.7790999999999999</v>
      </c>
      <c r="BD1192" s="198">
        <v>10.229799999999999</v>
      </c>
      <c r="BE1192" s="198">
        <v>0.30514000000000002</v>
      </c>
      <c r="BG1192" s="1051">
        <v>43441</v>
      </c>
      <c r="BH1192" s="198">
        <v>14.222200000000001</v>
      </c>
      <c r="BI1192" s="198">
        <v>3.4184000000000001</v>
      </c>
      <c r="BJ1192" s="198">
        <v>17.057700000000001</v>
      </c>
      <c r="BT1192" s="1051">
        <v>43495</v>
      </c>
      <c r="BU1192" s="198">
        <v>12.4369</v>
      </c>
      <c r="BV1192" s="198">
        <v>4.1268000000000002</v>
      </c>
      <c r="BW1192" s="198">
        <v>7.9109999999999996</v>
      </c>
      <c r="BX1192" s="198">
        <v>1.2014</v>
      </c>
      <c r="BZ1192" s="1051">
        <v>43495</v>
      </c>
      <c r="CA1192" s="198">
        <v>13.3955</v>
      </c>
      <c r="CB1192" s="198">
        <v>4.1083999999999996</v>
      </c>
      <c r="CC1192" s="198">
        <v>14.476699999999999</v>
      </c>
      <c r="CD1192" s="198">
        <v>1.4995700000000001</v>
      </c>
      <c r="CF1192" s="1051">
        <v>43494</v>
      </c>
      <c r="CG1192" s="198">
        <v>6.7225999999999999</v>
      </c>
      <c r="CH1192" s="198">
        <v>1.2628999999999999</v>
      </c>
      <c r="CI1192" s="198">
        <v>10.056699999999999</v>
      </c>
      <c r="CL1192" s="1051">
        <v>43522</v>
      </c>
      <c r="CM1192" s="198">
        <v>15.0596</v>
      </c>
      <c r="CN1192" s="198">
        <v>2.2454999999999998</v>
      </c>
      <c r="CO1192" s="198">
        <v>11.2264</v>
      </c>
    </row>
    <row r="1193" spans="1:93" s="198" customFormat="1">
      <c r="A1193" s="1051">
        <v>43494</v>
      </c>
      <c r="B1193" s="1052">
        <f t="shared" si="192"/>
        <v>8.3461999999999996</v>
      </c>
      <c r="C1193" s="1052">
        <f t="shared" si="193"/>
        <v>6.5589000000000004</v>
      </c>
      <c r="D1193" s="1052">
        <f t="shared" si="188"/>
        <v>7.7572000000000001</v>
      </c>
      <c r="E1193" s="1052">
        <f t="shared" si="189"/>
        <v>6.9699</v>
      </c>
      <c r="F1193" s="1052">
        <f t="shared" si="190"/>
        <v>13.6721</v>
      </c>
      <c r="G1193" s="1052">
        <f t="shared" si="191"/>
        <v>7.1951000000000001</v>
      </c>
      <c r="H1193" s="1047">
        <f t="shared" si="185"/>
        <v>7.1951000000000001</v>
      </c>
      <c r="I1193" s="1048">
        <f t="shared" si="183"/>
        <v>0.1599838779169156</v>
      </c>
      <c r="J1193" s="1048">
        <f t="shared" si="186"/>
        <v>0.12093838824177333</v>
      </c>
      <c r="K1193" s="1048">
        <f t="shared" si="187"/>
        <v>0.1</v>
      </c>
      <c r="L1193" s="1048"/>
      <c r="N1193" s="1051">
        <v>43494</v>
      </c>
      <c r="O1193" s="1053">
        <v>8.3461999999999996</v>
      </c>
      <c r="P1193" s="1053">
        <v>1.2092000000000001</v>
      </c>
      <c r="Q1193" s="1053">
        <v>11.3881</v>
      </c>
      <c r="R1193" s="1054">
        <f>'B. PE'!$U$23</f>
        <v>15.978235616082999</v>
      </c>
      <c r="S1193" s="1054"/>
      <c r="T1193" s="1054"/>
      <c r="V1193" s="1051">
        <v>43494</v>
      </c>
      <c r="W1193" s="198">
        <v>6.5589000000000004</v>
      </c>
      <c r="X1193" s="198">
        <v>0.47360000000000002</v>
      </c>
      <c r="Y1193" s="198">
        <v>5.7758000000000003</v>
      </c>
      <c r="Z1193" s="198">
        <v>0.29393000000000002</v>
      </c>
      <c r="AB1193" s="1051">
        <v>43447</v>
      </c>
      <c r="AC1193" s="198">
        <v>8.9291999999999998</v>
      </c>
      <c r="AD1193" s="1053">
        <v>1.4968999999999999</v>
      </c>
      <c r="AE1193" s="198">
        <v>8.8447999999999993</v>
      </c>
      <c r="AF1193" s="198">
        <v>3.0360000000000002E-2</v>
      </c>
      <c r="AH1193" s="1051">
        <v>43447</v>
      </c>
      <c r="AI1193" s="198">
        <v>7.0678000000000001</v>
      </c>
      <c r="AJ1193" s="198">
        <v>1.2105999999999999</v>
      </c>
      <c r="AK1193" s="198">
        <v>4.3692000000000002</v>
      </c>
      <c r="AL1193" s="198">
        <v>1.154E-2</v>
      </c>
      <c r="AN1193" s="1051">
        <v>43458</v>
      </c>
      <c r="AO1193" s="198">
        <v>6.1289999999999996</v>
      </c>
      <c r="AP1193" s="198">
        <v>0.60140000000000005</v>
      </c>
      <c r="AQ1193" s="198">
        <v>2.9952000000000001</v>
      </c>
      <c r="AR1193" s="198">
        <v>0.11032</v>
      </c>
      <c r="BA1193" s="1051">
        <v>43440</v>
      </c>
      <c r="BB1193" s="198">
        <v>8.9535</v>
      </c>
      <c r="BC1193" s="198">
        <v>1.7790999999999999</v>
      </c>
      <c r="BD1193" s="198">
        <v>10.229799999999999</v>
      </c>
      <c r="BE1193" s="198">
        <v>0.30346000000000001</v>
      </c>
      <c r="BG1193" s="1051">
        <v>43440</v>
      </c>
      <c r="BH1193" s="198">
        <v>14.1111</v>
      </c>
      <c r="BI1193" s="198">
        <v>3.3917000000000002</v>
      </c>
      <c r="BJ1193" s="198">
        <v>16.9649</v>
      </c>
      <c r="BT1193" s="1051">
        <v>43494</v>
      </c>
      <c r="BU1193" s="198">
        <v>12.7195</v>
      </c>
      <c r="BV1193" s="198">
        <v>4.2206000000000001</v>
      </c>
      <c r="BW1193" s="198">
        <v>8.0762999999999998</v>
      </c>
      <c r="BX1193" s="198">
        <v>1.1956</v>
      </c>
      <c r="BZ1193" s="1051">
        <v>43494</v>
      </c>
      <c r="CA1193" s="198">
        <v>13.473699999999999</v>
      </c>
      <c r="CB1193" s="198">
        <v>4.1323999999999996</v>
      </c>
      <c r="CC1193" s="198">
        <v>14.535600000000001</v>
      </c>
      <c r="CD1193" s="198">
        <v>1.4994400000000001</v>
      </c>
      <c r="CF1193" s="1051">
        <v>43493</v>
      </c>
      <c r="CI1193" s="198">
        <v>9.9860000000000007</v>
      </c>
      <c r="CL1193" s="1051">
        <v>43521</v>
      </c>
      <c r="CM1193" s="198">
        <v>14.9831</v>
      </c>
      <c r="CN1193" s="198">
        <v>2.2341000000000002</v>
      </c>
      <c r="CO1193" s="198">
        <v>11.1625</v>
      </c>
    </row>
    <row r="1194" spans="1:93" s="198" customFormat="1">
      <c r="A1194" s="1051">
        <v>43493</v>
      </c>
      <c r="B1194" s="1052">
        <f t="shared" si="192"/>
        <v>8.3461999999999996</v>
      </c>
      <c r="C1194" s="1052">
        <f t="shared" si="193"/>
        <v>6.5670000000000002</v>
      </c>
      <c r="D1194" s="1052">
        <f t="shared" si="188"/>
        <v>7.7145000000000001</v>
      </c>
      <c r="E1194" s="1052">
        <f t="shared" si="189"/>
        <v>7.0793999999999997</v>
      </c>
      <c r="F1194" s="1052">
        <f t="shared" si="190"/>
        <v>13.8857</v>
      </c>
      <c r="G1194" s="1052">
        <f t="shared" si="191"/>
        <v>7.2325999999999997</v>
      </c>
      <c r="H1194" s="1047">
        <f t="shared" si="185"/>
        <v>7.2325999999999997</v>
      </c>
      <c r="I1194" s="1048">
        <f t="shared" si="183"/>
        <v>0.15396952686447474</v>
      </c>
      <c r="J1194" s="1048">
        <f t="shared" si="186"/>
        <v>0.12093838824177333</v>
      </c>
      <c r="K1194" s="1048">
        <f t="shared" si="187"/>
        <v>0.1</v>
      </c>
      <c r="L1194" s="1048"/>
      <c r="N1194" s="1051">
        <v>43493</v>
      </c>
      <c r="O1194" s="1053">
        <v>8.3461999999999996</v>
      </c>
      <c r="P1194" s="1053">
        <v>1.2092000000000001</v>
      </c>
      <c r="Q1194" s="1053">
        <v>11.3881</v>
      </c>
      <c r="R1194" s="1054">
        <f>'B. PE'!$U$23</f>
        <v>15.978235616082999</v>
      </c>
      <c r="S1194" s="1054"/>
      <c r="T1194" s="1054"/>
      <c r="V1194" s="1051">
        <v>43493</v>
      </c>
      <c r="W1194" s="198">
        <v>6.5670000000000002</v>
      </c>
      <c r="X1194" s="198">
        <v>0.47420000000000001</v>
      </c>
      <c r="Y1194" s="198">
        <v>5.7788000000000004</v>
      </c>
      <c r="Z1194" s="198">
        <v>0.29474</v>
      </c>
      <c r="AB1194" s="1051">
        <v>43446</v>
      </c>
      <c r="AC1194" s="198">
        <v>8.8514999999999997</v>
      </c>
      <c r="AD1194" s="1053">
        <v>1.4839</v>
      </c>
      <c r="AE1194" s="198">
        <v>8.7978000000000005</v>
      </c>
      <c r="AF1194" s="198">
        <v>2.8879999999999999E-2</v>
      </c>
      <c r="AH1194" s="1051">
        <v>43446</v>
      </c>
      <c r="AI1194" s="198">
        <v>7.0254000000000003</v>
      </c>
      <c r="AJ1194" s="198">
        <v>1.2033</v>
      </c>
      <c r="AK1194" s="198">
        <v>4.3479999999999999</v>
      </c>
      <c r="AL1194" s="198">
        <v>1.15E-2</v>
      </c>
      <c r="AN1194" s="1051">
        <v>43455</v>
      </c>
      <c r="AO1194" s="198">
        <v>5.8710000000000004</v>
      </c>
      <c r="AP1194" s="198">
        <v>0.57609999999999995</v>
      </c>
      <c r="AQ1194" s="198">
        <v>2.7877000000000001</v>
      </c>
      <c r="AR1194" s="198">
        <v>0.11366</v>
      </c>
      <c r="BA1194" s="1051">
        <v>43438</v>
      </c>
      <c r="BB1194" s="198">
        <v>8.6928000000000001</v>
      </c>
      <c r="BC1194" s="198">
        <v>1.7273000000000001</v>
      </c>
      <c r="BD1194" s="198">
        <v>10.0291</v>
      </c>
      <c r="BE1194" s="198">
        <v>0.30057</v>
      </c>
      <c r="BG1194" s="1051">
        <v>43438</v>
      </c>
      <c r="BH1194" s="198">
        <v>14.4444</v>
      </c>
      <c r="BI1194" s="198">
        <v>3.4718</v>
      </c>
      <c r="BJ1194" s="198">
        <v>17.243300000000001</v>
      </c>
      <c r="BT1194" s="1051">
        <v>43493</v>
      </c>
      <c r="BU1194" s="198">
        <v>12.4369</v>
      </c>
      <c r="BV1194" s="198">
        <v>4.1268000000000002</v>
      </c>
      <c r="BW1194" s="198">
        <v>7.9109999999999996</v>
      </c>
      <c r="BX1194" s="198">
        <v>1.2017</v>
      </c>
      <c r="BZ1194" s="1051">
        <v>43493</v>
      </c>
      <c r="CA1194" s="198">
        <v>13.4932</v>
      </c>
      <c r="CB1194" s="198">
        <v>4.1383999999999999</v>
      </c>
      <c r="CC1194" s="198">
        <v>14.5504</v>
      </c>
      <c r="CD1194" s="198">
        <v>1.4999</v>
      </c>
      <c r="CF1194" s="1051">
        <v>43490</v>
      </c>
      <c r="CG1194" s="198">
        <v>6.5899000000000001</v>
      </c>
      <c r="CH1194" s="198">
        <v>1.2379</v>
      </c>
      <c r="CI1194" s="198">
        <v>9.9860000000000007</v>
      </c>
      <c r="CL1194" s="1051">
        <v>43518</v>
      </c>
      <c r="CM1194" s="198">
        <v>15.085100000000001</v>
      </c>
      <c r="CN1194" s="198">
        <v>2.2494000000000001</v>
      </c>
      <c r="CO1194" s="198">
        <v>11.2478</v>
      </c>
    </row>
    <row r="1195" spans="1:93" s="198" customFormat="1">
      <c r="A1195" s="1051">
        <v>43490</v>
      </c>
      <c r="B1195" s="1052">
        <f t="shared" si="192"/>
        <v>8.3461999999999996</v>
      </c>
      <c r="C1195" s="1052">
        <f t="shared" si="193"/>
        <v>6.5750999999999999</v>
      </c>
      <c r="D1195" s="1052">
        <f t="shared" si="188"/>
        <v>7.7998000000000003</v>
      </c>
      <c r="E1195" s="1052">
        <f t="shared" si="189"/>
        <v>7.0064000000000002</v>
      </c>
      <c r="F1195" s="1052">
        <f t="shared" si="190"/>
        <v>13.565300000000001</v>
      </c>
      <c r="G1195" s="1052">
        <f t="shared" si="191"/>
        <v>7.2701000000000002</v>
      </c>
      <c r="H1195" s="1047">
        <f t="shared" si="185"/>
        <v>7.2701000000000002</v>
      </c>
      <c r="I1195" s="1048">
        <f t="shared" si="183"/>
        <v>0.14801722122116612</v>
      </c>
      <c r="J1195" s="1048">
        <f t="shared" si="186"/>
        <v>0.12093838824177333</v>
      </c>
      <c r="K1195" s="1048">
        <f t="shared" si="187"/>
        <v>0.1</v>
      </c>
      <c r="L1195" s="1048"/>
      <c r="N1195" s="1051">
        <v>43490</v>
      </c>
      <c r="O1195" s="1053">
        <v>8.3461999999999996</v>
      </c>
      <c r="P1195" s="1053">
        <v>1.2092000000000001</v>
      </c>
      <c r="Q1195" s="1053">
        <v>11.3881</v>
      </c>
      <c r="R1195" s="1054">
        <f>'B. PE'!$U$23</f>
        <v>15.978235616082999</v>
      </c>
      <c r="S1195" s="1054"/>
      <c r="T1195" s="1054"/>
      <c r="V1195" s="1051">
        <v>43490</v>
      </c>
      <c r="W1195" s="198">
        <v>6.5750999999999999</v>
      </c>
      <c r="X1195" s="198">
        <v>0.4748</v>
      </c>
      <c r="Y1195" s="198">
        <v>5.7816999999999998</v>
      </c>
      <c r="Z1195" s="198">
        <v>0.29474</v>
      </c>
      <c r="AB1195" s="1051">
        <v>43445</v>
      </c>
      <c r="AC1195" s="198">
        <v>8.5798000000000005</v>
      </c>
      <c r="AD1195" s="1053">
        <v>1.4382999999999999</v>
      </c>
      <c r="AE1195" s="198">
        <v>8.6332000000000004</v>
      </c>
      <c r="AF1195" s="198">
        <v>3.0269999999999998E-2</v>
      </c>
      <c r="AH1195" s="1051">
        <v>43445</v>
      </c>
      <c r="AI1195" s="198">
        <v>7.1101000000000001</v>
      </c>
      <c r="AJ1195" s="198">
        <v>1.2178</v>
      </c>
      <c r="AK1195" s="198">
        <v>4.3903999999999996</v>
      </c>
      <c r="AL1195" s="198">
        <v>1.142E-2</v>
      </c>
      <c r="AN1195" s="1051">
        <v>43454</v>
      </c>
      <c r="AO1195" s="198">
        <v>5.9676999999999998</v>
      </c>
      <c r="AP1195" s="198">
        <v>0.58560000000000001</v>
      </c>
      <c r="AQ1195" s="198">
        <v>2.8654999999999999</v>
      </c>
      <c r="AR1195" s="198">
        <v>0.11205</v>
      </c>
      <c r="BA1195" s="1051">
        <v>43437</v>
      </c>
      <c r="BB1195" s="198">
        <v>8.6493000000000002</v>
      </c>
      <c r="BC1195" s="198">
        <v>1.7185999999999999</v>
      </c>
      <c r="BD1195" s="198">
        <v>9.9956999999999994</v>
      </c>
      <c r="BE1195" s="198">
        <v>0.30201</v>
      </c>
      <c r="BG1195" s="1051">
        <v>43437</v>
      </c>
      <c r="BH1195" s="198">
        <v>14.333299999999999</v>
      </c>
      <c r="BI1195" s="198">
        <v>3.4451000000000001</v>
      </c>
      <c r="BJ1195" s="198">
        <v>17.150500000000001</v>
      </c>
      <c r="BT1195" s="1051">
        <v>43490</v>
      </c>
      <c r="BU1195" s="198">
        <v>12.3774</v>
      </c>
      <c r="BV1195" s="198">
        <v>4.1071</v>
      </c>
      <c r="BW1195" s="198">
        <v>7.8761999999999999</v>
      </c>
      <c r="BX1195" s="198">
        <v>1.2017</v>
      </c>
      <c r="BZ1195" s="1051">
        <v>43490</v>
      </c>
      <c r="CA1195" s="198">
        <v>13.4932</v>
      </c>
      <c r="CB1195" s="198">
        <v>4.1383999999999999</v>
      </c>
      <c r="CC1195" s="198">
        <v>14.5504</v>
      </c>
      <c r="CD1195" s="198">
        <v>1.4999</v>
      </c>
      <c r="CF1195" s="1051">
        <v>43489</v>
      </c>
      <c r="CG1195" s="198">
        <v>6.5015000000000001</v>
      </c>
      <c r="CH1195" s="198">
        <v>1.2213000000000001</v>
      </c>
      <c r="CI1195" s="198">
        <v>9.9390000000000001</v>
      </c>
      <c r="CL1195" s="1051">
        <v>43517</v>
      </c>
      <c r="CM1195" s="198">
        <v>14.7918</v>
      </c>
      <c r="CN1195" s="198">
        <v>2.2056</v>
      </c>
      <c r="CO1195" s="198">
        <v>11.002599999999999</v>
      </c>
    </row>
    <row r="1196" spans="1:93" s="198" customFormat="1">
      <c r="A1196" s="1051">
        <v>43489</v>
      </c>
      <c r="B1196" s="1052">
        <f t="shared" si="192"/>
        <v>8.4194999999999993</v>
      </c>
      <c r="C1196" s="1052">
        <f t="shared" si="193"/>
        <v>6.5914000000000001</v>
      </c>
      <c r="D1196" s="1052">
        <f t="shared" si="188"/>
        <v>7.7572000000000001</v>
      </c>
      <c r="E1196" s="1052">
        <f t="shared" si="189"/>
        <v>7.1524000000000001</v>
      </c>
      <c r="F1196" s="1052">
        <f t="shared" si="190"/>
        <v>13.565300000000001</v>
      </c>
      <c r="G1196" s="1052">
        <f t="shared" si="191"/>
        <v>7.1577000000000002</v>
      </c>
      <c r="H1196" s="1047">
        <f t="shared" si="185"/>
        <v>7.1577000000000002</v>
      </c>
      <c r="I1196" s="1048">
        <f t="shared" si="183"/>
        <v>0.17628567836036702</v>
      </c>
      <c r="J1196" s="1048">
        <f t="shared" si="186"/>
        <v>0.12093838824177333</v>
      </c>
      <c r="K1196" s="1048">
        <f t="shared" si="187"/>
        <v>0.1</v>
      </c>
      <c r="L1196" s="1048"/>
      <c r="N1196" s="1051">
        <v>43489</v>
      </c>
      <c r="O1196" s="1053">
        <v>8.4194999999999993</v>
      </c>
      <c r="P1196" s="1053">
        <v>1.2198</v>
      </c>
      <c r="Q1196" s="1053">
        <v>11.4427</v>
      </c>
      <c r="R1196" s="1054">
        <f>'B. PE'!$U$23</f>
        <v>15.978235616082999</v>
      </c>
      <c r="S1196" s="1054"/>
      <c r="T1196" s="1054"/>
      <c r="V1196" s="1051">
        <v>43489</v>
      </c>
      <c r="W1196" s="198">
        <v>6.5914000000000001</v>
      </c>
      <c r="X1196" s="198">
        <v>0.47599999999999998</v>
      </c>
      <c r="Y1196" s="198">
        <v>5.7876000000000003</v>
      </c>
      <c r="Z1196" s="198">
        <v>0.29316999999999999</v>
      </c>
      <c r="AB1196" s="1051">
        <v>43444</v>
      </c>
      <c r="AC1196" s="198">
        <v>8.1915999999999993</v>
      </c>
      <c r="AD1196" s="1053">
        <v>1.3733</v>
      </c>
      <c r="AE1196" s="198">
        <v>8.3980999999999995</v>
      </c>
      <c r="AF1196" s="198">
        <v>3.0159999999999999E-2</v>
      </c>
      <c r="AH1196" s="1051">
        <v>43444</v>
      </c>
      <c r="AI1196" s="198">
        <v>7.1101000000000001</v>
      </c>
      <c r="AJ1196" s="198">
        <v>1.2178</v>
      </c>
      <c r="AK1196" s="198">
        <v>4.3903999999999996</v>
      </c>
      <c r="AL1196" s="198">
        <v>1.1310000000000001E-2</v>
      </c>
      <c r="AN1196" s="1051">
        <v>43453</v>
      </c>
      <c r="AO1196" s="198">
        <v>6.1289999999999996</v>
      </c>
      <c r="AP1196" s="198">
        <v>0.60140000000000005</v>
      </c>
      <c r="AQ1196" s="198">
        <v>2.9952000000000001</v>
      </c>
      <c r="AR1196" s="198">
        <v>0.11513</v>
      </c>
      <c r="BA1196" s="1051">
        <v>43434</v>
      </c>
      <c r="BB1196" s="198">
        <v>8.6058000000000003</v>
      </c>
      <c r="BC1196" s="198">
        <v>1.71</v>
      </c>
      <c r="BD1196" s="198">
        <v>9.9621999999999993</v>
      </c>
      <c r="BE1196" s="198">
        <v>0.30202000000000001</v>
      </c>
      <c r="BG1196" s="1051">
        <v>43434</v>
      </c>
      <c r="BH1196" s="198">
        <v>14</v>
      </c>
      <c r="BI1196" s="198">
        <v>3.3650000000000002</v>
      </c>
      <c r="BJ1196" s="198">
        <v>16.8721</v>
      </c>
      <c r="BT1196" s="1051">
        <v>43489</v>
      </c>
      <c r="BU1196" s="198">
        <v>12.4369</v>
      </c>
      <c r="BV1196" s="198">
        <v>4.1268000000000002</v>
      </c>
      <c r="BW1196" s="198">
        <v>7.9109999999999996</v>
      </c>
      <c r="BX1196" s="198">
        <v>1.2040999999999999</v>
      </c>
      <c r="BZ1196" s="1051">
        <v>43489</v>
      </c>
      <c r="CA1196" s="198">
        <v>13.4932</v>
      </c>
      <c r="CB1196" s="198">
        <v>4.1383999999999999</v>
      </c>
      <c r="CC1196" s="198">
        <v>14.5504</v>
      </c>
      <c r="CD1196" s="198">
        <v>1.49932</v>
      </c>
      <c r="CF1196" s="1051">
        <v>43488</v>
      </c>
      <c r="CI1196" s="198">
        <v>9.8918999999999997</v>
      </c>
      <c r="CL1196" s="1051">
        <v>43516</v>
      </c>
      <c r="CM1196" s="198">
        <v>14.728</v>
      </c>
      <c r="CN1196" s="198">
        <v>2.1960999999999999</v>
      </c>
      <c r="CO1196" s="198">
        <v>10.949299999999999</v>
      </c>
    </row>
    <row r="1197" spans="1:93" s="198" customFormat="1">
      <c r="A1197" s="1051">
        <v>43488</v>
      </c>
      <c r="B1197" s="1052">
        <f t="shared" si="192"/>
        <v>8.4560999999999993</v>
      </c>
      <c r="C1197" s="1052">
        <f t="shared" si="193"/>
        <v>6.5914000000000001</v>
      </c>
      <c r="D1197" s="1052">
        <f t="shared" si="188"/>
        <v>7.7998000000000003</v>
      </c>
      <c r="E1197" s="1052">
        <f t="shared" si="189"/>
        <v>7.0064000000000002</v>
      </c>
      <c r="F1197" s="1052">
        <f t="shared" si="190"/>
        <v>13.7789</v>
      </c>
      <c r="G1197" s="1052">
        <f t="shared" si="191"/>
        <v>7.2325999999999997</v>
      </c>
      <c r="H1197" s="1047">
        <f t="shared" si="185"/>
        <v>7.2325999999999997</v>
      </c>
      <c r="I1197" s="1048">
        <f t="shared" si="183"/>
        <v>0.16916461576749708</v>
      </c>
      <c r="J1197" s="1048">
        <f t="shared" si="186"/>
        <v>0.12093838824177333</v>
      </c>
      <c r="K1197" s="1048">
        <f t="shared" si="187"/>
        <v>0.1</v>
      </c>
      <c r="L1197" s="1048"/>
      <c r="N1197" s="1051">
        <v>43488</v>
      </c>
      <c r="O1197" s="1053">
        <v>8.4560999999999993</v>
      </c>
      <c r="P1197" s="1053">
        <v>1.2251000000000001</v>
      </c>
      <c r="Q1197" s="1053">
        <v>11.47</v>
      </c>
      <c r="R1197" s="1054">
        <f>'B. PE'!$U$23</f>
        <v>15.978235616082999</v>
      </c>
      <c r="S1197" s="1054"/>
      <c r="T1197" s="1054"/>
      <c r="V1197" s="1051">
        <v>43488</v>
      </c>
      <c r="W1197" s="198">
        <v>6.5914000000000001</v>
      </c>
      <c r="X1197" s="198">
        <v>0.47599999999999998</v>
      </c>
      <c r="Y1197" s="198">
        <v>5.7876000000000003</v>
      </c>
      <c r="Z1197" s="198">
        <v>0.29171999999999998</v>
      </c>
      <c r="AB1197" s="1051">
        <v>43441</v>
      </c>
      <c r="AC1197" s="198">
        <v>8.5410000000000004</v>
      </c>
      <c r="AD1197" s="1053">
        <v>1.4318</v>
      </c>
      <c r="AE1197" s="198">
        <v>8.6097000000000001</v>
      </c>
      <c r="AF1197" s="198">
        <v>3.2680000000000001E-2</v>
      </c>
      <c r="AH1197" s="1051">
        <v>43441</v>
      </c>
      <c r="AI1197" s="198">
        <v>7.0254000000000003</v>
      </c>
      <c r="AJ1197" s="198">
        <v>1.2033</v>
      </c>
      <c r="AK1197" s="198">
        <v>4.3479999999999999</v>
      </c>
      <c r="AL1197" s="198">
        <v>1.163E-2</v>
      </c>
      <c r="AN1197" s="1051">
        <v>43452</v>
      </c>
      <c r="AO1197" s="198">
        <v>6.0644999999999998</v>
      </c>
      <c r="AP1197" s="198">
        <v>0.59509999999999996</v>
      </c>
      <c r="AQ1197" s="198">
        <v>2.9432999999999998</v>
      </c>
      <c r="AR1197" s="198">
        <v>0.11588</v>
      </c>
      <c r="BA1197" s="1051">
        <v>43433</v>
      </c>
      <c r="BB1197" s="198">
        <v>8.6493000000000002</v>
      </c>
      <c r="BC1197" s="198">
        <v>1.7185999999999999</v>
      </c>
      <c r="BD1197" s="198">
        <v>9.9956999999999994</v>
      </c>
      <c r="BE1197" s="198">
        <v>0.30249999999999999</v>
      </c>
      <c r="BG1197" s="1051">
        <v>43433</v>
      </c>
      <c r="BH1197" s="198">
        <v>13.8889</v>
      </c>
      <c r="BI1197" s="198">
        <v>3.3382999999999998</v>
      </c>
      <c r="BJ1197" s="198">
        <v>16.779299999999999</v>
      </c>
      <c r="BT1197" s="1051">
        <v>43488</v>
      </c>
      <c r="BU1197" s="198">
        <v>12.4369</v>
      </c>
      <c r="BV1197" s="198">
        <v>4.1268000000000002</v>
      </c>
      <c r="BW1197" s="198">
        <v>7.9109999999999996</v>
      </c>
      <c r="BX1197" s="198">
        <v>1.2025999999999999</v>
      </c>
      <c r="BZ1197" s="1051">
        <v>43488</v>
      </c>
      <c r="CA1197" s="198">
        <v>13.4932</v>
      </c>
      <c r="CB1197" s="198">
        <v>4.1383999999999999</v>
      </c>
      <c r="CC1197" s="198">
        <v>14.5504</v>
      </c>
      <c r="CD1197" s="198">
        <v>1.50583</v>
      </c>
      <c r="CF1197" s="1051">
        <v>43487</v>
      </c>
      <c r="CG1197" s="198">
        <v>6.4130000000000003</v>
      </c>
      <c r="CH1197" s="198">
        <v>1.2047000000000001</v>
      </c>
      <c r="CI1197" s="198">
        <v>9.8918999999999997</v>
      </c>
      <c r="CL1197" s="1051">
        <v>43515</v>
      </c>
      <c r="CM1197" s="198">
        <v>15.4039</v>
      </c>
      <c r="CN1197" s="198">
        <v>2.2968999999999999</v>
      </c>
      <c r="CO1197" s="198">
        <v>11.514200000000001</v>
      </c>
    </row>
    <row r="1198" spans="1:93" s="198" customFormat="1">
      <c r="A1198" s="1051">
        <v>43487</v>
      </c>
      <c r="B1198" s="1052">
        <f t="shared" si="192"/>
        <v>8.4194999999999993</v>
      </c>
      <c r="C1198" s="1052">
        <f t="shared" si="193"/>
        <v>6.5589000000000004</v>
      </c>
      <c r="D1198" s="1052">
        <f t="shared" si="188"/>
        <v>7.5014000000000003</v>
      </c>
      <c r="E1198" s="1052">
        <f t="shared" si="189"/>
        <v>7.0793999999999997</v>
      </c>
      <c r="F1198" s="1052">
        <f t="shared" si="190"/>
        <v>12.817600000000001</v>
      </c>
      <c r="G1198" s="1052">
        <f t="shared" si="191"/>
        <v>7.2325999999999997</v>
      </c>
      <c r="H1198" s="1047">
        <f t="shared" si="185"/>
        <v>7.2325999999999997</v>
      </c>
      <c r="I1198" s="1048">
        <f t="shared" si="183"/>
        <v>0.16410419489533501</v>
      </c>
      <c r="J1198" s="1048">
        <f t="shared" si="186"/>
        <v>0.12093838824177333</v>
      </c>
      <c r="K1198" s="1048">
        <f t="shared" si="187"/>
        <v>0.1</v>
      </c>
      <c r="L1198" s="1048"/>
      <c r="N1198" s="1051">
        <v>43487</v>
      </c>
      <c r="O1198" s="1053">
        <v>8.4194999999999993</v>
      </c>
      <c r="P1198" s="1053">
        <v>1.2198</v>
      </c>
      <c r="Q1198" s="1053">
        <v>11.4427</v>
      </c>
      <c r="R1198" s="1054">
        <f>'B. PE'!$U$23</f>
        <v>15.978235616082999</v>
      </c>
      <c r="S1198" s="1054"/>
      <c r="T1198" s="1054"/>
      <c r="V1198" s="1051">
        <v>43487</v>
      </c>
      <c r="W1198" s="198">
        <v>6.5589000000000004</v>
      </c>
      <c r="X1198" s="198">
        <v>0.47360000000000002</v>
      </c>
      <c r="Y1198" s="198">
        <v>5.7758000000000003</v>
      </c>
      <c r="Z1198" s="198">
        <v>0.29315000000000002</v>
      </c>
      <c r="AB1198" s="1051">
        <v>43440</v>
      </c>
      <c r="AC1198" s="198">
        <v>8.5410000000000004</v>
      </c>
      <c r="AD1198" s="1053">
        <v>1.4318</v>
      </c>
      <c r="AE1198" s="198">
        <v>8.6097000000000001</v>
      </c>
      <c r="AF1198" s="198">
        <v>3.2460000000000003E-2</v>
      </c>
      <c r="AH1198" s="1051">
        <v>43440</v>
      </c>
      <c r="AI1198" s="198">
        <v>6.9831000000000003</v>
      </c>
      <c r="AJ1198" s="198">
        <v>1.1960999999999999</v>
      </c>
      <c r="AK1198" s="198">
        <v>4.3268000000000004</v>
      </c>
      <c r="AL1198" s="198">
        <v>1.1509999999999999E-2</v>
      </c>
      <c r="AN1198" s="1051">
        <v>43451</v>
      </c>
      <c r="AO1198" s="198">
        <v>6.1935000000000002</v>
      </c>
      <c r="AP1198" s="198">
        <v>0.60780000000000001</v>
      </c>
      <c r="AQ1198" s="198">
        <v>3.0470000000000002</v>
      </c>
      <c r="AR1198" s="198">
        <v>0.11593000000000001</v>
      </c>
      <c r="BA1198" s="1051">
        <v>43432</v>
      </c>
      <c r="BB1198" s="198">
        <v>8.6493000000000002</v>
      </c>
      <c r="BC1198" s="198">
        <v>1.7185999999999999</v>
      </c>
      <c r="BD1198" s="198">
        <v>9.9956999999999994</v>
      </c>
      <c r="BE1198" s="198">
        <v>0.30293999999999999</v>
      </c>
      <c r="BG1198" s="1051">
        <v>43432</v>
      </c>
      <c r="BH1198" s="198">
        <v>14</v>
      </c>
      <c r="BI1198" s="198">
        <v>3.3650000000000002</v>
      </c>
      <c r="BJ1198" s="198">
        <v>16.8721</v>
      </c>
      <c r="BT1198" s="1051">
        <v>43487</v>
      </c>
      <c r="BU1198" s="198">
        <v>12.4666</v>
      </c>
      <c r="BV1198" s="198">
        <v>4.1367000000000003</v>
      </c>
      <c r="BW1198" s="198">
        <v>7.9283999999999999</v>
      </c>
      <c r="BX1198" s="198">
        <v>1.2125999999999999</v>
      </c>
      <c r="BZ1198" s="1051">
        <v>43487</v>
      </c>
      <c r="CA1198" s="198">
        <v>13.4932</v>
      </c>
      <c r="CB1198" s="198">
        <v>4.1383999999999999</v>
      </c>
      <c r="CC1198" s="198">
        <v>14.5504</v>
      </c>
      <c r="CD1198" s="198">
        <v>1.49919</v>
      </c>
      <c r="CF1198" s="1051">
        <v>43486</v>
      </c>
      <c r="CG1198" s="198">
        <v>6.6341000000000001</v>
      </c>
      <c r="CH1198" s="198">
        <v>1.2462</v>
      </c>
      <c r="CI1198" s="198">
        <v>10.009600000000001</v>
      </c>
      <c r="CL1198" s="1051">
        <v>43514</v>
      </c>
      <c r="CM1198" s="198">
        <v>15.6844</v>
      </c>
      <c r="CN1198" s="198">
        <v>2.3386999999999998</v>
      </c>
      <c r="CO1198" s="198">
        <v>11.748699999999999</v>
      </c>
    </row>
    <row r="1199" spans="1:93" s="198" customFormat="1">
      <c r="A1199" s="1051">
        <v>43486</v>
      </c>
      <c r="B1199" s="1052">
        <f t="shared" si="192"/>
        <v>8.5292999999999992</v>
      </c>
      <c r="C1199" s="1052">
        <f t="shared" si="193"/>
        <v>6.5263999999999998</v>
      </c>
      <c r="D1199" s="1052">
        <f t="shared" si="188"/>
        <v>7.5014000000000003</v>
      </c>
      <c r="E1199" s="1052">
        <f t="shared" si="189"/>
        <v>7.0793999999999997</v>
      </c>
      <c r="F1199" s="1052">
        <f t="shared" si="190"/>
        <v>12.710800000000001</v>
      </c>
      <c r="G1199" s="1052">
        <f t="shared" si="191"/>
        <v>7.3825000000000003</v>
      </c>
      <c r="H1199" s="1047">
        <f t="shared" si="185"/>
        <v>7.3825000000000003</v>
      </c>
      <c r="I1199" s="1048">
        <f t="shared" si="183"/>
        <v>0.15534033186589902</v>
      </c>
      <c r="J1199" s="1048">
        <f t="shared" si="186"/>
        <v>0.12093838824177333</v>
      </c>
      <c r="K1199" s="1048">
        <f t="shared" si="187"/>
        <v>0.1</v>
      </c>
      <c r="L1199" s="1048"/>
      <c r="N1199" s="1051">
        <v>43486</v>
      </c>
      <c r="O1199" s="1053">
        <v>8.5292999999999992</v>
      </c>
      <c r="P1199" s="1053">
        <v>1.2357</v>
      </c>
      <c r="Q1199" s="1053">
        <v>11.524699999999999</v>
      </c>
      <c r="R1199" s="1054">
        <f>'B. PE'!$U$23</f>
        <v>15.978235616082999</v>
      </c>
      <c r="S1199" s="1054"/>
      <c r="T1199" s="1054"/>
      <c r="V1199" s="1051">
        <v>43486</v>
      </c>
      <c r="W1199" s="198">
        <v>6.5263999999999998</v>
      </c>
      <c r="X1199" s="198">
        <v>0.4713</v>
      </c>
      <c r="Y1199" s="198">
        <v>5.7638999999999996</v>
      </c>
      <c r="Z1199" s="198">
        <v>0.29255999999999999</v>
      </c>
      <c r="AB1199" s="1051">
        <v>43439</v>
      </c>
      <c r="AC1199" s="198">
        <v>9.1621000000000006</v>
      </c>
      <c r="AD1199" s="1053">
        <v>1.536</v>
      </c>
      <c r="AE1199" s="198">
        <v>8.9857999999999993</v>
      </c>
      <c r="AF1199" s="198">
        <v>3.2439999999999997E-2</v>
      </c>
      <c r="AH1199" s="1051">
        <v>43439</v>
      </c>
      <c r="AI1199" s="198">
        <v>7.1101000000000001</v>
      </c>
      <c r="AJ1199" s="198">
        <v>1.2178</v>
      </c>
      <c r="AK1199" s="198">
        <v>4.3903999999999996</v>
      </c>
      <c r="AL1199" s="198">
        <v>1.153E-2</v>
      </c>
      <c r="AN1199" s="1051">
        <v>43448</v>
      </c>
      <c r="AO1199" s="198">
        <v>6.2580999999999998</v>
      </c>
      <c r="AP1199" s="198">
        <v>0.61409999999999998</v>
      </c>
      <c r="AQ1199" s="198">
        <v>3.0989</v>
      </c>
      <c r="AR1199" s="198">
        <v>0.1157</v>
      </c>
      <c r="BA1199" s="1051">
        <v>43431</v>
      </c>
      <c r="BB1199" s="198">
        <v>8.6928000000000001</v>
      </c>
      <c r="BC1199" s="198">
        <v>1.7273000000000001</v>
      </c>
      <c r="BD1199" s="198">
        <v>10.0291</v>
      </c>
      <c r="BE1199" s="198">
        <v>0.30234</v>
      </c>
      <c r="BG1199" s="1051">
        <v>43431</v>
      </c>
      <c r="BH1199" s="198">
        <v>13.777799999999999</v>
      </c>
      <c r="BI1199" s="198">
        <v>3.3115999999999999</v>
      </c>
      <c r="BJ1199" s="198">
        <v>16.686499999999999</v>
      </c>
      <c r="BT1199" s="1051">
        <v>43486</v>
      </c>
      <c r="BU1199" s="198">
        <v>12.451700000000001</v>
      </c>
      <c r="BV1199" s="198">
        <v>4.1317000000000004</v>
      </c>
      <c r="BW1199" s="198">
        <v>7.9196999999999997</v>
      </c>
      <c r="BX1199" s="198">
        <v>1.2261</v>
      </c>
      <c r="BZ1199" s="1051">
        <v>43486</v>
      </c>
      <c r="CA1199" s="198">
        <v>13.5519</v>
      </c>
      <c r="CB1199" s="198">
        <v>4.1562999999999999</v>
      </c>
      <c r="CC1199" s="198">
        <v>14.5946</v>
      </c>
      <c r="CD1199" s="198">
        <v>1.52163</v>
      </c>
      <c r="CF1199" s="1051">
        <v>43483</v>
      </c>
      <c r="CG1199" s="198">
        <v>6.6341000000000001</v>
      </c>
      <c r="CH1199" s="198">
        <v>1.2462</v>
      </c>
      <c r="CI1199" s="198">
        <v>10.009600000000001</v>
      </c>
      <c r="CL1199" s="1051">
        <v>43511</v>
      </c>
      <c r="CM1199" s="198">
        <v>15.6206</v>
      </c>
      <c r="CN1199" s="198">
        <v>2.3292000000000002</v>
      </c>
      <c r="CO1199" s="198">
        <v>11.695399999999999</v>
      </c>
    </row>
    <row r="1200" spans="1:93" s="198" customFormat="1">
      <c r="A1200" s="1051">
        <v>43483</v>
      </c>
      <c r="B1200" s="1052">
        <f t="shared" si="192"/>
        <v>8.2729999999999997</v>
      </c>
      <c r="C1200" s="1052">
        <f t="shared" si="193"/>
        <v>6.5589000000000004</v>
      </c>
      <c r="D1200" s="1052">
        <f t="shared" si="188"/>
        <v>7.3308999999999997</v>
      </c>
      <c r="E1200" s="1052">
        <f t="shared" si="189"/>
        <v>7.0793999999999997</v>
      </c>
      <c r="F1200" s="1052">
        <f t="shared" si="190"/>
        <v>12.603999999999999</v>
      </c>
      <c r="G1200" s="1052">
        <f t="shared" si="191"/>
        <v>7.42</v>
      </c>
      <c r="H1200" s="1047">
        <f t="shared" si="185"/>
        <v>7.3308999999999997</v>
      </c>
      <c r="I1200" s="1048">
        <f t="shared" si="183"/>
        <v>0.12851082404616077</v>
      </c>
      <c r="J1200" s="1048">
        <f t="shared" si="186"/>
        <v>0.12093838824177333</v>
      </c>
      <c r="K1200" s="1048">
        <f t="shared" si="187"/>
        <v>0.1</v>
      </c>
      <c r="L1200" s="1048"/>
      <c r="N1200" s="1051">
        <v>43483</v>
      </c>
      <c r="O1200" s="1053">
        <v>8.2729999999999997</v>
      </c>
      <c r="P1200" s="1053">
        <v>1.1986000000000001</v>
      </c>
      <c r="Q1200" s="1053">
        <v>11.333399999999999</v>
      </c>
      <c r="R1200" s="1054">
        <f>'B. PE'!$U$23</f>
        <v>15.978235616082999</v>
      </c>
      <c r="S1200" s="1054"/>
      <c r="T1200" s="1054"/>
      <c r="V1200" s="1051">
        <v>43483</v>
      </c>
      <c r="W1200" s="198">
        <v>6.5589000000000004</v>
      </c>
      <c r="X1200" s="198">
        <v>0.47360000000000002</v>
      </c>
      <c r="Y1200" s="198">
        <v>5.7758000000000003</v>
      </c>
      <c r="Z1200" s="198">
        <v>0.29255999999999999</v>
      </c>
      <c r="AB1200" s="1051">
        <v>43438</v>
      </c>
      <c r="AC1200" s="198">
        <v>9.0845000000000002</v>
      </c>
      <c r="AD1200" s="1053">
        <v>1.5228999999999999</v>
      </c>
      <c r="AE1200" s="198">
        <v>8.9388000000000005</v>
      </c>
      <c r="AF1200" s="198">
        <v>3.0839999999999999E-2</v>
      </c>
      <c r="AH1200" s="1051">
        <v>43438</v>
      </c>
      <c r="AI1200" s="198">
        <v>7.0254000000000003</v>
      </c>
      <c r="AJ1200" s="198">
        <v>1.2033</v>
      </c>
      <c r="AK1200" s="198">
        <v>4.3479999999999999</v>
      </c>
      <c r="AL1200" s="198">
        <v>1.1440000000000001E-2</v>
      </c>
      <c r="AN1200" s="1051">
        <v>43447</v>
      </c>
      <c r="AO1200" s="198">
        <v>6.2580999999999998</v>
      </c>
      <c r="AP1200" s="198">
        <v>0.61409999999999998</v>
      </c>
      <c r="AQ1200" s="198">
        <v>3.0989</v>
      </c>
      <c r="AR1200" s="198">
        <v>0.1159</v>
      </c>
      <c r="BA1200" s="1051">
        <v>43430</v>
      </c>
      <c r="BB1200" s="198">
        <v>8.6928000000000001</v>
      </c>
      <c r="BC1200" s="198">
        <v>1.7273000000000001</v>
      </c>
      <c r="BD1200" s="198">
        <v>10.0291</v>
      </c>
      <c r="BE1200" s="198">
        <v>0.30343999999999999</v>
      </c>
      <c r="BG1200" s="1051">
        <v>43430</v>
      </c>
      <c r="BH1200" s="198">
        <v>14.1111</v>
      </c>
      <c r="BI1200" s="198">
        <v>3.3917000000000002</v>
      </c>
      <c r="BJ1200" s="198">
        <v>16.9649</v>
      </c>
      <c r="BT1200" s="1051">
        <v>43483</v>
      </c>
      <c r="BU1200" s="198">
        <v>12.555899999999999</v>
      </c>
      <c r="BV1200" s="198">
        <v>4.1662999999999997</v>
      </c>
      <c r="BW1200" s="198">
        <v>7.9805999999999999</v>
      </c>
      <c r="BX1200" s="198">
        <v>1.2261</v>
      </c>
      <c r="BZ1200" s="1051">
        <v>43483</v>
      </c>
      <c r="CA1200" s="198">
        <v>13.4932</v>
      </c>
      <c r="CB1200" s="198">
        <v>4.1383999999999999</v>
      </c>
      <c r="CC1200" s="198">
        <v>14.5504</v>
      </c>
      <c r="CD1200" s="198">
        <v>1.51946</v>
      </c>
      <c r="CF1200" s="1051">
        <v>43482</v>
      </c>
      <c r="CG1200" s="198">
        <v>6.6341000000000001</v>
      </c>
      <c r="CH1200" s="198">
        <v>1.2462</v>
      </c>
      <c r="CI1200" s="198">
        <v>10.009600000000001</v>
      </c>
      <c r="CL1200" s="1051">
        <v>43510</v>
      </c>
      <c r="CM1200" s="198">
        <v>15.8119</v>
      </c>
      <c r="CN1200" s="198">
        <v>2.3576999999999999</v>
      </c>
      <c r="CO1200" s="198">
        <v>11.8553</v>
      </c>
    </row>
    <row r="1201" spans="1:93" s="198" customFormat="1">
      <c r="A1201" s="1051">
        <v>43482</v>
      </c>
      <c r="B1201" s="1052">
        <f t="shared" si="192"/>
        <v>8.3095999999999997</v>
      </c>
      <c r="C1201" s="1052">
        <f t="shared" si="193"/>
        <v>6.5426000000000002</v>
      </c>
      <c r="D1201" s="1052">
        <f t="shared" si="188"/>
        <v>7.2457000000000003</v>
      </c>
      <c r="E1201" s="1052">
        <f t="shared" si="189"/>
        <v>7.0793999999999997</v>
      </c>
      <c r="F1201" s="1052">
        <f t="shared" si="190"/>
        <v>12.497199999999999</v>
      </c>
      <c r="G1201" s="1052">
        <f t="shared" si="191"/>
        <v>7.3825000000000003</v>
      </c>
      <c r="H1201" s="1047">
        <f t="shared" si="185"/>
        <v>7.2457000000000003</v>
      </c>
      <c r="I1201" s="1048">
        <f t="shared" si="183"/>
        <v>0.14683191410077701</v>
      </c>
      <c r="J1201" s="1048">
        <f t="shared" si="186"/>
        <v>0.12093838824177333</v>
      </c>
      <c r="K1201" s="1048">
        <f t="shared" si="187"/>
        <v>0.1</v>
      </c>
      <c r="L1201" s="1048"/>
      <c r="N1201" s="1051">
        <v>43482</v>
      </c>
      <c r="O1201" s="1053">
        <v>8.3095999999999997</v>
      </c>
      <c r="P1201" s="1053">
        <v>1.2039</v>
      </c>
      <c r="Q1201" s="1053">
        <v>11.360799999999999</v>
      </c>
      <c r="R1201" s="1054">
        <f>'B. PE'!$U$23</f>
        <v>15.978235616082999</v>
      </c>
      <c r="S1201" s="1054"/>
      <c r="T1201" s="1054"/>
      <c r="V1201" s="1051">
        <v>43482</v>
      </c>
      <c r="W1201" s="198">
        <v>6.5426000000000002</v>
      </c>
      <c r="X1201" s="198">
        <v>0.47249999999999998</v>
      </c>
      <c r="Y1201" s="198">
        <v>5.7698999999999998</v>
      </c>
      <c r="Z1201" s="198">
        <v>0.29220000000000002</v>
      </c>
      <c r="AB1201" s="1051">
        <v>43437</v>
      </c>
      <c r="AC1201" s="198">
        <v>9.0068000000000001</v>
      </c>
      <c r="AD1201" s="1053">
        <v>1.5099</v>
      </c>
      <c r="AE1201" s="198">
        <v>8.8917999999999999</v>
      </c>
      <c r="AF1201" s="198">
        <v>3.1859999999999999E-2</v>
      </c>
      <c r="AH1201" s="1051">
        <v>43437</v>
      </c>
      <c r="AI1201" s="198">
        <v>6.9831000000000003</v>
      </c>
      <c r="AJ1201" s="198">
        <v>1.1960999999999999</v>
      </c>
      <c r="AK1201" s="198">
        <v>4.3268000000000004</v>
      </c>
      <c r="AL1201" s="198">
        <v>1.146E-2</v>
      </c>
      <c r="AN1201" s="1051">
        <v>43446</v>
      </c>
      <c r="AO1201" s="198">
        <v>6.2580999999999998</v>
      </c>
      <c r="AP1201" s="198">
        <v>0.61409999999999998</v>
      </c>
      <c r="AQ1201" s="198">
        <v>3.0989</v>
      </c>
      <c r="AR1201" s="198">
        <v>0.11615</v>
      </c>
      <c r="BA1201" s="1051">
        <v>43427</v>
      </c>
      <c r="BB1201" s="198">
        <v>8.6928000000000001</v>
      </c>
      <c r="BC1201" s="198">
        <v>1.7273000000000001</v>
      </c>
      <c r="BD1201" s="198">
        <v>10.0291</v>
      </c>
      <c r="BE1201" s="198">
        <v>0.30702000000000002</v>
      </c>
      <c r="BG1201" s="1051">
        <v>43427</v>
      </c>
      <c r="BH1201" s="198">
        <v>14</v>
      </c>
      <c r="BI1201" s="198">
        <v>3.3650000000000002</v>
      </c>
      <c r="BJ1201" s="198">
        <v>16.8721</v>
      </c>
      <c r="BT1201" s="1051">
        <v>43482</v>
      </c>
      <c r="BU1201" s="198">
        <v>12.6898</v>
      </c>
      <c r="BV1201" s="198">
        <v>4.2107000000000001</v>
      </c>
      <c r="BW1201" s="198">
        <v>8.0588999999999995</v>
      </c>
      <c r="BX1201" s="198">
        <v>1.2319</v>
      </c>
      <c r="BZ1201" s="1051">
        <v>43482</v>
      </c>
      <c r="CA1201" s="198">
        <v>13.688800000000001</v>
      </c>
      <c r="CB1201" s="198">
        <v>4.1982999999999997</v>
      </c>
      <c r="CC1201" s="198">
        <v>14.697800000000001</v>
      </c>
      <c r="CD1201" s="198">
        <v>1.5411999999999999</v>
      </c>
      <c r="CF1201" s="1051">
        <v>43481</v>
      </c>
      <c r="CG1201" s="198">
        <v>6.6341000000000001</v>
      </c>
      <c r="CH1201" s="198">
        <v>1.2462</v>
      </c>
      <c r="CI1201" s="198">
        <v>10.009600000000001</v>
      </c>
      <c r="CL1201" s="1051">
        <v>43509</v>
      </c>
      <c r="CM1201" s="198">
        <v>15.9139</v>
      </c>
      <c r="CN1201" s="198">
        <v>2.3729</v>
      </c>
      <c r="CO1201" s="198">
        <v>11.9406</v>
      </c>
    </row>
    <row r="1202" spans="1:93" s="198" customFormat="1">
      <c r="A1202" s="1051">
        <v>43481</v>
      </c>
      <c r="B1202" s="1052">
        <f t="shared" si="192"/>
        <v>8.3461999999999996</v>
      </c>
      <c r="C1202" s="1052">
        <f t="shared" si="193"/>
        <v>6.5426000000000002</v>
      </c>
      <c r="D1202" s="1052">
        <f t="shared" si="188"/>
        <v>7.1604000000000001</v>
      </c>
      <c r="E1202" s="1052">
        <f t="shared" si="189"/>
        <v>6.9333999999999998</v>
      </c>
      <c r="F1202" s="1052">
        <f t="shared" si="190"/>
        <v>12.3903</v>
      </c>
      <c r="G1202" s="1052">
        <f t="shared" si="191"/>
        <v>7.3825000000000003</v>
      </c>
      <c r="H1202" s="1047">
        <f t="shared" si="185"/>
        <v>7.1604000000000001</v>
      </c>
      <c r="I1202" s="1048">
        <f t="shared" si="183"/>
        <v>0.16560527344841058</v>
      </c>
      <c r="J1202" s="1048">
        <f t="shared" si="186"/>
        <v>0.12093838824177333</v>
      </c>
      <c r="K1202" s="1048">
        <f t="shared" si="187"/>
        <v>0.1</v>
      </c>
      <c r="L1202" s="1048"/>
      <c r="N1202" s="1051">
        <v>43481</v>
      </c>
      <c r="O1202" s="1053">
        <v>8.3461999999999996</v>
      </c>
      <c r="P1202" s="1053">
        <v>1.2092000000000001</v>
      </c>
      <c r="Q1202" s="1053">
        <v>11.3881</v>
      </c>
      <c r="R1202" s="1054">
        <f>'B. PE'!$U$23</f>
        <v>15.978235616082999</v>
      </c>
      <c r="S1202" s="1054"/>
      <c r="T1202" s="1054"/>
      <c r="V1202" s="1051">
        <v>43481</v>
      </c>
      <c r="W1202" s="198">
        <v>6.5426000000000002</v>
      </c>
      <c r="X1202" s="198">
        <v>0.47249999999999998</v>
      </c>
      <c r="Y1202" s="198">
        <v>5.7698999999999998</v>
      </c>
      <c r="Z1202" s="198">
        <v>0.29216999999999999</v>
      </c>
      <c r="AB1202" s="1051">
        <v>43434</v>
      </c>
      <c r="AC1202" s="198">
        <v>8.5798000000000005</v>
      </c>
      <c r="AD1202" s="1053">
        <v>1.4382999999999999</v>
      </c>
      <c r="AE1202" s="198">
        <v>8.6332000000000004</v>
      </c>
      <c r="AF1202" s="198">
        <v>2.886E-2</v>
      </c>
      <c r="AH1202" s="1051">
        <v>43434</v>
      </c>
      <c r="AI1202" s="198">
        <v>6.9408000000000003</v>
      </c>
      <c r="AJ1202" s="198">
        <v>1.1888000000000001</v>
      </c>
      <c r="AK1202" s="198">
        <v>4.3056000000000001</v>
      </c>
      <c r="AL1202" s="198">
        <v>1.119E-2</v>
      </c>
      <c r="AN1202" s="1051">
        <v>43445</v>
      </c>
      <c r="AO1202" s="198">
        <v>6.2580999999999998</v>
      </c>
      <c r="AP1202" s="198">
        <v>0.61409999999999998</v>
      </c>
      <c r="AQ1202" s="198">
        <v>3.0989</v>
      </c>
      <c r="AR1202" s="198">
        <v>0.11651</v>
      </c>
      <c r="BA1202" s="1051">
        <v>43426</v>
      </c>
      <c r="BB1202" s="198">
        <v>8.6928000000000001</v>
      </c>
      <c r="BC1202" s="198">
        <v>1.7273000000000001</v>
      </c>
      <c r="BD1202" s="198">
        <v>10.0291</v>
      </c>
      <c r="BE1202" s="198">
        <v>0.30025000000000002</v>
      </c>
      <c r="BG1202" s="1051">
        <v>43426</v>
      </c>
      <c r="BH1202" s="198">
        <v>13.777799999999999</v>
      </c>
      <c r="BI1202" s="198">
        <v>3.3115999999999999</v>
      </c>
      <c r="BJ1202" s="198">
        <v>16.686499999999999</v>
      </c>
      <c r="BT1202" s="1051">
        <v>43481</v>
      </c>
      <c r="BU1202" s="198">
        <v>12.6898</v>
      </c>
      <c r="BV1202" s="198">
        <v>4.2107000000000001</v>
      </c>
      <c r="BW1202" s="198">
        <v>8.0588999999999995</v>
      </c>
      <c r="BX1202" s="198">
        <v>1.2217</v>
      </c>
      <c r="BZ1202" s="1051">
        <v>43481</v>
      </c>
      <c r="CA1202" s="198">
        <v>13.6692</v>
      </c>
      <c r="CB1202" s="198">
        <v>4.1923000000000004</v>
      </c>
      <c r="CC1202" s="198">
        <v>14.683</v>
      </c>
      <c r="CD1202" s="198">
        <v>1.5410699999999999</v>
      </c>
      <c r="CF1202" s="1051">
        <v>43480</v>
      </c>
      <c r="CG1202" s="198">
        <v>6.5899000000000001</v>
      </c>
      <c r="CH1202" s="198">
        <v>1.2379</v>
      </c>
      <c r="CI1202" s="198">
        <v>9.9860000000000007</v>
      </c>
      <c r="CL1202" s="1051">
        <v>43508</v>
      </c>
      <c r="CM1202" s="198">
        <v>16.0669</v>
      </c>
      <c r="CN1202" s="198">
        <v>2.3957999999999999</v>
      </c>
      <c r="CO1202" s="198">
        <v>12.0685</v>
      </c>
    </row>
    <row r="1203" spans="1:93" s="198" customFormat="1">
      <c r="A1203" s="1051">
        <v>43480</v>
      </c>
      <c r="B1203" s="1052">
        <f t="shared" si="192"/>
        <v>8.2546999999999997</v>
      </c>
      <c r="C1203" s="1052">
        <f t="shared" si="193"/>
        <v>6.5345000000000004</v>
      </c>
      <c r="D1203" s="1052">
        <f t="shared" si="188"/>
        <v>7.2031000000000001</v>
      </c>
      <c r="E1203" s="1052">
        <f t="shared" si="189"/>
        <v>6.9699</v>
      </c>
      <c r="F1203" s="1052">
        <f t="shared" si="190"/>
        <v>12.3903</v>
      </c>
      <c r="G1203" s="1052">
        <f t="shared" si="191"/>
        <v>7.3075999999999999</v>
      </c>
      <c r="H1203" s="1047">
        <f t="shared" si="185"/>
        <v>7.2031000000000001</v>
      </c>
      <c r="I1203" s="1048">
        <f t="shared" si="183"/>
        <v>0.14599269758853817</v>
      </c>
      <c r="J1203" s="1048">
        <f t="shared" si="186"/>
        <v>0.12093838824177333</v>
      </c>
      <c r="K1203" s="1048">
        <f t="shared" si="187"/>
        <v>0.1</v>
      </c>
      <c r="L1203" s="1048"/>
      <c r="N1203" s="1051">
        <v>43480</v>
      </c>
      <c r="O1203" s="1053">
        <v>8.2546999999999997</v>
      </c>
      <c r="P1203" s="1053">
        <v>1.196</v>
      </c>
      <c r="Q1203" s="1053">
        <v>11.319800000000001</v>
      </c>
      <c r="R1203" s="1054">
        <f>'B. PE'!$U$23</f>
        <v>15.978235616082999</v>
      </c>
      <c r="S1203" s="1054"/>
      <c r="T1203" s="1054"/>
      <c r="V1203" s="1051">
        <v>43480</v>
      </c>
      <c r="W1203" s="198">
        <v>6.5345000000000004</v>
      </c>
      <c r="X1203" s="198">
        <v>0.47189999999999999</v>
      </c>
      <c r="Y1203" s="198">
        <v>5.7668999999999997</v>
      </c>
      <c r="Z1203" s="198">
        <v>0.29474</v>
      </c>
      <c r="AB1203" s="1051">
        <v>43433</v>
      </c>
      <c r="AC1203" s="198">
        <v>8.8514999999999997</v>
      </c>
      <c r="AD1203" s="1053">
        <v>1.4839</v>
      </c>
      <c r="AE1203" s="198">
        <v>8.7978000000000005</v>
      </c>
      <c r="AF1203" s="198">
        <v>2.9020000000000001E-2</v>
      </c>
      <c r="AH1203" s="1051">
        <v>43433</v>
      </c>
      <c r="AI1203" s="198">
        <v>6.9408000000000003</v>
      </c>
      <c r="AJ1203" s="198">
        <v>1.1888000000000001</v>
      </c>
      <c r="AK1203" s="198">
        <v>4.3056000000000001</v>
      </c>
      <c r="AL1203" s="198">
        <v>1.107E-2</v>
      </c>
      <c r="AN1203" s="1051">
        <v>43444</v>
      </c>
      <c r="AO1203" s="198">
        <v>6.2580999999999998</v>
      </c>
      <c r="AP1203" s="198">
        <v>0.61409999999999998</v>
      </c>
      <c r="AQ1203" s="198">
        <v>3.0989</v>
      </c>
      <c r="BA1203" s="1051">
        <v>43425</v>
      </c>
      <c r="BB1203" s="198">
        <v>8.7797000000000001</v>
      </c>
      <c r="BC1203" s="198">
        <v>1.7445999999999999</v>
      </c>
      <c r="BD1203" s="198">
        <v>10.096</v>
      </c>
      <c r="BE1203" s="198">
        <v>0.30990000000000001</v>
      </c>
      <c r="BG1203" s="1051">
        <v>43425</v>
      </c>
      <c r="BH1203" s="198">
        <v>13.777799999999999</v>
      </c>
      <c r="BI1203" s="198">
        <v>3.3115999999999999</v>
      </c>
      <c r="BJ1203" s="198">
        <v>16.686499999999999</v>
      </c>
      <c r="BT1203" s="1051">
        <v>43480</v>
      </c>
      <c r="BU1203" s="198">
        <v>12.7493</v>
      </c>
      <c r="BV1203" s="198">
        <v>4.2305000000000001</v>
      </c>
      <c r="BW1203" s="198">
        <v>8.0937000000000001</v>
      </c>
      <c r="BX1203" s="198">
        <v>1.2218</v>
      </c>
      <c r="BZ1203" s="1051">
        <v>43480</v>
      </c>
      <c r="CA1203" s="198">
        <v>13.864800000000001</v>
      </c>
      <c r="CB1203" s="198">
        <v>4.2523</v>
      </c>
      <c r="CC1203" s="198">
        <v>14.830500000000001</v>
      </c>
      <c r="CD1203" s="198">
        <v>1.52163</v>
      </c>
      <c r="CF1203" s="1051">
        <v>43479</v>
      </c>
      <c r="CG1203" s="198">
        <v>6.5015000000000001</v>
      </c>
      <c r="CH1203" s="198">
        <v>1.2213000000000001</v>
      </c>
      <c r="CI1203" s="198">
        <v>9.9390000000000001</v>
      </c>
      <c r="CL1203" s="1051">
        <v>43507</v>
      </c>
      <c r="CM1203" s="198">
        <v>16.2837</v>
      </c>
      <c r="CN1203" s="198">
        <v>2.4281000000000001</v>
      </c>
      <c r="CO1203" s="198">
        <v>12.249700000000001</v>
      </c>
    </row>
    <row r="1204" spans="1:93" s="198" customFormat="1">
      <c r="A1204" s="1051">
        <v>43479</v>
      </c>
      <c r="B1204" s="1052">
        <f t="shared" si="192"/>
        <v>8.2363999999999997</v>
      </c>
      <c r="C1204" s="1052">
        <f t="shared" si="193"/>
        <v>6.5345000000000004</v>
      </c>
      <c r="D1204" s="1052">
        <f t="shared" si="188"/>
        <v>7.1177999999999999</v>
      </c>
      <c r="E1204" s="1052">
        <f t="shared" si="189"/>
        <v>6.9699</v>
      </c>
      <c r="F1204" s="1052">
        <f t="shared" si="190"/>
        <v>12.603999999999999</v>
      </c>
      <c r="G1204" s="1052">
        <f t="shared" si="191"/>
        <v>7.3449999999999998</v>
      </c>
      <c r="H1204" s="1047">
        <f t="shared" si="185"/>
        <v>7.1177999999999999</v>
      </c>
      <c r="I1204" s="1048">
        <f t="shared" si="183"/>
        <v>0.15715530079518958</v>
      </c>
      <c r="J1204" s="1048">
        <f t="shared" si="186"/>
        <v>0.12093838824177333</v>
      </c>
      <c r="K1204" s="1048">
        <f t="shared" si="187"/>
        <v>0.1</v>
      </c>
      <c r="L1204" s="1048"/>
      <c r="N1204" s="1051">
        <v>43479</v>
      </c>
      <c r="O1204" s="1053">
        <v>8.2363999999999997</v>
      </c>
      <c r="P1204" s="1053">
        <v>1.1933</v>
      </c>
      <c r="Q1204" s="1053">
        <v>11.306100000000001</v>
      </c>
      <c r="R1204" s="1054">
        <f>'B. PE'!$U$23</f>
        <v>15.978235616082999</v>
      </c>
      <c r="S1204" s="1054"/>
      <c r="T1204" s="1054"/>
      <c r="V1204" s="1051">
        <v>43479</v>
      </c>
      <c r="W1204" s="198">
        <v>6.5345000000000004</v>
      </c>
      <c r="X1204" s="198">
        <v>0.47189999999999999</v>
      </c>
      <c r="Y1204" s="198">
        <v>5.7668999999999997</v>
      </c>
      <c r="Z1204" s="198">
        <v>0.29110999999999998</v>
      </c>
      <c r="AB1204" s="1051">
        <v>43432</v>
      </c>
      <c r="AC1204" s="198">
        <v>8.1138999999999992</v>
      </c>
      <c r="AD1204" s="1053">
        <v>1.3602000000000001</v>
      </c>
      <c r="AE1204" s="198">
        <v>8.3511000000000006</v>
      </c>
      <c r="AF1204" s="198">
        <v>2.9659999999999999E-2</v>
      </c>
      <c r="AH1204" s="1051">
        <v>43432</v>
      </c>
      <c r="AI1204" s="198">
        <v>6.8562000000000003</v>
      </c>
      <c r="AJ1204" s="198">
        <v>1.1742999999999999</v>
      </c>
      <c r="AK1204" s="198">
        <v>4.2633000000000001</v>
      </c>
      <c r="AL1204" s="198">
        <v>1.111E-2</v>
      </c>
      <c r="AN1204" s="1051">
        <v>43441</v>
      </c>
      <c r="AO1204" s="198">
        <v>6.2580999999999998</v>
      </c>
      <c r="AP1204" s="198">
        <v>0.61409999999999998</v>
      </c>
      <c r="AQ1204" s="198">
        <v>3.0989</v>
      </c>
      <c r="BA1204" s="1051">
        <v>43424</v>
      </c>
      <c r="BB1204" s="198">
        <v>8.6058000000000003</v>
      </c>
      <c r="BC1204" s="198">
        <v>1.71</v>
      </c>
      <c r="BD1204" s="198">
        <v>9.9621999999999993</v>
      </c>
      <c r="BE1204" s="198">
        <v>0.30170999999999998</v>
      </c>
      <c r="BG1204" s="1051">
        <v>43424</v>
      </c>
      <c r="BH1204" s="198">
        <v>12.4444</v>
      </c>
      <c r="BI1204" s="198">
        <v>2.9910999999999999</v>
      </c>
      <c r="BJ1204" s="198">
        <v>15.572900000000001</v>
      </c>
      <c r="BT1204" s="1051">
        <v>43479</v>
      </c>
      <c r="BU1204" s="198">
        <v>12.645099999999999</v>
      </c>
      <c r="BV1204" s="198">
        <v>4.1959</v>
      </c>
      <c r="BW1204" s="198">
        <v>8.0327999999999999</v>
      </c>
      <c r="BX1204" s="198">
        <v>1.2362</v>
      </c>
      <c r="BZ1204" s="1051">
        <v>43479</v>
      </c>
      <c r="CA1204" s="198">
        <v>13.864800000000001</v>
      </c>
      <c r="CB1204" s="198">
        <v>4.2523</v>
      </c>
      <c r="CC1204" s="198">
        <v>14.830500000000001</v>
      </c>
      <c r="CD1204" s="198">
        <v>1.52816</v>
      </c>
      <c r="CF1204" s="1051">
        <v>43476</v>
      </c>
      <c r="CI1204" s="198">
        <v>10.009600000000001</v>
      </c>
      <c r="CL1204" s="1051">
        <v>43504</v>
      </c>
      <c r="CM1204" s="198">
        <v>16.271000000000001</v>
      </c>
      <c r="CN1204" s="198">
        <v>2.4262000000000001</v>
      </c>
      <c r="CO1204" s="198">
        <v>12.239100000000001</v>
      </c>
    </row>
    <row r="1205" spans="1:93" s="198" customFormat="1">
      <c r="A1205" s="1051">
        <v>43476</v>
      </c>
      <c r="B1205" s="1052">
        <f t="shared" si="192"/>
        <v>8.3095999999999997</v>
      </c>
      <c r="C1205" s="1052">
        <f t="shared" si="193"/>
        <v>6.5914000000000001</v>
      </c>
      <c r="D1205" s="1052">
        <f t="shared" si="188"/>
        <v>7.0326000000000004</v>
      </c>
      <c r="E1205" s="1052">
        <f t="shared" si="189"/>
        <v>7.0064000000000002</v>
      </c>
      <c r="F1205" s="1052">
        <f t="shared" si="190"/>
        <v>12.710800000000001</v>
      </c>
      <c r="G1205" s="1052">
        <f t="shared" si="191"/>
        <v>7.3825000000000003</v>
      </c>
      <c r="H1205" s="1047">
        <f t="shared" si="185"/>
        <v>7.0326000000000004</v>
      </c>
      <c r="I1205" s="1048">
        <f t="shared" si="183"/>
        <v>0.18158291385831693</v>
      </c>
      <c r="J1205" s="1048">
        <f t="shared" si="186"/>
        <v>0.12093838824177333</v>
      </c>
      <c r="K1205" s="1048">
        <f t="shared" si="187"/>
        <v>0.1</v>
      </c>
      <c r="L1205" s="1048"/>
      <c r="N1205" s="1051">
        <v>43476</v>
      </c>
      <c r="O1205" s="1053">
        <v>8.3095999999999997</v>
      </c>
      <c r="P1205" s="1053">
        <v>1.2039</v>
      </c>
      <c r="Q1205" s="1053">
        <v>11.360799999999999</v>
      </c>
      <c r="R1205" s="1054">
        <f>'B. PE'!$U$23</f>
        <v>15.978235616082999</v>
      </c>
      <c r="S1205" s="1054"/>
      <c r="T1205" s="1054"/>
      <c r="V1205" s="1051">
        <v>43476</v>
      </c>
      <c r="W1205" s="198">
        <v>6.5914000000000001</v>
      </c>
      <c r="X1205" s="198">
        <v>0.47599999999999998</v>
      </c>
      <c r="Y1205" s="198">
        <v>5.7876000000000003</v>
      </c>
      <c r="Z1205" s="198">
        <v>0.29400999999999999</v>
      </c>
      <c r="AB1205" s="1051">
        <v>43431</v>
      </c>
      <c r="AC1205" s="198">
        <v>8.1915999999999993</v>
      </c>
      <c r="AD1205" s="1053">
        <v>1.3733</v>
      </c>
      <c r="AE1205" s="198">
        <v>8.3980999999999995</v>
      </c>
      <c r="AF1205" s="198">
        <v>2.8500000000000001E-2</v>
      </c>
      <c r="AH1205" s="1051">
        <v>43431</v>
      </c>
      <c r="AI1205" s="198">
        <v>6.8137999999999996</v>
      </c>
      <c r="AJ1205" s="198">
        <v>1.1671</v>
      </c>
      <c r="AK1205" s="198">
        <v>4.2420999999999998</v>
      </c>
      <c r="AL1205" s="198">
        <v>1.1220000000000001E-2</v>
      </c>
      <c r="AN1205" s="1051">
        <v>43440</v>
      </c>
      <c r="AQ1205" s="198">
        <v>3.0989</v>
      </c>
      <c r="AR1205" s="198">
        <v>0.11741</v>
      </c>
      <c r="BA1205" s="1051">
        <v>43423</v>
      </c>
      <c r="BB1205" s="198">
        <v>8.8666</v>
      </c>
      <c r="BC1205" s="198">
        <v>1.7618</v>
      </c>
      <c r="BD1205" s="198">
        <v>10.1629</v>
      </c>
      <c r="BE1205" s="198">
        <v>0.29743000000000003</v>
      </c>
      <c r="BG1205" s="1051">
        <v>43423</v>
      </c>
      <c r="BH1205" s="198">
        <v>13.222200000000001</v>
      </c>
      <c r="BI1205" s="198">
        <v>3.1779999999999999</v>
      </c>
      <c r="BJ1205" s="198">
        <v>16.2225</v>
      </c>
      <c r="BT1205" s="1051">
        <v>43476</v>
      </c>
      <c r="BU1205" s="198">
        <v>12.645099999999999</v>
      </c>
      <c r="BV1205" s="198">
        <v>4.1959</v>
      </c>
      <c r="BW1205" s="198">
        <v>8.0327999999999999</v>
      </c>
      <c r="BX1205" s="198">
        <v>1.2275</v>
      </c>
      <c r="BZ1205" s="1051">
        <v>43476</v>
      </c>
      <c r="CA1205" s="198">
        <v>13.688800000000001</v>
      </c>
      <c r="CB1205" s="198">
        <v>4.1982999999999997</v>
      </c>
      <c r="CC1205" s="198">
        <v>14.697800000000001</v>
      </c>
      <c r="CD1205" s="198">
        <v>1.52816</v>
      </c>
      <c r="CF1205" s="1051">
        <v>43475</v>
      </c>
      <c r="CG1205" s="198">
        <v>6.6341000000000001</v>
      </c>
      <c r="CH1205" s="198">
        <v>1.2462</v>
      </c>
      <c r="CI1205" s="198">
        <v>10.009600000000001</v>
      </c>
      <c r="CL1205" s="1051">
        <v>43503</v>
      </c>
      <c r="CM1205" s="198">
        <v>17.597100000000001</v>
      </c>
      <c r="CN1205" s="198">
        <v>2.6238999999999999</v>
      </c>
      <c r="CO1205" s="198">
        <v>13.3476</v>
      </c>
    </row>
    <row r="1206" spans="1:93" s="198" customFormat="1">
      <c r="A1206" s="1051">
        <v>43475</v>
      </c>
      <c r="B1206" s="1052">
        <f t="shared" si="192"/>
        <v>8.2729999999999997</v>
      </c>
      <c r="C1206" s="1052">
        <f t="shared" si="193"/>
        <v>6.5102000000000002</v>
      </c>
      <c r="D1206" s="1052">
        <f t="shared" si="188"/>
        <v>6.9473000000000003</v>
      </c>
      <c r="E1206" s="1052">
        <f t="shared" si="189"/>
        <v>6.9699</v>
      </c>
      <c r="F1206" s="1052">
        <f t="shared" si="190"/>
        <v>12.710800000000001</v>
      </c>
      <c r="G1206" s="1052">
        <f t="shared" si="191"/>
        <v>7.3825000000000003</v>
      </c>
      <c r="H1206" s="1047">
        <f t="shared" si="185"/>
        <v>6.9699</v>
      </c>
      <c r="I1206" s="1048">
        <f t="shared" si="183"/>
        <v>0.18696107548171415</v>
      </c>
      <c r="J1206" s="1048">
        <f t="shared" si="186"/>
        <v>0.12093838824177333</v>
      </c>
      <c r="K1206" s="1048">
        <f t="shared" si="187"/>
        <v>0.1</v>
      </c>
      <c r="L1206" s="1048"/>
      <c r="N1206" s="1051">
        <v>43475</v>
      </c>
      <c r="O1206" s="1053">
        <v>8.2729999999999997</v>
      </c>
      <c r="P1206" s="1053">
        <v>1.1986000000000001</v>
      </c>
      <c r="Q1206" s="1053">
        <v>11.333399999999999</v>
      </c>
      <c r="R1206" s="1054">
        <f>'B. PE'!$U$23</f>
        <v>15.978235616082999</v>
      </c>
      <c r="S1206" s="1054"/>
      <c r="T1206" s="1054"/>
      <c r="V1206" s="1051">
        <v>43475</v>
      </c>
      <c r="W1206" s="198">
        <v>6.5102000000000002</v>
      </c>
      <c r="X1206" s="198">
        <v>0.47010000000000002</v>
      </c>
      <c r="Y1206" s="198">
        <v>5.758</v>
      </c>
      <c r="Z1206" s="198">
        <v>0.29398999999999997</v>
      </c>
      <c r="AB1206" s="1051">
        <v>43430</v>
      </c>
      <c r="AC1206" s="198">
        <v>8.3468</v>
      </c>
      <c r="AD1206" s="1053">
        <v>1.3993</v>
      </c>
      <c r="AE1206" s="198">
        <v>8.4921000000000006</v>
      </c>
      <c r="AF1206" s="198">
        <v>2.8979999999999999E-2</v>
      </c>
      <c r="AH1206" s="1051">
        <v>43430</v>
      </c>
      <c r="AI1206" s="198">
        <v>6.8137999999999996</v>
      </c>
      <c r="AJ1206" s="198">
        <v>1.1671</v>
      </c>
      <c r="AK1206" s="198">
        <v>4.2420999999999998</v>
      </c>
      <c r="AL1206" s="198">
        <v>1.133E-2</v>
      </c>
      <c r="AN1206" s="1051">
        <v>43439</v>
      </c>
      <c r="AQ1206" s="198">
        <v>3.0989</v>
      </c>
      <c r="AR1206" s="198">
        <v>0.11703</v>
      </c>
      <c r="BA1206" s="1051">
        <v>43420</v>
      </c>
      <c r="BB1206" s="198">
        <v>8.6058000000000003</v>
      </c>
      <c r="BC1206" s="198">
        <v>1.71</v>
      </c>
      <c r="BD1206" s="198">
        <v>9.9621999999999993</v>
      </c>
      <c r="BE1206" s="198">
        <v>0.29554999999999998</v>
      </c>
      <c r="BG1206" s="1051">
        <v>43420</v>
      </c>
      <c r="BH1206" s="198">
        <v>13.8889</v>
      </c>
      <c r="BI1206" s="198">
        <v>3.3382999999999998</v>
      </c>
      <c r="BJ1206" s="198">
        <v>16.779299999999999</v>
      </c>
      <c r="BT1206" s="1051">
        <v>43475</v>
      </c>
      <c r="BU1206" s="198">
        <v>12.793900000000001</v>
      </c>
      <c r="BV1206" s="198">
        <v>4.2453000000000003</v>
      </c>
      <c r="BW1206" s="198">
        <v>8.1197999999999997</v>
      </c>
      <c r="BX1206" s="198">
        <v>1.2073</v>
      </c>
      <c r="BZ1206" s="1051">
        <v>43475</v>
      </c>
      <c r="CA1206" s="198">
        <v>13.7475</v>
      </c>
      <c r="CB1206" s="198">
        <v>4.2163000000000004</v>
      </c>
      <c r="CC1206" s="198">
        <v>14.742000000000001</v>
      </c>
      <c r="CD1206" s="198">
        <v>1.5584499999999999</v>
      </c>
      <c r="CF1206" s="1051">
        <v>43474</v>
      </c>
      <c r="CG1206" s="198">
        <v>6.5457000000000001</v>
      </c>
      <c r="CH1206" s="198">
        <v>1.2296</v>
      </c>
      <c r="CI1206" s="198">
        <v>9.9625000000000004</v>
      </c>
      <c r="CL1206" s="1051">
        <v>43502</v>
      </c>
      <c r="CM1206" s="198">
        <v>19.229299999999999</v>
      </c>
      <c r="CN1206" s="198">
        <v>2.8673000000000002</v>
      </c>
      <c r="CO1206" s="198">
        <v>14.712</v>
      </c>
    </row>
    <row r="1207" spans="1:93" s="198" customFormat="1">
      <c r="A1207" s="1051">
        <v>43474</v>
      </c>
      <c r="B1207" s="1052">
        <f t="shared" si="192"/>
        <v>8.1448999999999998</v>
      </c>
      <c r="C1207" s="1052">
        <f t="shared" si="193"/>
        <v>6.5750999999999999</v>
      </c>
      <c r="D1207" s="1052">
        <f t="shared" si="188"/>
        <v>6.8194999999999997</v>
      </c>
      <c r="E1207" s="1052">
        <f t="shared" si="189"/>
        <v>6.9699</v>
      </c>
      <c r="F1207" s="1052">
        <f t="shared" si="190"/>
        <v>12.817600000000001</v>
      </c>
      <c r="G1207" s="1052">
        <f t="shared" si="191"/>
        <v>7.3825000000000003</v>
      </c>
      <c r="H1207" s="1047">
        <f t="shared" si="185"/>
        <v>6.9699</v>
      </c>
      <c r="I1207" s="1048">
        <f t="shared" si="183"/>
        <v>0.16858204565345258</v>
      </c>
      <c r="J1207" s="1048">
        <f t="shared" si="186"/>
        <v>0.12093838824177333</v>
      </c>
      <c r="K1207" s="1048">
        <f t="shared" si="187"/>
        <v>0.1</v>
      </c>
      <c r="L1207" s="1048"/>
      <c r="N1207" s="1051">
        <v>43474</v>
      </c>
      <c r="O1207" s="1053">
        <v>8.1448999999999998</v>
      </c>
      <c r="P1207" s="1053">
        <v>1.18</v>
      </c>
      <c r="Q1207" s="1053">
        <v>11.2378</v>
      </c>
      <c r="R1207" s="1054">
        <f>'B. PE'!$U$23</f>
        <v>15.978235616082999</v>
      </c>
      <c r="S1207" s="1054"/>
      <c r="T1207" s="1054"/>
      <c r="V1207" s="1051">
        <v>43474</v>
      </c>
      <c r="W1207" s="198">
        <v>6.5750999999999999</v>
      </c>
      <c r="X1207" s="198">
        <v>0.4748</v>
      </c>
      <c r="Y1207" s="198">
        <v>5.7816999999999998</v>
      </c>
      <c r="Z1207" s="198">
        <v>0.29371999999999998</v>
      </c>
      <c r="AB1207" s="1051">
        <v>43427</v>
      </c>
      <c r="AC1207" s="198">
        <v>8.0363000000000007</v>
      </c>
      <c r="AD1207" s="1053">
        <v>1.3472</v>
      </c>
      <c r="AE1207" s="198">
        <v>8.3040000000000003</v>
      </c>
      <c r="AF1207" s="198">
        <v>2.759E-2</v>
      </c>
      <c r="AH1207" s="1051">
        <v>43427</v>
      </c>
      <c r="AI1207" s="198">
        <v>6.8985000000000003</v>
      </c>
      <c r="AJ1207" s="198">
        <v>1.1816</v>
      </c>
      <c r="AK1207" s="198">
        <v>4.2843999999999998</v>
      </c>
      <c r="AL1207" s="198">
        <v>1.132E-2</v>
      </c>
      <c r="AN1207" s="1051">
        <v>43438</v>
      </c>
      <c r="AO1207" s="198">
        <v>6.2580999999999998</v>
      </c>
      <c r="AP1207" s="198">
        <v>0.61409999999999998</v>
      </c>
      <c r="AQ1207" s="198">
        <v>3.0989</v>
      </c>
      <c r="AR1207" s="198">
        <v>0.11962</v>
      </c>
      <c r="BA1207" s="1051">
        <v>43419</v>
      </c>
      <c r="BB1207" s="198">
        <v>8.5189000000000004</v>
      </c>
      <c r="BC1207" s="198">
        <v>1.6927000000000001</v>
      </c>
      <c r="BD1207" s="198">
        <v>9.8953000000000007</v>
      </c>
      <c r="BE1207" s="198">
        <v>0.29416999999999999</v>
      </c>
      <c r="BG1207" s="1051">
        <v>43419</v>
      </c>
      <c r="BH1207" s="198">
        <v>14.333299999999999</v>
      </c>
      <c r="BI1207" s="198">
        <v>3.4451000000000001</v>
      </c>
      <c r="BJ1207" s="198">
        <v>17.150500000000001</v>
      </c>
      <c r="BT1207" s="1051">
        <v>43474</v>
      </c>
      <c r="BU1207" s="198">
        <v>12.704599999999999</v>
      </c>
      <c r="BV1207" s="198">
        <v>4.2157</v>
      </c>
      <c r="BW1207" s="198">
        <v>8.0676000000000005</v>
      </c>
      <c r="BX1207" s="198">
        <v>1.2205999999999999</v>
      </c>
      <c r="BZ1207" s="1051">
        <v>43474</v>
      </c>
      <c r="CA1207" s="198">
        <v>13.7475</v>
      </c>
      <c r="CB1207" s="198">
        <v>4.2163000000000004</v>
      </c>
      <c r="CC1207" s="198">
        <v>14.742000000000001</v>
      </c>
      <c r="CD1207" s="198">
        <v>1.52013</v>
      </c>
      <c r="CF1207" s="1051">
        <v>43473</v>
      </c>
      <c r="CI1207" s="198">
        <v>9.8682999999999996</v>
      </c>
      <c r="CL1207" s="1051">
        <v>43501</v>
      </c>
      <c r="CM1207" s="198">
        <v>19.267600000000002</v>
      </c>
      <c r="CN1207" s="198">
        <v>2.8730000000000002</v>
      </c>
      <c r="CO1207" s="198">
        <v>14.744</v>
      </c>
    </row>
    <row r="1208" spans="1:93" s="198" customFormat="1">
      <c r="A1208" s="1051">
        <v>43473</v>
      </c>
      <c r="B1208" s="1052">
        <f t="shared" si="192"/>
        <v>8.1631999999999998</v>
      </c>
      <c r="C1208" s="1052">
        <f t="shared" si="193"/>
        <v>6.5750999999999999</v>
      </c>
      <c r="D1208" s="1052">
        <f t="shared" si="188"/>
        <v>6.7769000000000004</v>
      </c>
      <c r="E1208" s="1052">
        <f t="shared" si="189"/>
        <v>6.9333999999999998</v>
      </c>
      <c r="F1208" s="1052">
        <f t="shared" si="190"/>
        <v>12.9244</v>
      </c>
      <c r="G1208" s="1052">
        <f t="shared" si="191"/>
        <v>7.3825000000000003</v>
      </c>
      <c r="H1208" s="1047">
        <f t="shared" si="185"/>
        <v>6.9333999999999998</v>
      </c>
      <c r="I1208" s="1048">
        <f t="shared" si="183"/>
        <v>0.17737329448755301</v>
      </c>
      <c r="J1208" s="1048">
        <f t="shared" si="186"/>
        <v>0.12093838824177333</v>
      </c>
      <c r="K1208" s="1048">
        <f t="shared" si="187"/>
        <v>0.1</v>
      </c>
      <c r="L1208" s="1048"/>
      <c r="N1208" s="1051">
        <v>43473</v>
      </c>
      <c r="O1208" s="1053">
        <v>8.1631999999999998</v>
      </c>
      <c r="P1208" s="1053">
        <v>1.1827000000000001</v>
      </c>
      <c r="Q1208" s="1053">
        <v>11.2515</v>
      </c>
      <c r="R1208" s="1054">
        <f>'B. PE'!$U$23</f>
        <v>15.978235616082999</v>
      </c>
      <c r="S1208" s="1054"/>
      <c r="T1208" s="1054"/>
      <c r="V1208" s="1051">
        <v>43473</v>
      </c>
      <c r="W1208" s="198">
        <v>6.5750999999999999</v>
      </c>
      <c r="X1208" s="198">
        <v>0.4748</v>
      </c>
      <c r="Y1208" s="198">
        <v>5.7816999999999998</v>
      </c>
      <c r="Z1208" s="198">
        <v>0.29360000000000003</v>
      </c>
      <c r="AB1208" s="1051">
        <v>43426</v>
      </c>
      <c r="AC1208" s="198">
        <v>8.1915999999999993</v>
      </c>
      <c r="AD1208" s="1053">
        <v>1.3733</v>
      </c>
      <c r="AE1208" s="198">
        <v>8.3980999999999995</v>
      </c>
      <c r="AF1208" s="198">
        <v>2.7119999999999998E-2</v>
      </c>
      <c r="AH1208" s="1051">
        <v>43426</v>
      </c>
      <c r="AI1208" s="198">
        <v>6.9831000000000003</v>
      </c>
      <c r="AJ1208" s="198">
        <v>1.1960999999999999</v>
      </c>
      <c r="AK1208" s="198">
        <v>4.3268000000000004</v>
      </c>
      <c r="AL1208" s="198">
        <v>1.137E-2</v>
      </c>
      <c r="AN1208" s="1051">
        <v>43437</v>
      </c>
      <c r="AO1208" s="198">
        <v>6.2903000000000002</v>
      </c>
      <c r="AP1208" s="198">
        <v>0.61729999999999996</v>
      </c>
      <c r="AQ1208" s="198">
        <v>3.1248</v>
      </c>
      <c r="AR1208" s="198">
        <v>0.12068</v>
      </c>
      <c r="BA1208" s="1051">
        <v>43418</v>
      </c>
      <c r="BB1208" s="198">
        <v>8.4754000000000005</v>
      </c>
      <c r="BC1208" s="198">
        <v>1.6840999999999999</v>
      </c>
      <c r="BD1208" s="198">
        <v>9.8618000000000006</v>
      </c>
      <c r="BE1208" s="198">
        <v>0.27299000000000001</v>
      </c>
      <c r="BG1208" s="1051">
        <v>43418</v>
      </c>
      <c r="BH1208" s="198">
        <v>14.777799999999999</v>
      </c>
      <c r="BI1208" s="198">
        <v>3.5518999999999998</v>
      </c>
      <c r="BJ1208" s="198">
        <v>17.521699999999999</v>
      </c>
      <c r="BT1208" s="1051">
        <v>43473</v>
      </c>
      <c r="BU1208" s="198">
        <v>12.4964</v>
      </c>
      <c r="BV1208" s="198">
        <v>4.1464999999999996</v>
      </c>
      <c r="BW1208" s="198">
        <v>7.9458000000000002</v>
      </c>
      <c r="BX1208" s="198">
        <v>1.2</v>
      </c>
      <c r="BZ1208" s="1051">
        <v>43473</v>
      </c>
      <c r="CA1208" s="198">
        <v>14.0212</v>
      </c>
      <c r="CB1208" s="198">
        <v>4.3003</v>
      </c>
      <c r="CC1208" s="198">
        <v>14.948399999999999</v>
      </c>
      <c r="CD1208" s="198">
        <v>1.54118</v>
      </c>
      <c r="CF1208" s="1051">
        <v>43472</v>
      </c>
      <c r="CG1208" s="198">
        <v>6.3688000000000002</v>
      </c>
      <c r="CH1208" s="198">
        <v>1.1963999999999999</v>
      </c>
      <c r="CI1208" s="198">
        <v>9.8682999999999996</v>
      </c>
      <c r="CL1208" s="1051">
        <v>43500</v>
      </c>
      <c r="CM1208" s="198">
        <v>18.9998</v>
      </c>
      <c r="CN1208" s="198">
        <v>2.8331</v>
      </c>
      <c r="CO1208" s="198">
        <v>14.520200000000001</v>
      </c>
    </row>
    <row r="1209" spans="1:93" s="198" customFormat="1">
      <c r="A1209" s="1051">
        <v>43472</v>
      </c>
      <c r="B1209" s="1052">
        <f t="shared" si="192"/>
        <v>8.2180999999999997</v>
      </c>
      <c r="C1209" s="1052">
        <f t="shared" si="193"/>
        <v>6.5750999999999999</v>
      </c>
      <c r="D1209" s="1052">
        <f t="shared" si="188"/>
        <v>6.8620999999999999</v>
      </c>
      <c r="E1209" s="1052">
        <f t="shared" si="189"/>
        <v>6.9699</v>
      </c>
      <c r="F1209" s="1052">
        <f t="shared" si="190"/>
        <v>12.9244</v>
      </c>
      <c r="G1209" s="1052">
        <f t="shared" si="191"/>
        <v>7.2701000000000002</v>
      </c>
      <c r="H1209" s="1047">
        <f t="shared" si="185"/>
        <v>6.9699</v>
      </c>
      <c r="I1209" s="1048">
        <f t="shared" si="183"/>
        <v>0.17908434841245935</v>
      </c>
      <c r="J1209" s="1048">
        <f t="shared" si="186"/>
        <v>0.12093838824177333</v>
      </c>
      <c r="K1209" s="1048">
        <f t="shared" si="187"/>
        <v>0.1</v>
      </c>
      <c r="L1209" s="1048"/>
      <c r="N1209" s="1051">
        <v>43472</v>
      </c>
      <c r="O1209" s="1053">
        <v>8.2180999999999997</v>
      </c>
      <c r="P1209" s="1053">
        <v>1.1907000000000001</v>
      </c>
      <c r="Q1209" s="1053">
        <v>11.2925</v>
      </c>
      <c r="R1209" s="1054">
        <f>'B. PE'!$U$23</f>
        <v>15.978235616082999</v>
      </c>
      <c r="S1209" s="1054"/>
      <c r="T1209" s="1054"/>
      <c r="V1209" s="1051">
        <v>43472</v>
      </c>
      <c r="W1209" s="198">
        <v>6.5750999999999999</v>
      </c>
      <c r="X1209" s="198">
        <v>0.4748</v>
      </c>
      <c r="Y1209" s="198">
        <v>5.7816999999999998</v>
      </c>
      <c r="Z1209" s="198">
        <v>0.29509999999999997</v>
      </c>
      <c r="AB1209" s="1051">
        <v>43425</v>
      </c>
      <c r="AC1209" s="198">
        <v>7.8033000000000001</v>
      </c>
      <c r="AD1209" s="1053">
        <v>1.3082</v>
      </c>
      <c r="AE1209" s="198">
        <v>8.1630000000000003</v>
      </c>
      <c r="AF1209" s="198">
        <v>2.5340000000000001E-2</v>
      </c>
      <c r="AH1209" s="1051">
        <v>43425</v>
      </c>
      <c r="AI1209" s="198">
        <v>6.9831000000000003</v>
      </c>
      <c r="AJ1209" s="198">
        <v>1.1960999999999999</v>
      </c>
      <c r="AK1209" s="198">
        <v>4.3268000000000004</v>
      </c>
      <c r="AL1209" s="198">
        <v>1.15E-2</v>
      </c>
      <c r="AN1209" s="1051">
        <v>43434</v>
      </c>
      <c r="AO1209" s="198">
        <v>6.4516</v>
      </c>
      <c r="AP1209" s="198">
        <v>0.6331</v>
      </c>
      <c r="AQ1209" s="198">
        <v>3.2545000000000002</v>
      </c>
      <c r="AR1209" s="198">
        <v>0.12018</v>
      </c>
      <c r="BA1209" s="1051">
        <v>43417</v>
      </c>
      <c r="BB1209" s="198">
        <v>8.4320000000000004</v>
      </c>
      <c r="BC1209" s="198">
        <v>1.6755</v>
      </c>
      <c r="BD1209" s="198">
        <v>9.8284000000000002</v>
      </c>
      <c r="BE1209" s="198">
        <v>0.27805999999999997</v>
      </c>
      <c r="BG1209" s="1051">
        <v>43417</v>
      </c>
      <c r="BH1209" s="198">
        <v>14.8889</v>
      </c>
      <c r="BI1209" s="198">
        <v>3.5785999999999998</v>
      </c>
      <c r="BJ1209" s="198">
        <v>17.6145</v>
      </c>
      <c r="BT1209" s="1051">
        <v>43472</v>
      </c>
      <c r="BU1209" s="198">
        <v>12.645099999999999</v>
      </c>
      <c r="BV1209" s="198">
        <v>4.1959</v>
      </c>
      <c r="BW1209" s="198">
        <v>7.8204000000000002</v>
      </c>
      <c r="BX1209" s="198">
        <v>1.1930000000000001</v>
      </c>
      <c r="BZ1209" s="1051">
        <v>43472</v>
      </c>
      <c r="CA1209" s="198">
        <v>13.688800000000001</v>
      </c>
      <c r="CB1209" s="198">
        <v>4.1982999999999997</v>
      </c>
      <c r="CC1209" s="198">
        <v>14.697800000000001</v>
      </c>
      <c r="CD1209" s="198">
        <v>1.53685</v>
      </c>
      <c r="CF1209" s="1051">
        <v>43469</v>
      </c>
      <c r="CG1209" s="198">
        <v>6.3688000000000002</v>
      </c>
      <c r="CH1209" s="198">
        <v>1.1963999999999999</v>
      </c>
      <c r="CI1209" s="198">
        <v>9.8682999999999996</v>
      </c>
      <c r="CL1209" s="1051">
        <v>43497</v>
      </c>
      <c r="CM1209" s="198">
        <v>19.025300000000001</v>
      </c>
      <c r="CN1209" s="198">
        <v>2.8369</v>
      </c>
      <c r="CO1209" s="198">
        <v>14.541499999999999</v>
      </c>
    </row>
    <row r="1210" spans="1:93" s="198" customFormat="1">
      <c r="A1210" s="1051">
        <v>43469</v>
      </c>
      <c r="B1210" s="1052">
        <f t="shared" si="192"/>
        <v>8.0533999999999999</v>
      </c>
      <c r="C1210" s="1052">
        <f t="shared" si="193"/>
        <v>6.5750999999999999</v>
      </c>
      <c r="D1210" s="1052">
        <f t="shared" si="188"/>
        <v>6.8620999999999999</v>
      </c>
      <c r="E1210" s="1052">
        <f t="shared" si="189"/>
        <v>6.8970000000000002</v>
      </c>
      <c r="F1210" s="1052">
        <f t="shared" si="190"/>
        <v>12.1767</v>
      </c>
      <c r="G1210" s="1052">
        <f t="shared" si="191"/>
        <v>7.42</v>
      </c>
      <c r="H1210" s="1047">
        <f t="shared" si="185"/>
        <v>6.8970000000000002</v>
      </c>
      <c r="I1210" s="1048">
        <f t="shared" si="183"/>
        <v>0.16766710163839349</v>
      </c>
      <c r="J1210" s="1048">
        <f t="shared" si="186"/>
        <v>0.12093838824177333</v>
      </c>
      <c r="K1210" s="1048">
        <f t="shared" si="187"/>
        <v>0.1</v>
      </c>
      <c r="L1210" s="1048"/>
      <c r="N1210" s="1051">
        <v>43469</v>
      </c>
      <c r="O1210" s="1053">
        <v>8.0533999999999999</v>
      </c>
      <c r="P1210" s="1053">
        <v>1.1668000000000001</v>
      </c>
      <c r="Q1210" s="1053">
        <v>11.169499999999999</v>
      </c>
      <c r="R1210" s="1054">
        <f>'B. PE'!$U$23</f>
        <v>15.978235616082999</v>
      </c>
      <c r="S1210" s="1054"/>
      <c r="T1210" s="1054"/>
      <c r="V1210" s="1051">
        <v>43469</v>
      </c>
      <c r="W1210" s="198">
        <v>6.5750999999999999</v>
      </c>
      <c r="X1210" s="198">
        <v>0.4748</v>
      </c>
      <c r="Y1210" s="198">
        <v>5.7816999999999998</v>
      </c>
      <c r="Z1210" s="198">
        <v>0.29498000000000002</v>
      </c>
      <c r="AB1210" s="1051">
        <v>43423</v>
      </c>
      <c r="AC1210" s="198">
        <v>7.6868999999999996</v>
      </c>
      <c r="AD1210" s="1053">
        <v>1.2886</v>
      </c>
      <c r="AE1210" s="198">
        <v>8.0924999999999994</v>
      </c>
      <c r="AF1210" s="198">
        <v>2.3640000000000001E-2</v>
      </c>
      <c r="AH1210" s="1051">
        <v>43423</v>
      </c>
      <c r="AI1210" s="198">
        <v>7.0254000000000003</v>
      </c>
      <c r="AJ1210" s="198">
        <v>1.2033</v>
      </c>
      <c r="AK1210" s="198">
        <v>4.3479999999999999</v>
      </c>
      <c r="AL1210" s="198">
        <v>1.1440000000000001E-2</v>
      </c>
      <c r="AN1210" s="1051">
        <v>43433</v>
      </c>
      <c r="AO1210" s="198">
        <v>6.5160999999999998</v>
      </c>
      <c r="AP1210" s="198">
        <v>0.63939999999999997</v>
      </c>
      <c r="AQ1210" s="198">
        <v>3.3064</v>
      </c>
      <c r="AR1210" s="198">
        <v>0.12045</v>
      </c>
      <c r="BA1210" s="1051">
        <v>43416</v>
      </c>
      <c r="BB1210" s="198">
        <v>7.8669000000000002</v>
      </c>
      <c r="BC1210" s="198">
        <v>1.5631999999999999</v>
      </c>
      <c r="BD1210" s="198">
        <v>9.3934999999999995</v>
      </c>
      <c r="BE1210" s="198">
        <v>0.28060000000000002</v>
      </c>
      <c r="BG1210" s="1051">
        <v>43416</v>
      </c>
      <c r="BH1210" s="198">
        <v>14.666700000000001</v>
      </c>
      <c r="BI1210" s="198">
        <v>3.5251999999999999</v>
      </c>
      <c r="BJ1210" s="198">
        <v>17.428899999999999</v>
      </c>
      <c r="BT1210" s="1051">
        <v>43469</v>
      </c>
      <c r="BU1210" s="198">
        <v>12.4369</v>
      </c>
      <c r="BV1210" s="198">
        <v>4.1268000000000002</v>
      </c>
      <c r="BW1210" s="198">
        <v>7.7020999999999997</v>
      </c>
      <c r="BX1210" s="198">
        <v>1.2283999999999999</v>
      </c>
      <c r="BZ1210" s="1051">
        <v>43469</v>
      </c>
      <c r="CA1210" s="198">
        <v>13.8843</v>
      </c>
      <c r="CB1210" s="198">
        <v>4.2583000000000002</v>
      </c>
      <c r="CC1210" s="198">
        <v>14.8452</v>
      </c>
      <c r="CD1210" s="198">
        <v>1.5557399999999999</v>
      </c>
      <c r="CF1210" s="1051">
        <v>43468</v>
      </c>
      <c r="CI1210" s="198">
        <v>9.7742000000000004</v>
      </c>
      <c r="CL1210" s="1051">
        <v>43496</v>
      </c>
      <c r="CM1210" s="198">
        <v>18.974299999999999</v>
      </c>
      <c r="CN1210" s="198">
        <v>2.8292999999999999</v>
      </c>
      <c r="CO1210" s="198">
        <v>14.498799999999999</v>
      </c>
    </row>
    <row r="1211" spans="1:93" s="198" customFormat="1">
      <c r="A1211" s="1051">
        <v>43468</v>
      </c>
      <c r="B1211" s="1052">
        <f t="shared" si="192"/>
        <v>8.0533999999999999</v>
      </c>
      <c r="C1211" s="1052">
        <f t="shared" si="193"/>
        <v>6.5994999999999999</v>
      </c>
      <c r="D1211" s="1052">
        <f t="shared" si="188"/>
        <v>7.0326000000000004</v>
      </c>
      <c r="E1211" s="1052">
        <f t="shared" si="189"/>
        <v>6.8970000000000002</v>
      </c>
      <c r="F1211" s="1052">
        <f t="shared" si="190"/>
        <v>12.2835</v>
      </c>
      <c r="G1211" s="1052">
        <f t="shared" si="191"/>
        <v>7.3825000000000003</v>
      </c>
      <c r="H1211" s="1047">
        <f t="shared" si="185"/>
        <v>7.0326000000000004</v>
      </c>
      <c r="I1211" s="1048">
        <f t="shared" si="183"/>
        <v>0.14515257515001556</v>
      </c>
      <c r="J1211" s="1048">
        <f t="shared" si="186"/>
        <v>0.12093838824177333</v>
      </c>
      <c r="K1211" s="1048">
        <f t="shared" si="187"/>
        <v>0.1</v>
      </c>
      <c r="L1211" s="1048"/>
      <c r="N1211" s="1051">
        <v>43468</v>
      </c>
      <c r="O1211" s="1053">
        <v>8.0533999999999999</v>
      </c>
      <c r="P1211" s="1053">
        <v>1.1668000000000001</v>
      </c>
      <c r="Q1211" s="1053">
        <v>11.169499999999999</v>
      </c>
      <c r="R1211" s="1054">
        <f>'B. PE'!$U$23</f>
        <v>15.978235616082999</v>
      </c>
      <c r="S1211" s="1054"/>
      <c r="T1211" s="1054"/>
      <c r="V1211" s="1051">
        <v>43468</v>
      </c>
      <c r="W1211" s="198">
        <v>6.5994999999999999</v>
      </c>
      <c r="X1211" s="198">
        <v>0.47660000000000002</v>
      </c>
      <c r="Y1211" s="198">
        <v>5.7906000000000004</v>
      </c>
      <c r="Z1211" s="198">
        <v>0.29400999999999999</v>
      </c>
      <c r="AB1211" s="1051">
        <v>43420</v>
      </c>
      <c r="AC1211" s="198">
        <v>7.1433</v>
      </c>
      <c r="AD1211" s="1053">
        <v>1.1975</v>
      </c>
      <c r="AE1211" s="198">
        <v>7.7633000000000001</v>
      </c>
      <c r="AF1211" s="198">
        <v>2.282E-2</v>
      </c>
      <c r="AH1211" s="1051">
        <v>43420</v>
      </c>
      <c r="AI1211" s="198">
        <v>7.0678000000000001</v>
      </c>
      <c r="AJ1211" s="198">
        <v>1.2105999999999999</v>
      </c>
      <c r="AK1211" s="198">
        <v>4.3692000000000002</v>
      </c>
      <c r="AL1211" s="198">
        <v>1.1650000000000001E-2</v>
      </c>
      <c r="AN1211" s="1051">
        <v>43432</v>
      </c>
      <c r="AO1211" s="198">
        <v>6.5160999999999998</v>
      </c>
      <c r="AP1211" s="198">
        <v>0.63939999999999997</v>
      </c>
      <c r="AQ1211" s="198">
        <v>3.3064</v>
      </c>
      <c r="AR1211" s="198">
        <v>0.12179</v>
      </c>
      <c r="BA1211" s="1051">
        <v>43413</v>
      </c>
      <c r="BB1211" s="198">
        <v>7.9973000000000001</v>
      </c>
      <c r="BC1211" s="198">
        <v>1.5891</v>
      </c>
      <c r="BD1211" s="198">
        <v>9.4938000000000002</v>
      </c>
      <c r="BE1211" s="198">
        <v>0.27433999999999997</v>
      </c>
      <c r="BG1211" s="1051">
        <v>43413</v>
      </c>
      <c r="BH1211" s="198">
        <v>15</v>
      </c>
      <c r="BI1211" s="198">
        <v>3.6053000000000002</v>
      </c>
      <c r="BJ1211" s="198">
        <v>17.7073</v>
      </c>
      <c r="BT1211" s="1051">
        <v>43468</v>
      </c>
      <c r="BU1211" s="198">
        <v>12.3476</v>
      </c>
      <c r="BV1211" s="198">
        <v>4.0972</v>
      </c>
      <c r="BW1211" s="198">
        <v>7.6513999999999998</v>
      </c>
      <c r="BX1211" s="198">
        <v>1.2504999999999999</v>
      </c>
      <c r="BZ1211" s="1051">
        <v>43468</v>
      </c>
      <c r="CA1211" s="198">
        <v>13.825699999999999</v>
      </c>
      <c r="CB1211" s="198">
        <v>4.2403000000000004</v>
      </c>
      <c r="CC1211" s="198">
        <v>14.801</v>
      </c>
      <c r="CD1211" s="198">
        <v>1.56294</v>
      </c>
      <c r="CF1211" s="1051">
        <v>43467</v>
      </c>
      <c r="CG1211" s="198">
        <v>6.1919000000000004</v>
      </c>
      <c r="CH1211" s="198">
        <v>1.1632</v>
      </c>
      <c r="CI1211" s="198">
        <v>9.7742000000000004</v>
      </c>
      <c r="CL1211" s="1051">
        <v>43495</v>
      </c>
      <c r="CM1211" s="198">
        <v>19.0381</v>
      </c>
      <c r="CN1211" s="198">
        <v>2.8388</v>
      </c>
      <c r="CO1211" s="198">
        <v>14.552099999999999</v>
      </c>
    </row>
    <row r="1212" spans="1:93" s="198" customFormat="1">
      <c r="A1212" s="1051">
        <v>43467</v>
      </c>
      <c r="B1212" s="1052">
        <f t="shared" si="192"/>
        <v>8.2363999999999997</v>
      </c>
      <c r="C1212" s="1052">
        <f t="shared" si="193"/>
        <v>6.5994999999999999</v>
      </c>
      <c r="D1212" s="1052">
        <f t="shared" si="188"/>
        <v>7.2031000000000001</v>
      </c>
      <c r="E1212" s="1052">
        <f t="shared" si="189"/>
        <v>6.8970000000000002</v>
      </c>
      <c r="F1212" s="1052">
        <f t="shared" si="190"/>
        <v>12.2835</v>
      </c>
      <c r="G1212" s="1052">
        <f t="shared" si="191"/>
        <v>7.3449999999999998</v>
      </c>
      <c r="H1212" s="1047">
        <f t="shared" si="185"/>
        <v>7.2031000000000001</v>
      </c>
      <c r="I1212" s="1048">
        <f t="shared" si="183"/>
        <v>0.14345212477960878</v>
      </c>
      <c r="J1212" s="1048">
        <f t="shared" si="186"/>
        <v>0.12093838824177333</v>
      </c>
      <c r="K1212" s="1048">
        <f t="shared" si="187"/>
        <v>0.1</v>
      </c>
      <c r="L1212" s="1048"/>
      <c r="N1212" s="1051">
        <v>43467</v>
      </c>
      <c r="O1212" s="1053">
        <v>8.2363999999999997</v>
      </c>
      <c r="P1212" s="1053">
        <v>1.1933</v>
      </c>
      <c r="Q1212" s="1053">
        <v>11.306100000000001</v>
      </c>
      <c r="R1212" s="1054">
        <f>'B. PE'!$U$23</f>
        <v>15.978235616082999</v>
      </c>
      <c r="S1212" s="1054"/>
      <c r="T1212" s="1054"/>
      <c r="V1212" s="1051">
        <v>43467</v>
      </c>
      <c r="W1212" s="198">
        <v>6.5994999999999999</v>
      </c>
      <c r="X1212" s="198">
        <v>0.47660000000000002</v>
      </c>
      <c r="Y1212" s="198">
        <v>5.7906000000000004</v>
      </c>
      <c r="Z1212" s="198">
        <v>0.29660999999999998</v>
      </c>
      <c r="AB1212" s="1051">
        <v>43419</v>
      </c>
      <c r="AC1212" s="198">
        <v>6.6969000000000003</v>
      </c>
      <c r="AD1212" s="1053">
        <v>1.1227</v>
      </c>
      <c r="AE1212" s="198">
        <v>7.4928999999999997</v>
      </c>
      <c r="AF1212" s="198">
        <v>2.1739999999999999E-2</v>
      </c>
      <c r="AH1212" s="1051">
        <v>43419</v>
      </c>
      <c r="AI1212" s="198">
        <v>7.0678000000000001</v>
      </c>
      <c r="AJ1212" s="198">
        <v>1.2105999999999999</v>
      </c>
      <c r="AK1212" s="198">
        <v>4.3692000000000002</v>
      </c>
      <c r="AL1212" s="198">
        <v>1.1610000000000001E-2</v>
      </c>
      <c r="AN1212" s="1051">
        <v>43431</v>
      </c>
      <c r="AO1212" s="198">
        <v>6.5160999999999998</v>
      </c>
      <c r="AP1212" s="198">
        <v>0.63939999999999997</v>
      </c>
      <c r="AQ1212" s="198">
        <v>3.3064</v>
      </c>
      <c r="AR1212" s="198">
        <v>0.11927</v>
      </c>
      <c r="BA1212" s="1051">
        <v>43412</v>
      </c>
      <c r="BB1212" s="198">
        <v>8.0408000000000008</v>
      </c>
      <c r="BC1212" s="198">
        <v>1.5976999999999999</v>
      </c>
      <c r="BD1212" s="198">
        <v>9.5273000000000003</v>
      </c>
      <c r="BE1212" s="198">
        <v>0.27329999999999999</v>
      </c>
      <c r="BG1212" s="1051">
        <v>43412</v>
      </c>
      <c r="BH1212" s="198">
        <v>15</v>
      </c>
      <c r="BI1212" s="198">
        <v>3.6053000000000002</v>
      </c>
      <c r="BJ1212" s="198">
        <v>17.7073</v>
      </c>
      <c r="BT1212" s="1051">
        <v>43467</v>
      </c>
      <c r="BU1212" s="198">
        <v>12.7195</v>
      </c>
      <c r="BV1212" s="198">
        <v>4.2206000000000001</v>
      </c>
      <c r="BW1212" s="198">
        <v>7.8625999999999996</v>
      </c>
      <c r="BX1212" s="198">
        <v>1.2376</v>
      </c>
      <c r="BZ1212" s="1051">
        <v>43467</v>
      </c>
      <c r="CA1212" s="198">
        <v>14.0017</v>
      </c>
      <c r="CB1212" s="198">
        <v>4.2942999999999998</v>
      </c>
      <c r="CC1212" s="198">
        <v>14.9337</v>
      </c>
      <c r="CD1212" s="198">
        <v>1.63548</v>
      </c>
      <c r="CF1212" s="1051">
        <v>43462</v>
      </c>
      <c r="CI1212" s="198">
        <v>10.033099999999999</v>
      </c>
      <c r="CL1212" s="1051">
        <v>43494</v>
      </c>
      <c r="CM1212" s="198">
        <v>19.050799999999999</v>
      </c>
      <c r="CN1212" s="198">
        <v>2.8407</v>
      </c>
      <c r="CO1212" s="198">
        <v>14.562799999999999</v>
      </c>
    </row>
    <row r="1213" spans="1:93" s="198" customFormat="1">
      <c r="A1213" s="1051">
        <v>43462</v>
      </c>
      <c r="B1213" s="1052">
        <f t="shared" ref="B1213:B1244" si="194">O1213</f>
        <v>8.4011999999999993</v>
      </c>
      <c r="C1213" s="1052">
        <f t="shared" ref="C1213:C1244" si="195">IF(W1213=0,W1212,W1213)</f>
        <v>6.5750999999999999</v>
      </c>
      <c r="D1213" s="1052">
        <f t="shared" si="188"/>
        <v>7.3735999999999997</v>
      </c>
      <c r="E1213" s="1052">
        <f t="shared" si="189"/>
        <v>6.2903000000000002</v>
      </c>
      <c r="F1213" s="1052">
        <f t="shared" si="190"/>
        <v>12.1767</v>
      </c>
      <c r="G1213" s="1052">
        <f t="shared" si="191"/>
        <v>7.3449999999999998</v>
      </c>
      <c r="H1213" s="1047">
        <f t="shared" si="185"/>
        <v>7.3449999999999998</v>
      </c>
      <c r="I1213" s="1048">
        <f t="shared" si="183"/>
        <v>0.14379850238257319</v>
      </c>
      <c r="J1213" s="1048">
        <f t="shared" si="186"/>
        <v>0.12093838824177333</v>
      </c>
      <c r="K1213" s="1048">
        <f t="shared" si="187"/>
        <v>0.1</v>
      </c>
      <c r="L1213" s="1048"/>
      <c r="N1213" s="1051">
        <v>43462</v>
      </c>
      <c r="O1213" s="1053">
        <v>8.4011999999999993</v>
      </c>
      <c r="P1213" s="1053">
        <v>1.2172000000000001</v>
      </c>
      <c r="Q1213" s="1053">
        <v>11.4291</v>
      </c>
      <c r="R1213" s="1054">
        <f>'B. PE'!$U$23</f>
        <v>15.978235616082999</v>
      </c>
      <c r="S1213" s="1054"/>
      <c r="T1213" s="1054"/>
      <c r="V1213" s="1051">
        <v>43462</v>
      </c>
      <c r="W1213" s="198">
        <v>6.5750999999999999</v>
      </c>
      <c r="X1213" s="198">
        <v>0.4748</v>
      </c>
      <c r="Y1213" s="198">
        <v>5.7816999999999998</v>
      </c>
      <c r="Z1213" s="198">
        <v>0.29546</v>
      </c>
      <c r="AB1213" s="1051">
        <v>43418</v>
      </c>
      <c r="AC1213" s="198">
        <v>6.5415999999999999</v>
      </c>
      <c r="AD1213" s="1053">
        <v>1.0967</v>
      </c>
      <c r="AE1213" s="198">
        <v>7.3989000000000003</v>
      </c>
      <c r="AF1213" s="198">
        <v>2.2710000000000001E-2</v>
      </c>
      <c r="AH1213" s="1051">
        <v>43418</v>
      </c>
      <c r="AI1213" s="198">
        <v>7.2793999999999999</v>
      </c>
      <c r="AJ1213" s="198">
        <v>1.2467999999999999</v>
      </c>
      <c r="AK1213" s="198">
        <v>4.4751000000000003</v>
      </c>
      <c r="AL1213" s="198">
        <v>1.078E-2</v>
      </c>
      <c r="AN1213" s="1051">
        <v>43430</v>
      </c>
      <c r="AO1213" s="198">
        <v>6.5805999999999996</v>
      </c>
      <c r="AP1213" s="198">
        <v>0.64580000000000004</v>
      </c>
      <c r="AQ1213" s="198">
        <v>3.3582000000000001</v>
      </c>
      <c r="AR1213" s="198">
        <v>0.11914</v>
      </c>
      <c r="BA1213" s="1051">
        <v>43411</v>
      </c>
      <c r="BB1213" s="198">
        <v>7.8235000000000001</v>
      </c>
      <c r="BC1213" s="198">
        <v>1.5546</v>
      </c>
      <c r="BD1213" s="198">
        <v>9.36</v>
      </c>
      <c r="BE1213" s="198">
        <v>0.27306999999999998</v>
      </c>
      <c r="BG1213" s="1051">
        <v>43411</v>
      </c>
      <c r="BH1213" s="198">
        <v>15.4444</v>
      </c>
      <c r="BI1213" s="198">
        <v>3.7122000000000002</v>
      </c>
      <c r="BJ1213" s="198">
        <v>18.078399999999998</v>
      </c>
      <c r="BT1213" s="1051">
        <v>43462</v>
      </c>
      <c r="BU1213" s="198">
        <v>12.9427</v>
      </c>
      <c r="BV1213" s="198">
        <v>4.2946</v>
      </c>
      <c r="BW1213" s="198">
        <v>7.9893999999999998</v>
      </c>
      <c r="BX1213" s="198">
        <v>1.2230000000000001</v>
      </c>
      <c r="BZ1213" s="1051">
        <v>43462</v>
      </c>
      <c r="CA1213" s="198">
        <v>14.0603</v>
      </c>
      <c r="CB1213" s="198">
        <v>4.3122999999999996</v>
      </c>
      <c r="CC1213" s="198">
        <v>14.9779</v>
      </c>
      <c r="CD1213" s="198">
        <v>1.6026400000000001</v>
      </c>
      <c r="CF1213" s="1051">
        <v>43461</v>
      </c>
      <c r="CG1213" s="198">
        <v>6.8723000000000001</v>
      </c>
      <c r="CH1213" s="198">
        <v>1.2103999999999999</v>
      </c>
      <c r="CI1213" s="198">
        <v>9.7637</v>
      </c>
      <c r="CL1213" s="1051">
        <v>43493</v>
      </c>
      <c r="CM1213" s="198">
        <v>18.986999999999998</v>
      </c>
      <c r="CN1213" s="198">
        <v>2.8311999999999999</v>
      </c>
      <c r="CO1213" s="198">
        <v>14.509499999999999</v>
      </c>
    </row>
    <row r="1214" spans="1:93" s="198" customFormat="1">
      <c r="A1214" s="1051">
        <v>43461</v>
      </c>
      <c r="B1214" s="1052">
        <f t="shared" si="194"/>
        <v>9.1654</v>
      </c>
      <c r="C1214" s="1052">
        <f t="shared" si="195"/>
        <v>6.5285000000000002</v>
      </c>
      <c r="D1214" s="1052">
        <f t="shared" si="188"/>
        <v>7.4486999999999997</v>
      </c>
      <c r="E1214" s="1052">
        <f t="shared" si="189"/>
        <v>6.1612999999999998</v>
      </c>
      <c r="F1214" s="1052">
        <f t="shared" si="190"/>
        <v>12.666700000000001</v>
      </c>
      <c r="G1214" s="1052">
        <f t="shared" si="191"/>
        <v>8.3016000000000005</v>
      </c>
      <c r="H1214" s="1047">
        <f t="shared" si="185"/>
        <v>7.4486999999999997</v>
      </c>
      <c r="I1214" s="1048">
        <f t="shared" si="183"/>
        <v>0.23046974639870044</v>
      </c>
      <c r="J1214" s="1048">
        <f t="shared" si="186"/>
        <v>0.12093838824177333</v>
      </c>
      <c r="K1214" s="1048">
        <f t="shared" si="187"/>
        <v>0.1</v>
      </c>
      <c r="L1214" s="1048"/>
      <c r="N1214" s="1051">
        <v>43461</v>
      </c>
      <c r="O1214" s="1053">
        <v>9.1654</v>
      </c>
      <c r="P1214" s="1053">
        <v>1.2714000000000001</v>
      </c>
      <c r="Q1214" s="1053">
        <v>11.709</v>
      </c>
      <c r="R1214" s="1054">
        <f>'B. PE'!$U$23</f>
        <v>15.978235616082999</v>
      </c>
      <c r="S1214" s="1054"/>
      <c r="T1214" s="1054"/>
      <c r="V1214" s="1051">
        <v>43461</v>
      </c>
      <c r="W1214" s="198">
        <v>6.5285000000000002</v>
      </c>
      <c r="X1214" s="198">
        <v>0.48509999999999998</v>
      </c>
      <c r="Z1214" s="198">
        <v>0.29610999999999998</v>
      </c>
      <c r="AB1214" s="1051">
        <v>43417</v>
      </c>
      <c r="AC1214" s="198">
        <v>6.2504</v>
      </c>
      <c r="AD1214" s="1053">
        <v>1.0478000000000001</v>
      </c>
      <c r="AE1214" s="198">
        <v>7.2225999999999999</v>
      </c>
      <c r="AF1214" s="198">
        <v>2.3199999999999998E-2</v>
      </c>
      <c r="AH1214" s="1051">
        <v>43417</v>
      </c>
      <c r="AI1214" s="198">
        <v>7.2793999999999999</v>
      </c>
      <c r="AJ1214" s="198">
        <v>1.2467999999999999</v>
      </c>
      <c r="AK1214" s="198">
        <v>4.4751000000000003</v>
      </c>
      <c r="AL1214" s="198">
        <v>1.0240000000000001E-2</v>
      </c>
      <c r="AN1214" s="1051">
        <v>43427</v>
      </c>
      <c r="AO1214" s="198">
        <v>6.4516</v>
      </c>
      <c r="AP1214" s="198">
        <v>0.6331</v>
      </c>
      <c r="AQ1214" s="198">
        <v>3.2545000000000002</v>
      </c>
      <c r="AR1214" s="198">
        <v>0.11969</v>
      </c>
      <c r="BA1214" s="1051">
        <v>43410</v>
      </c>
      <c r="BB1214" s="198">
        <v>7.8235000000000001</v>
      </c>
      <c r="BC1214" s="198">
        <v>1.5546</v>
      </c>
      <c r="BD1214" s="198">
        <v>9.36</v>
      </c>
      <c r="BE1214" s="198">
        <v>0.27393000000000001</v>
      </c>
      <c r="BG1214" s="1051">
        <v>43410</v>
      </c>
      <c r="BH1214" s="198">
        <v>15.666700000000001</v>
      </c>
      <c r="BI1214" s="198">
        <v>3.7656000000000001</v>
      </c>
      <c r="BJ1214" s="198">
        <v>18.263999999999999</v>
      </c>
      <c r="BT1214" s="1051">
        <v>43461</v>
      </c>
      <c r="BU1214" s="198">
        <v>13.3568</v>
      </c>
      <c r="BV1214" s="198">
        <v>4.5593000000000004</v>
      </c>
      <c r="BW1214" s="198">
        <v>8.4593000000000007</v>
      </c>
      <c r="BX1214" s="198">
        <v>1.2226999999999999</v>
      </c>
      <c r="BZ1214" s="1051">
        <v>43461</v>
      </c>
      <c r="CB1214" s="198">
        <v>5.0143000000000004</v>
      </c>
      <c r="CD1214" s="198">
        <v>1.5957300000000001</v>
      </c>
      <c r="CF1214" s="1051">
        <v>43460</v>
      </c>
      <c r="CI1214" s="198">
        <v>9.4755000000000003</v>
      </c>
      <c r="CL1214" s="1051">
        <v>43490</v>
      </c>
      <c r="CM1214" s="198">
        <v>19.025300000000001</v>
      </c>
      <c r="CN1214" s="198">
        <v>2.8369</v>
      </c>
      <c r="CO1214" s="198">
        <v>14.541499999999999</v>
      </c>
    </row>
    <row r="1215" spans="1:93" s="198" customFormat="1">
      <c r="A1215" s="1051">
        <v>43460</v>
      </c>
      <c r="B1215" s="1052">
        <f t="shared" si="194"/>
        <v>9.1054999999999993</v>
      </c>
      <c r="C1215" s="1052">
        <f t="shared" si="195"/>
        <v>6.5045999999999999</v>
      </c>
      <c r="D1215" s="1052">
        <f t="shared" si="188"/>
        <v>6.9408000000000003</v>
      </c>
      <c r="E1215" s="1052">
        <f t="shared" si="189"/>
        <v>6</v>
      </c>
      <c r="F1215" s="1052">
        <f t="shared" si="190"/>
        <v>12.666700000000001</v>
      </c>
      <c r="G1215" s="1052">
        <f t="shared" si="191"/>
        <v>8.5189000000000004</v>
      </c>
      <c r="H1215" s="1047">
        <f t="shared" si="185"/>
        <v>6.9408000000000003</v>
      </c>
      <c r="I1215" s="1048">
        <f t="shared" si="183"/>
        <v>0.31188047487321335</v>
      </c>
      <c r="J1215" s="1048">
        <f t="shared" si="186"/>
        <v>0.12093838824177333</v>
      </c>
      <c r="K1215" s="1048">
        <f t="shared" si="187"/>
        <v>0.1</v>
      </c>
      <c r="L1215" s="1048"/>
      <c r="N1215" s="1051">
        <v>43460</v>
      </c>
      <c r="O1215" s="1053">
        <v>9.1054999999999993</v>
      </c>
      <c r="P1215" s="1053">
        <v>1.2630999999999999</v>
      </c>
      <c r="Q1215" s="1053">
        <v>11.662699999999999</v>
      </c>
      <c r="R1215" s="1054">
        <f>'B. PE'!$U$23</f>
        <v>15.978235616082999</v>
      </c>
      <c r="S1215" s="1054"/>
      <c r="T1215" s="1054"/>
      <c r="V1215" s="1051">
        <v>43460</v>
      </c>
      <c r="W1215" s="198">
        <v>6.5045999999999999</v>
      </c>
      <c r="X1215" s="198">
        <v>0.48330000000000001</v>
      </c>
      <c r="Z1215" s="198">
        <v>0.30293999999999999</v>
      </c>
      <c r="AB1215" s="1051">
        <v>43416</v>
      </c>
      <c r="AC1215" s="198">
        <v>6.5415999999999999</v>
      </c>
      <c r="AD1215" s="1053">
        <v>1.0967</v>
      </c>
      <c r="AE1215" s="198">
        <v>7.3989000000000003</v>
      </c>
      <c r="AF1215" s="198">
        <v>2.4199999999999999E-2</v>
      </c>
      <c r="AH1215" s="1051">
        <v>43416</v>
      </c>
      <c r="AI1215" s="198">
        <v>6.7714999999999996</v>
      </c>
      <c r="AJ1215" s="198">
        <v>1.1597999999999999</v>
      </c>
      <c r="AK1215" s="198">
        <v>4.2209000000000003</v>
      </c>
      <c r="AL1215" s="198">
        <v>9.9799999999999993E-3</v>
      </c>
      <c r="AN1215" s="1051">
        <v>43426</v>
      </c>
      <c r="AO1215" s="198">
        <v>6.4516</v>
      </c>
      <c r="AP1215" s="198">
        <v>0.6331</v>
      </c>
      <c r="AQ1215" s="198">
        <v>3.2545000000000002</v>
      </c>
      <c r="AR1215" s="198">
        <v>0.11941</v>
      </c>
      <c r="BA1215" s="1051">
        <v>43409</v>
      </c>
      <c r="BB1215" s="198">
        <v>7.8235000000000001</v>
      </c>
      <c r="BC1215" s="198">
        <v>1.5546</v>
      </c>
      <c r="BD1215" s="198">
        <v>9.36</v>
      </c>
      <c r="BE1215" s="198">
        <v>0.27357999999999999</v>
      </c>
      <c r="BG1215" s="1051">
        <v>43409</v>
      </c>
      <c r="BH1215" s="198">
        <v>15.8889</v>
      </c>
      <c r="BI1215" s="198">
        <v>3.819</v>
      </c>
      <c r="BJ1215" s="198">
        <v>18.4496</v>
      </c>
      <c r="BT1215" s="1051">
        <v>43460</v>
      </c>
      <c r="BU1215" s="198">
        <v>13.202199999999999</v>
      </c>
      <c r="BV1215" s="198">
        <v>4.5065</v>
      </c>
      <c r="BW1215" s="198">
        <v>8.3686000000000007</v>
      </c>
      <c r="BX1215" s="198">
        <v>1.2383</v>
      </c>
      <c r="BZ1215" s="1051">
        <v>43460</v>
      </c>
      <c r="CB1215" s="198">
        <v>4.9146999999999998</v>
      </c>
      <c r="CD1215" s="198">
        <v>1.60202</v>
      </c>
      <c r="CF1215" s="1051">
        <v>43459</v>
      </c>
      <c r="CI1215" s="198">
        <v>9.4755000000000003</v>
      </c>
      <c r="CL1215" s="1051">
        <v>43489</v>
      </c>
      <c r="CM1215" s="198">
        <v>18.948799999999999</v>
      </c>
      <c r="CN1215" s="198">
        <v>2.8254999999999999</v>
      </c>
      <c r="CO1215" s="198">
        <v>14.477499999999999</v>
      </c>
    </row>
    <row r="1216" spans="1:93" s="198" customFormat="1">
      <c r="A1216" s="1051">
        <v>43459</v>
      </c>
      <c r="B1216" s="1052">
        <f t="shared" si="194"/>
        <v>9.1853999999999996</v>
      </c>
      <c r="C1216" s="1052">
        <f t="shared" si="195"/>
        <v>6.5205000000000002</v>
      </c>
      <c r="D1216" s="1052">
        <f t="shared" si="188"/>
        <v>6.9408000000000003</v>
      </c>
      <c r="E1216" s="1052">
        <f t="shared" si="189"/>
        <v>6</v>
      </c>
      <c r="F1216" s="1052">
        <f t="shared" si="190"/>
        <v>12.666700000000001</v>
      </c>
      <c r="G1216" s="1052">
        <f t="shared" si="191"/>
        <v>8.5189000000000004</v>
      </c>
      <c r="H1216" s="1047">
        <f t="shared" si="185"/>
        <v>6.9408000000000003</v>
      </c>
      <c r="I1216" s="1048">
        <f t="shared" si="183"/>
        <v>0.32339211618257258</v>
      </c>
      <c r="J1216" s="1048">
        <f t="shared" si="186"/>
        <v>0.12093838824177333</v>
      </c>
      <c r="K1216" s="1048">
        <f t="shared" si="187"/>
        <v>0.1</v>
      </c>
      <c r="L1216" s="1048"/>
      <c r="N1216" s="1051">
        <v>43459</v>
      </c>
      <c r="O1216" s="1053">
        <v>9.1853999999999996</v>
      </c>
      <c r="P1216" s="1053">
        <v>1.2742</v>
      </c>
      <c r="Q1216" s="1053">
        <v>11.724500000000001</v>
      </c>
      <c r="R1216" s="1054">
        <f>'B. PE'!$U$23</f>
        <v>15.978235616082999</v>
      </c>
      <c r="S1216" s="1054"/>
      <c r="T1216" s="1054"/>
      <c r="V1216" s="1051">
        <v>43459</v>
      </c>
      <c r="W1216" s="198">
        <v>6.5205000000000002</v>
      </c>
      <c r="X1216" s="198">
        <v>0.48449999999999999</v>
      </c>
      <c r="Z1216" s="198">
        <v>0.30359000000000003</v>
      </c>
      <c r="AB1216" s="1051">
        <v>43413</v>
      </c>
      <c r="AC1216" s="198">
        <v>6.6387</v>
      </c>
      <c r="AD1216" s="1053">
        <v>1.1129</v>
      </c>
      <c r="AE1216" s="198">
        <v>7.4577</v>
      </c>
      <c r="AF1216" s="198">
        <v>2.2290000000000001E-2</v>
      </c>
      <c r="AH1216" s="1051">
        <v>43413</v>
      </c>
      <c r="AI1216" s="198">
        <v>6.3906000000000001</v>
      </c>
      <c r="AJ1216" s="198">
        <v>1.0946</v>
      </c>
      <c r="AK1216" s="198">
        <v>4.0301999999999998</v>
      </c>
      <c r="AL1216" s="198">
        <v>9.6699999999999998E-3</v>
      </c>
      <c r="AN1216" s="1051">
        <v>43425</v>
      </c>
      <c r="AO1216" s="198">
        <v>6.4516</v>
      </c>
      <c r="AP1216" s="198">
        <v>0.6331</v>
      </c>
      <c r="AQ1216" s="198">
        <v>3.2545000000000002</v>
      </c>
      <c r="AR1216" s="198">
        <v>0.12046999999999999</v>
      </c>
      <c r="BA1216" s="1051">
        <v>43406</v>
      </c>
      <c r="BB1216" s="198">
        <v>7.8235000000000001</v>
      </c>
      <c r="BC1216" s="198">
        <v>1.5546</v>
      </c>
      <c r="BD1216" s="198">
        <v>9.36</v>
      </c>
      <c r="BE1216" s="198">
        <v>0.27183000000000002</v>
      </c>
      <c r="BG1216" s="1051">
        <v>43406</v>
      </c>
      <c r="BH1216" s="198">
        <v>16.1111</v>
      </c>
      <c r="BI1216" s="198">
        <v>3.8723999999999998</v>
      </c>
      <c r="BJ1216" s="198">
        <v>18.635200000000001</v>
      </c>
      <c r="BT1216" s="1051">
        <v>43459</v>
      </c>
      <c r="BU1216" s="198">
        <v>13.202199999999999</v>
      </c>
      <c r="BV1216" s="198">
        <v>4.5065</v>
      </c>
      <c r="BW1216" s="198">
        <v>8.3686000000000007</v>
      </c>
      <c r="BX1216" s="198">
        <v>1.2452000000000001</v>
      </c>
      <c r="BZ1216" s="1051">
        <v>43459</v>
      </c>
      <c r="CB1216" s="198">
        <v>4.8948</v>
      </c>
      <c r="CD1216" s="198">
        <v>1.59735</v>
      </c>
      <c r="CF1216" s="1051">
        <v>43458</v>
      </c>
      <c r="CG1216" s="198">
        <v>6.3715999999999999</v>
      </c>
      <c r="CH1216" s="198">
        <v>1.1223000000000001</v>
      </c>
      <c r="CI1216" s="198">
        <v>9.4755000000000003</v>
      </c>
      <c r="CL1216" s="1051">
        <v>43488</v>
      </c>
      <c r="CM1216" s="198">
        <v>18.8978</v>
      </c>
      <c r="CN1216" s="198">
        <v>2.8178999999999998</v>
      </c>
      <c r="CO1216" s="198">
        <v>14.434900000000001</v>
      </c>
    </row>
    <row r="1217" spans="1:93" s="198" customFormat="1">
      <c r="A1217" s="1051">
        <v>43458</v>
      </c>
      <c r="B1217" s="1052">
        <f t="shared" si="194"/>
        <v>9.3451000000000004</v>
      </c>
      <c r="C1217" s="1052">
        <f t="shared" si="195"/>
        <v>6.6718000000000002</v>
      </c>
      <c r="D1217" s="1052">
        <f t="shared" si="188"/>
        <v>6.9408000000000003</v>
      </c>
      <c r="E1217" s="1052">
        <f t="shared" si="189"/>
        <v>6.1289999999999996</v>
      </c>
      <c r="F1217" s="1052">
        <f t="shared" si="190"/>
        <v>13.1111</v>
      </c>
      <c r="G1217" s="1052">
        <f t="shared" si="191"/>
        <v>8.5624000000000002</v>
      </c>
      <c r="H1217" s="1047">
        <f t="shared" si="185"/>
        <v>6.9408000000000003</v>
      </c>
      <c r="I1217" s="1048">
        <f t="shared" si="183"/>
        <v>0.34640099124020285</v>
      </c>
      <c r="J1217" s="1048">
        <f t="shared" si="186"/>
        <v>0.12093838824177333</v>
      </c>
      <c r="K1217" s="1048">
        <f t="shared" si="187"/>
        <v>0.1</v>
      </c>
      <c r="L1217" s="1048"/>
      <c r="N1217" s="1051">
        <v>43458</v>
      </c>
      <c r="O1217" s="1053">
        <v>9.3451000000000004</v>
      </c>
      <c r="P1217" s="1053">
        <v>1.2963</v>
      </c>
      <c r="Q1217" s="1053">
        <v>11.848000000000001</v>
      </c>
      <c r="R1217" s="1054">
        <f>'B. PE'!$U$23</f>
        <v>15.978235616082999</v>
      </c>
      <c r="S1217" s="1054"/>
      <c r="T1217" s="1054"/>
      <c r="V1217" s="1051">
        <v>43458</v>
      </c>
      <c r="W1217" s="198">
        <v>6.6718000000000002</v>
      </c>
      <c r="X1217" s="198">
        <v>0.49569999999999997</v>
      </c>
      <c r="Z1217" s="198">
        <v>0.30674000000000001</v>
      </c>
      <c r="AB1217" s="1051">
        <v>43412</v>
      </c>
      <c r="AC1217" s="198">
        <v>6.8715999999999999</v>
      </c>
      <c r="AD1217" s="1053">
        <v>1.1519999999999999</v>
      </c>
      <c r="AE1217" s="198">
        <v>7.5987</v>
      </c>
      <c r="AF1217" s="198">
        <v>2.1700000000000001E-2</v>
      </c>
      <c r="AH1217" s="1051">
        <v>43412</v>
      </c>
      <c r="AI1217" s="198">
        <v>6.1790000000000003</v>
      </c>
      <c r="AJ1217" s="198">
        <v>1.0583</v>
      </c>
      <c r="AK1217" s="198">
        <v>3.9241999999999999</v>
      </c>
      <c r="AL1217" s="198">
        <v>9.5300000000000003E-3</v>
      </c>
      <c r="AN1217" s="1051">
        <v>43423</v>
      </c>
      <c r="AO1217" s="198">
        <v>6.4516</v>
      </c>
      <c r="AP1217" s="198">
        <v>0.6331</v>
      </c>
      <c r="AQ1217" s="198">
        <v>3.2545000000000002</v>
      </c>
      <c r="AR1217" s="198">
        <v>0.11957</v>
      </c>
      <c r="BA1217" s="1051">
        <v>43405</v>
      </c>
      <c r="BB1217" s="198">
        <v>7.8235000000000001</v>
      </c>
      <c r="BC1217" s="198">
        <v>1.5546</v>
      </c>
      <c r="BD1217" s="198">
        <v>9.36</v>
      </c>
      <c r="BE1217" s="198">
        <v>0.27048</v>
      </c>
      <c r="BG1217" s="1051">
        <v>43405</v>
      </c>
      <c r="BH1217" s="198">
        <v>16.1111</v>
      </c>
      <c r="BI1217" s="198">
        <v>3.8723999999999998</v>
      </c>
      <c r="BJ1217" s="198">
        <v>18.635200000000001</v>
      </c>
      <c r="BT1217" s="1051">
        <v>43458</v>
      </c>
      <c r="BU1217" s="198">
        <v>13.372299999999999</v>
      </c>
      <c r="BV1217" s="198">
        <v>4.5646000000000004</v>
      </c>
      <c r="BW1217" s="198">
        <v>8.4684000000000008</v>
      </c>
      <c r="BX1217" s="198">
        <v>1.2233000000000001</v>
      </c>
      <c r="BZ1217" s="1051">
        <v>43458</v>
      </c>
      <c r="CB1217" s="198">
        <v>4.9146999999999998</v>
      </c>
      <c r="CD1217" s="198">
        <v>1.6011299999999999</v>
      </c>
      <c r="CF1217" s="1051">
        <v>43455</v>
      </c>
      <c r="CG1217" s="198">
        <v>6.3715999999999999</v>
      </c>
      <c r="CH1217" s="198">
        <v>1.1223000000000001</v>
      </c>
      <c r="CI1217" s="198">
        <v>9.4755000000000003</v>
      </c>
      <c r="CL1217" s="1051">
        <v>43487</v>
      </c>
      <c r="CM1217" s="198">
        <v>18.986999999999998</v>
      </c>
      <c r="CN1217" s="198">
        <v>2.8311999999999999</v>
      </c>
      <c r="CO1217" s="198">
        <v>14.509499999999999</v>
      </c>
    </row>
    <row r="1218" spans="1:93" s="198" customFormat="1">
      <c r="A1218" s="1051">
        <v>43455</v>
      </c>
      <c r="B1218" s="1052">
        <f t="shared" si="194"/>
        <v>9.2652999999999999</v>
      </c>
      <c r="C1218" s="1052">
        <f t="shared" si="195"/>
        <v>6.6877000000000004</v>
      </c>
      <c r="D1218" s="1052">
        <f t="shared" si="188"/>
        <v>6.9408000000000003</v>
      </c>
      <c r="E1218" s="1052">
        <f t="shared" si="189"/>
        <v>5.8710000000000004</v>
      </c>
      <c r="F1218" s="1052">
        <f t="shared" si="190"/>
        <v>13</v>
      </c>
      <c r="G1218" s="1052">
        <f t="shared" si="191"/>
        <v>8.6058000000000003</v>
      </c>
      <c r="H1218" s="1047">
        <f t="shared" si="185"/>
        <v>6.9408000000000003</v>
      </c>
      <c r="I1218" s="1048">
        <f t="shared" si="183"/>
        <v>0.3349037574919318</v>
      </c>
      <c r="J1218" s="1048">
        <f t="shared" si="186"/>
        <v>0.12093838824177333</v>
      </c>
      <c r="K1218" s="1048">
        <f t="shared" si="187"/>
        <v>0.1</v>
      </c>
      <c r="L1218" s="1048"/>
      <c r="N1218" s="1051">
        <v>43455</v>
      </c>
      <c r="O1218" s="1053">
        <v>9.2652999999999999</v>
      </c>
      <c r="P1218" s="1053">
        <v>1.2853000000000001</v>
      </c>
      <c r="Q1218" s="1053">
        <v>11.786300000000001</v>
      </c>
      <c r="R1218" s="1054">
        <f>'B. PE'!$U$23</f>
        <v>15.978235616082999</v>
      </c>
      <c r="S1218" s="1054"/>
      <c r="T1218" s="1054"/>
      <c r="V1218" s="1051">
        <v>43455</v>
      </c>
      <c r="W1218" s="198">
        <v>6.6877000000000004</v>
      </c>
      <c r="X1218" s="198">
        <v>0.49690000000000001</v>
      </c>
      <c r="Z1218" s="198">
        <v>0.30586000000000002</v>
      </c>
      <c r="AB1218" s="1051">
        <v>43411</v>
      </c>
      <c r="AC1218" s="198">
        <v>6.3087</v>
      </c>
      <c r="AD1218" s="1053">
        <v>1.0576000000000001</v>
      </c>
      <c r="AE1218" s="198">
        <v>7.2577999999999996</v>
      </c>
      <c r="AF1218" s="198">
        <v>2.0369999999999999E-2</v>
      </c>
      <c r="AH1218" s="1051">
        <v>43411</v>
      </c>
      <c r="AI1218" s="198">
        <v>5.9673999999999996</v>
      </c>
      <c r="AJ1218" s="198">
        <v>1.0221</v>
      </c>
      <c r="AK1218" s="198">
        <v>3.8182999999999998</v>
      </c>
      <c r="AL1218" s="198">
        <v>9.6500000000000006E-3</v>
      </c>
      <c r="AN1218" s="1051">
        <v>43420</v>
      </c>
      <c r="AO1218" s="198">
        <v>6.5160999999999998</v>
      </c>
      <c r="AP1218" s="198">
        <v>0.63939999999999997</v>
      </c>
      <c r="AQ1218" s="198">
        <v>3.3064</v>
      </c>
      <c r="AR1218" s="198">
        <v>0.11906</v>
      </c>
      <c r="BA1218" s="1051">
        <v>43402</v>
      </c>
      <c r="BB1218" s="198">
        <v>7.7366000000000001</v>
      </c>
      <c r="BC1218" s="198">
        <v>1.5373000000000001</v>
      </c>
      <c r="BD1218" s="198">
        <v>9.2931000000000008</v>
      </c>
      <c r="BE1218" s="198">
        <v>0.26784999999999998</v>
      </c>
      <c r="BT1218" s="1051">
        <v>43455</v>
      </c>
      <c r="BU1218" s="198">
        <v>13.4496</v>
      </c>
      <c r="BV1218" s="198">
        <v>4.5909000000000004</v>
      </c>
      <c r="BW1218" s="198">
        <v>8.5137</v>
      </c>
      <c r="BX1218" s="198">
        <v>1.2269000000000001</v>
      </c>
      <c r="BZ1218" s="1051">
        <v>43455</v>
      </c>
      <c r="CB1218" s="198">
        <v>4.9013999999999998</v>
      </c>
      <c r="CD1218" s="198">
        <v>1.6111200000000001</v>
      </c>
      <c r="CF1218" s="1051">
        <v>43454</v>
      </c>
      <c r="CI1218" s="198">
        <v>9.5016999999999996</v>
      </c>
      <c r="CL1218" s="1051">
        <v>43486</v>
      </c>
      <c r="CM1218" s="198">
        <v>18.9998</v>
      </c>
      <c r="CN1218" s="198">
        <v>2.8331</v>
      </c>
      <c r="CO1218" s="198">
        <v>14.520200000000001</v>
      </c>
    </row>
    <row r="1219" spans="1:93" s="198" customFormat="1">
      <c r="A1219" s="1051">
        <v>43454</v>
      </c>
      <c r="B1219" s="1052">
        <f t="shared" si="194"/>
        <v>9.3451000000000004</v>
      </c>
      <c r="C1219" s="1052">
        <f t="shared" si="195"/>
        <v>6.7594000000000003</v>
      </c>
      <c r="D1219" s="1052">
        <f t="shared" si="188"/>
        <v>6.9408000000000003</v>
      </c>
      <c r="E1219" s="1052">
        <f t="shared" si="189"/>
        <v>5.9676999999999998</v>
      </c>
      <c r="F1219" s="1052">
        <f t="shared" si="190"/>
        <v>13.222200000000001</v>
      </c>
      <c r="G1219" s="1052">
        <f t="shared" si="191"/>
        <v>8.5189000000000004</v>
      </c>
      <c r="H1219" s="1047">
        <f t="shared" si="185"/>
        <v>6.9408000000000003</v>
      </c>
      <c r="I1219" s="1048">
        <f t="shared" si="183"/>
        <v>0.34640099124020285</v>
      </c>
      <c r="J1219" s="1048">
        <f t="shared" si="186"/>
        <v>0.12093838824177333</v>
      </c>
      <c r="K1219" s="1048">
        <f t="shared" si="187"/>
        <v>0.1</v>
      </c>
      <c r="L1219" s="1048"/>
      <c r="N1219" s="1051">
        <v>43454</v>
      </c>
      <c r="O1219" s="1053">
        <v>9.3451000000000004</v>
      </c>
      <c r="P1219" s="1053">
        <v>1.2963</v>
      </c>
      <c r="Q1219" s="1053">
        <v>11.848000000000001</v>
      </c>
      <c r="R1219" s="1054">
        <f>'B. PE'!$U$23</f>
        <v>15.978235616082999</v>
      </c>
      <c r="S1219" s="1054"/>
      <c r="T1219" s="1054"/>
      <c r="V1219" s="1051">
        <v>43454</v>
      </c>
      <c r="W1219" s="198">
        <v>6.7594000000000003</v>
      </c>
      <c r="X1219" s="198">
        <v>0.50219999999999998</v>
      </c>
      <c r="Z1219" s="198">
        <v>0.30554999999999999</v>
      </c>
      <c r="AB1219" s="1051">
        <v>43410</v>
      </c>
      <c r="AC1219" s="198">
        <v>6.2309999999999999</v>
      </c>
      <c r="AD1219" s="1053">
        <v>1.0446</v>
      </c>
      <c r="AE1219" s="198">
        <v>7.2107999999999999</v>
      </c>
      <c r="AF1219" s="198">
        <v>2.1829999999999999E-2</v>
      </c>
      <c r="AH1219" s="1051">
        <v>43410</v>
      </c>
      <c r="AI1219" s="198">
        <v>5.9673999999999996</v>
      </c>
      <c r="AJ1219" s="198">
        <v>1.0221</v>
      </c>
      <c r="AK1219" s="198">
        <v>3.8182999999999998</v>
      </c>
      <c r="AL1219" s="198">
        <v>9.7099999999999999E-3</v>
      </c>
      <c r="AN1219" s="1051">
        <v>43419</v>
      </c>
      <c r="AO1219" s="198">
        <v>6.4516</v>
      </c>
      <c r="AP1219" s="198">
        <v>0.6331</v>
      </c>
      <c r="AQ1219" s="198">
        <v>3.2545000000000002</v>
      </c>
      <c r="AR1219" s="198">
        <v>0.1216</v>
      </c>
      <c r="BT1219" s="1051">
        <v>43454</v>
      </c>
      <c r="BU1219" s="198">
        <v>13.217700000000001</v>
      </c>
      <c r="BV1219" s="198">
        <v>4.5118</v>
      </c>
      <c r="BW1219" s="198">
        <v>8.3775999999999993</v>
      </c>
      <c r="BX1219" s="198">
        <v>1.22</v>
      </c>
      <c r="BZ1219" s="1051">
        <v>43454</v>
      </c>
      <c r="CB1219" s="198">
        <v>4.9146999999999998</v>
      </c>
      <c r="CD1219" s="198">
        <v>1.62005</v>
      </c>
      <c r="CF1219" s="1051">
        <v>43453</v>
      </c>
      <c r="CI1219" s="198">
        <v>9.5016999999999996</v>
      </c>
      <c r="CL1219" s="1051">
        <v>43483</v>
      </c>
      <c r="CM1219" s="198">
        <v>18.9998</v>
      </c>
      <c r="CN1219" s="198">
        <v>2.8331</v>
      </c>
      <c r="CO1219" s="198">
        <v>14.520200000000001</v>
      </c>
    </row>
    <row r="1220" spans="1:93" s="198" customFormat="1">
      <c r="A1220" s="1051">
        <v>43453</v>
      </c>
      <c r="B1220" s="1052">
        <f t="shared" si="194"/>
        <v>9.2652999999999999</v>
      </c>
      <c r="C1220" s="1052">
        <f t="shared" si="195"/>
        <v>6.7434000000000003</v>
      </c>
      <c r="D1220" s="1052">
        <f t="shared" si="188"/>
        <v>6.9831000000000003</v>
      </c>
      <c r="E1220" s="1052">
        <f t="shared" si="189"/>
        <v>6.1289999999999996</v>
      </c>
      <c r="F1220" s="1052">
        <f t="shared" si="190"/>
        <v>13.222200000000001</v>
      </c>
      <c r="G1220" s="1052">
        <f t="shared" si="191"/>
        <v>8.3885000000000005</v>
      </c>
      <c r="H1220" s="1047">
        <f t="shared" si="185"/>
        <v>6.9831000000000003</v>
      </c>
      <c r="I1220" s="1048">
        <f t="shared" si="183"/>
        <v>0.32681760249745806</v>
      </c>
      <c r="J1220" s="1048">
        <f t="shared" si="186"/>
        <v>0.12093838824177333</v>
      </c>
      <c r="K1220" s="1048">
        <f t="shared" si="187"/>
        <v>0.1</v>
      </c>
      <c r="L1220" s="1048"/>
      <c r="N1220" s="1051">
        <v>43453</v>
      </c>
      <c r="O1220" s="1053">
        <v>9.2652999999999999</v>
      </c>
      <c r="P1220" s="1053">
        <v>1.2853000000000001</v>
      </c>
      <c r="Q1220" s="1053">
        <v>11.786300000000001</v>
      </c>
      <c r="R1220" s="1054">
        <f>'B. PE'!$U$23</f>
        <v>15.978235616082999</v>
      </c>
      <c r="S1220" s="1054"/>
      <c r="T1220" s="1054"/>
      <c r="V1220" s="1051">
        <v>43453</v>
      </c>
      <c r="W1220" s="198">
        <v>6.7434000000000003</v>
      </c>
      <c r="X1220" s="198">
        <v>0.501</v>
      </c>
      <c r="Z1220" s="198">
        <v>0.30637999999999999</v>
      </c>
      <c r="AB1220" s="1051">
        <v>43409</v>
      </c>
      <c r="AC1220" s="198">
        <v>5.9009999999999998</v>
      </c>
      <c r="AD1220" s="1053">
        <v>0.98929999999999996</v>
      </c>
      <c r="AE1220" s="198">
        <v>7.0110000000000001</v>
      </c>
      <c r="AF1220" s="198">
        <v>2.1510000000000001E-2</v>
      </c>
      <c r="AH1220" s="1051">
        <v>43409</v>
      </c>
      <c r="AI1220" s="198">
        <v>6.0944000000000003</v>
      </c>
      <c r="AJ1220" s="198">
        <v>1.0438000000000001</v>
      </c>
      <c r="AK1220" s="198">
        <v>3.8818999999999999</v>
      </c>
      <c r="AL1220" s="198">
        <v>9.5600000000000008E-3</v>
      </c>
      <c r="AN1220" s="1051">
        <v>43418</v>
      </c>
      <c r="AO1220" s="198">
        <v>6.4516</v>
      </c>
      <c r="AP1220" s="198">
        <v>0.6331</v>
      </c>
      <c r="AQ1220" s="198">
        <v>3.2545000000000002</v>
      </c>
      <c r="AR1220" s="198">
        <v>0.12428</v>
      </c>
      <c r="BT1220" s="1051">
        <v>43453</v>
      </c>
      <c r="BU1220" s="198">
        <v>13.264099999999999</v>
      </c>
      <c r="BV1220" s="198">
        <v>4.5275999999999996</v>
      </c>
      <c r="BW1220" s="198">
        <v>8.4048999999999996</v>
      </c>
      <c r="BX1220" s="198">
        <v>1.2161</v>
      </c>
      <c r="BZ1220" s="1051">
        <v>43453</v>
      </c>
      <c r="CB1220" s="198">
        <v>4.9478999999999997</v>
      </c>
      <c r="CD1220" s="198">
        <v>1.62277</v>
      </c>
      <c r="CF1220" s="1051">
        <v>43452</v>
      </c>
      <c r="CI1220" s="198">
        <v>9.5016999999999996</v>
      </c>
      <c r="CL1220" s="1051">
        <v>43482</v>
      </c>
      <c r="CM1220" s="198">
        <v>18.948799999999999</v>
      </c>
      <c r="CN1220" s="198">
        <v>2.8254999999999999</v>
      </c>
      <c r="CO1220" s="198">
        <v>14.477499999999999</v>
      </c>
    </row>
    <row r="1221" spans="1:93" s="198" customFormat="1">
      <c r="A1221" s="1051">
        <v>43452</v>
      </c>
      <c r="B1221" s="1052">
        <f t="shared" si="194"/>
        <v>9.5448000000000004</v>
      </c>
      <c r="C1221" s="1052">
        <f t="shared" si="195"/>
        <v>6.7355</v>
      </c>
      <c r="D1221" s="1052">
        <f t="shared" si="188"/>
        <v>6.7714999999999996</v>
      </c>
      <c r="E1221" s="1052">
        <f t="shared" si="189"/>
        <v>6.0644999999999998</v>
      </c>
      <c r="F1221" s="1052">
        <f t="shared" si="190"/>
        <v>12.8889</v>
      </c>
      <c r="G1221" s="1052">
        <f t="shared" si="191"/>
        <v>8.1712000000000007</v>
      </c>
      <c r="H1221" s="1047">
        <f t="shared" si="185"/>
        <v>6.7714999999999996</v>
      </c>
      <c r="I1221" s="1048">
        <f t="shared" si="183"/>
        <v>0.40955475153215692</v>
      </c>
      <c r="J1221" s="1048">
        <f t="shared" si="186"/>
        <v>0.12093838824177333</v>
      </c>
      <c r="K1221" s="1048">
        <f t="shared" si="187"/>
        <v>0.1</v>
      </c>
      <c r="L1221" s="1048"/>
      <c r="N1221" s="1051">
        <v>43452</v>
      </c>
      <c r="O1221" s="1053">
        <v>9.5448000000000004</v>
      </c>
      <c r="P1221" s="1053">
        <v>1.3240000000000001</v>
      </c>
      <c r="Q1221" s="1053">
        <v>12.0025</v>
      </c>
      <c r="R1221" s="1054">
        <f>'B. PE'!$U$23</f>
        <v>15.978235616082999</v>
      </c>
      <c r="S1221" s="1054"/>
      <c r="T1221" s="1054"/>
      <c r="V1221" s="1051">
        <v>43452</v>
      </c>
      <c r="W1221" s="198">
        <v>6.7355</v>
      </c>
      <c r="X1221" s="198">
        <v>0.50049999999999994</v>
      </c>
      <c r="Z1221" s="198">
        <v>0.31552999999999998</v>
      </c>
      <c r="AB1221" s="1051">
        <v>43406</v>
      </c>
      <c r="AC1221" s="198">
        <v>6.3281000000000001</v>
      </c>
      <c r="AD1221" s="1053">
        <v>1.0609</v>
      </c>
      <c r="AE1221" s="198">
        <v>7.2695999999999996</v>
      </c>
      <c r="AF1221" s="198">
        <v>2.2349999999999998E-2</v>
      </c>
      <c r="AH1221" s="1051">
        <v>43406</v>
      </c>
      <c r="AI1221" s="198">
        <v>6.1367000000000003</v>
      </c>
      <c r="AJ1221" s="198">
        <v>1.0510999999999999</v>
      </c>
      <c r="AK1221" s="198">
        <v>3.9030999999999998</v>
      </c>
      <c r="AL1221" s="198">
        <v>9.4000000000000004E-3</v>
      </c>
      <c r="AN1221" s="1051">
        <v>43417</v>
      </c>
      <c r="AO1221" s="198">
        <v>6.5805999999999996</v>
      </c>
      <c r="AP1221" s="198">
        <v>0.64580000000000004</v>
      </c>
      <c r="AQ1221" s="198">
        <v>3.3582000000000001</v>
      </c>
      <c r="AR1221" s="198">
        <v>0.12428</v>
      </c>
      <c r="BT1221" s="1051">
        <v>43452</v>
      </c>
      <c r="BU1221" s="198">
        <v>13.1868</v>
      </c>
      <c r="BV1221" s="198">
        <v>4.5011999999999999</v>
      </c>
      <c r="BW1221" s="198">
        <v>8.3595000000000006</v>
      </c>
      <c r="BX1221" s="198">
        <v>1.2581</v>
      </c>
      <c r="BZ1221" s="1051">
        <v>43452</v>
      </c>
      <c r="CB1221" s="198">
        <v>4.9744999999999999</v>
      </c>
      <c r="CD1221" s="198">
        <v>1.6233900000000001</v>
      </c>
      <c r="CF1221" s="1051">
        <v>43451</v>
      </c>
      <c r="CG1221" s="198">
        <v>6.4172000000000002</v>
      </c>
      <c r="CH1221" s="198">
        <v>1.1303000000000001</v>
      </c>
      <c r="CI1221" s="198">
        <v>9.5016999999999996</v>
      </c>
      <c r="CL1221" s="1051">
        <v>43481</v>
      </c>
      <c r="CM1221" s="198">
        <v>18.910499999999999</v>
      </c>
      <c r="CN1221" s="198">
        <v>2.8197999999999999</v>
      </c>
      <c r="CO1221" s="198">
        <v>14.445499999999999</v>
      </c>
    </row>
    <row r="1222" spans="1:93" s="198" customFormat="1">
      <c r="A1222" s="1051">
        <v>43451</v>
      </c>
      <c r="B1222" s="1052">
        <f t="shared" si="194"/>
        <v>9.6646000000000001</v>
      </c>
      <c r="C1222" s="1052">
        <f t="shared" si="195"/>
        <v>6.7514000000000003</v>
      </c>
      <c r="D1222" s="1052">
        <f t="shared" si="188"/>
        <v>7.0254000000000003</v>
      </c>
      <c r="E1222" s="1052">
        <f t="shared" si="189"/>
        <v>6.1935000000000002</v>
      </c>
      <c r="F1222" s="1052">
        <f t="shared" si="190"/>
        <v>13.1111</v>
      </c>
      <c r="G1222" s="1052">
        <f t="shared" si="191"/>
        <v>8.5189000000000004</v>
      </c>
      <c r="H1222" s="1047">
        <f t="shared" si="185"/>
        <v>7.0254000000000003</v>
      </c>
      <c r="I1222" s="1048">
        <f t="shared" ref="I1222:I1255" si="196">B1222/H1222-1</f>
        <v>0.37566544253707979</v>
      </c>
      <c r="J1222" s="1048">
        <f t="shared" si="186"/>
        <v>0.12093838824177333</v>
      </c>
      <c r="K1222" s="1048">
        <f t="shared" si="187"/>
        <v>0.1</v>
      </c>
      <c r="L1222" s="1048"/>
      <c r="N1222" s="1051">
        <v>43451</v>
      </c>
      <c r="O1222" s="1053">
        <v>9.6646000000000001</v>
      </c>
      <c r="P1222" s="1053">
        <v>1.3406</v>
      </c>
      <c r="Q1222" s="1053">
        <v>12.0952</v>
      </c>
      <c r="R1222" s="1054">
        <f>'B. PE'!$U$23</f>
        <v>15.978235616082999</v>
      </c>
      <c r="S1222" s="1054"/>
      <c r="T1222" s="1054"/>
      <c r="V1222" s="1051">
        <v>43451</v>
      </c>
      <c r="W1222" s="198">
        <v>6.7514000000000003</v>
      </c>
      <c r="X1222" s="198">
        <v>0.50160000000000005</v>
      </c>
      <c r="Z1222" s="198">
        <v>0.31552000000000002</v>
      </c>
      <c r="AB1222" s="1051">
        <v>43405</v>
      </c>
      <c r="AC1222" s="198">
        <v>6.2892999999999999</v>
      </c>
      <c r="AD1222" s="1053">
        <v>1.0543</v>
      </c>
      <c r="AE1222" s="198">
        <v>7.2461000000000002</v>
      </c>
      <c r="AF1222" s="198">
        <v>2.4580000000000001E-2</v>
      </c>
      <c r="AH1222" s="1051">
        <v>43405</v>
      </c>
      <c r="AI1222" s="198">
        <v>6.0944000000000003</v>
      </c>
      <c r="AJ1222" s="198">
        <v>1.0438000000000001</v>
      </c>
      <c r="AK1222" s="198">
        <v>3.8818999999999999</v>
      </c>
      <c r="AL1222" s="198">
        <v>9.5899999999999996E-3</v>
      </c>
      <c r="AN1222" s="1051">
        <v>43416</v>
      </c>
      <c r="AO1222" s="198">
        <v>6.7096999999999998</v>
      </c>
      <c r="AP1222" s="198">
        <v>0.65839999999999999</v>
      </c>
      <c r="AQ1222" s="198">
        <v>3.4620000000000002</v>
      </c>
      <c r="AR1222" s="198">
        <v>0.11826</v>
      </c>
      <c r="BT1222" s="1051">
        <v>43451</v>
      </c>
      <c r="BU1222" s="198">
        <v>13.1404</v>
      </c>
      <c r="BV1222" s="198">
        <v>4.4854000000000003</v>
      </c>
      <c r="BW1222" s="198">
        <v>8.3323</v>
      </c>
      <c r="BX1222" s="198">
        <v>1.2738</v>
      </c>
      <c r="BZ1222" s="1051">
        <v>43451</v>
      </c>
      <c r="CB1222" s="198">
        <v>4.9810999999999996</v>
      </c>
      <c r="CD1222" s="198">
        <v>1.6233200000000001</v>
      </c>
      <c r="CF1222" s="1051">
        <v>43448</v>
      </c>
      <c r="CG1222" s="198">
        <v>6.3715999999999999</v>
      </c>
      <c r="CH1222" s="198">
        <v>1.1223000000000001</v>
      </c>
      <c r="CI1222" s="198">
        <v>9.4755000000000003</v>
      </c>
      <c r="CL1222" s="1051">
        <v>43480</v>
      </c>
      <c r="CM1222" s="198">
        <v>18.604500000000002</v>
      </c>
      <c r="CN1222" s="198">
        <v>2.7740999999999998</v>
      </c>
      <c r="CO1222" s="198">
        <v>14.1897</v>
      </c>
    </row>
    <row r="1223" spans="1:93" s="198" customFormat="1">
      <c r="A1223" s="1051">
        <v>43448</v>
      </c>
      <c r="B1223" s="1052">
        <f t="shared" si="194"/>
        <v>9.8244000000000007</v>
      </c>
      <c r="C1223" s="1052">
        <f t="shared" si="195"/>
        <v>6.9504000000000001</v>
      </c>
      <c r="D1223" s="1052">
        <f t="shared" si="188"/>
        <v>6.9408000000000003</v>
      </c>
      <c r="E1223" s="1052">
        <f t="shared" si="189"/>
        <v>6.2580999999999998</v>
      </c>
      <c r="F1223" s="1052">
        <f t="shared" si="190"/>
        <v>13.5556</v>
      </c>
      <c r="G1223" s="1052">
        <f t="shared" si="191"/>
        <v>8.6928000000000001</v>
      </c>
      <c r="H1223" s="1047">
        <f t="shared" ref="H1223:H1255" si="197">MEDIAN(C1223:G1223)</f>
        <v>6.9504000000000001</v>
      </c>
      <c r="I1223" s="1048">
        <f t="shared" si="196"/>
        <v>0.41350138121546975</v>
      </c>
      <c r="J1223" s="1048">
        <f t="shared" ref="J1223:J1255" si="198">$I$3</f>
        <v>0.12093838824177333</v>
      </c>
      <c r="K1223" s="1048">
        <f t="shared" si="187"/>
        <v>0.1</v>
      </c>
      <c r="L1223" s="1048"/>
      <c r="N1223" s="1051">
        <v>43448</v>
      </c>
      <c r="O1223" s="1053">
        <v>9.8244000000000007</v>
      </c>
      <c r="P1223" s="1053">
        <v>1.3628</v>
      </c>
      <c r="Q1223" s="1053">
        <v>12.2188</v>
      </c>
      <c r="R1223" s="1054">
        <f>'B. PE'!$U$23</f>
        <v>15.978235616082999</v>
      </c>
      <c r="S1223" s="1054"/>
      <c r="T1223" s="1054"/>
      <c r="V1223" s="1051">
        <v>43448</v>
      </c>
      <c r="W1223" s="198">
        <v>6.9504000000000001</v>
      </c>
      <c r="X1223" s="198">
        <v>0.51639999999999997</v>
      </c>
      <c r="Z1223" s="198">
        <v>0.31974999999999998</v>
      </c>
      <c r="AB1223" s="1051">
        <v>43402</v>
      </c>
      <c r="AC1223" s="198">
        <v>7.0656999999999996</v>
      </c>
      <c r="AD1223" s="1053">
        <v>1.18451</v>
      </c>
      <c r="AE1223" s="198">
        <v>7.7163000000000004</v>
      </c>
      <c r="AF1223" s="198">
        <v>2.393E-2</v>
      </c>
      <c r="AH1223" s="1051">
        <v>43402</v>
      </c>
      <c r="AI1223" s="198">
        <v>5.9673999999999996</v>
      </c>
      <c r="AJ1223" s="198">
        <v>1.0221</v>
      </c>
      <c r="AK1223" s="198">
        <v>3.8182999999999998</v>
      </c>
      <c r="AL1223" s="198">
        <v>9.2700000000000005E-3</v>
      </c>
      <c r="AN1223" s="1051">
        <v>43413</v>
      </c>
      <c r="AO1223" s="198">
        <v>6.7096999999999998</v>
      </c>
      <c r="AP1223" s="198">
        <v>0.65839999999999999</v>
      </c>
      <c r="AQ1223" s="198">
        <v>3.4620000000000002</v>
      </c>
      <c r="AR1223" s="198">
        <v>0.11562</v>
      </c>
      <c r="BT1223" s="1051">
        <v>43448</v>
      </c>
      <c r="BU1223" s="198">
        <v>13.588699999999999</v>
      </c>
      <c r="BV1223" s="198">
        <v>4.6383999999999999</v>
      </c>
      <c r="BW1223" s="198">
        <v>8.5952999999999999</v>
      </c>
      <c r="BX1223" s="198">
        <v>1.2805</v>
      </c>
      <c r="BZ1223" s="1051">
        <v>43448</v>
      </c>
      <c r="CB1223" s="198">
        <v>4.9810999999999996</v>
      </c>
      <c r="CD1223" s="198">
        <v>1.62277</v>
      </c>
      <c r="CF1223" s="1051">
        <v>43447</v>
      </c>
      <c r="CG1223" s="198">
        <v>6.3261000000000003</v>
      </c>
      <c r="CH1223" s="198">
        <v>1.1142000000000001</v>
      </c>
      <c r="CI1223" s="198">
        <v>9.4492999999999991</v>
      </c>
      <c r="CL1223" s="1051">
        <v>43479</v>
      </c>
      <c r="CM1223" s="198">
        <v>18.681000000000001</v>
      </c>
      <c r="CN1223" s="198">
        <v>2.7854999999999999</v>
      </c>
      <c r="CO1223" s="198">
        <v>14.2537</v>
      </c>
    </row>
    <row r="1224" spans="1:93" s="198" customFormat="1">
      <c r="A1224" s="1051">
        <v>43447</v>
      </c>
      <c r="B1224" s="1052">
        <f t="shared" si="194"/>
        <v>9.7445000000000004</v>
      </c>
      <c r="C1224" s="1052">
        <f t="shared" si="195"/>
        <v>6.9504000000000001</v>
      </c>
      <c r="D1224" s="1052">
        <f t="shared" si="188"/>
        <v>7.0678000000000001</v>
      </c>
      <c r="E1224" s="1052">
        <f t="shared" si="189"/>
        <v>6.2580999999999998</v>
      </c>
      <c r="F1224" s="1052">
        <f t="shared" si="190"/>
        <v>13.8889</v>
      </c>
      <c r="G1224" s="1052">
        <f t="shared" si="191"/>
        <v>8.6493000000000002</v>
      </c>
      <c r="H1224" s="1047">
        <f t="shared" si="197"/>
        <v>7.0678000000000001</v>
      </c>
      <c r="I1224" s="1048">
        <f t="shared" si="196"/>
        <v>0.37871756416423774</v>
      </c>
      <c r="J1224" s="1048">
        <f t="shared" si="198"/>
        <v>0.12093838824177333</v>
      </c>
      <c r="K1224" s="1048">
        <f t="shared" ref="K1224:K1255" si="199">K1223</f>
        <v>0.1</v>
      </c>
      <c r="L1224" s="1048"/>
      <c r="N1224" s="1051">
        <v>43447</v>
      </c>
      <c r="O1224" s="1053">
        <v>9.7445000000000004</v>
      </c>
      <c r="P1224" s="1053">
        <v>1.3516999999999999</v>
      </c>
      <c r="Q1224" s="1053">
        <v>12.157</v>
      </c>
      <c r="R1224" s="1054">
        <f>'B. PE'!$U$23</f>
        <v>15.978235616082999</v>
      </c>
      <c r="S1224" s="1054"/>
      <c r="T1224" s="1054"/>
      <c r="V1224" s="1051">
        <v>43447</v>
      </c>
      <c r="W1224" s="198">
        <v>6.9504000000000001</v>
      </c>
      <c r="X1224" s="198">
        <v>0.51639999999999997</v>
      </c>
      <c r="Z1224" s="198">
        <v>0.32507000000000003</v>
      </c>
      <c r="AD1224" s="1051"/>
      <c r="AN1224" s="1051">
        <v>43412</v>
      </c>
      <c r="AO1224" s="198">
        <v>6.3548</v>
      </c>
      <c r="AP1224" s="198">
        <v>0.62360000000000004</v>
      </c>
      <c r="AQ1224" s="198">
        <v>3.1766999999999999</v>
      </c>
      <c r="AR1224" s="198">
        <v>0.11496000000000001</v>
      </c>
      <c r="BT1224" s="1051">
        <v>43447</v>
      </c>
      <c r="BU1224" s="198">
        <v>13.758800000000001</v>
      </c>
      <c r="BV1224" s="198">
        <v>4.6965000000000003</v>
      </c>
      <c r="BW1224" s="198">
        <v>8.6951000000000001</v>
      </c>
      <c r="BX1224" s="198">
        <v>1.2558</v>
      </c>
      <c r="BZ1224" s="1051">
        <v>43447</v>
      </c>
      <c r="CB1224" s="198">
        <v>4.9810999999999996</v>
      </c>
      <c r="CD1224" s="198">
        <v>1.6222799999999999</v>
      </c>
      <c r="CF1224" s="1051">
        <v>43446</v>
      </c>
      <c r="CG1224" s="198">
        <v>6.9633000000000003</v>
      </c>
      <c r="CH1224" s="198">
        <v>1.2264999999999999</v>
      </c>
      <c r="CI1224" s="198">
        <v>9.8161000000000005</v>
      </c>
      <c r="CL1224" s="1051">
        <v>43476</v>
      </c>
      <c r="CM1224" s="198">
        <v>18.936</v>
      </c>
      <c r="CN1224" s="198">
        <v>2.8235999999999999</v>
      </c>
      <c r="CO1224" s="198">
        <v>14.466900000000001</v>
      </c>
    </row>
    <row r="1225" spans="1:93" s="198" customFormat="1">
      <c r="A1225" s="1051">
        <v>43446</v>
      </c>
      <c r="B1225" s="1052">
        <f t="shared" si="194"/>
        <v>9.6646000000000001</v>
      </c>
      <c r="C1225" s="1052">
        <f t="shared" si="195"/>
        <v>7.0460000000000003</v>
      </c>
      <c r="D1225" s="1052">
        <f t="shared" si="188"/>
        <v>7.0254000000000003</v>
      </c>
      <c r="E1225" s="1052">
        <f t="shared" si="189"/>
        <v>6.2580999999999998</v>
      </c>
      <c r="F1225" s="1052">
        <f t="shared" si="190"/>
        <v>14</v>
      </c>
      <c r="G1225" s="1052">
        <f t="shared" si="191"/>
        <v>8.6928000000000001</v>
      </c>
      <c r="H1225" s="1047">
        <f t="shared" si="197"/>
        <v>7.0460000000000003</v>
      </c>
      <c r="I1225" s="1048">
        <f t="shared" si="196"/>
        <v>0.37164348566562588</v>
      </c>
      <c r="J1225" s="1048">
        <f t="shared" si="198"/>
        <v>0.12093838824177333</v>
      </c>
      <c r="K1225" s="1048">
        <f t="shared" si="199"/>
        <v>0.1</v>
      </c>
      <c r="L1225" s="1048"/>
      <c r="N1225" s="1051">
        <v>43446</v>
      </c>
      <c r="O1225" s="1053">
        <v>9.6646000000000001</v>
      </c>
      <c r="P1225" s="1053">
        <v>1.3406</v>
      </c>
      <c r="Q1225" s="1053">
        <v>12.0952</v>
      </c>
      <c r="R1225" s="1054">
        <f>'B. PE'!$U$23</f>
        <v>15.978235616082999</v>
      </c>
      <c r="S1225" s="1054"/>
      <c r="T1225" s="1054"/>
      <c r="V1225" s="1051">
        <v>43446</v>
      </c>
      <c r="W1225" s="198">
        <v>7.0460000000000003</v>
      </c>
      <c r="X1225" s="198">
        <v>0.52349999999999997</v>
      </c>
      <c r="Z1225" s="198">
        <v>0.33040000000000003</v>
      </c>
      <c r="AD1225" s="1051"/>
      <c r="AN1225" s="1051">
        <v>43411</v>
      </c>
      <c r="AO1225" s="198">
        <v>6.1935000000000002</v>
      </c>
      <c r="AP1225" s="198">
        <v>0.60780000000000001</v>
      </c>
      <c r="AQ1225" s="198">
        <v>3.0470000000000002</v>
      </c>
      <c r="AR1225" s="198">
        <v>0.11421000000000001</v>
      </c>
      <c r="BT1225" s="1051">
        <v>43446</v>
      </c>
      <c r="BU1225" s="198">
        <v>13.8361</v>
      </c>
      <c r="BV1225" s="198">
        <v>4.7229000000000001</v>
      </c>
      <c r="BW1225" s="198">
        <v>8.7402999999999995</v>
      </c>
      <c r="BX1225" s="198">
        <v>1.2583</v>
      </c>
      <c r="BZ1225" s="1051">
        <v>43446</v>
      </c>
      <c r="CB1225" s="198">
        <v>4.9810999999999996</v>
      </c>
      <c r="CD1225" s="198">
        <v>1.6305099999999999</v>
      </c>
      <c r="CF1225" s="1051">
        <v>43445</v>
      </c>
      <c r="CI1225" s="198">
        <v>10.2615</v>
      </c>
      <c r="CL1225" s="1051">
        <v>43475</v>
      </c>
      <c r="CM1225" s="198">
        <v>18.770299999999999</v>
      </c>
      <c r="CN1225" s="198">
        <v>2.7989000000000002</v>
      </c>
      <c r="CO1225" s="198">
        <v>14.3283</v>
      </c>
    </row>
    <row r="1226" spans="1:93" s="198" customFormat="1">
      <c r="A1226" s="1051">
        <v>43445</v>
      </c>
      <c r="B1226" s="1052">
        <f t="shared" si="194"/>
        <v>9.7045999999999992</v>
      </c>
      <c r="C1226" s="1052">
        <f t="shared" si="195"/>
        <v>7.1654</v>
      </c>
      <c r="D1226" s="1052">
        <f t="shared" ref="D1226:D1255" si="200">IFERROR(          IF(VLOOKUP(A1226,$AH$5:$AI$1301,2,)=0,D1225,VLOOKUP(A1226,$AH$5:$AI$1301,2,)),D1225)</f>
        <v>7.1101000000000001</v>
      </c>
      <c r="E1226" s="1052">
        <f t="shared" ref="E1226:E1255" si="201">IFERROR(IF(VLOOKUP(A1226,$AN$5:$AO$1301,2,)=0, E1225, VLOOKUP(A1226,$AN$5:$AO$1301,2,)),E1225)</f>
        <v>6.2580999999999998</v>
      </c>
      <c r="F1226" s="1052">
        <f t="shared" ref="F1226:F1255" si="202">IFERROR(IF(VLOOKUP(A1226,$BG$5:$BH$1301,2,)=0,F1225,VLOOKUP(A1226,$BG$5:$BH$1301,2,)),F1225)</f>
        <v>14.1111</v>
      </c>
      <c r="G1226" s="1052">
        <f t="shared" ref="G1226:G1255" si="203">IFERROR(IF(VLOOKUP(A1226,$BA$5:$BB$1301,2,)=0,G1225,VLOOKUP(A1226,$BA$5:$BB$1301,2,)),G1225)</f>
        <v>8.8666</v>
      </c>
      <c r="H1226" s="1047">
        <f t="shared" si="197"/>
        <v>7.1654</v>
      </c>
      <c r="I1226" s="1048">
        <f t="shared" si="196"/>
        <v>0.35436960951237872</v>
      </c>
      <c r="J1226" s="1048">
        <f t="shared" si="198"/>
        <v>0.12093838824177333</v>
      </c>
      <c r="K1226" s="1048">
        <f t="shared" si="199"/>
        <v>0.1</v>
      </c>
      <c r="L1226" s="1048"/>
      <c r="N1226" s="1051">
        <v>43445</v>
      </c>
      <c r="O1226" s="1053">
        <v>9.7045999999999992</v>
      </c>
      <c r="P1226" s="1053">
        <v>1.3462000000000001</v>
      </c>
      <c r="Q1226" s="1053">
        <v>12.126099999999999</v>
      </c>
      <c r="R1226" s="1054">
        <f>'B. PE'!$U$23</f>
        <v>15.978235616082999</v>
      </c>
      <c r="S1226" s="1054"/>
      <c r="T1226" s="1054"/>
      <c r="V1226" s="1051">
        <v>43445</v>
      </c>
      <c r="W1226" s="198">
        <v>7.1654</v>
      </c>
      <c r="X1226" s="198">
        <v>0.53239999999999998</v>
      </c>
      <c r="Z1226" s="198">
        <v>0.32847999999999999</v>
      </c>
      <c r="AD1226" s="1051"/>
      <c r="AN1226" s="1051">
        <v>43409</v>
      </c>
      <c r="AO1226" s="198">
        <v>6.1935000000000002</v>
      </c>
      <c r="AP1226" s="198">
        <v>0.60780000000000001</v>
      </c>
      <c r="AQ1226" s="198">
        <v>3.0470000000000002</v>
      </c>
      <c r="AR1226" s="198">
        <v>0.11365</v>
      </c>
      <c r="BT1226" s="1051">
        <v>43445</v>
      </c>
      <c r="BU1226" s="198">
        <v>13.5732</v>
      </c>
      <c r="BV1226" s="198">
        <v>4.6332000000000004</v>
      </c>
      <c r="BW1226" s="198">
        <v>8.5861000000000001</v>
      </c>
      <c r="BX1226" s="198">
        <v>1.2665</v>
      </c>
      <c r="BZ1226" s="1051">
        <v>43445</v>
      </c>
      <c r="CB1226" s="198">
        <v>4.9810999999999996</v>
      </c>
      <c r="CD1226" s="198">
        <v>1.6321099999999999</v>
      </c>
      <c r="CF1226" s="1051">
        <v>43444</v>
      </c>
      <c r="CI1226" s="198">
        <v>10.2615</v>
      </c>
      <c r="CL1226" s="1051">
        <v>43474</v>
      </c>
      <c r="CM1226" s="198">
        <v>18.731999999999999</v>
      </c>
      <c r="CN1226" s="198">
        <v>2.7932000000000001</v>
      </c>
      <c r="CO1226" s="198">
        <v>14.2963</v>
      </c>
    </row>
    <row r="1227" spans="1:93" s="198" customFormat="1">
      <c r="A1227" s="1051">
        <v>43444</v>
      </c>
      <c r="B1227" s="1052">
        <f t="shared" si="194"/>
        <v>9.6247000000000007</v>
      </c>
      <c r="C1227" s="1052">
        <f t="shared" si="195"/>
        <v>7.2847999999999997</v>
      </c>
      <c r="D1227" s="1052">
        <f t="shared" si="200"/>
        <v>7.1101000000000001</v>
      </c>
      <c r="E1227" s="1052">
        <f t="shared" si="201"/>
        <v>6.2580999999999998</v>
      </c>
      <c r="F1227" s="1052">
        <f t="shared" si="202"/>
        <v>14.1111</v>
      </c>
      <c r="G1227" s="1052">
        <f t="shared" si="203"/>
        <v>8.8666</v>
      </c>
      <c r="H1227" s="1047">
        <f t="shared" si="197"/>
        <v>7.2847999999999997</v>
      </c>
      <c r="I1227" s="1048">
        <f t="shared" si="196"/>
        <v>0.3212030529321328</v>
      </c>
      <c r="J1227" s="1048">
        <f t="shared" si="198"/>
        <v>0.12093838824177333</v>
      </c>
      <c r="K1227" s="1048">
        <f t="shared" si="199"/>
        <v>0.1</v>
      </c>
      <c r="L1227" s="1048"/>
      <c r="N1227" s="1051">
        <v>43444</v>
      </c>
      <c r="O1227" s="1053">
        <v>9.6247000000000007</v>
      </c>
      <c r="P1227" s="1053">
        <v>1.3351</v>
      </c>
      <c r="Q1227" s="1053">
        <v>12.064299999999999</v>
      </c>
      <c r="R1227" s="1054">
        <f>'B. PE'!$U$23</f>
        <v>15.978235616082999</v>
      </c>
      <c r="S1227" s="1054"/>
      <c r="T1227" s="1054"/>
      <c r="V1227" s="1051">
        <v>43444</v>
      </c>
      <c r="W1227" s="198">
        <v>7.2847999999999997</v>
      </c>
      <c r="X1227" s="198">
        <v>0.5413</v>
      </c>
      <c r="Z1227" s="198">
        <v>0.31624999999999998</v>
      </c>
      <c r="AD1227" s="1051"/>
      <c r="AN1227" s="1051">
        <v>43406</v>
      </c>
      <c r="AO1227" s="198">
        <v>6.1289999999999996</v>
      </c>
      <c r="AP1227" s="198">
        <v>0.60140000000000005</v>
      </c>
      <c r="AQ1227" s="198">
        <v>2.9952000000000001</v>
      </c>
      <c r="AR1227" s="198">
        <v>0.11531</v>
      </c>
      <c r="BT1227" s="1051">
        <v>43444</v>
      </c>
      <c r="BU1227" s="198">
        <v>13.604200000000001</v>
      </c>
      <c r="BV1227" s="198">
        <v>4.6436999999999999</v>
      </c>
      <c r="BW1227" s="198">
        <v>8.6043000000000003</v>
      </c>
      <c r="BX1227" s="198">
        <v>1.2565999999999999</v>
      </c>
      <c r="BZ1227" s="1051">
        <v>43444</v>
      </c>
      <c r="CB1227" s="198">
        <v>5.0076999999999998</v>
      </c>
      <c r="CD1227" s="198">
        <v>1.6301600000000001</v>
      </c>
      <c r="CF1227" s="1051">
        <v>43441</v>
      </c>
      <c r="CI1227" s="198">
        <v>10.2615</v>
      </c>
      <c r="CL1227" s="1051">
        <v>43473</v>
      </c>
      <c r="CM1227" s="198">
        <v>18.5535</v>
      </c>
      <c r="CN1227" s="198">
        <v>2.7665000000000002</v>
      </c>
      <c r="CO1227" s="198">
        <v>14.1471</v>
      </c>
    </row>
    <row r="1228" spans="1:93" s="198" customFormat="1">
      <c r="A1228" s="1051">
        <v>43441</v>
      </c>
      <c r="B1228" s="1052">
        <f t="shared" si="194"/>
        <v>9.6646000000000001</v>
      </c>
      <c r="C1228" s="1052">
        <f t="shared" si="195"/>
        <v>7.2450000000000001</v>
      </c>
      <c r="D1228" s="1052">
        <f t="shared" si="200"/>
        <v>7.0254000000000003</v>
      </c>
      <c r="E1228" s="1052">
        <f t="shared" si="201"/>
        <v>6.2580999999999998</v>
      </c>
      <c r="F1228" s="1052">
        <f t="shared" si="202"/>
        <v>14.222200000000001</v>
      </c>
      <c r="G1228" s="1052">
        <f t="shared" si="203"/>
        <v>8.9535</v>
      </c>
      <c r="H1228" s="1047">
        <f t="shared" si="197"/>
        <v>7.2450000000000001</v>
      </c>
      <c r="I1228" s="1048">
        <f t="shared" si="196"/>
        <v>0.33396825396825403</v>
      </c>
      <c r="J1228" s="1048">
        <f t="shared" si="198"/>
        <v>0.12093838824177333</v>
      </c>
      <c r="K1228" s="1048">
        <f t="shared" si="199"/>
        <v>0.1</v>
      </c>
      <c r="L1228" s="1048"/>
      <c r="N1228" s="1051">
        <v>43441</v>
      </c>
      <c r="O1228" s="1053">
        <v>9.6646000000000001</v>
      </c>
      <c r="P1228" s="1053">
        <v>1.3406</v>
      </c>
      <c r="Q1228" s="1053">
        <v>12.0952</v>
      </c>
      <c r="R1228" s="1054">
        <f>'B. PE'!$U$23</f>
        <v>15.978235616082999</v>
      </c>
      <c r="S1228" s="1054"/>
      <c r="T1228" s="1054"/>
      <c r="V1228" s="1051">
        <v>43441</v>
      </c>
      <c r="W1228" s="198">
        <v>7.2450000000000001</v>
      </c>
      <c r="X1228" s="198">
        <v>0.5383</v>
      </c>
      <c r="Z1228" s="198">
        <v>0.30520000000000003</v>
      </c>
      <c r="AD1228" s="1051"/>
      <c r="AN1228" s="1051">
        <v>43405</v>
      </c>
      <c r="AO1228" s="198">
        <v>6.1289999999999996</v>
      </c>
      <c r="AP1228" s="198">
        <v>0.60140000000000005</v>
      </c>
      <c r="AQ1228" s="198">
        <v>2.9952000000000001</v>
      </c>
      <c r="AR1228" s="198">
        <v>0.11294</v>
      </c>
      <c r="BT1228" s="1051">
        <v>43441</v>
      </c>
      <c r="BU1228" s="198">
        <v>13.696899999999999</v>
      </c>
      <c r="BV1228" s="198">
        <v>4.6753999999999998</v>
      </c>
      <c r="BW1228" s="198">
        <v>8.6586999999999996</v>
      </c>
      <c r="BX1228" s="198">
        <v>1.2701</v>
      </c>
      <c r="BZ1228" s="1051">
        <v>43441</v>
      </c>
      <c r="CB1228" s="198">
        <v>5.0143000000000004</v>
      </c>
      <c r="CD1228" s="198">
        <v>1.6222799999999999</v>
      </c>
      <c r="CF1228" s="1051">
        <v>43440</v>
      </c>
      <c r="CI1228" s="198">
        <v>10.2615</v>
      </c>
      <c r="CL1228" s="1051">
        <v>43472</v>
      </c>
      <c r="CM1228" s="198">
        <v>18.2347</v>
      </c>
      <c r="CN1228" s="198">
        <v>2.7189999999999999</v>
      </c>
      <c r="CO1228" s="198">
        <v>13.880599999999999</v>
      </c>
    </row>
    <row r="1229" spans="1:93" s="198" customFormat="1">
      <c r="A1229" s="1051">
        <v>43440</v>
      </c>
      <c r="B1229" s="1052">
        <f t="shared" si="194"/>
        <v>9.7843999999999998</v>
      </c>
      <c r="C1229" s="1052">
        <f t="shared" si="195"/>
        <v>6.9743000000000004</v>
      </c>
      <c r="D1229" s="1052">
        <f t="shared" si="200"/>
        <v>6.9831000000000003</v>
      </c>
      <c r="E1229" s="1052">
        <f t="shared" si="201"/>
        <v>6.2580999999999998</v>
      </c>
      <c r="F1229" s="1052">
        <f t="shared" si="202"/>
        <v>14.1111</v>
      </c>
      <c r="G1229" s="1052">
        <f t="shared" si="203"/>
        <v>8.9535</v>
      </c>
      <c r="H1229" s="1047">
        <f t="shared" si="197"/>
        <v>6.9831000000000003</v>
      </c>
      <c r="I1229" s="1048">
        <f t="shared" si="196"/>
        <v>0.40115421517664074</v>
      </c>
      <c r="J1229" s="1048">
        <f t="shared" si="198"/>
        <v>0.12093838824177333</v>
      </c>
      <c r="K1229" s="1048">
        <f t="shared" si="199"/>
        <v>0.1</v>
      </c>
      <c r="L1229" s="1048"/>
      <c r="N1229" s="1051">
        <v>43440</v>
      </c>
      <c r="O1229" s="1053">
        <v>9.7843999999999998</v>
      </c>
      <c r="P1229" s="1053">
        <v>1.3573</v>
      </c>
      <c r="Q1229" s="1053">
        <v>12.187900000000001</v>
      </c>
      <c r="R1229" s="1054">
        <f>'B. PE'!$U$23</f>
        <v>15.978235616082999</v>
      </c>
      <c r="S1229" s="1054"/>
      <c r="T1229" s="1054"/>
      <c r="V1229" s="1051">
        <v>43440</v>
      </c>
      <c r="W1229" s="198">
        <v>6.9743000000000004</v>
      </c>
      <c r="X1229" s="198">
        <v>0.51819999999999999</v>
      </c>
      <c r="Z1229" s="198">
        <v>0.30454999999999999</v>
      </c>
      <c r="AD1229" s="1051"/>
      <c r="AN1229" s="1051">
        <v>43402</v>
      </c>
      <c r="AO1229" s="198">
        <v>6.1289999999999996</v>
      </c>
      <c r="AP1229" s="198">
        <v>0.60140000000000005</v>
      </c>
      <c r="AQ1229" s="198">
        <v>2.9952000000000001</v>
      </c>
      <c r="AR1229" s="198">
        <v>0.11361</v>
      </c>
      <c r="BT1229" s="1051">
        <v>43440</v>
      </c>
      <c r="BU1229" s="198">
        <v>13.588699999999999</v>
      </c>
      <c r="BV1229" s="198">
        <v>4.6383999999999999</v>
      </c>
      <c r="BW1229" s="198">
        <v>8.5952000000000002</v>
      </c>
      <c r="BX1229" s="198">
        <v>1.2588999999999999</v>
      </c>
      <c r="BZ1229" s="1051">
        <v>43440</v>
      </c>
      <c r="CB1229" s="198">
        <v>5.0076999999999998</v>
      </c>
      <c r="CD1229" s="198">
        <v>1.63344</v>
      </c>
      <c r="CF1229" s="1051">
        <v>43439</v>
      </c>
      <c r="CI1229" s="198">
        <v>10.2615</v>
      </c>
      <c r="CL1229" s="1051">
        <v>43469</v>
      </c>
      <c r="CM1229" s="198">
        <v>17.622599999999998</v>
      </c>
      <c r="CN1229" s="198">
        <v>2.6276999999999999</v>
      </c>
      <c r="CO1229" s="198">
        <v>13.369</v>
      </c>
    </row>
    <row r="1230" spans="1:93" s="198" customFormat="1">
      <c r="A1230" s="1051">
        <v>43439</v>
      </c>
      <c r="B1230" s="1052">
        <f t="shared" si="194"/>
        <v>9.7045999999999992</v>
      </c>
      <c r="C1230" s="1052">
        <f t="shared" si="195"/>
        <v>6.7275</v>
      </c>
      <c r="D1230" s="1052">
        <f t="shared" si="200"/>
        <v>7.1101000000000001</v>
      </c>
      <c r="E1230" s="1052">
        <f t="shared" si="201"/>
        <v>6.2580999999999998</v>
      </c>
      <c r="F1230" s="1052">
        <f t="shared" si="202"/>
        <v>14.1111</v>
      </c>
      <c r="G1230" s="1052">
        <f t="shared" si="203"/>
        <v>8.9535</v>
      </c>
      <c r="H1230" s="1047">
        <f t="shared" si="197"/>
        <v>7.1101000000000001</v>
      </c>
      <c r="I1230" s="1048">
        <f t="shared" si="196"/>
        <v>0.36490344720889989</v>
      </c>
      <c r="J1230" s="1048">
        <f t="shared" si="198"/>
        <v>0.12093838824177333</v>
      </c>
      <c r="K1230" s="1048">
        <f t="shared" si="199"/>
        <v>0.1</v>
      </c>
      <c r="L1230" s="1048"/>
      <c r="N1230" s="1051">
        <v>43439</v>
      </c>
      <c r="O1230" s="1053">
        <v>9.7045999999999992</v>
      </c>
      <c r="P1230" s="1053">
        <v>1.3462000000000001</v>
      </c>
      <c r="Q1230" s="1053">
        <v>12.126099999999999</v>
      </c>
      <c r="R1230" s="1054">
        <f>'B. PE'!$U$23</f>
        <v>15.978235616082999</v>
      </c>
      <c r="S1230" s="1054"/>
      <c r="T1230" s="1054"/>
      <c r="V1230" s="1051">
        <v>43439</v>
      </c>
      <c r="W1230" s="198">
        <v>6.7275</v>
      </c>
      <c r="X1230" s="198">
        <v>0.49990000000000001</v>
      </c>
      <c r="Z1230" s="198">
        <v>0.30406</v>
      </c>
      <c r="AD1230" s="1051"/>
      <c r="BT1230" s="1051">
        <v>43439</v>
      </c>
      <c r="BU1230" s="198">
        <v>13.7278</v>
      </c>
      <c r="BV1230" s="198">
        <v>4.6859000000000002</v>
      </c>
      <c r="BW1230" s="198">
        <v>8.6768000000000001</v>
      </c>
      <c r="BX1230" s="198">
        <v>1.2584</v>
      </c>
      <c r="BZ1230" s="1051">
        <v>43439</v>
      </c>
      <c r="CB1230" s="198">
        <v>4.9810999999999996</v>
      </c>
      <c r="CD1230" s="198">
        <v>1.6327400000000001</v>
      </c>
      <c r="CF1230" s="1051">
        <v>43438</v>
      </c>
      <c r="CI1230" s="198">
        <v>10.2615</v>
      </c>
      <c r="CL1230" s="1051">
        <v>43468</v>
      </c>
      <c r="CM1230" s="198">
        <v>17.303799999999999</v>
      </c>
      <c r="CN1230" s="198">
        <v>2.5802</v>
      </c>
      <c r="CO1230" s="198">
        <v>13.102499999999999</v>
      </c>
    </row>
    <row r="1231" spans="1:93" s="198" customFormat="1">
      <c r="A1231" s="1051">
        <v>43438</v>
      </c>
      <c r="B1231" s="1052">
        <f t="shared" si="194"/>
        <v>9.8244000000000007</v>
      </c>
      <c r="C1231" s="1052">
        <f t="shared" si="195"/>
        <v>6.7115999999999998</v>
      </c>
      <c r="D1231" s="1052">
        <f t="shared" si="200"/>
        <v>7.0254000000000003</v>
      </c>
      <c r="E1231" s="1052">
        <f t="shared" si="201"/>
        <v>6.2580999999999998</v>
      </c>
      <c r="F1231" s="1052">
        <f t="shared" si="202"/>
        <v>14.4444</v>
      </c>
      <c r="G1231" s="1052">
        <f t="shared" si="203"/>
        <v>8.6928000000000001</v>
      </c>
      <c r="H1231" s="1047">
        <f t="shared" si="197"/>
        <v>7.0254000000000003</v>
      </c>
      <c r="I1231" s="1048">
        <f t="shared" si="196"/>
        <v>0.39841147834998725</v>
      </c>
      <c r="J1231" s="1048">
        <f t="shared" si="198"/>
        <v>0.12093838824177333</v>
      </c>
      <c r="K1231" s="1048">
        <f t="shared" si="199"/>
        <v>0.1</v>
      </c>
      <c r="L1231" s="1048"/>
      <c r="N1231" s="1051">
        <v>43438</v>
      </c>
      <c r="O1231" s="1053">
        <v>9.8244000000000007</v>
      </c>
      <c r="P1231" s="1053">
        <v>1.3628</v>
      </c>
      <c r="Q1231" s="1053">
        <v>12.2188</v>
      </c>
      <c r="R1231" s="1054">
        <f>'B. PE'!$U$23</f>
        <v>15.978235616082999</v>
      </c>
      <c r="S1231" s="1054"/>
      <c r="T1231" s="1054"/>
      <c r="V1231" s="1051">
        <v>43438</v>
      </c>
      <c r="W1231" s="198">
        <v>6.7115999999999998</v>
      </c>
      <c r="X1231" s="198">
        <v>0.49869999999999998</v>
      </c>
      <c r="Z1231" s="198">
        <v>0.30354999999999999</v>
      </c>
      <c r="AD1231" s="1051"/>
      <c r="BT1231" s="1051">
        <v>43438</v>
      </c>
      <c r="BU1231" s="198">
        <v>13.604200000000001</v>
      </c>
      <c r="BV1231" s="198">
        <v>4.6436999999999999</v>
      </c>
      <c r="BW1231" s="198">
        <v>8.6043000000000003</v>
      </c>
      <c r="BX1231" s="198">
        <v>1.2078</v>
      </c>
      <c r="BZ1231" s="1051">
        <v>43438</v>
      </c>
      <c r="CB1231" s="198">
        <v>5.0143000000000004</v>
      </c>
      <c r="CD1231" s="198">
        <v>1.5779300000000001</v>
      </c>
      <c r="CF1231" s="1051">
        <v>43437</v>
      </c>
      <c r="CI1231" s="198">
        <v>10.2615</v>
      </c>
      <c r="CL1231" s="1051">
        <v>43465</v>
      </c>
      <c r="CO1231" s="198">
        <v>13.102499999999999</v>
      </c>
    </row>
    <row r="1232" spans="1:93" s="198" customFormat="1">
      <c r="A1232" s="1051">
        <v>43437</v>
      </c>
      <c r="B1232" s="1052">
        <f t="shared" si="194"/>
        <v>9.8244000000000007</v>
      </c>
      <c r="C1232" s="1052">
        <f t="shared" si="195"/>
        <v>6.7035999999999998</v>
      </c>
      <c r="D1232" s="1052">
        <f t="shared" si="200"/>
        <v>6.9831000000000003</v>
      </c>
      <c r="E1232" s="1052">
        <f t="shared" si="201"/>
        <v>6.2903000000000002</v>
      </c>
      <c r="F1232" s="1052">
        <f t="shared" si="202"/>
        <v>14.333299999999999</v>
      </c>
      <c r="G1232" s="1052">
        <f t="shared" si="203"/>
        <v>8.6493000000000002</v>
      </c>
      <c r="H1232" s="1047">
        <f t="shared" si="197"/>
        <v>6.9831000000000003</v>
      </c>
      <c r="I1232" s="1048">
        <f t="shared" si="196"/>
        <v>0.40688233019719044</v>
      </c>
      <c r="J1232" s="1048">
        <f t="shared" si="198"/>
        <v>0.12093838824177333</v>
      </c>
      <c r="K1232" s="1048">
        <f t="shared" si="199"/>
        <v>0.1</v>
      </c>
      <c r="L1232" s="1048"/>
      <c r="N1232" s="1051">
        <v>43437</v>
      </c>
      <c r="O1232" s="1053">
        <v>9.8244000000000007</v>
      </c>
      <c r="P1232" s="1053">
        <v>1.3628</v>
      </c>
      <c r="Q1232" s="1053">
        <v>12.2188</v>
      </c>
      <c r="R1232" s="1054">
        <f>'B. PE'!$U$23</f>
        <v>15.978235616082999</v>
      </c>
      <c r="S1232" s="1054"/>
      <c r="T1232" s="1054"/>
      <c r="V1232" s="1051">
        <v>43437</v>
      </c>
      <c r="W1232" s="198">
        <v>6.7035999999999998</v>
      </c>
      <c r="X1232" s="198">
        <v>0.49809999999999999</v>
      </c>
      <c r="Z1232" s="198">
        <v>0.30480000000000002</v>
      </c>
      <c r="AD1232" s="1051"/>
      <c r="BT1232" s="1051">
        <v>43437</v>
      </c>
      <c r="BU1232" s="198">
        <v>13.604200000000001</v>
      </c>
      <c r="BV1232" s="198">
        <v>4.6436999999999999</v>
      </c>
      <c r="BW1232" s="198">
        <v>8.6043000000000003</v>
      </c>
      <c r="BX1232" s="198">
        <v>1.2141</v>
      </c>
      <c r="BZ1232" s="1051">
        <v>43437</v>
      </c>
      <c r="CB1232" s="198">
        <v>5.0143000000000004</v>
      </c>
      <c r="CD1232" s="198">
        <v>1.56612</v>
      </c>
      <c r="CF1232" s="1051">
        <v>43434</v>
      </c>
      <c r="CG1232" s="198">
        <v>7.7370000000000001</v>
      </c>
      <c r="CH1232" s="198">
        <v>1.3627</v>
      </c>
      <c r="CI1232" s="198">
        <v>10.2615</v>
      </c>
      <c r="CL1232" s="1051">
        <v>43462</v>
      </c>
      <c r="CM1232" s="198">
        <v>20.844999999999999</v>
      </c>
      <c r="CN1232" s="198">
        <v>2.8279999999999998</v>
      </c>
      <c r="CO1232" s="198">
        <v>12.598599999999999</v>
      </c>
    </row>
    <row r="1233" spans="1:93" s="198" customFormat="1">
      <c r="A1233" s="1051">
        <v>43434</v>
      </c>
      <c r="B1233" s="1052">
        <f t="shared" si="194"/>
        <v>9.5448000000000004</v>
      </c>
      <c r="C1233" s="1052">
        <f t="shared" si="195"/>
        <v>6.6957000000000004</v>
      </c>
      <c r="D1233" s="1052">
        <f t="shared" si="200"/>
        <v>6.9408000000000003</v>
      </c>
      <c r="E1233" s="1052">
        <f t="shared" si="201"/>
        <v>6.4516</v>
      </c>
      <c r="F1233" s="1052">
        <f t="shared" si="202"/>
        <v>14</v>
      </c>
      <c r="G1233" s="1052">
        <f t="shared" si="203"/>
        <v>8.6058000000000003</v>
      </c>
      <c r="H1233" s="1047">
        <f t="shared" si="197"/>
        <v>6.9408000000000003</v>
      </c>
      <c r="I1233" s="1048">
        <f t="shared" si="196"/>
        <v>0.37517289073305671</v>
      </c>
      <c r="J1233" s="1048">
        <f t="shared" si="198"/>
        <v>0.12093838824177333</v>
      </c>
      <c r="K1233" s="1048">
        <f t="shared" si="199"/>
        <v>0.1</v>
      </c>
      <c r="L1233" s="1048"/>
      <c r="N1233" s="1051">
        <v>43434</v>
      </c>
      <c r="O1233" s="1053">
        <v>9.5448000000000004</v>
      </c>
      <c r="P1233" s="1053">
        <v>1.3240000000000001</v>
      </c>
      <c r="Q1233" s="1053">
        <v>12.0025</v>
      </c>
      <c r="R1233" s="1054">
        <f>'B. PE'!$U$23</f>
        <v>15.978235616082999</v>
      </c>
      <c r="S1233" s="1054"/>
      <c r="T1233" s="1054"/>
      <c r="V1233" s="1051">
        <v>43434</v>
      </c>
      <c r="W1233" s="198">
        <v>6.6957000000000004</v>
      </c>
      <c r="X1233" s="198">
        <v>0.4975</v>
      </c>
      <c r="Z1233" s="198">
        <v>0.30476999999999999</v>
      </c>
      <c r="AD1233" s="1051"/>
      <c r="BT1233" s="1051">
        <v>43434</v>
      </c>
      <c r="BU1233" s="198">
        <v>13.0631</v>
      </c>
      <c r="BV1233" s="198">
        <v>4.4589999999999996</v>
      </c>
      <c r="BW1233" s="198">
        <v>8.2867999999999995</v>
      </c>
      <c r="BX1233" s="198">
        <v>1.2082999999999999</v>
      </c>
      <c r="BZ1233" s="1051">
        <v>43434</v>
      </c>
      <c r="CB1233" s="198">
        <v>4.8483000000000001</v>
      </c>
      <c r="CD1233" s="198">
        <v>1.5573399999999999</v>
      </c>
      <c r="CF1233" s="1051">
        <v>43433</v>
      </c>
      <c r="CG1233" s="198">
        <v>7.1452999999999998</v>
      </c>
      <c r="CH1233" s="198">
        <v>1.2585</v>
      </c>
      <c r="CI1233" s="198">
        <v>9.9208999999999996</v>
      </c>
      <c r="CL1233" s="1051">
        <v>43461</v>
      </c>
      <c r="CM1233" s="198">
        <v>20.660699999999999</v>
      </c>
      <c r="CN1233" s="198">
        <v>2.8029999999999999</v>
      </c>
      <c r="CO1233" s="198">
        <v>12.4808</v>
      </c>
    </row>
    <row r="1234" spans="1:93" s="198" customFormat="1">
      <c r="A1234" s="1051">
        <v>43433</v>
      </c>
      <c r="B1234" s="1052">
        <f t="shared" si="194"/>
        <v>9.5248000000000008</v>
      </c>
      <c r="C1234" s="1052">
        <f t="shared" si="195"/>
        <v>6.7275</v>
      </c>
      <c r="D1234" s="1052">
        <f t="shared" si="200"/>
        <v>6.9408000000000003</v>
      </c>
      <c r="E1234" s="1052">
        <f t="shared" si="201"/>
        <v>6.5160999999999998</v>
      </c>
      <c r="F1234" s="1052">
        <f t="shared" si="202"/>
        <v>13.8889</v>
      </c>
      <c r="G1234" s="1052">
        <f t="shared" si="203"/>
        <v>8.6493000000000002</v>
      </c>
      <c r="H1234" s="1047">
        <f t="shared" si="197"/>
        <v>6.9408000000000003</v>
      </c>
      <c r="I1234" s="1048">
        <f t="shared" si="196"/>
        <v>0.37229137851544492</v>
      </c>
      <c r="J1234" s="1048">
        <f t="shared" si="198"/>
        <v>0.12093838824177333</v>
      </c>
      <c r="K1234" s="1048">
        <f t="shared" si="199"/>
        <v>0.1</v>
      </c>
      <c r="L1234" s="1048"/>
      <c r="N1234" s="1051">
        <v>43433</v>
      </c>
      <c r="O1234" s="1053">
        <v>9.5248000000000008</v>
      </c>
      <c r="P1234" s="1053">
        <v>1.3212999999999999</v>
      </c>
      <c r="Q1234" s="1053">
        <v>11.9871</v>
      </c>
      <c r="R1234" s="1054">
        <f>'B. PE'!$U$23</f>
        <v>15.978235616082999</v>
      </c>
      <c r="S1234" s="1054"/>
      <c r="T1234" s="1054"/>
      <c r="V1234" s="1051">
        <v>43433</v>
      </c>
      <c r="W1234" s="198">
        <v>6.7275</v>
      </c>
      <c r="X1234" s="198">
        <v>0.49990000000000001</v>
      </c>
      <c r="Z1234" s="198">
        <v>0.30431999999999998</v>
      </c>
      <c r="AD1234" s="1051"/>
      <c r="BT1234" s="1051">
        <v>43433</v>
      </c>
      <c r="BU1234" s="198">
        <v>13.1404</v>
      </c>
      <c r="BV1234" s="198">
        <v>4.4854000000000003</v>
      </c>
      <c r="BW1234" s="198">
        <v>8.3322000000000003</v>
      </c>
      <c r="BX1234" s="198">
        <v>1.2051000000000001</v>
      </c>
      <c r="BZ1234" s="1051">
        <v>43433</v>
      </c>
      <c r="CB1234" s="198">
        <v>4.8151000000000002</v>
      </c>
      <c r="CD1234" s="198">
        <v>1.51153</v>
      </c>
      <c r="CF1234" s="1051">
        <v>43432</v>
      </c>
      <c r="CI1234" s="198">
        <v>9.5541</v>
      </c>
      <c r="CL1234" s="1051">
        <v>43458</v>
      </c>
      <c r="CO1234" s="198">
        <v>12.520099999999999</v>
      </c>
    </row>
    <row r="1235" spans="1:93" s="198" customFormat="1">
      <c r="A1235" s="1051">
        <v>43432</v>
      </c>
      <c r="B1235" s="1052">
        <f t="shared" si="194"/>
        <v>9.6646000000000001</v>
      </c>
      <c r="C1235" s="1052">
        <f t="shared" si="195"/>
        <v>6.7275</v>
      </c>
      <c r="D1235" s="1052">
        <f t="shared" si="200"/>
        <v>6.8562000000000003</v>
      </c>
      <c r="E1235" s="1052">
        <f t="shared" si="201"/>
        <v>6.5160999999999998</v>
      </c>
      <c r="F1235" s="1052">
        <f t="shared" si="202"/>
        <v>14</v>
      </c>
      <c r="G1235" s="1052">
        <f t="shared" si="203"/>
        <v>8.6493000000000002</v>
      </c>
      <c r="H1235" s="1047">
        <f t="shared" si="197"/>
        <v>6.8562000000000003</v>
      </c>
      <c r="I1235" s="1048">
        <f t="shared" si="196"/>
        <v>0.40961465534844366</v>
      </c>
      <c r="J1235" s="1048">
        <f t="shared" si="198"/>
        <v>0.12093838824177333</v>
      </c>
      <c r="K1235" s="1048">
        <f t="shared" si="199"/>
        <v>0.1</v>
      </c>
      <c r="L1235" s="1048"/>
      <c r="N1235" s="1051">
        <v>43432</v>
      </c>
      <c r="O1235" s="1053">
        <v>9.6646000000000001</v>
      </c>
      <c r="P1235" s="1053">
        <v>1.3406</v>
      </c>
      <c r="Q1235" s="1053">
        <v>12.0952</v>
      </c>
      <c r="R1235" s="1054">
        <f>'B. PE'!$U$23</f>
        <v>15.978235616082999</v>
      </c>
      <c r="S1235" s="1054"/>
      <c r="T1235" s="1054"/>
      <c r="V1235" s="1051">
        <v>43432</v>
      </c>
      <c r="W1235" s="198">
        <v>6.7275</v>
      </c>
      <c r="X1235" s="198">
        <v>0.49990000000000001</v>
      </c>
      <c r="Z1235" s="198">
        <v>0.30589</v>
      </c>
      <c r="AD1235" s="1051"/>
      <c r="BT1235" s="1051">
        <v>43432</v>
      </c>
      <c r="BU1235" s="198">
        <v>13.0786</v>
      </c>
      <c r="BV1235" s="198">
        <v>4.4642999999999997</v>
      </c>
      <c r="BW1235" s="198">
        <v>8.2958999999999996</v>
      </c>
      <c r="BX1235" s="198">
        <v>1.2141999999999999</v>
      </c>
      <c r="BZ1235" s="1051">
        <v>43432</v>
      </c>
      <c r="CB1235" s="198">
        <v>4.7885</v>
      </c>
      <c r="CD1235" s="198">
        <v>1.5121800000000001</v>
      </c>
      <c r="CF1235" s="1051">
        <v>43431</v>
      </c>
      <c r="CI1235" s="198">
        <v>9.5541</v>
      </c>
      <c r="CL1235" s="1051">
        <v>43455</v>
      </c>
      <c r="CM1235" s="198">
        <v>20.722100000000001</v>
      </c>
      <c r="CN1235" s="198">
        <v>2.8113999999999999</v>
      </c>
      <c r="CO1235" s="198">
        <v>12.520099999999999</v>
      </c>
    </row>
    <row r="1236" spans="1:93" s="198" customFormat="1">
      <c r="A1236" s="1051">
        <v>43431</v>
      </c>
      <c r="B1236" s="1052">
        <f t="shared" si="194"/>
        <v>9.7445000000000004</v>
      </c>
      <c r="C1236" s="1052">
        <f t="shared" si="195"/>
        <v>6.7195999999999998</v>
      </c>
      <c r="D1236" s="1052">
        <f t="shared" si="200"/>
        <v>6.8137999999999996</v>
      </c>
      <c r="E1236" s="1052">
        <f t="shared" si="201"/>
        <v>6.5160999999999998</v>
      </c>
      <c r="F1236" s="1052">
        <f t="shared" si="202"/>
        <v>13.777799999999999</v>
      </c>
      <c r="G1236" s="1052">
        <f t="shared" si="203"/>
        <v>8.6928000000000001</v>
      </c>
      <c r="H1236" s="1047">
        <f t="shared" si="197"/>
        <v>6.8137999999999996</v>
      </c>
      <c r="I1236" s="1048">
        <f t="shared" si="196"/>
        <v>0.43011241891455598</v>
      </c>
      <c r="J1236" s="1048">
        <f t="shared" si="198"/>
        <v>0.12093838824177333</v>
      </c>
      <c r="K1236" s="1048">
        <f t="shared" si="199"/>
        <v>0.1</v>
      </c>
      <c r="L1236" s="1048"/>
      <c r="N1236" s="1051">
        <v>43431</v>
      </c>
      <c r="O1236" s="1053">
        <v>9.7445000000000004</v>
      </c>
      <c r="P1236" s="1053">
        <v>1.3516999999999999</v>
      </c>
      <c r="Q1236" s="1053">
        <v>12.157</v>
      </c>
      <c r="R1236" s="1054">
        <f>'B. PE'!$U$23</f>
        <v>15.978235616082999</v>
      </c>
      <c r="S1236" s="1054"/>
      <c r="T1236" s="1054"/>
      <c r="V1236" s="1051">
        <v>43431</v>
      </c>
      <c r="W1236" s="198">
        <v>6.7195999999999998</v>
      </c>
      <c r="X1236" s="198">
        <v>0.49930000000000002</v>
      </c>
      <c r="Z1236" s="198">
        <v>0.30671999999999999</v>
      </c>
      <c r="AD1236" s="1051"/>
      <c r="BT1236" s="1051">
        <v>43431</v>
      </c>
      <c r="BU1236" s="198">
        <v>13.047599999999999</v>
      </c>
      <c r="BV1236" s="198">
        <v>4.4537000000000004</v>
      </c>
      <c r="BW1236" s="198">
        <v>8.2776999999999994</v>
      </c>
      <c r="BX1236" s="198">
        <v>1.2002999999999999</v>
      </c>
      <c r="BZ1236" s="1051">
        <v>43431</v>
      </c>
      <c r="CB1236" s="198">
        <v>4.649</v>
      </c>
      <c r="CD1236" s="198">
        <v>1.4867699999999999</v>
      </c>
      <c r="CF1236" s="1051">
        <v>43430</v>
      </c>
      <c r="CI1236" s="198">
        <v>9.5541</v>
      </c>
      <c r="CL1236" s="1051">
        <v>43454</v>
      </c>
      <c r="CM1236" s="198">
        <v>20.537800000000001</v>
      </c>
      <c r="CN1236" s="198">
        <v>2.7864</v>
      </c>
      <c r="CO1236" s="198">
        <v>12.402200000000001</v>
      </c>
    </row>
    <row r="1237" spans="1:93" s="198" customFormat="1">
      <c r="A1237" s="1051">
        <v>43430</v>
      </c>
      <c r="B1237" s="1052">
        <f t="shared" si="194"/>
        <v>9.9442000000000004</v>
      </c>
      <c r="C1237" s="1052">
        <f t="shared" si="195"/>
        <v>6.7514000000000003</v>
      </c>
      <c r="D1237" s="1052">
        <f t="shared" si="200"/>
        <v>6.8137999999999996</v>
      </c>
      <c r="E1237" s="1052">
        <f t="shared" si="201"/>
        <v>6.5805999999999996</v>
      </c>
      <c r="F1237" s="1052">
        <f t="shared" si="202"/>
        <v>14.1111</v>
      </c>
      <c r="G1237" s="1052">
        <f t="shared" si="203"/>
        <v>8.6928000000000001</v>
      </c>
      <c r="H1237" s="1047">
        <f t="shared" si="197"/>
        <v>6.8137999999999996</v>
      </c>
      <c r="I1237" s="1048">
        <f t="shared" si="196"/>
        <v>0.45942058763098426</v>
      </c>
      <c r="J1237" s="1048">
        <f t="shared" si="198"/>
        <v>0.12093838824177333</v>
      </c>
      <c r="K1237" s="1048">
        <f t="shared" si="199"/>
        <v>0.1</v>
      </c>
      <c r="L1237" s="1048"/>
      <c r="N1237" s="1051">
        <v>43430</v>
      </c>
      <c r="O1237" s="1053">
        <v>9.9442000000000004</v>
      </c>
      <c r="P1237" s="1053">
        <v>1.3794</v>
      </c>
      <c r="Q1237" s="1053">
        <v>12.311400000000001</v>
      </c>
      <c r="R1237" s="1054">
        <f>'B. PE'!$U$23</f>
        <v>15.978235616082999</v>
      </c>
      <c r="S1237" s="1054"/>
      <c r="T1237" s="1054"/>
      <c r="V1237" s="1051">
        <v>43430</v>
      </c>
      <c r="W1237" s="198">
        <v>6.7514000000000003</v>
      </c>
      <c r="X1237" s="198">
        <v>0.50160000000000005</v>
      </c>
      <c r="Z1237" s="198">
        <v>0.30654999999999999</v>
      </c>
      <c r="AD1237" s="1051"/>
      <c r="BT1237" s="1051">
        <v>43430</v>
      </c>
      <c r="BU1237" s="198">
        <v>13.1404</v>
      </c>
      <c r="BV1237" s="198">
        <v>4.4854000000000003</v>
      </c>
      <c r="BW1237" s="198">
        <v>8.3322000000000003</v>
      </c>
      <c r="BX1237" s="198">
        <v>1.2254</v>
      </c>
      <c r="BZ1237" s="1051">
        <v>43430</v>
      </c>
      <c r="CB1237" s="198">
        <v>4.649</v>
      </c>
      <c r="CD1237" s="198">
        <v>1.5226500000000001</v>
      </c>
      <c r="CF1237" s="1051">
        <v>43427</v>
      </c>
      <c r="CG1237" s="198">
        <v>6.5082000000000004</v>
      </c>
      <c r="CH1237" s="198">
        <v>1.1463000000000001</v>
      </c>
      <c r="CI1237" s="198">
        <v>9.5541</v>
      </c>
      <c r="CL1237" s="1051">
        <v>43453</v>
      </c>
      <c r="CM1237" s="198">
        <v>20.860399999999998</v>
      </c>
      <c r="CN1237" s="198">
        <v>2.8300999999999998</v>
      </c>
      <c r="CO1237" s="198">
        <v>12.6084</v>
      </c>
    </row>
    <row r="1238" spans="1:93" s="198" customFormat="1">
      <c r="A1238" s="1051">
        <v>43427</v>
      </c>
      <c r="B1238" s="1052">
        <f t="shared" si="194"/>
        <v>9.8244000000000007</v>
      </c>
      <c r="C1238" s="1052">
        <f t="shared" si="195"/>
        <v>6.7672999999999996</v>
      </c>
      <c r="D1238" s="1052">
        <f t="shared" si="200"/>
        <v>6.8985000000000003</v>
      </c>
      <c r="E1238" s="1052">
        <f t="shared" si="201"/>
        <v>6.4516</v>
      </c>
      <c r="F1238" s="1052">
        <f t="shared" si="202"/>
        <v>14</v>
      </c>
      <c r="G1238" s="1052">
        <f t="shared" si="203"/>
        <v>8.6928000000000001</v>
      </c>
      <c r="H1238" s="1047">
        <f t="shared" si="197"/>
        <v>6.8985000000000003</v>
      </c>
      <c r="I1238" s="1048">
        <f t="shared" si="196"/>
        <v>0.42413568166992821</v>
      </c>
      <c r="J1238" s="1048">
        <f t="shared" si="198"/>
        <v>0.12093838824177333</v>
      </c>
      <c r="K1238" s="1048">
        <f t="shared" si="199"/>
        <v>0.1</v>
      </c>
      <c r="L1238" s="1048"/>
      <c r="N1238" s="1051">
        <v>43427</v>
      </c>
      <c r="O1238" s="1053">
        <v>9.8244000000000007</v>
      </c>
      <c r="P1238" s="1053">
        <v>1.3628</v>
      </c>
      <c r="Q1238" s="1053">
        <v>12.2188</v>
      </c>
      <c r="R1238" s="1054">
        <f>'B. PE'!$U$23</f>
        <v>15.978235616082999</v>
      </c>
      <c r="S1238" s="1054"/>
      <c r="T1238" s="1054"/>
      <c r="V1238" s="1051">
        <v>43427</v>
      </c>
      <c r="W1238" s="198">
        <v>6.7672999999999996</v>
      </c>
      <c r="X1238" s="198">
        <v>0.50280000000000002</v>
      </c>
      <c r="Z1238" s="198">
        <v>0.30685000000000001</v>
      </c>
      <c r="AD1238" s="1051"/>
      <c r="BT1238" s="1051">
        <v>43427</v>
      </c>
      <c r="BU1238" s="198">
        <v>12.985799999999999</v>
      </c>
      <c r="BV1238" s="198">
        <v>4.4325999999999999</v>
      </c>
      <c r="BW1238" s="198">
        <v>8.2414000000000005</v>
      </c>
      <c r="BX1238" s="198">
        <v>1.2122999999999999</v>
      </c>
      <c r="BZ1238" s="1051">
        <v>43427</v>
      </c>
      <c r="CB1238" s="198">
        <v>4.5693000000000001</v>
      </c>
      <c r="CD1238" s="198">
        <v>1.51335</v>
      </c>
      <c r="CF1238" s="1051">
        <v>43426</v>
      </c>
      <c r="CI1238" s="198">
        <v>9.2920999999999996</v>
      </c>
      <c r="CL1238" s="1051">
        <v>43452</v>
      </c>
      <c r="CM1238" s="198">
        <v>20.5532</v>
      </c>
      <c r="CN1238" s="198">
        <v>2.7884000000000002</v>
      </c>
      <c r="CO1238" s="198">
        <v>12.412100000000001</v>
      </c>
    </row>
    <row r="1239" spans="1:93" s="198" customFormat="1">
      <c r="A1239" s="1051">
        <v>43426</v>
      </c>
      <c r="B1239" s="1052">
        <f t="shared" si="194"/>
        <v>9.9840999999999998</v>
      </c>
      <c r="C1239" s="1052">
        <f t="shared" si="195"/>
        <v>6.7672999999999996</v>
      </c>
      <c r="D1239" s="1052">
        <f t="shared" si="200"/>
        <v>6.9831000000000003</v>
      </c>
      <c r="E1239" s="1052">
        <f t="shared" si="201"/>
        <v>6.4516</v>
      </c>
      <c r="F1239" s="1052">
        <f t="shared" si="202"/>
        <v>13.777799999999999</v>
      </c>
      <c r="G1239" s="1052">
        <f t="shared" si="203"/>
        <v>8.6928000000000001</v>
      </c>
      <c r="H1239" s="1047">
        <f t="shared" si="197"/>
        <v>6.9831000000000003</v>
      </c>
      <c r="I1239" s="1048">
        <f t="shared" si="196"/>
        <v>0.42975182941673462</v>
      </c>
      <c r="J1239" s="1048">
        <f t="shared" si="198"/>
        <v>0.12093838824177333</v>
      </c>
      <c r="K1239" s="1048">
        <f t="shared" si="199"/>
        <v>0.1</v>
      </c>
      <c r="L1239" s="1048"/>
      <c r="N1239" s="1051">
        <v>43426</v>
      </c>
      <c r="O1239" s="1053">
        <v>9.9840999999999998</v>
      </c>
      <c r="P1239" s="1053">
        <v>1.385</v>
      </c>
      <c r="Q1239" s="1053">
        <v>12.3423</v>
      </c>
      <c r="R1239" s="1054">
        <f>'B. PE'!$U$23</f>
        <v>15.978235616082999</v>
      </c>
      <c r="S1239" s="1054"/>
      <c r="T1239" s="1054"/>
      <c r="V1239" s="1051">
        <v>43426</v>
      </c>
      <c r="W1239" s="198">
        <v>6.7672999999999996</v>
      </c>
      <c r="X1239" s="198">
        <v>0.50280000000000002</v>
      </c>
      <c r="Z1239" s="198">
        <v>0.307</v>
      </c>
      <c r="AD1239" s="1051"/>
      <c r="BT1239" s="1051">
        <v>43426</v>
      </c>
      <c r="BU1239" s="198">
        <v>13.264099999999999</v>
      </c>
      <c r="BV1239" s="198">
        <v>4.5275999999999996</v>
      </c>
      <c r="BW1239" s="198">
        <v>8.4047000000000001</v>
      </c>
      <c r="BX1239" s="198">
        <v>1.2057</v>
      </c>
      <c r="BZ1239" s="1051">
        <v>43426</v>
      </c>
      <c r="CB1239" s="198">
        <v>4.6821999999999999</v>
      </c>
      <c r="CD1239" s="198">
        <v>1.51406</v>
      </c>
      <c r="CF1239" s="1051">
        <v>43425</v>
      </c>
      <c r="CI1239" s="198">
        <v>9.2920999999999996</v>
      </c>
      <c r="CL1239" s="1051">
        <v>43451</v>
      </c>
      <c r="CM1239" s="198">
        <v>20.891100000000002</v>
      </c>
      <c r="CN1239" s="198">
        <v>2.8342999999999998</v>
      </c>
      <c r="CO1239" s="198">
        <v>12.6281</v>
      </c>
    </row>
    <row r="1240" spans="1:93" s="198" customFormat="1">
      <c r="A1240" s="1051">
        <v>43425</v>
      </c>
      <c r="B1240" s="1052">
        <f t="shared" si="194"/>
        <v>10.064</v>
      </c>
      <c r="C1240" s="1052">
        <f t="shared" si="195"/>
        <v>6.7672999999999996</v>
      </c>
      <c r="D1240" s="1052">
        <f t="shared" si="200"/>
        <v>6.9831000000000003</v>
      </c>
      <c r="E1240" s="1052">
        <f t="shared" si="201"/>
        <v>6.4516</v>
      </c>
      <c r="F1240" s="1052">
        <f t="shared" si="202"/>
        <v>13.777799999999999</v>
      </c>
      <c r="G1240" s="1052">
        <f t="shared" si="203"/>
        <v>8.7797000000000001</v>
      </c>
      <c r="H1240" s="1047">
        <f t="shared" si="197"/>
        <v>6.9831000000000003</v>
      </c>
      <c r="I1240" s="1048">
        <f t="shared" si="196"/>
        <v>0.44119373917028248</v>
      </c>
      <c r="J1240" s="1048">
        <f t="shared" si="198"/>
        <v>0.12093838824177333</v>
      </c>
      <c r="K1240" s="1048">
        <f t="shared" si="199"/>
        <v>0.1</v>
      </c>
      <c r="L1240" s="1048"/>
      <c r="N1240" s="1051">
        <v>43425</v>
      </c>
      <c r="O1240" s="1053">
        <v>10.064</v>
      </c>
      <c r="P1240" s="1053">
        <v>1.3959999999999999</v>
      </c>
      <c r="Q1240" s="1053">
        <v>12.4041</v>
      </c>
      <c r="R1240" s="1054">
        <f>'B. PE'!$U$23</f>
        <v>15.978235616082999</v>
      </c>
      <c r="S1240" s="1054"/>
      <c r="T1240" s="1054"/>
      <c r="V1240" s="1051">
        <v>43425</v>
      </c>
      <c r="W1240" s="198">
        <v>6.7672999999999996</v>
      </c>
      <c r="X1240" s="198">
        <v>0.50280000000000002</v>
      </c>
      <c r="Z1240" s="198">
        <v>0.30712</v>
      </c>
      <c r="AD1240" s="1051"/>
      <c r="BT1240" s="1051">
        <v>43425</v>
      </c>
      <c r="BU1240" s="198">
        <v>13.109500000000001</v>
      </c>
      <c r="BV1240" s="198">
        <v>4.4748000000000001</v>
      </c>
      <c r="BW1240" s="198">
        <v>8.3140000000000001</v>
      </c>
      <c r="BX1240" s="198">
        <v>1.2119</v>
      </c>
      <c r="BZ1240" s="1051">
        <v>43425</v>
      </c>
      <c r="CB1240" s="198">
        <v>4.649</v>
      </c>
      <c r="CD1240" s="198">
        <v>1.5362800000000001</v>
      </c>
      <c r="CF1240" s="1051">
        <v>43424</v>
      </c>
      <c r="CG1240" s="198">
        <v>6.0530999999999997</v>
      </c>
      <c r="CH1240" s="198">
        <v>1.0661</v>
      </c>
      <c r="CI1240" s="198">
        <v>9.2920999999999996</v>
      </c>
      <c r="CL1240" s="1051">
        <v>43448</v>
      </c>
      <c r="CM1240" s="198">
        <v>20.9833</v>
      </c>
      <c r="CN1240" s="198">
        <v>2.8468</v>
      </c>
      <c r="CO1240" s="198">
        <v>12.686999999999999</v>
      </c>
    </row>
    <row r="1241" spans="1:93" s="198" customFormat="1">
      <c r="A1241" s="1051">
        <v>43424</v>
      </c>
      <c r="B1241" s="1052">
        <f t="shared" si="194"/>
        <v>9.9442000000000004</v>
      </c>
      <c r="C1241" s="1052">
        <f t="shared" si="195"/>
        <v>6.7672999999999996</v>
      </c>
      <c r="D1241" s="1052">
        <f t="shared" si="200"/>
        <v>6.9831000000000003</v>
      </c>
      <c r="E1241" s="1052">
        <f t="shared" si="201"/>
        <v>6.4516</v>
      </c>
      <c r="F1241" s="1052">
        <f t="shared" si="202"/>
        <v>12.4444</v>
      </c>
      <c r="G1241" s="1052">
        <f t="shared" si="203"/>
        <v>8.6058000000000003</v>
      </c>
      <c r="H1241" s="1047">
        <f t="shared" si="197"/>
        <v>6.9831000000000003</v>
      </c>
      <c r="I1241" s="1048">
        <f t="shared" si="196"/>
        <v>0.42403803468373646</v>
      </c>
      <c r="J1241" s="1048">
        <f t="shared" si="198"/>
        <v>0.12093838824177333</v>
      </c>
      <c r="K1241" s="1048">
        <f t="shared" si="199"/>
        <v>0.1</v>
      </c>
      <c r="L1241" s="1048"/>
      <c r="N1241" s="1051">
        <v>43424</v>
      </c>
      <c r="O1241" s="1053">
        <v>9.9442000000000004</v>
      </c>
      <c r="P1241" s="1053">
        <v>1.3794</v>
      </c>
      <c r="Q1241" s="1053">
        <v>12.311400000000001</v>
      </c>
      <c r="R1241" s="1054">
        <f>'B. PE'!$U$23</f>
        <v>15.978235616082999</v>
      </c>
      <c r="S1241" s="1054"/>
      <c r="T1241" s="1054"/>
      <c r="V1241" s="1051">
        <v>43424</v>
      </c>
      <c r="W1241" s="198">
        <v>6.7672999999999996</v>
      </c>
      <c r="X1241" s="198">
        <v>0.50280000000000002</v>
      </c>
      <c r="Z1241" s="198">
        <v>0.30358000000000002</v>
      </c>
      <c r="AD1241" s="1051"/>
      <c r="BT1241" s="1051">
        <v>43424</v>
      </c>
      <c r="BU1241" s="198">
        <v>13.0322</v>
      </c>
      <c r="BV1241" s="198">
        <v>4.4485000000000001</v>
      </c>
      <c r="BW1241" s="198">
        <v>8.2687000000000008</v>
      </c>
      <c r="BX1241" s="198">
        <v>1.1507000000000001</v>
      </c>
      <c r="BZ1241" s="1051">
        <v>43424</v>
      </c>
      <c r="CB1241" s="198">
        <v>4.649</v>
      </c>
      <c r="CD1241" s="198">
        <v>1.5583199999999999</v>
      </c>
      <c r="CF1241" s="1051">
        <v>43423</v>
      </c>
      <c r="CG1241" s="198">
        <v>6.5537000000000001</v>
      </c>
      <c r="CH1241" s="198">
        <v>1.1543000000000001</v>
      </c>
      <c r="CI1241" s="198">
        <v>9.5802999999999994</v>
      </c>
      <c r="CL1241" s="1051">
        <v>43447</v>
      </c>
      <c r="CM1241" s="198">
        <v>20.9986</v>
      </c>
      <c r="CN1241" s="198">
        <v>2.8489</v>
      </c>
      <c r="CO1241" s="198">
        <v>12.6968</v>
      </c>
    </row>
    <row r="1242" spans="1:93" s="198" customFormat="1">
      <c r="A1242" s="1051">
        <v>43423</v>
      </c>
      <c r="B1242" s="1052">
        <f t="shared" si="194"/>
        <v>9.9041999999999994</v>
      </c>
      <c r="C1242" s="1052">
        <f t="shared" si="195"/>
        <v>6.7672999999999996</v>
      </c>
      <c r="D1242" s="1052">
        <f t="shared" si="200"/>
        <v>7.0254000000000003</v>
      </c>
      <c r="E1242" s="1052">
        <f t="shared" si="201"/>
        <v>6.4516</v>
      </c>
      <c r="F1242" s="1052">
        <f t="shared" si="202"/>
        <v>13.222200000000001</v>
      </c>
      <c r="G1242" s="1052">
        <f t="shared" si="203"/>
        <v>8.8666</v>
      </c>
      <c r="H1242" s="1047">
        <f t="shared" si="197"/>
        <v>7.0254000000000003</v>
      </c>
      <c r="I1242" s="1048">
        <f t="shared" si="196"/>
        <v>0.4097702621914765</v>
      </c>
      <c r="J1242" s="1048">
        <f t="shared" si="198"/>
        <v>0.12093838824177333</v>
      </c>
      <c r="K1242" s="1048">
        <f t="shared" si="199"/>
        <v>0.1</v>
      </c>
      <c r="L1242" s="1048"/>
      <c r="N1242" s="1051">
        <v>43423</v>
      </c>
      <c r="O1242" s="1053">
        <v>9.9041999999999994</v>
      </c>
      <c r="P1242" s="1053">
        <v>1.3738999999999999</v>
      </c>
      <c r="Q1242" s="1053">
        <v>12.2805</v>
      </c>
      <c r="R1242" s="1054">
        <f>'B. PE'!$U$23</f>
        <v>15.978235616082999</v>
      </c>
      <c r="S1242" s="1054"/>
      <c r="T1242" s="1054"/>
      <c r="V1242" s="1051">
        <v>43423</v>
      </c>
      <c r="W1242" s="198">
        <v>6.7672999999999996</v>
      </c>
      <c r="X1242" s="198">
        <v>0.50280000000000002</v>
      </c>
      <c r="Z1242" s="198">
        <v>0.30348999999999998</v>
      </c>
      <c r="AD1242" s="1051"/>
      <c r="BT1242" s="1051">
        <v>43423</v>
      </c>
      <c r="BU1242" s="198">
        <v>13.093999999999999</v>
      </c>
      <c r="BV1242" s="198">
        <v>4.4695999999999998</v>
      </c>
      <c r="BW1242" s="198">
        <v>8.3048999999999999</v>
      </c>
      <c r="BX1242" s="198">
        <v>1.1482000000000001</v>
      </c>
      <c r="BZ1242" s="1051">
        <v>43423</v>
      </c>
      <c r="CB1242" s="198">
        <v>4.7154999999999996</v>
      </c>
      <c r="CD1242" s="198">
        <v>1.5102500000000001</v>
      </c>
      <c r="CF1242" s="1051">
        <v>43420</v>
      </c>
      <c r="CG1242" s="198">
        <v>6.5991999999999997</v>
      </c>
      <c r="CH1242" s="198">
        <v>1.1623000000000001</v>
      </c>
      <c r="CI1242" s="198">
        <v>9.6065000000000005</v>
      </c>
      <c r="CL1242" s="1051">
        <v>43446</v>
      </c>
      <c r="CM1242" s="198">
        <v>21.029399999999999</v>
      </c>
      <c r="CN1242" s="198">
        <v>2.8531</v>
      </c>
      <c r="CO1242" s="198">
        <v>12.7165</v>
      </c>
    </row>
    <row r="1243" spans="1:93" s="198" customFormat="1">
      <c r="A1243" s="1051">
        <v>43420</v>
      </c>
      <c r="B1243" s="1052">
        <f t="shared" si="194"/>
        <v>9.5847999999999995</v>
      </c>
      <c r="C1243" s="1052">
        <f t="shared" si="195"/>
        <v>6.6877000000000004</v>
      </c>
      <c r="D1243" s="1052">
        <f t="shared" si="200"/>
        <v>7.0678000000000001</v>
      </c>
      <c r="E1243" s="1052">
        <f t="shared" si="201"/>
        <v>6.5160999999999998</v>
      </c>
      <c r="F1243" s="1052">
        <f t="shared" si="202"/>
        <v>13.8889</v>
      </c>
      <c r="G1243" s="1052">
        <f t="shared" si="203"/>
        <v>8.6058000000000003</v>
      </c>
      <c r="H1243" s="1047">
        <f t="shared" si="197"/>
        <v>7.0678000000000001</v>
      </c>
      <c r="I1243" s="1048">
        <f t="shared" si="196"/>
        <v>0.35612213135629189</v>
      </c>
      <c r="J1243" s="1048">
        <f t="shared" si="198"/>
        <v>0.12093838824177333</v>
      </c>
      <c r="K1243" s="1048">
        <f t="shared" si="199"/>
        <v>0.1</v>
      </c>
      <c r="L1243" s="1048"/>
      <c r="N1243" s="1051">
        <v>43420</v>
      </c>
      <c r="O1243" s="1053">
        <v>9.5847999999999995</v>
      </c>
      <c r="P1243" s="1053">
        <v>1.3295999999999999</v>
      </c>
      <c r="Q1243" s="1053">
        <v>12.0334</v>
      </c>
      <c r="R1243" s="1054">
        <f>'B. PE'!$U$23</f>
        <v>15.978235616082999</v>
      </c>
      <c r="S1243" s="1054"/>
      <c r="T1243" s="1054"/>
      <c r="V1243" s="1051">
        <v>43420</v>
      </c>
      <c r="W1243" s="198">
        <v>6.6877000000000004</v>
      </c>
      <c r="X1243" s="198">
        <v>0.49690000000000001</v>
      </c>
      <c r="Z1243" s="198">
        <v>0.30578</v>
      </c>
      <c r="AD1243" s="1051"/>
      <c r="BT1243" s="1051">
        <v>43420</v>
      </c>
      <c r="BU1243" s="198">
        <v>12.429600000000001</v>
      </c>
      <c r="BV1243" s="198">
        <v>4.2427999999999999</v>
      </c>
      <c r="BW1243" s="198">
        <v>7.9150999999999998</v>
      </c>
      <c r="BX1243" s="198">
        <v>1.1518999999999999</v>
      </c>
      <c r="BZ1243" s="1051">
        <v>43420</v>
      </c>
      <c r="CB1243" s="198">
        <v>4.7819000000000003</v>
      </c>
      <c r="CD1243" s="198">
        <v>1.4762</v>
      </c>
      <c r="CF1243" s="1051">
        <v>43419</v>
      </c>
      <c r="CG1243" s="198">
        <v>6.5537000000000001</v>
      </c>
      <c r="CH1243" s="198">
        <v>1.1543000000000001</v>
      </c>
      <c r="CI1243" s="198">
        <v>9.5802999999999994</v>
      </c>
      <c r="CL1243" s="1051">
        <v>43445</v>
      </c>
      <c r="CM1243" s="198">
        <v>20.245899999999999</v>
      </c>
      <c r="CN1243" s="198">
        <v>2.7467999999999999</v>
      </c>
      <c r="CO1243" s="198">
        <v>12.2157</v>
      </c>
    </row>
    <row r="1244" spans="1:93" s="198" customFormat="1">
      <c r="A1244" s="1051">
        <v>43419</v>
      </c>
      <c r="B1244" s="1052">
        <f t="shared" si="194"/>
        <v>9.5847999999999995</v>
      </c>
      <c r="C1244" s="1052">
        <f t="shared" si="195"/>
        <v>6.6877000000000004</v>
      </c>
      <c r="D1244" s="1052">
        <f t="shared" si="200"/>
        <v>7.0678000000000001</v>
      </c>
      <c r="E1244" s="1052">
        <f t="shared" si="201"/>
        <v>6.4516</v>
      </c>
      <c r="F1244" s="1052">
        <f t="shared" si="202"/>
        <v>14.333299999999999</v>
      </c>
      <c r="G1244" s="1052">
        <f t="shared" si="203"/>
        <v>8.5189000000000004</v>
      </c>
      <c r="H1244" s="1047">
        <f t="shared" si="197"/>
        <v>7.0678000000000001</v>
      </c>
      <c r="I1244" s="1048">
        <f t="shared" si="196"/>
        <v>0.35612213135629189</v>
      </c>
      <c r="J1244" s="1048">
        <f t="shared" si="198"/>
        <v>0.12093838824177333</v>
      </c>
      <c r="K1244" s="1048">
        <f t="shared" si="199"/>
        <v>0.1</v>
      </c>
      <c r="L1244" s="1048"/>
      <c r="N1244" s="1051">
        <v>43419</v>
      </c>
      <c r="O1244" s="1053">
        <v>9.5847999999999995</v>
      </c>
      <c r="P1244" s="1053">
        <v>1.3295999999999999</v>
      </c>
      <c r="Q1244" s="1053">
        <v>12.0334</v>
      </c>
      <c r="R1244" s="1054">
        <f>'B. PE'!$U$23</f>
        <v>15.978235616082999</v>
      </c>
      <c r="S1244" s="1054"/>
      <c r="T1244" s="1054"/>
      <c r="V1244" s="1051">
        <v>43419</v>
      </c>
      <c r="W1244" s="198">
        <v>6.6877000000000004</v>
      </c>
      <c r="X1244" s="198">
        <v>0.49690000000000001</v>
      </c>
      <c r="Z1244" s="198">
        <v>0.30575000000000002</v>
      </c>
      <c r="AD1244" s="1051"/>
      <c r="BT1244" s="1051">
        <v>43419</v>
      </c>
      <c r="BU1244" s="198">
        <v>12.4064</v>
      </c>
      <c r="BV1244" s="198">
        <v>4.2347999999999999</v>
      </c>
      <c r="BW1244" s="198">
        <v>7.9015000000000004</v>
      </c>
      <c r="BX1244" s="198">
        <v>1.1560999999999999</v>
      </c>
      <c r="BZ1244" s="1051">
        <v>43419</v>
      </c>
      <c r="CB1244" s="198">
        <v>4.6357999999999997</v>
      </c>
      <c r="CD1244" s="198">
        <v>1.53668</v>
      </c>
      <c r="CF1244" s="1051">
        <v>43418</v>
      </c>
      <c r="CG1244" s="198">
        <v>6.5082000000000004</v>
      </c>
      <c r="CH1244" s="198">
        <v>1.1463000000000001</v>
      </c>
      <c r="CI1244" s="198">
        <v>9.5541</v>
      </c>
      <c r="CL1244" s="1051">
        <v>43444</v>
      </c>
      <c r="CM1244" s="198">
        <v>20.1999</v>
      </c>
      <c r="CN1244" s="198">
        <v>2.7404999999999999</v>
      </c>
      <c r="CO1244" s="198">
        <v>12.186199999999999</v>
      </c>
    </row>
    <row r="1245" spans="1:93" s="198" customFormat="1">
      <c r="A1245" s="1051">
        <v>43418</v>
      </c>
      <c r="B1245" s="1052">
        <f t="shared" ref="B1245:B1255" si="204">O1245</f>
        <v>9.6247000000000007</v>
      </c>
      <c r="C1245" s="1052">
        <f t="shared" ref="C1245:C1255" si="205">IF(W1245=0,W1244,W1245)</f>
        <v>6.7355</v>
      </c>
      <c r="D1245" s="1052">
        <f t="shared" si="200"/>
        <v>7.2793999999999999</v>
      </c>
      <c r="E1245" s="1052">
        <f t="shared" si="201"/>
        <v>6.4516</v>
      </c>
      <c r="F1245" s="1052">
        <f t="shared" si="202"/>
        <v>14.777799999999999</v>
      </c>
      <c r="G1245" s="1052">
        <f t="shared" si="203"/>
        <v>8.4754000000000005</v>
      </c>
      <c r="H1245" s="1047">
        <f t="shared" si="197"/>
        <v>7.2793999999999999</v>
      </c>
      <c r="I1245" s="1048">
        <f t="shared" si="196"/>
        <v>0.32218314696266193</v>
      </c>
      <c r="J1245" s="1048">
        <f t="shared" si="198"/>
        <v>0.12093838824177333</v>
      </c>
      <c r="K1245" s="1048">
        <f t="shared" si="199"/>
        <v>0.1</v>
      </c>
      <c r="L1245" s="1048"/>
      <c r="N1245" s="1051">
        <v>43418</v>
      </c>
      <c r="O1245" s="1053">
        <v>9.6247000000000007</v>
      </c>
      <c r="P1245" s="1053">
        <v>1.3351</v>
      </c>
      <c r="Q1245" s="1053">
        <v>12.064299999999999</v>
      </c>
      <c r="R1245" s="1054">
        <f>'B. PE'!$U$23</f>
        <v>15.978235616082999</v>
      </c>
      <c r="S1245" s="1054"/>
      <c r="T1245" s="1054"/>
      <c r="V1245" s="1051">
        <v>43418</v>
      </c>
      <c r="W1245" s="198">
        <v>6.7355</v>
      </c>
      <c r="X1245" s="198">
        <v>0.50049999999999994</v>
      </c>
      <c r="Z1245" s="198">
        <v>0.30702000000000002</v>
      </c>
      <c r="AD1245" s="1051"/>
      <c r="BT1245" s="1051">
        <v>43418</v>
      </c>
      <c r="BU1245" s="198">
        <v>12.4412</v>
      </c>
      <c r="BV1245" s="198">
        <v>4.2466999999999997</v>
      </c>
      <c r="BW1245" s="198">
        <v>7.9226000000000001</v>
      </c>
      <c r="BX1245" s="198">
        <v>1.1815</v>
      </c>
      <c r="BZ1245" s="1051">
        <v>43418</v>
      </c>
      <c r="CB1245" s="198">
        <v>4.5294999999999996</v>
      </c>
      <c r="CD1245" s="198">
        <v>1.54627</v>
      </c>
      <c r="CF1245" s="1051">
        <v>43417</v>
      </c>
      <c r="CI1245" s="198">
        <v>9.3183000000000007</v>
      </c>
      <c r="CL1245" s="1051">
        <v>43441</v>
      </c>
      <c r="CM1245" s="198">
        <v>20.445599999999999</v>
      </c>
      <c r="CN1245" s="198">
        <v>2.7738999999999998</v>
      </c>
      <c r="CO1245" s="198">
        <v>12.343299999999999</v>
      </c>
    </row>
    <row r="1246" spans="1:93" s="198" customFormat="1">
      <c r="A1246" s="1051">
        <v>43417</v>
      </c>
      <c r="B1246" s="1052">
        <f t="shared" si="204"/>
        <v>9.5847999999999995</v>
      </c>
      <c r="C1246" s="1052">
        <f t="shared" si="205"/>
        <v>6.7355</v>
      </c>
      <c r="D1246" s="1052">
        <f t="shared" si="200"/>
        <v>7.2793999999999999</v>
      </c>
      <c r="E1246" s="1052">
        <f t="shared" si="201"/>
        <v>6.5805999999999996</v>
      </c>
      <c r="F1246" s="1052">
        <f t="shared" si="202"/>
        <v>14.8889</v>
      </c>
      <c r="G1246" s="1052">
        <f t="shared" si="203"/>
        <v>8.4320000000000004</v>
      </c>
      <c r="H1246" s="1047">
        <f t="shared" si="197"/>
        <v>7.2793999999999999</v>
      </c>
      <c r="I1246" s="1048">
        <f t="shared" si="196"/>
        <v>0.31670192598291069</v>
      </c>
      <c r="J1246" s="1048">
        <f t="shared" si="198"/>
        <v>0.12093838824177333</v>
      </c>
      <c r="K1246" s="1048">
        <f t="shared" si="199"/>
        <v>0.1</v>
      </c>
      <c r="L1246" s="1048"/>
      <c r="N1246" s="1051">
        <v>43417</v>
      </c>
      <c r="O1246" s="1053">
        <v>9.5847999999999995</v>
      </c>
      <c r="P1246" s="1053">
        <v>1.3295999999999999</v>
      </c>
      <c r="Q1246" s="1053">
        <v>12.0334</v>
      </c>
      <c r="R1246" s="1054">
        <f>'B. PE'!$U$23</f>
        <v>15.978235616082999</v>
      </c>
      <c r="S1246" s="1054"/>
      <c r="T1246" s="1054"/>
      <c r="V1246" s="1051">
        <v>43417</v>
      </c>
      <c r="W1246" s="198">
        <v>6.7355</v>
      </c>
      <c r="X1246" s="198">
        <v>0.50049999999999994</v>
      </c>
      <c r="Z1246" s="198">
        <v>0.30376999999999998</v>
      </c>
      <c r="AD1246" s="1051"/>
      <c r="BT1246" s="1051">
        <v>43417</v>
      </c>
      <c r="BU1246" s="198">
        <v>12.487500000000001</v>
      </c>
      <c r="BV1246" s="198">
        <v>4.2625999999999999</v>
      </c>
      <c r="BW1246" s="198">
        <v>7.9499000000000004</v>
      </c>
      <c r="BX1246" s="198">
        <v>1.1372</v>
      </c>
      <c r="BZ1246" s="1051">
        <v>43417</v>
      </c>
      <c r="CB1246" s="198">
        <v>4.7154999999999996</v>
      </c>
      <c r="CD1246" s="198">
        <v>1.53582</v>
      </c>
      <c r="CF1246" s="1051">
        <v>43416</v>
      </c>
      <c r="CG1246" s="198">
        <v>6.0986000000000002</v>
      </c>
      <c r="CH1246" s="198">
        <v>1.0742</v>
      </c>
      <c r="CI1246" s="198">
        <v>9.3183000000000007</v>
      </c>
      <c r="CL1246" s="1051">
        <v>43440</v>
      </c>
      <c r="CM1246" s="198">
        <v>20.092300000000002</v>
      </c>
      <c r="CN1246" s="198">
        <v>2.7259000000000002</v>
      </c>
      <c r="CO1246" s="198">
        <v>12.1175</v>
      </c>
    </row>
    <row r="1247" spans="1:93" s="198" customFormat="1">
      <c r="A1247" s="1051">
        <v>43416</v>
      </c>
      <c r="B1247" s="1052">
        <f t="shared" si="204"/>
        <v>9.7045999999999992</v>
      </c>
      <c r="C1247" s="1052">
        <f t="shared" si="205"/>
        <v>6.7594000000000003</v>
      </c>
      <c r="D1247" s="1052">
        <f t="shared" si="200"/>
        <v>6.7714999999999996</v>
      </c>
      <c r="E1247" s="1052">
        <f t="shared" si="201"/>
        <v>6.7096999999999998</v>
      </c>
      <c r="F1247" s="1052">
        <f t="shared" si="202"/>
        <v>14.666700000000001</v>
      </c>
      <c r="G1247" s="1052">
        <f t="shared" si="203"/>
        <v>7.8669000000000002</v>
      </c>
      <c r="H1247" s="1047">
        <f t="shared" si="197"/>
        <v>6.7714999999999996</v>
      </c>
      <c r="I1247" s="1048">
        <f t="shared" si="196"/>
        <v>0.43315365871668021</v>
      </c>
      <c r="J1247" s="1048">
        <f t="shared" si="198"/>
        <v>0.12093838824177333</v>
      </c>
      <c r="K1247" s="1048">
        <f t="shared" si="199"/>
        <v>0.1</v>
      </c>
      <c r="L1247" s="1048"/>
      <c r="N1247" s="1051">
        <v>43416</v>
      </c>
      <c r="O1247" s="1053">
        <v>9.7045999999999992</v>
      </c>
      <c r="P1247" s="1053">
        <v>1.3462000000000001</v>
      </c>
      <c r="Q1247" s="1053">
        <v>12.126099999999999</v>
      </c>
      <c r="R1247" s="1054">
        <f>'B. PE'!$U$23</f>
        <v>15.978235616082999</v>
      </c>
      <c r="S1247" s="1054"/>
      <c r="T1247" s="1054"/>
      <c r="V1247" s="1051">
        <v>43416</v>
      </c>
      <c r="W1247" s="198">
        <v>6.7594000000000003</v>
      </c>
      <c r="X1247" s="198">
        <v>0.50219999999999998</v>
      </c>
      <c r="Z1247" s="198">
        <v>0.30348000000000003</v>
      </c>
      <c r="AD1247" s="1051"/>
      <c r="BT1247" s="1051">
        <v>43416</v>
      </c>
      <c r="BU1247" s="198">
        <v>12.754200000000001</v>
      </c>
      <c r="BV1247" s="198">
        <v>4.3536000000000001</v>
      </c>
      <c r="BW1247" s="198">
        <v>8.1062999999999992</v>
      </c>
      <c r="BX1247" s="198">
        <v>1.1802999999999999</v>
      </c>
      <c r="BZ1247" s="1051">
        <v>43416</v>
      </c>
      <c r="CB1247" s="198">
        <v>4.742</v>
      </c>
      <c r="CD1247" s="198">
        <v>1.5686100000000001</v>
      </c>
      <c r="CF1247" s="1051">
        <v>43413</v>
      </c>
      <c r="CG1247" s="198">
        <v>6.0530999999999997</v>
      </c>
      <c r="CH1247" s="198">
        <v>1.0661</v>
      </c>
      <c r="CI1247" s="198">
        <v>9.2920999999999996</v>
      </c>
      <c r="CL1247" s="1051">
        <v>43439</v>
      </c>
      <c r="CM1247" s="198">
        <v>20.737500000000001</v>
      </c>
      <c r="CN1247" s="198">
        <v>2.8134999999999999</v>
      </c>
      <c r="CO1247" s="198">
        <v>12.5299</v>
      </c>
    </row>
    <row r="1248" spans="1:93" s="198" customFormat="1">
      <c r="A1248" s="1051">
        <v>43413</v>
      </c>
      <c r="B1248" s="1052">
        <f t="shared" si="204"/>
        <v>9.5048999999999992</v>
      </c>
      <c r="C1248" s="1052">
        <f t="shared" si="205"/>
        <v>6.6957000000000004</v>
      </c>
      <c r="D1248" s="1052">
        <f t="shared" si="200"/>
        <v>6.3906000000000001</v>
      </c>
      <c r="E1248" s="1052">
        <f t="shared" si="201"/>
        <v>6.7096999999999998</v>
      </c>
      <c r="F1248" s="1052">
        <f t="shared" si="202"/>
        <v>15</v>
      </c>
      <c r="G1248" s="1052">
        <f t="shared" si="203"/>
        <v>7.9973000000000001</v>
      </c>
      <c r="H1248" s="1047">
        <f t="shared" si="197"/>
        <v>6.7096999999999998</v>
      </c>
      <c r="I1248" s="1048">
        <f t="shared" si="196"/>
        <v>0.41659090570368273</v>
      </c>
      <c r="J1248" s="1048">
        <f t="shared" si="198"/>
        <v>0.12093838824177333</v>
      </c>
      <c r="K1248" s="1048">
        <f t="shared" si="199"/>
        <v>0.1</v>
      </c>
      <c r="L1248" s="1048"/>
      <c r="N1248" s="1051">
        <v>43413</v>
      </c>
      <c r="O1248" s="1053">
        <v>9.5048999999999992</v>
      </c>
      <c r="P1248" s="1053">
        <v>1.3185</v>
      </c>
      <c r="Q1248" s="1053">
        <v>11.9716</v>
      </c>
      <c r="R1248" s="1054">
        <f>'B. PE'!$U$23</f>
        <v>15.978235616082999</v>
      </c>
      <c r="S1248" s="1054"/>
      <c r="T1248" s="1054"/>
      <c r="V1248" s="1051">
        <v>43413</v>
      </c>
      <c r="W1248" s="198">
        <v>6.6957000000000004</v>
      </c>
      <c r="X1248" s="198">
        <v>0.4975</v>
      </c>
      <c r="Z1248" s="198">
        <v>0.30629000000000001</v>
      </c>
      <c r="AD1248" s="1051"/>
      <c r="BT1248" s="1051">
        <v>43413</v>
      </c>
      <c r="BU1248" s="198">
        <v>12.2904</v>
      </c>
      <c r="BV1248" s="198">
        <v>4.1952999999999996</v>
      </c>
      <c r="BW1248" s="198">
        <v>7.8342000000000001</v>
      </c>
      <c r="BX1248" s="198">
        <v>1.2015</v>
      </c>
      <c r="BZ1248" s="1051">
        <v>43413</v>
      </c>
      <c r="CB1248" s="198">
        <v>4.7154999999999996</v>
      </c>
      <c r="CD1248" s="198">
        <v>1.53792</v>
      </c>
      <c r="CF1248" s="1051">
        <v>43412</v>
      </c>
      <c r="CI1248" s="198">
        <v>9.5016999999999996</v>
      </c>
      <c r="CL1248" s="1051">
        <v>43438</v>
      </c>
      <c r="CM1248" s="198">
        <v>20.906500000000001</v>
      </c>
      <c r="CN1248" s="198">
        <v>2.8363999999999998</v>
      </c>
      <c r="CO1248" s="198">
        <v>12.6379</v>
      </c>
    </row>
    <row r="1249" spans="1:93" s="198" customFormat="1">
      <c r="A1249" s="1051">
        <v>43412</v>
      </c>
      <c r="B1249" s="1052">
        <f t="shared" si="204"/>
        <v>9.5048999999999992</v>
      </c>
      <c r="C1249" s="1052">
        <f t="shared" si="205"/>
        <v>6.6877000000000004</v>
      </c>
      <c r="D1249" s="1052">
        <f t="shared" si="200"/>
        <v>6.1790000000000003</v>
      </c>
      <c r="E1249" s="1052">
        <f t="shared" si="201"/>
        <v>6.3548</v>
      </c>
      <c r="F1249" s="1052">
        <f t="shared" si="202"/>
        <v>15</v>
      </c>
      <c r="G1249" s="1052">
        <f t="shared" si="203"/>
        <v>8.0408000000000008</v>
      </c>
      <c r="H1249" s="1047">
        <f t="shared" si="197"/>
        <v>6.6877000000000004</v>
      </c>
      <c r="I1249" s="1048">
        <f t="shared" si="196"/>
        <v>0.42125095324251971</v>
      </c>
      <c r="J1249" s="1048">
        <f t="shared" si="198"/>
        <v>0.12093838824177333</v>
      </c>
      <c r="K1249" s="1048">
        <f t="shared" si="199"/>
        <v>0.1</v>
      </c>
      <c r="L1249" s="1048"/>
      <c r="N1249" s="1051">
        <v>43412</v>
      </c>
      <c r="O1249" s="1053">
        <v>9.5048999999999992</v>
      </c>
      <c r="P1249" s="1053">
        <v>1.3185</v>
      </c>
      <c r="Q1249" s="1053">
        <v>11.9716</v>
      </c>
      <c r="R1249" s="1054">
        <f>'B. PE'!$U$23</f>
        <v>15.978235616082999</v>
      </c>
      <c r="S1249" s="1054"/>
      <c r="T1249" s="1054"/>
      <c r="V1249" s="1051">
        <v>43412</v>
      </c>
      <c r="W1249" s="198">
        <v>6.6877000000000004</v>
      </c>
      <c r="X1249" s="198">
        <v>0.49690000000000001</v>
      </c>
      <c r="Z1249" s="198">
        <v>0.30514000000000002</v>
      </c>
      <c r="AD1249" s="1051"/>
      <c r="BT1249" s="1051">
        <v>43412</v>
      </c>
      <c r="BU1249" s="198">
        <v>12.754200000000001</v>
      </c>
      <c r="BV1249" s="198">
        <v>4.3536000000000001</v>
      </c>
      <c r="BW1249" s="198">
        <v>8.1062999999999992</v>
      </c>
      <c r="BX1249" s="198">
        <v>1.1948000000000001</v>
      </c>
      <c r="BZ1249" s="1051">
        <v>43412</v>
      </c>
      <c r="CB1249" s="198">
        <v>4.8151000000000002</v>
      </c>
      <c r="CD1249" s="198">
        <v>1.5505599999999999</v>
      </c>
      <c r="CF1249" s="1051">
        <v>43411</v>
      </c>
      <c r="CI1249" s="198">
        <v>9.5016999999999996</v>
      </c>
      <c r="CL1249" s="1051">
        <v>43437</v>
      </c>
      <c r="CM1249" s="198">
        <v>20.7529</v>
      </c>
      <c r="CN1249" s="198">
        <v>2.8155000000000001</v>
      </c>
      <c r="CO1249" s="198">
        <v>12.5397</v>
      </c>
    </row>
    <row r="1250" spans="1:93" s="198" customFormat="1">
      <c r="A1250" s="1051">
        <v>43411</v>
      </c>
      <c r="B1250" s="1052">
        <f t="shared" si="204"/>
        <v>9.4250000000000007</v>
      </c>
      <c r="C1250" s="1052">
        <f t="shared" si="205"/>
        <v>6.7514000000000003</v>
      </c>
      <c r="D1250" s="1052">
        <f t="shared" si="200"/>
        <v>5.9673999999999996</v>
      </c>
      <c r="E1250" s="1052">
        <f t="shared" si="201"/>
        <v>6.1935000000000002</v>
      </c>
      <c r="F1250" s="1052">
        <f t="shared" si="202"/>
        <v>15.4444</v>
      </c>
      <c r="G1250" s="1052">
        <f t="shared" si="203"/>
        <v>7.8235000000000001</v>
      </c>
      <c r="H1250" s="1047">
        <f t="shared" si="197"/>
        <v>6.7514000000000003</v>
      </c>
      <c r="I1250" s="1048">
        <f t="shared" si="196"/>
        <v>0.39600675415469389</v>
      </c>
      <c r="J1250" s="1048">
        <f t="shared" si="198"/>
        <v>0.12093838824177333</v>
      </c>
      <c r="K1250" s="1048">
        <f t="shared" si="199"/>
        <v>0.1</v>
      </c>
      <c r="L1250" s="1048"/>
      <c r="N1250" s="1051">
        <v>43411</v>
      </c>
      <c r="O1250" s="1053">
        <v>9.4250000000000007</v>
      </c>
      <c r="P1250" s="1053">
        <v>1.3073999999999999</v>
      </c>
      <c r="Q1250" s="1053">
        <v>11.909800000000001</v>
      </c>
      <c r="R1250" s="1054">
        <f>'B. PE'!$U$23</f>
        <v>15.978235616082999</v>
      </c>
      <c r="S1250" s="1054"/>
      <c r="T1250" s="1054"/>
      <c r="V1250" s="1051">
        <v>43411</v>
      </c>
      <c r="W1250" s="198">
        <v>6.7514000000000003</v>
      </c>
      <c r="X1250" s="198">
        <v>0.50160000000000005</v>
      </c>
      <c r="Z1250" s="198">
        <v>0.30834</v>
      </c>
      <c r="AD1250" s="1051"/>
      <c r="BT1250" s="1051">
        <v>43411</v>
      </c>
      <c r="BU1250" s="198">
        <v>12.9861</v>
      </c>
      <c r="BV1250" s="198">
        <v>4.4326999999999996</v>
      </c>
      <c r="BW1250" s="198">
        <v>8.2423999999999999</v>
      </c>
      <c r="BX1250" s="198">
        <v>1.1974</v>
      </c>
      <c r="BZ1250" s="1051">
        <v>43411</v>
      </c>
      <c r="CB1250" s="198">
        <v>4.7221000000000002</v>
      </c>
      <c r="CD1250" s="198">
        <v>1.5387900000000001</v>
      </c>
      <c r="CF1250" s="1051">
        <v>43410</v>
      </c>
      <c r="CI1250" s="198">
        <v>9.5016999999999996</v>
      </c>
      <c r="CL1250" s="1051">
        <v>43434</v>
      </c>
      <c r="CM1250" s="198">
        <v>20.7682</v>
      </c>
      <c r="CN1250" s="198">
        <v>2.8176000000000001</v>
      </c>
      <c r="CO1250" s="198">
        <v>12.5495</v>
      </c>
    </row>
    <row r="1251" spans="1:93" s="198" customFormat="1">
      <c r="A1251" s="1051">
        <v>43410</v>
      </c>
      <c r="B1251" s="1052">
        <f t="shared" si="204"/>
        <v>9.7045999999999992</v>
      </c>
      <c r="C1251" s="1052">
        <f t="shared" si="205"/>
        <v>6.7275</v>
      </c>
      <c r="D1251" s="1052">
        <f t="shared" si="200"/>
        <v>5.9673999999999996</v>
      </c>
      <c r="E1251" s="1052">
        <f t="shared" si="201"/>
        <v>6.1935000000000002</v>
      </c>
      <c r="F1251" s="1052">
        <f t="shared" si="202"/>
        <v>15.666700000000001</v>
      </c>
      <c r="G1251" s="1052">
        <f t="shared" si="203"/>
        <v>7.8235000000000001</v>
      </c>
      <c r="H1251" s="1047">
        <f t="shared" si="197"/>
        <v>6.7275</v>
      </c>
      <c r="I1251" s="1048">
        <f t="shared" si="196"/>
        <v>0.44252694165737627</v>
      </c>
      <c r="J1251" s="1048">
        <f t="shared" si="198"/>
        <v>0.12093838824177333</v>
      </c>
      <c r="K1251" s="1048">
        <f t="shared" si="199"/>
        <v>0.1</v>
      </c>
      <c r="L1251" s="1048"/>
      <c r="N1251" s="1051">
        <v>43410</v>
      </c>
      <c r="O1251" s="1053">
        <v>9.7045999999999992</v>
      </c>
      <c r="P1251" s="1053">
        <v>1.3462000000000001</v>
      </c>
      <c r="Q1251" s="1053">
        <v>12.126099999999999</v>
      </c>
      <c r="R1251" s="1054">
        <f>'B. PE'!$U$23</f>
        <v>15.978235616082999</v>
      </c>
      <c r="S1251" s="1054"/>
      <c r="T1251" s="1054"/>
      <c r="V1251" s="1051">
        <v>43410</v>
      </c>
      <c r="W1251" s="198">
        <v>6.7275</v>
      </c>
      <c r="X1251" s="198">
        <v>0.49990000000000001</v>
      </c>
      <c r="Z1251" s="198">
        <v>0.31286999999999998</v>
      </c>
      <c r="AD1251" s="1051"/>
      <c r="BT1251" s="1051">
        <v>43410</v>
      </c>
      <c r="BU1251" s="198">
        <v>12.916600000000001</v>
      </c>
      <c r="BV1251" s="198">
        <v>4.4089999999999998</v>
      </c>
      <c r="BW1251" s="198">
        <v>8.2015999999999991</v>
      </c>
      <c r="BX1251" s="198">
        <v>1.2058</v>
      </c>
      <c r="BZ1251" s="1051">
        <v>43410</v>
      </c>
      <c r="CB1251" s="198">
        <v>4.7618999999999998</v>
      </c>
      <c r="CD1251" s="198">
        <v>1.53437</v>
      </c>
      <c r="CF1251" s="1051">
        <v>43409</v>
      </c>
      <c r="CI1251" s="198">
        <v>9.5016999999999996</v>
      </c>
      <c r="CL1251" s="1051">
        <v>43433</v>
      </c>
      <c r="CM1251" s="198">
        <v>21.1983</v>
      </c>
      <c r="CN1251" s="198">
        <v>2.8759999999999999</v>
      </c>
      <c r="CO1251" s="198">
        <v>12.8245</v>
      </c>
    </row>
    <row r="1252" spans="1:93" s="198" customFormat="1">
      <c r="A1252" s="1051">
        <v>43409</v>
      </c>
      <c r="B1252" s="1052">
        <f t="shared" si="204"/>
        <v>9.6646000000000001</v>
      </c>
      <c r="C1252" s="1052">
        <f t="shared" si="205"/>
        <v>6.7831999999999999</v>
      </c>
      <c r="D1252" s="1052">
        <f t="shared" si="200"/>
        <v>6.0944000000000003</v>
      </c>
      <c r="E1252" s="1052">
        <f t="shared" si="201"/>
        <v>6.1935000000000002</v>
      </c>
      <c r="F1252" s="1052">
        <f t="shared" si="202"/>
        <v>15.8889</v>
      </c>
      <c r="G1252" s="1052">
        <f t="shared" si="203"/>
        <v>7.8235000000000001</v>
      </c>
      <c r="H1252" s="1047">
        <f t="shared" si="197"/>
        <v>6.7831999999999999</v>
      </c>
      <c r="I1252" s="1048">
        <f t="shared" si="196"/>
        <v>0.42478476235405127</v>
      </c>
      <c r="J1252" s="1048">
        <f t="shared" si="198"/>
        <v>0.12093838824177333</v>
      </c>
      <c r="K1252" s="1048">
        <f t="shared" si="199"/>
        <v>0.1</v>
      </c>
      <c r="L1252" s="1048"/>
      <c r="N1252" s="1051">
        <v>43409</v>
      </c>
      <c r="O1252" s="1053">
        <v>9.6646000000000001</v>
      </c>
      <c r="P1252" s="1053">
        <v>1.3406</v>
      </c>
      <c r="Q1252" s="1053">
        <v>12.0952</v>
      </c>
      <c r="R1252" s="1054">
        <f>'B. PE'!$U$23</f>
        <v>15.978235616082999</v>
      </c>
      <c r="S1252" s="1054"/>
      <c r="T1252" s="1054"/>
      <c r="V1252" s="1051">
        <v>43409</v>
      </c>
      <c r="W1252" s="198">
        <v>6.7831999999999999</v>
      </c>
      <c r="X1252" s="198">
        <v>0.504</v>
      </c>
      <c r="Z1252" s="198">
        <v>0.31374000000000002</v>
      </c>
      <c r="AD1252" s="1051"/>
      <c r="BT1252" s="1051">
        <v>43409</v>
      </c>
      <c r="BU1252" s="198">
        <v>12.916600000000001</v>
      </c>
      <c r="BV1252" s="198">
        <v>4.4089999999999998</v>
      </c>
      <c r="BW1252" s="198">
        <v>8.2015999999999991</v>
      </c>
      <c r="BX1252" s="198">
        <v>1.1835</v>
      </c>
      <c r="BZ1252" s="1051">
        <v>43409</v>
      </c>
      <c r="CB1252" s="198">
        <v>4.7154999999999996</v>
      </c>
      <c r="CD1252" s="198">
        <v>1.5894699999999999</v>
      </c>
      <c r="CF1252" s="1051">
        <v>43406</v>
      </c>
      <c r="CI1252" s="198">
        <v>9.5016999999999996</v>
      </c>
      <c r="CL1252" s="1051">
        <v>43432</v>
      </c>
      <c r="CM1252" s="198">
        <v>21.259799999999998</v>
      </c>
      <c r="CN1252" s="198">
        <v>2.8843000000000001</v>
      </c>
      <c r="CO1252" s="198">
        <v>12.8637</v>
      </c>
    </row>
    <row r="1253" spans="1:93" s="198" customFormat="1">
      <c r="A1253" s="1051">
        <v>43406</v>
      </c>
      <c r="B1253" s="1052">
        <f t="shared" si="204"/>
        <v>9.7843999999999998</v>
      </c>
      <c r="C1253" s="1052">
        <f t="shared" si="205"/>
        <v>6.9027000000000003</v>
      </c>
      <c r="D1253" s="1052">
        <f t="shared" si="200"/>
        <v>6.1367000000000003</v>
      </c>
      <c r="E1253" s="1052">
        <f t="shared" si="201"/>
        <v>6.1289999999999996</v>
      </c>
      <c r="F1253" s="1052">
        <f t="shared" si="202"/>
        <v>16.1111</v>
      </c>
      <c r="G1253" s="1052">
        <f t="shared" si="203"/>
        <v>7.8235000000000001</v>
      </c>
      <c r="H1253" s="1047">
        <f t="shared" si="197"/>
        <v>6.9027000000000003</v>
      </c>
      <c r="I1253" s="1048">
        <f t="shared" si="196"/>
        <v>0.41747432164225584</v>
      </c>
      <c r="J1253" s="1048">
        <f t="shared" si="198"/>
        <v>0.12093838824177333</v>
      </c>
      <c r="K1253" s="1048">
        <f t="shared" si="199"/>
        <v>0.1</v>
      </c>
      <c r="L1253" s="1048"/>
      <c r="N1253" s="1051">
        <v>43406</v>
      </c>
      <c r="O1253" s="1053">
        <v>9.7843999999999998</v>
      </c>
      <c r="P1253" s="1053">
        <v>1.3573</v>
      </c>
      <c r="Q1253" s="1053">
        <v>12.187900000000001</v>
      </c>
      <c r="R1253" s="1054">
        <f>'B. PE'!$U$23</f>
        <v>15.978235616082999</v>
      </c>
      <c r="S1253" s="1054"/>
      <c r="T1253" s="1054"/>
      <c r="V1253" s="1051">
        <v>43406</v>
      </c>
      <c r="W1253" s="198">
        <v>6.9027000000000003</v>
      </c>
      <c r="X1253" s="198">
        <v>0.51290000000000002</v>
      </c>
      <c r="Z1253" s="198">
        <v>0.32052000000000003</v>
      </c>
      <c r="AD1253" s="1051"/>
      <c r="BT1253" s="1051">
        <v>43406</v>
      </c>
      <c r="BU1253" s="198">
        <v>13.0441</v>
      </c>
      <c r="BV1253" s="198">
        <v>4.4524999999999997</v>
      </c>
      <c r="BW1253" s="198">
        <v>8.2764000000000006</v>
      </c>
      <c r="BX1253" s="198">
        <v>1.2079</v>
      </c>
      <c r="BZ1253" s="1051">
        <v>43406</v>
      </c>
      <c r="CB1253" s="198">
        <v>4.7154999999999996</v>
      </c>
      <c r="CD1253" s="198">
        <v>1.5697000000000001</v>
      </c>
      <c r="CF1253" s="1051">
        <v>43405</v>
      </c>
      <c r="CI1253" s="198">
        <v>9.5016999999999996</v>
      </c>
      <c r="CL1253" s="1051">
        <v>43431</v>
      </c>
      <c r="CM1253" s="198">
        <v>21.090800000000002</v>
      </c>
      <c r="CN1253" s="198">
        <v>2.8614000000000002</v>
      </c>
      <c r="CO1253" s="198">
        <v>12.755699999999999</v>
      </c>
    </row>
    <row r="1254" spans="1:93" s="198" customFormat="1">
      <c r="A1254" s="1051">
        <v>43405</v>
      </c>
      <c r="B1254" s="1052">
        <f t="shared" si="204"/>
        <v>9.4250000000000007</v>
      </c>
      <c r="C1254" s="1052">
        <f t="shared" si="205"/>
        <v>6.9265999999999996</v>
      </c>
      <c r="D1254" s="1052">
        <f t="shared" si="200"/>
        <v>6.0944000000000003</v>
      </c>
      <c r="E1254" s="1052">
        <f t="shared" si="201"/>
        <v>6.1289999999999996</v>
      </c>
      <c r="F1254" s="1052">
        <f t="shared" si="202"/>
        <v>16.1111</v>
      </c>
      <c r="G1254" s="1052">
        <f t="shared" si="203"/>
        <v>7.8235000000000001</v>
      </c>
      <c r="H1254" s="1047">
        <f t="shared" si="197"/>
        <v>6.9265999999999996</v>
      </c>
      <c r="I1254" s="1048">
        <f t="shared" si="196"/>
        <v>0.36069644558657954</v>
      </c>
      <c r="J1254" s="1048">
        <f t="shared" si="198"/>
        <v>0.12093838824177333</v>
      </c>
      <c r="K1254" s="1048">
        <f t="shared" si="199"/>
        <v>0.1</v>
      </c>
      <c r="L1254" s="1048"/>
      <c r="N1254" s="1051">
        <v>43405</v>
      </c>
      <c r="O1254" s="1053">
        <v>9.4250000000000007</v>
      </c>
      <c r="P1254" s="1053">
        <v>1.3073999999999999</v>
      </c>
      <c r="Q1254" s="1053">
        <v>11.909800000000001</v>
      </c>
      <c r="R1254" s="1054">
        <f>'B. PE'!$U$23</f>
        <v>15.978235616082999</v>
      </c>
      <c r="S1254" s="1054"/>
      <c r="T1254" s="1054"/>
      <c r="V1254" s="1051">
        <v>43405</v>
      </c>
      <c r="W1254" s="198">
        <v>6.9265999999999996</v>
      </c>
      <c r="X1254" s="198">
        <v>0.51459999999999995</v>
      </c>
      <c r="Z1254" s="198">
        <v>0.30614000000000002</v>
      </c>
      <c r="AD1254" s="1051"/>
      <c r="BT1254" s="1051">
        <v>43405</v>
      </c>
      <c r="BU1254" s="198">
        <v>12.812200000000001</v>
      </c>
      <c r="BV1254" s="198">
        <v>4.3734000000000002</v>
      </c>
      <c r="BW1254" s="198">
        <v>8.1403999999999996</v>
      </c>
      <c r="BX1254" s="198">
        <v>1.147</v>
      </c>
      <c r="BZ1254" s="1051">
        <v>43405</v>
      </c>
      <c r="CB1254" s="198">
        <v>4.8880999999999997</v>
      </c>
      <c r="CD1254" s="198">
        <v>1.46841</v>
      </c>
      <c r="CL1254" s="1051">
        <v>43430</v>
      </c>
      <c r="CM1254" s="198">
        <v>20.7682</v>
      </c>
      <c r="CN1254" s="198">
        <v>2.8176000000000001</v>
      </c>
      <c r="CO1254" s="198">
        <v>12.5495</v>
      </c>
    </row>
    <row r="1255" spans="1:93" s="198" customFormat="1">
      <c r="A1255" s="1051">
        <v>43402</v>
      </c>
      <c r="B1255" s="1052">
        <f t="shared" si="204"/>
        <v>9.3850999999999996</v>
      </c>
      <c r="C1255" s="1052">
        <f t="shared" si="205"/>
        <v>6.7672999999999996</v>
      </c>
      <c r="D1255" s="1052">
        <f t="shared" si="200"/>
        <v>5.9673999999999996</v>
      </c>
      <c r="E1255" s="1052">
        <f t="shared" si="201"/>
        <v>6.1289999999999996</v>
      </c>
      <c r="F1255" s="1052">
        <f t="shared" si="202"/>
        <v>16.1111</v>
      </c>
      <c r="G1255" s="1052">
        <f t="shared" si="203"/>
        <v>7.7366000000000001</v>
      </c>
      <c r="H1255" s="1047">
        <f t="shared" si="197"/>
        <v>6.7672999999999996</v>
      </c>
      <c r="I1255" s="1048">
        <f t="shared" si="196"/>
        <v>0.38683078923647551</v>
      </c>
      <c r="J1255" s="1048">
        <f t="shared" si="198"/>
        <v>0.12093838824177333</v>
      </c>
      <c r="K1255" s="1048">
        <f t="shared" si="199"/>
        <v>0.1</v>
      </c>
      <c r="L1255" s="1048"/>
      <c r="N1255" s="1051">
        <v>43402</v>
      </c>
      <c r="O1255" s="1053">
        <v>9.3850999999999996</v>
      </c>
      <c r="P1255" s="1053">
        <v>1.3018700000000001</v>
      </c>
      <c r="Q1255" s="1053">
        <v>11.8789</v>
      </c>
      <c r="R1255" s="1054">
        <f>'B. PE'!$U$23</f>
        <v>15.978235616082999</v>
      </c>
      <c r="S1255" s="1054"/>
      <c r="T1255" s="1054"/>
      <c r="V1255" s="1051">
        <v>43402</v>
      </c>
      <c r="W1255" s="198">
        <v>6.7672999999999996</v>
      </c>
      <c r="X1255" s="198">
        <v>0.50282000000000004</v>
      </c>
      <c r="Z1255" s="198">
        <v>0.30641000000000002</v>
      </c>
      <c r="AD1255" s="1051"/>
      <c r="BT1255" s="1051">
        <v>43402</v>
      </c>
      <c r="BU1255" s="198">
        <v>12.139699999999999</v>
      </c>
      <c r="BV1255" s="198">
        <v>4.1437999999999997</v>
      </c>
      <c r="BW1255" s="198">
        <v>7.7457000000000003</v>
      </c>
      <c r="BX1255" s="198">
        <v>1.121</v>
      </c>
      <c r="BZ1255" s="1051">
        <v>43402</v>
      </c>
      <c r="CB1255" s="198">
        <v>4.6689600000000002</v>
      </c>
      <c r="CD1255" s="198">
        <v>1.51762</v>
      </c>
      <c r="CL1255" s="1051">
        <v>43427</v>
      </c>
      <c r="CM1255" s="198">
        <v>20.1999</v>
      </c>
      <c r="CN1255" s="198">
        <v>2.7404999999999999</v>
      </c>
      <c r="CO1255" s="198">
        <v>12.186199999999999</v>
      </c>
    </row>
    <row r="1256" spans="1:93">
      <c r="N1256" s="1425"/>
      <c r="V1256" s="1425"/>
      <c r="AD1256" s="1425"/>
      <c r="CL1256" s="1425">
        <v>43426</v>
      </c>
      <c r="CM1256" s="1">
        <v>20.138400000000001</v>
      </c>
      <c r="CN1256" s="1">
        <v>2.7322000000000002</v>
      </c>
      <c r="CO1256" s="1">
        <v>12.1469</v>
      </c>
    </row>
    <row r="1257" spans="1:93">
      <c r="N1257" s="1425"/>
      <c r="CL1257" s="1425">
        <v>43425</v>
      </c>
      <c r="CM1257" s="1">
        <v>19.9848</v>
      </c>
      <c r="CN1257" s="1">
        <v>2.7113</v>
      </c>
      <c r="CO1257" s="1">
        <v>12.0487</v>
      </c>
    </row>
    <row r="1258" spans="1:93">
      <c r="N1258" s="1425"/>
      <c r="CL1258" s="1425">
        <v>43424</v>
      </c>
      <c r="CM1258" s="1">
        <v>19.9541</v>
      </c>
      <c r="CN1258" s="1">
        <v>2.7071999999999998</v>
      </c>
      <c r="CO1258" s="1">
        <v>12.0291</v>
      </c>
    </row>
    <row r="1259" spans="1:93">
      <c r="N1259" s="1425"/>
      <c r="CL1259" s="1425">
        <v>43423</v>
      </c>
      <c r="CM1259" s="1">
        <v>20.1999</v>
      </c>
      <c r="CN1259" s="1">
        <v>2.7404999999999999</v>
      </c>
      <c r="CO1259" s="1">
        <v>12.186199999999999</v>
      </c>
    </row>
    <row r="1260" spans="1:93">
      <c r="N1260" s="1425"/>
      <c r="CL1260" s="1425">
        <v>43420</v>
      </c>
      <c r="CM1260" s="1">
        <v>20.460999999999999</v>
      </c>
      <c r="CN1260" s="1">
        <v>2.7759</v>
      </c>
      <c r="CO1260" s="1">
        <v>12.3531</v>
      </c>
    </row>
    <row r="1261" spans="1:93">
      <c r="N1261" s="1425"/>
      <c r="CL1261" s="1425">
        <v>43419</v>
      </c>
      <c r="CM1261" s="1">
        <v>20.230599999999999</v>
      </c>
      <c r="CN1261" s="1">
        <v>2.7446999999999999</v>
      </c>
      <c r="CO1261" s="1">
        <v>12.2059</v>
      </c>
    </row>
    <row r="1262" spans="1:93">
      <c r="N1262" s="1425"/>
      <c r="CL1262" s="1425">
        <v>43418</v>
      </c>
      <c r="CM1262" s="1">
        <v>20.292000000000002</v>
      </c>
      <c r="CN1262" s="1">
        <v>2.7530000000000001</v>
      </c>
      <c r="CO1262" s="1">
        <v>12.245100000000001</v>
      </c>
    </row>
    <row r="1263" spans="1:93">
      <c r="N1263" s="1425"/>
      <c r="CL1263" s="1425">
        <v>43417</v>
      </c>
      <c r="CM1263" s="1">
        <v>20.3535</v>
      </c>
      <c r="CN1263" s="1">
        <v>2.7614000000000001</v>
      </c>
      <c r="CO1263" s="1">
        <v>12.2844</v>
      </c>
    </row>
    <row r="1264" spans="1:93">
      <c r="N1264" s="1425"/>
      <c r="CL1264" s="1425">
        <v>43416</v>
      </c>
      <c r="CM1264" s="1">
        <v>20.1999</v>
      </c>
      <c r="CN1264" s="1">
        <v>2.7404999999999999</v>
      </c>
      <c r="CO1264" s="1">
        <v>12.186199999999999</v>
      </c>
    </row>
    <row r="1265" spans="14:93">
      <c r="N1265" s="1425"/>
      <c r="CL1265" s="1425">
        <v>43413</v>
      </c>
      <c r="CM1265" s="1">
        <v>20.245899999999999</v>
      </c>
      <c r="CN1265" s="1">
        <v>2.7467999999999999</v>
      </c>
      <c r="CO1265" s="1">
        <v>12.2157</v>
      </c>
    </row>
    <row r="1266" spans="14:93">
      <c r="N1266" s="1425"/>
      <c r="CL1266" s="1425">
        <v>43412</v>
      </c>
      <c r="CM1266" s="1">
        <v>20.5839</v>
      </c>
      <c r="CN1266" s="1">
        <v>2.7926000000000002</v>
      </c>
      <c r="CO1266" s="1">
        <v>12.431699999999999</v>
      </c>
    </row>
    <row r="1267" spans="14:93">
      <c r="N1267" s="1425"/>
      <c r="CL1267" s="1425">
        <v>43411</v>
      </c>
      <c r="CM1267" s="1">
        <v>20.660699999999999</v>
      </c>
      <c r="CN1267" s="1">
        <v>2.8029999999999999</v>
      </c>
      <c r="CO1267" s="1">
        <v>12.4808</v>
      </c>
    </row>
    <row r="1268" spans="14:93">
      <c r="N1268" s="1425"/>
      <c r="CL1268" s="1425">
        <v>43410</v>
      </c>
      <c r="CM1268" s="1">
        <v>20.507100000000001</v>
      </c>
      <c r="CN1268" s="1">
        <v>2.7822</v>
      </c>
      <c r="CO1268" s="1">
        <v>12.3826</v>
      </c>
    </row>
    <row r="1269" spans="14:93">
      <c r="N1269" s="1425"/>
      <c r="CL1269" s="1425">
        <v>43409</v>
      </c>
      <c r="CM1269" s="1">
        <v>20.691400000000002</v>
      </c>
      <c r="CN1269" s="1">
        <v>2.8071999999999999</v>
      </c>
      <c r="CO1269" s="1">
        <v>12.500400000000001</v>
      </c>
    </row>
    <row r="1270" spans="14:93">
      <c r="N1270" s="1425"/>
      <c r="CL1270" s="1425">
        <v>43406</v>
      </c>
      <c r="CM1270" s="1">
        <v>20.906500000000001</v>
      </c>
      <c r="CN1270" s="1">
        <v>2.8363999999999998</v>
      </c>
      <c r="CO1270" s="1">
        <v>12.6379</v>
      </c>
    </row>
    <row r="1271" spans="14:93">
      <c r="N1271" s="1425"/>
      <c r="CL1271" s="1425">
        <v>43405</v>
      </c>
      <c r="CM1271" s="1">
        <v>20.722100000000001</v>
      </c>
      <c r="CN1271" s="1">
        <v>2.8113999999999999</v>
      </c>
      <c r="CO1271" s="1">
        <v>12.520099999999999</v>
      </c>
    </row>
    <row r="1272" spans="14:93">
      <c r="N1272" s="1425"/>
    </row>
    <row r="1273" spans="14:93">
      <c r="N1273" s="1425"/>
    </row>
    <row r="1274" spans="14:93">
      <c r="N1274" s="1425"/>
    </row>
    <row r="1275" spans="14:93">
      <c r="N1275" s="1425"/>
    </row>
    <row r="1276" spans="14:9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2101-5C52-4FE2-841A-59EF502816C3}">
  <dimension ref="A1:C31"/>
  <sheetViews>
    <sheetView workbookViewId="0"/>
  </sheetViews>
  <sheetFormatPr defaultRowHeight="15"/>
  <cols>
    <col min="1" max="3" width="36.85546875" customWidth="1"/>
  </cols>
  <sheetData>
    <row r="1" spans="1:3">
      <c r="A1" s="572" t="s">
        <v>349</v>
      </c>
    </row>
    <row r="3" spans="1:3">
      <c r="A3" t="s">
        <v>350</v>
      </c>
      <c r="B3" t="s">
        <v>351</v>
      </c>
      <c r="C3">
        <v>0</v>
      </c>
    </row>
    <row r="4" spans="1:3">
      <c r="A4" t="s">
        <v>352</v>
      </c>
    </row>
    <row r="5" spans="1:3">
      <c r="A5" t="s">
        <v>353</v>
      </c>
    </row>
    <row r="7" spans="1:3">
      <c r="A7" s="572" t="s">
        <v>354</v>
      </c>
      <c r="B7" t="s">
        <v>355</v>
      </c>
    </row>
    <row r="8" spans="1:3">
      <c r="B8">
        <v>3</v>
      </c>
    </row>
    <row r="10" spans="1:3">
      <c r="A10" t="s">
        <v>356</v>
      </c>
    </row>
    <row r="11" spans="1:3">
      <c r="A11" t="e">
        <f>CB_DATA_!#REF!</f>
        <v>#REF!</v>
      </c>
      <c r="B11" t="e">
        <f>'D. Sensivity &amp; Scenario'!#REF!</f>
        <v>#REF!</v>
      </c>
      <c r="C11" t="e">
        <f>'A. FCFF'!#REF!</f>
        <v>#REF!</v>
      </c>
    </row>
    <row r="13" spans="1:3">
      <c r="A13" t="s">
        <v>357</v>
      </c>
    </row>
    <row r="14" spans="1:3">
      <c r="A14" t="s">
        <v>358</v>
      </c>
      <c r="B14" s="1024" t="s">
        <v>359</v>
      </c>
      <c r="C14" t="s">
        <v>360</v>
      </c>
    </row>
    <row r="16" spans="1:3">
      <c r="A16" t="s">
        <v>361</v>
      </c>
    </row>
    <row r="19" spans="1:3">
      <c r="A19" t="s">
        <v>362</v>
      </c>
    </row>
    <row r="20" spans="1:3">
      <c r="A20">
        <v>31</v>
      </c>
      <c r="B20">
        <v>31</v>
      </c>
      <c r="C20">
        <v>31</v>
      </c>
    </row>
    <row r="25" spans="1:3">
      <c r="A25" s="572" t="s">
        <v>363</v>
      </c>
    </row>
    <row r="26" spans="1:3">
      <c r="A26" s="1023" t="s">
        <v>364</v>
      </c>
      <c r="B26" s="1023" t="s">
        <v>365</v>
      </c>
      <c r="C26" s="1023" t="s">
        <v>365</v>
      </c>
    </row>
    <row r="27" spans="1:3">
      <c r="A27" t="s">
        <v>366</v>
      </c>
      <c r="B27" t="s">
        <v>367</v>
      </c>
      <c r="C27" t="s">
        <v>368</v>
      </c>
    </row>
    <row r="28" spans="1:3">
      <c r="A28" s="1023" t="s">
        <v>369</v>
      </c>
      <c r="B28" s="1023" t="s">
        <v>369</v>
      </c>
      <c r="C28" s="1023" t="s">
        <v>369</v>
      </c>
    </row>
    <row r="29" spans="1:3">
      <c r="A29" s="1023" t="s">
        <v>365</v>
      </c>
      <c r="B29" s="1023" t="s">
        <v>364</v>
      </c>
      <c r="C29" s="1023" t="s">
        <v>364</v>
      </c>
    </row>
    <row r="30" spans="1:3">
      <c r="A30" t="s">
        <v>370</v>
      </c>
      <c r="B30" t="s">
        <v>371</v>
      </c>
      <c r="C30" t="s">
        <v>372</v>
      </c>
    </row>
    <row r="31" spans="1:3">
      <c r="A31" s="1023" t="s">
        <v>369</v>
      </c>
      <c r="B31" s="1023" t="s">
        <v>369</v>
      </c>
      <c r="C31" s="1023" t="s">
        <v>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F32F6-FC8B-4211-9120-5EB2679A5469}">
  <sheetPr>
    <tabColor theme="5" tint="0.39997558519241921"/>
  </sheetPr>
  <dimension ref="A2:W154"/>
  <sheetViews>
    <sheetView zoomScale="97" zoomScaleNormal="62" workbookViewId="0">
      <selection activeCell="A2" sqref="A2"/>
    </sheetView>
  </sheetViews>
  <sheetFormatPr defaultColWidth="8.85546875" defaultRowHeight="15"/>
  <cols>
    <col min="1" max="1" width="8.85546875" style="1"/>
    <col min="2" max="2" width="13.85546875" style="1" customWidth="1"/>
    <col min="3" max="3" width="13.42578125" style="1" customWidth="1"/>
    <col min="4" max="8" width="14.85546875" style="1" customWidth="1"/>
    <col min="9" max="9" width="18.85546875" style="1" bestFit="1" customWidth="1"/>
    <col min="10" max="14" width="14.42578125" style="1" customWidth="1"/>
    <col min="15" max="15" width="8.85546875" style="1"/>
    <col min="16" max="16" width="24.140625" style="1" customWidth="1"/>
    <col min="17" max="17" width="6" style="1" customWidth="1"/>
    <col min="18" max="23" width="5.85546875" style="1" customWidth="1"/>
    <col min="24" max="16384" width="8.85546875" style="1"/>
  </cols>
  <sheetData>
    <row r="2" spans="1:21">
      <c r="A2" s="2">
        <v>1</v>
      </c>
      <c r="B2" s="1020" t="s">
        <v>373</v>
      </c>
    </row>
    <row r="3" spans="1:21">
      <c r="K3" s="1560" t="s">
        <v>374</v>
      </c>
      <c r="L3" s="1560"/>
      <c r="M3" s="1560"/>
    </row>
    <row r="4" spans="1:21">
      <c r="B4" s="2" t="s">
        <v>375</v>
      </c>
    </row>
    <row r="5" spans="1:21">
      <c r="B5" s="2"/>
    </row>
    <row r="6" spans="1:21" ht="12.75" customHeight="1">
      <c r="B6" s="1505"/>
      <c r="C6" s="1505"/>
      <c r="D6" s="1505"/>
      <c r="E6" s="1505"/>
      <c r="F6" s="1505" t="s">
        <v>17</v>
      </c>
      <c r="G6" s="1505"/>
      <c r="H6" s="1505"/>
      <c r="K6" s="1020" t="s">
        <v>376</v>
      </c>
      <c r="L6" s="1021" t="s">
        <v>377</v>
      </c>
      <c r="M6" s="1021" t="s">
        <v>9</v>
      </c>
      <c r="Q6" s="5"/>
      <c r="R6" s="5"/>
      <c r="S6" s="5"/>
      <c r="T6" s="5"/>
      <c r="U6" s="5"/>
    </row>
    <row r="7" spans="1:21" ht="12.75" customHeight="1">
      <c r="B7" s="1566" t="s">
        <v>378</v>
      </c>
      <c r="C7" s="1506">
        <f>'A. FCFF'!K33</f>
        <v>57.985153306869343</v>
      </c>
      <c r="D7" s="642">
        <v>0.11243495341136214</v>
      </c>
      <c r="E7" s="642">
        <v>0.11743495341136215</v>
      </c>
      <c r="F7" s="573">
        <v>0.12243495341136215</v>
      </c>
      <c r="G7" s="642">
        <v>0.12743495341136216</v>
      </c>
      <c r="H7" s="642">
        <v>0.13243495341136216</v>
      </c>
      <c r="K7" s="1" t="s">
        <v>379</v>
      </c>
      <c r="L7" s="1">
        <f>'A. FCFF'!K34</f>
        <v>51.5</v>
      </c>
      <c r="Q7" s="5"/>
      <c r="R7" s="5"/>
      <c r="S7" s="5"/>
      <c r="T7" s="5"/>
      <c r="U7" s="5"/>
    </row>
    <row r="8" spans="1:21" ht="12.75" customHeight="1">
      <c r="B8" s="1566"/>
      <c r="C8" s="618">
        <v>0.01</v>
      </c>
      <c r="D8" s="629">
        <f t="dataTable" ref="D8:H12" dt2D="1" dtr="1" r1="D31" r2="D32"/>
        <v>58.715940916401308</v>
      </c>
      <c r="E8" s="629">
        <v>55.362196845291123</v>
      </c>
      <c r="F8" s="629">
        <v>52.319852260897484</v>
      </c>
      <c r="G8" s="629">
        <v>49.548703658957791</v>
      </c>
      <c r="H8" s="629">
        <v>47.015131783161415</v>
      </c>
      <c r="K8" s="1" t="s">
        <v>380</v>
      </c>
      <c r="L8" s="16">
        <f>L7*1.15</f>
        <v>59.224999999999994</v>
      </c>
      <c r="M8" s="18">
        <f>COUNTIF(D8:H12,"&gt;"&amp;L8)/COUNT(D8:H12)</f>
        <v>0.4</v>
      </c>
    </row>
    <row r="9" spans="1:21" ht="12.75" customHeight="1" thickBot="1">
      <c r="B9" s="1566"/>
      <c r="C9" s="618">
        <v>0.02</v>
      </c>
      <c r="D9" s="629">
        <v>62.093452228707932</v>
      </c>
      <c r="E9" s="629">
        <v>58.293125812223067</v>
      </c>
      <c r="F9" s="629">
        <v>54.875971148084155</v>
      </c>
      <c r="G9" s="629">
        <v>51.788106360196522</v>
      </c>
      <c r="H9" s="629">
        <v>48.985248850160389</v>
      </c>
      <c r="K9" s="1" t="s">
        <v>381</v>
      </c>
      <c r="L9" s="16">
        <f>L7*0.85</f>
        <v>43.774999999999999</v>
      </c>
      <c r="M9" s="18">
        <f>COUNTIF(D8:H12,"&lt;"&amp;L9)/COUNT(D8:H12)</f>
        <v>0</v>
      </c>
    </row>
    <row r="10" spans="1:21" ht="12.75" customHeight="1" thickBot="1">
      <c r="B10" s="1566"/>
      <c r="C10" s="796">
        <v>0.03</v>
      </c>
      <c r="D10" s="629">
        <v>66.290400241719013</v>
      </c>
      <c r="E10" s="629">
        <v>61.894479787136099</v>
      </c>
      <c r="F10" s="1507">
        <v>57.985153306869201</v>
      </c>
      <c r="G10" s="629">
        <v>54.4871803852946</v>
      </c>
      <c r="H10" s="629">
        <v>51.3400231071885</v>
      </c>
      <c r="K10" s="1266" t="s">
        <v>382</v>
      </c>
      <c r="L10" s="1266"/>
      <c r="M10" s="1344">
        <f>1-SUM(M8:M9)</f>
        <v>0.6</v>
      </c>
    </row>
    <row r="11" spans="1:21" ht="12.75" customHeight="1">
      <c r="B11" s="1566"/>
      <c r="C11" s="618">
        <v>0.04</v>
      </c>
      <c r="D11" s="629">
        <v>71.646166702276091</v>
      </c>
      <c r="E11" s="629">
        <v>66.42599612833385</v>
      </c>
      <c r="F11" s="629">
        <v>61.848671346277563</v>
      </c>
      <c r="G11" s="629">
        <v>57.803644577549171</v>
      </c>
      <c r="H11" s="629">
        <v>54.204296026816394</v>
      </c>
      <c r="K11" s="1" t="s">
        <v>383</v>
      </c>
    </row>
    <row r="12" spans="1:21" ht="12.75" customHeight="1">
      <c r="B12" s="1567"/>
      <c r="C12" s="1508">
        <v>0.05</v>
      </c>
      <c r="D12" s="1509">
        <v>78.717563965108241</v>
      </c>
      <c r="E12" s="1509">
        <v>72.301479095727657</v>
      </c>
      <c r="F12" s="1509">
        <v>66.778944552205388</v>
      </c>
      <c r="G12" s="1509">
        <v>61.976689434258034</v>
      </c>
      <c r="H12" s="1509">
        <v>57.763486041947381</v>
      </c>
    </row>
    <row r="13" spans="1:21" ht="12.75" customHeight="1"/>
    <row r="14" spans="1:21" ht="12.75" customHeight="1">
      <c r="B14" s="2" t="s">
        <v>384</v>
      </c>
    </row>
    <row r="15" spans="1:21" ht="12.75" customHeight="1">
      <c r="B15" s="2"/>
    </row>
    <row r="16" spans="1:21" ht="12.75" customHeight="1">
      <c r="B16" s="1510"/>
      <c r="C16" s="1510"/>
      <c r="D16" s="1510"/>
      <c r="E16" s="1510"/>
      <c r="F16" s="1510" t="s">
        <v>296</v>
      </c>
      <c r="G16" s="1510"/>
      <c r="H16" s="1510"/>
      <c r="K16" s="1020" t="s">
        <v>376</v>
      </c>
      <c r="L16" s="1021" t="s">
        <v>377</v>
      </c>
      <c r="M16" s="1021" t="s">
        <v>9</v>
      </c>
    </row>
    <row r="17" spans="1:23" ht="12.75" customHeight="1">
      <c r="B17" s="1566" t="s">
        <v>385</v>
      </c>
      <c r="C17" s="1506">
        <f>C7</f>
        <v>57.985153306869343</v>
      </c>
      <c r="D17" s="1511">
        <v>37</v>
      </c>
      <c r="E17" s="1511">
        <v>42</v>
      </c>
      <c r="F17" s="608">
        <v>47</v>
      </c>
      <c r="G17" s="1511">
        <v>52</v>
      </c>
      <c r="H17" s="1511">
        <v>57</v>
      </c>
      <c r="K17" s="1" t="s">
        <v>379</v>
      </c>
      <c r="L17" s="1">
        <f>L7</f>
        <v>51.5</v>
      </c>
    </row>
    <row r="18" spans="1:23" ht="12.75" customHeight="1">
      <c r="B18" s="1566"/>
      <c r="C18" s="486">
        <v>20</v>
      </c>
      <c r="D18" s="629">
        <f t="dataTable" ref="D18:H22" dt2D="1" dtr="1" r1="D33" r2="D34"/>
        <v>57.985153306869343</v>
      </c>
      <c r="E18" s="629">
        <v>57.985153306869343</v>
      </c>
      <c r="F18" s="629">
        <v>57.985153306869343</v>
      </c>
      <c r="G18" s="629">
        <v>57.985153306869343</v>
      </c>
      <c r="H18" s="629">
        <v>57.985153306869343</v>
      </c>
      <c r="K18" s="1" t="s">
        <v>380</v>
      </c>
      <c r="L18" s="16">
        <f>L17*1.15</f>
        <v>59.224999999999994</v>
      </c>
      <c r="M18" s="18">
        <f>COUNTIF(D18:H22,"&gt;"&amp;L18)/COUNT(D18:H22)</f>
        <v>0</v>
      </c>
    </row>
    <row r="19" spans="1:23" ht="12.75" customHeight="1" thickBot="1">
      <c r="B19" s="1566"/>
      <c r="C19" s="486">
        <v>23</v>
      </c>
      <c r="D19" s="629">
        <v>57.985153306869343</v>
      </c>
      <c r="E19" s="629">
        <v>57.985153306869343</v>
      </c>
      <c r="F19" s="629">
        <v>57.985153306869343</v>
      </c>
      <c r="G19" s="629">
        <v>57.985153306869343</v>
      </c>
      <c r="H19" s="629">
        <v>57.985153306869343</v>
      </c>
      <c r="K19" s="1" t="s">
        <v>381</v>
      </c>
      <c r="L19" s="16">
        <f>L17*0.85</f>
        <v>43.774999999999999</v>
      </c>
      <c r="M19" s="18">
        <f>COUNTIF(D18:H22,"&lt;"&amp;L19)/COUNT(D18:H22)</f>
        <v>0</v>
      </c>
    </row>
    <row r="20" spans="1:23" ht="12.75" customHeight="1" thickBot="1">
      <c r="B20" s="1566"/>
      <c r="C20" s="608">
        <v>26</v>
      </c>
      <c r="D20" s="629">
        <v>57.985153306869343</v>
      </c>
      <c r="E20" s="629">
        <v>57.985153306869343</v>
      </c>
      <c r="F20" s="1507">
        <v>57.985153306869343</v>
      </c>
      <c r="G20" s="629">
        <v>57.985153306869343</v>
      </c>
      <c r="H20" s="629">
        <v>57.985153306869343</v>
      </c>
      <c r="K20" s="1266" t="s">
        <v>382</v>
      </c>
      <c r="L20" s="1266"/>
      <c r="M20" s="1344">
        <f>1-SUM(M18:M19)</f>
        <v>1</v>
      </c>
    </row>
    <row r="21" spans="1:23" ht="12.75" customHeight="1">
      <c r="B21" s="1566"/>
      <c r="C21" s="486">
        <v>29</v>
      </c>
      <c r="D21" s="629">
        <v>57.985153306869343</v>
      </c>
      <c r="E21" s="629">
        <v>57.985153306869343</v>
      </c>
      <c r="F21" s="629">
        <v>57.985153306869343</v>
      </c>
      <c r="G21" s="629">
        <v>57.985153306869343</v>
      </c>
      <c r="H21" s="629">
        <v>57.985153306869343</v>
      </c>
      <c r="R21" s="1232"/>
      <c r="S21" s="53"/>
      <c r="T21" s="53"/>
      <c r="U21" s="53"/>
      <c r="V21" s="53"/>
      <c r="W21" s="53"/>
    </row>
    <row r="22" spans="1:23" ht="12.75" customHeight="1">
      <c r="B22" s="1567"/>
      <c r="C22" s="1512">
        <v>32</v>
      </c>
      <c r="D22" s="1509">
        <v>57.985153306869343</v>
      </c>
      <c r="E22" s="1509">
        <v>57.985153306869343</v>
      </c>
      <c r="F22" s="1509">
        <v>57.985153306869343</v>
      </c>
      <c r="G22" s="1509">
        <v>57.985153306869343</v>
      </c>
      <c r="H22" s="1509">
        <v>57.985153306869343</v>
      </c>
      <c r="R22" s="1232"/>
      <c r="S22" s="53"/>
      <c r="T22" s="53"/>
      <c r="U22" s="53"/>
      <c r="V22" s="53"/>
      <c r="W22" s="53"/>
    </row>
    <row r="23" spans="1:23">
      <c r="R23" s="1232"/>
      <c r="S23" s="53"/>
      <c r="T23" s="53"/>
      <c r="U23" s="53"/>
      <c r="V23" s="53"/>
      <c r="W23" s="53"/>
    </row>
    <row r="24" spans="1:23">
      <c r="R24" s="1232"/>
      <c r="S24" s="53"/>
      <c r="T24" s="53"/>
      <c r="U24" s="53"/>
      <c r="V24" s="53"/>
      <c r="W24" s="53"/>
    </row>
    <row r="25" spans="1:23">
      <c r="R25" s="1232"/>
      <c r="S25" s="53"/>
      <c r="T25" s="53"/>
      <c r="U25" s="53"/>
      <c r="V25" s="53"/>
      <c r="W25" s="53"/>
    </row>
    <row r="26" spans="1:23">
      <c r="R26" s="1232"/>
      <c r="S26" s="53"/>
      <c r="T26" s="53"/>
      <c r="U26" s="53"/>
      <c r="V26" s="53"/>
      <c r="W26" s="53"/>
    </row>
    <row r="27" spans="1:23">
      <c r="R27" s="1232"/>
      <c r="S27" s="53"/>
      <c r="T27" s="53"/>
      <c r="U27" s="53"/>
      <c r="V27" s="53"/>
      <c r="W27" s="53"/>
    </row>
    <row r="28" spans="1:23">
      <c r="A28" s="2">
        <v>2</v>
      </c>
      <c r="B28" s="1020" t="s">
        <v>386</v>
      </c>
    </row>
    <row r="30" spans="1:23">
      <c r="B30" s="1020" t="s">
        <v>387</v>
      </c>
      <c r="D30" s="1020" t="s">
        <v>388</v>
      </c>
      <c r="E30" s="1020" t="s">
        <v>389</v>
      </c>
      <c r="F30" s="1021" t="s">
        <v>390</v>
      </c>
      <c r="G30" s="1021" t="s">
        <v>391</v>
      </c>
      <c r="H30" s="1021" t="s">
        <v>392</v>
      </c>
      <c r="K30" s="1020" t="s">
        <v>376</v>
      </c>
      <c r="L30" s="1021" t="s">
        <v>377</v>
      </c>
      <c r="M30" s="1021" t="s">
        <v>9</v>
      </c>
    </row>
    <row r="31" spans="1:23">
      <c r="B31" s="1" t="s">
        <v>17</v>
      </c>
      <c r="D31" s="1025">
        <v>0.122434953411362</v>
      </c>
      <c r="E31" s="1" t="s">
        <v>393</v>
      </c>
      <c r="F31" s="203">
        <v>2E-3</v>
      </c>
      <c r="G31" s="199">
        <v>0.12243495341136215</v>
      </c>
      <c r="K31" s="1" t="s">
        <v>379</v>
      </c>
      <c r="L31" s="1">
        <v>46.5</v>
      </c>
    </row>
    <row r="32" spans="1:23">
      <c r="B32" s="1" t="s">
        <v>378</v>
      </c>
      <c r="D32" s="1026">
        <v>0.03</v>
      </c>
      <c r="E32" s="1" t="s">
        <v>393</v>
      </c>
      <c r="F32" s="1209">
        <v>1E-3</v>
      </c>
      <c r="G32" s="18">
        <v>0.03</v>
      </c>
      <c r="K32" s="1" t="s">
        <v>394</v>
      </c>
      <c r="L32" s="16">
        <v>53.474999999999994</v>
      </c>
      <c r="M32" s="17">
        <v>0.26</v>
      </c>
    </row>
    <row r="33" spans="2:13">
      <c r="B33" s="1" t="s">
        <v>296</v>
      </c>
      <c r="D33" s="1503">
        <v>47</v>
      </c>
      <c r="E33" s="1" t="s">
        <v>395</v>
      </c>
      <c r="F33" s="1">
        <v>45</v>
      </c>
      <c r="G33" s="20">
        <v>100</v>
      </c>
      <c r="H33" s="1">
        <v>50</v>
      </c>
      <c r="K33" s="1" t="s">
        <v>396</v>
      </c>
      <c r="L33" s="16">
        <v>39.524999999999999</v>
      </c>
      <c r="M33" s="17">
        <v>0.1</v>
      </c>
    </row>
    <row r="34" spans="2:13">
      <c r="B34" s="1" t="s">
        <v>385</v>
      </c>
      <c r="D34" s="1503">
        <v>26</v>
      </c>
      <c r="E34" s="1" t="s">
        <v>393</v>
      </c>
      <c r="F34" s="1">
        <v>2</v>
      </c>
      <c r="G34" s="20">
        <v>26</v>
      </c>
      <c r="K34" s="1266" t="s">
        <v>397</v>
      </c>
      <c r="L34" s="1266"/>
      <c r="M34" s="1440">
        <v>0.71</v>
      </c>
    </row>
    <row r="35" spans="2:13">
      <c r="B35" s="1" t="s">
        <v>398</v>
      </c>
      <c r="D35" s="1503">
        <v>26</v>
      </c>
      <c r="E35" s="1" t="s">
        <v>393</v>
      </c>
      <c r="F35" s="1">
        <v>2</v>
      </c>
      <c r="G35" s="20">
        <v>26</v>
      </c>
    </row>
    <row r="36" spans="2:13">
      <c r="B36" s="1" t="s">
        <v>399</v>
      </c>
      <c r="D36" s="1504">
        <v>0.03</v>
      </c>
      <c r="E36" s="1" t="s">
        <v>393</v>
      </c>
      <c r="F36" s="203">
        <v>1E-3</v>
      </c>
      <c r="G36" s="18">
        <v>0.03</v>
      </c>
      <c r="H36" s="1243"/>
    </row>
    <row r="37" spans="2:13">
      <c r="F37" s="1243"/>
      <c r="G37" s="18"/>
      <c r="H37" s="1243"/>
    </row>
    <row r="38" spans="2:13">
      <c r="F38" s="1243"/>
      <c r="G38" s="18"/>
      <c r="H38" s="1243"/>
    </row>
    <row r="39" spans="2:13">
      <c r="F39" s="1243"/>
      <c r="G39" s="18"/>
      <c r="H39" s="1243"/>
    </row>
    <row r="40" spans="2:13">
      <c r="F40" s="1243"/>
      <c r="G40" s="18"/>
      <c r="H40" s="1243"/>
    </row>
    <row r="41" spans="2:13">
      <c r="F41" s="1243"/>
      <c r="G41" s="18"/>
      <c r="H41" s="1243"/>
    </row>
    <row r="42" spans="2:13">
      <c r="F42" s="1243"/>
      <c r="G42" s="18"/>
      <c r="H42" s="1243"/>
    </row>
    <row r="43" spans="2:13">
      <c r="F43" s="1243"/>
      <c r="G43" s="18"/>
      <c r="H43" s="1243"/>
    </row>
    <row r="44" spans="2:13">
      <c r="F44" s="1243"/>
      <c r="G44" s="18"/>
      <c r="H44" s="1243"/>
    </row>
    <row r="45" spans="2:13">
      <c r="F45" s="1243"/>
      <c r="G45" s="18"/>
      <c r="H45" s="1243"/>
    </row>
    <row r="46" spans="2:13">
      <c r="F46" s="1243"/>
      <c r="G46" s="18"/>
      <c r="H46" s="1243"/>
    </row>
    <row r="47" spans="2:13">
      <c r="F47" s="1243"/>
      <c r="G47" s="18"/>
      <c r="H47" s="1243"/>
      <c r="I47"/>
    </row>
    <row r="48" spans="2:13">
      <c r="F48" s="1243"/>
      <c r="G48" s="18"/>
      <c r="H48" s="1243"/>
    </row>
    <row r="49" spans="1:14">
      <c r="F49" s="1243"/>
      <c r="G49" s="18"/>
      <c r="H49" s="1243"/>
    </row>
    <row r="50" spans="1:14">
      <c r="F50" s="1243"/>
      <c r="G50" s="18"/>
      <c r="H50" s="1243"/>
    </row>
    <row r="51" spans="1:14">
      <c r="F51" s="1243"/>
      <c r="G51" s="18"/>
      <c r="H51" s="1243"/>
    </row>
    <row r="52" spans="1:14">
      <c r="F52" s="1243"/>
      <c r="G52" s="18"/>
      <c r="H52" s="1243"/>
    </row>
    <row r="53" spans="1:14">
      <c r="F53" s="1243"/>
      <c r="G53" s="18"/>
      <c r="H53" s="1243"/>
    </row>
    <row r="54" spans="1:14">
      <c r="F54" s="1243"/>
      <c r="G54" s="18"/>
      <c r="H54" s="1243"/>
    </row>
    <row r="55" spans="1:14">
      <c r="F55" s="1243"/>
      <c r="G55" s="18"/>
      <c r="H55" s="1243"/>
    </row>
    <row r="56" spans="1:14">
      <c r="F56" s="1243"/>
      <c r="G56" s="18"/>
      <c r="H56" s="1243"/>
    </row>
    <row r="57" spans="1:14">
      <c r="F57" s="1243"/>
      <c r="G57" s="18"/>
      <c r="H57" s="1243"/>
    </row>
    <row r="58" spans="1:14">
      <c r="F58" s="1243"/>
      <c r="G58" s="18"/>
      <c r="H58" s="1243"/>
    </row>
    <row r="59" spans="1:14">
      <c r="F59" s="1243"/>
      <c r="G59" s="18"/>
      <c r="H59" s="1243"/>
    </row>
    <row r="60" spans="1:14">
      <c r="F60" s="1243"/>
      <c r="G60" s="18"/>
      <c r="H60" s="1243"/>
    </row>
    <row r="61" spans="1:14">
      <c r="F61" s="1243"/>
      <c r="G61" s="18"/>
    </row>
    <row r="62" spans="1:14">
      <c r="A62" s="2">
        <v>3</v>
      </c>
      <c r="B62" s="1020" t="s">
        <v>400</v>
      </c>
      <c r="D62" s="1020" t="s">
        <v>401</v>
      </c>
      <c r="E62" s="1020">
        <v>2</v>
      </c>
      <c r="F62" s="1050" t="s">
        <v>402</v>
      </c>
      <c r="K62" s="24"/>
      <c r="L62" s="1059" t="s">
        <v>403</v>
      </c>
      <c r="M62" s="1059" t="s">
        <v>404</v>
      </c>
      <c r="N62" s="1059" t="s">
        <v>405</v>
      </c>
    </row>
    <row r="63" spans="1:14">
      <c r="A63" s="2"/>
      <c r="B63" s="1020"/>
      <c r="D63" s="1020"/>
      <c r="E63" s="1020"/>
      <c r="F63" s="1050"/>
      <c r="K63" s="2" t="s">
        <v>3</v>
      </c>
      <c r="L63" s="979">
        <v>62.111846072750247</v>
      </c>
      <c r="M63" s="979">
        <v>52.732379403693507</v>
      </c>
      <c r="N63" s="979">
        <v>35.233643117164291</v>
      </c>
    </row>
    <row r="64" spans="1:14">
      <c r="A64" s="2"/>
      <c r="B64" s="1020"/>
      <c r="D64" s="1020"/>
      <c r="E64" s="1020"/>
      <c r="F64" s="1050"/>
      <c r="K64" s="2" t="s">
        <v>4</v>
      </c>
      <c r="L64" s="979">
        <v>51.377391486214485</v>
      </c>
      <c r="M64" s="979">
        <v>45.044287037609315</v>
      </c>
      <c r="N64" s="979">
        <v>38.666825602512894</v>
      </c>
    </row>
    <row r="65" spans="1:15">
      <c r="A65" s="2"/>
      <c r="B65" s="1020"/>
      <c r="D65" s="1020"/>
      <c r="E65" s="1020"/>
      <c r="F65" s="1050"/>
      <c r="K65" s="24" t="s">
        <v>12</v>
      </c>
      <c r="L65" s="1058">
        <v>59.42823242611631</v>
      </c>
      <c r="M65" s="1058">
        <v>50.810356312172459</v>
      </c>
      <c r="N65" s="1058">
        <v>36.09193873850144</v>
      </c>
    </row>
    <row r="66" spans="1:15">
      <c r="A66" s="2"/>
      <c r="B66" s="1020"/>
      <c r="D66" s="1020"/>
      <c r="E66" s="1020"/>
      <c r="F66" s="1050"/>
      <c r="K66" s="24" t="s">
        <v>15</v>
      </c>
      <c r="L66" s="1056">
        <v>0.27802650378744742</v>
      </c>
      <c r="M66" s="1056">
        <v>9.2695834670375454E-2</v>
      </c>
      <c r="N66" s="1056">
        <v>-0.22382927444082923</v>
      </c>
    </row>
    <row r="67" spans="1:15" ht="16.5" customHeight="1">
      <c r="B67" s="43"/>
      <c r="C67" s="43"/>
      <c r="D67" s="43"/>
      <c r="E67" s="43"/>
      <c r="F67" s="43"/>
      <c r="G67" s="43"/>
      <c r="H67" s="43"/>
      <c r="I67" s="43"/>
      <c r="J67" s="43"/>
    </row>
    <row r="68" spans="1:15" ht="16.5" customHeight="1">
      <c r="B68" s="945" t="s">
        <v>406</v>
      </c>
      <c r="C68" s="945" t="str">
        <f>'A. FS'!N1</f>
        <v>2023E</v>
      </c>
      <c r="D68" s="945" t="str">
        <f>'A. FS'!O1</f>
        <v>2024E</v>
      </c>
      <c r="E68" s="945" t="str">
        <f>'A. FS'!P1</f>
        <v>2025E</v>
      </c>
      <c r="F68" s="945" t="str">
        <f>'A. FS'!Q1</f>
        <v>2026E</v>
      </c>
      <c r="G68" s="945" t="str">
        <f>'A. FS'!R1</f>
        <v>2027E</v>
      </c>
      <c r="H68" s="945" t="str">
        <f>'A. FS'!S1</f>
        <v>2028E</v>
      </c>
      <c r="I68" s="945" t="s">
        <v>407</v>
      </c>
      <c r="K68" s="1552" t="s">
        <v>407</v>
      </c>
      <c r="L68" s="1552"/>
      <c r="M68" s="1552"/>
    </row>
    <row r="69" spans="1:15" ht="16.5" customHeight="1">
      <c r="B69" s="24" t="s">
        <v>100</v>
      </c>
      <c r="C69" s="142">
        <f>'B. Sales &amp; COGS'!N3</f>
        <v>20110.628236709381</v>
      </c>
      <c r="D69" s="142">
        <f>'B. Sales &amp; COGS'!O3</f>
        <v>22950.392951999493</v>
      </c>
      <c r="E69" s="142">
        <f>'B. Sales &amp; COGS'!P3</f>
        <v>25996.134851328941</v>
      </c>
      <c r="F69" s="142">
        <f>'B. Sales &amp; COGS'!Q3</f>
        <v>28880.512300807575</v>
      </c>
      <c r="G69" s="142">
        <f>'B. Sales &amp; COGS'!R3</f>
        <v>32058.410812200782</v>
      </c>
      <c r="H69" s="142">
        <f>'B. Sales &amp; COGS'!S3</f>
        <v>35560.360121561112</v>
      </c>
      <c r="I69" s="1049">
        <f>'B. Sales &amp; COGS'!U3</f>
        <v>0.11569119627698266</v>
      </c>
      <c r="K69" s="1049">
        <v>0.15000427344367928</v>
      </c>
      <c r="L69" s="1049">
        <v>0.11826799072374028</v>
      </c>
      <c r="M69" s="1049">
        <v>5.7270501065486146E-2</v>
      </c>
    </row>
    <row r="70" spans="1:15" s="2" customFormat="1" ht="16.5" customHeight="1">
      <c r="B70" s="1" t="str">
        <f>'B. Sales &amp; COGS'!A5</f>
        <v>Smartphone</v>
      </c>
      <c r="C70" s="3">
        <f>'B. Sales &amp; COGS'!N5</f>
        <v>8959.6573902906985</v>
      </c>
      <c r="D70" s="3">
        <f>'B. Sales &amp; COGS'!O5</f>
        <v>10198.569412308958</v>
      </c>
      <c r="E70" s="3">
        <f>'B. Sales &amp; COGS'!P5</f>
        <v>11561.070858302031</v>
      </c>
      <c r="F70" s="3">
        <f>'B. Sales &amp; COGS'!Q5</f>
        <v>12556.008934714393</v>
      </c>
      <c r="G70" s="3">
        <f>'B. Sales &amp; COGS'!R5</f>
        <v>13620.738804027367</v>
      </c>
      <c r="H70" s="3">
        <f>'B. Sales &amp; COGS'!S5</f>
        <v>14760.943300648731</v>
      </c>
      <c r="I70" s="17">
        <f>'B. Sales &amp; COGS'!U5</f>
        <v>9.6841095827439272E-2</v>
      </c>
      <c r="K70" s="17">
        <v>0.13180138208553083</v>
      </c>
      <c r="L70" s="17">
        <v>0.11411543881509445</v>
      </c>
      <c r="M70" s="17">
        <v>2.5570835670322811E-2</v>
      </c>
      <c r="O70" s="1"/>
    </row>
    <row r="71" spans="1:15" ht="16.5" customHeight="1">
      <c r="B71" s="1" t="str">
        <f>'B. Sales &amp; COGS'!A6</f>
        <v>Xiaomi</v>
      </c>
      <c r="C71" s="3">
        <f>'B. Sales &amp; COGS'!N6</f>
        <v>4871.458471290699</v>
      </c>
      <c r="D71" s="3">
        <f>'B. Sales &amp; COGS'!O6</f>
        <v>5402.1573388627703</v>
      </c>
      <c r="E71" s="3">
        <f>'B. Sales &amp; COGS'!P6</f>
        <v>5886.515609952291</v>
      </c>
      <c r="F71" s="3">
        <f>'B. Sales &amp; COGS'!Q6</f>
        <v>5953.3485907451468</v>
      </c>
      <c r="G71" s="3">
        <f>'B. Sales &amp; COGS'!R6</f>
        <v>5994.7467921596462</v>
      </c>
      <c r="H71" s="3">
        <f>'B. Sales &amp; COGS'!S6</f>
        <v>6016.4678895003162</v>
      </c>
      <c r="I71" s="17">
        <f>'B. Sales &amp; COGS'!U6</f>
        <v>2.7291260760947011E-2</v>
      </c>
      <c r="K71" s="17">
        <v>8.4758788920585415E-2</v>
      </c>
      <c r="L71" s="17">
        <v>6.5604126126971085E-2</v>
      </c>
      <c r="M71" s="17">
        <v>-6.5103198973448073E-2</v>
      </c>
    </row>
    <row r="72" spans="1:15" s="2" customFormat="1" ht="16.5" customHeight="1">
      <c r="B72" s="1" t="str">
        <f>'B. Sales &amp; COGS'!A7</f>
        <v>Iphone</v>
      </c>
      <c r="C72" s="3">
        <f>'B. Sales &amp; COGS'!N7</f>
        <v>3999.6989189999999</v>
      </c>
      <c r="D72" s="3">
        <f>'B. Sales &amp; COGS'!O7</f>
        <v>4619.4120734461876</v>
      </c>
      <c r="E72" s="3">
        <f>'B. Sales &amp; COGS'!P7</f>
        <v>5444.45524834974</v>
      </c>
      <c r="F72" s="3">
        <f>'B. Sales &amp; COGS'!Q7</f>
        <v>6303.530343969247</v>
      </c>
      <c r="G72" s="3">
        <f>'B. Sales &amp; COGS'!R7</f>
        <v>7237.1230118677204</v>
      </c>
      <c r="H72" s="3">
        <f>'B. Sales &amp; COGS'!S7</f>
        <v>8238.9457111484153</v>
      </c>
      <c r="I72" s="17">
        <f>'B. Sales &amp; COGS'!U7</f>
        <v>0.15563645670815851</v>
      </c>
      <c r="K72" s="17">
        <v>0.17906884276206303</v>
      </c>
      <c r="L72" s="17">
        <v>0.16214001712706549</v>
      </c>
      <c r="M72" s="17">
        <v>0.10216871191843335</v>
      </c>
      <c r="O72" s="1"/>
    </row>
    <row r="73" spans="1:15" ht="16.5" customHeight="1">
      <c r="B73" s="1" t="str">
        <f>'B. Sales &amp; COGS'!A8</f>
        <v>Others</v>
      </c>
      <c r="C73" s="3">
        <f>'B. Sales &amp; COGS'!N8</f>
        <v>88.5</v>
      </c>
      <c r="D73" s="3">
        <f>'B. Sales &amp; COGS'!O8</f>
        <v>177</v>
      </c>
      <c r="E73" s="3">
        <f>'B. Sales &amp; COGS'!P8</f>
        <v>230.1</v>
      </c>
      <c r="F73" s="3">
        <f>'B. Sales &amp; COGS'!Q8</f>
        <v>299.13</v>
      </c>
      <c r="G73" s="3">
        <f>'B. Sales &amp; COGS'!R8</f>
        <v>388.86900000000003</v>
      </c>
      <c r="H73" s="3">
        <f>'B. Sales &amp; COGS'!S8</f>
        <v>505.52970000000005</v>
      </c>
      <c r="I73" s="17">
        <f>'B. Sales &amp; COGS'!U8</f>
        <v>0.30000000000000004</v>
      </c>
      <c r="K73" s="17">
        <v>0.26231675818621114</v>
      </c>
      <c r="L73" s="17">
        <v>0.26231675818621114</v>
      </c>
      <c r="M73" s="17">
        <v>0.26231675818621114</v>
      </c>
    </row>
    <row r="74" spans="1:15" s="2" customFormat="1" ht="16.5" customHeight="1">
      <c r="B74" s="1" t="str">
        <f>'B. Sales &amp; COGS'!A9</f>
        <v>Laptop &amp; Tablet</v>
      </c>
      <c r="C74" s="3">
        <f>'B. Sales &amp; COGS'!N9</f>
        <v>6629.7129714186849</v>
      </c>
      <c r="D74" s="3">
        <f>'B. Sales &amp; COGS'!O9</f>
        <v>7332.6300834405311</v>
      </c>
      <c r="E74" s="3">
        <f>'B. Sales &amp; COGS'!P9</f>
        <v>7790.086705917538</v>
      </c>
      <c r="F74" s="3">
        <f>'B. Sales &amp; COGS'!Q9</f>
        <v>8273.2491699050315</v>
      </c>
      <c r="G74" s="3">
        <f>'B. Sales &amp; COGS'!R9</f>
        <v>8782.705104566985</v>
      </c>
      <c r="H74" s="3">
        <f>'B. Sales &amp; COGS'!S9</f>
        <v>9319.0348721715236</v>
      </c>
      <c r="I74" s="17">
        <f>'B. Sales &amp; COGS'!U9</f>
        <v>6.1763496420909503E-2</v>
      </c>
      <c r="K74" s="17">
        <v>8.2456144311950252E-2</v>
      </c>
      <c r="L74" s="17">
        <v>5.7504262797245742E-2</v>
      </c>
      <c r="M74" s="17">
        <v>2.9226343208821781E-2</v>
      </c>
      <c r="O74" s="1"/>
    </row>
    <row r="75" spans="1:15" ht="16.5" customHeight="1">
      <c r="B75" s="1" t="str">
        <f>'B. Sales &amp; COGS'!A10</f>
        <v>Office equipment (including Achison)</v>
      </c>
      <c r="C75" s="3">
        <f>'B. Sales &amp; COGS'!N10</f>
        <v>3147.36</v>
      </c>
      <c r="D75" s="3">
        <f>'B. Sales &amp; COGS'!O10</f>
        <v>3584.2719999999999</v>
      </c>
      <c r="E75" s="3">
        <f>'B. Sales &amp; COGS'!P10</f>
        <v>4273.0225999999993</v>
      </c>
      <c r="F75" s="3">
        <f>'B. Sales &amp; COGS'!Q10</f>
        <v>5063.7464466666661</v>
      </c>
      <c r="G75" s="3">
        <f>'B. Sales &amp; COGS'!R10</f>
        <v>5972.7720654444438</v>
      </c>
      <c r="H75" s="3">
        <f>'B. Sales &amp; COGS'!S10</f>
        <v>7025.7686224055569</v>
      </c>
      <c r="I75" s="17">
        <f>'B. Sales &amp; COGS'!U10</f>
        <v>0.1832410302209484</v>
      </c>
      <c r="K75" s="17">
        <v>0.19472496366162351</v>
      </c>
      <c r="L75" s="17">
        <v>0.16937202160842646</v>
      </c>
      <c r="M75" s="17">
        <v>0.12708990565691969</v>
      </c>
    </row>
    <row r="76" spans="1:15" s="2" customFormat="1" ht="16.5" customHeight="1">
      <c r="B76" s="1" t="str">
        <f>'B. Sales &amp; COGS'!A11</f>
        <v>Home appliance</v>
      </c>
      <c r="C76" s="3">
        <f>'B. Sales &amp; COGS'!N11</f>
        <v>716.32600000000002</v>
      </c>
      <c r="D76" s="3">
        <f>'B. Sales &amp; COGS'!O11</f>
        <v>914.08879999999999</v>
      </c>
      <c r="E76" s="3">
        <f>'B. Sales &amp; COGS'!P11</f>
        <v>1135.0329000000002</v>
      </c>
      <c r="F76" s="3">
        <f>'B. Sales &amp; COGS'!Q11</f>
        <v>1376.2638024999999</v>
      </c>
      <c r="G76" s="3">
        <f>'B. Sales &amp; COGS'!R11</f>
        <v>1633.7188994687499</v>
      </c>
      <c r="H76" s="3">
        <f>'B. Sales &amp; COGS'!S11</f>
        <v>1902.4397174351564</v>
      </c>
      <c r="I76" s="17">
        <f>'B. Sales &amp; COGS'!U11</f>
        <v>0.20110404376550295</v>
      </c>
      <c r="K76" s="17">
        <v>0.29906362946929255</v>
      </c>
      <c r="L76" s="17">
        <v>0.22176782283007035</v>
      </c>
      <c r="M76" s="17">
        <v>0.13324597409622063</v>
      </c>
      <c r="O76" s="1"/>
    </row>
    <row r="77" spans="1:15" ht="16.5" customHeight="1">
      <c r="B77" s="1" t="str">
        <f>'B. Sales &amp; COGS'!A12</f>
        <v>Consumers-Health</v>
      </c>
      <c r="C77" s="3">
        <f>'B. Sales &amp; COGS'!N12</f>
        <v>657.57187500000009</v>
      </c>
      <c r="D77" s="3">
        <f>'B. Sales &amp; COGS'!O12</f>
        <v>920.83265625000001</v>
      </c>
      <c r="E77" s="3">
        <f>'B. Sales &amp; COGS'!P12</f>
        <v>1236.9217871093751</v>
      </c>
      <c r="F77" s="3">
        <f>'B. Sales &amp; COGS'!Q12</f>
        <v>1611.2439470214845</v>
      </c>
      <c r="G77" s="3">
        <f>'B. Sales &amp; COGS'!R12</f>
        <v>2048.4759386932374</v>
      </c>
      <c r="H77" s="3">
        <f>'B. Sales &amp; COGS'!S12</f>
        <v>2552.1736089001461</v>
      </c>
      <c r="I77" s="17">
        <f>'B. Sales &amp; COGS'!U12</f>
        <v>0.2902752751697717</v>
      </c>
      <c r="K77" s="17">
        <v>0.33391846205936337</v>
      </c>
      <c r="L77" s="17">
        <v>0.21565410010570107</v>
      </c>
      <c r="M77" s="17">
        <v>0.1510571267642562</v>
      </c>
    </row>
    <row r="78" spans="1:15" ht="16.5" customHeight="1">
      <c r="C78" s="3"/>
      <c r="D78" s="3"/>
      <c r="E78" s="3"/>
      <c r="F78" s="3"/>
      <c r="G78" s="3"/>
      <c r="H78" s="3"/>
      <c r="I78" s="389" t="s">
        <v>408</v>
      </c>
      <c r="J78" s="17"/>
      <c r="K78" s="389" t="s">
        <v>408</v>
      </c>
      <c r="L78" s="389" t="s">
        <v>408</v>
      </c>
      <c r="M78" s="389" t="s">
        <v>408</v>
      </c>
      <c r="O78" s="2"/>
    </row>
    <row r="79" spans="1:15" ht="16.5" customHeight="1">
      <c r="B79" s="1" t="s">
        <v>409</v>
      </c>
      <c r="C79" s="3">
        <f>'A. FS'!N72</f>
        <v>398.39866924493811</v>
      </c>
      <c r="D79" s="3">
        <f>'A. FS'!O72</f>
        <v>511.59134453802932</v>
      </c>
      <c r="E79" s="3">
        <f>'A. FS'!P72</f>
        <v>594.33137559648299</v>
      </c>
      <c r="F79" s="3">
        <f>'A. FS'!Q72</f>
        <v>694.07515188947457</v>
      </c>
      <c r="G79" s="3">
        <f>'A. FS'!R72</f>
        <v>835.74407551821218</v>
      </c>
      <c r="H79" s="3">
        <f>'A. FS'!S72</f>
        <v>1001.0686815466081</v>
      </c>
      <c r="I79" s="17">
        <f>IFERROR((H79/D79)^0.25-1,"")</f>
        <v>0.18272879840092338</v>
      </c>
      <c r="K79" s="17">
        <v>0.2209162629668342</v>
      </c>
      <c r="L79" s="17">
        <v>0.16844030346475414</v>
      </c>
      <c r="M79" s="17">
        <v>0.10212169352180123</v>
      </c>
    </row>
    <row r="80" spans="1:15" ht="16.5" customHeight="1">
      <c r="B80" s="1" t="s">
        <v>410</v>
      </c>
      <c r="C80" s="3">
        <f>'A. FS'!N89</f>
        <v>2384.5787843875823</v>
      </c>
      <c r="D80" s="3">
        <f>'A. FS'!O89</f>
        <v>3062.0831861054285</v>
      </c>
      <c r="E80" s="3">
        <f>'A. FS'!P89</f>
        <v>3557.3160719368234</v>
      </c>
      <c r="F80" s="3">
        <f>'A. FS'!Q89</f>
        <v>4154.3233191591753</v>
      </c>
      <c r="G80" s="3">
        <f>'A. FS'!R89</f>
        <v>5002.2696999349055</v>
      </c>
      <c r="H80" s="3">
        <f>'A. FS'!S89</f>
        <v>5991.8050034029329</v>
      </c>
      <c r="I80" s="17">
        <f>IFERROR((H80/D80)^0.25-1,"")</f>
        <v>0.18272879840092338</v>
      </c>
      <c r="K80" s="17">
        <v>0.2209162629668342</v>
      </c>
      <c r="L80" s="17">
        <v>0.16844030346475414</v>
      </c>
      <c r="M80" s="17">
        <v>0.10212169352180123</v>
      </c>
      <c r="O80" s="2"/>
    </row>
    <row r="81" spans="2:15" ht="16.5" customHeight="1">
      <c r="B81" s="1" t="s">
        <v>411</v>
      </c>
      <c r="C81" s="3">
        <f>'A. FS'!N151</f>
        <v>62.261055760373722</v>
      </c>
      <c r="D81" s="3">
        <f>'A. FS'!O151</f>
        <v>57.530960966237927</v>
      </c>
      <c r="E81" s="3">
        <f>'A. FS'!P151</f>
        <v>55.617083304419793</v>
      </c>
      <c r="F81" s="3">
        <f>'A. FS'!Q151</f>
        <v>52.803439228151035</v>
      </c>
      <c r="G81" s="3">
        <f>'A. FS'!R151</f>
        <v>49.854109023716688</v>
      </c>
      <c r="H81" s="3">
        <f>'A. FS'!S151</f>
        <v>46.598255767254457</v>
      </c>
      <c r="I81" s="20">
        <f>AVERAGE(C81:H81)</f>
        <v>54.110817341692268</v>
      </c>
      <c r="K81" s="20">
        <v>53.119822992511665</v>
      </c>
      <c r="L81" s="20">
        <v>53.953156325844994</v>
      </c>
      <c r="M81" s="20">
        <v>59.786489659178329</v>
      </c>
    </row>
    <row r="82" spans="2:15" ht="16.5" customHeight="1">
      <c r="B82" s="1" t="s">
        <v>55</v>
      </c>
      <c r="C82" s="17">
        <f>'A. FS'!N33</f>
        <v>2.3955185293050279E-2</v>
      </c>
      <c r="D82" s="17">
        <f>'A. FS'!O33</f>
        <v>2.4744829979213821E-2</v>
      </c>
      <c r="E82" s="17">
        <f>'A. FS'!P33</f>
        <v>2.5704366905805052E-2</v>
      </c>
      <c r="F82" s="17">
        <f>'A. FS'!Q33</f>
        <v>2.7677934939352878E-2</v>
      </c>
      <c r="G82" s="17">
        <f>'A. FS'!R33</f>
        <v>2.9715873348645217E-2</v>
      </c>
      <c r="H82" s="17">
        <f>'A. FS'!S33</f>
        <v>3.1812338882370589E-2</v>
      </c>
      <c r="I82" s="17">
        <f>AVERAGE(C82:H82)</f>
        <v>2.7268421558072974E-2</v>
      </c>
      <c r="K82" s="17">
        <v>2.7905194067641265E-2</v>
      </c>
      <c r="L82" s="17">
        <v>2.6457444154516438E-2</v>
      </c>
      <c r="M82" s="17">
        <v>2.6275641747330655E-2</v>
      </c>
    </row>
    <row r="83" spans="2:15" ht="16.5" customHeight="1">
      <c r="B83" s="1" t="s">
        <v>412</v>
      </c>
      <c r="C83" s="18">
        <f>'G. FA'!N37</f>
        <v>0.15630400766204791</v>
      </c>
      <c r="D83" s="18">
        <f>'G. FA'!O37</f>
        <v>0.17801485720035992</v>
      </c>
      <c r="E83" s="18">
        <f>'G. FA'!P37</f>
        <v>0.18064114037613346</v>
      </c>
      <c r="F83" s="18">
        <f>'G. FA'!Q37</f>
        <v>0.18502920613990112</v>
      </c>
      <c r="G83" s="18">
        <f>'G. FA'!R37</f>
        <v>0.19568693370069493</v>
      </c>
      <c r="H83" s="18">
        <f>'G. FA'!S37</f>
        <v>0.20533259972175652</v>
      </c>
      <c r="I83" s="17">
        <f>AVERAGE(C83:H83)</f>
        <v>0.18350145746681565</v>
      </c>
      <c r="K83" s="17">
        <v>0.19598084742765756</v>
      </c>
      <c r="L83" s="17">
        <v>0.17924118711915327</v>
      </c>
      <c r="M83" s="17">
        <v>0.16011257688040645</v>
      </c>
    </row>
    <row r="84" spans="2:15" ht="16.5" customHeight="1">
      <c r="C84" s="3"/>
      <c r="D84" s="3"/>
      <c r="E84" s="3"/>
      <c r="F84" s="3"/>
      <c r="G84" s="3"/>
      <c r="H84" s="3"/>
      <c r="I84" s="17"/>
      <c r="K84" s="2"/>
      <c r="L84" s="2"/>
      <c r="M84" s="2"/>
      <c r="N84" s="2"/>
      <c r="O84" s="2"/>
    </row>
    <row r="85" spans="2:15" s="2" customFormat="1" ht="16.5" customHeight="1">
      <c r="B85" s="945"/>
      <c r="C85" s="945" t="s">
        <v>114</v>
      </c>
      <c r="D85" s="945" t="s">
        <v>287</v>
      </c>
      <c r="E85" s="945" t="s">
        <v>288</v>
      </c>
      <c r="F85" s="945" t="s">
        <v>413</v>
      </c>
      <c r="G85" s="945" t="s">
        <v>414</v>
      </c>
      <c r="H85" s="945" t="s">
        <v>415</v>
      </c>
      <c r="K85" s="782" t="s">
        <v>8</v>
      </c>
      <c r="L85" s="779" t="s">
        <v>9</v>
      </c>
      <c r="M85" s="779" t="s">
        <v>10</v>
      </c>
      <c r="N85" s="779" t="s">
        <v>140</v>
      </c>
      <c r="O85" s="1"/>
    </row>
    <row r="86" spans="2:15" ht="16.5" customHeight="1">
      <c r="B86" s="2" t="s">
        <v>416</v>
      </c>
      <c r="K86" s="303" t="s">
        <v>3</v>
      </c>
      <c r="L86" s="452">
        <v>0.75</v>
      </c>
      <c r="M86" s="1057">
        <f>'A. FCFF'!P28</f>
        <v>57.985153306869343</v>
      </c>
      <c r="N86" s="1007">
        <f>M86/M90-1</f>
        <v>0.12592530692950188</v>
      </c>
      <c r="O86" s="2"/>
    </row>
    <row r="87" spans="2:15" s="2" customFormat="1" ht="16.5" customHeight="1">
      <c r="B87" s="2" t="s">
        <v>417</v>
      </c>
      <c r="E87" s="61"/>
      <c r="F87" s="152"/>
      <c r="K87" s="303" t="s">
        <v>11</v>
      </c>
      <c r="L87" s="452">
        <v>0.25</v>
      </c>
      <c r="M87" s="1057">
        <f>'A. FCFF'!P29</f>
        <v>48.385420375559605</v>
      </c>
      <c r="N87" s="1007">
        <f>M87/M90-1</f>
        <v>-6.0477274260978597E-2</v>
      </c>
      <c r="O87" s="1"/>
    </row>
    <row r="88" spans="2:15" ht="16.5" customHeight="1">
      <c r="B88" s="1" t="s">
        <v>32</v>
      </c>
      <c r="E88" s="61"/>
      <c r="F88" s="1243"/>
      <c r="H88" s="1115">
        <v>0.61</v>
      </c>
      <c r="K88" s="441" t="s">
        <v>12</v>
      </c>
      <c r="L88" s="781"/>
      <c r="M88" s="1058">
        <f>SUMPRODUCT(L86:L87,M86:M87)</f>
        <v>55.585220074041914</v>
      </c>
      <c r="N88" s="977"/>
    </row>
    <row r="89" spans="2:15" ht="16.5" customHeight="1">
      <c r="B89" s="1266" t="s">
        <v>31</v>
      </c>
      <c r="C89" s="1068">
        <v>0.65</v>
      </c>
      <c r="D89" s="25">
        <f>C89-($C89-$E89)/2</f>
        <v>0.63</v>
      </c>
      <c r="E89" s="1532">
        <v>0.61</v>
      </c>
      <c r="F89" s="25">
        <f>E89-$F$87</f>
        <v>0.61</v>
      </c>
      <c r="G89" s="25">
        <f>F89-$F$87</f>
        <v>0.61</v>
      </c>
      <c r="H89" s="1068">
        <v>0.55000000000000004</v>
      </c>
      <c r="K89" s="441" t="s">
        <v>15</v>
      </c>
      <c r="L89" s="781"/>
      <c r="M89" s="1043">
        <f>M88/M90-1</f>
        <v>7.9324661631881899E-2</v>
      </c>
      <c r="N89" s="980"/>
    </row>
    <row r="90" spans="2:15" ht="16.5" customHeight="1">
      <c r="B90" s="1" t="s">
        <v>418</v>
      </c>
      <c r="H90" s="1115">
        <v>0.4</v>
      </c>
      <c r="K90" s="303" t="s">
        <v>13</v>
      </c>
      <c r="L90" s="303" t="s">
        <v>14</v>
      </c>
      <c r="M90" s="302">
        <f>'A. FCFF'!P31</f>
        <v>51.5</v>
      </c>
      <c r="N90" s="302"/>
    </row>
    <row r="91" spans="2:15" ht="16.5" customHeight="1">
      <c r="B91" s="2" t="s">
        <v>419</v>
      </c>
      <c r="D91" s="2"/>
      <c r="E91" s="1533"/>
      <c r="F91" s="152"/>
      <c r="H91" s="2"/>
    </row>
    <row r="92" spans="2:15">
      <c r="B92" s="1" t="s">
        <v>32</v>
      </c>
      <c r="H92" s="1115">
        <v>0.16</v>
      </c>
      <c r="L92" s="137" t="s">
        <v>420</v>
      </c>
      <c r="M92" s="137" t="s">
        <v>421</v>
      </c>
      <c r="N92" s="137" t="s">
        <v>422</v>
      </c>
    </row>
    <row r="93" spans="2:15">
      <c r="B93" s="1266" t="s">
        <v>31</v>
      </c>
      <c r="C93" s="1049">
        <v>0.12</v>
      </c>
      <c r="D93" s="380">
        <v>0.124</v>
      </c>
      <c r="E93" s="1534">
        <v>0.128</v>
      </c>
      <c r="F93" s="380">
        <v>0.13200000000000001</v>
      </c>
      <c r="G93" s="380">
        <v>0.13600000000000001</v>
      </c>
      <c r="H93" s="1049">
        <v>0.14000000000000001</v>
      </c>
      <c r="I93" s="23"/>
      <c r="K93" s="1044" t="s">
        <v>34</v>
      </c>
      <c r="L93" s="1045"/>
      <c r="M93" s="1045">
        <f>'B. PE'!U17</f>
        <v>14.525668741893634</v>
      </c>
      <c r="N93" s="1045"/>
      <c r="O93" s="1046" t="s">
        <v>9</v>
      </c>
    </row>
    <row r="94" spans="2:15">
      <c r="B94" s="1" t="s">
        <v>418</v>
      </c>
      <c r="E94" s="2"/>
      <c r="H94" s="1115">
        <v>0.1</v>
      </c>
      <c r="K94" s="303" t="s">
        <v>36</v>
      </c>
      <c r="L94" s="972">
        <v>0.13500000000000001</v>
      </c>
      <c r="M94" s="972">
        <f>CHOOSE($E$62,D139,D140,D141)</f>
        <v>0.1</v>
      </c>
      <c r="N94" s="972">
        <v>0</v>
      </c>
    </row>
    <row r="95" spans="2:15">
      <c r="E95" s="2"/>
      <c r="H95" s="2"/>
      <c r="K95" s="548" t="s">
        <v>423</v>
      </c>
      <c r="L95" s="1513">
        <v>16.486634022049273</v>
      </c>
      <c r="M95" s="1513">
        <f>M93*(1+M94)</f>
        <v>15.978235616082999</v>
      </c>
      <c r="N95" s="1513">
        <v>14.525668741893634</v>
      </c>
      <c r="O95" s="1513"/>
    </row>
    <row r="96" spans="2:15">
      <c r="B96" s="2" t="s">
        <v>424</v>
      </c>
      <c r="H96" s="2"/>
      <c r="K96" s="303" t="s">
        <v>40</v>
      </c>
      <c r="L96" s="415">
        <v>2366.5355288048777</v>
      </c>
      <c r="M96" s="415">
        <f>'A. FS'!N89</f>
        <v>2384.5787843875823</v>
      </c>
      <c r="N96" s="415">
        <v>2366.5355288048777</v>
      </c>
      <c r="O96" s="1243">
        <v>0.1</v>
      </c>
    </row>
    <row r="97" spans="2:15">
      <c r="B97" s="2" t="s">
        <v>425</v>
      </c>
      <c r="H97" s="2"/>
      <c r="K97" s="303" t="s">
        <v>42</v>
      </c>
      <c r="L97" s="415">
        <v>3068.2901707396372</v>
      </c>
      <c r="M97" s="415">
        <f>'A. FS'!O89</f>
        <v>3062.0831861054285</v>
      </c>
      <c r="N97" s="415">
        <v>2867.2598796554771</v>
      </c>
      <c r="O97" s="1243">
        <v>0.9</v>
      </c>
    </row>
    <row r="98" spans="2:15">
      <c r="B98" s="1" t="s">
        <v>32</v>
      </c>
      <c r="H98" s="1115">
        <v>0.45</v>
      </c>
      <c r="I98" s="17"/>
      <c r="K98" s="441" t="s">
        <v>44</v>
      </c>
      <c r="L98" s="977">
        <v>49.428819922950218</v>
      </c>
      <c r="M98" s="977">
        <f>SUMPRODUCT(M96:M97,O96:O97)*M95/1000</f>
        <v>47.844154127480557</v>
      </c>
      <c r="N98" s="977">
        <v>40.921531603651715</v>
      </c>
      <c r="O98" s="1043">
        <f>SUM(O96:O97)</f>
        <v>1</v>
      </c>
    </row>
    <row r="99" spans="2:15">
      <c r="B99" s="1266" t="s">
        <v>31</v>
      </c>
      <c r="C99" s="1266"/>
      <c r="D99" s="1266"/>
      <c r="E99" s="1266"/>
      <c r="F99" s="1266"/>
      <c r="G99" s="1266"/>
      <c r="H99" s="1535">
        <v>0.4</v>
      </c>
      <c r="I99" s="17"/>
    </row>
    <row r="100" spans="2:15">
      <c r="B100" s="1" t="s">
        <v>418</v>
      </c>
      <c r="H100" s="1115">
        <v>0.35</v>
      </c>
      <c r="I100" s="17"/>
    </row>
    <row r="101" spans="2:15">
      <c r="B101" s="2" t="s">
        <v>426</v>
      </c>
      <c r="H101" s="2"/>
      <c r="I101" s="17"/>
    </row>
    <row r="102" spans="2:15">
      <c r="B102" s="1" t="s">
        <v>32</v>
      </c>
      <c r="H102" s="1115">
        <v>0.18</v>
      </c>
      <c r="I102" s="17"/>
    </row>
    <row r="103" spans="2:15">
      <c r="B103" s="1266" t="s">
        <v>31</v>
      </c>
      <c r="C103" s="1266"/>
      <c r="D103" s="1266"/>
      <c r="E103" s="1266"/>
      <c r="F103" s="1266"/>
      <c r="G103" s="1266"/>
      <c r="H103" s="1535">
        <v>0.15</v>
      </c>
      <c r="I103" s="17"/>
    </row>
    <row r="104" spans="2:15">
      <c r="B104" s="1" t="s">
        <v>418</v>
      </c>
      <c r="H104" s="1115">
        <v>0.12</v>
      </c>
      <c r="I104" s="17"/>
    </row>
    <row r="105" spans="2:15">
      <c r="H105" s="1115"/>
      <c r="I105" s="17"/>
    </row>
    <row r="107" spans="2:15">
      <c r="B107" s="2" t="s">
        <v>427</v>
      </c>
    </row>
    <row r="108" spans="2:15">
      <c r="B108" s="2" t="s">
        <v>428</v>
      </c>
    </row>
    <row r="109" spans="2:15">
      <c r="B109" s="1" t="s">
        <v>32</v>
      </c>
      <c r="C109" s="17">
        <f>C110</f>
        <v>-5.1999999999999935E-2</v>
      </c>
      <c r="D109" s="17">
        <f>D110*1.15</f>
        <v>0.15964135021097037</v>
      </c>
      <c r="E109" s="17">
        <f t="shared" ref="E109:H109" si="0">E110*1.15</f>
        <v>0.22098300296406051</v>
      </c>
      <c r="F109" s="17">
        <f t="shared" si="0"/>
        <v>0.21280777304259205</v>
      </c>
      <c r="G109" s="17">
        <f t="shared" si="0"/>
        <v>0.20644387956719085</v>
      </c>
      <c r="H109" s="17">
        <f t="shared" si="0"/>
        <v>0.20274439192334573</v>
      </c>
      <c r="I109" s="17" cm="1">
        <f t="array" ref="I109">IFERROR(PRODUCT(1+E109:H109)^0.25-1,"")</f>
        <v>0.21072501010610289</v>
      </c>
    </row>
    <row r="110" spans="2:15">
      <c r="B110" s="1266" t="s">
        <v>31</v>
      </c>
      <c r="C110" s="25">
        <v>-5.1999999999999935E-2</v>
      </c>
      <c r="D110" s="25">
        <v>0.13881856540084381</v>
      </c>
      <c r="E110" s="25">
        <v>0.19215913301222654</v>
      </c>
      <c r="F110" s="25">
        <v>0.18505023742834092</v>
      </c>
      <c r="G110" s="25">
        <v>0.17951641701494858</v>
      </c>
      <c r="H110" s="25">
        <v>0.17629947123769196</v>
      </c>
      <c r="I110" s="17" cm="1">
        <f t="array" ref="I110">IFERROR(PRODUCT(1+E110:H110)^0.25-1,"")</f>
        <v>0.18324103022094818</v>
      </c>
    </row>
    <row r="111" spans="2:15">
      <c r="B111" s="1" t="s">
        <v>418</v>
      </c>
      <c r="C111" s="17">
        <f>C110</f>
        <v>-5.1999999999999935E-2</v>
      </c>
      <c r="D111" s="17">
        <f t="shared" ref="D111:H111" si="1">D110*0.75</f>
        <v>0.10411392405063286</v>
      </c>
      <c r="E111" s="17">
        <f t="shared" si="1"/>
        <v>0.1441193497591699</v>
      </c>
      <c r="F111" s="17">
        <f t="shared" si="1"/>
        <v>0.13878767807125569</v>
      </c>
      <c r="G111" s="17">
        <f t="shared" si="1"/>
        <v>0.13463731276121144</v>
      </c>
      <c r="H111" s="17">
        <f t="shared" si="1"/>
        <v>0.13222460342826897</v>
      </c>
      <c r="I111" s="17" cm="1">
        <f t="array" ref="I111">IFERROR(PRODUCT(1+E111:H111)^0.25-1,"")</f>
        <v>0.13743328979424851</v>
      </c>
    </row>
    <row r="113" spans="2:10">
      <c r="B113" s="2" t="s">
        <v>429</v>
      </c>
    </row>
    <row r="114" spans="2:10">
      <c r="B114" s="2" t="s">
        <v>428</v>
      </c>
    </row>
    <row r="115" spans="2:10">
      <c r="B115" s="1" t="s">
        <v>32</v>
      </c>
      <c r="C115" s="18">
        <f>C116</f>
        <v>0.2883561151079137</v>
      </c>
      <c r="D115" s="18">
        <f>D116*1.35</f>
        <v>0.37270709146394237</v>
      </c>
      <c r="E115" s="18">
        <f t="shared" ref="E115:H115" si="2">E116*1.35</f>
        <v>0.32630805125278883</v>
      </c>
      <c r="F115" s="18">
        <f t="shared" si="2"/>
        <v>0.28691830727990331</v>
      </c>
      <c r="G115" s="18">
        <f t="shared" si="2"/>
        <v>0.25254197652837884</v>
      </c>
      <c r="H115" s="18">
        <f t="shared" si="2"/>
        <v>0.22205356403271992</v>
      </c>
      <c r="I115" s="17" cm="1">
        <f t="array" ref="I115">IFERROR(PRODUCT(1+E115:H115)^0.25-1,"")</f>
        <v>0.2713627391997806</v>
      </c>
    </row>
    <row r="116" spans="2:10">
      <c r="B116" s="1266" t="s">
        <v>31</v>
      </c>
      <c r="C116" s="25">
        <v>0.2883561151079137</v>
      </c>
      <c r="D116" s="25">
        <v>0.27607932701032767</v>
      </c>
      <c r="E116" s="25">
        <v>0.2417096675946584</v>
      </c>
      <c r="F116" s="25">
        <v>0.21253207946659503</v>
      </c>
      <c r="G116" s="25">
        <v>0.1870681307617621</v>
      </c>
      <c r="H116" s="25">
        <v>0.16448412150571845</v>
      </c>
      <c r="I116" s="17" cm="1">
        <f t="array" ref="I116">IFERROR(PRODUCT(1+E116:H116)^0.25-1,"")</f>
        <v>0.20110404376550295</v>
      </c>
      <c r="J116" s="1" t="s">
        <v>430</v>
      </c>
    </row>
    <row r="117" spans="2:10">
      <c r="B117" s="1" t="s">
        <v>418</v>
      </c>
      <c r="C117" s="18">
        <f>C116</f>
        <v>0.2883561151079137</v>
      </c>
      <c r="D117" s="18">
        <f>D116*0.6</f>
        <v>0.1656475962061966</v>
      </c>
      <c r="E117" s="18">
        <f t="shared" ref="E117:H117" si="3">E116*0.6</f>
        <v>0.14502580055679504</v>
      </c>
      <c r="F117" s="18">
        <f t="shared" si="3"/>
        <v>0.12751924767995701</v>
      </c>
      <c r="G117" s="18">
        <f t="shared" si="3"/>
        <v>0.11224087845705726</v>
      </c>
      <c r="H117" s="18">
        <f t="shared" si="3"/>
        <v>9.8690472903431067E-2</v>
      </c>
      <c r="I117" s="17" cm="1">
        <f t="array" ref="I117">IFERROR(PRODUCT(1+E117:H117)^0.25-1,"")</f>
        <v>0.12073610230094678</v>
      </c>
    </row>
    <row r="119" spans="2:10">
      <c r="B119" s="2" t="s">
        <v>431</v>
      </c>
    </row>
    <row r="120" spans="2:10">
      <c r="B120" s="2" t="s">
        <v>428</v>
      </c>
    </row>
    <row r="121" spans="2:10">
      <c r="B121" s="1" t="s">
        <v>32</v>
      </c>
      <c r="C121" s="18">
        <f>C122</f>
        <v>0.72508186397984886</v>
      </c>
      <c r="D121" s="18">
        <f>D122*1.55</f>
        <v>0.57015192576557872</v>
      </c>
      <c r="E121" s="18">
        <f t="shared" ref="E121:H121" si="4">E122*1.55</f>
        <v>0.42146793316370545</v>
      </c>
      <c r="F121" s="18">
        <f t="shared" si="4"/>
        <v>0.35081115597744045</v>
      </c>
      <c r="G121" s="18">
        <f t="shared" si="4"/>
        <v>0.28041855015152933</v>
      </c>
      <c r="H121" s="18">
        <f t="shared" si="4"/>
        <v>0.28775566995235663</v>
      </c>
      <c r="I121" s="17" cm="1">
        <f t="array" ref="I121">IFERROR(PRODUCT(1+E121:H121)^0.25-1,"")</f>
        <v>0.3339184620593636</v>
      </c>
    </row>
    <row r="122" spans="2:10">
      <c r="B122" s="1266" t="s">
        <v>31</v>
      </c>
      <c r="C122" s="25">
        <v>0.72508186397984886</v>
      </c>
      <c r="D122" s="25">
        <v>0.36783995210682496</v>
      </c>
      <c r="E122" s="25">
        <v>0.27191479558948739</v>
      </c>
      <c r="F122" s="25">
        <v>0.22632977804996157</v>
      </c>
      <c r="G122" s="25">
        <v>0.18091519364614794</v>
      </c>
      <c r="H122" s="25">
        <v>0.18564881932410104</v>
      </c>
      <c r="I122" s="17" cm="1">
        <f t="array" ref="I122">IFERROR(PRODUCT(1+E122:H122)^0.25-1,"")</f>
        <v>0.21565410010570107</v>
      </c>
    </row>
    <row r="123" spans="2:10">
      <c r="B123" s="1" t="s">
        <v>418</v>
      </c>
      <c r="C123" s="18">
        <f>C122</f>
        <v>0.72508186397984886</v>
      </c>
      <c r="D123" s="18">
        <f>D122*0.7</f>
        <v>0.25748796647477745</v>
      </c>
      <c r="E123" s="18">
        <f t="shared" ref="E123:H123" si="5">E122*0.7</f>
        <v>0.19034035691264117</v>
      </c>
      <c r="F123" s="18">
        <f t="shared" si="5"/>
        <v>0.15843084463497309</v>
      </c>
      <c r="G123" s="18">
        <f t="shared" si="5"/>
        <v>0.12664063555230357</v>
      </c>
      <c r="H123" s="18">
        <f t="shared" si="5"/>
        <v>0.12995417352687072</v>
      </c>
      <c r="I123" s="17" cm="1">
        <f t="array" ref="I123">IFERROR(PRODUCT(1+E123:H123)^0.25-1,"")</f>
        <v>0.1510571267642562</v>
      </c>
    </row>
    <row r="125" spans="2:10">
      <c r="B125" s="2" t="s">
        <v>296</v>
      </c>
    </row>
    <row r="126" spans="2:10">
      <c r="B126" s="1" t="s">
        <v>32</v>
      </c>
      <c r="H126" s="1">
        <v>45</v>
      </c>
    </row>
    <row r="127" spans="2:10">
      <c r="B127" s="1266" t="s">
        <v>31</v>
      </c>
      <c r="C127" s="1266"/>
      <c r="D127" s="1266"/>
      <c r="E127" s="1266"/>
      <c r="F127" s="1266"/>
      <c r="G127" s="1266"/>
      <c r="H127" s="22">
        <v>47</v>
      </c>
    </row>
    <row r="128" spans="2:10">
      <c r="B128" s="1" t="s">
        <v>418</v>
      </c>
      <c r="H128" s="1">
        <v>55</v>
      </c>
    </row>
    <row r="129" spans="2:8">
      <c r="B129" s="2" t="s">
        <v>385</v>
      </c>
    </row>
    <row r="130" spans="2:8">
      <c r="B130" s="1" t="s">
        <v>32</v>
      </c>
      <c r="H130" s="4">
        <f>H131</f>
        <v>26</v>
      </c>
    </row>
    <row r="131" spans="2:8">
      <c r="B131" s="1266" t="s">
        <v>31</v>
      </c>
      <c r="C131" s="1266"/>
      <c r="D131" s="1266"/>
      <c r="E131" s="1266"/>
      <c r="F131" s="1266"/>
      <c r="G131" s="1266"/>
      <c r="H131" s="22">
        <v>26</v>
      </c>
    </row>
    <row r="132" spans="2:8">
      <c r="B132" s="1" t="s">
        <v>418</v>
      </c>
      <c r="H132" s="1">
        <v>30</v>
      </c>
    </row>
    <row r="133" spans="2:8">
      <c r="B133" s="2" t="s">
        <v>398</v>
      </c>
    </row>
    <row r="134" spans="2:8">
      <c r="B134" s="1" t="s">
        <v>32</v>
      </c>
      <c r="H134" s="1">
        <v>26</v>
      </c>
    </row>
    <row r="135" spans="2:8">
      <c r="B135" s="1266" t="s">
        <v>31</v>
      </c>
      <c r="C135" s="1266"/>
      <c r="D135" s="1266"/>
      <c r="E135" s="1266"/>
      <c r="F135" s="1266"/>
      <c r="G135" s="1266"/>
      <c r="H135" s="22">
        <v>26</v>
      </c>
    </row>
    <row r="136" spans="2:8">
      <c r="B136" s="1" t="s">
        <v>418</v>
      </c>
      <c r="H136" s="1">
        <v>24</v>
      </c>
    </row>
    <row r="138" spans="2:8">
      <c r="B138" s="2" t="s">
        <v>432</v>
      </c>
      <c r="E138" s="133" t="s">
        <v>423</v>
      </c>
      <c r="F138" s="2"/>
    </row>
    <row r="139" spans="2:8">
      <c r="B139" s="1" t="s">
        <v>32</v>
      </c>
      <c r="D139" s="1243">
        <v>0.20399999999999999</v>
      </c>
      <c r="E139" s="20">
        <f>$M$93*(1+D139)</f>
        <v>17.488905165239935</v>
      </c>
    </row>
    <row r="140" spans="2:8">
      <c r="B140" s="1266" t="s">
        <v>31</v>
      </c>
      <c r="C140" s="1266"/>
      <c r="D140" s="1344">
        <v>0.1</v>
      </c>
      <c r="E140" s="1055">
        <f>$M$93*(1+D140)</f>
        <v>15.978235616082999</v>
      </c>
      <c r="F140" s="1344"/>
      <c r="G140" s="1344"/>
      <c r="H140" s="1344"/>
    </row>
    <row r="141" spans="2:8">
      <c r="B141" s="1" t="s">
        <v>418</v>
      </c>
      <c r="D141" s="1243">
        <v>-3.5000000000000003E-2</v>
      </c>
      <c r="E141" s="20">
        <f>$M$93*(1+D141)</f>
        <v>14.017270335927357</v>
      </c>
    </row>
    <row r="145" spans="2:21">
      <c r="R145" s="1562" t="s">
        <v>17</v>
      </c>
      <c r="S145" s="1562"/>
      <c r="T145" s="1562"/>
      <c r="U145" s="1562"/>
    </row>
    <row r="146" spans="2:21">
      <c r="B146" s="1514" t="s">
        <v>433</v>
      </c>
      <c r="C146" s="1568" t="s">
        <v>434</v>
      </c>
      <c r="D146" s="1544"/>
      <c r="E146" s="1569"/>
      <c r="F146" s="1544" t="s">
        <v>435</v>
      </c>
      <c r="G146" s="1544"/>
      <c r="H146" s="1544"/>
      <c r="I146" s="1568" t="s">
        <v>436</v>
      </c>
      <c r="J146" s="1544"/>
      <c r="K146" s="1569"/>
      <c r="R146" s="1561" t="s">
        <v>378</v>
      </c>
      <c r="S146" s="573">
        <v>0.12243495341136215</v>
      </c>
      <c r="T146" s="642">
        <v>0.12743495341136216</v>
      </c>
      <c r="U146" s="642">
        <v>0.13243495341136216</v>
      </c>
    </row>
    <row r="147" spans="2:21" ht="39.75" customHeight="1">
      <c r="B147" s="1515" t="s">
        <v>437</v>
      </c>
      <c r="C147" s="1558"/>
      <c r="D147" s="1556"/>
      <c r="E147" s="1559"/>
      <c r="F147" s="1556"/>
      <c r="G147" s="1556"/>
      <c r="H147" s="1556"/>
      <c r="I147" s="1558"/>
      <c r="J147" s="1556"/>
      <c r="K147" s="1559"/>
      <c r="R147" s="1561"/>
      <c r="S147" s="629">
        <v>47.658513717684137</v>
      </c>
      <c r="T147" s="629">
        <v>45.167271993179092</v>
      </c>
      <c r="U147" s="629">
        <v>42.888968032303517</v>
      </c>
    </row>
    <row r="148" spans="2:21">
      <c r="B148" s="1516" t="s">
        <v>438</v>
      </c>
      <c r="C148" s="1563">
        <v>0.12348254141698778</v>
      </c>
      <c r="D148" s="1564"/>
      <c r="E148" s="1565"/>
      <c r="F148" s="1563">
        <f>((H70+H74+H75)/(D70+D74+D75))^0.25-1</f>
        <v>0.10169140761056372</v>
      </c>
      <c r="G148" s="1564"/>
      <c r="H148" s="1565"/>
      <c r="I148" s="1563">
        <v>8.1028224412590832E-2</v>
      </c>
      <c r="J148" s="1564"/>
      <c r="K148" s="1565"/>
      <c r="R148" s="1561"/>
      <c r="S148" s="629">
        <v>56.19256121016074</v>
      </c>
      <c r="T148" s="629">
        <v>52.560429237074572</v>
      </c>
      <c r="U148" s="629">
        <v>49.327611534382235</v>
      </c>
    </row>
    <row r="149" spans="2:21" ht="39.75" customHeight="1">
      <c r="B149" s="1515" t="s">
        <v>439</v>
      </c>
      <c r="C149" s="1558"/>
      <c r="D149" s="1556"/>
      <c r="E149" s="1559"/>
      <c r="F149" s="1556"/>
      <c r="G149" s="1556"/>
      <c r="H149" s="1556"/>
      <c r="I149" s="1558"/>
      <c r="J149" s="1556"/>
      <c r="K149" s="1559"/>
    </row>
    <row r="150" spans="2:21">
      <c r="B150" s="1516" t="s">
        <v>438</v>
      </c>
      <c r="C150" s="1563">
        <v>0.27407725251382109</v>
      </c>
      <c r="D150" s="1564"/>
      <c r="E150" s="1565"/>
      <c r="F150" s="1563">
        <f>((H76+H77)/(D76+D77))^0.25-1</f>
        <v>0.24824010849088918</v>
      </c>
      <c r="G150" s="1564"/>
      <c r="H150" s="1565"/>
      <c r="I150" s="1563">
        <v>0.17541926105680217</v>
      </c>
      <c r="J150" s="1564"/>
      <c r="K150" s="1565"/>
    </row>
    <row r="151" spans="2:21">
      <c r="B151" s="1515" t="s">
        <v>440</v>
      </c>
      <c r="C151" s="1558"/>
      <c r="D151" s="1556"/>
      <c r="E151" s="1559"/>
      <c r="F151" s="1556"/>
      <c r="G151" s="1556"/>
      <c r="H151" s="1556"/>
      <c r="I151" s="1558"/>
      <c r="J151" s="1556"/>
      <c r="K151" s="1559"/>
    </row>
    <row r="152" spans="2:21">
      <c r="B152" s="1517" t="s">
        <v>12</v>
      </c>
      <c r="C152" s="1570">
        <f>L63</f>
        <v>62.111846072750247</v>
      </c>
      <c r="D152" s="1571"/>
      <c r="E152" s="1572"/>
      <c r="F152" s="1573">
        <f>M63</f>
        <v>52.732379403693507</v>
      </c>
      <c r="G152" s="1573"/>
      <c r="H152" s="1573"/>
      <c r="I152" s="1570">
        <f>N63</f>
        <v>35.233643117164291</v>
      </c>
      <c r="J152" s="1571"/>
      <c r="K152" s="1572"/>
    </row>
    <row r="153" spans="2:21">
      <c r="B153" s="1515" t="s">
        <v>441</v>
      </c>
      <c r="C153" s="1574">
        <f>(C152/$M$90)-1</f>
        <v>0.20605526354854842</v>
      </c>
      <c r="D153" s="1575"/>
      <c r="E153" s="1576"/>
      <c r="F153" s="1577">
        <f>(F152/$M$90)-1</f>
        <v>2.3929697159097207E-2</v>
      </c>
      <c r="G153" s="1578"/>
      <c r="H153" s="1579"/>
      <c r="I153" s="1580">
        <f>(I152/$M$90)-1</f>
        <v>-0.31585158995797491</v>
      </c>
      <c r="J153" s="1581"/>
      <c r="K153" s="1582"/>
    </row>
    <row r="154" spans="2:21">
      <c r="B154" s="1516" t="s">
        <v>442</v>
      </c>
      <c r="C154" s="1589" t="s">
        <v>394</v>
      </c>
      <c r="D154" s="1590"/>
      <c r="E154" s="1591"/>
      <c r="F154" s="1586" t="s">
        <v>397</v>
      </c>
      <c r="G154" s="1587"/>
      <c r="H154" s="1588"/>
      <c r="I154" s="1583" t="s">
        <v>396</v>
      </c>
      <c r="J154" s="1584"/>
      <c r="K154" s="1585"/>
    </row>
  </sheetData>
  <mergeCells count="33">
    <mergeCell ref="C153:E153"/>
    <mergeCell ref="F153:H153"/>
    <mergeCell ref="I153:K153"/>
    <mergeCell ref="I154:K154"/>
    <mergeCell ref="F154:H154"/>
    <mergeCell ref="C154:E154"/>
    <mergeCell ref="C152:E152"/>
    <mergeCell ref="F152:H152"/>
    <mergeCell ref="I152:K152"/>
    <mergeCell ref="F150:H150"/>
    <mergeCell ref="I150:K150"/>
    <mergeCell ref="C150:E150"/>
    <mergeCell ref="C151:E151"/>
    <mergeCell ref="F151:H151"/>
    <mergeCell ref="I151:K151"/>
    <mergeCell ref="B7:B12"/>
    <mergeCell ref="B17:B22"/>
    <mergeCell ref="C146:E146"/>
    <mergeCell ref="F146:H146"/>
    <mergeCell ref="I146:K146"/>
    <mergeCell ref="K68:M68"/>
    <mergeCell ref="C149:E149"/>
    <mergeCell ref="I149:K149"/>
    <mergeCell ref="F149:H149"/>
    <mergeCell ref="K3:M3"/>
    <mergeCell ref="R146:R148"/>
    <mergeCell ref="R145:U145"/>
    <mergeCell ref="C147:E147"/>
    <mergeCell ref="F147:H147"/>
    <mergeCell ref="I147:K147"/>
    <mergeCell ref="C148:E148"/>
    <mergeCell ref="F148:H148"/>
    <mergeCell ref="I148:K148"/>
  </mergeCells>
  <conditionalFormatting sqref="D8:H12 S147:U148">
    <cfRule type="cellIs" dxfId="26" priority="43" operator="greaterThan">
      <formula>$L$8</formula>
    </cfRule>
    <cfRule type="cellIs" dxfId="25" priority="44" operator="between">
      <formula>$L$9</formula>
      <formula>$L$8</formula>
    </cfRule>
    <cfRule type="cellIs" dxfId="24" priority="45" operator="lessThan">
      <formula>$L$9</formula>
    </cfRule>
    <cfRule type="cellIs" dxfId="23" priority="46" operator="greaterThan">
      <formula>$L$8</formula>
    </cfRule>
    <cfRule type="cellIs" dxfId="22" priority="47" operator="between">
      <formula>$L$9</formula>
      <formula>$L$8</formula>
    </cfRule>
    <cfRule type="cellIs" dxfId="21" priority="48" operator="greaterThan">
      <formula>$L$8</formula>
    </cfRule>
  </conditionalFormatting>
  <conditionalFormatting sqref="D18:H22">
    <cfRule type="cellIs" dxfId="20" priority="49" operator="between">
      <formula>$L$19</formula>
      <formula>$L$18</formula>
    </cfRule>
    <cfRule type="cellIs" dxfId="19" priority="50" operator="lessThan">
      <formula>$L$19</formula>
    </cfRule>
    <cfRule type="cellIs" dxfId="18" priority="51" operator="greaterThan">
      <formula>$L$18</formula>
    </cfRule>
    <cfRule type="cellIs" dxfId="17" priority="52" operator="between">
      <formula>$L$9</formula>
      <formula>$L$8</formula>
    </cfRule>
    <cfRule type="cellIs" dxfId="16" priority="53" operator="greaterThan">
      <formula>$L$8</formula>
    </cfRule>
  </conditionalFormatting>
  <conditionalFormatting sqref="S21:W27">
    <cfRule type="cellIs" dxfId="15" priority="64" operator="between">
      <formula>52</formula>
      <formula>53</formula>
    </cfRule>
    <cfRule type="top10" dxfId="14" priority="68" percent="1" bottom="1" rank="10"/>
    <cfRule type="top10" dxfId="13" priority="69" percent="1" rank="10"/>
    <cfRule type="top10" dxfId="12" priority="70" percent="1" rank="10"/>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B2D90-BF94-4D2A-965E-BDD82CDEB571}">
  <sheetPr>
    <tabColor theme="5" tint="-0.249977111117893"/>
  </sheetPr>
  <dimension ref="A1"/>
  <sheetViews>
    <sheetView zoomScale="117" zoomScaleNormal="114" workbookViewId="0">
      <selection activeCell="J33" sqref="J33"/>
    </sheetView>
  </sheetViews>
  <sheetFormatPr defaultColWidth="8.5703125" defaultRowHeight="15"/>
  <cols>
    <col min="1" max="1" width="8.5703125" style="43"/>
    <col min="2" max="2" width="15" style="43" bestFit="1" customWidth="1"/>
    <col min="3" max="3" width="10.140625" style="43" bestFit="1" customWidth="1"/>
    <col min="4" max="4" width="9.42578125" style="43" bestFit="1" customWidth="1"/>
    <col min="5" max="16384" width="8.5703125" style="43"/>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52464-0858-4405-B73F-D9CDA4D04AC8}">
  <sheetPr>
    <tabColor theme="5" tint="0.39997558519241921"/>
  </sheetPr>
  <dimension ref="A1:CD248"/>
  <sheetViews>
    <sheetView zoomScale="85" zoomScaleNormal="85" workbookViewId="0">
      <pane xSplit="1" ySplit="1" topLeftCell="B23" activePane="bottomRight" state="frozen"/>
      <selection pane="bottomRight" activeCell="M14" sqref="M14"/>
      <selection pane="bottomLeft" activeCell="A2" sqref="A2"/>
      <selection pane="topRight" activeCell="B1" sqref="B1"/>
    </sheetView>
  </sheetViews>
  <sheetFormatPr defaultColWidth="8.85546875" defaultRowHeight="18" customHeight="1" outlineLevelRow="1"/>
  <cols>
    <col min="1" max="1" width="41.42578125" style="1128" customWidth="1"/>
    <col min="2" max="2" width="7.5703125" style="303" customWidth="1"/>
    <col min="3" max="7" width="9.42578125" style="303" customWidth="1"/>
    <col min="8" max="12" width="9.5703125" style="43" customWidth="1"/>
    <col min="13" max="13" width="9.5703125" style="1129" customWidth="1"/>
    <col min="14" max="19" width="9.5703125" style="43" customWidth="1"/>
    <col min="20" max="20" width="7.7109375" style="43" customWidth="1"/>
    <col min="21" max="23" width="9.140625" style="43" customWidth="1"/>
    <col min="24" max="24" width="116.85546875" style="43" customWidth="1"/>
    <col min="25" max="25" width="56.5703125" style="43" customWidth="1"/>
    <col min="26" max="26" width="8.85546875" style="43" customWidth="1"/>
    <col min="27" max="29" width="9.5703125" style="43" customWidth="1"/>
    <col min="30" max="30" width="9.5703125" style="1130" customWidth="1"/>
    <col min="31" max="33" width="9.5703125" style="43" customWidth="1"/>
    <col min="34" max="34" width="9.5703125" style="1130" customWidth="1"/>
    <col min="35" max="37" width="9.5703125" style="43" customWidth="1"/>
    <col min="38" max="38" width="9.5703125" style="1130" customWidth="1"/>
    <col min="39" max="41" width="9.5703125" style="43" customWidth="1"/>
    <col min="42" max="42" width="9.5703125" style="1130" customWidth="1"/>
    <col min="43" max="45" width="9.5703125" style="43" customWidth="1"/>
    <col min="46" max="46" width="9.5703125" style="1130" customWidth="1"/>
    <col min="47" max="48" width="9.5703125" style="43" customWidth="1"/>
    <col min="49" max="49" width="10.7109375" style="43" bestFit="1" customWidth="1"/>
    <col min="50" max="50" width="10.7109375" style="1129" bestFit="1" customWidth="1"/>
    <col min="51" max="51" width="2.140625" style="43" customWidth="1"/>
    <col min="52" max="52" width="12" style="43" bestFit="1" customWidth="1"/>
    <col min="53" max="53" width="3.5703125" style="43" customWidth="1"/>
    <col min="54" max="54" width="13.5703125" style="43" customWidth="1"/>
    <col min="55" max="55" width="10.5703125" style="43" bestFit="1" customWidth="1"/>
    <col min="56" max="57" width="8.85546875" style="43"/>
    <col min="58" max="60" width="12" style="43" hidden="1" customWidth="1"/>
    <col min="61" max="61" width="12" style="1130" hidden="1" customWidth="1"/>
    <col min="62" max="64" width="12" style="43" hidden="1" customWidth="1"/>
    <col min="65" max="65" width="12" style="1130" hidden="1" customWidth="1"/>
    <col min="66" max="68" width="12" style="43" hidden="1" customWidth="1"/>
    <col min="69" max="69" width="12" style="1130" hidden="1" customWidth="1"/>
    <col min="70" max="72" width="12" style="43" hidden="1" customWidth="1"/>
    <col min="73" max="73" width="12" style="1130" hidden="1" customWidth="1"/>
    <col min="74" max="76" width="12" style="43" hidden="1" customWidth="1"/>
    <col min="77" max="77" width="12" style="1130" hidden="1" customWidth="1"/>
    <col min="78" max="79" width="12" style="43" customWidth="1"/>
    <col min="80" max="80" width="9.28515625" style="1130" bestFit="1" customWidth="1"/>
    <col min="81" max="81" width="8.85546875" style="43"/>
    <col min="82" max="82" width="9.5703125" style="43" bestFit="1" customWidth="1"/>
    <col min="83" max="16384" width="8.85546875" style="43"/>
  </cols>
  <sheetData>
    <row r="1" spans="1:82" s="945" customFormat="1" ht="18" customHeight="1">
      <c r="A1" s="864" t="s">
        <v>443</v>
      </c>
      <c r="C1" s="945" t="str">
        <f>'A. Raw FS'!C1</f>
        <v>2012A</v>
      </c>
      <c r="D1" s="945" t="str">
        <f>'A. Raw FS'!D1</f>
        <v>2013A</v>
      </c>
      <c r="E1" s="945" t="str">
        <f>'A. Raw FS'!E1</f>
        <v>2014A</v>
      </c>
      <c r="F1" s="945" t="str">
        <f>'A. Raw FS'!F1</f>
        <v>2015A</v>
      </c>
      <c r="G1" s="945" t="str">
        <f>'A. Raw FS'!G1</f>
        <v>2016A</v>
      </c>
      <c r="H1" s="945" t="s">
        <v>444</v>
      </c>
      <c r="I1" s="945" t="s">
        <v>109</v>
      </c>
      <c r="J1" s="945" t="s">
        <v>110</v>
      </c>
      <c r="K1" s="945" t="s">
        <v>111</v>
      </c>
      <c r="L1" s="945" t="s">
        <v>112</v>
      </c>
      <c r="M1" s="1125" t="s">
        <v>113</v>
      </c>
      <c r="N1" s="945" t="s">
        <v>114</v>
      </c>
      <c r="O1" s="945" t="s">
        <v>287</v>
      </c>
      <c r="P1" s="945" t="s">
        <v>288</v>
      </c>
      <c r="Q1" s="945" t="s">
        <v>413</v>
      </c>
      <c r="R1" s="945" t="s">
        <v>414</v>
      </c>
      <c r="S1" s="945" t="s">
        <v>415</v>
      </c>
      <c r="U1" s="1552" t="s">
        <v>445</v>
      </c>
      <c r="V1" s="1552"/>
      <c r="W1" s="1552"/>
      <c r="X1" s="1359"/>
      <c r="AA1" s="945" t="s">
        <v>446</v>
      </c>
      <c r="AB1" s="945" t="s">
        <v>447</v>
      </c>
      <c r="AC1" s="945" t="s">
        <v>448</v>
      </c>
      <c r="AD1" s="1127" t="s">
        <v>449</v>
      </c>
      <c r="AE1" s="945" t="s">
        <v>450</v>
      </c>
      <c r="AF1" s="945" t="s">
        <v>451</v>
      </c>
      <c r="AG1" s="945" t="s">
        <v>452</v>
      </c>
      <c r="AH1" s="1127" t="s">
        <v>453</v>
      </c>
      <c r="AI1" s="945" t="s">
        <v>454</v>
      </c>
      <c r="AJ1" s="945" t="s">
        <v>455</v>
      </c>
      <c r="AK1" s="945" t="s">
        <v>456</v>
      </c>
      <c r="AL1" s="1127" t="s">
        <v>457</v>
      </c>
      <c r="AM1" s="945" t="s">
        <v>458</v>
      </c>
      <c r="AN1" s="945" t="s">
        <v>459</v>
      </c>
      <c r="AO1" s="945" t="s">
        <v>460</v>
      </c>
      <c r="AP1" s="1127" t="s">
        <v>461</v>
      </c>
      <c r="AQ1" s="945" t="s">
        <v>462</v>
      </c>
      <c r="AR1" s="945" t="s">
        <v>463</v>
      </c>
      <c r="AS1" s="945" t="s">
        <v>464</v>
      </c>
      <c r="AT1" s="1127" t="s">
        <v>465</v>
      </c>
      <c r="AU1" s="945" t="s">
        <v>466</v>
      </c>
      <c r="AV1" s="945" t="s">
        <v>467</v>
      </c>
      <c r="AW1" s="945" t="s">
        <v>468</v>
      </c>
      <c r="AX1" s="1125" t="s">
        <v>469</v>
      </c>
      <c r="AZ1" s="945" t="s">
        <v>470</v>
      </c>
      <c r="BE1" s="945" t="s">
        <v>471</v>
      </c>
      <c r="BF1" s="945" t="s">
        <v>446</v>
      </c>
      <c r="BG1" s="945" t="s">
        <v>447</v>
      </c>
      <c r="BH1" s="945" t="s">
        <v>448</v>
      </c>
      <c r="BI1" s="1127" t="s">
        <v>449</v>
      </c>
      <c r="BJ1" s="945" t="s">
        <v>450</v>
      </c>
      <c r="BK1" s="945" t="s">
        <v>451</v>
      </c>
      <c r="BL1" s="945" t="s">
        <v>452</v>
      </c>
      <c r="BM1" s="1127" t="s">
        <v>453</v>
      </c>
      <c r="BN1" s="945" t="s">
        <v>454</v>
      </c>
      <c r="BO1" s="945" t="s">
        <v>455</v>
      </c>
      <c r="BP1" s="945" t="s">
        <v>456</v>
      </c>
      <c r="BQ1" s="1127" t="s">
        <v>457</v>
      </c>
      <c r="BR1" s="945" t="s">
        <v>458</v>
      </c>
      <c r="BS1" s="945" t="s">
        <v>459</v>
      </c>
      <c r="BT1" s="945" t="s">
        <v>460</v>
      </c>
      <c r="BU1" s="1127" t="s">
        <v>461</v>
      </c>
      <c r="BV1" s="945" t="s">
        <v>462</v>
      </c>
      <c r="BW1" s="945" t="s">
        <v>463</v>
      </c>
      <c r="BX1" s="945" t="s">
        <v>464</v>
      </c>
      <c r="BY1" s="1127" t="s">
        <v>465</v>
      </c>
      <c r="BZ1" s="945" t="s">
        <v>466</v>
      </c>
      <c r="CA1" s="945" t="s">
        <v>467</v>
      </c>
      <c r="CB1" s="945" t="s">
        <v>468</v>
      </c>
    </row>
    <row r="2" spans="1:82" ht="15">
      <c r="J2" s="303"/>
      <c r="CB2" s="43"/>
    </row>
    <row r="3" spans="1:82" s="1360" customFormat="1" ht="15">
      <c r="A3" s="864" t="s">
        <v>472</v>
      </c>
      <c r="B3" s="403"/>
      <c r="C3" s="403"/>
      <c r="D3" s="403"/>
      <c r="E3" s="403"/>
      <c r="F3" s="403"/>
      <c r="G3" s="403"/>
      <c r="H3" s="448"/>
      <c r="M3" s="1361"/>
      <c r="AD3" s="1362"/>
      <c r="AH3" s="1362"/>
      <c r="AL3" s="1362"/>
      <c r="AP3" s="1362"/>
      <c r="AT3" s="1362"/>
      <c r="AX3" s="1361"/>
      <c r="BI3" s="1362"/>
      <c r="BM3" s="1362"/>
      <c r="BQ3" s="1362"/>
      <c r="BU3" s="1362"/>
      <c r="BY3" s="1362"/>
    </row>
    <row r="4" spans="1:82" ht="15">
      <c r="A4" s="511"/>
      <c r="B4" s="410"/>
      <c r="C4" s="410"/>
      <c r="D4" s="410"/>
      <c r="E4" s="410"/>
      <c r="F4" s="410"/>
      <c r="G4" s="410"/>
      <c r="H4" s="397"/>
      <c r="CB4" s="43"/>
    </row>
    <row r="5" spans="1:82" ht="15">
      <c r="A5" s="1128" t="s">
        <v>473</v>
      </c>
      <c r="C5" s="90">
        <f>'A. Raw FS'!C12</f>
        <v>2250.1317825830001</v>
      </c>
      <c r="D5" s="486">
        <f>'A. Raw FS'!D12</f>
        <v>3151.278618199</v>
      </c>
      <c r="E5" s="486">
        <f>'A. Raw FS'!E12</f>
        <v>4956.0698697429998</v>
      </c>
      <c r="F5" s="486">
        <f>'A. Raw FS'!F12</f>
        <v>4246.3895809160003</v>
      </c>
      <c r="G5" s="486">
        <f>'A. Raw FS'!G12</f>
        <v>3843.909468369</v>
      </c>
      <c r="H5" s="486">
        <f>'A. Raw FS'!H12</f>
        <v>3865.3848881829999</v>
      </c>
      <c r="I5" s="486">
        <f>'A. Raw FS'!I12</f>
        <v>5998.266652845</v>
      </c>
      <c r="J5" s="486">
        <f>'A. Raw FS'!J12</f>
        <v>8603.2027487079995</v>
      </c>
      <c r="K5" s="486">
        <f>'A. Raw FS'!K12</f>
        <v>12709.255795237001</v>
      </c>
      <c r="L5" s="486">
        <f>'A. Raw FS'!L12</f>
        <v>21302.662313033001</v>
      </c>
      <c r="M5" s="658">
        <f>'A. Raw FS'!M12</f>
        <v>22107.364604909999</v>
      </c>
      <c r="N5" s="486"/>
      <c r="R5" s="486"/>
      <c r="S5" s="486"/>
      <c r="T5" s="486"/>
      <c r="U5" s="486"/>
      <c r="V5" s="486"/>
      <c r="W5" s="486"/>
      <c r="Y5" s="486"/>
      <c r="Z5" s="486"/>
      <c r="AA5" s="486">
        <f>'A. Raw FS'!AA12</f>
        <v>1276.4952251669999</v>
      </c>
      <c r="AB5" s="486">
        <f>'A. Raw FS'!AB12</f>
        <v>1371.6192590650001</v>
      </c>
      <c r="AC5" s="486">
        <f>'A. Raw FS'!AC12</f>
        <v>1759.820460227</v>
      </c>
      <c r="AD5" s="984">
        <f>'A. Raw FS'!AD12</f>
        <v>1585.6013205669999</v>
      </c>
      <c r="AE5" s="486">
        <f>'A. Raw FS'!AE12</f>
        <v>1372.8715693950001</v>
      </c>
      <c r="AF5" s="486">
        <f>'A. Raw FS'!AF12</f>
        <v>2010.5841188899999</v>
      </c>
      <c r="AG5" s="486">
        <f>'A. Raw FS'!AG12</f>
        <v>2629.3915140429999</v>
      </c>
      <c r="AH5" s="984">
        <f>'A. Raw FS'!AH12</f>
        <v>2587.6197254160002</v>
      </c>
      <c r="AI5" s="486">
        <f>'A. Raw FS'!AI12</f>
        <v>2356.7487346439998</v>
      </c>
      <c r="AJ5" s="486">
        <f>'A. Raw FS'!AJ12</f>
        <v>2556.474575147</v>
      </c>
      <c r="AK5" s="486">
        <f>'A. Raw FS'!AK12</f>
        <v>3654.806805407</v>
      </c>
      <c r="AL5" s="984">
        <f>'A. Raw FS'!AL12</f>
        <v>4112.257191486</v>
      </c>
      <c r="AM5" s="486">
        <f>'A. Raw FS'!AM12</f>
        <v>5063.1606505440004</v>
      </c>
      <c r="AN5" s="486">
        <f>'A. Raw FS'!AN12</f>
        <v>4346.1970736909998</v>
      </c>
      <c r="AO5" s="486">
        <f>'A. Raw FS'!AO12</f>
        <v>3868.0906163099999</v>
      </c>
      <c r="AP5" s="984">
        <f>'A. Raw FS'!AP12</f>
        <v>8073.4162574009997</v>
      </c>
      <c r="AQ5" s="486">
        <f>'A. Raw FS'!AQ12</f>
        <v>7104.0746711230004</v>
      </c>
      <c r="AR5" s="486">
        <f>'A. Raw FS'!AR12</f>
        <v>4824.5138081470004</v>
      </c>
      <c r="AS5" s="486">
        <f>'A. Raw FS'!AS12</f>
        <v>5942.2797151570003</v>
      </c>
      <c r="AT5" s="984">
        <f>'A. Raw FS'!AT12</f>
        <v>4267.5691671840004</v>
      </c>
      <c r="AU5" s="486">
        <f>'A. Raw FS'!AU12</f>
        <v>3941.9095183569998</v>
      </c>
      <c r="AV5" s="486">
        <f>'A. Raw FS'!AV12</f>
        <v>4622.6422324770001</v>
      </c>
      <c r="AW5" s="486">
        <f>'A. Raw FS'!AW12</f>
        <v>5552.96</v>
      </c>
      <c r="AZ5" s="417"/>
      <c r="BA5" s="417"/>
      <c r="BB5" s="417"/>
      <c r="BC5" s="617"/>
      <c r="BI5" s="1149">
        <f t="shared" ref="BI5:BR7" si="0">SUM(AA5:AD5)</f>
        <v>5993.5362650259995</v>
      </c>
      <c r="BJ5" s="415">
        <f t="shared" si="0"/>
        <v>6089.912609254</v>
      </c>
      <c r="BK5" s="415">
        <f t="shared" si="0"/>
        <v>6728.8774690789996</v>
      </c>
      <c r="BL5" s="415">
        <f t="shared" si="0"/>
        <v>7598.4485228949998</v>
      </c>
      <c r="BM5" s="1149">
        <f t="shared" si="0"/>
        <v>8600.4669277440007</v>
      </c>
      <c r="BN5" s="415">
        <f t="shared" si="0"/>
        <v>9584.3440929929984</v>
      </c>
      <c r="BO5" s="415">
        <f t="shared" si="0"/>
        <v>10130.234549249999</v>
      </c>
      <c r="BP5" s="415">
        <f t="shared" si="0"/>
        <v>11155.649840614</v>
      </c>
      <c r="BQ5" s="1149">
        <f t="shared" si="0"/>
        <v>12680.287306683998</v>
      </c>
      <c r="BR5" s="415">
        <f t="shared" si="0"/>
        <v>15386.699222584</v>
      </c>
      <c r="BS5" s="415">
        <f t="shared" ref="BS5:CA7" si="1">SUM(AK5:AN5)</f>
        <v>17176.421721128001</v>
      </c>
      <c r="BT5" s="415">
        <f t="shared" si="1"/>
        <v>17389.705532031003</v>
      </c>
      <c r="BU5" s="1149">
        <f t="shared" si="1"/>
        <v>21350.864597946002</v>
      </c>
      <c r="BV5" s="415">
        <f t="shared" si="1"/>
        <v>23391.778618525001</v>
      </c>
      <c r="BW5" s="415">
        <f t="shared" si="1"/>
        <v>23870.095352980999</v>
      </c>
      <c r="BX5" s="415">
        <f t="shared" si="1"/>
        <v>25944.284451828</v>
      </c>
      <c r="BY5" s="1149">
        <f t="shared" si="1"/>
        <v>22138.437361611002</v>
      </c>
      <c r="BZ5" s="415">
        <f t="shared" si="1"/>
        <v>18976.272208844999</v>
      </c>
      <c r="CA5" s="415">
        <f t="shared" si="1"/>
        <v>18774.400633174999</v>
      </c>
      <c r="CB5" s="415">
        <f>SUM(AT5:AW5)</f>
        <v>18385.080918018</v>
      </c>
    </row>
    <row r="6" spans="1:82" ht="15">
      <c r="A6" s="1128" t="s">
        <v>474</v>
      </c>
      <c r="C6" s="90">
        <f>'A. Raw FS'!C13</f>
        <v>-110.45648120600001</v>
      </c>
      <c r="D6" s="486">
        <f>'A. Raw FS'!D13</f>
        <v>-94.010352862000005</v>
      </c>
      <c r="E6" s="486">
        <f>'A. Raw FS'!E13</f>
        <v>-79.505130468000004</v>
      </c>
      <c r="F6" s="486">
        <f>'A. Raw FS'!F13</f>
        <v>-43.033836352000002</v>
      </c>
      <c r="G6" s="486">
        <f>'A. Raw FS'!G13</f>
        <v>-43.836052485000003</v>
      </c>
      <c r="H6" s="486">
        <f>'A. Raw FS'!H13</f>
        <v>-44.441133297</v>
      </c>
      <c r="I6" s="486">
        <f>'A. Raw FS'!I13</f>
        <v>-60.896006044000003</v>
      </c>
      <c r="J6" s="486">
        <f>'A. Raw FS'!J13</f>
        <v>-115.134138593</v>
      </c>
      <c r="K6" s="486">
        <f>'A. Raw FS'!K13</f>
        <v>-173.61795780700001</v>
      </c>
      <c r="L6" s="486">
        <f>'A. Raw FS'!L13</f>
        <v>-379.84884425400003</v>
      </c>
      <c r="M6" s="658">
        <f>'A. Raw FS'!M13</f>
        <v>-79.229675376000003</v>
      </c>
      <c r="N6" s="618"/>
      <c r="R6" s="618"/>
      <c r="S6" s="618"/>
      <c r="T6" s="618"/>
      <c r="U6" s="599"/>
      <c r="V6" s="599"/>
      <c r="W6" s="599"/>
      <c r="Y6" s="618"/>
      <c r="Z6" s="486"/>
      <c r="AA6" s="486">
        <f>'A. Raw FS'!AA13</f>
        <v>-11.978546839</v>
      </c>
      <c r="AB6" s="486">
        <f>'A. Raw FS'!AB13</f>
        <v>0.99937448900000003</v>
      </c>
      <c r="AC6" s="486">
        <f>'A. Raw FS'!AC13</f>
        <v>-17.669730612999999</v>
      </c>
      <c r="AD6" s="984">
        <f>'A. Raw FS'!AD13</f>
        <v>-24.881038230000001</v>
      </c>
      <c r="AE6" s="486">
        <f>'A. Raw FS'!AE13</f>
        <v>-1.077190844</v>
      </c>
      <c r="AF6" s="486">
        <f>'A. Raw FS'!AF13</f>
        <v>-8.4298721289999996</v>
      </c>
      <c r="AG6" s="486">
        <f>'A. Raw FS'!AG13</f>
        <v>-14.843812534</v>
      </c>
      <c r="AH6" s="984">
        <f>'A. Raw FS'!AH13</f>
        <v>-87.813225824</v>
      </c>
      <c r="AI6" s="486">
        <f>'A. Raw FS'!AI13</f>
        <v>-46.033588262999999</v>
      </c>
      <c r="AJ6" s="486">
        <f>'A. Raw FS'!AJ13</f>
        <v>25.501628113999999</v>
      </c>
      <c r="AK6" s="486">
        <f>'A. Raw FS'!AK13</f>
        <v>-30.532521799000001</v>
      </c>
      <c r="AL6" s="984">
        <f>'A. Raw FS'!AL13</f>
        <v>-95.080110103999999</v>
      </c>
      <c r="AM6" s="486">
        <f>'A. Raw FS'!AM13</f>
        <v>-56.363167517999997</v>
      </c>
      <c r="AN6" s="486">
        <f>'A. Raw FS'!AN13</f>
        <v>-128.656438708</v>
      </c>
      <c r="AO6" s="486">
        <f>'A. Raw FS'!AO13</f>
        <v>-42.966499102</v>
      </c>
      <c r="AP6" s="984">
        <f>'A. Raw FS'!AP13</f>
        <v>-151.86273892599999</v>
      </c>
      <c r="AQ6" s="486">
        <f>'A. Raw FS'!AQ13</f>
        <v>-95.374478749999994</v>
      </c>
      <c r="AR6" s="486">
        <f>'A. Raw FS'!AR13</f>
        <v>85.650124802999997</v>
      </c>
      <c r="AS6" s="486">
        <f>'A. Raw FS'!AS13</f>
        <v>122.94115678199999</v>
      </c>
      <c r="AT6" s="984">
        <f>'A. Raw FS'!AT13</f>
        <v>-192.446478211</v>
      </c>
      <c r="AU6" s="486">
        <f>'A. Raw FS'!AU13</f>
        <v>18.017694814999999</v>
      </c>
      <c r="AV6" s="486">
        <f>'A. Raw FS'!AV13</f>
        <v>-26.835644598999998</v>
      </c>
      <c r="AW6" s="486">
        <f>'A. Raw FS'!AW13</f>
        <v>-140.19999999999999</v>
      </c>
      <c r="BC6" s="90"/>
      <c r="BI6" s="1149">
        <f t="shared" si="0"/>
        <v>-53.529941192999999</v>
      </c>
      <c r="BJ6" s="415">
        <f t="shared" si="0"/>
        <v>-42.628585197999996</v>
      </c>
      <c r="BK6" s="415">
        <f t="shared" si="0"/>
        <v>-52.057831816000004</v>
      </c>
      <c r="BL6" s="415">
        <f t="shared" si="0"/>
        <v>-49.231913737000006</v>
      </c>
      <c r="BM6" s="1149">
        <f t="shared" si="0"/>
        <v>-112.164101331</v>
      </c>
      <c r="BN6" s="415">
        <f t="shared" si="0"/>
        <v>-157.12049875</v>
      </c>
      <c r="BO6" s="415">
        <f t="shared" si="0"/>
        <v>-123.18899850699998</v>
      </c>
      <c r="BP6" s="415">
        <f t="shared" si="0"/>
        <v>-138.87770777199998</v>
      </c>
      <c r="BQ6" s="1149">
        <f t="shared" si="0"/>
        <v>-146.14459205200001</v>
      </c>
      <c r="BR6" s="415">
        <f t="shared" si="0"/>
        <v>-156.47417130700001</v>
      </c>
      <c r="BS6" s="415">
        <f t="shared" si="1"/>
        <v>-310.63223812899997</v>
      </c>
      <c r="BT6" s="415">
        <f t="shared" si="1"/>
        <v>-323.06621543199998</v>
      </c>
      <c r="BU6" s="1149">
        <f t="shared" si="1"/>
        <v>-379.84884425400003</v>
      </c>
      <c r="BV6" s="415">
        <f t="shared" si="1"/>
        <v>-418.86015548599994</v>
      </c>
      <c r="BW6" s="415">
        <f t="shared" si="1"/>
        <v>-204.55359197500002</v>
      </c>
      <c r="BX6" s="415">
        <f t="shared" si="1"/>
        <v>-38.645936091000024</v>
      </c>
      <c r="BY6" s="1149">
        <f t="shared" si="1"/>
        <v>-79.229675376000003</v>
      </c>
      <c r="BZ6" s="415">
        <f t="shared" si="1"/>
        <v>34.16249818899999</v>
      </c>
      <c r="CA6" s="415">
        <f t="shared" si="1"/>
        <v>-78.323271212999998</v>
      </c>
      <c r="CB6" s="415">
        <f>SUM(AT6:AW6)</f>
        <v>-341.46442799499999</v>
      </c>
    </row>
    <row r="7" spans="1:82" s="397" customFormat="1" ht="15">
      <c r="A7" s="511" t="s">
        <v>475</v>
      </c>
      <c r="B7" s="410"/>
      <c r="C7" s="466">
        <f t="shared" ref="C7:H7" si="2">SUM(C5:C6)</f>
        <v>2139.6753013770003</v>
      </c>
      <c r="D7" s="608">
        <f t="shared" si="2"/>
        <v>3057.2682653369998</v>
      </c>
      <c r="E7" s="608">
        <f t="shared" si="2"/>
        <v>4876.5647392749997</v>
      </c>
      <c r="F7" s="608">
        <f t="shared" si="2"/>
        <v>4203.3557445639999</v>
      </c>
      <c r="G7" s="608">
        <f t="shared" si="2"/>
        <v>3800.073415884</v>
      </c>
      <c r="H7" s="608">
        <f t="shared" si="2"/>
        <v>3820.9437548860001</v>
      </c>
      <c r="I7" s="608">
        <f>SUM(I5:I6)</f>
        <v>5937.3706468009996</v>
      </c>
      <c r="J7" s="608">
        <f>SUM(J5:J6)</f>
        <v>8488.0686101149986</v>
      </c>
      <c r="K7" s="608">
        <f>SUM(K5:K6)</f>
        <v>12535.63783743</v>
      </c>
      <c r="L7" s="608">
        <f>SUM(L5:L6)</f>
        <v>20922.813468779001</v>
      </c>
      <c r="M7" s="659">
        <f>SUM(M5:M6)</f>
        <v>22028.134929534001</v>
      </c>
      <c r="N7" s="705">
        <f>AZ7</f>
        <v>20110.122037759385</v>
      </c>
      <c r="O7" s="705">
        <f>'B. Sales &amp; COGS'!O3</f>
        <v>22950.392951999493</v>
      </c>
      <c r="P7" s="705">
        <f>'B. Sales &amp; COGS'!P3</f>
        <v>25996.134851328941</v>
      </c>
      <c r="Q7" s="705">
        <f>'B. Sales &amp; COGS'!Q3</f>
        <v>28880.512300807575</v>
      </c>
      <c r="R7" s="705">
        <f>'B. Sales &amp; COGS'!R3</f>
        <v>32058.410812200782</v>
      </c>
      <c r="S7" s="705">
        <f>'B. Sales &amp; COGS'!S3</f>
        <v>35560.360121561112</v>
      </c>
      <c r="T7" s="608"/>
      <c r="U7" s="617"/>
      <c r="V7" s="617"/>
      <c r="W7" s="608"/>
      <c r="Y7" s="608"/>
      <c r="Z7" s="608"/>
      <c r="AA7" s="608">
        <f>SUM(AA5:AA6)</f>
        <v>1264.5166783279999</v>
      </c>
      <c r="AB7" s="608">
        <f t="shared" ref="AB7:AI7" si="3">SUM(AB5:AB6)</f>
        <v>1372.6186335540001</v>
      </c>
      <c r="AC7" s="608">
        <f t="shared" si="3"/>
        <v>1742.1507296140001</v>
      </c>
      <c r="AD7" s="986">
        <f t="shared" si="3"/>
        <v>1560.7202823369998</v>
      </c>
      <c r="AE7" s="608">
        <f t="shared" si="3"/>
        <v>1371.7943785510001</v>
      </c>
      <c r="AF7" s="608">
        <f t="shared" si="3"/>
        <v>2002.154246761</v>
      </c>
      <c r="AG7" s="608">
        <f t="shared" si="3"/>
        <v>2614.547701509</v>
      </c>
      <c r="AH7" s="986">
        <f t="shared" si="3"/>
        <v>2499.8064995920004</v>
      </c>
      <c r="AI7" s="608">
        <f t="shared" si="3"/>
        <v>2310.7151463809996</v>
      </c>
      <c r="AJ7" s="608">
        <f t="shared" ref="AJ7:AW7" si="4">SUM(AJ5:AJ6)</f>
        <v>2581.9762032610001</v>
      </c>
      <c r="AK7" s="608">
        <f t="shared" si="4"/>
        <v>3624.2742836080001</v>
      </c>
      <c r="AL7" s="986">
        <f t="shared" si="4"/>
        <v>4017.1770813819999</v>
      </c>
      <c r="AM7" s="608">
        <f t="shared" si="4"/>
        <v>5006.797483026</v>
      </c>
      <c r="AN7" s="608">
        <f t="shared" si="4"/>
        <v>4217.540634983</v>
      </c>
      <c r="AO7" s="608">
        <f t="shared" si="4"/>
        <v>3825.1241172079999</v>
      </c>
      <c r="AP7" s="986">
        <f t="shared" si="4"/>
        <v>7921.5535184749997</v>
      </c>
      <c r="AQ7" s="608">
        <f t="shared" si="4"/>
        <v>7008.7001923730004</v>
      </c>
      <c r="AR7" s="608">
        <f t="shared" si="4"/>
        <v>4910.1639329500003</v>
      </c>
      <c r="AS7" s="608">
        <f t="shared" si="4"/>
        <v>6065.2208719390001</v>
      </c>
      <c r="AT7" s="986">
        <f t="shared" si="4"/>
        <v>4075.1226889730005</v>
      </c>
      <c r="AU7" s="608">
        <f>SUM(AU5:AU6)</f>
        <v>3959.9272131719999</v>
      </c>
      <c r="AV7" s="608">
        <f t="shared" si="4"/>
        <v>4595.8065878779998</v>
      </c>
      <c r="AW7" s="608">
        <f t="shared" si="4"/>
        <v>5412.76</v>
      </c>
      <c r="AX7" s="659">
        <f>'B. Sales &amp; COGS'!BC3</f>
        <v>6141.6282367093845</v>
      </c>
      <c r="AZ7" s="608">
        <f>SUM(AU7:AX7)</f>
        <v>20110.122037759385</v>
      </c>
      <c r="BA7" s="397" t="s">
        <v>337</v>
      </c>
      <c r="BB7" s="397" t="s">
        <v>476</v>
      </c>
      <c r="BC7" s="466">
        <f>'B. Sales &amp; COGS'!N3</f>
        <v>20110.628236709381</v>
      </c>
      <c r="BI7" s="467">
        <f t="shared" si="0"/>
        <v>5940.0063238329994</v>
      </c>
      <c r="BJ7" s="417">
        <f t="shared" si="0"/>
        <v>6047.2840240559999</v>
      </c>
      <c r="BK7" s="417">
        <f t="shared" si="0"/>
        <v>6676.8196372629991</v>
      </c>
      <c r="BL7" s="417">
        <f t="shared" si="0"/>
        <v>7549.2166091580002</v>
      </c>
      <c r="BM7" s="467">
        <f t="shared" si="0"/>
        <v>8488.3028264130007</v>
      </c>
      <c r="BN7" s="417">
        <f t="shared" si="0"/>
        <v>9427.2235942429998</v>
      </c>
      <c r="BO7" s="417">
        <f t="shared" si="0"/>
        <v>10007.045550743</v>
      </c>
      <c r="BP7" s="417">
        <f t="shared" si="0"/>
        <v>11016.772132841999</v>
      </c>
      <c r="BQ7" s="467">
        <f t="shared" si="0"/>
        <v>12534.142714632</v>
      </c>
      <c r="BR7" s="417">
        <f t="shared" si="0"/>
        <v>15230.225051277001</v>
      </c>
      <c r="BS7" s="417">
        <f t="shared" si="1"/>
        <v>16865.789482999</v>
      </c>
      <c r="BT7" s="417">
        <f t="shared" si="1"/>
        <v>17066.639316599001</v>
      </c>
      <c r="BU7" s="467">
        <f t="shared" si="1"/>
        <v>20971.015753692001</v>
      </c>
      <c r="BV7" s="417">
        <f t="shared" si="1"/>
        <v>22972.918463039001</v>
      </c>
      <c r="BW7" s="417">
        <f t="shared" si="1"/>
        <v>23665.541761005999</v>
      </c>
      <c r="BX7" s="417">
        <f t="shared" si="1"/>
        <v>25905.638515736999</v>
      </c>
      <c r="BY7" s="467">
        <f>SUM(AQ7:AT7)</f>
        <v>22059.207686235</v>
      </c>
      <c r="BZ7" s="417">
        <f t="shared" si="1"/>
        <v>19010.434707034001</v>
      </c>
      <c r="CA7" s="417">
        <f t="shared" si="1"/>
        <v>18696.077361962001</v>
      </c>
      <c r="CB7" s="417">
        <f>SUM(AT7:AW7)</f>
        <v>18043.616490023</v>
      </c>
      <c r="CC7" s="573"/>
    </row>
    <row r="8" spans="1:82" s="427" customFormat="1" ht="15">
      <c r="A8" s="512" t="s">
        <v>477</v>
      </c>
      <c r="B8" s="431"/>
      <c r="C8" s="469" t="e">
        <f t="shared" ref="C8:H8" si="5">C7/B7-1</f>
        <v>#DIV/0!</v>
      </c>
      <c r="D8" s="492">
        <f t="shared" si="5"/>
        <v>0.42884682707206889</v>
      </c>
      <c r="E8" s="492">
        <f t="shared" si="5"/>
        <v>0.59507256676327702</v>
      </c>
      <c r="F8" s="492">
        <f t="shared" si="5"/>
        <v>-0.1380498426052037</v>
      </c>
      <c r="G8" s="492">
        <f t="shared" si="5"/>
        <v>-9.5942944920031081E-2</v>
      </c>
      <c r="H8" s="492">
        <f t="shared" si="5"/>
        <v>5.4920883672309184E-3</v>
      </c>
      <c r="I8" s="492">
        <f t="shared" ref="I8:N8" si="6">I7/H7-1</f>
        <v>0.55390160852502368</v>
      </c>
      <c r="J8" s="492">
        <f t="shared" si="6"/>
        <v>0.42960059512004545</v>
      </c>
      <c r="K8" s="492">
        <f t="shared" si="6"/>
        <v>0.4768539715255864</v>
      </c>
      <c r="L8" s="492">
        <f t="shared" si="6"/>
        <v>0.66906652378755238</v>
      </c>
      <c r="M8" s="660">
        <f t="shared" si="6"/>
        <v>5.282852912703917E-2</v>
      </c>
      <c r="N8" s="492">
        <f t="shared" si="6"/>
        <v>-8.7071052447706743E-2</v>
      </c>
      <c r="O8" s="492">
        <f>O7/N7-1</f>
        <v>0.14123588653053054</v>
      </c>
      <c r="P8" s="492">
        <f>P7/O7-1</f>
        <v>0.13270979306104191</v>
      </c>
      <c r="Q8" s="492">
        <f>Q7/P7-1</f>
        <v>0.11095408859718159</v>
      </c>
      <c r="R8" s="492">
        <f>R7/Q7-1</f>
        <v>0.1100360851737503</v>
      </c>
      <c r="S8" s="492">
        <f>S7/R7-1</f>
        <v>0.10923652235523673</v>
      </c>
      <c r="T8" s="492"/>
      <c r="U8" s="492"/>
      <c r="V8" s="492"/>
      <c r="W8" s="492"/>
      <c r="Y8" s="432"/>
      <c r="Z8" s="432"/>
      <c r="AA8" s="432" t="e">
        <f t="shared" ref="AA8:AW8" si="7">AA7/Z7-1</f>
        <v>#DIV/0!</v>
      </c>
      <c r="AB8" s="432">
        <f t="shared" si="7"/>
        <v>8.548875398696798E-2</v>
      </c>
      <c r="AC8" s="432">
        <f t="shared" si="7"/>
        <v>0.26921687279095363</v>
      </c>
      <c r="AD8" s="429">
        <f t="shared" si="7"/>
        <v>-0.10414164755835964</v>
      </c>
      <c r="AE8" s="432">
        <f t="shared" si="7"/>
        <v>-0.12105045723062224</v>
      </c>
      <c r="AF8" s="432">
        <f t="shared" si="7"/>
        <v>0.45951483550751737</v>
      </c>
      <c r="AG8" s="432">
        <f t="shared" si="7"/>
        <v>0.30586727058552254</v>
      </c>
      <c r="AH8" s="429">
        <f t="shared" si="7"/>
        <v>-4.3885679290064705E-2</v>
      </c>
      <c r="AI8" s="432">
        <f t="shared" si="7"/>
        <v>-7.5642396018196889E-2</v>
      </c>
      <c r="AJ8" s="432">
        <f t="shared" si="7"/>
        <v>0.11739268568211214</v>
      </c>
      <c r="AK8" s="432">
        <f t="shared" si="7"/>
        <v>0.40368229537924938</v>
      </c>
      <c r="AL8" s="429">
        <f t="shared" si="7"/>
        <v>0.10840868185695407</v>
      </c>
      <c r="AM8" s="432">
        <f t="shared" si="7"/>
        <v>0.24634721885437738</v>
      </c>
      <c r="AN8" s="432">
        <f t="shared" si="7"/>
        <v>-0.15763706255719978</v>
      </c>
      <c r="AO8" s="432">
        <f t="shared" si="7"/>
        <v>-9.3043921028298948E-2</v>
      </c>
      <c r="AP8" s="429">
        <f t="shared" si="7"/>
        <v>1.07092718451631</v>
      </c>
      <c r="AQ8" s="432">
        <f t="shared" si="7"/>
        <v>-0.11523665452401499</v>
      </c>
      <c r="AR8" s="432">
        <f t="shared" si="7"/>
        <v>-0.29941875124101713</v>
      </c>
      <c r="AS8" s="432">
        <f t="shared" si="7"/>
        <v>0.23523795839847805</v>
      </c>
      <c r="AT8" s="429">
        <f t="shared" si="7"/>
        <v>-0.32811635799996541</v>
      </c>
      <c r="AU8" s="432">
        <f t="shared" si="7"/>
        <v>-2.826797733297981E-2</v>
      </c>
      <c r="AV8" s="432">
        <f t="shared" si="7"/>
        <v>0.16057855118923881</v>
      </c>
      <c r="AW8" s="432">
        <f t="shared" si="7"/>
        <v>0.17776061644474206</v>
      </c>
      <c r="AX8" s="664">
        <f>AX7/AT7-1</f>
        <v>0.50710265811829536</v>
      </c>
      <c r="AZ8" s="432">
        <f>AZ7/SUM(AQ7:AT7)-1</f>
        <v>-8.8357010650561563E-2</v>
      </c>
      <c r="BC8" s="430"/>
      <c r="BG8" s="471"/>
      <c r="BI8" s="429"/>
      <c r="BJ8" s="428"/>
      <c r="BK8" s="428"/>
      <c r="BL8" s="432"/>
      <c r="BM8" s="429">
        <f t="shared" ref="BM8:CA8" si="8">BM7/BI7-1</f>
        <v>0.42900568848816012</v>
      </c>
      <c r="BN8" s="428">
        <f t="shared" si="8"/>
        <v>0.55891860821182759</v>
      </c>
      <c r="BO8" s="428">
        <f t="shared" si="8"/>
        <v>0.49877428093072562</v>
      </c>
      <c r="BP8" s="432">
        <f t="shared" si="8"/>
        <v>0.45932653720354066</v>
      </c>
      <c r="BQ8" s="429">
        <f t="shared" si="8"/>
        <v>0.47663708175320796</v>
      </c>
      <c r="BR8" s="428">
        <f t="shared" si="8"/>
        <v>0.61555784680632453</v>
      </c>
      <c r="BS8" s="428">
        <f t="shared" si="8"/>
        <v>0.6853914971683881</v>
      </c>
      <c r="BT8" s="432">
        <f t="shared" si="8"/>
        <v>0.54915061424587308</v>
      </c>
      <c r="BU8" s="429">
        <f t="shared" si="8"/>
        <v>0.67311129537491521</v>
      </c>
      <c r="BV8" s="428">
        <f t="shared" si="8"/>
        <v>0.508376822121404</v>
      </c>
      <c r="BW8" s="428">
        <f t="shared" si="8"/>
        <v>0.40316833581145217</v>
      </c>
      <c r="BX8" s="432">
        <f t="shared" si="8"/>
        <v>0.51791093929905663</v>
      </c>
      <c r="BY8" s="429">
        <f t="shared" si="8"/>
        <v>5.1890282536811272E-2</v>
      </c>
      <c r="BZ8" s="428">
        <f t="shared" si="8"/>
        <v>-0.17248499629597425</v>
      </c>
      <c r="CA8" s="428">
        <f t="shared" si="8"/>
        <v>-0.20998734992968748</v>
      </c>
      <c r="CB8" s="428">
        <f>CB7/BX7-1</f>
        <v>-0.30348690386218524</v>
      </c>
      <c r="CC8" s="428"/>
      <c r="CD8" s="428"/>
    </row>
    <row r="9" spans="1:82" s="476" customFormat="1" ht="15">
      <c r="A9" s="514"/>
      <c r="B9" s="475"/>
      <c r="E9" s="619">
        <f t="shared" ref="E9:S9" si="9">E105/D105-1</f>
        <v>0.8971318086452178</v>
      </c>
      <c r="F9" s="619">
        <f t="shared" si="9"/>
        <v>-8.5207363458799867E-2</v>
      </c>
      <c r="G9" s="619">
        <f t="shared" si="9"/>
        <v>6.6757901820545529E-2</v>
      </c>
      <c r="H9" s="619">
        <f t="shared" si="9"/>
        <v>0.23626709427156944</v>
      </c>
      <c r="I9" s="619">
        <f t="shared" si="9"/>
        <v>0.48824769384683164</v>
      </c>
      <c r="J9" s="619">
        <f t="shared" si="9"/>
        <v>0.10612785387636436</v>
      </c>
      <c r="K9" s="619">
        <f t="shared" si="9"/>
        <v>-0.43083030114393317</v>
      </c>
      <c r="L9" s="619">
        <f t="shared" si="9"/>
        <v>2.4907081174342105</v>
      </c>
      <c r="M9" s="661">
        <f t="shared" si="9"/>
        <v>0.12680512775877695</v>
      </c>
      <c r="N9" s="619">
        <f t="shared" si="9"/>
        <v>-3.3643828293331568E-2</v>
      </c>
      <c r="O9" s="619">
        <f t="shared" si="9"/>
        <v>1.4173050776337126E-2</v>
      </c>
      <c r="P9" s="619">
        <f t="shared" si="9"/>
        <v>0.10848414304525322</v>
      </c>
      <c r="Q9" s="619">
        <f t="shared" si="9"/>
        <v>6.7622174731932994E-2</v>
      </c>
      <c r="R9" s="619">
        <f t="shared" si="9"/>
        <v>6.1302352853045639E-2</v>
      </c>
      <c r="S9" s="619">
        <f t="shared" si="9"/>
        <v>5.1523784512249371E-2</v>
      </c>
      <c r="AA9" s="476" t="e">
        <f t="shared" ref="AA9:AW9" si="10">AA105/Z105-1</f>
        <v>#DIV/0!</v>
      </c>
      <c r="AB9" s="476">
        <f t="shared" si="10"/>
        <v>0.11624157757798503</v>
      </c>
      <c r="AC9" s="476">
        <f t="shared" si="10"/>
        <v>2.4170440531992021E-3</v>
      </c>
      <c r="AD9" s="988">
        <f t="shared" si="10"/>
        <v>0.96657307703401596</v>
      </c>
      <c r="AE9" s="476">
        <f t="shared" si="10"/>
        <v>-0.31386988452343001</v>
      </c>
      <c r="AF9" s="476">
        <f t="shared" si="10"/>
        <v>8.6123947912354559E-2</v>
      </c>
      <c r="AG9" s="476">
        <f t="shared" si="10"/>
        <v>-0.1434012826158193</v>
      </c>
      <c r="AH9" s="988">
        <f t="shared" si="10"/>
        <v>0.77011961843327659</v>
      </c>
      <c r="AI9" s="476">
        <f t="shared" si="10"/>
        <v>-0.43689300538921494</v>
      </c>
      <c r="AJ9" s="476">
        <f t="shared" si="10"/>
        <v>0.22989704639334074</v>
      </c>
      <c r="AK9" s="476">
        <f t="shared" si="10"/>
        <v>-0.22633692872678846</v>
      </c>
      <c r="AL9" s="988">
        <f t="shared" si="10"/>
        <v>4.0227392358322733E-2</v>
      </c>
      <c r="AM9" s="476">
        <f t="shared" si="10"/>
        <v>-0.19453411185242009</v>
      </c>
      <c r="AN9" s="476">
        <f t="shared" si="10"/>
        <v>0.4630639919608921</v>
      </c>
      <c r="AO9" s="476">
        <f t="shared" si="10"/>
        <v>-4.1084863863574683E-2</v>
      </c>
      <c r="AP9" s="988">
        <f t="shared" si="10"/>
        <v>2.0407437510085153</v>
      </c>
      <c r="AQ9" s="476">
        <f t="shared" si="10"/>
        <v>0.23541224305197073</v>
      </c>
      <c r="AR9" s="476">
        <f t="shared" si="10"/>
        <v>-3.2920255096391182E-2</v>
      </c>
      <c r="AS9" s="476">
        <f t="shared" si="10"/>
        <v>-0.19828187788707952</v>
      </c>
      <c r="AT9" s="988">
        <f t="shared" si="10"/>
        <v>0.19507728194970531</v>
      </c>
      <c r="AU9" s="476">
        <f t="shared" si="10"/>
        <v>-6.8085075962669217E-2</v>
      </c>
      <c r="AV9" s="476">
        <f t="shared" si="10"/>
        <v>-0.14502433862294972</v>
      </c>
      <c r="AW9" s="476">
        <f t="shared" si="10"/>
        <v>-0.13281120649452338</v>
      </c>
      <c r="AX9" s="689"/>
      <c r="AY9" s="620"/>
      <c r="AZ9" s="620"/>
      <c r="BA9" s="621"/>
      <c r="BC9" s="703"/>
      <c r="BI9" s="477"/>
      <c r="BJ9" s="478"/>
      <c r="BK9" s="478"/>
      <c r="BL9" s="478"/>
      <c r="BM9" s="477"/>
      <c r="BN9" s="478"/>
      <c r="BO9" s="478"/>
      <c r="BP9" s="478"/>
      <c r="BQ9" s="477"/>
      <c r="BR9" s="478"/>
      <c r="BS9" s="478"/>
      <c r="BT9" s="478"/>
      <c r="BU9" s="477"/>
      <c r="BV9" s="478"/>
      <c r="BW9" s="478"/>
      <c r="BX9" s="478"/>
      <c r="BY9" s="477"/>
    </row>
    <row r="10" spans="1:82" ht="15">
      <c r="A10" s="1128" t="s">
        <v>478</v>
      </c>
      <c r="C10" s="90">
        <f t="shared" ref="C10:H10" si="11">C13-C7</f>
        <v>-1988.2367515990004</v>
      </c>
      <c r="D10" s="486">
        <f t="shared" si="11"/>
        <v>-2900.6026059239998</v>
      </c>
      <c r="E10" s="486">
        <f t="shared" si="11"/>
        <v>-4589.2206272249996</v>
      </c>
      <c r="F10" s="486">
        <f t="shared" si="11"/>
        <v>-3938.8893555699997</v>
      </c>
      <c r="G10" s="486">
        <f t="shared" si="11"/>
        <v>-3559.3117586220001</v>
      </c>
      <c r="H10" s="486">
        <f t="shared" si="11"/>
        <v>-3546.1934184880001</v>
      </c>
      <c r="I10" s="486">
        <f t="shared" ref="I10:S10" si="12">I13-I7</f>
        <v>-5568.4643656089993</v>
      </c>
      <c r="J10" s="486">
        <f t="shared" si="12"/>
        <v>-7939.9421788389991</v>
      </c>
      <c r="K10" s="486">
        <f t="shared" si="12"/>
        <v>-11732.855520719</v>
      </c>
      <c r="L10" s="486">
        <f t="shared" si="12"/>
        <v>-19414.819300276002</v>
      </c>
      <c r="M10" s="658">
        <f t="shared" si="12"/>
        <v>-20365.038536062999</v>
      </c>
      <c r="N10" s="486">
        <f t="shared" si="12"/>
        <v>-18669.295301013921</v>
      </c>
      <c r="O10" s="486">
        <f t="shared" si="12"/>
        <v>-21348.223488221407</v>
      </c>
      <c r="P10" s="486">
        <f t="shared" si="12"/>
        <v>-24180.256798939245</v>
      </c>
      <c r="Q10" s="486">
        <f t="shared" si="12"/>
        <v>-26853.783442731041</v>
      </c>
      <c r="R10" s="486">
        <f t="shared" si="12"/>
        <v>-29776.472950448464</v>
      </c>
      <c r="S10" s="486">
        <f t="shared" si="12"/>
        <v>-32994.422317080469</v>
      </c>
      <c r="T10" s="486"/>
      <c r="U10" s="486"/>
      <c r="V10" s="486"/>
      <c r="W10" s="486"/>
      <c r="Y10" s="601"/>
      <c r="Z10" s="486"/>
      <c r="AA10" s="486">
        <f>AA13-AA7</f>
        <v>-1192.2493691489999</v>
      </c>
      <c r="AB10" s="486">
        <f t="shared" ref="AB10:AI10" si="13">AB13-AB7</f>
        <v>-1290.8982798730001</v>
      </c>
      <c r="AC10" s="486">
        <f t="shared" si="13"/>
        <v>-1638.8025162250001</v>
      </c>
      <c r="AD10" s="984">
        <f t="shared" si="13"/>
        <v>-1448.8528264989998</v>
      </c>
      <c r="AE10" s="486">
        <f t="shared" si="13"/>
        <v>-1291.0731659750002</v>
      </c>
      <c r="AF10" s="486">
        <f t="shared" si="13"/>
        <v>-1881.040684173</v>
      </c>
      <c r="AG10" s="486">
        <f t="shared" si="13"/>
        <v>-2435.4052956760002</v>
      </c>
      <c r="AH10" s="984">
        <f t="shared" si="13"/>
        <v>-2333.6025072960006</v>
      </c>
      <c r="AI10" s="486">
        <f t="shared" si="13"/>
        <v>-2167.4511783439998</v>
      </c>
      <c r="AJ10" s="486">
        <f t="shared" ref="AJ10:AW10" si="14">AJ13-AJ7</f>
        <v>-2416.432847947</v>
      </c>
      <c r="AK10" s="486">
        <f t="shared" si="14"/>
        <v>-3392.968899988</v>
      </c>
      <c r="AL10" s="984">
        <f t="shared" si="14"/>
        <v>-3762.6499515609999</v>
      </c>
      <c r="AM10" s="486">
        <f t="shared" si="14"/>
        <v>-4687.7688930450004</v>
      </c>
      <c r="AN10" s="486">
        <f t="shared" si="14"/>
        <v>-3912.4189683449999</v>
      </c>
      <c r="AO10" s="486">
        <f t="shared" si="14"/>
        <v>-3551.1529907079998</v>
      </c>
      <c r="AP10" s="984">
        <f t="shared" si="14"/>
        <v>-7308.6290162929999</v>
      </c>
      <c r="AQ10" s="486">
        <f t="shared" si="14"/>
        <v>-6542.2475455399999</v>
      </c>
      <c r="AR10" s="486">
        <f t="shared" si="14"/>
        <v>-4589.9357838660007</v>
      </c>
      <c r="AS10" s="486">
        <f t="shared" si="14"/>
        <v>-5659.2647217249996</v>
      </c>
      <c r="AT10" s="984">
        <f t="shared" si="14"/>
        <v>-3605.2998848150005</v>
      </c>
      <c r="AU10" s="486">
        <f t="shared" si="14"/>
        <v>-3699.1936032409999</v>
      </c>
      <c r="AV10" s="486">
        <f t="shared" si="14"/>
        <v>-4202.8301105680002</v>
      </c>
      <c r="AW10" s="486">
        <f t="shared" si="14"/>
        <v>-5027.92</v>
      </c>
      <c r="AX10" s="658">
        <f>AX13-AX7</f>
        <v>-5739.3515872049202</v>
      </c>
      <c r="AZ10" s="486">
        <f>SUM(AU10:AX10)</f>
        <v>-18669.295301013921</v>
      </c>
      <c r="BC10" s="90"/>
      <c r="BG10" s="415"/>
      <c r="BI10" s="1149">
        <f t="shared" ref="BI10:CA10" si="15">SUM(AA10:AD10)</f>
        <v>-5570.8029917460008</v>
      </c>
      <c r="BJ10" s="415">
        <f t="shared" si="15"/>
        <v>-5669.6267885719999</v>
      </c>
      <c r="BK10" s="415">
        <f t="shared" si="15"/>
        <v>-6259.7691928719996</v>
      </c>
      <c r="BL10" s="415">
        <f t="shared" si="15"/>
        <v>-7056.3719723230006</v>
      </c>
      <c r="BM10" s="1149">
        <f t="shared" si="15"/>
        <v>-7941.1216531200007</v>
      </c>
      <c r="BN10" s="415">
        <f t="shared" si="15"/>
        <v>-8817.4996654890001</v>
      </c>
      <c r="BO10" s="415">
        <f t="shared" si="15"/>
        <v>-9352.8918292630005</v>
      </c>
      <c r="BP10" s="415">
        <f t="shared" si="15"/>
        <v>-10310.455433575</v>
      </c>
      <c r="BQ10" s="1149">
        <f t="shared" si="15"/>
        <v>-11739.502877839999</v>
      </c>
      <c r="BR10" s="415">
        <f t="shared" si="15"/>
        <v>-14259.820592541</v>
      </c>
      <c r="BS10" s="415">
        <f t="shared" si="15"/>
        <v>-15755.806712939</v>
      </c>
      <c r="BT10" s="415">
        <f t="shared" si="15"/>
        <v>-15913.990803659</v>
      </c>
      <c r="BU10" s="1149">
        <f t="shared" si="15"/>
        <v>-19459.969868391003</v>
      </c>
      <c r="BV10" s="415">
        <f t="shared" si="15"/>
        <v>-21314.448520885999</v>
      </c>
      <c r="BW10" s="415">
        <f t="shared" si="15"/>
        <v>-21991.965336407</v>
      </c>
      <c r="BX10" s="415">
        <f t="shared" si="15"/>
        <v>-24100.077067423998</v>
      </c>
      <c r="BY10" s="1149">
        <f t="shared" si="15"/>
        <v>-20396.747935946005</v>
      </c>
      <c r="BZ10" s="415">
        <f t="shared" si="15"/>
        <v>-17553.693993647001</v>
      </c>
      <c r="CA10" s="415">
        <f t="shared" si="15"/>
        <v>-17166.588320349001</v>
      </c>
      <c r="CB10" s="415">
        <f>SUM(AT10:AW10)</f>
        <v>-16535.243598624002</v>
      </c>
    </row>
    <row r="11" spans="1:82" s="473" customFormat="1" ht="15">
      <c r="A11" s="513" t="s">
        <v>479</v>
      </c>
      <c r="B11" s="472"/>
      <c r="C11" s="469">
        <f t="shared" ref="C11:H11" si="16">-C10/C$7</f>
        <v>0.9292235837463092</v>
      </c>
      <c r="D11" s="492">
        <f t="shared" si="16"/>
        <v>0.94875632564231949</v>
      </c>
      <c r="E11" s="492">
        <f t="shared" si="16"/>
        <v>0.941076530834138</v>
      </c>
      <c r="F11" s="492">
        <f t="shared" si="16"/>
        <v>0.93708208272972804</v>
      </c>
      <c r="G11" s="492">
        <f t="shared" si="16"/>
        <v>0.93664289319894833</v>
      </c>
      <c r="H11" s="492">
        <f t="shared" si="16"/>
        <v>0.92809359309551065</v>
      </c>
      <c r="I11" s="492">
        <f>-I10/I$7</f>
        <v>0.93786706218336502</v>
      </c>
      <c r="J11" s="492">
        <f t="shared" ref="J11:S11" si="17">-J10/J$7</f>
        <v>0.93542389247150848</v>
      </c>
      <c r="K11" s="492">
        <f t="shared" si="17"/>
        <v>0.9359599944476712</v>
      </c>
      <c r="L11" s="492">
        <f t="shared" si="17"/>
        <v>0.92792584177298976</v>
      </c>
      <c r="M11" s="660">
        <f t="shared" si="17"/>
        <v>0.92450126173681546</v>
      </c>
      <c r="N11" s="492">
        <f t="shared" si="17"/>
        <v>0.92835315797486839</v>
      </c>
      <c r="O11" s="492">
        <f t="shared" si="17"/>
        <v>0.93018988968384964</v>
      </c>
      <c r="P11" s="492">
        <f t="shared" si="17"/>
        <v>0.93014815230130765</v>
      </c>
      <c r="Q11" s="492">
        <f t="shared" si="17"/>
        <v>0.92982365281588641</v>
      </c>
      <c r="R11" s="492">
        <f t="shared" si="17"/>
        <v>0.92881937051964347</v>
      </c>
      <c r="S11" s="492">
        <f t="shared" si="17"/>
        <v>0.92784274974412162</v>
      </c>
      <c r="T11" s="492"/>
      <c r="U11" s="492"/>
      <c r="V11" s="492"/>
      <c r="W11" s="492"/>
      <c r="Y11" s="492"/>
      <c r="Z11" s="492"/>
      <c r="AA11" s="492">
        <f>-AA10/AA$7</f>
        <v>0.94284985685237854</v>
      </c>
      <c r="AB11" s="492">
        <f t="shared" ref="AB11:AI11" si="18">-AB10/AB$7</f>
        <v>0.94046390477054165</v>
      </c>
      <c r="AC11" s="492">
        <f t="shared" si="18"/>
        <v>0.94067780035778059</v>
      </c>
      <c r="AD11" s="470">
        <f t="shared" si="18"/>
        <v>0.92832318698998939</v>
      </c>
      <c r="AE11" s="492">
        <f t="shared" si="18"/>
        <v>0.94115647808583069</v>
      </c>
      <c r="AF11" s="492">
        <f t="shared" si="18"/>
        <v>0.93950837564891299</v>
      </c>
      <c r="AG11" s="492">
        <f t="shared" si="18"/>
        <v>0.93148244886501519</v>
      </c>
      <c r="AH11" s="470">
        <f t="shared" si="18"/>
        <v>0.93351325699684096</v>
      </c>
      <c r="AI11" s="492">
        <f t="shared" si="18"/>
        <v>0.93800016057306879</v>
      </c>
      <c r="AJ11" s="492">
        <f t="shared" ref="AJ11:AW11" si="19">-AJ10/AJ$7</f>
        <v>0.93588501896147569</v>
      </c>
      <c r="AK11" s="492">
        <f t="shared" si="19"/>
        <v>0.93617884146733688</v>
      </c>
      <c r="AL11" s="470">
        <f t="shared" si="19"/>
        <v>0.93664030122031938</v>
      </c>
      <c r="AM11" s="492">
        <f t="shared" si="19"/>
        <v>0.93628090789320573</v>
      </c>
      <c r="AN11" s="492">
        <f t="shared" si="19"/>
        <v>0.92765412522475199</v>
      </c>
      <c r="AO11" s="492">
        <f t="shared" si="19"/>
        <v>0.92837588582616382</v>
      </c>
      <c r="AP11" s="470">
        <f t="shared" si="19"/>
        <v>0.92262571972119989</v>
      </c>
      <c r="AQ11" s="492">
        <f t="shared" si="19"/>
        <v>0.93344662576085036</v>
      </c>
      <c r="AR11" s="492">
        <f t="shared" si="19"/>
        <v>0.93478259515225426</v>
      </c>
      <c r="AS11" s="492">
        <f t="shared" si="19"/>
        <v>0.93306820002348578</v>
      </c>
      <c r="AT11" s="470">
        <f t="shared" si="19"/>
        <v>0.88470953146286668</v>
      </c>
      <c r="AU11" s="492">
        <f t="shared" si="19"/>
        <v>0.93415696908172563</v>
      </c>
      <c r="AV11" s="492">
        <f t="shared" si="19"/>
        <v>0.91449238130548771</v>
      </c>
      <c r="AW11" s="492">
        <f t="shared" si="19"/>
        <v>0.92890133684109399</v>
      </c>
      <c r="AX11" s="660">
        <f>-AX10/AX$7</f>
        <v>0.93450000000000011</v>
      </c>
      <c r="AZ11" s="492">
        <f>-AZ10/AZ$7</f>
        <v>0.92835315797486839</v>
      </c>
      <c r="BC11" s="704"/>
      <c r="BF11" s="469"/>
      <c r="BG11" s="469"/>
      <c r="BH11" s="469"/>
      <c r="BI11" s="470">
        <f t="shared" ref="BI11:CA11" si="20">-BI10/BI$7</f>
        <v>0.93784462305946548</v>
      </c>
      <c r="BJ11" s="469">
        <f t="shared" si="20"/>
        <v>0.93754928096949219</v>
      </c>
      <c r="BK11" s="469">
        <f t="shared" si="20"/>
        <v>0.93753756023849111</v>
      </c>
      <c r="BL11" s="469">
        <f t="shared" si="20"/>
        <v>0.93471579074348898</v>
      </c>
      <c r="BM11" s="470">
        <f t="shared" si="20"/>
        <v>0.93553703437743296</v>
      </c>
      <c r="BN11" s="469">
        <f t="shared" si="20"/>
        <v>0.93532306488133532</v>
      </c>
      <c r="BO11" s="469">
        <f t="shared" si="20"/>
        <v>0.93463068413519612</v>
      </c>
      <c r="BP11" s="469">
        <f t="shared" si="20"/>
        <v>0.93588714636645653</v>
      </c>
      <c r="BQ11" s="470">
        <f t="shared" si="20"/>
        <v>0.9366019794984175</v>
      </c>
      <c r="BR11" s="469">
        <f t="shared" si="20"/>
        <v>0.93628429944607838</v>
      </c>
      <c r="BS11" s="469">
        <f t="shared" si="20"/>
        <v>0.93418732214232358</v>
      </c>
      <c r="BT11" s="469">
        <f t="shared" si="20"/>
        <v>0.93246189296219928</v>
      </c>
      <c r="BU11" s="470">
        <f t="shared" si="20"/>
        <v>0.92794598492278679</v>
      </c>
      <c r="BV11" s="469">
        <f t="shared" si="20"/>
        <v>0.92780760769158233</v>
      </c>
      <c r="BW11" s="469">
        <f t="shared" si="20"/>
        <v>0.92928214187952496</v>
      </c>
      <c r="BX11" s="469">
        <f t="shared" si="20"/>
        <v>0.93030237617126599</v>
      </c>
      <c r="BY11" s="470">
        <f t="shared" si="20"/>
        <v>0.92463647045100472</v>
      </c>
      <c r="BZ11" s="469">
        <f t="shared" si="20"/>
        <v>0.92337152012373525</v>
      </c>
      <c r="CA11" s="469">
        <f t="shared" si="20"/>
        <v>0.91819198155839832</v>
      </c>
      <c r="CB11" s="469">
        <f>-CB10/CB$7</f>
        <v>0.91640407053469386</v>
      </c>
    </row>
    <row r="12" spans="1:82" s="476" customFormat="1" ht="15">
      <c r="A12" s="514" t="s">
        <v>480</v>
      </c>
      <c r="B12" s="475"/>
      <c r="M12" s="662"/>
      <c r="AA12" s="622"/>
      <c r="AB12" s="622"/>
      <c r="AC12" s="622"/>
      <c r="AD12" s="989"/>
      <c r="AE12" s="622"/>
      <c r="AF12" s="622"/>
      <c r="AG12" s="622"/>
      <c r="AH12" s="989"/>
      <c r="AI12" s="622"/>
      <c r="AJ12" s="622"/>
      <c r="AK12" s="622"/>
      <c r="AL12" s="989"/>
      <c r="AM12" s="622"/>
      <c r="AN12" s="622"/>
      <c r="AO12" s="622"/>
      <c r="AP12" s="989"/>
      <c r="AQ12" s="622"/>
      <c r="AR12" s="622"/>
      <c r="AS12" s="622"/>
      <c r="AT12" s="989"/>
      <c r="AU12" s="622"/>
      <c r="AV12" s="622"/>
      <c r="AW12" s="622"/>
      <c r="AX12" s="690">
        <f>AX10*-1</f>
        <v>5739.3515872049202</v>
      </c>
      <c r="AZ12" s="622"/>
      <c r="BC12" s="703"/>
      <c r="BI12" s="477">
        <f t="shared" ref="BI12:BR13" si="21">SUM(AA12:AD12)</f>
        <v>0</v>
      </c>
      <c r="BJ12" s="478">
        <f t="shared" si="21"/>
        <v>0</v>
      </c>
      <c r="BK12" s="478">
        <f t="shared" si="21"/>
        <v>0</v>
      </c>
      <c r="BL12" s="478">
        <f t="shared" si="21"/>
        <v>0</v>
      </c>
      <c r="BM12" s="477">
        <f t="shared" si="21"/>
        <v>0</v>
      </c>
      <c r="BN12" s="478">
        <f t="shared" si="21"/>
        <v>0</v>
      </c>
      <c r="BO12" s="478">
        <f t="shared" si="21"/>
        <v>0</v>
      </c>
      <c r="BP12" s="478">
        <f t="shared" si="21"/>
        <v>0</v>
      </c>
      <c r="BQ12" s="477">
        <f t="shared" si="21"/>
        <v>0</v>
      </c>
      <c r="BR12" s="478">
        <f t="shared" si="21"/>
        <v>0</v>
      </c>
      <c r="BS12" s="478">
        <f t="shared" ref="BS12:CA13" si="22">SUM(AK12:AN12)</f>
        <v>0</v>
      </c>
      <c r="BT12" s="478">
        <f t="shared" si="22"/>
        <v>0</v>
      </c>
      <c r="BU12" s="477">
        <f t="shared" si="22"/>
        <v>0</v>
      </c>
      <c r="BV12" s="478">
        <f t="shared" si="22"/>
        <v>0</v>
      </c>
      <c r="BW12" s="478">
        <f t="shared" si="22"/>
        <v>0</v>
      </c>
      <c r="BX12" s="478">
        <f t="shared" si="22"/>
        <v>0</v>
      </c>
      <c r="BY12" s="477">
        <f t="shared" si="22"/>
        <v>0</v>
      </c>
      <c r="BZ12" s="478">
        <f t="shared" si="22"/>
        <v>0</v>
      </c>
      <c r="CA12" s="478">
        <f t="shared" si="22"/>
        <v>0</v>
      </c>
      <c r="CB12" s="478">
        <f>SUM(AT12:AW12)</f>
        <v>0</v>
      </c>
    </row>
    <row r="13" spans="1:82" s="397" customFormat="1" ht="15">
      <c r="A13" s="511" t="s">
        <v>481</v>
      </c>
      <c r="B13" s="410"/>
      <c r="C13" s="466">
        <f>'A. Raw FS'!C16</f>
        <v>151.43854977800001</v>
      </c>
      <c r="D13" s="608">
        <f>'A. Raw FS'!D16</f>
        <v>156.66565941299999</v>
      </c>
      <c r="E13" s="608">
        <f>'A. Raw FS'!E16</f>
        <v>287.34411204999998</v>
      </c>
      <c r="F13" s="608">
        <f>'A. Raw FS'!F16</f>
        <v>264.466388994</v>
      </c>
      <c r="G13" s="608">
        <f>'A. Raw FS'!G16</f>
        <v>240.761657262</v>
      </c>
      <c r="H13" s="608">
        <f>'A. Raw FS'!H16</f>
        <v>274.750336398</v>
      </c>
      <c r="I13" s="608">
        <f>'A. Raw FS'!I16</f>
        <v>368.90628119199999</v>
      </c>
      <c r="J13" s="608">
        <f>'A. Raw FS'!J16</f>
        <v>548.12643127599995</v>
      </c>
      <c r="K13" s="608">
        <f>'A. Raw FS'!K16</f>
        <v>802.78231671100002</v>
      </c>
      <c r="L13" s="608">
        <f>'A. Raw FS'!L16</f>
        <v>1507.9941685030001</v>
      </c>
      <c r="M13" s="659">
        <f>'A. Raw FS'!M16</f>
        <v>1663.0963934710001</v>
      </c>
      <c r="N13" s="705">
        <f>AZ13</f>
        <v>1440.8267367454648</v>
      </c>
      <c r="O13" s="705">
        <f>'B. Sales &amp; COGS'!O46</f>
        <v>1602.1694637780852</v>
      </c>
      <c r="P13" s="705">
        <f>'B. Sales &amp; COGS'!P46</f>
        <v>1815.8780523896958</v>
      </c>
      <c r="Q13" s="705">
        <f>'B. Sales &amp; COGS'!Q46</f>
        <v>2026.7288580765332</v>
      </c>
      <c r="R13" s="705">
        <f>'B. Sales &amp; COGS'!R46</f>
        <v>2281.9378617523166</v>
      </c>
      <c r="S13" s="705">
        <f>'B. Sales &amp; COGS'!S46</f>
        <v>2565.9378044806458</v>
      </c>
      <c r="T13" s="608"/>
      <c r="U13" s="608"/>
      <c r="V13" s="608"/>
      <c r="W13" s="608"/>
      <c r="X13" s="1592" t="s">
        <v>482</v>
      </c>
      <c r="Y13" s="608"/>
      <c r="Z13" s="608"/>
      <c r="AA13" s="608">
        <f>'A. Raw FS'!AA16</f>
        <v>72.267309178999994</v>
      </c>
      <c r="AB13" s="608">
        <f>'A. Raw FS'!AB16</f>
        <v>81.720353681000006</v>
      </c>
      <c r="AC13" s="608">
        <f>'A. Raw FS'!AC16</f>
        <v>103.34821338899999</v>
      </c>
      <c r="AD13" s="986">
        <f>'A. Raw FS'!AD16</f>
        <v>111.867455838</v>
      </c>
      <c r="AE13" s="608">
        <f>'A. Raw FS'!AE16</f>
        <v>80.721212575999999</v>
      </c>
      <c r="AF13" s="608">
        <f>'A. Raw FS'!AF16</f>
        <v>121.11356258799999</v>
      </c>
      <c r="AG13" s="608">
        <f>'A. Raw FS'!AG16</f>
        <v>179.142405833</v>
      </c>
      <c r="AH13" s="986">
        <f>'A. Raw FS'!AH16</f>
        <v>166.203992296</v>
      </c>
      <c r="AI13" s="608">
        <f>'A. Raw FS'!AI16</f>
        <v>143.26396803700001</v>
      </c>
      <c r="AJ13" s="608">
        <f>'A. Raw FS'!AJ16</f>
        <v>165.543355314</v>
      </c>
      <c r="AK13" s="608">
        <f>'A. Raw FS'!AK16</f>
        <v>231.30538361999999</v>
      </c>
      <c r="AL13" s="986">
        <f>'A. Raw FS'!AL16</f>
        <v>254.52712982099999</v>
      </c>
      <c r="AM13" s="608">
        <f>'A. Raw FS'!AM16</f>
        <v>319.02858998099998</v>
      </c>
      <c r="AN13" s="608">
        <f>'A. Raw FS'!AN16</f>
        <v>305.12166663800002</v>
      </c>
      <c r="AO13" s="608">
        <f>'A. Raw FS'!AO16</f>
        <v>273.97112650000003</v>
      </c>
      <c r="AP13" s="986">
        <f>'A. Raw FS'!AP16</f>
        <v>612.92450218199997</v>
      </c>
      <c r="AQ13" s="608">
        <f>'A. Raw FS'!AQ16</f>
        <v>466.45264683300002</v>
      </c>
      <c r="AR13" s="608">
        <f>'A. Raw FS'!AR16</f>
        <v>320.22814908399999</v>
      </c>
      <c r="AS13" s="608">
        <f>'A. Raw FS'!AS16</f>
        <v>405.95615021399999</v>
      </c>
      <c r="AT13" s="986">
        <f>'A. Raw FS'!AT16</f>
        <v>469.822804158</v>
      </c>
      <c r="AU13" s="608">
        <f>'A. Raw FS'!AU16</f>
        <v>260.73360993099999</v>
      </c>
      <c r="AV13" s="608">
        <f>'A. Raw FS'!AV16</f>
        <v>392.97647731000001</v>
      </c>
      <c r="AW13" s="608">
        <f>'A. Raw FS'!AW16</f>
        <v>384.84</v>
      </c>
      <c r="AX13" s="691">
        <f>AX7*AX14</f>
        <v>402.27664950446473</v>
      </c>
      <c r="AZ13" s="608">
        <f>SUM(AU13:AX13)</f>
        <v>1440.8267367454648</v>
      </c>
      <c r="BA13" s="397" t="s">
        <v>337</v>
      </c>
      <c r="BB13" s="397" t="s">
        <v>476</v>
      </c>
      <c r="BC13" s="466">
        <f>'B. Sales &amp; COGS'!N46</f>
        <v>1429.5495030654592</v>
      </c>
      <c r="BI13" s="467">
        <f t="shared" si="21"/>
        <v>369.20333208699998</v>
      </c>
      <c r="BJ13" s="417">
        <f t="shared" si="21"/>
        <v>377.65723548400001</v>
      </c>
      <c r="BK13" s="417">
        <f t="shared" si="21"/>
        <v>417.05044439099998</v>
      </c>
      <c r="BL13" s="417">
        <f t="shared" si="21"/>
        <v>492.84463683499996</v>
      </c>
      <c r="BM13" s="467">
        <f t="shared" si="21"/>
        <v>547.18117329300003</v>
      </c>
      <c r="BN13" s="417">
        <f t="shared" si="21"/>
        <v>609.72392875399999</v>
      </c>
      <c r="BO13" s="417">
        <f t="shared" si="21"/>
        <v>654.15372148000006</v>
      </c>
      <c r="BP13" s="417">
        <f t="shared" si="21"/>
        <v>706.31669926699999</v>
      </c>
      <c r="BQ13" s="467">
        <f t="shared" si="21"/>
        <v>794.6398367920001</v>
      </c>
      <c r="BR13" s="417">
        <f t="shared" si="21"/>
        <v>970.40445873599992</v>
      </c>
      <c r="BS13" s="417">
        <f t="shared" si="22"/>
        <v>1109.9827700599999</v>
      </c>
      <c r="BT13" s="417">
        <f t="shared" si="22"/>
        <v>1152.64851294</v>
      </c>
      <c r="BU13" s="467">
        <f t="shared" si="22"/>
        <v>1511.045885301</v>
      </c>
      <c r="BV13" s="417">
        <f t="shared" si="22"/>
        <v>1658.4699421529999</v>
      </c>
      <c r="BW13" s="417">
        <f t="shared" si="22"/>
        <v>1673.5764245990001</v>
      </c>
      <c r="BX13" s="417">
        <f t="shared" si="22"/>
        <v>1805.561448313</v>
      </c>
      <c r="BY13" s="467">
        <f t="shared" si="22"/>
        <v>1662.4597502890001</v>
      </c>
      <c r="BZ13" s="417">
        <f t="shared" si="22"/>
        <v>1456.7407133870001</v>
      </c>
      <c r="CA13" s="417">
        <f t="shared" si="22"/>
        <v>1529.4890416130002</v>
      </c>
      <c r="CB13" s="417">
        <f>SUM(AT13:AW13)</f>
        <v>1508.3728913989999</v>
      </c>
    </row>
    <row r="14" spans="1:82" s="473" customFormat="1" ht="15">
      <c r="A14" s="513" t="s">
        <v>483</v>
      </c>
      <c r="B14" s="472"/>
      <c r="C14" s="479">
        <f t="shared" ref="C14:H14" si="23">C13/C$7</f>
        <v>7.0776416253690855E-2</v>
      </c>
      <c r="D14" s="890">
        <f t="shared" si="23"/>
        <v>5.1243674357680506E-2</v>
      </c>
      <c r="E14" s="890">
        <f t="shared" si="23"/>
        <v>5.8923469165861934E-2</v>
      </c>
      <c r="F14" s="890">
        <f t="shared" si="23"/>
        <v>6.291791727027192E-2</v>
      </c>
      <c r="G14" s="890">
        <f t="shared" si="23"/>
        <v>6.3357106801051721E-2</v>
      </c>
      <c r="H14" s="890">
        <f t="shared" si="23"/>
        <v>7.1906406904489309E-2</v>
      </c>
      <c r="I14" s="890">
        <f t="shared" ref="I14:M14" si="24">I13/I$7</f>
        <v>6.2132937816634926E-2</v>
      </c>
      <c r="J14" s="890">
        <f t="shared" si="24"/>
        <v>6.457610752849155E-2</v>
      </c>
      <c r="K14" s="890">
        <f t="shared" si="24"/>
        <v>6.4040005552328791E-2</v>
      </c>
      <c r="L14" s="890">
        <f t="shared" si="24"/>
        <v>7.2074158227010313E-2</v>
      </c>
      <c r="M14" s="891">
        <f t="shared" si="24"/>
        <v>7.5498738263184512E-2</v>
      </c>
      <c r="N14" s="890">
        <f>N13/N$7</f>
        <v>7.1646842025131621E-2</v>
      </c>
      <c r="O14" s="890">
        <f>O13/O$7</f>
        <v>6.9810110316150392E-2</v>
      </c>
      <c r="P14" s="890">
        <f>O14</f>
        <v>6.9810110316150392E-2</v>
      </c>
      <c r="Q14" s="890">
        <f>Q13/Q$7</f>
        <v>7.0176347184113502E-2</v>
      </c>
      <c r="R14" s="890">
        <f>R13/R$7</f>
        <v>7.1180629480356444E-2</v>
      </c>
      <c r="S14" s="890">
        <f>S13/S$7</f>
        <v>7.2157250255878463E-2</v>
      </c>
      <c r="T14" s="487"/>
      <c r="U14" s="487"/>
      <c r="V14" s="487"/>
      <c r="W14" s="487"/>
      <c r="X14" s="1592"/>
      <c r="Y14" s="615"/>
      <c r="Z14" s="487"/>
      <c r="AA14" s="487">
        <f>AA13/AA$7</f>
        <v>5.7150143147621464E-2</v>
      </c>
      <c r="AB14" s="487">
        <f t="shared" ref="AB14:AI14" si="25">AB13/AB$7</f>
        <v>5.9536095229458394E-2</v>
      </c>
      <c r="AC14" s="487">
        <f t="shared" si="25"/>
        <v>5.932219964221945E-2</v>
      </c>
      <c r="AD14" s="480">
        <f t="shared" si="25"/>
        <v>7.167681301001054E-2</v>
      </c>
      <c r="AE14" s="487">
        <f t="shared" si="25"/>
        <v>5.8843521914169278E-2</v>
      </c>
      <c r="AF14" s="487">
        <f t="shared" si="25"/>
        <v>6.0491624351087021E-2</v>
      </c>
      <c r="AG14" s="487">
        <f t="shared" si="25"/>
        <v>6.8517551134984839E-2</v>
      </c>
      <c r="AH14" s="480">
        <f t="shared" si="25"/>
        <v>6.6486743003159071E-2</v>
      </c>
      <c r="AI14" s="487">
        <f t="shared" si="25"/>
        <v>6.199983942693129E-2</v>
      </c>
      <c r="AJ14" s="487">
        <f t="shared" ref="AJ14:AW14" si="26">AJ13/AJ$7</f>
        <v>6.4114981038524296E-2</v>
      </c>
      <c r="AK14" s="487">
        <f t="shared" si="26"/>
        <v>6.3821158532663055E-2</v>
      </c>
      <c r="AL14" s="480">
        <f t="shared" si="26"/>
        <v>6.3359698779680604E-2</v>
      </c>
      <c r="AM14" s="487">
        <f t="shared" si="26"/>
        <v>6.3719092106794384E-2</v>
      </c>
      <c r="AN14" s="487">
        <f t="shared" si="26"/>
        <v>7.2345874775247995E-2</v>
      </c>
      <c r="AO14" s="487">
        <f t="shared" si="26"/>
        <v>7.1624114173836156E-2</v>
      </c>
      <c r="AP14" s="480">
        <f t="shared" si="26"/>
        <v>7.7374280278800139E-2</v>
      </c>
      <c r="AQ14" s="487">
        <f t="shared" si="26"/>
        <v>6.6553374239149587E-2</v>
      </c>
      <c r="AR14" s="487">
        <f t="shared" si="26"/>
        <v>6.5217404847745811E-2</v>
      </c>
      <c r="AS14" s="487">
        <f t="shared" si="26"/>
        <v>6.6931799976514161E-2</v>
      </c>
      <c r="AT14" s="480">
        <f t="shared" si="26"/>
        <v>0.11529046853713336</v>
      </c>
      <c r="AU14" s="487">
        <f t="shared" si="26"/>
        <v>6.5843030918274356E-2</v>
      </c>
      <c r="AV14" s="487">
        <f t="shared" si="26"/>
        <v>8.5507618694512386E-2</v>
      </c>
      <c r="AW14" s="487">
        <f t="shared" si="26"/>
        <v>7.1098663158905978E-2</v>
      </c>
      <c r="AX14" s="667">
        <v>6.5500000000000003E-2</v>
      </c>
      <c r="AZ14" s="487">
        <f>AZ13/AZ$7</f>
        <v>7.1646842025131621E-2</v>
      </c>
      <c r="BB14" s="473">
        <v>6.9</v>
      </c>
      <c r="BC14" s="704"/>
      <c r="BF14" s="479"/>
      <c r="BG14" s="479"/>
      <c r="BH14" s="479"/>
      <c r="BI14" s="480">
        <f t="shared" ref="BI14:CA14" si="27">BI13/BI$7</f>
        <v>6.2155376940534711E-2</v>
      </c>
      <c r="BJ14" s="479">
        <f t="shared" si="27"/>
        <v>6.2450719030507834E-2</v>
      </c>
      <c r="BK14" s="479">
        <f t="shared" si="27"/>
        <v>6.2462439761508927E-2</v>
      </c>
      <c r="BL14" s="479">
        <f t="shared" si="27"/>
        <v>6.5284209256511086E-2</v>
      </c>
      <c r="BM14" s="480">
        <f t="shared" si="27"/>
        <v>6.4462965622567051E-2</v>
      </c>
      <c r="BN14" s="479">
        <f t="shared" si="27"/>
        <v>6.467693511866475E-2</v>
      </c>
      <c r="BO14" s="479">
        <f t="shared" si="27"/>
        <v>6.5369315864803934E-2</v>
      </c>
      <c r="BP14" s="479">
        <f t="shared" si="27"/>
        <v>6.4112853633543507E-2</v>
      </c>
      <c r="BQ14" s="480">
        <f t="shared" si="27"/>
        <v>6.3398020501582469E-2</v>
      </c>
      <c r="BR14" s="479">
        <f t="shared" si="27"/>
        <v>6.3715700553921548E-2</v>
      </c>
      <c r="BS14" s="479">
        <f t="shared" si="27"/>
        <v>6.5812677857676402E-2</v>
      </c>
      <c r="BT14" s="479">
        <f t="shared" si="27"/>
        <v>6.7538107037800638E-2</v>
      </c>
      <c r="BU14" s="480">
        <f t="shared" si="27"/>
        <v>7.2054015077213249E-2</v>
      </c>
      <c r="BV14" s="479">
        <f t="shared" si="27"/>
        <v>7.2192392308417536E-2</v>
      </c>
      <c r="BW14" s="479">
        <f t="shared" si="27"/>
        <v>7.0717858120475069E-2</v>
      </c>
      <c r="BX14" s="479">
        <f t="shared" si="27"/>
        <v>6.9697623828733984E-2</v>
      </c>
      <c r="BY14" s="481">
        <f>BY13/BY$7</f>
        <v>7.53635295489955E-2</v>
      </c>
      <c r="BZ14" s="479">
        <f t="shared" si="27"/>
        <v>7.6628479876264768E-2</v>
      </c>
      <c r="CA14" s="479">
        <f t="shared" si="27"/>
        <v>8.1808018441601738E-2</v>
      </c>
      <c r="CB14" s="575">
        <f>CB13/CB$7</f>
        <v>8.3595929465306279E-2</v>
      </c>
    </row>
    <row r="15" spans="1:82" s="427" customFormat="1" ht="15">
      <c r="A15" s="512" t="s">
        <v>477</v>
      </c>
      <c r="B15" s="431"/>
      <c r="C15" s="428" t="e">
        <f t="shared" ref="C15:H15" si="28">C13/B13-1</f>
        <v>#DIV/0!</v>
      </c>
      <c r="D15" s="432">
        <f t="shared" si="28"/>
        <v>3.4516374084819335E-2</v>
      </c>
      <c r="E15" s="432">
        <f t="shared" si="28"/>
        <v>0.83412314559955436</v>
      </c>
      <c r="F15" s="432">
        <f t="shared" si="28"/>
        <v>-7.9617859202972263E-2</v>
      </c>
      <c r="G15" s="432">
        <f t="shared" si="28"/>
        <v>-8.9632303833277582E-2</v>
      </c>
      <c r="H15" s="432">
        <f t="shared" si="28"/>
        <v>0.14117147855903434</v>
      </c>
      <c r="I15" s="432">
        <f t="shared" ref="I15:N15" si="29">I13/H13-1</f>
        <v>0.34269637674840481</v>
      </c>
      <c r="J15" s="432">
        <f t="shared" si="29"/>
        <v>0.48581485114568568</v>
      </c>
      <c r="K15" s="432">
        <f t="shared" si="29"/>
        <v>0.46459333267724201</v>
      </c>
      <c r="L15" s="432">
        <f t="shared" si="29"/>
        <v>0.87845962362655627</v>
      </c>
      <c r="M15" s="664">
        <f t="shared" si="29"/>
        <v>0.10285333206690805</v>
      </c>
      <c r="N15" s="432">
        <f t="shared" si="29"/>
        <v>-0.13364809015167345</v>
      </c>
      <c r="O15" s="432">
        <f>O13/N13-1</f>
        <v>0.11197927059367374</v>
      </c>
      <c r="P15" s="432">
        <f>P13/O13-1</f>
        <v>0.1333870064578957</v>
      </c>
      <c r="Q15" s="432">
        <f>Q13/P13-1</f>
        <v>0.11611506918614811</v>
      </c>
      <c r="R15" s="432">
        <f>R13/Q13-1</f>
        <v>0.12592163113421573</v>
      </c>
      <c r="S15" s="432">
        <f>S13/R13-1</f>
        <v>0.12445559867710143</v>
      </c>
      <c r="T15" s="432"/>
      <c r="U15" s="432"/>
      <c r="V15" s="432"/>
      <c r="W15" s="432"/>
      <c r="X15" s="1592"/>
      <c r="Y15" s="615"/>
      <c r="Z15" s="432"/>
      <c r="AA15" s="432" t="e">
        <f t="shared" ref="AA15:AW15" si="30">AA13/Z13-1</f>
        <v>#DIV/0!</v>
      </c>
      <c r="AB15" s="432">
        <f t="shared" si="30"/>
        <v>0.13080664839181466</v>
      </c>
      <c r="AC15" s="432">
        <f t="shared" si="30"/>
        <v>0.26465695183387927</v>
      </c>
      <c r="AD15" s="429">
        <f t="shared" si="30"/>
        <v>8.2432411452859844E-2</v>
      </c>
      <c r="AE15" s="432">
        <f t="shared" si="30"/>
        <v>-0.2784209494055554</v>
      </c>
      <c r="AF15" s="432">
        <f t="shared" si="30"/>
        <v>0.50039325132746382</v>
      </c>
      <c r="AG15" s="432">
        <f t="shared" si="30"/>
        <v>0.479127539517606</v>
      </c>
      <c r="AH15" s="429">
        <f t="shared" si="30"/>
        <v>-7.2224180962833784E-2</v>
      </c>
      <c r="AI15" s="432">
        <f t="shared" si="30"/>
        <v>-0.13802330462763546</v>
      </c>
      <c r="AJ15" s="432">
        <f t="shared" si="30"/>
        <v>0.15551284515061048</v>
      </c>
      <c r="AK15" s="432">
        <f t="shared" si="30"/>
        <v>0.39724957961171947</v>
      </c>
      <c r="AL15" s="429">
        <f t="shared" si="30"/>
        <v>0.10039431783892172</v>
      </c>
      <c r="AM15" s="432">
        <f t="shared" si="30"/>
        <v>0.25341683696100148</v>
      </c>
      <c r="AN15" s="432">
        <f t="shared" si="30"/>
        <v>-4.359146415005688E-2</v>
      </c>
      <c r="AO15" s="432">
        <f t="shared" si="30"/>
        <v>-0.10209219319373142</v>
      </c>
      <c r="AP15" s="429">
        <f t="shared" si="30"/>
        <v>1.2371864875403209</v>
      </c>
      <c r="AQ15" s="432">
        <f t="shared" si="30"/>
        <v>-0.23897209987129386</v>
      </c>
      <c r="AR15" s="432">
        <f t="shared" si="30"/>
        <v>-0.31348197666322064</v>
      </c>
      <c r="AS15" s="432">
        <f t="shared" si="30"/>
        <v>0.26770913604947455</v>
      </c>
      <c r="AT15" s="429">
        <f t="shared" si="30"/>
        <v>0.15732402110506927</v>
      </c>
      <c r="AU15" s="432">
        <f t="shared" si="30"/>
        <v>-0.44503841102758379</v>
      </c>
      <c r="AV15" s="432">
        <f t="shared" si="30"/>
        <v>0.50719532251325972</v>
      </c>
      <c r="AW15" s="432">
        <f t="shared" si="30"/>
        <v>-2.070474387092025E-2</v>
      </c>
      <c r="AX15" s="669">
        <f>AX13/AT13-1</f>
        <v>-0.14376942552754357</v>
      </c>
      <c r="AZ15" s="432">
        <f>AZ13/SUM(AQ13:AT13)-1</f>
        <v>-0.13331631848831638</v>
      </c>
      <c r="BF15" s="428"/>
      <c r="BG15" s="428"/>
      <c r="BH15" s="428"/>
      <c r="BI15" s="429"/>
      <c r="BJ15" s="428" t="e">
        <f t="shared" ref="BJ15:CA15" si="31">BJ13/BF13-1</f>
        <v>#DIV/0!</v>
      </c>
      <c r="BK15" s="428" t="e">
        <f t="shared" si="31"/>
        <v>#DIV/0!</v>
      </c>
      <c r="BL15" s="428" t="e">
        <f t="shared" si="31"/>
        <v>#DIV/0!</v>
      </c>
      <c r="BM15" s="429">
        <f t="shared" si="31"/>
        <v>0.48205914123240068</v>
      </c>
      <c r="BN15" s="428">
        <f t="shared" si="31"/>
        <v>0.6144902611824361</v>
      </c>
      <c r="BO15" s="428">
        <f t="shared" si="31"/>
        <v>0.56852421638162109</v>
      </c>
      <c r="BP15" s="428">
        <f t="shared" si="31"/>
        <v>0.43314271167258056</v>
      </c>
      <c r="BQ15" s="429">
        <f t="shared" si="31"/>
        <v>0.45224264937655834</v>
      </c>
      <c r="BR15" s="428">
        <f t="shared" si="31"/>
        <v>0.59154727733757784</v>
      </c>
      <c r="BS15" s="428">
        <f t="shared" si="31"/>
        <v>0.69682252597860717</v>
      </c>
      <c r="BT15" s="428">
        <f t="shared" si="31"/>
        <v>0.63191457052649813</v>
      </c>
      <c r="BU15" s="429">
        <f t="shared" si="31"/>
        <v>0.90154811694461001</v>
      </c>
      <c r="BV15" s="428">
        <f t="shared" si="31"/>
        <v>0.70905020810934816</v>
      </c>
      <c r="BW15" s="428">
        <f t="shared" si="31"/>
        <v>0.50774991264822544</v>
      </c>
      <c r="BX15" s="428">
        <f t="shared" si="31"/>
        <v>0.56644582285335998</v>
      </c>
      <c r="BY15" s="483">
        <f t="shared" si="31"/>
        <v>0.10020467707890846</v>
      </c>
      <c r="BZ15" s="428">
        <f t="shared" si="31"/>
        <v>-0.12163574608058203</v>
      </c>
      <c r="CA15" s="428">
        <f t="shared" si="31"/>
        <v>-8.6095490392991358E-2</v>
      </c>
      <c r="CB15" s="428">
        <f>CB13/BX13-1</f>
        <v>-0.16459620202440295</v>
      </c>
    </row>
    <row r="16" spans="1:82" ht="15">
      <c r="D16" s="1210"/>
      <c r="E16" s="1210"/>
      <c r="F16" s="1210"/>
      <c r="G16" s="1210"/>
      <c r="H16" s="1210"/>
      <c r="I16" s="1210"/>
      <c r="J16" s="1210"/>
      <c r="K16" s="1210"/>
      <c r="L16" s="1210"/>
      <c r="M16" s="1211"/>
      <c r="N16" s="1131"/>
      <c r="R16" s="1131"/>
      <c r="S16" s="1131"/>
      <c r="T16" s="1131"/>
      <c r="U16" s="1131"/>
      <c r="V16" s="1131"/>
      <c r="W16" s="1131"/>
      <c r="X16" s="1131"/>
      <c r="Y16" s="1131"/>
      <c r="Z16" s="1131"/>
      <c r="AA16" s="1131"/>
      <c r="AB16" s="1131"/>
      <c r="AC16" s="1131"/>
      <c r="AD16" s="1363"/>
      <c r="AE16" s="1131"/>
      <c r="AF16" s="1131"/>
      <c r="AG16" s="1131"/>
      <c r="AH16" s="1363"/>
      <c r="AI16" s="1131"/>
      <c r="AJ16" s="1131"/>
      <c r="AK16" s="1131"/>
      <c r="AL16" s="1363"/>
      <c r="AM16" s="1131"/>
      <c r="AN16" s="1131"/>
      <c r="AO16" s="1131"/>
      <c r="AP16" s="1363"/>
      <c r="AQ16" s="1131"/>
      <c r="AR16" s="1131"/>
      <c r="AS16" s="1131"/>
      <c r="AT16" s="1363"/>
      <c r="AU16" s="1131"/>
      <c r="AV16" s="1131"/>
      <c r="AW16" s="1131"/>
      <c r="AZ16" s="1131"/>
      <c r="BI16" s="1149"/>
      <c r="BJ16" s="415"/>
      <c r="BK16" s="415"/>
      <c r="BL16" s="415"/>
      <c r="BM16" s="1149"/>
      <c r="BN16" s="415"/>
      <c r="BO16" s="415"/>
      <c r="BP16" s="415"/>
      <c r="BQ16" s="1149"/>
      <c r="BR16" s="415"/>
      <c r="BS16" s="415"/>
      <c r="BT16" s="415"/>
      <c r="BU16" s="1149"/>
      <c r="BV16" s="415"/>
      <c r="BW16" s="415"/>
      <c r="BX16" s="415"/>
      <c r="BY16" s="1149"/>
      <c r="BZ16" s="415"/>
      <c r="CA16" s="415"/>
      <c r="CB16" s="415"/>
    </row>
    <row r="17" spans="1:80" ht="15">
      <c r="A17" s="1128" t="s">
        <v>484</v>
      </c>
      <c r="C17" s="90">
        <f>'A. Raw FS'!C21</f>
        <v>-28.140662194000001</v>
      </c>
      <c r="D17" s="486">
        <f>'A. Raw FS'!D21</f>
        <v>-31.511807180000002</v>
      </c>
      <c r="E17" s="486">
        <f>'A. Raw FS'!E21</f>
        <v>-67.229317088000002</v>
      </c>
      <c r="F17" s="486">
        <f>'A. Raw FS'!F21</f>
        <v>-64.31670724</v>
      </c>
      <c r="G17" s="486">
        <f>'A. Raw FS'!G21</f>
        <v>-98.266813252999995</v>
      </c>
      <c r="H17" s="486">
        <f t="shared" ref="H17:M17" si="32">H20+H22+H26+H24</f>
        <v>-125.9</v>
      </c>
      <c r="I17" s="486">
        <f t="shared" si="32"/>
        <v>-134.5</v>
      </c>
      <c r="J17" s="486">
        <f t="shared" si="32"/>
        <v>-248.3</v>
      </c>
      <c r="K17" s="486">
        <f t="shared" si="32"/>
        <v>-434.4</v>
      </c>
      <c r="L17" s="486">
        <f t="shared" si="32"/>
        <v>-708.3</v>
      </c>
      <c r="M17" s="658">
        <f t="shared" si="32"/>
        <v>-722.3</v>
      </c>
      <c r="N17" s="706">
        <f>AZ17</f>
        <v>-781.58379789911919</v>
      </c>
      <c r="O17" s="706">
        <f>O20+O22+O26+O24</f>
        <v>-852.95778790391455</v>
      </c>
      <c r="P17" s="706">
        <f>P20+P22+P26+P24</f>
        <v>-960.49169310878233</v>
      </c>
      <c r="Q17" s="706">
        <f>Q20+Q22+Q26+Q24</f>
        <v>-1033.87648518419</v>
      </c>
      <c r="R17" s="706">
        <f>R20+R22+R26+R24</f>
        <v>-1127.3261981812548</v>
      </c>
      <c r="S17" s="706">
        <f>S20+S22+S26+S24</f>
        <v>-1228.4294888093523</v>
      </c>
      <c r="T17" s="486"/>
      <c r="U17" s="486"/>
      <c r="V17" s="486"/>
      <c r="W17" s="486"/>
      <c r="X17" s="1593" t="s">
        <v>485</v>
      </c>
      <c r="Y17" s="486"/>
      <c r="Z17" s="486"/>
      <c r="AA17" s="486">
        <f>'A. Raw FS'!AA21</f>
        <v>-28.327413550999999</v>
      </c>
      <c r="AB17" s="486">
        <f>'A. Raw FS'!AB21</f>
        <v>-32.886462672999997</v>
      </c>
      <c r="AC17" s="486">
        <f>'A. Raw FS'!AC21</f>
        <v>-33.436569044999999</v>
      </c>
      <c r="AD17" s="984">
        <f>'A. Raw FS'!AD21</f>
        <v>-41.241673949000003</v>
      </c>
      <c r="AE17" s="486">
        <f>'A. Raw FS'!AE21</f>
        <v>-29.322333581999999</v>
      </c>
      <c r="AF17" s="486">
        <f>'A. Raw FS'!AF21</f>
        <v>-55.106531879999999</v>
      </c>
      <c r="AG17" s="486">
        <f>'A. Raw FS'!AG21</f>
        <v>-89.471437292000005</v>
      </c>
      <c r="AH17" s="984">
        <f>'A. Raw FS'!AH21</f>
        <v>-72.956052224000004</v>
      </c>
      <c r="AI17" s="486">
        <f>'A. Raw FS'!AI21</f>
        <v>-64.100135621000007</v>
      </c>
      <c r="AJ17" s="486">
        <f>'A. Raw FS'!AJ21</f>
        <v>-111.05287437</v>
      </c>
      <c r="AK17" s="486">
        <f>'A. Raw FS'!AK21</f>
        <v>-124.848449483</v>
      </c>
      <c r="AL17" s="984">
        <f>'A. Raw FS'!AL21</f>
        <v>-146.56647428799999</v>
      </c>
      <c r="AM17" s="486">
        <f>'A. Raw FS'!AM21</f>
        <v>-181.496853133</v>
      </c>
      <c r="AN17" s="486">
        <f>'A. Raw FS'!AN21</f>
        <v>-163.90015019399999</v>
      </c>
      <c r="AO17" s="486">
        <f>'A. Raw FS'!AO21</f>
        <v>-151.07535902999999</v>
      </c>
      <c r="AP17" s="984">
        <f>'A. Raw FS'!AP21</f>
        <v>-211.810541046</v>
      </c>
      <c r="AQ17" s="486">
        <f>'A. Raw FS'!AQ21</f>
        <v>-231.96501787299999</v>
      </c>
      <c r="AR17" s="486">
        <f>'A. Raw FS'!AR21</f>
        <v>-117.019910873</v>
      </c>
      <c r="AS17" s="486">
        <f>'A. Raw FS'!AS21</f>
        <v>-149.56358346299999</v>
      </c>
      <c r="AT17" s="984">
        <f>'A. Raw FS'!AT21</f>
        <v>-223.21946018899999</v>
      </c>
      <c r="AU17" s="486">
        <f>'A. Raw FS'!AU21</f>
        <v>-118.38098524</v>
      </c>
      <c r="AV17" s="486">
        <f>'A. Raw FS'!AV21</f>
        <v>-241.45745261100001</v>
      </c>
      <c r="AW17" s="486">
        <f>'A. Raw FS'!AW21</f>
        <v>-212.93</v>
      </c>
      <c r="AX17" s="1147">
        <f>-AX18*AX$7</f>
        <v>-208.81536004811909</v>
      </c>
      <c r="AZ17" s="486">
        <f>SUM(AU17:AX17)</f>
        <v>-781.58379789911919</v>
      </c>
      <c r="BI17" s="1149">
        <f t="shared" ref="BI17:BR17" si="33">SUM(AA17:AD17)</f>
        <v>-135.892119218</v>
      </c>
      <c r="BJ17" s="415">
        <f t="shared" si="33"/>
        <v>-136.887039249</v>
      </c>
      <c r="BK17" s="415">
        <f t="shared" si="33"/>
        <v>-159.10710845599999</v>
      </c>
      <c r="BL17" s="415">
        <f t="shared" si="33"/>
        <v>-215.14197670300001</v>
      </c>
      <c r="BM17" s="1149">
        <f t="shared" si="33"/>
        <v>-246.85635497800001</v>
      </c>
      <c r="BN17" s="415">
        <f t="shared" si="33"/>
        <v>-281.63415701700001</v>
      </c>
      <c r="BO17" s="415">
        <f t="shared" si="33"/>
        <v>-337.58049950700001</v>
      </c>
      <c r="BP17" s="415">
        <f t="shared" si="33"/>
        <v>-372.95751169799996</v>
      </c>
      <c r="BQ17" s="1149">
        <f t="shared" si="33"/>
        <v>-446.567933762</v>
      </c>
      <c r="BR17" s="415">
        <f t="shared" si="33"/>
        <v>-563.96465127400006</v>
      </c>
      <c r="BS17" s="415">
        <f t="shared" ref="BS17:CA17" si="34">SUM(AK17:AN17)</f>
        <v>-616.81192709799996</v>
      </c>
      <c r="BT17" s="415">
        <f t="shared" si="34"/>
        <v>-643.03883664499995</v>
      </c>
      <c r="BU17" s="1149">
        <f t="shared" si="34"/>
        <v>-708.28290340299998</v>
      </c>
      <c r="BV17" s="415">
        <f t="shared" si="34"/>
        <v>-758.751068143</v>
      </c>
      <c r="BW17" s="415">
        <f t="shared" si="34"/>
        <v>-711.87082882199991</v>
      </c>
      <c r="BX17" s="415">
        <f t="shared" si="34"/>
        <v>-710.35905325499994</v>
      </c>
      <c r="BY17" s="1149">
        <f t="shared" si="34"/>
        <v>-721.76797239799998</v>
      </c>
      <c r="BZ17" s="415">
        <f t="shared" si="34"/>
        <v>-608.18393976499999</v>
      </c>
      <c r="CA17" s="415">
        <f t="shared" si="34"/>
        <v>-732.62148150299993</v>
      </c>
      <c r="CB17" s="415">
        <f>SUM(AT17:AW17)</f>
        <v>-795.98789804000012</v>
      </c>
    </row>
    <row r="18" spans="1:80" ht="15">
      <c r="A18" s="513" t="s">
        <v>479</v>
      </c>
      <c r="C18" s="479">
        <f t="shared" ref="C18:H18" si="35">-C17/C7</f>
        <v>1.3151837653072837E-2</v>
      </c>
      <c r="D18" s="487">
        <f t="shared" si="35"/>
        <v>1.030717766487086E-2</v>
      </c>
      <c r="E18" s="487">
        <f t="shared" si="35"/>
        <v>1.3786204158543583E-2</v>
      </c>
      <c r="F18" s="487">
        <f t="shared" si="35"/>
        <v>1.5301276206083137E-2</v>
      </c>
      <c r="G18" s="487">
        <f t="shared" si="35"/>
        <v>2.5859188099433199E-2</v>
      </c>
      <c r="H18" s="487">
        <f t="shared" si="35"/>
        <v>3.2949974685967678E-2</v>
      </c>
      <c r="I18" s="487">
        <f>-I17/I7</f>
        <v>2.2653125095443951E-2</v>
      </c>
      <c r="J18" s="487">
        <f>-J17/J7</f>
        <v>2.9252826691823358E-2</v>
      </c>
      <c r="K18" s="487">
        <f>-K17/K7</f>
        <v>3.4653202783422044E-2</v>
      </c>
      <c r="L18" s="487">
        <f t="shared" ref="L18:S18" si="36">-L17/L7</f>
        <v>3.3852999791683103E-2</v>
      </c>
      <c r="M18" s="663">
        <f t="shared" si="36"/>
        <v>3.2789884495921781E-2</v>
      </c>
      <c r="N18" s="487">
        <f t="shared" si="36"/>
        <v>3.8865194175927591E-2</v>
      </c>
      <c r="O18" s="487">
        <f t="shared" si="36"/>
        <v>3.7165280336936578E-2</v>
      </c>
      <c r="P18" s="487">
        <f t="shared" si="36"/>
        <v>3.6947480792887226E-2</v>
      </c>
      <c r="Q18" s="487">
        <f t="shared" si="36"/>
        <v>3.579841224476063E-2</v>
      </c>
      <c r="R18" s="487">
        <f t="shared" si="36"/>
        <v>3.5164756131711224E-2</v>
      </c>
      <c r="S18" s="487">
        <f t="shared" si="36"/>
        <v>3.4544911373507875E-2</v>
      </c>
      <c r="T18" s="487"/>
      <c r="U18" s="487"/>
      <c r="V18" s="487"/>
      <c r="W18" s="487"/>
      <c r="X18" s="1593"/>
      <c r="Y18" s="486"/>
      <c r="Z18" s="486"/>
      <c r="AA18" s="487">
        <f>-AA17/AA7</f>
        <v>2.2401771393364113E-2</v>
      </c>
      <c r="AB18" s="487">
        <f t="shared" ref="AB18:AI18" si="37">-AB17/AB7</f>
        <v>2.3958921924183692E-2</v>
      </c>
      <c r="AC18" s="487">
        <f t="shared" si="37"/>
        <v>1.9192695830864404E-2</v>
      </c>
      <c r="AD18" s="480">
        <f t="shared" si="37"/>
        <v>2.642476965010368E-2</v>
      </c>
      <c r="AE18" s="487">
        <f t="shared" si="37"/>
        <v>2.1375166745451028E-2</v>
      </c>
      <c r="AF18" s="487">
        <f t="shared" si="37"/>
        <v>2.7523619605806598E-2</v>
      </c>
      <c r="AG18" s="487">
        <f t="shared" si="37"/>
        <v>3.4220617677145876E-2</v>
      </c>
      <c r="AH18" s="480">
        <f t="shared" si="37"/>
        <v>2.9184679788578572E-2</v>
      </c>
      <c r="AI18" s="487">
        <f t="shared" si="37"/>
        <v>2.7740388390751013E-2</v>
      </c>
      <c r="AJ18" s="487">
        <f t="shared" ref="AJ18:AW18" si="38">-AJ17/AJ7</f>
        <v>4.3010804758673513E-2</v>
      </c>
      <c r="AK18" s="487">
        <f t="shared" si="38"/>
        <v>3.4447847958878036E-2</v>
      </c>
      <c r="AL18" s="480">
        <f t="shared" si="38"/>
        <v>3.6484942365940666E-2</v>
      </c>
      <c r="AM18" s="487">
        <f t="shared" si="38"/>
        <v>3.6250088754000737E-2</v>
      </c>
      <c r="AN18" s="487">
        <f t="shared" si="38"/>
        <v>3.8861546189859208E-2</v>
      </c>
      <c r="AO18" s="487">
        <f t="shared" si="38"/>
        <v>3.9495544301519699E-2</v>
      </c>
      <c r="AP18" s="480">
        <f t="shared" si="38"/>
        <v>2.6738510388398692E-2</v>
      </c>
      <c r="AQ18" s="487">
        <f t="shared" si="38"/>
        <v>3.3096724286398885E-2</v>
      </c>
      <c r="AR18" s="487">
        <f t="shared" si="38"/>
        <v>2.383218003939332E-2</v>
      </c>
      <c r="AS18" s="487">
        <f t="shared" si="38"/>
        <v>2.4659214663552025E-2</v>
      </c>
      <c r="AT18" s="480">
        <f t="shared" si="38"/>
        <v>5.4776132456825499E-2</v>
      </c>
      <c r="AU18" s="487">
        <f t="shared" si="38"/>
        <v>2.9894737672507343E-2</v>
      </c>
      <c r="AV18" s="487">
        <f t="shared" si="38"/>
        <v>5.2538645392056639E-2</v>
      </c>
      <c r="AW18" s="487">
        <f t="shared" si="38"/>
        <v>3.933852600152233E-2</v>
      </c>
      <c r="AX18" s="667">
        <v>3.4000000000000002E-2</v>
      </c>
      <c r="AY18" s="473"/>
      <c r="AZ18" s="487">
        <f>-AZ17/AZ$7</f>
        <v>3.8865194175927591E-2</v>
      </c>
      <c r="BA18" s="473"/>
      <c r="BB18" s="473"/>
      <c r="BC18" s="473"/>
      <c r="BD18" s="473"/>
      <c r="BE18" s="473"/>
      <c r="BF18" s="479"/>
      <c r="BG18" s="479"/>
      <c r="BH18" s="479"/>
      <c r="BI18" s="480">
        <f t="shared" ref="BI18:CA18" si="39">-BI17/BI$7</f>
        <v>2.2877436792072436E-2</v>
      </c>
      <c r="BJ18" s="479">
        <f t="shared" si="39"/>
        <v>2.2636118744293394E-2</v>
      </c>
      <c r="BK18" s="479">
        <f t="shared" si="39"/>
        <v>2.382977481794343E-2</v>
      </c>
      <c r="BL18" s="479">
        <f t="shared" si="39"/>
        <v>2.849858307708511E-2</v>
      </c>
      <c r="BM18" s="480">
        <f t="shared" si="39"/>
        <v>2.9081944886539462E-2</v>
      </c>
      <c r="BN18" s="479">
        <f t="shared" si="39"/>
        <v>2.987456001245031E-2</v>
      </c>
      <c r="BO18" s="479">
        <f t="shared" si="39"/>
        <v>3.3734282290934059E-2</v>
      </c>
      <c r="BP18" s="479">
        <f t="shared" si="39"/>
        <v>3.385361040428346E-2</v>
      </c>
      <c r="BQ18" s="480">
        <f t="shared" si="39"/>
        <v>3.5628119443756559E-2</v>
      </c>
      <c r="BR18" s="479">
        <f t="shared" si="39"/>
        <v>3.7029305172789524E-2</v>
      </c>
      <c r="BS18" s="479">
        <f t="shared" si="39"/>
        <v>3.6571779086876234E-2</v>
      </c>
      <c r="BT18" s="479">
        <f t="shared" si="39"/>
        <v>3.7678117215471991E-2</v>
      </c>
      <c r="BU18" s="480">
        <f t="shared" si="39"/>
        <v>3.3774372768677403E-2</v>
      </c>
      <c r="BV18" s="479">
        <f t="shared" si="39"/>
        <v>3.302806604061867E-2</v>
      </c>
      <c r="BW18" s="479">
        <f t="shared" si="39"/>
        <v>3.0080478867167037E-2</v>
      </c>
      <c r="BX18" s="479">
        <f t="shared" si="39"/>
        <v>2.7421020826160117E-2</v>
      </c>
      <c r="BY18" s="481">
        <f t="shared" si="39"/>
        <v>3.2719578267010239E-2</v>
      </c>
      <c r="BZ18" s="479">
        <f t="shared" si="39"/>
        <v>3.1992111129366625E-2</v>
      </c>
      <c r="CA18" s="479">
        <f t="shared" si="39"/>
        <v>3.9185839217458031E-2</v>
      </c>
      <c r="CB18" s="479">
        <f>-CB17/CB$7</f>
        <v>4.4114653981929403E-2</v>
      </c>
    </row>
    <row r="19" spans="1:80" ht="15">
      <c r="A19" s="513"/>
      <c r="C19" s="479"/>
      <c r="D19" s="552"/>
      <c r="E19" s="552"/>
      <c r="F19" s="552"/>
      <c r="G19" s="552"/>
      <c r="H19" s="552"/>
      <c r="I19" s="552"/>
      <c r="J19" s="552"/>
      <c r="K19" s="552"/>
      <c r="L19" s="552"/>
      <c r="M19" s="695"/>
      <c r="N19" s="487"/>
      <c r="O19" s="487"/>
      <c r="P19" s="487"/>
      <c r="Q19" s="487"/>
      <c r="R19" s="487"/>
      <c r="S19" s="487"/>
      <c r="T19" s="487"/>
      <c r="U19" s="487"/>
      <c r="V19" s="487"/>
      <c r="W19" s="487"/>
      <c r="X19" s="1593"/>
      <c r="Y19" s="486"/>
      <c r="Z19" s="486"/>
      <c r="AA19" s="487"/>
      <c r="AB19" s="487"/>
      <c r="AC19" s="487"/>
      <c r="AD19" s="480"/>
      <c r="AE19" s="487"/>
      <c r="AF19" s="487"/>
      <c r="AG19" s="487"/>
      <c r="AH19" s="480"/>
      <c r="AI19" s="487"/>
      <c r="AJ19" s="487"/>
      <c r="AK19" s="487"/>
      <c r="AL19" s="480"/>
      <c r="AM19" s="487"/>
      <c r="AN19" s="487"/>
      <c r="AO19" s="487"/>
      <c r="AP19" s="480"/>
      <c r="AQ19" s="487"/>
      <c r="AR19" s="487"/>
      <c r="AS19" s="487"/>
      <c r="AT19" s="480"/>
      <c r="AU19" s="487"/>
      <c r="AV19" s="487"/>
      <c r="AW19" s="487"/>
      <c r="AX19" s="1147"/>
      <c r="AY19" s="473"/>
      <c r="AZ19" s="487"/>
      <c r="BA19" s="473"/>
      <c r="BB19" s="473"/>
      <c r="BC19" s="473"/>
      <c r="BD19" s="473"/>
      <c r="BE19" s="473"/>
      <c r="BF19" s="479"/>
      <c r="BG19" s="479"/>
      <c r="BH19" s="479"/>
      <c r="BI19" s="480"/>
      <c r="BJ19" s="479"/>
      <c r="BK19" s="479"/>
      <c r="BL19" s="479"/>
      <c r="BM19" s="480"/>
      <c r="BN19" s="479"/>
      <c r="BO19" s="479"/>
      <c r="BP19" s="479"/>
      <c r="BQ19" s="480"/>
      <c r="BR19" s="479"/>
      <c r="BS19" s="479"/>
      <c r="BT19" s="479"/>
      <c r="BU19" s="480"/>
      <c r="BV19" s="479"/>
      <c r="BW19" s="479"/>
      <c r="BX19" s="479"/>
      <c r="BY19" s="481"/>
      <c r="BZ19" s="479"/>
      <c r="CA19" s="479"/>
      <c r="CB19" s="479"/>
    </row>
    <row r="20" spans="1:80" ht="15" outlineLevel="1">
      <c r="A20" s="515" t="s">
        <v>486</v>
      </c>
      <c r="B20" s="485"/>
      <c r="C20" s="486"/>
      <c r="D20" s="486"/>
      <c r="E20" s="486"/>
      <c r="F20" s="486"/>
      <c r="G20" s="486"/>
      <c r="H20" s="486">
        <f>-'A. Raw FS'!H382</f>
        <v>-52.1</v>
      </c>
      <c r="I20" s="486">
        <f>-'A. Raw FS'!I382</f>
        <v>-64.900000000000006</v>
      </c>
      <c r="J20" s="486">
        <f>-'A. Raw FS'!J382</f>
        <v>-60.4</v>
      </c>
      <c r="K20" s="486">
        <f>-'A. Raw FS'!K382</f>
        <v>-46.7</v>
      </c>
      <c r="L20" s="486">
        <f>-'A. Raw FS'!L382</f>
        <v>-59.6</v>
      </c>
      <c r="M20" s="658">
        <f>-'A. Raw FS'!M382</f>
        <v>-60.9</v>
      </c>
      <c r="N20" s="486">
        <f t="shared" ref="N20:S20" si="40">M20*(1+N21)</f>
        <v>-62.726999999999997</v>
      </c>
      <c r="O20" s="486">
        <f t="shared" si="40"/>
        <v>-64.608810000000005</v>
      </c>
      <c r="P20" s="486">
        <f t="shared" si="40"/>
        <v>-66.547074300000006</v>
      </c>
      <c r="Q20" s="486">
        <f t="shared" si="40"/>
        <v>-68.543486529000006</v>
      </c>
      <c r="R20" s="486">
        <f t="shared" si="40"/>
        <v>-70.599791124870009</v>
      </c>
      <c r="S20" s="486">
        <f t="shared" si="40"/>
        <v>-72.717784858616113</v>
      </c>
      <c r="T20" s="486"/>
      <c r="U20" s="486"/>
      <c r="V20" s="486"/>
      <c r="W20" s="486"/>
      <c r="X20" s="486"/>
      <c r="Y20" s="486"/>
      <c r="Z20" s="486"/>
      <c r="AA20" s="486"/>
      <c r="AB20" s="486"/>
      <c r="AC20" s="486"/>
      <c r="AD20" s="984"/>
      <c r="AE20" s="486"/>
      <c r="AF20" s="486"/>
      <c r="AG20" s="486"/>
      <c r="AH20" s="984"/>
      <c r="AI20" s="486"/>
      <c r="AJ20" s="486"/>
      <c r="AK20" s="486"/>
      <c r="AL20" s="984"/>
      <c r="AM20" s="486"/>
      <c r="AN20" s="486"/>
      <c r="AO20" s="486"/>
      <c r="AP20" s="984"/>
      <c r="AQ20" s="486"/>
      <c r="AR20" s="486"/>
      <c r="AS20" s="486"/>
      <c r="AT20" s="984"/>
      <c r="AU20" s="486"/>
      <c r="AV20" s="486"/>
      <c r="AW20" s="486"/>
      <c r="AX20" s="1147"/>
      <c r="AZ20" s="486"/>
      <c r="BI20" s="1149"/>
      <c r="BJ20" s="415"/>
      <c r="BK20" s="415"/>
      <c r="BL20" s="415"/>
      <c r="BM20" s="1149"/>
      <c r="BN20" s="415"/>
      <c r="BO20" s="415"/>
      <c r="BP20" s="415"/>
      <c r="BQ20" s="1149"/>
      <c r="BR20" s="415"/>
      <c r="BS20" s="415"/>
      <c r="BT20" s="415"/>
      <c r="BU20" s="1149"/>
      <c r="BV20" s="415"/>
      <c r="BW20" s="415"/>
      <c r="BX20" s="415"/>
      <c r="BY20" s="1149"/>
      <c r="BZ20" s="415"/>
      <c r="CA20" s="415"/>
      <c r="CB20" s="415"/>
    </row>
    <row r="21" spans="1:80" ht="15" outlineLevel="1">
      <c r="A21" s="513" t="s">
        <v>487</v>
      </c>
      <c r="B21" s="469"/>
      <c r="C21" s="479"/>
      <c r="D21" s="487"/>
      <c r="E21" s="487"/>
      <c r="F21" s="487"/>
      <c r="G21" s="487"/>
      <c r="H21" s="487" t="e">
        <f t="shared" ref="H21:M21" si="41">H20/G20-1</f>
        <v>#DIV/0!</v>
      </c>
      <c r="I21" s="487">
        <f t="shared" si="41"/>
        <v>0.24568138195777367</v>
      </c>
      <c r="J21" s="487">
        <f t="shared" si="41"/>
        <v>-6.9337442218798229E-2</v>
      </c>
      <c r="K21" s="487">
        <f t="shared" si="41"/>
        <v>-0.22682119205298001</v>
      </c>
      <c r="L21" s="487">
        <f t="shared" si="41"/>
        <v>0.27623126338329751</v>
      </c>
      <c r="M21" s="663">
        <f t="shared" si="41"/>
        <v>2.1812080536912637E-2</v>
      </c>
      <c r="N21" s="930">
        <v>0.03</v>
      </c>
      <c r="O21" s="930">
        <v>0.03</v>
      </c>
      <c r="P21" s="930">
        <v>0.03</v>
      </c>
      <c r="Q21" s="930">
        <v>0.03</v>
      </c>
      <c r="R21" s="930">
        <v>0.03</v>
      </c>
      <c r="S21" s="930">
        <v>0.03</v>
      </c>
      <c r="T21" s="487"/>
      <c r="U21" s="487"/>
      <c r="V21" s="487"/>
      <c r="W21" s="487"/>
      <c r="X21" s="624"/>
      <c r="Y21" s="615"/>
      <c r="Z21" s="486"/>
      <c r="AA21" s="486"/>
      <c r="AB21" s="486"/>
      <c r="AC21" s="486"/>
      <c r="AD21" s="984"/>
      <c r="AE21" s="486"/>
      <c r="AF21" s="486"/>
      <c r="AG21" s="486"/>
      <c r="AH21" s="984"/>
      <c r="AI21" s="486"/>
      <c r="AJ21" s="486"/>
      <c r="AK21" s="486"/>
      <c r="AL21" s="984"/>
      <c r="AM21" s="486"/>
      <c r="AN21" s="486"/>
      <c r="AO21" s="486"/>
      <c r="AP21" s="984"/>
      <c r="AQ21" s="486"/>
      <c r="AR21" s="486"/>
      <c r="AS21" s="486"/>
      <c r="AT21" s="984"/>
      <c r="AU21" s="486"/>
      <c r="AV21" s="486"/>
      <c r="AW21" s="486"/>
      <c r="AX21" s="1147"/>
      <c r="AZ21" s="486"/>
      <c r="BI21" s="1149"/>
      <c r="BJ21" s="415"/>
      <c r="BK21" s="415"/>
      <c r="BL21" s="415"/>
      <c r="BM21" s="1149"/>
      <c r="BN21" s="415"/>
      <c r="BO21" s="415"/>
      <c r="BP21" s="415"/>
      <c r="BQ21" s="1149"/>
      <c r="BR21" s="415"/>
      <c r="BS21" s="415"/>
      <c r="BT21" s="415"/>
      <c r="BU21" s="1149"/>
      <c r="BV21" s="415"/>
      <c r="BW21" s="415"/>
      <c r="BX21" s="415"/>
      <c r="BY21" s="1149"/>
      <c r="BZ21" s="415"/>
      <c r="CA21" s="415"/>
      <c r="CB21" s="415"/>
    </row>
    <row r="22" spans="1:80" ht="15" outlineLevel="1">
      <c r="A22" s="515" t="s">
        <v>488</v>
      </c>
      <c r="B22" s="485"/>
      <c r="C22" s="486"/>
      <c r="D22" s="486"/>
      <c r="E22" s="486"/>
      <c r="F22" s="486"/>
      <c r="G22" s="486"/>
      <c r="H22" s="486">
        <f>-'A. Raw FS'!H384</f>
        <v>-17.100000000000001</v>
      </c>
      <c r="I22" s="486">
        <f>-'A. Raw FS'!I384</f>
        <v>-16.600000000000001</v>
      </c>
      <c r="J22" s="486">
        <f>-'A. Raw FS'!J384</f>
        <v>-30.8</v>
      </c>
      <c r="K22" s="486">
        <f>-'A. Raw FS'!K384</f>
        <v>-20.2</v>
      </c>
      <c r="L22" s="486">
        <f>-'A. Raw FS'!L384</f>
        <v>-42.3</v>
      </c>
      <c r="M22" s="658">
        <f>-'A. Raw FS'!M384</f>
        <v>-72.8</v>
      </c>
      <c r="N22" s="486">
        <f t="shared" ref="N22:S22" si="42">-N23*N7</f>
        <v>-46.507921220626457</v>
      </c>
      <c r="O22" s="486">
        <f t="shared" si="42"/>
        <v>-53.936403439930714</v>
      </c>
      <c r="P22" s="486">
        <f t="shared" si="42"/>
        <v>-62.068303566256184</v>
      </c>
      <c r="Q22" s="486">
        <f t="shared" si="42"/>
        <v>-70.037117330155212</v>
      </c>
      <c r="R22" s="486">
        <f t="shared" si="42"/>
        <v>-78.94487728426104</v>
      </c>
      <c r="S22" s="486">
        <f t="shared" si="42"/>
        <v>-88.900900303902787</v>
      </c>
      <c r="T22" s="486"/>
      <c r="U22" s="486"/>
      <c r="V22" s="486"/>
      <c r="W22" s="486"/>
      <c r="X22" s="486"/>
      <c r="Y22" s="486"/>
      <c r="Z22" s="486"/>
      <c r="AA22" s="486"/>
      <c r="AB22" s="486"/>
      <c r="AC22" s="486"/>
      <c r="AD22" s="984"/>
      <c r="AE22" s="486"/>
      <c r="AF22" s="486"/>
      <c r="AG22" s="486"/>
      <c r="AH22" s="984"/>
      <c r="AI22" s="486"/>
      <c r="AJ22" s="486"/>
      <c r="AK22" s="486"/>
      <c r="AL22" s="984"/>
      <c r="AM22" s="486"/>
      <c r="AN22" s="486"/>
      <c r="AO22" s="486"/>
      <c r="AP22" s="984"/>
      <c r="AQ22" s="486"/>
      <c r="AR22" s="486"/>
      <c r="AS22" s="486"/>
      <c r="AT22" s="984"/>
      <c r="AU22" s="486"/>
      <c r="AV22" s="486"/>
      <c r="AW22" s="486"/>
      <c r="AX22" s="1147"/>
      <c r="AZ22" s="486"/>
      <c r="BI22" s="1149"/>
      <c r="BJ22" s="415"/>
      <c r="BK22" s="415"/>
      <c r="BL22" s="415"/>
      <c r="BM22" s="1149"/>
      <c r="BN22" s="415"/>
      <c r="BO22" s="415"/>
      <c r="BP22" s="415"/>
      <c r="BQ22" s="1149"/>
      <c r="BR22" s="415"/>
      <c r="BS22" s="415"/>
      <c r="BT22" s="415"/>
      <c r="BU22" s="1149"/>
      <c r="BV22" s="415"/>
      <c r="BW22" s="415"/>
      <c r="BX22" s="415"/>
      <c r="BY22" s="1149"/>
      <c r="BZ22" s="415"/>
      <c r="CA22" s="415"/>
      <c r="CB22" s="415"/>
    </row>
    <row r="23" spans="1:80" ht="15" outlineLevel="1">
      <c r="A23" s="513" t="s">
        <v>479</v>
      </c>
      <c r="B23" s="485"/>
      <c r="C23" s="479"/>
      <c r="D23" s="487"/>
      <c r="E23" s="487"/>
      <c r="F23" s="487"/>
      <c r="G23" s="487"/>
      <c r="H23" s="890">
        <f t="shared" ref="H23:M23" si="43">-H22/H$7</f>
        <v>4.4753341312950548E-3</v>
      </c>
      <c r="I23" s="890">
        <f t="shared" si="43"/>
        <v>2.7958503835269115E-3</v>
      </c>
      <c r="J23" s="890">
        <f t="shared" si="43"/>
        <v>3.6286228840441376E-3</v>
      </c>
      <c r="K23" s="890">
        <f t="shared" si="43"/>
        <v>1.6114058384556291E-3</v>
      </c>
      <c r="L23" s="890">
        <f t="shared" si="43"/>
        <v>2.021716633048419E-3</v>
      </c>
      <c r="M23" s="891">
        <f t="shared" si="43"/>
        <v>3.3048644487098239E-3</v>
      </c>
      <c r="N23" s="930">
        <f>AVERAGE(K23:M23)</f>
        <v>2.3126623067379576E-3</v>
      </c>
      <c r="O23" s="932">
        <f>N23-($N23-$S23)/5</f>
        <v>2.3501298453903661E-3</v>
      </c>
      <c r="P23" s="932">
        <f>O23-($N23-$S23)/5</f>
        <v>2.3875973840427746E-3</v>
      </c>
      <c r="Q23" s="932">
        <f>P23-($N23-$S23)/5</f>
        <v>2.4250649226951831E-3</v>
      </c>
      <c r="R23" s="932">
        <f>Q23-($N23-$S23)/5</f>
        <v>2.4625324613475916E-3</v>
      </c>
      <c r="S23" s="933">
        <v>2.5000000000000001E-3</v>
      </c>
      <c r="T23" s="487"/>
      <c r="U23" s="487"/>
      <c r="V23" s="487"/>
      <c r="W23" s="487"/>
      <c r="X23" s="601"/>
      <c r="Y23" s="615"/>
      <c r="Z23" s="486"/>
      <c r="AA23" s="486"/>
      <c r="AB23" s="486"/>
      <c r="AC23" s="486"/>
      <c r="AD23" s="984"/>
      <c r="AE23" s="486"/>
      <c r="AF23" s="486"/>
      <c r="AG23" s="486"/>
      <c r="AH23" s="984"/>
      <c r="AI23" s="486"/>
      <c r="AJ23" s="486"/>
      <c r="AK23" s="486"/>
      <c r="AL23" s="984"/>
      <c r="AM23" s="486"/>
      <c r="AN23" s="486"/>
      <c r="AO23" s="486"/>
      <c r="AP23" s="984"/>
      <c r="AQ23" s="486"/>
      <c r="AR23" s="486"/>
      <c r="AS23" s="486"/>
      <c r="AT23" s="984"/>
      <c r="AU23" s="486"/>
      <c r="AV23" s="486"/>
      <c r="AW23" s="486"/>
      <c r="AX23" s="1147"/>
      <c r="AZ23" s="486"/>
      <c r="BI23" s="1149"/>
      <c r="BJ23" s="415"/>
      <c r="BK23" s="415"/>
      <c r="BL23" s="415"/>
      <c r="BM23" s="1149"/>
      <c r="BN23" s="415"/>
      <c r="BO23" s="415"/>
      <c r="BP23" s="415"/>
      <c r="BQ23" s="1149"/>
      <c r="BR23" s="415"/>
      <c r="BS23" s="415"/>
      <c r="BT23" s="415"/>
      <c r="BU23" s="1149"/>
      <c r="BV23" s="415"/>
      <c r="BW23" s="415"/>
      <c r="BX23" s="415"/>
      <c r="BY23" s="1149"/>
      <c r="BZ23" s="415"/>
      <c r="CA23" s="415"/>
      <c r="CB23" s="415"/>
    </row>
    <row r="24" spans="1:80" ht="15" outlineLevel="1">
      <c r="A24" s="515" t="s">
        <v>489</v>
      </c>
      <c r="B24" s="485"/>
      <c r="C24" s="486"/>
      <c r="D24" s="486"/>
      <c r="E24" s="486"/>
      <c r="F24" s="486"/>
      <c r="G24" s="486"/>
      <c r="H24" s="486">
        <f>-'A. Raw FS'!H386</f>
        <v>0</v>
      </c>
      <c r="I24" s="486">
        <f>-'A. Raw FS'!I386</f>
        <v>0</v>
      </c>
      <c r="J24" s="486">
        <f>-'A. Raw FS'!J386</f>
        <v>-138.80000000000001</v>
      </c>
      <c r="K24" s="486">
        <f>-'A. Raw FS'!K386</f>
        <v>-317.89999999999998</v>
      </c>
      <c r="L24" s="486">
        <f>-'A. Raw FS'!L386</f>
        <v>-558.79999999999995</v>
      </c>
      <c r="M24" s="658">
        <f>-'A. Raw FS'!M386</f>
        <v>-530.5</v>
      </c>
      <c r="N24" s="486">
        <f t="shared" ref="N24:S24" si="44">-N7*N25</f>
        <v>-643.52390520830033</v>
      </c>
      <c r="O24" s="486">
        <f t="shared" si="44"/>
        <v>-665.56139560798533</v>
      </c>
      <c r="P24" s="486">
        <f t="shared" si="44"/>
        <v>-753.88791068853936</v>
      </c>
      <c r="Q24" s="486">
        <f t="shared" si="44"/>
        <v>-808.6543444226121</v>
      </c>
      <c r="R24" s="486">
        <f t="shared" si="44"/>
        <v>-881.6062973355215</v>
      </c>
      <c r="S24" s="486">
        <f t="shared" si="44"/>
        <v>-960.12972328215005</v>
      </c>
      <c r="T24" s="486"/>
      <c r="U24" s="486"/>
      <c r="V24" s="486"/>
      <c r="W24" s="486"/>
      <c r="X24" s="486"/>
      <c r="Y24" s="486"/>
      <c r="Z24" s="486"/>
      <c r="AA24" s="486"/>
      <c r="AB24" s="486"/>
      <c r="AC24" s="486"/>
      <c r="AD24" s="984"/>
      <c r="AE24" s="486"/>
      <c r="AF24" s="486"/>
      <c r="AG24" s="486"/>
      <c r="AH24" s="984"/>
      <c r="AI24" s="486"/>
      <c r="AJ24" s="486"/>
      <c r="AK24" s="486"/>
      <c r="AL24" s="984"/>
      <c r="AM24" s="486"/>
      <c r="AN24" s="486"/>
      <c r="AO24" s="486"/>
      <c r="AP24" s="984"/>
      <c r="AQ24" s="486"/>
      <c r="AR24" s="486"/>
      <c r="AS24" s="486"/>
      <c r="AT24" s="984"/>
      <c r="AU24" s="486"/>
      <c r="AV24" s="486"/>
      <c r="AW24" s="486"/>
      <c r="AX24" s="1147"/>
      <c r="AZ24" s="486"/>
      <c r="BI24" s="1149"/>
      <c r="BJ24" s="415"/>
      <c r="BK24" s="415"/>
      <c r="BL24" s="415"/>
      <c r="BM24" s="1149"/>
      <c r="BN24" s="415"/>
      <c r="BO24" s="415"/>
      <c r="BP24" s="415"/>
      <c r="BQ24" s="1149"/>
      <c r="BR24" s="415"/>
      <c r="BS24" s="415"/>
      <c r="BT24" s="415"/>
      <c r="BU24" s="1149"/>
      <c r="BV24" s="415"/>
      <c r="BW24" s="415"/>
      <c r="BX24" s="415"/>
      <c r="BY24" s="1149"/>
      <c r="BZ24" s="415"/>
      <c r="CA24" s="415"/>
      <c r="CB24" s="415"/>
    </row>
    <row r="25" spans="1:80" ht="15" outlineLevel="1">
      <c r="A25" s="513" t="s">
        <v>479</v>
      </c>
      <c r="B25" s="485"/>
      <c r="C25" s="469"/>
      <c r="D25" s="492"/>
      <c r="E25" s="492"/>
      <c r="F25" s="492"/>
      <c r="G25" s="492"/>
      <c r="H25" s="890">
        <f t="shared" ref="H25:M25" si="45">-H24/H$7</f>
        <v>0</v>
      </c>
      <c r="I25" s="890">
        <f t="shared" si="45"/>
        <v>0</v>
      </c>
      <c r="J25" s="890">
        <f t="shared" si="45"/>
        <v>1.6352365464458646E-2</v>
      </c>
      <c r="K25" s="890">
        <f t="shared" si="45"/>
        <v>2.5359698814111112E-2</v>
      </c>
      <c r="L25" s="890">
        <f t="shared" si="45"/>
        <v>2.6707689232800393E-2</v>
      </c>
      <c r="M25" s="891">
        <f t="shared" si="45"/>
        <v>2.4082837775282438E-2</v>
      </c>
      <c r="N25" s="942">
        <v>3.2000000000000001E-2</v>
      </c>
      <c r="O25" s="942">
        <v>2.9000000000000001E-2</v>
      </c>
      <c r="P25" s="931">
        <v>2.9000000000000001E-2</v>
      </c>
      <c r="Q25" s="931">
        <f>P25-0.1%</f>
        <v>2.8000000000000001E-2</v>
      </c>
      <c r="R25" s="931">
        <f>Q25-0.05%</f>
        <v>2.75E-2</v>
      </c>
      <c r="S25" s="931">
        <f>R25-0.05%</f>
        <v>2.7E-2</v>
      </c>
      <c r="T25" s="943"/>
      <c r="U25" s="487"/>
      <c r="V25" s="487"/>
      <c r="W25" s="487"/>
      <c r="X25" s="618"/>
      <c r="Y25" s="615" t="s">
        <v>490</v>
      </c>
      <c r="Z25" s="486"/>
      <c r="AA25" s="486"/>
      <c r="AB25" s="486"/>
      <c r="AC25" s="486"/>
      <c r="AD25" s="984"/>
      <c r="AE25" s="486"/>
      <c r="AF25" s="486"/>
      <c r="AG25" s="486"/>
      <c r="AH25" s="984"/>
      <c r="AI25" s="486"/>
      <c r="AJ25" s="486"/>
      <c r="AK25" s="486"/>
      <c r="AL25" s="984"/>
      <c r="AM25" s="486"/>
      <c r="AN25" s="486"/>
      <c r="AO25" s="486"/>
      <c r="AP25" s="984"/>
      <c r="AQ25" s="486"/>
      <c r="AR25" s="486"/>
      <c r="AS25" s="486"/>
      <c r="AT25" s="984"/>
      <c r="AU25" s="486"/>
      <c r="AV25" s="486"/>
      <c r="AW25" s="486"/>
      <c r="AX25" s="1147"/>
      <c r="AZ25" s="486"/>
      <c r="BI25" s="1149"/>
      <c r="BJ25" s="415"/>
      <c r="BK25" s="415"/>
      <c r="BL25" s="415"/>
      <c r="BM25" s="1149"/>
      <c r="BN25" s="415"/>
      <c r="BO25" s="415"/>
      <c r="BP25" s="415"/>
      <c r="BQ25" s="1149"/>
      <c r="BR25" s="415"/>
      <c r="BS25" s="415"/>
      <c r="BT25" s="415"/>
      <c r="BU25" s="1149"/>
      <c r="BV25" s="415"/>
      <c r="BW25" s="415"/>
      <c r="BX25" s="415"/>
      <c r="BY25" s="1149"/>
      <c r="BZ25" s="415"/>
      <c r="CA25" s="415"/>
      <c r="CB25" s="415"/>
    </row>
    <row r="26" spans="1:80" ht="15" outlineLevel="1">
      <c r="A26" s="515" t="s">
        <v>491</v>
      </c>
      <c r="B26" s="485"/>
      <c r="C26" s="486"/>
      <c r="D26" s="486"/>
      <c r="E26" s="486"/>
      <c r="F26" s="486"/>
      <c r="G26" s="486"/>
      <c r="H26" s="486">
        <f>-'A. Raw FS'!H388</f>
        <v>-56.7</v>
      </c>
      <c r="I26" s="486">
        <f>-'A. Raw FS'!I388</f>
        <v>-53</v>
      </c>
      <c r="J26" s="486">
        <f>-'A. Raw FS'!J388</f>
        <v>-18.3</v>
      </c>
      <c r="K26" s="486">
        <f>-'A. Raw FS'!K388</f>
        <v>-49.6</v>
      </c>
      <c r="L26" s="486">
        <f>-'A. Raw FS'!L388</f>
        <v>-47.6</v>
      </c>
      <c r="M26" s="658">
        <f>-'A. Raw FS'!M388</f>
        <v>-58.1</v>
      </c>
      <c r="N26" s="486">
        <f t="shared" ref="N26:S26" si="46">-N7*N27</f>
        <v>-60.33036611327816</v>
      </c>
      <c r="O26" s="486">
        <f t="shared" si="46"/>
        <v>-68.851178855998484</v>
      </c>
      <c r="P26" s="486">
        <f t="shared" si="46"/>
        <v>-77.988404553986825</v>
      </c>
      <c r="Q26" s="486">
        <f t="shared" si="46"/>
        <v>-86.641536902422729</v>
      </c>
      <c r="R26" s="486">
        <f t="shared" si="46"/>
        <v>-96.175232436602343</v>
      </c>
      <c r="S26" s="486">
        <f t="shared" si="46"/>
        <v>-106.68108036468334</v>
      </c>
      <c r="T26" s="486"/>
      <c r="U26" s="486"/>
      <c r="V26" s="486"/>
      <c r="W26" s="486"/>
      <c r="X26" s="486"/>
      <c r="Y26" s="615" t="s">
        <v>492</v>
      </c>
      <c r="Z26" s="486"/>
      <c r="AA26" s="486"/>
      <c r="AB26" s="486"/>
      <c r="AC26" s="486"/>
      <c r="AD26" s="984"/>
      <c r="AE26" s="486"/>
      <c r="AF26" s="486"/>
      <c r="AG26" s="486"/>
      <c r="AH26" s="984"/>
      <c r="AI26" s="486"/>
      <c r="AJ26" s="486"/>
      <c r="AK26" s="486"/>
      <c r="AL26" s="984"/>
      <c r="AM26" s="486"/>
      <c r="AN26" s="486"/>
      <c r="AO26" s="486"/>
      <c r="AP26" s="984"/>
      <c r="AQ26" s="486"/>
      <c r="AR26" s="486"/>
      <c r="AS26" s="486"/>
      <c r="AT26" s="984"/>
      <c r="AU26" s="486"/>
      <c r="AV26" s="486"/>
      <c r="AW26" s="486"/>
      <c r="AX26" s="1147"/>
      <c r="AZ26" s="486"/>
      <c r="BI26" s="1149"/>
      <c r="BJ26" s="415"/>
      <c r="BK26" s="415"/>
      <c r="BL26" s="415"/>
      <c r="BM26" s="1149"/>
      <c r="BN26" s="415"/>
      <c r="BO26" s="415"/>
      <c r="BP26" s="415"/>
      <c r="BQ26" s="1149"/>
      <c r="BR26" s="415"/>
      <c r="BS26" s="415"/>
      <c r="BT26" s="415"/>
      <c r="BU26" s="1149"/>
      <c r="BV26" s="415"/>
      <c r="BW26" s="415"/>
      <c r="BX26" s="415"/>
      <c r="BY26" s="1149"/>
      <c r="BZ26" s="415"/>
      <c r="CA26" s="415"/>
      <c r="CB26" s="415"/>
    </row>
    <row r="27" spans="1:80" ht="15" outlineLevel="1">
      <c r="A27" s="513" t="s">
        <v>479</v>
      </c>
      <c r="B27" s="485"/>
      <c r="C27" s="575">
        <f t="shared" ref="C27:H27" si="47">-C26/C$7</f>
        <v>0</v>
      </c>
      <c r="D27" s="890">
        <f t="shared" si="47"/>
        <v>0</v>
      </c>
      <c r="E27" s="890">
        <f t="shared" si="47"/>
        <v>0</v>
      </c>
      <c r="F27" s="890">
        <f t="shared" si="47"/>
        <v>0</v>
      </c>
      <c r="G27" s="890">
        <f t="shared" si="47"/>
        <v>0</v>
      </c>
      <c r="H27" s="890">
        <f t="shared" si="47"/>
        <v>1.4839265803767812E-2</v>
      </c>
      <c r="I27" s="890">
        <f>-I26/I$7</f>
        <v>8.9265102606582106E-3</v>
      </c>
      <c r="J27" s="890">
        <f>-J26/J$7</f>
        <v>2.1559674927924583E-3</v>
      </c>
      <c r="K27" s="890">
        <f>-K26/K$7</f>
        <v>3.9567192865049118E-3</v>
      </c>
      <c r="L27" s="890">
        <f>-L26/L$7</f>
        <v>2.2750286461726893E-3</v>
      </c>
      <c r="M27" s="891">
        <f>-M26/M$7</f>
        <v>2.6375360504126478E-3</v>
      </c>
      <c r="N27" s="930">
        <v>3.0000000000000001E-3</v>
      </c>
      <c r="O27" s="931">
        <f>N27-($N27-$S27)/5</f>
        <v>3.0000000000000001E-3</v>
      </c>
      <c r="P27" s="931">
        <f>O27-($N27-$S27)/5</f>
        <v>3.0000000000000001E-3</v>
      </c>
      <c r="Q27" s="931">
        <f>P27-($N27-$S27)/5</f>
        <v>3.0000000000000001E-3</v>
      </c>
      <c r="R27" s="931">
        <f>Q27-($N27-$S27)/5</f>
        <v>3.0000000000000001E-3</v>
      </c>
      <c r="S27" s="933">
        <v>3.0000000000000001E-3</v>
      </c>
      <c r="T27" s="487"/>
      <c r="U27" s="487"/>
      <c r="V27" s="487"/>
      <c r="W27" s="487"/>
      <c r="X27" s="601"/>
      <c r="Y27" s="615"/>
      <c r="Z27" s="486"/>
      <c r="AA27" s="486">
        <f>-AA26/AA$7</f>
        <v>0</v>
      </c>
      <c r="AB27" s="486">
        <f t="shared" ref="AB27:AI27" si="48">-AB26/AB$7</f>
        <v>0</v>
      </c>
      <c r="AC27" s="486">
        <f t="shared" si="48"/>
        <v>0</v>
      </c>
      <c r="AD27" s="984">
        <f t="shared" si="48"/>
        <v>0</v>
      </c>
      <c r="AE27" s="486">
        <f t="shared" si="48"/>
        <v>0</v>
      </c>
      <c r="AF27" s="486">
        <f t="shared" si="48"/>
        <v>0</v>
      </c>
      <c r="AG27" s="486">
        <f t="shared" si="48"/>
        <v>0</v>
      </c>
      <c r="AH27" s="984">
        <f t="shared" si="48"/>
        <v>0</v>
      </c>
      <c r="AI27" s="486">
        <f t="shared" si="48"/>
        <v>0</v>
      </c>
      <c r="AJ27" s="486">
        <f t="shared" ref="AJ27:AW27" si="49">-AJ26/AJ$7</f>
        <v>0</v>
      </c>
      <c r="AK27" s="486">
        <f t="shared" si="49"/>
        <v>0</v>
      </c>
      <c r="AL27" s="984">
        <f t="shared" si="49"/>
        <v>0</v>
      </c>
      <c r="AM27" s="486">
        <f t="shared" si="49"/>
        <v>0</v>
      </c>
      <c r="AN27" s="486">
        <f t="shared" si="49"/>
        <v>0</v>
      </c>
      <c r="AO27" s="486">
        <f t="shared" si="49"/>
        <v>0</v>
      </c>
      <c r="AP27" s="984">
        <f t="shared" si="49"/>
        <v>0</v>
      </c>
      <c r="AQ27" s="486">
        <f t="shared" si="49"/>
        <v>0</v>
      </c>
      <c r="AR27" s="486">
        <f t="shared" si="49"/>
        <v>0</v>
      </c>
      <c r="AS27" s="486">
        <f t="shared" si="49"/>
        <v>0</v>
      </c>
      <c r="AT27" s="984">
        <f t="shared" si="49"/>
        <v>0</v>
      </c>
      <c r="AU27" s="486">
        <f t="shared" si="49"/>
        <v>0</v>
      </c>
      <c r="AV27" s="486">
        <f t="shared" si="49"/>
        <v>0</v>
      </c>
      <c r="AW27" s="486">
        <f t="shared" si="49"/>
        <v>0</v>
      </c>
      <c r="AX27" s="1147"/>
      <c r="AZ27" s="486"/>
      <c r="BI27" s="1149"/>
      <c r="BJ27" s="415"/>
      <c r="BK27" s="415"/>
      <c r="BL27" s="415"/>
      <c r="BM27" s="1149"/>
      <c r="BN27" s="415"/>
      <c r="BO27" s="415"/>
      <c r="BP27" s="415"/>
      <c r="BQ27" s="1149"/>
      <c r="BR27" s="415"/>
      <c r="BS27" s="415"/>
      <c r="BT27" s="415"/>
      <c r="BU27" s="1149"/>
      <c r="BV27" s="415"/>
      <c r="BW27" s="415"/>
      <c r="BX27" s="415"/>
      <c r="BY27" s="1149"/>
      <c r="BZ27" s="415"/>
      <c r="CA27" s="415"/>
      <c r="CB27" s="415"/>
    </row>
    <row r="28" spans="1:80" ht="15" outlineLevel="1">
      <c r="H28" s="303"/>
      <c r="I28" s="303"/>
      <c r="J28" s="303"/>
      <c r="K28" s="303"/>
      <c r="L28" s="303"/>
      <c r="M28" s="1156"/>
      <c r="BI28" s="1149">
        <f t="shared" ref="BI28:BR29" si="50">SUM(AA28:AD28)</f>
        <v>0</v>
      </c>
      <c r="BJ28" s="415">
        <f t="shared" si="50"/>
        <v>0</v>
      </c>
      <c r="BK28" s="415">
        <f t="shared" si="50"/>
        <v>0</v>
      </c>
      <c r="BL28" s="415">
        <f t="shared" si="50"/>
        <v>0</v>
      </c>
      <c r="BM28" s="1149">
        <f t="shared" si="50"/>
        <v>0</v>
      </c>
      <c r="BN28" s="415">
        <f t="shared" si="50"/>
        <v>0</v>
      </c>
      <c r="BO28" s="415">
        <f t="shared" si="50"/>
        <v>0</v>
      </c>
      <c r="BP28" s="415">
        <f t="shared" si="50"/>
        <v>0</v>
      </c>
      <c r="BQ28" s="1149">
        <f t="shared" si="50"/>
        <v>0</v>
      </c>
      <c r="BR28" s="415">
        <f t="shared" si="50"/>
        <v>0</v>
      </c>
      <c r="BS28" s="415">
        <f t="shared" ref="BS28:CA29" si="51">SUM(AK28:AN28)</f>
        <v>0</v>
      </c>
      <c r="BT28" s="415">
        <f t="shared" si="51"/>
        <v>0</v>
      </c>
      <c r="BU28" s="1149">
        <f t="shared" si="51"/>
        <v>0</v>
      </c>
      <c r="BV28" s="415">
        <f t="shared" si="51"/>
        <v>0</v>
      </c>
      <c r="BW28" s="415">
        <f t="shared" si="51"/>
        <v>0</v>
      </c>
      <c r="BX28" s="415">
        <f t="shared" si="51"/>
        <v>0</v>
      </c>
      <c r="BY28" s="1149">
        <f t="shared" si="51"/>
        <v>0</v>
      </c>
      <c r="BZ28" s="415">
        <f t="shared" si="51"/>
        <v>0</v>
      </c>
      <c r="CA28" s="415">
        <f t="shared" si="51"/>
        <v>0</v>
      </c>
      <c r="CB28" s="415">
        <f>SUM(AT28:AW28)</f>
        <v>0</v>
      </c>
    </row>
    <row r="29" spans="1:80" ht="15">
      <c r="A29" s="1128" t="s">
        <v>493</v>
      </c>
      <c r="C29" s="90">
        <f>'A. Raw FS'!C22</f>
        <v>-35.976747054999997</v>
      </c>
      <c r="D29" s="486">
        <f>'A. Raw FS'!D22</f>
        <v>-32.029911069000001</v>
      </c>
      <c r="E29" s="486">
        <f>'A. Raw FS'!E22</f>
        <v>-38.939839997</v>
      </c>
      <c r="F29" s="486">
        <f>'A. Raw FS'!F22</f>
        <v>-45.438871816999999</v>
      </c>
      <c r="G29" s="486">
        <f>'A. Raw FS'!G22</f>
        <v>-53.825894204000001</v>
      </c>
      <c r="H29" s="486">
        <f>'A. Raw FS'!H22</f>
        <v>-55.721814246000001</v>
      </c>
      <c r="I29" s="486">
        <f>'A. Raw FS'!I22</f>
        <v>-91.237772755999998</v>
      </c>
      <c r="J29" s="486">
        <f>'A. Raw FS'!J22</f>
        <v>-100.526980788</v>
      </c>
      <c r="K29" s="486">
        <f>'A. Raw FS'!K22</f>
        <v>-90.216582364999994</v>
      </c>
      <c r="L29" s="486">
        <f>'A. Raw FS'!L22</f>
        <v>-113.70392908399999</v>
      </c>
      <c r="M29" s="658">
        <f>'A. Raw FS'!M22</f>
        <v>-135.81866980000001</v>
      </c>
      <c r="N29" s="486">
        <f t="shared" ref="N29:S29" si="52">-N30*N7</f>
        <v>-177.5012391659657</v>
      </c>
      <c r="O29" s="486">
        <f t="shared" si="52"/>
        <v>-181.30810432079602</v>
      </c>
      <c r="P29" s="486">
        <f t="shared" si="52"/>
        <v>-187.17217092956838</v>
      </c>
      <c r="Q29" s="486">
        <f t="shared" si="52"/>
        <v>-193.49943241541075</v>
      </c>
      <c r="R29" s="486">
        <f t="shared" si="52"/>
        <v>-201.96798811686492</v>
      </c>
      <c r="S29" s="486">
        <f t="shared" si="52"/>
        <v>-206.25008870505445</v>
      </c>
      <c r="T29" s="486"/>
      <c r="U29" s="486"/>
      <c r="V29" s="486"/>
      <c r="W29" s="486"/>
      <c r="X29" s="486"/>
      <c r="Y29" s="486"/>
      <c r="Z29" s="486"/>
      <c r="AA29" s="486">
        <f>'A. Raw FS'!AA22</f>
        <v>-17.396081595999998</v>
      </c>
      <c r="AB29" s="486">
        <f>'A. Raw FS'!AB22</f>
        <v>-18.800080157</v>
      </c>
      <c r="AC29" s="486">
        <f>'A. Raw FS'!AC22</f>
        <v>-23.887016394</v>
      </c>
      <c r="AD29" s="984">
        <f>'A. Raw FS'!AD22</f>
        <v>-29.132815887</v>
      </c>
      <c r="AE29" s="486">
        <f>'A. Raw FS'!AE22</f>
        <v>-23.376234287999999</v>
      </c>
      <c r="AF29" s="486">
        <f>'A. Raw FS'!AF22</f>
        <v>-16.555429924999999</v>
      </c>
      <c r="AG29" s="486">
        <f>'A. Raw FS'!AG22</f>
        <v>-24.588472717999998</v>
      </c>
      <c r="AH29" s="984">
        <f>'A. Raw FS'!AH22</f>
        <v>-34.835035509000001</v>
      </c>
      <c r="AI29" s="486">
        <f>'A. Raw FS'!AI22</f>
        <v>-28.177778054000001</v>
      </c>
      <c r="AJ29" s="486">
        <f>'A. Raw FS'!AJ22</f>
        <v>-9.6849339729999997</v>
      </c>
      <c r="AK29" s="486">
        <f>'A. Raw FS'!AK22</f>
        <v>-17.601609595999999</v>
      </c>
      <c r="AL29" s="984">
        <f>'A. Raw FS'!AL22</f>
        <v>-12.748857307</v>
      </c>
      <c r="AM29" s="486">
        <f>'A. Raw FS'!AM22</f>
        <v>-20.574394779999999</v>
      </c>
      <c r="AN29" s="486">
        <f>'A. Raw FS'!AN22</f>
        <v>-25.006892437000001</v>
      </c>
      <c r="AO29" s="486">
        <f>'A. Raw FS'!AO22</f>
        <v>-26.760418961999999</v>
      </c>
      <c r="AP29" s="984">
        <f>'A. Raw FS'!AP22</f>
        <v>-41.362222905000003</v>
      </c>
      <c r="AQ29" s="486">
        <f>'A. Raw FS'!AQ22</f>
        <v>-24.712718186</v>
      </c>
      <c r="AR29" s="486">
        <f>'A. Raw FS'!AR22</f>
        <v>-32.897217329999997</v>
      </c>
      <c r="AS29" s="486">
        <f>'A. Raw FS'!AS22</f>
        <v>-37.973614707999999</v>
      </c>
      <c r="AT29" s="984">
        <f>'A. Raw FS'!AT22</f>
        <v>-40.238001394000001</v>
      </c>
      <c r="AU29" s="486">
        <f>'A. Raw FS'!AU22</f>
        <v>-45.549452313000003</v>
      </c>
      <c r="AV29" s="486">
        <f>'A. Raw FS'!AV22</f>
        <v>-40.020389195999996</v>
      </c>
      <c r="AW29" s="486">
        <f>'A. Raw FS'!AW22</f>
        <v>-48.94</v>
      </c>
      <c r="AX29" s="1147">
        <f>-AX30*AX7</f>
        <v>-42.991397656965695</v>
      </c>
      <c r="AZ29" s="486">
        <f>SUM(AU29:AX29)</f>
        <v>-177.5012391659657</v>
      </c>
      <c r="BI29" s="1149">
        <f t="shared" si="50"/>
        <v>-89.215994034000005</v>
      </c>
      <c r="BJ29" s="415">
        <f t="shared" si="50"/>
        <v>-95.196146725999995</v>
      </c>
      <c r="BK29" s="415">
        <f t="shared" si="50"/>
        <v>-92.951496493999997</v>
      </c>
      <c r="BL29" s="415">
        <f t="shared" si="50"/>
        <v>-93.652952817999989</v>
      </c>
      <c r="BM29" s="1149">
        <f t="shared" si="50"/>
        <v>-99.35517243999999</v>
      </c>
      <c r="BN29" s="415">
        <f t="shared" si="50"/>
        <v>-104.156716206</v>
      </c>
      <c r="BO29" s="415">
        <f t="shared" si="50"/>
        <v>-97.286220254</v>
      </c>
      <c r="BP29" s="415">
        <f t="shared" si="50"/>
        <v>-90.299357132000011</v>
      </c>
      <c r="BQ29" s="1149">
        <f t="shared" si="50"/>
        <v>-68.213178929999998</v>
      </c>
      <c r="BR29" s="415">
        <f t="shared" si="50"/>
        <v>-60.609795655999996</v>
      </c>
      <c r="BS29" s="415">
        <f t="shared" si="51"/>
        <v>-75.931754119999994</v>
      </c>
      <c r="BT29" s="415">
        <f t="shared" si="51"/>
        <v>-85.090563486000008</v>
      </c>
      <c r="BU29" s="1149">
        <f t="shared" si="51"/>
        <v>-113.70392908400001</v>
      </c>
      <c r="BV29" s="415">
        <f t="shared" si="51"/>
        <v>-117.84225249000001</v>
      </c>
      <c r="BW29" s="415">
        <f t="shared" si="51"/>
        <v>-125.73257738300001</v>
      </c>
      <c r="BX29" s="415">
        <f t="shared" si="51"/>
        <v>-136.94577312899997</v>
      </c>
      <c r="BY29" s="1149">
        <f t="shared" si="51"/>
        <v>-135.821551618</v>
      </c>
      <c r="BZ29" s="415">
        <f t="shared" si="51"/>
        <v>-156.658285745</v>
      </c>
      <c r="CA29" s="415">
        <f t="shared" si="51"/>
        <v>-163.78145761100001</v>
      </c>
      <c r="CB29" s="415">
        <f>SUM(AT29:AW29)</f>
        <v>-174.74784290299999</v>
      </c>
    </row>
    <row r="30" spans="1:80" s="427" customFormat="1" ht="15">
      <c r="A30" s="512" t="s">
        <v>494</v>
      </c>
      <c r="B30" s="431"/>
      <c r="C30" s="479">
        <f t="shared" ref="C30:M30" si="53">-C29/C$7</f>
        <v>1.6814115221990437E-2</v>
      </c>
      <c r="D30" s="487">
        <f t="shared" si="53"/>
        <v>1.0476643947851064E-2</v>
      </c>
      <c r="E30" s="487">
        <f t="shared" si="53"/>
        <v>7.9850964929031581E-3</v>
      </c>
      <c r="F30" s="487">
        <f t="shared" si="53"/>
        <v>1.081014184339832E-2</v>
      </c>
      <c r="G30" s="487">
        <f t="shared" si="53"/>
        <v>1.4164435344594162E-2</v>
      </c>
      <c r="H30" s="487">
        <f t="shared" si="53"/>
        <v>1.458325948262028E-2</v>
      </c>
      <c r="I30" s="487">
        <f t="shared" si="53"/>
        <v>1.5366696503132757E-2</v>
      </c>
      <c r="J30" s="487">
        <f t="shared" si="53"/>
        <v>1.1843328017896174E-2</v>
      </c>
      <c r="K30" s="487">
        <f t="shared" si="53"/>
        <v>7.1968082944789185E-3</v>
      </c>
      <c r="L30" s="487">
        <f t="shared" si="53"/>
        <v>5.4344473917749573E-3</v>
      </c>
      <c r="M30" s="663">
        <f t="shared" si="53"/>
        <v>6.1656908419378932E-3</v>
      </c>
      <c r="N30" s="489">
        <f>AZ30</f>
        <v>8.8264625561537569E-3</v>
      </c>
      <c r="O30" s="489">
        <v>7.9000000000000008E-3</v>
      </c>
      <c r="P30" s="489">
        <v>7.1999999999999998E-3</v>
      </c>
      <c r="Q30" s="489">
        <v>6.7000000000000002E-3</v>
      </c>
      <c r="R30" s="489">
        <v>6.3E-3</v>
      </c>
      <c r="S30" s="489">
        <f>R30-0.05%</f>
        <v>5.7999999999999996E-3</v>
      </c>
      <c r="T30" s="487"/>
      <c r="U30" s="487"/>
      <c r="V30" s="487"/>
      <c r="W30" s="487"/>
      <c r="X30" s="432"/>
      <c r="Y30" s="432"/>
      <c r="Z30" s="432"/>
      <c r="AA30" s="487">
        <f>-AA29/AA$7</f>
        <v>1.375709936780104E-2</v>
      </c>
      <c r="AB30" s="487">
        <f t="shared" ref="AB30:AI30" si="54">-AB29/AB$7</f>
        <v>1.3696506587793155E-2</v>
      </c>
      <c r="AC30" s="487">
        <f t="shared" si="54"/>
        <v>1.3711222564130562E-2</v>
      </c>
      <c r="AD30" s="480">
        <f t="shared" si="54"/>
        <v>1.8666263402034439E-2</v>
      </c>
      <c r="AE30" s="487">
        <f t="shared" si="54"/>
        <v>1.704062551465757E-2</v>
      </c>
      <c r="AF30" s="487">
        <f t="shared" si="54"/>
        <v>8.2688084356051343E-3</v>
      </c>
      <c r="AG30" s="487">
        <f t="shared" si="54"/>
        <v>9.4044842646430326E-3</v>
      </c>
      <c r="AH30" s="480">
        <f t="shared" si="54"/>
        <v>1.3935092782055536E-2</v>
      </c>
      <c r="AI30" s="487">
        <f t="shared" si="54"/>
        <v>1.2194397088767748E-2</v>
      </c>
      <c r="AJ30" s="487">
        <f t="shared" ref="AJ30:AW30" si="55">-AJ29/AJ$7</f>
        <v>3.7509772401341508E-3</v>
      </c>
      <c r="AK30" s="487">
        <f t="shared" si="55"/>
        <v>4.8565887178046102E-3</v>
      </c>
      <c r="AL30" s="480">
        <f t="shared" si="55"/>
        <v>3.1735860901143309E-3</v>
      </c>
      <c r="AM30" s="487">
        <f t="shared" si="55"/>
        <v>4.1092923869501669E-3</v>
      </c>
      <c r="AN30" s="487">
        <f t="shared" si="55"/>
        <v>5.9292593957665091E-3</v>
      </c>
      <c r="AO30" s="487">
        <f t="shared" si="55"/>
        <v>6.9959609523815199E-3</v>
      </c>
      <c r="AP30" s="480">
        <f t="shared" si="55"/>
        <v>5.2214786920940677E-3</v>
      </c>
      <c r="AQ30" s="487">
        <f t="shared" si="55"/>
        <v>3.5260058937736909E-3</v>
      </c>
      <c r="AR30" s="487">
        <f t="shared" si="55"/>
        <v>6.6998205720263035E-3</v>
      </c>
      <c r="AS30" s="487">
        <f t="shared" si="55"/>
        <v>6.2608791187945901E-3</v>
      </c>
      <c r="AT30" s="480">
        <f t="shared" si="55"/>
        <v>9.8740588848726558E-3</v>
      </c>
      <c r="AU30" s="487">
        <f t="shared" si="55"/>
        <v>1.1502598371376065E-2</v>
      </c>
      <c r="AV30" s="487">
        <f t="shared" si="55"/>
        <v>8.7080229402078518E-3</v>
      </c>
      <c r="AW30" s="487">
        <f t="shared" si="55"/>
        <v>9.0415980017588063E-3</v>
      </c>
      <c r="AX30" s="667">
        <v>7.0000000000000001E-3</v>
      </c>
      <c r="AY30" s="487"/>
      <c r="AZ30" s="487">
        <f>-AZ29/AZ$7</f>
        <v>8.8264625561537569E-3</v>
      </c>
      <c r="BI30" s="419"/>
      <c r="BM30" s="419"/>
      <c r="BQ30" s="419"/>
      <c r="BU30" s="419"/>
      <c r="BY30" s="419"/>
    </row>
    <row r="31" spans="1:80" ht="15">
      <c r="C31" s="43"/>
      <c r="D31" s="57"/>
      <c r="E31" s="57"/>
      <c r="F31" s="57"/>
      <c r="G31" s="57"/>
      <c r="H31" s="57"/>
      <c r="I31" s="408"/>
      <c r="J31" s="408"/>
      <c r="K31" s="408"/>
      <c r="L31" s="408"/>
      <c r="M31" s="675"/>
      <c r="N31" s="408"/>
      <c r="O31" s="408"/>
      <c r="P31" s="408"/>
      <c r="Q31" s="408"/>
      <c r="R31" s="408"/>
      <c r="S31" s="408"/>
      <c r="BI31" s="1149"/>
      <c r="BJ31" s="415"/>
      <c r="BK31" s="415"/>
      <c r="BL31" s="415"/>
      <c r="BM31" s="1149"/>
      <c r="BN31" s="415"/>
      <c r="BO31" s="415"/>
      <c r="BP31" s="415"/>
      <c r="BQ31" s="1149"/>
      <c r="BR31" s="415"/>
      <c r="BS31" s="415"/>
      <c r="BT31" s="415"/>
      <c r="BU31" s="1149"/>
      <c r="BV31" s="415"/>
      <c r="BW31" s="415"/>
      <c r="BX31" s="415"/>
      <c r="BY31" s="1149"/>
      <c r="BZ31" s="415"/>
      <c r="CA31" s="415"/>
      <c r="CB31" s="415"/>
    </row>
    <row r="32" spans="1:80" s="397" customFormat="1" ht="15">
      <c r="A32" s="511" t="s">
        <v>122</v>
      </c>
      <c r="B32" s="410"/>
      <c r="C32" s="466">
        <f>C13+C17+C29</f>
        <v>87.321140529000019</v>
      </c>
      <c r="D32" s="608">
        <f t="shared" ref="D32:S32" si="56">D13+D17+D29</f>
        <v>93.123941163999973</v>
      </c>
      <c r="E32" s="608">
        <f t="shared" si="56"/>
        <v>181.17495496499996</v>
      </c>
      <c r="F32" s="608">
        <f t="shared" si="56"/>
        <v>154.71080993699999</v>
      </c>
      <c r="G32" s="608">
        <f t="shared" si="56"/>
        <v>88.668949805000011</v>
      </c>
      <c r="H32" s="608">
        <f t="shared" si="56"/>
        <v>93.128522151999988</v>
      </c>
      <c r="I32" s="608">
        <f t="shared" si="56"/>
        <v>143.168508436</v>
      </c>
      <c r="J32" s="608">
        <f t="shared" si="56"/>
        <v>199.29945048799993</v>
      </c>
      <c r="K32" s="608">
        <f t="shared" si="56"/>
        <v>278.16573434600002</v>
      </c>
      <c r="L32" s="608">
        <f t="shared" si="56"/>
        <v>685.99023941900009</v>
      </c>
      <c r="M32" s="659">
        <f t="shared" ref="M32:R32" si="57">M13+M17+M29</f>
        <v>804.97772367100015</v>
      </c>
      <c r="N32" s="608">
        <f t="shared" si="57"/>
        <v>481.74169968037995</v>
      </c>
      <c r="O32" s="608">
        <f t="shared" si="57"/>
        <v>567.9035715533746</v>
      </c>
      <c r="P32" s="608">
        <f t="shared" si="57"/>
        <v>668.214188351345</v>
      </c>
      <c r="Q32" s="608">
        <f t="shared" si="57"/>
        <v>799.35294047693253</v>
      </c>
      <c r="R32" s="608">
        <f t="shared" si="57"/>
        <v>952.64367545419691</v>
      </c>
      <c r="S32" s="608">
        <f t="shared" si="56"/>
        <v>1131.2582269662391</v>
      </c>
      <c r="T32" s="608"/>
      <c r="U32" s="608"/>
      <c r="V32" s="608"/>
      <c r="W32" s="608"/>
      <c r="X32" s="608"/>
      <c r="Y32" s="608"/>
      <c r="Z32" s="608"/>
      <c r="AA32" s="608">
        <f>AA13+AA17+AA29</f>
        <v>26.543814031999997</v>
      </c>
      <c r="AB32" s="608">
        <f t="shared" ref="AB32:AI32" si="58">AB13+AB17+AB29</f>
        <v>30.033810851000009</v>
      </c>
      <c r="AC32" s="608">
        <f t="shared" si="58"/>
        <v>46.024627949999996</v>
      </c>
      <c r="AD32" s="986">
        <f t="shared" si="58"/>
        <v>41.492966001999996</v>
      </c>
      <c r="AE32" s="608">
        <f t="shared" si="58"/>
        <v>28.022644706000001</v>
      </c>
      <c r="AF32" s="608">
        <f t="shared" si="58"/>
        <v>49.451600783000004</v>
      </c>
      <c r="AG32" s="608">
        <f t="shared" si="58"/>
        <v>65.082495822999988</v>
      </c>
      <c r="AH32" s="986">
        <f t="shared" si="58"/>
        <v>58.412904562999991</v>
      </c>
      <c r="AI32" s="608">
        <f t="shared" si="58"/>
        <v>50.986054362000004</v>
      </c>
      <c r="AJ32" s="608">
        <f t="shared" ref="AJ32:AW32" si="59">AJ13+AJ17+AJ29</f>
        <v>44.805546970999998</v>
      </c>
      <c r="AK32" s="608">
        <f t="shared" si="59"/>
        <v>88.855324540999987</v>
      </c>
      <c r="AL32" s="986">
        <f t="shared" si="59"/>
        <v>95.211798225999999</v>
      </c>
      <c r="AM32" s="608">
        <f t="shared" si="59"/>
        <v>116.95734206799997</v>
      </c>
      <c r="AN32" s="608">
        <f t="shared" si="59"/>
        <v>116.21462400700003</v>
      </c>
      <c r="AO32" s="608">
        <f t="shared" si="59"/>
        <v>96.135348508000035</v>
      </c>
      <c r="AP32" s="986">
        <f t="shared" si="59"/>
        <v>359.75173823099993</v>
      </c>
      <c r="AQ32" s="608">
        <f t="shared" si="59"/>
        <v>209.77491077400003</v>
      </c>
      <c r="AR32" s="608">
        <f t="shared" si="59"/>
        <v>170.31102088099999</v>
      </c>
      <c r="AS32" s="608">
        <f t="shared" si="59"/>
        <v>218.41895204299999</v>
      </c>
      <c r="AT32" s="986">
        <f t="shared" si="59"/>
        <v>206.365342575</v>
      </c>
      <c r="AU32" s="608">
        <f t="shared" si="59"/>
        <v>96.803172377999985</v>
      </c>
      <c r="AV32" s="608">
        <f t="shared" si="59"/>
        <v>111.498635503</v>
      </c>
      <c r="AW32" s="608">
        <f t="shared" si="59"/>
        <v>122.96999999999997</v>
      </c>
      <c r="AX32" s="659">
        <f>AX65-AX55</f>
        <v>209.33835806904582</v>
      </c>
      <c r="AZ32" s="608">
        <f>SUM(AU32:AX32)</f>
        <v>540.61016595004583</v>
      </c>
      <c r="BI32" s="467">
        <f t="shared" ref="BI32:CA32" si="60">SUM(AA32:AD32)</f>
        <v>144.095218835</v>
      </c>
      <c r="BJ32" s="417">
        <f t="shared" si="60"/>
        <v>145.57404950899999</v>
      </c>
      <c r="BK32" s="417">
        <f t="shared" si="60"/>
        <v>164.991839441</v>
      </c>
      <c r="BL32" s="417">
        <f t="shared" si="60"/>
        <v>184.04970731399999</v>
      </c>
      <c r="BM32" s="467">
        <f t="shared" si="60"/>
        <v>200.96964587499997</v>
      </c>
      <c r="BN32" s="417">
        <f t="shared" si="60"/>
        <v>223.93305553099998</v>
      </c>
      <c r="BO32" s="417">
        <f t="shared" si="60"/>
        <v>219.28700171899999</v>
      </c>
      <c r="BP32" s="417">
        <f t="shared" si="60"/>
        <v>243.05983043699999</v>
      </c>
      <c r="BQ32" s="467">
        <f t="shared" si="60"/>
        <v>279.85872409999996</v>
      </c>
      <c r="BR32" s="417">
        <f t="shared" si="60"/>
        <v>345.8300118059999</v>
      </c>
      <c r="BS32" s="417">
        <f t="shared" si="60"/>
        <v>417.239088842</v>
      </c>
      <c r="BT32" s="417">
        <f t="shared" si="60"/>
        <v>424.51911280900009</v>
      </c>
      <c r="BU32" s="467">
        <f t="shared" si="60"/>
        <v>689.05905281399998</v>
      </c>
      <c r="BV32" s="417">
        <f t="shared" si="60"/>
        <v>781.87662152000007</v>
      </c>
      <c r="BW32" s="417">
        <f t="shared" si="60"/>
        <v>835.97301839399995</v>
      </c>
      <c r="BX32" s="417">
        <f t="shared" si="60"/>
        <v>958.25662192899995</v>
      </c>
      <c r="BY32" s="467">
        <f t="shared" si="60"/>
        <v>804.87022627299996</v>
      </c>
      <c r="BZ32" s="417">
        <f t="shared" si="60"/>
        <v>691.89848787699998</v>
      </c>
      <c r="CA32" s="417">
        <f t="shared" si="60"/>
        <v>633.08610249899994</v>
      </c>
      <c r="CB32" s="417">
        <f>SUM(AT32:AW32)</f>
        <v>537.63715045599997</v>
      </c>
    </row>
    <row r="33" spans="1:80" s="473" customFormat="1" ht="15">
      <c r="A33" s="513" t="s">
        <v>495</v>
      </c>
      <c r="B33" s="472"/>
      <c r="C33" s="479">
        <f t="shared" ref="C33:R33" si="61">C32/C$7</f>
        <v>4.0810463378627586E-2</v>
      </c>
      <c r="D33" s="487">
        <f t="shared" si="61"/>
        <v>3.045985274495858E-2</v>
      </c>
      <c r="E33" s="487">
        <f t="shared" si="61"/>
        <v>3.715216851441519E-2</v>
      </c>
      <c r="F33" s="487">
        <f t="shared" si="61"/>
        <v>3.6806499220790469E-2</v>
      </c>
      <c r="G33" s="487">
        <f t="shared" si="61"/>
        <v>2.3333483357024357E-2</v>
      </c>
      <c r="H33" s="487">
        <f t="shared" si="61"/>
        <v>2.4373172735901349E-2</v>
      </c>
      <c r="I33" s="487">
        <f t="shared" si="61"/>
        <v>2.4113116218058218E-2</v>
      </c>
      <c r="J33" s="487">
        <f t="shared" si="61"/>
        <v>2.3479952818772017E-2</v>
      </c>
      <c r="K33" s="487">
        <f t="shared" si="61"/>
        <v>2.2189994474427821E-2</v>
      </c>
      <c r="L33" s="487">
        <f t="shared" si="61"/>
        <v>3.2786711043552241E-2</v>
      </c>
      <c r="M33" s="663">
        <f t="shared" si="61"/>
        <v>3.6543162925324849E-2</v>
      </c>
      <c r="N33" s="487">
        <f>N32/N$7</f>
        <v>2.3955185293050279E-2</v>
      </c>
      <c r="O33" s="487">
        <f t="shared" si="61"/>
        <v>2.4744829979213821E-2</v>
      </c>
      <c r="P33" s="487">
        <f t="shared" si="61"/>
        <v>2.5704366905805052E-2</v>
      </c>
      <c r="Q33" s="487">
        <f t="shared" si="61"/>
        <v>2.7677934939352878E-2</v>
      </c>
      <c r="R33" s="487">
        <f t="shared" si="61"/>
        <v>2.9715873348645217E-2</v>
      </c>
      <c r="S33" s="487">
        <f>S32/S$7</f>
        <v>3.1812338882370589E-2</v>
      </c>
      <c r="T33" s="487"/>
      <c r="U33" s="487"/>
      <c r="V33" s="487"/>
      <c r="W33" s="487"/>
      <c r="X33" s="488"/>
      <c r="Y33" s="487"/>
      <c r="Z33" s="487"/>
      <c r="AA33" s="487">
        <f>AA32/AA$7</f>
        <v>2.0991272386456306E-2</v>
      </c>
      <c r="AB33" s="487">
        <f t="shared" ref="AB33:AI33" si="62">AB32/AB$7</f>
        <v>2.1880666717481546E-2</v>
      </c>
      <c r="AC33" s="487">
        <f t="shared" si="62"/>
        <v>2.6418281247224486E-2</v>
      </c>
      <c r="AD33" s="480">
        <f t="shared" si="62"/>
        <v>2.6585779957872421E-2</v>
      </c>
      <c r="AE33" s="487">
        <f t="shared" si="62"/>
        <v>2.0427729654060676E-2</v>
      </c>
      <c r="AF33" s="487">
        <f t="shared" si="62"/>
        <v>2.4699196309675292E-2</v>
      </c>
      <c r="AG33" s="487">
        <f t="shared" si="62"/>
        <v>2.4892449193195932E-2</v>
      </c>
      <c r="AH33" s="480">
        <f t="shared" si="62"/>
        <v>2.3366970432524961E-2</v>
      </c>
      <c r="AI33" s="487">
        <f t="shared" si="62"/>
        <v>2.2065053947412532E-2</v>
      </c>
      <c r="AJ33" s="487">
        <f t="shared" ref="AJ33:AW33" si="63">AJ32/AJ$7</f>
        <v>1.7353199039716639E-2</v>
      </c>
      <c r="AK33" s="487">
        <f t="shared" si="63"/>
        <v>2.4516721855980406E-2</v>
      </c>
      <c r="AL33" s="480">
        <f t="shared" si="63"/>
        <v>2.370117032362561E-2</v>
      </c>
      <c r="AM33" s="487">
        <f t="shared" si="63"/>
        <v>2.3359710965843477E-2</v>
      </c>
      <c r="AN33" s="487">
        <f t="shared" si="63"/>
        <v>2.7555069189622274E-2</v>
      </c>
      <c r="AO33" s="487">
        <f t="shared" si="63"/>
        <v>2.5132608919934938E-2</v>
      </c>
      <c r="AP33" s="480">
        <f t="shared" si="63"/>
        <v>4.5414291198307366E-2</v>
      </c>
      <c r="AQ33" s="487">
        <f t="shared" si="63"/>
        <v>2.993064405897702E-2</v>
      </c>
      <c r="AR33" s="487">
        <f t="shared" si="63"/>
        <v>3.4685404236326184E-2</v>
      </c>
      <c r="AS33" s="487">
        <f t="shared" si="63"/>
        <v>3.6011706194167548E-2</v>
      </c>
      <c r="AT33" s="480">
        <f t="shared" si="63"/>
        <v>5.06402771954352E-2</v>
      </c>
      <c r="AU33" s="487">
        <f t="shared" si="63"/>
        <v>2.4445694874390946E-2</v>
      </c>
      <c r="AV33" s="487">
        <f t="shared" si="63"/>
        <v>2.4260950362247891E-2</v>
      </c>
      <c r="AW33" s="487">
        <f t="shared" si="63"/>
        <v>2.2718539155624849E-2</v>
      </c>
      <c r="AX33" s="663">
        <f>AX32/AX$7</f>
        <v>3.408515624859882E-2</v>
      </c>
      <c r="AZ33" s="487">
        <f>AZ32/AZ$7</f>
        <v>2.688249056544657E-2</v>
      </c>
      <c r="BF33" s="479"/>
      <c r="BG33" s="479"/>
      <c r="BH33" s="479"/>
      <c r="BI33" s="480">
        <f t="shared" ref="BI33:CB33" si="64">BI32/BI$7</f>
        <v>2.4258428523358449E-2</v>
      </c>
      <c r="BJ33" s="479">
        <f t="shared" si="64"/>
        <v>2.4072633091137895E-2</v>
      </c>
      <c r="BK33" s="479">
        <f t="shared" si="64"/>
        <v>2.4711142191139734E-2</v>
      </c>
      <c r="BL33" s="479">
        <f t="shared" si="64"/>
        <v>2.4379974352667026E-2</v>
      </c>
      <c r="BM33" s="480">
        <f t="shared" si="64"/>
        <v>2.3676069290276016E-2</v>
      </c>
      <c r="BN33" s="479">
        <f t="shared" si="64"/>
        <v>2.3753871253011441E-2</v>
      </c>
      <c r="BO33" s="479">
        <f t="shared" si="64"/>
        <v>2.1913261072616826E-2</v>
      </c>
      <c r="BP33" s="479">
        <f t="shared" si="64"/>
        <v>2.2062708341984903E-2</v>
      </c>
      <c r="BQ33" s="480">
        <f t="shared" si="64"/>
        <v>2.2327711633066127E-2</v>
      </c>
      <c r="BR33" s="479">
        <f t="shared" si="64"/>
        <v>2.2706822167214348E-2</v>
      </c>
      <c r="BS33" s="479">
        <f t="shared" si="64"/>
        <v>2.4738781974160417E-2</v>
      </c>
      <c r="BT33" s="479">
        <f t="shared" si="64"/>
        <v>2.4874206628138738E-2</v>
      </c>
      <c r="BU33" s="480">
        <f t="shared" si="64"/>
        <v>3.2857686099095576E-2</v>
      </c>
      <c r="BV33" s="479">
        <f t="shared" si="64"/>
        <v>3.403471016440323E-2</v>
      </c>
      <c r="BW33" s="479">
        <f t="shared" si="64"/>
        <v>3.5324482610047107E-2</v>
      </c>
      <c r="BX33" s="479">
        <f t="shared" si="64"/>
        <v>3.6990272266282265E-2</v>
      </c>
      <c r="BY33" s="480">
        <f t="shared" si="64"/>
        <v>3.6486814835840223E-2</v>
      </c>
      <c r="BZ33" s="479">
        <f t="shared" si="64"/>
        <v>3.6395721536077889E-2</v>
      </c>
      <c r="CA33" s="479">
        <f t="shared" si="64"/>
        <v>3.3861974907476673E-2</v>
      </c>
      <c r="CB33" s="479">
        <f t="shared" si="64"/>
        <v>2.9796529468096373E-2</v>
      </c>
    </row>
    <row r="34" spans="1:80" s="427" customFormat="1" ht="15">
      <c r="A34" s="512" t="s">
        <v>477</v>
      </c>
      <c r="B34" s="431"/>
      <c r="C34" s="428"/>
      <c r="D34" s="432">
        <f>D32/C32-1</f>
        <v>6.6453559812045704E-2</v>
      </c>
      <c r="E34" s="432">
        <f>E32/D32-1</f>
        <v>0.94552499282578584</v>
      </c>
      <c r="F34" s="432">
        <f>F32/E32-1</f>
        <v>-0.14606955488473783</v>
      </c>
      <c r="G34" s="432">
        <f>G32/F32-1</f>
        <v>-0.42687295192167229</v>
      </c>
      <c r="H34" s="432">
        <f>H32/G32-1</f>
        <v>5.0294633654818677E-2</v>
      </c>
      <c r="I34" s="432">
        <f t="shared" ref="I34:N34" si="65">I32/H32-1</f>
        <v>0.53732181213320551</v>
      </c>
      <c r="J34" s="432">
        <f t="shared" si="65"/>
        <v>0.39206207192618692</v>
      </c>
      <c r="K34" s="432">
        <f t="shared" si="65"/>
        <v>0.39571751786013443</v>
      </c>
      <c r="L34" s="432">
        <f t="shared" si="65"/>
        <v>1.4661205702846285</v>
      </c>
      <c r="M34" s="664">
        <f t="shared" si="65"/>
        <v>0.17345361116621216</v>
      </c>
      <c r="N34" s="432">
        <f t="shared" si="65"/>
        <v>-0.40154654530878542</v>
      </c>
      <c r="O34" s="432">
        <f>O32/N32-1</f>
        <v>0.17885491733466341</v>
      </c>
      <c r="P34" s="432">
        <f>P32/O32-1</f>
        <v>0.1766331853198122</v>
      </c>
      <c r="Q34" s="432">
        <f>Q32/P32-1</f>
        <v>0.19625257052553802</v>
      </c>
      <c r="R34" s="432">
        <f>R32/Q32-1</f>
        <v>0.19176852578512271</v>
      </c>
      <c r="S34" s="432">
        <f>S32/R32-1</f>
        <v>0.18749355725988859</v>
      </c>
      <c r="T34" s="432"/>
      <c r="U34" s="432"/>
      <c r="V34" s="432"/>
      <c r="W34" s="432"/>
      <c r="X34" s="432"/>
      <c r="Y34" s="432"/>
      <c r="Z34" s="432"/>
      <c r="AA34" s="432" t="e">
        <f t="shared" ref="AA34:AW34" si="66">AA32/Z32-1</f>
        <v>#DIV/0!</v>
      </c>
      <c r="AB34" s="432">
        <f t="shared" si="66"/>
        <v>0.13148060843074894</v>
      </c>
      <c r="AC34" s="432">
        <f t="shared" si="66"/>
        <v>0.53242717610268087</v>
      </c>
      <c r="AD34" s="429">
        <f t="shared" si="66"/>
        <v>-9.8461674756460504E-2</v>
      </c>
      <c r="AE34" s="432">
        <f t="shared" si="66"/>
        <v>-0.3246410800170495</v>
      </c>
      <c r="AF34" s="432">
        <f t="shared" si="66"/>
        <v>0.76470141565231331</v>
      </c>
      <c r="AG34" s="432">
        <f t="shared" si="66"/>
        <v>0.31608471298210072</v>
      </c>
      <c r="AH34" s="429">
        <f t="shared" si="66"/>
        <v>-0.10247903335082276</v>
      </c>
      <c r="AI34" s="432">
        <f t="shared" si="66"/>
        <v>-0.12714399765876927</v>
      </c>
      <c r="AJ34" s="432">
        <f t="shared" si="66"/>
        <v>-0.12121956618016605</v>
      </c>
      <c r="AK34" s="432">
        <f t="shared" si="66"/>
        <v>0.98313223580354525</v>
      </c>
      <c r="AL34" s="429">
        <f t="shared" si="66"/>
        <v>7.1537341378647312E-2</v>
      </c>
      <c r="AM34" s="432">
        <f t="shared" si="66"/>
        <v>0.22839127342583687</v>
      </c>
      <c r="AN34" s="432">
        <f t="shared" si="66"/>
        <v>-6.3503329322252E-3</v>
      </c>
      <c r="AO34" s="432">
        <f t="shared" si="66"/>
        <v>-0.17277752839255878</v>
      </c>
      <c r="AP34" s="429">
        <f t="shared" si="66"/>
        <v>2.7421379733289539</v>
      </c>
      <c r="AQ34" s="432">
        <f t="shared" si="66"/>
        <v>-0.41688979237314594</v>
      </c>
      <c r="AR34" s="432">
        <f t="shared" si="66"/>
        <v>-0.18812492755874066</v>
      </c>
      <c r="AS34" s="432">
        <f t="shared" si="66"/>
        <v>0.28247103982550881</v>
      </c>
      <c r="AT34" s="429">
        <f t="shared" si="66"/>
        <v>-5.5185730703565472E-2</v>
      </c>
      <c r="AU34" s="432">
        <f t="shared" si="66"/>
        <v>-0.53091361577432261</v>
      </c>
      <c r="AV34" s="432">
        <f t="shared" si="66"/>
        <v>0.15180766047229044</v>
      </c>
      <c r="AW34" s="432">
        <f t="shared" si="66"/>
        <v>0.10288345184898096</v>
      </c>
      <c r="AX34" s="664">
        <f>AX32/AT32-1</f>
        <v>1.4406563897546576E-2</v>
      </c>
      <c r="AZ34" s="432">
        <f>AZ32/SUM(AQ32:AT32)-1</f>
        <v>-0.32832629621128639</v>
      </c>
      <c r="BF34" s="428"/>
      <c r="BG34" s="428"/>
      <c r="BH34" s="428"/>
      <c r="BI34" s="429"/>
      <c r="BJ34" s="428" t="e">
        <f t="shared" ref="BJ34:CA34" si="67">BJ32/BF32-1</f>
        <v>#DIV/0!</v>
      </c>
      <c r="BK34" s="428" t="e">
        <f t="shared" si="67"/>
        <v>#DIV/0!</v>
      </c>
      <c r="BL34" s="428" t="e">
        <f t="shared" si="67"/>
        <v>#DIV/0!</v>
      </c>
      <c r="BM34" s="429">
        <f t="shared" si="67"/>
        <v>0.39470030650444765</v>
      </c>
      <c r="BN34" s="428">
        <f t="shared" si="67"/>
        <v>0.5382759240832653</v>
      </c>
      <c r="BO34" s="428">
        <f t="shared" si="67"/>
        <v>0.32907786507474857</v>
      </c>
      <c r="BP34" s="428">
        <f t="shared" si="67"/>
        <v>0.32062057573569058</v>
      </c>
      <c r="BQ34" s="429">
        <f t="shared" si="67"/>
        <v>0.39254225622742944</v>
      </c>
      <c r="BR34" s="428">
        <f t="shared" si="67"/>
        <v>0.5443455232009069</v>
      </c>
      <c r="BS34" s="428">
        <f t="shared" si="67"/>
        <v>0.90270780106091708</v>
      </c>
      <c r="BT34" s="428">
        <f t="shared" si="67"/>
        <v>0.74656220258918315</v>
      </c>
      <c r="BU34" s="429">
        <f t="shared" si="67"/>
        <v>1.4621674919370506</v>
      </c>
      <c r="BV34" s="428">
        <f t="shared" si="67"/>
        <v>1.2608697765612344</v>
      </c>
      <c r="BW34" s="428">
        <f t="shared" si="67"/>
        <v>1.0035826957492135</v>
      </c>
      <c r="BX34" s="428">
        <f t="shared" si="67"/>
        <v>1.2572755690275348</v>
      </c>
      <c r="BY34" s="429">
        <f t="shared" si="67"/>
        <v>0.16807147803377198</v>
      </c>
      <c r="BZ34" s="428">
        <f t="shared" si="67"/>
        <v>-0.11507970844310311</v>
      </c>
      <c r="CA34" s="428">
        <f t="shared" si="67"/>
        <v>-0.24269553135191979</v>
      </c>
      <c r="CB34" s="428">
        <f>CB32/BX32-1</f>
        <v>-0.43894241046441207</v>
      </c>
    </row>
    <row r="35" spans="1:80" ht="15">
      <c r="C35" s="43"/>
      <c r="D35" s="43"/>
      <c r="E35" s="43"/>
      <c r="F35" s="43"/>
      <c r="G35" s="43"/>
      <c r="BI35" s="1149">
        <f t="shared" ref="BI35:BR36" si="68">SUM(AA35:AD35)</f>
        <v>0</v>
      </c>
      <c r="BJ35" s="415">
        <f t="shared" si="68"/>
        <v>0</v>
      </c>
      <c r="BK35" s="415">
        <f t="shared" si="68"/>
        <v>0</v>
      </c>
      <c r="BL35" s="415">
        <f t="shared" si="68"/>
        <v>0</v>
      </c>
      <c r="BM35" s="1149">
        <f t="shared" si="68"/>
        <v>0</v>
      </c>
      <c r="BN35" s="415">
        <f t="shared" si="68"/>
        <v>0</v>
      </c>
      <c r="BO35" s="415">
        <f t="shared" si="68"/>
        <v>0</v>
      </c>
      <c r="BP35" s="415">
        <f t="shared" si="68"/>
        <v>0</v>
      </c>
      <c r="BQ35" s="1149">
        <f t="shared" si="68"/>
        <v>0</v>
      </c>
      <c r="BR35" s="415">
        <f t="shared" si="68"/>
        <v>0</v>
      </c>
      <c r="BS35" s="415">
        <f t="shared" ref="BS35:CA36" si="69">SUM(AK35:AN35)</f>
        <v>0</v>
      </c>
      <c r="BT35" s="415">
        <f t="shared" si="69"/>
        <v>0</v>
      </c>
      <c r="BU35" s="1149">
        <f t="shared" si="69"/>
        <v>0</v>
      </c>
      <c r="BV35" s="415">
        <f t="shared" si="69"/>
        <v>0</v>
      </c>
      <c r="BW35" s="415">
        <f t="shared" si="69"/>
        <v>0</v>
      </c>
      <c r="BX35" s="415">
        <f t="shared" si="69"/>
        <v>0</v>
      </c>
      <c r="BY35" s="1149">
        <f t="shared" si="69"/>
        <v>0</v>
      </c>
      <c r="BZ35" s="415">
        <f t="shared" si="69"/>
        <v>0</v>
      </c>
      <c r="CA35" s="415">
        <f t="shared" si="69"/>
        <v>0</v>
      </c>
      <c r="CB35" s="415">
        <f>SUM(AT35:AW35)</f>
        <v>0</v>
      </c>
    </row>
    <row r="36" spans="1:80" ht="15">
      <c r="A36" s="1128" t="s">
        <v>496</v>
      </c>
      <c r="C36" s="90">
        <f>C164</f>
        <v>3.0212378069999999</v>
      </c>
      <c r="D36" s="486">
        <f t="shared" ref="D36:S36" si="70">D174</f>
        <v>3.4168622439999998</v>
      </c>
      <c r="E36" s="486">
        <f t="shared" si="70"/>
        <v>2.954082262</v>
      </c>
      <c r="F36" s="486">
        <f t="shared" si="70"/>
        <v>3.2516758590000001</v>
      </c>
      <c r="G36" s="486">
        <f t="shared" si="70"/>
        <v>4.0039349849999999</v>
      </c>
      <c r="H36" s="486">
        <f t="shared" si="70"/>
        <v>4.800459214</v>
      </c>
      <c r="I36" s="486">
        <f t="shared" si="70"/>
        <v>5.4616505210000001</v>
      </c>
      <c r="J36" s="486">
        <f t="shared" si="70"/>
        <v>6.2180324650000003</v>
      </c>
      <c r="K36" s="486">
        <f t="shared" si="70"/>
        <v>6.2868980830000005</v>
      </c>
      <c r="L36" s="486">
        <f t="shared" si="70"/>
        <v>6.2896370959999999</v>
      </c>
      <c r="M36" s="658">
        <f t="shared" si="70"/>
        <v>12.835000000000001</v>
      </c>
      <c r="N36" s="486">
        <f t="shared" si="70"/>
        <v>40.950402829618817</v>
      </c>
      <c r="O36" s="486">
        <f t="shared" si="70"/>
        <v>42.389687017985246</v>
      </c>
      <c r="P36" s="486">
        <f>P174</f>
        <v>44.048590432895544</v>
      </c>
      <c r="Q36" s="486">
        <f t="shared" si="70"/>
        <v>45.884962410541924</v>
      </c>
      <c r="R36" s="486">
        <f t="shared" si="70"/>
        <v>47.915969966666793</v>
      </c>
      <c r="S36" s="486">
        <f t="shared" si="70"/>
        <v>50.160698931161456</v>
      </c>
      <c r="X36" s="625" t="s">
        <v>497</v>
      </c>
      <c r="Z36" s="486"/>
      <c r="AA36" s="486">
        <f>AA174</f>
        <v>0</v>
      </c>
      <c r="AB36" s="486">
        <f t="shared" ref="AB36:AI36" si="71">AB174</f>
        <v>1.350843813</v>
      </c>
      <c r="AC36" s="486">
        <f t="shared" si="71"/>
        <v>0.96190543900000003</v>
      </c>
      <c r="AD36" s="984">
        <f t="shared" si="71"/>
        <v>1.315736861</v>
      </c>
      <c r="AE36" s="486">
        <f t="shared" si="71"/>
        <v>1.165262416</v>
      </c>
      <c r="AF36" s="486">
        <f t="shared" si="71"/>
        <v>1.4573045920000001</v>
      </c>
      <c r="AG36" s="486">
        <f t="shared" si="71"/>
        <v>0.92893233500000005</v>
      </c>
      <c r="AH36" s="984">
        <f t="shared" si="71"/>
        <v>1.274143384</v>
      </c>
      <c r="AI36" s="486">
        <f t="shared" si="71"/>
        <v>1.1913830780000001</v>
      </c>
      <c r="AJ36" s="486">
        <f t="shared" ref="AJ36:AW36" si="72">AJ174</f>
        <v>1.6458492639999998</v>
      </c>
      <c r="AK36" s="486">
        <f t="shared" si="72"/>
        <v>1.7363531800000001</v>
      </c>
      <c r="AL36" s="984">
        <f t="shared" si="72"/>
        <v>0.45800206700000023</v>
      </c>
      <c r="AM36" s="486">
        <f t="shared" si="72"/>
        <v>1.389706141</v>
      </c>
      <c r="AN36" s="486">
        <f t="shared" si="72"/>
        <v>1.677346123</v>
      </c>
      <c r="AO36" s="486">
        <f t="shared" si="72"/>
        <v>1.542709463</v>
      </c>
      <c r="AP36" s="984">
        <f t="shared" si="72"/>
        <v>1.104595397</v>
      </c>
      <c r="AQ36" s="486">
        <f t="shared" si="72"/>
        <v>1.9110310399999999</v>
      </c>
      <c r="AR36" s="486">
        <f t="shared" si="72"/>
        <v>1.962916415</v>
      </c>
      <c r="AS36" s="486">
        <f t="shared" si="72"/>
        <v>2.085023804</v>
      </c>
      <c r="AT36" s="984">
        <f t="shared" si="72"/>
        <v>6.8764603099999997</v>
      </c>
      <c r="AU36" s="486">
        <f t="shared" si="72"/>
        <v>9.4308592939999993</v>
      </c>
      <c r="AV36" s="486">
        <f t="shared" si="72"/>
        <v>9.5855186349999997</v>
      </c>
      <c r="AW36" s="486">
        <f t="shared" si="72"/>
        <v>10.49</v>
      </c>
      <c r="AX36" s="658">
        <f>AX174</f>
        <v>11.444024900618814</v>
      </c>
      <c r="AZ36" s="486">
        <f>SUM(AU36:AX36)</f>
        <v>40.950402829618817</v>
      </c>
      <c r="BI36" s="1149">
        <f t="shared" si="68"/>
        <v>3.6284861130000001</v>
      </c>
      <c r="BJ36" s="415">
        <f t="shared" si="68"/>
        <v>4.7937485290000001</v>
      </c>
      <c r="BK36" s="415">
        <f t="shared" si="68"/>
        <v>4.900209308</v>
      </c>
      <c r="BL36" s="415">
        <f t="shared" si="68"/>
        <v>4.8672362040000001</v>
      </c>
      <c r="BM36" s="1149">
        <f t="shared" si="68"/>
        <v>4.825642727</v>
      </c>
      <c r="BN36" s="415">
        <f t="shared" si="68"/>
        <v>4.8517633890000003</v>
      </c>
      <c r="BO36" s="415">
        <f t="shared" si="68"/>
        <v>5.0403080610000002</v>
      </c>
      <c r="BP36" s="415">
        <f t="shared" si="68"/>
        <v>5.8477289060000004</v>
      </c>
      <c r="BQ36" s="1149">
        <f t="shared" si="68"/>
        <v>5.0315875890000008</v>
      </c>
      <c r="BR36" s="415">
        <f t="shared" si="68"/>
        <v>5.229910652</v>
      </c>
      <c r="BS36" s="415">
        <f t="shared" si="69"/>
        <v>5.2614075109999998</v>
      </c>
      <c r="BT36" s="415">
        <f t="shared" si="69"/>
        <v>5.0677637940000002</v>
      </c>
      <c r="BU36" s="1149">
        <f t="shared" si="69"/>
        <v>5.7143571240000002</v>
      </c>
      <c r="BV36" s="415">
        <f t="shared" si="69"/>
        <v>6.2356820229999999</v>
      </c>
      <c r="BW36" s="415">
        <f t="shared" si="69"/>
        <v>6.5212523149999999</v>
      </c>
      <c r="BX36" s="415">
        <f t="shared" si="69"/>
        <v>7.0635666560000008</v>
      </c>
      <c r="BY36" s="1149">
        <f t="shared" si="69"/>
        <v>12.835431569000001</v>
      </c>
      <c r="BZ36" s="415">
        <f t="shared" si="69"/>
        <v>20.355259822999997</v>
      </c>
      <c r="CA36" s="415">
        <f t="shared" si="69"/>
        <v>27.977862042999998</v>
      </c>
      <c r="CB36" s="415">
        <f>SUM(AT36:AW36)</f>
        <v>36.382838239000002</v>
      </c>
    </row>
    <row r="37" spans="1:80" s="473" customFormat="1" ht="15">
      <c r="A37" s="513" t="s">
        <v>498</v>
      </c>
      <c r="B37" s="472"/>
      <c r="C37" s="479">
        <f t="shared" ref="C37:S37" si="73">C36/C7</f>
        <v>1.4120076093114059E-3</v>
      </c>
      <c r="D37" s="487">
        <f t="shared" si="73"/>
        <v>1.1176193737200103E-3</v>
      </c>
      <c r="E37" s="487">
        <f t="shared" si="73"/>
        <v>6.0577115652917272E-4</v>
      </c>
      <c r="F37" s="487">
        <f t="shared" si="73"/>
        <v>7.7359044929881029E-4</v>
      </c>
      <c r="G37" s="487">
        <f t="shared" si="73"/>
        <v>1.0536467448928419E-3</v>
      </c>
      <c r="H37" s="487">
        <f t="shared" si="73"/>
        <v>1.2563543255148554E-3</v>
      </c>
      <c r="I37" s="487">
        <f t="shared" si="73"/>
        <v>9.198769701101087E-4</v>
      </c>
      <c r="J37" s="487">
        <f t="shared" si="73"/>
        <v>7.3256152260481745E-4</v>
      </c>
      <c r="K37" s="487">
        <f t="shared" si="73"/>
        <v>5.0152199389711402E-4</v>
      </c>
      <c r="L37" s="487">
        <f t="shared" si="73"/>
        <v>3.0061144049223541E-4</v>
      </c>
      <c r="M37" s="663">
        <f t="shared" si="73"/>
        <v>5.8266394504382681E-4</v>
      </c>
      <c r="N37" s="487">
        <f t="shared" si="73"/>
        <v>2.0363080220363195E-3</v>
      </c>
      <c r="O37" s="487">
        <f t="shared" si="73"/>
        <v>1.8470135612336936E-3</v>
      </c>
      <c r="P37" s="487">
        <f t="shared" si="73"/>
        <v>1.6944284481061518E-3</v>
      </c>
      <c r="Q37" s="487">
        <f t="shared" si="73"/>
        <v>1.5887863045025992E-3</v>
      </c>
      <c r="R37" s="487">
        <f t="shared" si="73"/>
        <v>1.4946458278097474E-3</v>
      </c>
      <c r="S37" s="487">
        <f t="shared" si="73"/>
        <v>1.4105790481224007E-3</v>
      </c>
      <c r="T37" s="487"/>
      <c r="U37" s="487"/>
      <c r="V37" s="487"/>
      <c r="W37" s="487"/>
      <c r="X37" s="625"/>
      <c r="Y37" s="615"/>
      <c r="Z37" s="487"/>
      <c r="AA37" s="487">
        <f>AA36/AA7</f>
        <v>0</v>
      </c>
      <c r="AB37" s="487">
        <f t="shared" ref="AB37:AI37" si="74">AB36/AB7</f>
        <v>9.8413629246921967E-4</v>
      </c>
      <c r="AC37" s="487">
        <f t="shared" si="74"/>
        <v>5.5213674835880868E-4</v>
      </c>
      <c r="AD37" s="480">
        <f t="shared" si="74"/>
        <v>8.4303182055777142E-4</v>
      </c>
      <c r="AE37" s="487">
        <f t="shared" si="74"/>
        <v>8.4944393578201141E-4</v>
      </c>
      <c r="AF37" s="487">
        <f t="shared" si="74"/>
        <v>7.2786829204471405E-4</v>
      </c>
      <c r="AG37" s="487">
        <f t="shared" si="74"/>
        <v>3.5529370317621736E-4</v>
      </c>
      <c r="AH37" s="480">
        <f t="shared" si="74"/>
        <v>5.0969680421582872E-4</v>
      </c>
      <c r="AI37" s="487">
        <f t="shared" si="74"/>
        <v>5.1559062996835538E-4</v>
      </c>
      <c r="AJ37" s="487">
        <f t="shared" ref="AJ37:AW37" si="75">AJ36/AJ7</f>
        <v>6.3743781291295985E-4</v>
      </c>
      <c r="AK37" s="487">
        <f t="shared" si="75"/>
        <v>4.7908989334864677E-4</v>
      </c>
      <c r="AL37" s="480">
        <f t="shared" si="75"/>
        <v>1.1401092302419419E-4</v>
      </c>
      <c r="AM37" s="487">
        <f t="shared" si="75"/>
        <v>2.7756388104599184E-4</v>
      </c>
      <c r="AN37" s="487">
        <f t="shared" si="75"/>
        <v>3.9770716352724862E-4</v>
      </c>
      <c r="AO37" s="487">
        <f t="shared" si="75"/>
        <v>4.0330964845293455E-4</v>
      </c>
      <c r="AP37" s="480">
        <f t="shared" si="75"/>
        <v>1.3944176409637495E-4</v>
      </c>
      <c r="AQ37" s="487">
        <f t="shared" si="75"/>
        <v>2.7266554247528237E-4</v>
      </c>
      <c r="AR37" s="487">
        <f t="shared" si="75"/>
        <v>3.9976596337806797E-4</v>
      </c>
      <c r="AS37" s="487">
        <f t="shared" si="75"/>
        <v>3.4376716825704575E-4</v>
      </c>
      <c r="AT37" s="480">
        <f t="shared" si="75"/>
        <v>1.6874241182007169E-3</v>
      </c>
      <c r="AU37" s="487">
        <f t="shared" si="75"/>
        <v>2.3815738992953982E-3</v>
      </c>
      <c r="AV37" s="487">
        <f t="shared" si="75"/>
        <v>2.0857097555591164E-3</v>
      </c>
      <c r="AW37" s="487">
        <f t="shared" si="75"/>
        <v>1.9380131393226376E-3</v>
      </c>
      <c r="AX37" s="663">
        <f>AX36/AX7</f>
        <v>1.8633535700217495E-3</v>
      </c>
      <c r="AY37" s="487"/>
      <c r="AZ37" s="487">
        <f>AZ36/AZ7</f>
        <v>2.0363080220363195E-3</v>
      </c>
      <c r="BF37" s="479"/>
      <c r="BG37" s="479"/>
      <c r="BH37" s="479"/>
      <c r="BI37" s="480">
        <f t="shared" ref="BI37:CB37" si="76">BI36/BI$7</f>
        <v>6.1085559765171945E-4</v>
      </c>
      <c r="BJ37" s="479">
        <f t="shared" si="76"/>
        <v>7.9271099388263306E-4</v>
      </c>
      <c r="BK37" s="479">
        <f t="shared" si="76"/>
        <v>7.3391368558949456E-4</v>
      </c>
      <c r="BL37" s="479">
        <f t="shared" si="76"/>
        <v>6.4473394472421507E-4</v>
      </c>
      <c r="BM37" s="480">
        <f t="shared" si="76"/>
        <v>5.6850501515851633E-4</v>
      </c>
      <c r="BN37" s="479">
        <f t="shared" si="76"/>
        <v>5.1465453646001001E-4</v>
      </c>
      <c r="BO37" s="479">
        <f t="shared" si="76"/>
        <v>5.0367593866161315E-4</v>
      </c>
      <c r="BP37" s="479">
        <f t="shared" si="76"/>
        <v>5.3080238344654408E-4</v>
      </c>
      <c r="BQ37" s="480">
        <f t="shared" si="76"/>
        <v>4.0143053286973264E-4</v>
      </c>
      <c r="BR37" s="479">
        <f t="shared" si="76"/>
        <v>3.4339024107601685E-4</v>
      </c>
      <c r="BS37" s="479">
        <f t="shared" si="76"/>
        <v>3.1195738072644551E-4</v>
      </c>
      <c r="BT37" s="479">
        <f t="shared" si="76"/>
        <v>2.9693976066343049E-4</v>
      </c>
      <c r="BU37" s="480">
        <f t="shared" si="76"/>
        <v>2.7248833299807962E-4</v>
      </c>
      <c r="BV37" s="479">
        <f t="shared" si="76"/>
        <v>2.7143621447281734E-4</v>
      </c>
      <c r="BW37" s="479">
        <f t="shared" si="76"/>
        <v>2.7555897012022544E-4</v>
      </c>
      <c r="BX37" s="479">
        <f t="shared" si="76"/>
        <v>2.7266522119148186E-4</v>
      </c>
      <c r="BY37" s="480">
        <f t="shared" si="76"/>
        <v>5.8186276459101208E-4</v>
      </c>
      <c r="BZ37" s="479">
        <f t="shared" si="76"/>
        <v>1.0707414184205058E-3</v>
      </c>
      <c r="CA37" s="479">
        <f t="shared" si="76"/>
        <v>1.4964562619922722E-3</v>
      </c>
      <c r="CB37" s="479">
        <f t="shared" si="76"/>
        <v>2.0163828165555087E-3</v>
      </c>
    </row>
    <row r="38" spans="1:80" ht="15">
      <c r="C38" s="43"/>
      <c r="D38" s="43"/>
      <c r="E38" s="43"/>
      <c r="F38" s="43"/>
      <c r="G38" s="43"/>
      <c r="Y38" s="615"/>
      <c r="BI38" s="1149">
        <f t="shared" ref="BI38:BR39" si="77">SUM(AA38:AD38)</f>
        <v>0</v>
      </c>
      <c r="BJ38" s="415">
        <f t="shared" si="77"/>
        <v>0</v>
      </c>
      <c r="BK38" s="415">
        <f t="shared" si="77"/>
        <v>0</v>
      </c>
      <c r="BL38" s="415">
        <f t="shared" si="77"/>
        <v>0</v>
      </c>
      <c r="BM38" s="1149">
        <f t="shared" si="77"/>
        <v>0</v>
      </c>
      <c r="BN38" s="415">
        <f t="shared" si="77"/>
        <v>0</v>
      </c>
      <c r="BO38" s="415">
        <f t="shared" si="77"/>
        <v>0</v>
      </c>
      <c r="BP38" s="415">
        <f t="shared" si="77"/>
        <v>0</v>
      </c>
      <c r="BQ38" s="1149">
        <f t="shared" si="77"/>
        <v>0</v>
      </c>
      <c r="BR38" s="415">
        <f t="shared" si="77"/>
        <v>0</v>
      </c>
      <c r="BS38" s="415">
        <f t="shared" ref="BS38:CA39" si="78">SUM(AK38:AN38)</f>
        <v>0</v>
      </c>
      <c r="BT38" s="415">
        <f t="shared" si="78"/>
        <v>0</v>
      </c>
      <c r="BU38" s="1149">
        <f t="shared" si="78"/>
        <v>0</v>
      </c>
      <c r="BV38" s="415">
        <f t="shared" si="78"/>
        <v>0</v>
      </c>
      <c r="BW38" s="415">
        <f t="shared" si="78"/>
        <v>0</v>
      </c>
      <c r="BX38" s="415">
        <f t="shared" si="78"/>
        <v>0</v>
      </c>
      <c r="BY38" s="1149">
        <f t="shared" si="78"/>
        <v>0</v>
      </c>
      <c r="BZ38" s="415">
        <f t="shared" si="78"/>
        <v>0</v>
      </c>
      <c r="CA38" s="415">
        <f t="shared" si="78"/>
        <v>0</v>
      </c>
      <c r="CB38" s="415">
        <f>SUM(AT38:AW38)</f>
        <v>0</v>
      </c>
    </row>
    <row r="39" spans="1:80" s="397" customFormat="1" ht="15">
      <c r="A39" s="511" t="s">
        <v>499</v>
      </c>
      <c r="B39" s="410"/>
      <c r="C39" s="466">
        <f t="shared" ref="C39:H39" si="79">C32+C36</f>
        <v>90.342378336000024</v>
      </c>
      <c r="D39" s="608">
        <f t="shared" si="79"/>
        <v>96.540803407999974</v>
      </c>
      <c r="E39" s="608">
        <f>E32+E36</f>
        <v>184.12903722699997</v>
      </c>
      <c r="F39" s="608">
        <f t="shared" si="79"/>
        <v>157.96248579599998</v>
      </c>
      <c r="G39" s="608">
        <f t="shared" si="79"/>
        <v>92.672884790000012</v>
      </c>
      <c r="H39" s="608">
        <f t="shared" si="79"/>
        <v>97.928981365999988</v>
      </c>
      <c r="I39" s="608">
        <f>I32+I36</f>
        <v>148.63015895699999</v>
      </c>
      <c r="J39" s="608">
        <f>J32+J36</f>
        <v>205.51748295299993</v>
      </c>
      <c r="K39" s="608">
        <f>K32+K36</f>
        <v>284.452632429</v>
      </c>
      <c r="L39" s="608">
        <f>L32+L36</f>
        <v>692.27987651500007</v>
      </c>
      <c r="M39" s="659">
        <f>M32+M36</f>
        <v>817.81272367100019</v>
      </c>
      <c r="N39" s="608">
        <f t="shared" ref="N39:S39" si="80">N32+N36</f>
        <v>522.69210250999879</v>
      </c>
      <c r="O39" s="608">
        <f>O32+O36</f>
        <v>610.29325857135984</v>
      </c>
      <c r="P39" s="608">
        <f t="shared" si="80"/>
        <v>712.2627787842406</v>
      </c>
      <c r="Q39" s="608">
        <f t="shared" si="80"/>
        <v>845.23790288747443</v>
      </c>
      <c r="R39" s="608">
        <f t="shared" si="80"/>
        <v>1000.5596454208637</v>
      </c>
      <c r="S39" s="608">
        <f t="shared" si="80"/>
        <v>1181.4189258974006</v>
      </c>
      <c r="T39" s="608"/>
      <c r="U39" s="608"/>
      <c r="V39" s="608"/>
      <c r="W39" s="608"/>
      <c r="X39" s="608"/>
      <c r="Y39" s="615"/>
      <c r="Z39" s="608"/>
      <c r="AA39" s="608">
        <f>AA32+AA36</f>
        <v>26.543814031999997</v>
      </c>
      <c r="AB39" s="608">
        <f t="shared" ref="AB39:AI39" si="81">AB32+AB36</f>
        <v>31.38465466400001</v>
      </c>
      <c r="AC39" s="608">
        <f t="shared" si="81"/>
        <v>46.986533388999995</v>
      </c>
      <c r="AD39" s="986">
        <f t="shared" si="81"/>
        <v>42.808702862999993</v>
      </c>
      <c r="AE39" s="608">
        <f t="shared" si="81"/>
        <v>29.187907122000002</v>
      </c>
      <c r="AF39" s="608">
        <f t="shared" si="81"/>
        <v>50.908905375000003</v>
      </c>
      <c r="AG39" s="608">
        <f t="shared" si="81"/>
        <v>66.011428157999987</v>
      </c>
      <c r="AH39" s="986">
        <f t="shared" si="81"/>
        <v>59.687047946999989</v>
      </c>
      <c r="AI39" s="608">
        <f t="shared" si="81"/>
        <v>52.177437440000006</v>
      </c>
      <c r="AJ39" s="608">
        <f t="shared" ref="AJ39:AW39" si="82">AJ32+AJ36</f>
        <v>46.451396234999997</v>
      </c>
      <c r="AK39" s="608">
        <f t="shared" si="82"/>
        <v>90.591677720999982</v>
      </c>
      <c r="AL39" s="986">
        <f t="shared" si="82"/>
        <v>95.669800292999994</v>
      </c>
      <c r="AM39" s="608">
        <f t="shared" si="82"/>
        <v>118.34704820899998</v>
      </c>
      <c r="AN39" s="608">
        <f t="shared" si="82"/>
        <v>117.89197013000003</v>
      </c>
      <c r="AO39" s="608">
        <f t="shared" si="82"/>
        <v>97.67805797100003</v>
      </c>
      <c r="AP39" s="986">
        <f t="shared" si="82"/>
        <v>360.85633362799996</v>
      </c>
      <c r="AQ39" s="608">
        <f t="shared" si="82"/>
        <v>211.68594181400005</v>
      </c>
      <c r="AR39" s="608">
        <f t="shared" si="82"/>
        <v>172.27393729599999</v>
      </c>
      <c r="AS39" s="608">
        <f t="shared" si="82"/>
        <v>220.50397584699999</v>
      </c>
      <c r="AT39" s="986">
        <f t="shared" si="82"/>
        <v>213.241802885</v>
      </c>
      <c r="AU39" s="608">
        <f t="shared" si="82"/>
        <v>106.23403167199999</v>
      </c>
      <c r="AV39" s="608">
        <f t="shared" si="82"/>
        <v>121.084154138</v>
      </c>
      <c r="AW39" s="608">
        <f t="shared" si="82"/>
        <v>133.45999999999998</v>
      </c>
      <c r="AX39" s="659">
        <f>AX32+AX36</f>
        <v>220.78238296966464</v>
      </c>
      <c r="AZ39" s="608">
        <f>SUM(AU39:AX39)</f>
        <v>581.56056877966466</v>
      </c>
      <c r="BI39" s="467">
        <f t="shared" si="77"/>
        <v>147.72370494799998</v>
      </c>
      <c r="BJ39" s="417">
        <f t="shared" si="77"/>
        <v>150.36779803799999</v>
      </c>
      <c r="BK39" s="417">
        <f t="shared" si="77"/>
        <v>169.892048749</v>
      </c>
      <c r="BL39" s="417">
        <f t="shared" si="77"/>
        <v>188.91694351799998</v>
      </c>
      <c r="BM39" s="467">
        <f t="shared" si="77"/>
        <v>205.79528860199997</v>
      </c>
      <c r="BN39" s="417">
        <f t="shared" si="77"/>
        <v>228.78481891999999</v>
      </c>
      <c r="BO39" s="417">
        <f t="shared" si="77"/>
        <v>224.32730977999998</v>
      </c>
      <c r="BP39" s="417">
        <f t="shared" si="77"/>
        <v>248.907559343</v>
      </c>
      <c r="BQ39" s="467">
        <f t="shared" si="77"/>
        <v>284.89031168899999</v>
      </c>
      <c r="BR39" s="417">
        <f t="shared" si="77"/>
        <v>351.05992245799996</v>
      </c>
      <c r="BS39" s="417">
        <f t="shared" si="78"/>
        <v>422.50049635300002</v>
      </c>
      <c r="BT39" s="417">
        <f t="shared" si="78"/>
        <v>429.58687660300006</v>
      </c>
      <c r="BU39" s="467">
        <f t="shared" si="78"/>
        <v>694.77340993799999</v>
      </c>
      <c r="BV39" s="417">
        <f t="shared" si="78"/>
        <v>788.11230354300005</v>
      </c>
      <c r="BW39" s="417">
        <f t="shared" si="78"/>
        <v>842.49427070900003</v>
      </c>
      <c r="BX39" s="417">
        <f t="shared" si="78"/>
        <v>965.32018858499998</v>
      </c>
      <c r="BY39" s="467">
        <f t="shared" si="78"/>
        <v>817.70565784199994</v>
      </c>
      <c r="BZ39" s="417">
        <f t="shared" si="78"/>
        <v>712.25374769999996</v>
      </c>
      <c r="CA39" s="417">
        <f t="shared" si="78"/>
        <v>661.06396454200001</v>
      </c>
      <c r="CB39" s="417">
        <f>SUM(AT39:AW39)</f>
        <v>574.01998869499994</v>
      </c>
    </row>
    <row r="40" spans="1:80" s="473" customFormat="1" ht="15">
      <c r="A40" s="513" t="s">
        <v>500</v>
      </c>
      <c r="B40" s="472"/>
      <c r="C40" s="479">
        <f t="shared" ref="C40:S40" si="83">C39/C$7</f>
        <v>4.2222470987938999E-2</v>
      </c>
      <c r="D40" s="487">
        <f t="shared" si="83"/>
        <v>3.157747211867859E-2</v>
      </c>
      <c r="E40" s="487">
        <f t="shared" si="83"/>
        <v>3.7757939670944367E-2</v>
      </c>
      <c r="F40" s="487">
        <f t="shared" si="83"/>
        <v>3.7580089670089273E-2</v>
      </c>
      <c r="G40" s="487">
        <f t="shared" si="83"/>
        <v>2.43871301019172E-2</v>
      </c>
      <c r="H40" s="487">
        <f t="shared" si="83"/>
        <v>2.5629527061416205E-2</v>
      </c>
      <c r="I40" s="487">
        <f t="shared" si="83"/>
        <v>2.5032993188168328E-2</v>
      </c>
      <c r="J40" s="487">
        <f t="shared" si="83"/>
        <v>2.4212514341376834E-2</v>
      </c>
      <c r="K40" s="487">
        <f t="shared" si="83"/>
        <v>2.2691516468324933E-2</v>
      </c>
      <c r="L40" s="487">
        <f t="shared" si="83"/>
        <v>3.308732248404448E-2</v>
      </c>
      <c r="M40" s="663">
        <f t="shared" si="83"/>
        <v>3.7125826870368674E-2</v>
      </c>
      <c r="N40" s="487">
        <f t="shared" si="83"/>
        <v>2.59914933150866E-2</v>
      </c>
      <c r="O40" s="487">
        <f t="shared" si="83"/>
        <v>2.6591843540447514E-2</v>
      </c>
      <c r="P40" s="487">
        <f t="shared" si="83"/>
        <v>2.7398795353911206E-2</v>
      </c>
      <c r="Q40" s="487">
        <f t="shared" si="83"/>
        <v>2.9266721243855476E-2</v>
      </c>
      <c r="R40" s="487">
        <f t="shared" si="83"/>
        <v>3.1210519176454964E-2</v>
      </c>
      <c r="S40" s="487">
        <f t="shared" si="83"/>
        <v>3.3222917930492993E-2</v>
      </c>
      <c r="T40" s="487"/>
      <c r="U40" s="487"/>
      <c r="V40" s="487"/>
      <c r="W40" s="487"/>
      <c r="X40" s="488"/>
      <c r="Y40" s="615"/>
      <c r="Z40" s="487"/>
      <c r="AA40" s="487">
        <f>AA39/AA$7</f>
        <v>2.0991272386456306E-2</v>
      </c>
      <c r="AB40" s="487">
        <f t="shared" ref="AB40:AI40" si="84">AB39/AB$7</f>
        <v>2.2864803009950765E-2</v>
      </c>
      <c r="AC40" s="487">
        <f t="shared" si="84"/>
        <v>2.6970417995583296E-2</v>
      </c>
      <c r="AD40" s="480">
        <f t="shared" si="84"/>
        <v>2.7428811778430189E-2</v>
      </c>
      <c r="AE40" s="487">
        <f t="shared" si="84"/>
        <v>2.1277173589842689E-2</v>
      </c>
      <c r="AF40" s="487">
        <f t="shared" si="84"/>
        <v>2.5427064601720006E-2</v>
      </c>
      <c r="AG40" s="487">
        <f t="shared" si="84"/>
        <v>2.524774289637215E-2</v>
      </c>
      <c r="AH40" s="480">
        <f t="shared" si="84"/>
        <v>2.3876667236740787E-2</v>
      </c>
      <c r="AI40" s="487">
        <f t="shared" si="84"/>
        <v>2.258064457738089E-2</v>
      </c>
      <c r="AJ40" s="487">
        <f t="shared" ref="AJ40:AW40" si="85">AJ39/AJ$7</f>
        <v>1.7990636852629596E-2</v>
      </c>
      <c r="AK40" s="487">
        <f t="shared" si="85"/>
        <v>2.4995811749329053E-2</v>
      </c>
      <c r="AL40" s="480">
        <f t="shared" si="85"/>
        <v>2.3815181246649803E-2</v>
      </c>
      <c r="AM40" s="487">
        <f t="shared" si="85"/>
        <v>2.3637274846889472E-2</v>
      </c>
      <c r="AN40" s="487">
        <f t="shared" si="85"/>
        <v>2.7952776353149526E-2</v>
      </c>
      <c r="AO40" s="487">
        <f t="shared" si="85"/>
        <v>2.5535918568387873E-2</v>
      </c>
      <c r="AP40" s="480">
        <f t="shared" si="85"/>
        <v>4.5553732962403747E-2</v>
      </c>
      <c r="AQ40" s="487">
        <f t="shared" si="85"/>
        <v>3.0203309601452302E-2</v>
      </c>
      <c r="AR40" s="487">
        <f t="shared" si="85"/>
        <v>3.5085170199704252E-2</v>
      </c>
      <c r="AS40" s="487">
        <f t="shared" si="85"/>
        <v>3.6355473362424597E-2</v>
      </c>
      <c r="AT40" s="480">
        <f t="shared" si="85"/>
        <v>5.2327701313635913E-2</v>
      </c>
      <c r="AU40" s="487">
        <f t="shared" si="85"/>
        <v>2.6827268773686345E-2</v>
      </c>
      <c r="AV40" s="487">
        <f t="shared" si="85"/>
        <v>2.6346660117807008E-2</v>
      </c>
      <c r="AW40" s="487">
        <f t="shared" si="85"/>
        <v>2.4656552294947488E-2</v>
      </c>
      <c r="AX40" s="663">
        <f>AX39/AX$7</f>
        <v>3.5948509818620571E-2</v>
      </c>
      <c r="AZ40" s="487">
        <f>AZ39/AZ$7</f>
        <v>2.8918798587482891E-2</v>
      </c>
      <c r="BF40" s="479"/>
      <c r="BG40" s="479"/>
      <c r="BH40" s="479"/>
      <c r="BI40" s="480">
        <f t="shared" ref="BI40:CB40" si="86">BI39/BI$7</f>
        <v>2.4869284121010166E-2</v>
      </c>
      <c r="BJ40" s="479">
        <f t="shared" si="86"/>
        <v>2.4865344085020526E-2</v>
      </c>
      <c r="BK40" s="479">
        <f t="shared" si="86"/>
        <v>2.5445055876729229E-2</v>
      </c>
      <c r="BL40" s="479">
        <f t="shared" si="86"/>
        <v>2.5024708297391243E-2</v>
      </c>
      <c r="BM40" s="480">
        <f t="shared" si="86"/>
        <v>2.4244574305434533E-2</v>
      </c>
      <c r="BN40" s="479">
        <f t="shared" si="86"/>
        <v>2.4268525789471453E-2</v>
      </c>
      <c r="BO40" s="479">
        <f t="shared" si="86"/>
        <v>2.2416937011278438E-2</v>
      </c>
      <c r="BP40" s="479">
        <f t="shared" si="86"/>
        <v>2.2593510725431448E-2</v>
      </c>
      <c r="BQ40" s="480">
        <f t="shared" si="86"/>
        <v>2.2729142165935863E-2</v>
      </c>
      <c r="BR40" s="479">
        <f t="shared" si="86"/>
        <v>2.3050212408290371E-2</v>
      </c>
      <c r="BS40" s="479">
        <f t="shared" si="86"/>
        <v>2.5050739354886862E-2</v>
      </c>
      <c r="BT40" s="479">
        <f t="shared" si="86"/>
        <v>2.5171146388802169E-2</v>
      </c>
      <c r="BU40" s="480">
        <f t="shared" si="86"/>
        <v>3.3130174432093658E-2</v>
      </c>
      <c r="BV40" s="479">
        <f t="shared" si="86"/>
        <v>3.4306146378876044E-2</v>
      </c>
      <c r="BW40" s="479">
        <f t="shared" si="86"/>
        <v>3.560004158016733E-2</v>
      </c>
      <c r="BX40" s="479">
        <f t="shared" si="86"/>
        <v>3.7262937487473745E-2</v>
      </c>
      <c r="BY40" s="480">
        <f t="shared" si="86"/>
        <v>3.7068677600431234E-2</v>
      </c>
      <c r="BZ40" s="479">
        <f t="shared" si="86"/>
        <v>3.7466462954498396E-2</v>
      </c>
      <c r="CA40" s="479">
        <f t="shared" si="86"/>
        <v>3.5358431169468948E-2</v>
      </c>
      <c r="CB40" s="479">
        <f t="shared" si="86"/>
        <v>3.1812912284651884E-2</v>
      </c>
    </row>
    <row r="41" spans="1:80" s="427" customFormat="1" ht="15">
      <c r="A41" s="512" t="s">
        <v>477</v>
      </c>
      <c r="B41" s="431"/>
      <c r="C41" s="428"/>
      <c r="D41" s="432">
        <f>D39/C39-1</f>
        <v>6.8610381818229982E-2</v>
      </c>
      <c r="E41" s="432">
        <f>E39/D39-1</f>
        <v>0.90726646896478891</v>
      </c>
      <c r="F41" s="432">
        <f>F39/E39-1</f>
        <v>-0.1421098585267736</v>
      </c>
      <c r="G41" s="432">
        <f>G39/F39-1</f>
        <v>-0.4133234589022482</v>
      </c>
      <c r="H41" s="432">
        <f>H39/G39-1</f>
        <v>5.6716660843249667E-2</v>
      </c>
      <c r="I41" s="432">
        <f t="shared" ref="I41:N41" si="87">I39/H39-1</f>
        <v>0.51773414655983507</v>
      </c>
      <c r="J41" s="432">
        <f t="shared" si="87"/>
        <v>0.38274415095295655</v>
      </c>
      <c r="K41" s="432">
        <f t="shared" si="87"/>
        <v>0.38407997383877968</v>
      </c>
      <c r="L41" s="432">
        <f t="shared" si="87"/>
        <v>1.4337263839096117</v>
      </c>
      <c r="M41" s="664">
        <f>M39/L39-1</f>
        <v>0.18133250931392642</v>
      </c>
      <c r="N41" s="432">
        <f t="shared" si="87"/>
        <v>-0.36086577356764893</v>
      </c>
      <c r="O41" s="432">
        <f>O39/N39-1</f>
        <v>0.16759609651780671</v>
      </c>
      <c r="P41" s="432">
        <f>P39/O39-1</f>
        <v>0.16708282252958528</v>
      </c>
      <c r="Q41" s="432">
        <f>Q39/P39-1</f>
        <v>0.18669391138226921</v>
      </c>
      <c r="R41" s="432">
        <f>R39/Q39-1</f>
        <v>0.18376097664667457</v>
      </c>
      <c r="S41" s="432">
        <f>S39/R39-1</f>
        <v>0.18075812002238245</v>
      </c>
      <c r="T41" s="432"/>
      <c r="U41" s="432"/>
      <c r="V41" s="432"/>
      <c r="W41" s="432"/>
      <c r="X41" s="628"/>
      <c r="Y41" s="432"/>
      <c r="Z41" s="432"/>
      <c r="AA41" s="432" t="e">
        <f t="shared" ref="AA41:AW41" si="88">AA39/Z39-1</f>
        <v>#DIV/0!</v>
      </c>
      <c r="AB41" s="432">
        <f t="shared" si="88"/>
        <v>0.18237170536849456</v>
      </c>
      <c r="AC41" s="432">
        <f t="shared" si="88"/>
        <v>0.49711806269757153</v>
      </c>
      <c r="AD41" s="429">
        <f t="shared" si="88"/>
        <v>-8.8915487580491948E-2</v>
      </c>
      <c r="AE41" s="432">
        <f t="shared" si="88"/>
        <v>-0.31817819345263521</v>
      </c>
      <c r="AF41" s="432">
        <f t="shared" si="88"/>
        <v>0.7441779968056732</v>
      </c>
      <c r="AG41" s="432">
        <f t="shared" si="88"/>
        <v>0.29665777866864973</v>
      </c>
      <c r="AH41" s="429">
        <f t="shared" si="88"/>
        <v>-9.5807353173187448E-2</v>
      </c>
      <c r="AI41" s="432">
        <f t="shared" si="88"/>
        <v>-0.12581641688274237</v>
      </c>
      <c r="AJ41" s="432">
        <f t="shared" si="88"/>
        <v>-0.10974170994090138</v>
      </c>
      <c r="AK41" s="432">
        <f t="shared" si="88"/>
        <v>0.95024660319556453</v>
      </c>
      <c r="AL41" s="429">
        <f t="shared" si="88"/>
        <v>5.6055067085073462E-2</v>
      </c>
      <c r="AM41" s="432">
        <f t="shared" si="88"/>
        <v>0.23703663900779826</v>
      </c>
      <c r="AN41" s="432">
        <f t="shared" si="88"/>
        <v>-3.845284575212049E-3</v>
      </c>
      <c r="AO41" s="432">
        <f t="shared" si="88"/>
        <v>-0.17146131442803125</v>
      </c>
      <c r="AP41" s="429">
        <f t="shared" si="88"/>
        <v>2.6943438590388009</v>
      </c>
      <c r="AQ41" s="432">
        <f t="shared" si="88"/>
        <v>-0.41337889324059052</v>
      </c>
      <c r="AR41" s="432">
        <f t="shared" si="88"/>
        <v>-0.1861814921683832</v>
      </c>
      <c r="AS41" s="432">
        <f t="shared" si="88"/>
        <v>0.2799613180497027</v>
      </c>
      <c r="AT41" s="429">
        <f t="shared" si="88"/>
        <v>-3.293443092853332E-2</v>
      </c>
      <c r="AU41" s="432">
        <f t="shared" si="88"/>
        <v>-0.50181423044293361</v>
      </c>
      <c r="AV41" s="432">
        <f t="shared" si="88"/>
        <v>0.13978686709217736</v>
      </c>
      <c r="AW41" s="432">
        <f t="shared" si="88"/>
        <v>0.10220863291405724</v>
      </c>
      <c r="AX41" s="664">
        <f>AX39/AT39-1</f>
        <v>3.5361641022755963E-2</v>
      </c>
      <c r="AZ41" s="432">
        <f>AZ39/SUM(AQ39:AT39)-1</f>
        <v>-0.28878984362850535</v>
      </c>
      <c r="BF41" s="428"/>
      <c r="BG41" s="428"/>
      <c r="BH41" s="428"/>
      <c r="BI41" s="429"/>
      <c r="BJ41" s="428" t="e">
        <f t="shared" ref="BJ41:CA41" si="89">BJ39/BF39-1</f>
        <v>#DIV/0!</v>
      </c>
      <c r="BK41" s="428" t="e">
        <f t="shared" si="89"/>
        <v>#DIV/0!</v>
      </c>
      <c r="BL41" s="428" t="e">
        <f t="shared" si="89"/>
        <v>#DIV/0!</v>
      </c>
      <c r="BM41" s="429">
        <f t="shared" si="89"/>
        <v>0.39310944492247679</v>
      </c>
      <c r="BN41" s="428">
        <f t="shared" si="89"/>
        <v>0.52150142454159609</v>
      </c>
      <c r="BO41" s="428">
        <f t="shared" si="89"/>
        <v>0.3204108810967552</v>
      </c>
      <c r="BP41" s="428">
        <f t="shared" si="89"/>
        <v>0.31755021390807192</v>
      </c>
      <c r="BQ41" s="429">
        <f t="shared" si="89"/>
        <v>0.3843383569386114</v>
      </c>
      <c r="BR41" s="428">
        <f t="shared" si="89"/>
        <v>0.53445462035117086</v>
      </c>
      <c r="BS41" s="428">
        <f t="shared" si="89"/>
        <v>0.88341088192672768</v>
      </c>
      <c r="BT41" s="428">
        <f t="shared" si="89"/>
        <v>0.72588923268103733</v>
      </c>
      <c r="BU41" s="429">
        <f t="shared" si="89"/>
        <v>1.4387400393469618</v>
      </c>
      <c r="BV41" s="428">
        <f t="shared" si="89"/>
        <v>1.2449509417791433</v>
      </c>
      <c r="BW41" s="428">
        <f t="shared" si="89"/>
        <v>0.99406693715477767</v>
      </c>
      <c r="BX41" s="428">
        <f t="shared" si="89"/>
        <v>1.2470895671170474</v>
      </c>
      <c r="BY41" s="429">
        <f t="shared" si="89"/>
        <v>0.17693861933341704</v>
      </c>
      <c r="BZ41" s="428">
        <f t="shared" si="89"/>
        <v>-9.6253485070559086E-2</v>
      </c>
      <c r="CA41" s="428">
        <f t="shared" si="89"/>
        <v>-0.21534900885951136</v>
      </c>
      <c r="CB41" s="428">
        <f>CB39/BX39-1</f>
        <v>-0.4053579366899821</v>
      </c>
    </row>
    <row r="42" spans="1:80" ht="15">
      <c r="C42" s="43"/>
      <c r="D42" s="43"/>
      <c r="E42" s="43"/>
      <c r="F42" s="43"/>
      <c r="G42" s="43"/>
      <c r="BI42" s="1149">
        <f t="shared" ref="BI42:CB42" si="90">SUM(AA42:AD42)</f>
        <v>0</v>
      </c>
      <c r="BJ42" s="415">
        <f t="shared" si="90"/>
        <v>0</v>
      </c>
      <c r="BK42" s="415">
        <f t="shared" si="90"/>
        <v>0</v>
      </c>
      <c r="BL42" s="415">
        <f t="shared" si="90"/>
        <v>0</v>
      </c>
      <c r="BM42" s="1149">
        <f t="shared" si="90"/>
        <v>0</v>
      </c>
      <c r="BN42" s="415">
        <f t="shared" si="90"/>
        <v>0</v>
      </c>
      <c r="BO42" s="415">
        <f t="shared" si="90"/>
        <v>0</v>
      </c>
      <c r="BP42" s="415">
        <f t="shared" si="90"/>
        <v>0</v>
      </c>
      <c r="BQ42" s="1149">
        <f t="shared" si="90"/>
        <v>0</v>
      </c>
      <c r="BR42" s="415">
        <f t="shared" si="90"/>
        <v>0</v>
      </c>
      <c r="BS42" s="415">
        <f t="shared" si="90"/>
        <v>0</v>
      </c>
      <c r="BT42" s="415">
        <f t="shared" si="90"/>
        <v>0</v>
      </c>
      <c r="BU42" s="1149">
        <f t="shared" si="90"/>
        <v>0</v>
      </c>
      <c r="BV42" s="415">
        <f t="shared" si="90"/>
        <v>0</v>
      </c>
      <c r="BW42" s="415">
        <f t="shared" si="90"/>
        <v>0</v>
      </c>
      <c r="BX42" s="415">
        <f t="shared" si="90"/>
        <v>0</v>
      </c>
      <c r="BY42" s="1149">
        <f t="shared" si="90"/>
        <v>0</v>
      </c>
      <c r="BZ42" s="415">
        <f t="shared" si="90"/>
        <v>0</v>
      </c>
      <c r="CA42" s="415">
        <f t="shared" si="90"/>
        <v>0</v>
      </c>
      <c r="CB42" s="415">
        <f t="shared" si="90"/>
        <v>0</v>
      </c>
    </row>
    <row r="43" spans="1:80" s="397" customFormat="1" ht="15">
      <c r="A43" s="511" t="s">
        <v>501</v>
      </c>
      <c r="B43" s="410"/>
      <c r="C43" s="417">
        <f>C46+C52+C55</f>
        <v>-18.157979605999998</v>
      </c>
      <c r="D43" s="417">
        <f t="shared" ref="D43:S43" si="91">D46+D49+D52+D55</f>
        <v>-30.261062831</v>
      </c>
      <c r="E43" s="417">
        <f t="shared" si="91"/>
        <v>-31.934303562000004</v>
      </c>
      <c r="F43" s="417">
        <f t="shared" si="91"/>
        <v>-26.090893617999996</v>
      </c>
      <c r="G43" s="417">
        <f t="shared" si="91"/>
        <v>-8.6257009769999975</v>
      </c>
      <c r="H43" s="417">
        <f t="shared" si="91"/>
        <v>0.61769158399999924</v>
      </c>
      <c r="I43" s="417">
        <f t="shared" si="91"/>
        <v>-6.4137222129999998</v>
      </c>
      <c r="J43" s="417">
        <f t="shared" si="91"/>
        <v>9.2249310829999942</v>
      </c>
      <c r="K43" s="417">
        <f t="shared" si="91"/>
        <v>49.576016489999986</v>
      </c>
      <c r="L43" s="417">
        <f t="shared" si="91"/>
        <v>137.76266374000002</v>
      </c>
      <c r="M43" s="666">
        <f>M46+M49+M52+M55</f>
        <v>65.013710776000011</v>
      </c>
      <c r="N43" s="417">
        <f t="shared" si="91"/>
        <v>27.344819713026553</v>
      </c>
      <c r="O43" s="417">
        <f t="shared" si="91"/>
        <v>80.344555882797181</v>
      </c>
      <c r="P43" s="417">
        <f>P46+P49+P52+P55</f>
        <v>84.875568581289656</v>
      </c>
      <c r="Q43" s="417">
        <f t="shared" si="91"/>
        <v>80.124248330124146</v>
      </c>
      <c r="R43" s="417">
        <f t="shared" si="91"/>
        <v>106.34517913593962</v>
      </c>
      <c r="S43" s="417">
        <f t="shared" si="91"/>
        <v>137.2169049451195</v>
      </c>
      <c r="T43" s="417"/>
      <c r="U43" s="417"/>
      <c r="V43" s="417"/>
      <c r="W43" s="417"/>
      <c r="X43" s="417"/>
      <c r="Y43" s="417"/>
      <c r="Z43" s="417"/>
      <c r="AA43" s="417">
        <f>AA46+AA49+AA52+AA55</f>
        <v>-3.1531269069999999</v>
      </c>
      <c r="AB43" s="417">
        <f t="shared" ref="AB43:AI43" si="92">AB46+AB49+AB52+AB55</f>
        <v>-0.79987854200000008</v>
      </c>
      <c r="AC43" s="417">
        <f t="shared" si="92"/>
        <v>-2.0843401319999995</v>
      </c>
      <c r="AD43" s="467">
        <f t="shared" si="92"/>
        <v>-0.37377008300000014</v>
      </c>
      <c r="AE43" s="417">
        <f t="shared" si="92"/>
        <v>-0.18108849699999929</v>
      </c>
      <c r="AF43" s="417">
        <f t="shared" si="92"/>
        <v>-5.4126975430000002</v>
      </c>
      <c r="AG43" s="417">
        <f t="shared" si="92"/>
        <v>2.3024035499999975</v>
      </c>
      <c r="AH43" s="467">
        <f t="shared" si="92"/>
        <v>11.02708556</v>
      </c>
      <c r="AI43" s="417">
        <f t="shared" si="92"/>
        <v>1.7373270520000013</v>
      </c>
      <c r="AJ43" s="417">
        <f t="shared" ref="AJ43:AW43" si="93">AJ46+AJ49+AJ52+AJ55</f>
        <v>18.093394565000001</v>
      </c>
      <c r="AK43" s="417">
        <f t="shared" si="93"/>
        <v>8.8045864280000004</v>
      </c>
      <c r="AL43" s="467">
        <f t="shared" si="93"/>
        <v>-3.1882359409999999</v>
      </c>
      <c r="AM43" s="417">
        <f t="shared" si="93"/>
        <v>19.419468758999997</v>
      </c>
      <c r="AN43" s="417">
        <f t="shared" si="93"/>
        <v>32.406152732000002</v>
      </c>
      <c r="AO43" s="417">
        <f t="shared" si="93"/>
        <v>39.836806898999995</v>
      </c>
      <c r="AP43" s="467">
        <f t="shared" si="93"/>
        <v>46.100235349999998</v>
      </c>
      <c r="AQ43" s="417">
        <f t="shared" si="93"/>
        <v>57.888373303999984</v>
      </c>
      <c r="AR43" s="417">
        <f t="shared" si="93"/>
        <v>4.663401168</v>
      </c>
      <c r="AS43" s="417">
        <f t="shared" si="93"/>
        <v>8.085166791999999</v>
      </c>
      <c r="AT43" s="467">
        <f t="shared" si="93"/>
        <v>-5.6232304880000044</v>
      </c>
      <c r="AU43" s="417">
        <f t="shared" si="93"/>
        <v>10.431691342999997</v>
      </c>
      <c r="AV43" s="417">
        <f t="shared" si="93"/>
        <v>-0.92252085100000158</v>
      </c>
      <c r="AW43" s="417">
        <f t="shared" si="93"/>
        <v>8.3000000000000043</v>
      </c>
      <c r="AX43" s="666">
        <f>AX46+AX49+AX52+AX55</f>
        <v>30.633650681655752</v>
      </c>
      <c r="AZ43" s="417">
        <f>SUM(AU43:AX43)</f>
        <v>48.442821173655751</v>
      </c>
      <c r="BI43" s="467">
        <f t="shared" ref="BI43:CB43" si="94">SUM(AA43:AD43)</f>
        <v>-6.4111156639999995</v>
      </c>
      <c r="BJ43" s="417">
        <f t="shared" si="94"/>
        <v>-3.439077253999999</v>
      </c>
      <c r="BK43" s="417">
        <f t="shared" si="94"/>
        <v>-8.0518962549999991</v>
      </c>
      <c r="BL43" s="417">
        <f t="shared" si="94"/>
        <v>-3.6651525730000021</v>
      </c>
      <c r="BM43" s="467">
        <f t="shared" si="94"/>
        <v>7.7357030699999978</v>
      </c>
      <c r="BN43" s="417">
        <f t="shared" si="94"/>
        <v>9.6541186189999983</v>
      </c>
      <c r="BO43" s="417">
        <f t="shared" si="94"/>
        <v>33.160210726999999</v>
      </c>
      <c r="BP43" s="417">
        <f t="shared" si="94"/>
        <v>39.662393605000005</v>
      </c>
      <c r="BQ43" s="467">
        <f t="shared" si="94"/>
        <v>25.447072104000004</v>
      </c>
      <c r="BR43" s="417">
        <f t="shared" si="94"/>
        <v>43.129213811</v>
      </c>
      <c r="BS43" s="417">
        <f t="shared" si="94"/>
        <v>57.441971977999998</v>
      </c>
      <c r="BT43" s="417">
        <f t="shared" si="94"/>
        <v>88.474192449</v>
      </c>
      <c r="BU43" s="467">
        <f t="shared" si="94"/>
        <v>137.76266373999999</v>
      </c>
      <c r="BV43" s="417">
        <f t="shared" si="94"/>
        <v>176.23156828499998</v>
      </c>
      <c r="BW43" s="417">
        <f t="shared" si="94"/>
        <v>148.48881672099998</v>
      </c>
      <c r="BX43" s="417">
        <f t="shared" si="94"/>
        <v>116.73717661399999</v>
      </c>
      <c r="BY43" s="467">
        <f t="shared" si="94"/>
        <v>65.013710775999982</v>
      </c>
      <c r="BZ43" s="417">
        <f t="shared" si="94"/>
        <v>17.557028814999992</v>
      </c>
      <c r="CA43" s="417">
        <f t="shared" si="94"/>
        <v>11.97110679599999</v>
      </c>
      <c r="CB43" s="417">
        <f t="shared" si="94"/>
        <v>12.185940003999995</v>
      </c>
    </row>
    <row r="44" spans="1:80" s="473" customFormat="1" ht="15">
      <c r="A44" s="513" t="s">
        <v>483</v>
      </c>
      <c r="B44" s="472"/>
      <c r="C44" s="479">
        <f t="shared" ref="C44:O44" si="95">C43/C$7</f>
        <v>-8.4863248149447384E-3</v>
      </c>
      <c r="D44" s="479">
        <f t="shared" si="95"/>
        <v>-9.8980724636097157E-3</v>
      </c>
      <c r="E44" s="479">
        <f t="shared" si="95"/>
        <v>-6.5485244776526206E-3</v>
      </c>
      <c r="F44" s="479">
        <f t="shared" si="95"/>
        <v>-6.2071580907093358E-3</v>
      </c>
      <c r="G44" s="479">
        <f t="shared" si="95"/>
        <v>-2.269877455773687E-3</v>
      </c>
      <c r="H44" s="479">
        <f t="shared" si="95"/>
        <v>1.6165942856660249E-4</v>
      </c>
      <c r="I44" s="479">
        <f t="shared" si="95"/>
        <v>-1.0802293800633205E-3</v>
      </c>
      <c r="J44" s="479">
        <f t="shared" si="95"/>
        <v>1.0868115594644106E-3</v>
      </c>
      <c r="K44" s="479">
        <f t="shared" si="95"/>
        <v>3.9548060603642838E-3</v>
      </c>
      <c r="L44" s="479">
        <f t="shared" si="95"/>
        <v>6.5843278651587329E-3</v>
      </c>
      <c r="M44" s="663">
        <f t="shared" si="95"/>
        <v>2.9513942503063902E-3</v>
      </c>
      <c r="N44" s="479">
        <f t="shared" si="95"/>
        <v>1.3597540413570377E-3</v>
      </c>
      <c r="O44" s="479">
        <f t="shared" si="95"/>
        <v>3.5007921672991385E-3</v>
      </c>
      <c r="P44" s="479">
        <f>O44</f>
        <v>3.5007921672991385E-3</v>
      </c>
      <c r="Q44" s="479">
        <f>Q43/Q$7</f>
        <v>2.7743361161873732E-3</v>
      </c>
      <c r="R44" s="487">
        <f>R43/R$7</f>
        <v>3.3172317791706255E-3</v>
      </c>
      <c r="S44" s="479">
        <f>S43/S$7</f>
        <v>3.8587040310067485E-3</v>
      </c>
      <c r="T44" s="479"/>
      <c r="U44" s="479"/>
      <c r="V44" s="479"/>
      <c r="W44" s="479"/>
      <c r="Y44" s="787"/>
      <c r="Z44" s="479"/>
      <c r="AA44" s="479">
        <f>AA43/AA$7</f>
        <v>-2.4935431545032717E-3</v>
      </c>
      <c r="AB44" s="479">
        <f t="shared" ref="AB44:AI44" si="96">AB43/AB$7</f>
        <v>-5.8273909624040679E-4</v>
      </c>
      <c r="AC44" s="479">
        <f t="shared" si="96"/>
        <v>-1.196417793575081E-3</v>
      </c>
      <c r="AD44" s="480">
        <f t="shared" si="96"/>
        <v>-2.3948563187781621E-4</v>
      </c>
      <c r="AE44" s="479">
        <f t="shared" si="96"/>
        <v>-1.3200848453051657E-4</v>
      </c>
      <c r="AF44" s="479">
        <f t="shared" si="96"/>
        <v>-2.7034368364757273E-3</v>
      </c>
      <c r="AG44" s="479">
        <f t="shared" si="96"/>
        <v>8.8061256203937415E-4</v>
      </c>
      <c r="AH44" s="480">
        <f t="shared" si="96"/>
        <v>4.4111756497151912E-3</v>
      </c>
      <c r="AI44" s="479">
        <f t="shared" si="96"/>
        <v>7.5185686765457511E-4</v>
      </c>
      <c r="AJ44" s="479">
        <f t="shared" ref="AJ44:AW44" si="97">AJ43/AJ$7</f>
        <v>7.0075760350340544E-3</v>
      </c>
      <c r="AK44" s="479">
        <f t="shared" si="97"/>
        <v>2.4293377760678061E-3</v>
      </c>
      <c r="AL44" s="480">
        <f t="shared" si="97"/>
        <v>-7.9365083400883456E-4</v>
      </c>
      <c r="AM44" s="479">
        <f t="shared" si="97"/>
        <v>3.8786207800167085E-3</v>
      </c>
      <c r="AN44" s="479">
        <f t="shared" si="97"/>
        <v>7.683661056683719E-3</v>
      </c>
      <c r="AO44" s="479">
        <f t="shared" si="97"/>
        <v>1.0414513536903822E-2</v>
      </c>
      <c r="AP44" s="480">
        <f t="shared" si="97"/>
        <v>5.8195952653078689E-3</v>
      </c>
      <c r="AQ44" s="479">
        <f t="shared" si="97"/>
        <v>8.2595020068050844E-3</v>
      </c>
      <c r="AR44" s="479">
        <f t="shared" si="97"/>
        <v>9.4974449563810259E-4</v>
      </c>
      <c r="AS44" s="479">
        <f t="shared" si="97"/>
        <v>1.3330374874567822E-3</v>
      </c>
      <c r="AT44" s="480">
        <f t="shared" si="97"/>
        <v>-1.3798923166696492E-3</v>
      </c>
      <c r="AU44" s="479">
        <f t="shared" si="97"/>
        <v>2.6343139106953318E-3</v>
      </c>
      <c r="AV44" s="479">
        <f t="shared" si="97"/>
        <v>-2.0073099974077734E-4</v>
      </c>
      <c r="AW44" s="479">
        <f t="shared" si="97"/>
        <v>1.5334136374049476E-3</v>
      </c>
      <c r="AX44" s="479">
        <f>AX43/AX$7</f>
        <v>4.987871212808693E-3</v>
      </c>
      <c r="AY44" s="479"/>
      <c r="AZ44" s="479">
        <f>AZ43/AZ$7</f>
        <v>2.4088775335474352E-3</v>
      </c>
      <c r="BC44" s="704"/>
      <c r="BF44" s="479"/>
      <c r="BG44" s="479"/>
      <c r="BH44" s="479"/>
      <c r="BI44" s="480">
        <f t="shared" ref="BI44:CB44" si="98">BI43/BI$7</f>
        <v>-1.0793112522922367E-3</v>
      </c>
      <c r="BJ44" s="479">
        <f t="shared" si="98"/>
        <v>-5.6869782208333593E-4</v>
      </c>
      <c r="BK44" s="479">
        <f t="shared" si="98"/>
        <v>-1.205947845297897E-3</v>
      </c>
      <c r="BL44" s="479">
        <f t="shared" si="98"/>
        <v>-4.8550104769199277E-4</v>
      </c>
      <c r="BM44" s="480">
        <f t="shared" si="98"/>
        <v>9.1133683943613053E-4</v>
      </c>
      <c r="BN44" s="479">
        <f t="shared" si="98"/>
        <v>1.0240680644188346E-3</v>
      </c>
      <c r="BO44" s="479">
        <f t="shared" si="98"/>
        <v>3.3136863981335562E-3</v>
      </c>
      <c r="BP44" s="479">
        <f t="shared" si="98"/>
        <v>3.600182805520939E-3</v>
      </c>
      <c r="BQ44" s="480">
        <f t="shared" si="98"/>
        <v>2.0302203894881315E-3</v>
      </c>
      <c r="BR44" s="479">
        <f t="shared" si="98"/>
        <v>2.8318172361729986E-3</v>
      </c>
      <c r="BS44" s="479">
        <f t="shared" si="98"/>
        <v>3.405827639192489E-3</v>
      </c>
      <c r="BT44" s="479">
        <f t="shared" si="98"/>
        <v>5.1840430214605913E-3</v>
      </c>
      <c r="BU44" s="480">
        <f t="shared" si="98"/>
        <v>6.5691936603379129E-3</v>
      </c>
      <c r="BV44" s="479">
        <f t="shared" si="98"/>
        <v>7.671274704105965E-3</v>
      </c>
      <c r="BW44" s="479">
        <f t="shared" si="98"/>
        <v>6.2744735878249277E-3</v>
      </c>
      <c r="BX44" s="479">
        <f t="shared" si="98"/>
        <v>4.5062458716501122E-3</v>
      </c>
      <c r="BY44" s="481">
        <f t="shared" si="98"/>
        <v>2.9472368953926071E-3</v>
      </c>
      <c r="BZ44" s="479">
        <f t="shared" si="98"/>
        <v>9.235469406969301E-4</v>
      </c>
      <c r="CA44" s="482">
        <f t="shared" si="98"/>
        <v>6.403004525620833E-4</v>
      </c>
      <c r="CB44" s="574">
        <f t="shared" si="98"/>
        <v>6.7536017575734136E-4</v>
      </c>
    </row>
    <row r="45" spans="1:80" s="473" customFormat="1" ht="15">
      <c r="A45" s="513"/>
      <c r="B45" s="472"/>
      <c r="C45" s="479"/>
      <c r="D45" s="479"/>
      <c r="E45" s="479"/>
      <c r="F45" s="479"/>
      <c r="G45" s="479"/>
      <c r="H45" s="479"/>
      <c r="I45" s="479"/>
      <c r="J45" s="479"/>
      <c r="K45" s="479"/>
      <c r="L45" s="479"/>
      <c r="M45" s="663"/>
      <c r="N45" s="479"/>
      <c r="O45" s="479"/>
      <c r="P45" s="479"/>
      <c r="Q45" s="479"/>
      <c r="R45" s="487"/>
      <c r="S45" s="479"/>
      <c r="T45" s="479"/>
      <c r="U45" s="479"/>
      <c r="V45" s="479"/>
      <c r="W45" s="479"/>
      <c r="Y45" s="787"/>
      <c r="Z45" s="479"/>
      <c r="AA45" s="479"/>
      <c r="AB45" s="479"/>
      <c r="AC45" s="479"/>
      <c r="AD45" s="480"/>
      <c r="AE45" s="479"/>
      <c r="AF45" s="479"/>
      <c r="AG45" s="479"/>
      <c r="AH45" s="480"/>
      <c r="AI45" s="479"/>
      <c r="AJ45" s="479"/>
      <c r="AK45" s="479"/>
      <c r="AL45" s="480"/>
      <c r="AM45" s="479"/>
      <c r="AN45" s="479"/>
      <c r="AO45" s="479"/>
      <c r="AP45" s="480"/>
      <c r="AQ45" s="479"/>
      <c r="AR45" s="479"/>
      <c r="AS45" s="479"/>
      <c r="AT45" s="480"/>
      <c r="AU45" s="479"/>
      <c r="AV45" s="479"/>
      <c r="AW45" s="479"/>
      <c r="AX45" s="479"/>
      <c r="AZ45" s="479"/>
      <c r="BC45" s="704"/>
      <c r="BF45" s="479"/>
      <c r="BG45" s="479"/>
      <c r="BH45" s="479"/>
      <c r="BI45" s="480"/>
      <c r="BJ45" s="479"/>
      <c r="BK45" s="479"/>
      <c r="BL45" s="479"/>
      <c r="BM45" s="480"/>
      <c r="BN45" s="479"/>
      <c r="BO45" s="479"/>
      <c r="BP45" s="479"/>
      <c r="BQ45" s="480"/>
      <c r="BR45" s="479"/>
      <c r="BS45" s="479"/>
      <c r="BT45" s="479"/>
      <c r="BU45" s="480"/>
      <c r="BV45" s="479"/>
      <c r="BW45" s="479"/>
      <c r="BX45" s="479"/>
      <c r="BY45" s="481"/>
      <c r="BZ45" s="479"/>
      <c r="CA45" s="482"/>
      <c r="CB45" s="574"/>
    </row>
    <row r="46" spans="1:80" ht="15">
      <c r="A46" s="1128" t="s">
        <v>502</v>
      </c>
      <c r="C46" s="90">
        <f>'A. Raw FS'!C17</f>
        <v>14.49893464</v>
      </c>
      <c r="D46" s="486">
        <f>'A. Raw FS'!D354-SUM('A. Raw FS'!D355:D359)</f>
        <v>2.5518732339999999</v>
      </c>
      <c r="E46" s="486">
        <f>'A. Raw FS'!E354-SUM('A. Raw FS'!E355:E359)</f>
        <v>5.884349252999999</v>
      </c>
      <c r="F46" s="486">
        <f>'A. Raw FS'!F354-SUM('A. Raw FS'!F355:F359)</f>
        <v>13.690945521</v>
      </c>
      <c r="G46" s="486">
        <f>'A. Raw FS'!G354-SUM('A. Raw FS'!G355:G359)</f>
        <v>18.357160974000003</v>
      </c>
      <c r="H46" s="486">
        <f>'A. Raw FS'!H354-SUM('A. Raw FS'!H355:H359)</f>
        <v>23.959428777999999</v>
      </c>
      <c r="I46" s="486">
        <f>'A. Raw FS'!I354-SUM('A. Raw FS'!I355:I359)</f>
        <v>32.278327839999996</v>
      </c>
      <c r="J46" s="486">
        <f>'A. Raw FS'!J354-SUM('A. Raw FS'!J355:J359)</f>
        <v>60.542904403999991</v>
      </c>
      <c r="K46" s="486">
        <f>'A. Raw FS'!K354-SUM('A. Raw FS'!K355:K359)</f>
        <v>77.895068833999986</v>
      </c>
      <c r="L46" s="486">
        <f>'A. Raw FS'!L354-SUM('A. Raw FS'!L355:L359)</f>
        <v>143.85937188700001</v>
      </c>
      <c r="M46" s="658">
        <f>'A. Raw FS'!M354-SUM('A. Raw FS'!M355:M359)</f>
        <v>163.45970310800001</v>
      </c>
      <c r="N46" s="486">
        <f t="shared" ref="N46:S46" si="99">N7*N47</f>
        <v>128.81478036549018</v>
      </c>
      <c r="O46" s="486">
        <f t="shared" si="99"/>
        <v>137.70235771199697</v>
      </c>
      <c r="P46" s="486">
        <f t="shared" si="99"/>
        <v>141.67893493974273</v>
      </c>
      <c r="Q46" s="486">
        <f t="shared" si="99"/>
        <v>141.51451027395711</v>
      </c>
      <c r="R46" s="486">
        <f t="shared" si="99"/>
        <v>157.08621297978382</v>
      </c>
      <c r="S46" s="486">
        <f t="shared" si="99"/>
        <v>174.24576459564943</v>
      </c>
      <c r="T46" s="486"/>
      <c r="U46" s="486"/>
      <c r="V46" s="486"/>
      <c r="W46" s="486"/>
      <c r="X46" s="625"/>
      <c r="Z46" s="486"/>
      <c r="AA46" s="486">
        <f>'A. Raw FS'!AA354-SUM('A. Raw FS'!AA355:AA359)</f>
        <v>4.3968961699999998</v>
      </c>
      <c r="AB46" s="486">
        <f>'A. Raw FS'!AB354-SUM('A. Raw FS'!AB355:AB359)</f>
        <v>6.395134927</v>
      </c>
      <c r="AC46" s="486">
        <f>'A. Raw FS'!AC354-SUM('A. Raw FS'!AC355:AC359)</f>
        <v>8.9434806069999997</v>
      </c>
      <c r="AD46" s="984">
        <f>'A. Raw FS'!AD354-SUM('A. Raw FS'!AD355:AD359)</f>
        <v>0</v>
      </c>
      <c r="AE46" s="486">
        <f>'A. Raw FS'!AE354-SUM('A. Raw FS'!AE355:AE359)</f>
        <v>11.66125585</v>
      </c>
      <c r="AF46" s="486">
        <f>'A. Raw FS'!AF354-SUM('A. Raw FS'!AF355:AF359)</f>
        <v>12.614328624999999</v>
      </c>
      <c r="AG46" s="486">
        <f>'A. Raw FS'!AG354-SUM('A. Raw FS'!AG355:AG359)</f>
        <v>21.325959693999998</v>
      </c>
      <c r="AH46" s="984">
        <f>'A. Raw FS'!AH354-SUM('A. Raw FS'!AH355:AH359)</f>
        <v>14.683820062000001</v>
      </c>
      <c r="AI46" s="486">
        <f>'A. Raw FS'!AI354-SUM('A. Raw FS'!AI355:AI359)</f>
        <v>14.356858542000001</v>
      </c>
      <c r="AJ46" s="486">
        <f>'A. Raw FS'!AJ354-SUM('A. Raw FS'!AJ355:AJ359)</f>
        <v>27.510641764000002</v>
      </c>
      <c r="AK46" s="486">
        <f>'A. Raw FS'!AK354-SUM('A. Raw FS'!AK355:AK359)</f>
        <v>20.806711141000001</v>
      </c>
      <c r="AL46" s="984">
        <f>'A. Raw FS'!AL354-SUM('A. Raw FS'!AL355:AL359)</f>
        <v>0</v>
      </c>
      <c r="AM46" s="486">
        <f>'A. Raw FS'!AM354-SUM('A. Raw FS'!AM355:AM359)</f>
        <v>24.559692462000001</v>
      </c>
      <c r="AN46" s="486">
        <f>'A. Raw FS'!AN354-SUM('A. Raw FS'!AN355:AN359)</f>
        <v>26.684916482000002</v>
      </c>
      <c r="AO46" s="486">
        <f>'A. Raw FS'!AO354-SUM('A. Raw FS'!AO355:AO359)</f>
        <v>0</v>
      </c>
      <c r="AP46" s="984">
        <f>'A. Raw FS'!AP354-SUM('A. Raw FS'!AP355:AP359)</f>
        <v>0</v>
      </c>
      <c r="AQ46" s="486">
        <f>'A. Raw FS'!AQ354-SUM('A. Raw FS'!AQ355:AQ359)</f>
        <v>73.217269477000002</v>
      </c>
      <c r="AR46" s="486">
        <f>'A. Raw FS'!AR354-SUM('A. Raw FS'!AR355:AR359)</f>
        <v>0</v>
      </c>
      <c r="AS46" s="486">
        <f>'A. Raw FS'!AS354-SUM('A. Raw FS'!AS355:AS359)</f>
        <v>30.177146108999999</v>
      </c>
      <c r="AT46" s="984">
        <f>'A. Raw FS'!AT354-SUM('A. Raw FS'!AT355:AT359)</f>
        <v>51.063505190000001</v>
      </c>
      <c r="AU46" s="486">
        <f>'A. Raw FS'!AU354-SUM('A. Raw FS'!AU355:AU359)</f>
        <v>22.016832754999996</v>
      </c>
      <c r="AV46" s="486">
        <f>'A. Raw FS'!AV354-SUM('A. Raw FS'!AV355:AV359)</f>
        <v>35.185798804000001</v>
      </c>
      <c r="AW46" s="486">
        <f>'A. Raw FS'!AW354-SUM('A. Raw FS'!AW355:AW359)</f>
        <v>27.61</v>
      </c>
      <c r="AX46" s="658">
        <f>AX7*AX47</f>
        <v>44.002148806490183</v>
      </c>
      <c r="AZ46" s="486">
        <f>SUM(AU46:AX46)</f>
        <v>128.81478036549018</v>
      </c>
      <c r="BI46" s="1149">
        <f t="shared" ref="BI46:CB46" si="100">SUM(AA46:AD46)</f>
        <v>19.735511703999997</v>
      </c>
      <c r="BJ46" s="415">
        <f t="shared" si="100"/>
        <v>26.999871383999999</v>
      </c>
      <c r="BK46" s="415">
        <f t="shared" si="100"/>
        <v>33.219065082</v>
      </c>
      <c r="BL46" s="415">
        <f t="shared" si="100"/>
        <v>45.601544168999993</v>
      </c>
      <c r="BM46" s="1149">
        <f t="shared" si="100"/>
        <v>60.285364230999996</v>
      </c>
      <c r="BN46" s="415">
        <f t="shared" si="100"/>
        <v>62.980966922999997</v>
      </c>
      <c r="BO46" s="415">
        <f t="shared" si="100"/>
        <v>77.877280061999997</v>
      </c>
      <c r="BP46" s="415">
        <f t="shared" si="100"/>
        <v>77.358031509</v>
      </c>
      <c r="BQ46" s="1149">
        <f t="shared" si="100"/>
        <v>62.674211447000005</v>
      </c>
      <c r="BR46" s="415">
        <f t="shared" si="100"/>
        <v>72.877045367000008</v>
      </c>
      <c r="BS46" s="415">
        <f t="shared" si="100"/>
        <v>72.051320085</v>
      </c>
      <c r="BT46" s="415">
        <f t="shared" si="100"/>
        <v>51.244608944000007</v>
      </c>
      <c r="BU46" s="1149">
        <f t="shared" si="100"/>
        <v>51.244608944000007</v>
      </c>
      <c r="BV46" s="415">
        <f t="shared" si="100"/>
        <v>99.902185959000008</v>
      </c>
      <c r="BW46" s="415">
        <f t="shared" si="100"/>
        <v>73.217269477000002</v>
      </c>
      <c r="BX46" s="415">
        <f t="shared" si="100"/>
        <v>103.39441558600001</v>
      </c>
      <c r="BY46" s="1149">
        <f t="shared" si="100"/>
        <v>154.45792077600001</v>
      </c>
      <c r="BZ46" s="415">
        <f t="shared" si="100"/>
        <v>103.257484054</v>
      </c>
      <c r="CA46" s="415">
        <f t="shared" si="100"/>
        <v>138.443282858</v>
      </c>
      <c r="CB46" s="415">
        <f t="shared" si="100"/>
        <v>135.87613674900001</v>
      </c>
    </row>
    <row r="47" spans="1:80" s="473" customFormat="1" ht="15">
      <c r="A47" s="513" t="s">
        <v>498</v>
      </c>
      <c r="B47" s="472"/>
      <c r="C47" s="479">
        <f t="shared" ref="C47:M47" si="101">C46/C7</f>
        <v>6.776231249044716E-3</v>
      </c>
      <c r="D47" s="487">
        <f t="shared" si="101"/>
        <v>8.3469064947060156E-4</v>
      </c>
      <c r="E47" s="487">
        <f t="shared" si="101"/>
        <v>1.2066586967683375E-3</v>
      </c>
      <c r="F47" s="487">
        <f t="shared" si="101"/>
        <v>3.2571465164959804E-3</v>
      </c>
      <c r="G47" s="487">
        <f t="shared" si="101"/>
        <v>4.8307385055426965E-3</v>
      </c>
      <c r="H47" s="890">
        <f t="shared" si="101"/>
        <v>6.2705525951179154E-3</v>
      </c>
      <c r="I47" s="890">
        <f t="shared" si="101"/>
        <v>5.4364683898235761E-3</v>
      </c>
      <c r="J47" s="890">
        <f t="shared" si="101"/>
        <v>7.1327067658068493E-3</v>
      </c>
      <c r="K47" s="890">
        <f t="shared" si="101"/>
        <v>6.2138895399015195E-3</v>
      </c>
      <c r="L47" s="890">
        <f t="shared" si="101"/>
        <v>6.8757183206582997E-3</v>
      </c>
      <c r="M47" s="891">
        <f t="shared" si="101"/>
        <v>7.4204967252512631E-3</v>
      </c>
      <c r="N47" s="941">
        <f>AZ47</f>
        <v>6.4054698486475407E-3</v>
      </c>
      <c r="O47" s="941">
        <v>6.0000000000000001E-3</v>
      </c>
      <c r="P47" s="941">
        <f>AVERAGE(O47,Q47)</f>
        <v>5.45E-3</v>
      </c>
      <c r="Q47" s="941">
        <v>4.8999999999999998E-3</v>
      </c>
      <c r="R47" s="941">
        <f>Q47</f>
        <v>4.8999999999999998E-3</v>
      </c>
      <c r="S47" s="941">
        <f>R47</f>
        <v>4.8999999999999998E-3</v>
      </c>
      <c r="T47" s="626"/>
      <c r="U47" s="626"/>
      <c r="V47" s="626"/>
      <c r="W47" s="626"/>
      <c r="X47" s="627"/>
      <c r="Y47" s="615"/>
      <c r="AA47" s="487">
        <f>AA46/AA7</f>
        <v>3.4771357668558164E-3</v>
      </c>
      <c r="AB47" s="487">
        <f t="shared" ref="AB47:AI47" si="102">AB46/AB7</f>
        <v>4.6590762872289167E-3</v>
      </c>
      <c r="AC47" s="487">
        <f t="shared" si="102"/>
        <v>5.1335860066376478E-3</v>
      </c>
      <c r="AD47" s="480">
        <f t="shared" si="102"/>
        <v>0</v>
      </c>
      <c r="AE47" s="487">
        <f t="shared" si="102"/>
        <v>8.5007316200825661E-3</v>
      </c>
      <c r="AF47" s="487">
        <f t="shared" si="102"/>
        <v>6.3003780280200304E-3</v>
      </c>
      <c r="AG47" s="487">
        <f t="shared" si="102"/>
        <v>8.1566535128395658E-3</v>
      </c>
      <c r="AH47" s="480">
        <f t="shared" si="102"/>
        <v>5.8739826720174476E-3</v>
      </c>
      <c r="AI47" s="487">
        <f t="shared" si="102"/>
        <v>6.2131667611585329E-3</v>
      </c>
      <c r="AJ47" s="487">
        <f t="shared" ref="AJ47:AW47" si="103">AJ46/AJ7</f>
        <v>1.0654878123684658E-2</v>
      </c>
      <c r="AK47" s="487">
        <f t="shared" si="103"/>
        <v>5.7409317046188671E-3</v>
      </c>
      <c r="AL47" s="480">
        <f t="shared" si="103"/>
        <v>0</v>
      </c>
      <c r="AM47" s="487">
        <f t="shared" si="103"/>
        <v>4.9052697947664248E-3</v>
      </c>
      <c r="AN47" s="487">
        <f t="shared" si="103"/>
        <v>6.3271272979940271E-3</v>
      </c>
      <c r="AO47" s="487">
        <f t="shared" si="103"/>
        <v>0</v>
      </c>
      <c r="AP47" s="480">
        <f t="shared" si="103"/>
        <v>0</v>
      </c>
      <c r="AQ47" s="487">
        <f t="shared" si="103"/>
        <v>1.044662597448189E-2</v>
      </c>
      <c r="AR47" s="487">
        <f t="shared" si="103"/>
        <v>0</v>
      </c>
      <c r="AS47" s="487">
        <f t="shared" si="103"/>
        <v>4.9754405892480907E-3</v>
      </c>
      <c r="AT47" s="480">
        <f t="shared" si="103"/>
        <v>1.2530544252857542E-2</v>
      </c>
      <c r="AU47" s="487">
        <f t="shared" si="103"/>
        <v>5.5599084452271959E-3</v>
      </c>
      <c r="AV47" s="487">
        <f t="shared" si="103"/>
        <v>7.6560660530856179E-3</v>
      </c>
      <c r="AW47" s="487">
        <f t="shared" si="103"/>
        <v>5.1009097022591057E-3</v>
      </c>
      <c r="AX47" s="667">
        <f>AVERAGE(AS47:AW47)</f>
        <v>7.1645738085355098E-3</v>
      </c>
      <c r="AZ47" s="487">
        <f>AZ46/AZ7</f>
        <v>6.4054698486475407E-3</v>
      </c>
      <c r="BI47" s="1149">
        <f t="shared" ref="BI47:CA47" si="104">SUM(AA47:AD47)</f>
        <v>1.3269798060722381E-2</v>
      </c>
      <c r="BJ47" s="415">
        <f t="shared" si="104"/>
        <v>1.829339391394913E-2</v>
      </c>
      <c r="BK47" s="415">
        <f t="shared" si="104"/>
        <v>1.9934695654740243E-2</v>
      </c>
      <c r="BL47" s="415">
        <f t="shared" si="104"/>
        <v>2.2957763160942161E-2</v>
      </c>
      <c r="BM47" s="1149">
        <f t="shared" si="104"/>
        <v>2.883174583295961E-2</v>
      </c>
      <c r="BN47" s="415">
        <f t="shared" si="104"/>
        <v>2.6544180974035575E-2</v>
      </c>
      <c r="BO47" s="415">
        <f t="shared" si="104"/>
        <v>3.0898681069700208E-2</v>
      </c>
      <c r="BP47" s="415">
        <f t="shared" si="104"/>
        <v>2.8482959261479507E-2</v>
      </c>
      <c r="BQ47" s="1149">
        <f t="shared" si="104"/>
        <v>2.2608976589462058E-2</v>
      </c>
      <c r="BR47" s="415">
        <f t="shared" si="104"/>
        <v>2.130107962306995E-2</v>
      </c>
      <c r="BS47" s="415">
        <f t="shared" si="104"/>
        <v>1.6973328797379318E-2</v>
      </c>
      <c r="BT47" s="415">
        <f t="shared" si="104"/>
        <v>1.1232397092760452E-2</v>
      </c>
      <c r="BU47" s="1149">
        <f t="shared" si="104"/>
        <v>1.1232397092760452E-2</v>
      </c>
      <c r="BV47" s="415">
        <f t="shared" si="104"/>
        <v>1.6773753272475919E-2</v>
      </c>
      <c r="BW47" s="415">
        <f t="shared" si="104"/>
        <v>1.044662597448189E-2</v>
      </c>
      <c r="BX47" s="415">
        <f t="shared" si="104"/>
        <v>1.5422066563729981E-2</v>
      </c>
      <c r="BY47" s="1149">
        <f t="shared" si="104"/>
        <v>2.7952610816587523E-2</v>
      </c>
      <c r="BZ47" s="415">
        <f t="shared" si="104"/>
        <v>2.3065893287332828E-2</v>
      </c>
      <c r="CA47" s="415">
        <f t="shared" si="104"/>
        <v>3.0721959340418447E-2</v>
      </c>
      <c r="CB47" s="415">
        <f>SUM(AT47:AW47)</f>
        <v>3.084742845342946E-2</v>
      </c>
    </row>
    <row r="48" spans="1:80" s="769" customFormat="1" ht="15">
      <c r="A48" s="763" t="s">
        <v>503</v>
      </c>
      <c r="B48" s="764"/>
      <c r="C48" s="765">
        <f>SUM('A. Raw FS'!C360:C361)</f>
        <v>3.7296318749999999</v>
      </c>
      <c r="D48" s="766">
        <f>SUM('A. Raw FS'!D360:D361)</f>
        <v>2.405966083</v>
      </c>
      <c r="E48" s="766">
        <f>SUM('A. Raw FS'!E360:E361)</f>
        <v>3.3650739249999999</v>
      </c>
      <c r="F48" s="766">
        <f>SUM('A. Raw FS'!F360:F361)</f>
        <v>9.8109354750000008</v>
      </c>
      <c r="G48" s="766">
        <f>SUM('A. Raw FS'!G360:G361)</f>
        <v>5.359039009</v>
      </c>
      <c r="H48" s="766">
        <f>SUM('A. Raw FS'!H360:H361)</f>
        <v>4.6970388300000003</v>
      </c>
      <c r="I48" s="766">
        <f>SUM('A. Raw FS'!I360:I361)</f>
        <v>6.5687490349999997</v>
      </c>
      <c r="J48" s="766">
        <f>SUM('A. Raw FS'!J360:J361)</f>
        <v>18.507787874000002</v>
      </c>
      <c r="K48" s="766">
        <f>SUM('A. Raw FS'!K360:K361)</f>
        <v>39.343661003999998</v>
      </c>
      <c r="L48" s="766">
        <f>SUM('A. Raw FS'!L360:L361)</f>
        <v>64.038403299999999</v>
      </c>
      <c r="M48" s="767">
        <f>SUM('A. Raw FS'!M360:M361)</f>
        <v>79.289335109000007</v>
      </c>
      <c r="N48" s="766"/>
      <c r="O48" s="766"/>
      <c r="P48" s="766"/>
      <c r="Q48" s="766"/>
      <c r="R48" s="766"/>
      <c r="S48" s="766"/>
      <c r="T48" s="766"/>
      <c r="U48" s="766"/>
      <c r="V48" s="766"/>
      <c r="W48" s="766"/>
      <c r="X48" s="768"/>
      <c r="Z48" s="766"/>
      <c r="AA48" s="766">
        <f>SUM('A. Raw FS'!AA360:AA361)</f>
        <v>0.45208040900000002</v>
      </c>
      <c r="AB48" s="766">
        <f>SUM('A. Raw FS'!AB360:AB361)</f>
        <v>0.79505685800000003</v>
      </c>
      <c r="AC48" s="766">
        <f>SUM('A. Raw FS'!AC360:AC361)</f>
        <v>1.220729959</v>
      </c>
      <c r="AD48" s="985">
        <f>SUM('A. Raw FS'!AD360:AD361)</f>
        <v>0</v>
      </c>
      <c r="AE48" s="766">
        <f>SUM('A. Raw FS'!AE360:AE361)</f>
        <v>1.810056187</v>
      </c>
      <c r="AF48" s="766">
        <f>SUM('A. Raw FS'!AF360:AF361)</f>
        <v>2.3539741749999998</v>
      </c>
      <c r="AG48" s="766">
        <f>SUM('A. Raw FS'!AG360:AG361)</f>
        <v>7.1658822229999997</v>
      </c>
      <c r="AH48" s="985">
        <f>SUM('A. Raw FS'!AH360:AH361)</f>
        <v>7.4716277120000001</v>
      </c>
      <c r="AI48" s="766">
        <f>SUM('A. Raw FS'!AI360:AI361)</f>
        <v>6.0731950020000003</v>
      </c>
      <c r="AJ48" s="766">
        <f>SUM('A. Raw FS'!AJ360:AJ361)</f>
        <v>15.147353388999999</v>
      </c>
      <c r="AK48" s="766">
        <f>SUM('A. Raw FS'!AK360:AK361)</f>
        <v>0</v>
      </c>
      <c r="AL48" s="985">
        <f>SUM('A. Raw FS'!AL360:AL361)</f>
        <v>0</v>
      </c>
      <c r="AM48" s="766">
        <f>SUM('A. Raw FS'!AM360:AM361)</f>
        <v>8.2692931789999999</v>
      </c>
      <c r="AN48" s="766">
        <f>SUM('A. Raw FS'!AN360:AN361)</f>
        <v>13.395007572999999</v>
      </c>
      <c r="AO48" s="766">
        <f>SUM('A. Raw FS'!AO360:AO361)</f>
        <v>0</v>
      </c>
      <c r="AP48" s="985">
        <f>SUM('A. Raw FS'!AP360:AP361)</f>
        <v>0</v>
      </c>
      <c r="AQ48" s="766">
        <f>SUM('A. Raw FS'!AQ360:AQ361)</f>
        <v>27.298038797</v>
      </c>
      <c r="AR48" s="766">
        <f>SUM('A. Raw FS'!AR360:AR361)</f>
        <v>0</v>
      </c>
      <c r="AS48" s="766">
        <f>SUM('A. Raw FS'!AS360:AS361)</f>
        <v>9.6240298430000006</v>
      </c>
      <c r="AT48" s="985">
        <f>SUM('A. Raw FS'!AT360:AT361)</f>
        <v>30.042472461999999</v>
      </c>
      <c r="AU48" s="766">
        <f>SUM('A. Raw FS'!AU360:AU361)</f>
        <v>12.683451294999999</v>
      </c>
      <c r="AV48" s="766">
        <f>SUM('A. Raw FS'!AV360:AV361)</f>
        <v>18.699112353</v>
      </c>
      <c r="AW48" s="766">
        <f>SUM('A. Raw FS'!AW360:AW361)</f>
        <v>8.42</v>
      </c>
      <c r="AX48" s="767"/>
      <c r="AZ48" s="766"/>
      <c r="BI48" s="770"/>
      <c r="BJ48" s="771"/>
      <c r="BK48" s="771"/>
      <c r="BL48" s="771"/>
      <c r="BM48" s="770"/>
      <c r="BN48" s="771"/>
      <c r="BO48" s="771"/>
      <c r="BP48" s="771"/>
      <c r="BQ48" s="770"/>
      <c r="BR48" s="771"/>
      <c r="BS48" s="771"/>
      <c r="BT48" s="771"/>
      <c r="BU48" s="770"/>
      <c r="BV48" s="771"/>
      <c r="BW48" s="771"/>
      <c r="BX48" s="771"/>
      <c r="BY48" s="770"/>
      <c r="BZ48" s="771"/>
      <c r="CA48" s="771"/>
      <c r="CB48" s="771"/>
    </row>
    <row r="49" spans="1:80" s="473" customFormat="1" ht="15">
      <c r="A49" s="1128" t="s">
        <v>504</v>
      </c>
      <c r="B49" s="472"/>
      <c r="C49" s="479"/>
      <c r="D49" s="486">
        <f>SUM('A. Raw FS'!D355:D359)</f>
        <v>3.4299823169999999</v>
      </c>
      <c r="E49" s="486">
        <f>SUM('A. Raw FS'!E355:E359)</f>
        <v>4.8535549710000003</v>
      </c>
      <c r="F49" s="486">
        <f>SUM('A. Raw FS'!F355:F359)</f>
        <v>0.42309892900000001</v>
      </c>
      <c r="G49" s="486">
        <f>SUM('A. Raw FS'!G355:G359)</f>
        <v>0.90869466600000004</v>
      </c>
      <c r="H49" s="486">
        <f>SUM('A. Raw FS'!H355:H359)</f>
        <v>0.52731830400000002</v>
      </c>
      <c r="I49" s="486">
        <f>SUM('A. Raw FS'!I355:I359)</f>
        <v>0.12630866499999999</v>
      </c>
      <c r="J49" s="486">
        <f>SUM('A. Raw FS'!J355:J359)</f>
        <v>8.2251425000000003E-2</v>
      </c>
      <c r="K49" s="486">
        <f>SUM('A. Raw FS'!K355:K359)</f>
        <v>4.8622351290000001</v>
      </c>
      <c r="L49" s="486">
        <f>SUM('A. Raw FS'!L355:L359)</f>
        <v>36.270770722000002</v>
      </c>
      <c r="M49" s="984">
        <f>SUM('A. Raw FS'!M355:M359)</f>
        <v>45.586914864000001</v>
      </c>
      <c r="N49" s="486">
        <f t="shared" ref="N49:S49" si="105">N242</f>
        <v>42.009250637198889</v>
      </c>
      <c r="O49" s="486">
        <f t="shared" si="105"/>
        <v>80.936116087414661</v>
      </c>
      <c r="P49" s="486">
        <f t="shared" si="105"/>
        <v>101.03651185137943</v>
      </c>
      <c r="Q49" s="486">
        <f t="shared" si="105"/>
        <v>121.3375002454147</v>
      </c>
      <c r="R49" s="486">
        <f t="shared" si="105"/>
        <v>146.10778431034171</v>
      </c>
      <c r="S49" s="486">
        <f t="shared" si="105"/>
        <v>175.88995340992284</v>
      </c>
      <c r="T49" s="626"/>
      <c r="U49" s="626"/>
      <c r="V49" s="626"/>
      <c r="W49" s="626"/>
      <c r="X49" s="627"/>
      <c r="Y49" s="615"/>
      <c r="AA49" s="486">
        <f>SUM('A. Raw FS'!AA355:AA359)</f>
        <v>1.5568667E-2</v>
      </c>
      <c r="AB49" s="486">
        <f>SUM('A. Raw FS'!AB355:AB359)</f>
        <v>1.6854534000000001E-2</v>
      </c>
      <c r="AC49" s="486">
        <f>SUM('A. Raw FS'!AC355:AC359)</f>
        <v>2.4953518000000001E-2</v>
      </c>
      <c r="AD49" s="984">
        <f>SUM('A. Raw FS'!AD355:AD359)</f>
        <v>12.611747012</v>
      </c>
      <c r="AE49" s="486">
        <f>SUM('A. Raw FS'!AE355:AE359)</f>
        <v>2.2767365000000001E-2</v>
      </c>
      <c r="AF49" s="486">
        <f>SUM('A. Raw FS'!AF355:AF359)</f>
        <v>1.5843989999999999E-2</v>
      </c>
      <c r="AG49" s="486">
        <f>SUM('A. Raw FS'!AG355:AG359)</f>
        <v>1.6705459999999998E-2</v>
      </c>
      <c r="AH49" s="984">
        <f>SUM('A. Raw FS'!AH355:AH359)</f>
        <v>2.2741338999999999E-2</v>
      </c>
      <c r="AI49" s="486">
        <f>SUM('A. Raw FS'!AI355:AI359)</f>
        <v>1.6657930000000001E-2</v>
      </c>
      <c r="AJ49" s="486">
        <f>SUM('A. Raw FS'!AJ355:AJ359)</f>
        <v>4.3300819999999997E-2</v>
      </c>
      <c r="AK49" s="486">
        <f>SUM('A. Raw FS'!AK355:AK359)</f>
        <v>0</v>
      </c>
      <c r="AL49" s="984">
        <f>SUM('A. Raw FS'!AL355:AL359)</f>
        <v>0</v>
      </c>
      <c r="AM49" s="486">
        <f>SUM('A. Raw FS'!AM355:AM359)</f>
        <v>0.34013426899999999</v>
      </c>
      <c r="AN49" s="486">
        <f>SUM('A. Raw FS'!AN355:AN359)</f>
        <v>12.216893348999999</v>
      </c>
      <c r="AO49" s="486">
        <f>SUM('A. Raw FS'!AO355:AO359)</f>
        <v>48.472524155999999</v>
      </c>
      <c r="AP49" s="984">
        <f>SUM('A. Raw FS'!AP355:AP359)</f>
        <v>67.855981890999999</v>
      </c>
      <c r="AQ49" s="486">
        <f>SUM('A. Raw FS'!AQ355:AQ359)</f>
        <v>5.9526540000000003E-2</v>
      </c>
      <c r="AR49" s="486">
        <f>SUM('A. Raw FS'!AR355:AR359)</f>
        <v>29.651346468</v>
      </c>
      <c r="AS49" s="486">
        <f>SUM('A. Raw FS'!AS355:AS359)</f>
        <v>8.0647109310000005</v>
      </c>
      <c r="AT49" s="984">
        <f>SUM('A. Raw FS'!AT355:AT359)</f>
        <v>16.813113257000001</v>
      </c>
      <c r="AU49" s="486">
        <f>SUM('A. Raw FS'!AU355:AU359)</f>
        <v>14.987253891</v>
      </c>
      <c r="AV49" s="486">
        <f>SUM('A. Raw FS'!AV355:AV359)</f>
        <v>9.4602060579999989</v>
      </c>
      <c r="AW49" s="486">
        <f>SUM('A. Raw FS'!AW355:AW359)</f>
        <v>19.130000000000003</v>
      </c>
      <c r="AX49" s="658">
        <f>AX242</f>
        <v>19.527250000000002</v>
      </c>
      <c r="AZ49" s="486">
        <f>SUM(AU49:AX49)</f>
        <v>63.104709949000004</v>
      </c>
      <c r="BI49" s="1149"/>
      <c r="BJ49" s="415"/>
      <c r="BK49" s="415"/>
      <c r="BL49" s="415"/>
      <c r="BM49" s="1149"/>
      <c r="BN49" s="415"/>
      <c r="BO49" s="415"/>
      <c r="BP49" s="415"/>
      <c r="BQ49" s="1149"/>
      <c r="BR49" s="415"/>
      <c r="BS49" s="415"/>
      <c r="BT49" s="415"/>
      <c r="BU49" s="1149"/>
      <c r="BV49" s="415"/>
      <c r="BW49" s="415"/>
      <c r="BX49" s="415"/>
      <c r="BY49" s="1149"/>
      <c r="BZ49" s="415"/>
      <c r="CA49" s="415"/>
      <c r="CB49" s="415"/>
    </row>
    <row r="50" spans="1:80" s="473" customFormat="1" ht="15">
      <c r="A50" s="513" t="s">
        <v>505</v>
      </c>
      <c r="B50" s="472"/>
      <c r="C50" s="479">
        <f>C49/(AVERAGE(B115:C115)+AVERAGE(B121:C121))</f>
        <v>0</v>
      </c>
      <c r="D50" s="487">
        <f>D49/(AVERAGE(C115:D115)+AVERAGE(C121:D121))</f>
        <v>9.8078650209252501E-3</v>
      </c>
      <c r="E50" s="890">
        <f t="shared" ref="E50:S50" si="106">E49/(AVERAGE(D102:E102)+AVERAGE(D103:E103))</f>
        <v>4.228591371143435E-2</v>
      </c>
      <c r="F50" s="890">
        <f t="shared" si="106"/>
        <v>7.7112239877445768E-3</v>
      </c>
      <c r="G50" s="890">
        <f t="shared" si="106"/>
        <v>2.4462790612149E-2</v>
      </c>
      <c r="H50" s="890">
        <f t="shared" si="106"/>
        <v>1.4684393232243539E-2</v>
      </c>
      <c r="I50" s="890">
        <f t="shared" si="106"/>
        <v>2.3976302806213773E-3</v>
      </c>
      <c r="J50" s="890">
        <f t="shared" si="106"/>
        <v>8.1307668272466232E-4</v>
      </c>
      <c r="K50" s="890">
        <f t="shared" si="106"/>
        <v>9.6366463854464669E-3</v>
      </c>
      <c r="L50" s="890">
        <f t="shared" si="106"/>
        <v>3.0577430375966309E-2</v>
      </c>
      <c r="M50" s="983">
        <f t="shared" si="106"/>
        <v>3.9263254739913496E-2</v>
      </c>
      <c r="N50" s="940">
        <f t="shared" si="106"/>
        <v>3.4028024699978954E-2</v>
      </c>
      <c r="O50" s="940">
        <f t="shared" si="106"/>
        <v>4.3145709571530133E-2</v>
      </c>
      <c r="P50" s="940">
        <f t="shared" si="106"/>
        <v>4.2781466642322817E-2</v>
      </c>
      <c r="Q50" s="940">
        <f t="shared" si="106"/>
        <v>4.1413717332664579E-2</v>
      </c>
      <c r="R50" s="940">
        <f t="shared" si="106"/>
        <v>4.0837866380771137E-2</v>
      </c>
      <c r="S50" s="940">
        <f t="shared" si="106"/>
        <v>4.0499295153160475E-2</v>
      </c>
      <c r="T50" s="626"/>
      <c r="U50" s="626"/>
      <c r="V50" s="626"/>
      <c r="W50" s="626"/>
      <c r="X50" s="627"/>
      <c r="Y50" s="615"/>
      <c r="AA50" s="487">
        <f t="shared" ref="AA50:AW50" si="107">AA49/(AVERAGE(Z102:AA102)+AVERAGE(Z103:AA103))</f>
        <v>6.1900179690013984E-4</v>
      </c>
      <c r="AB50" s="487">
        <f t="shared" si="107"/>
        <v>2.4157327933020664E-4</v>
      </c>
      <c r="AC50" s="487">
        <f t="shared" si="107"/>
        <v>3.2512461165232361E-4</v>
      </c>
      <c r="AD50" s="480">
        <f t="shared" si="107"/>
        <v>0.22852141931214864</v>
      </c>
      <c r="AE50" s="487">
        <f t="shared" si="107"/>
        <v>2.7010902124493478E-4</v>
      </c>
      <c r="AF50" s="487">
        <f t="shared" si="107"/>
        <v>2.0103627115510757E-4</v>
      </c>
      <c r="AG50" s="487">
        <f t="shared" si="107"/>
        <v>2.580777375241894E-4</v>
      </c>
      <c r="AH50" s="480">
        <f t="shared" si="107"/>
        <v>2.2719465646672281E-4</v>
      </c>
      <c r="AI50" s="487">
        <f t="shared" si="107"/>
        <v>1.4971699336013104E-4</v>
      </c>
      <c r="AJ50" s="487">
        <f t="shared" si="107"/>
        <v>2.4193684186762812E-4</v>
      </c>
      <c r="AK50" s="487">
        <f t="shared" si="107"/>
        <v>0</v>
      </c>
      <c r="AL50" s="480">
        <f t="shared" si="107"/>
        <v>0</v>
      </c>
      <c r="AM50" s="487">
        <f t="shared" si="107"/>
        <v>3.9971507203754436E-4</v>
      </c>
      <c r="AN50" s="487">
        <f t="shared" si="107"/>
        <v>1.3216948844495193E-2</v>
      </c>
      <c r="AO50" s="487">
        <f t="shared" si="107"/>
        <v>6.0805361228805997E-2</v>
      </c>
      <c r="AP50" s="480">
        <f t="shared" si="107"/>
        <v>6.5757044837738268E-2</v>
      </c>
      <c r="AQ50" s="487">
        <f t="shared" si="107"/>
        <v>5.8609730081348364E-5</v>
      </c>
      <c r="AR50" s="487">
        <f t="shared" si="107"/>
        <v>8.5565990122122834E-2</v>
      </c>
      <c r="AS50" s="487">
        <f t="shared" si="107"/>
        <v>1.4111385732881235E-2</v>
      </c>
      <c r="AT50" s="480">
        <f t="shared" si="107"/>
        <v>1.8530106785203133E-2</v>
      </c>
      <c r="AU50" s="487">
        <f t="shared" si="107"/>
        <v>3.1333933487815012E-2</v>
      </c>
      <c r="AV50" s="487">
        <f t="shared" si="107"/>
        <v>1.7322998605877309E-2</v>
      </c>
      <c r="AW50" s="487">
        <f t="shared" si="107"/>
        <v>1.5149101536462949E-2</v>
      </c>
      <c r="AX50" s="663">
        <f>AX49/(AVERAGE(AW102:AX102)+AVERAGE(AW103:AX103))*4</f>
        <v>4.849491741997547E-2</v>
      </c>
      <c r="AZ50" s="487">
        <f>AZ49/(AVERAGE(AZ102,AT102))</f>
        <v>5.0749062920400469E-2</v>
      </c>
      <c r="BI50" s="1149">
        <f t="shared" ref="BI50:CB50" si="108">SUM(AA50:AD50)</f>
        <v>0.22970711900003132</v>
      </c>
      <c r="BJ50" s="415">
        <f t="shared" si="108"/>
        <v>0.22935822622437613</v>
      </c>
      <c r="BK50" s="415">
        <f t="shared" si="108"/>
        <v>0.22931768921620102</v>
      </c>
      <c r="BL50" s="415">
        <f t="shared" si="108"/>
        <v>0.22925064234207287</v>
      </c>
      <c r="BM50" s="1149">
        <f t="shared" si="108"/>
        <v>9.5641768639095448E-4</v>
      </c>
      <c r="BN50" s="415">
        <f t="shared" si="108"/>
        <v>8.3602565850615087E-4</v>
      </c>
      <c r="BO50" s="415">
        <f t="shared" si="108"/>
        <v>8.7692622921867137E-4</v>
      </c>
      <c r="BP50" s="415">
        <f t="shared" si="108"/>
        <v>6.1884849169448197E-4</v>
      </c>
      <c r="BQ50" s="1149">
        <f t="shared" si="108"/>
        <v>3.9165383522775919E-4</v>
      </c>
      <c r="BR50" s="415">
        <f t="shared" si="108"/>
        <v>6.4165191390517249E-4</v>
      </c>
      <c r="BS50" s="415">
        <f t="shared" si="108"/>
        <v>1.3616663916532738E-2</v>
      </c>
      <c r="BT50" s="415">
        <f t="shared" si="108"/>
        <v>7.442202514533873E-2</v>
      </c>
      <c r="BU50" s="1149">
        <f t="shared" si="108"/>
        <v>0.140179069983077</v>
      </c>
      <c r="BV50" s="415">
        <f t="shared" si="108"/>
        <v>0.1398379646411208</v>
      </c>
      <c r="BW50" s="415">
        <f t="shared" si="108"/>
        <v>0.21218700591874845</v>
      </c>
      <c r="BX50" s="415">
        <f t="shared" si="108"/>
        <v>0.16549303042282368</v>
      </c>
      <c r="BY50" s="1149">
        <f t="shared" si="108"/>
        <v>0.11826609237028854</v>
      </c>
      <c r="BZ50" s="415">
        <f t="shared" si="108"/>
        <v>0.14954141612802221</v>
      </c>
      <c r="CA50" s="415">
        <f t="shared" si="108"/>
        <v>8.1298424611776693E-2</v>
      </c>
      <c r="CB50" s="415">
        <f t="shared" si="108"/>
        <v>8.2336140415358416E-2</v>
      </c>
    </row>
    <row r="51" spans="1:80" s="473" customFormat="1" ht="15">
      <c r="A51" s="513"/>
      <c r="B51" s="472"/>
      <c r="C51" s="479"/>
      <c r="D51" s="487"/>
      <c r="E51" s="487"/>
      <c r="F51" s="487"/>
      <c r="G51" s="487"/>
      <c r="H51" s="487"/>
      <c r="I51" s="487"/>
      <c r="J51" s="487"/>
      <c r="K51" s="487"/>
      <c r="L51" s="487"/>
      <c r="M51" s="480"/>
      <c r="N51" s="626"/>
      <c r="O51" s="626"/>
      <c r="P51" s="626"/>
      <c r="Q51" s="626"/>
      <c r="R51" s="626"/>
      <c r="S51" s="626"/>
      <c r="T51" s="626"/>
      <c r="U51" s="626"/>
      <c r="V51" s="626"/>
      <c r="W51" s="626"/>
      <c r="X51" s="627"/>
      <c r="Y51" s="615"/>
      <c r="AA51" s="487"/>
      <c r="AB51" s="487"/>
      <c r="AC51" s="487"/>
      <c r="AD51" s="480"/>
      <c r="AE51" s="487"/>
      <c r="AF51" s="487"/>
      <c r="AG51" s="487"/>
      <c r="AH51" s="480"/>
      <c r="AI51" s="487"/>
      <c r="AJ51" s="487"/>
      <c r="AK51" s="487"/>
      <c r="AL51" s="480"/>
      <c r="AM51" s="487"/>
      <c r="AN51" s="487"/>
      <c r="AO51" s="487"/>
      <c r="AP51" s="480"/>
      <c r="AQ51" s="487"/>
      <c r="AR51" s="487"/>
      <c r="AS51" s="487"/>
      <c r="AT51" s="480"/>
      <c r="AU51" s="487"/>
      <c r="AV51" s="487"/>
      <c r="AW51" s="487"/>
      <c r="AX51" s="663"/>
      <c r="AZ51" s="487"/>
      <c r="BI51" s="1149"/>
      <c r="BJ51" s="415"/>
      <c r="BK51" s="415"/>
      <c r="BL51" s="415"/>
      <c r="BM51" s="1149"/>
      <c r="BN51" s="415"/>
      <c r="BO51" s="415"/>
      <c r="BP51" s="415"/>
      <c r="BQ51" s="1149"/>
      <c r="BR51" s="415"/>
      <c r="BS51" s="415"/>
      <c r="BT51" s="415"/>
      <c r="BU51" s="1149"/>
      <c r="BV51" s="415"/>
      <c r="BW51" s="415"/>
      <c r="BX51" s="415"/>
      <c r="BY51" s="1149"/>
      <c r="BZ51" s="415"/>
      <c r="CA51" s="415"/>
      <c r="CB51" s="415"/>
    </row>
    <row r="52" spans="1:80" ht="15">
      <c r="A52" s="1128" t="s">
        <v>506</v>
      </c>
      <c r="C52" s="90">
        <f>'A. Raw FS'!C18-'A. Raw FS'!C19</f>
        <v>-5.4328085950000009</v>
      </c>
      <c r="D52" s="486">
        <f>'A. Raw FS'!D18-'A. Raw FS'!D19</f>
        <v>-2.0407555170000009</v>
      </c>
      <c r="E52" s="486">
        <f>'A. Raw FS'!E18-'A. Raw FS'!E19</f>
        <v>-17.555118324000002</v>
      </c>
      <c r="F52" s="486">
        <f>'A. Raw FS'!F18-'A. Raw FS'!F19</f>
        <v>-17.071145015999996</v>
      </c>
      <c r="G52" s="486">
        <f>'A. Raw FS'!G18-'A. Raw FS'!G19</f>
        <v>-5.0960587359999998</v>
      </c>
      <c r="H52" s="486">
        <f>'A. Raw FS'!H18-'A. Raw FS'!H19</f>
        <v>-1.257339162000001</v>
      </c>
      <c r="I52" s="486">
        <f>'A. Raw FS'!I18-'A. Raw FS'!I19</f>
        <v>-6.6834686329999968</v>
      </c>
      <c r="J52" s="486">
        <f>'A. Raw FS'!J18-'A. Raw FS'!J19</f>
        <v>-3.8178750820000005</v>
      </c>
      <c r="K52" s="486">
        <f>'A. Raw FS'!K18-'A. Raw FS'!K19</f>
        <v>-6.1632440569999964</v>
      </c>
      <c r="L52" s="486">
        <f>'A. Raw FS'!L18-'A. Raw FS'!L19</f>
        <v>-10.480956164000002</v>
      </c>
      <c r="M52" s="984">
        <f>'A. Raw FS'!M18-'A. Raw FS'!M19</f>
        <v>-49.570781941999996</v>
      </c>
      <c r="N52" s="486">
        <f t="shared" ref="N52:S52" si="109">N53*N7</f>
        <v>-15.904009772824301</v>
      </c>
      <c r="O52" s="486">
        <f t="shared" si="109"/>
        <v>-11.475196475999747</v>
      </c>
      <c r="P52" s="486">
        <f t="shared" si="109"/>
        <v>-24.956289457275783</v>
      </c>
      <c r="Q52" s="486">
        <f t="shared" si="109"/>
        <v>-41.010327467146759</v>
      </c>
      <c r="R52" s="486">
        <f t="shared" si="109"/>
        <v>-45.522943353325111</v>
      </c>
      <c r="S52" s="486">
        <f t="shared" si="109"/>
        <v>-50.495711372616782</v>
      </c>
      <c r="T52" s="486"/>
      <c r="U52" s="486"/>
      <c r="V52" s="486"/>
      <c r="W52" s="486"/>
      <c r="X52" s="625"/>
      <c r="Z52" s="486"/>
      <c r="AA52" s="486">
        <f>'A. Raw FS'!AA18-'A. Raw FS'!AA19</f>
        <v>-0.17704110599999989</v>
      </c>
      <c r="AB52" s="486">
        <f>'A. Raw FS'!AB18-'A. Raw FS'!AB19</f>
        <v>-0.62928749100000037</v>
      </c>
      <c r="AC52" s="486">
        <f>'A. Raw FS'!AC18-'A. Raw FS'!AC19</f>
        <v>-5.278434321999999</v>
      </c>
      <c r="AD52" s="984">
        <f>'A. Raw FS'!AD18-'A. Raw FS'!AD19</f>
        <v>-0.61220359900000076</v>
      </c>
      <c r="AE52" s="486">
        <f>'A. Raw FS'!AE18-'A. Raw FS'!AE19</f>
        <v>-0.20996088399999913</v>
      </c>
      <c r="AF52" s="486">
        <f>'A. Raw FS'!AF18-'A. Raw FS'!AF19</f>
        <v>-2.6536392689999992</v>
      </c>
      <c r="AG52" s="486">
        <f>'A. Raw FS'!AG18-'A. Raw FS'!AG19</f>
        <v>-7.320630008000002</v>
      </c>
      <c r="AH52" s="984">
        <f>'A. Raw FS'!AH18-'A. Raw FS'!AH19</f>
        <v>5.1479642160000001</v>
      </c>
      <c r="AI52" s="486">
        <f>'A. Raw FS'!AI18-'A. Raw FS'!AI19</f>
        <v>-2.1515046899999994</v>
      </c>
      <c r="AJ52" s="486">
        <f>'A. Raw FS'!AJ18-'A. Raw FS'!AJ19</f>
        <v>-1.6733534210000007</v>
      </c>
      <c r="AK52" s="486">
        <f>'A. Raw FS'!AK18-'A. Raw FS'!AK19</f>
        <v>-5.6103776580000009</v>
      </c>
      <c r="AL52" s="984">
        <f>'A. Raw FS'!AL18-'A. Raw FS'!AL19</f>
        <v>-0.83381890800000003</v>
      </c>
      <c r="AM52" s="486">
        <f>'A. Raw FS'!AM18-'A. Raw FS'!AM19</f>
        <v>5.2214288000000053E-2</v>
      </c>
      <c r="AN52" s="486">
        <f>'A. Raw FS'!AN18-'A. Raw FS'!AN19</f>
        <v>-0.58134080600000004</v>
      </c>
      <c r="AO52" s="486">
        <f>'A. Raw FS'!AO18-'A. Raw FS'!AO19</f>
        <v>-0.20161136199999952</v>
      </c>
      <c r="AP52" s="984">
        <f>'A. Raw FS'!AP18-'A. Raw FS'!AP19</f>
        <v>-9.7502182840000007</v>
      </c>
      <c r="AQ52" s="486">
        <f>'A. Raw FS'!AQ18-'A. Raw FS'!AQ19</f>
        <v>-1.565983107000001</v>
      </c>
      <c r="AR52" s="486">
        <f>'A. Raw FS'!AR18-'A. Raw FS'!AR19</f>
        <v>-3.1618628579999992</v>
      </c>
      <c r="AS52" s="486">
        <f>'A. Raw FS'!AS18-'A. Raw FS'!AS19</f>
        <v>-8.3834939609999992</v>
      </c>
      <c r="AT52" s="984">
        <f>'A. Raw FS'!AT18-'A. Raw FS'!AT19</f>
        <v>-31.932335176000002</v>
      </c>
      <c r="AU52" s="486">
        <f>'A. Raw FS'!AU18-'A. Raw FS'!AU19</f>
        <v>-2.438274376999999</v>
      </c>
      <c r="AV52" s="486">
        <f>'A. Raw FS'!AV18-'A. Raw FS'!AV19</f>
        <v>-1.0448028590000007</v>
      </c>
      <c r="AW52" s="486">
        <f>'A. Raw FS'!AW18-'A. Raw FS'!AW19</f>
        <v>-7.759999999999998</v>
      </c>
      <c r="AX52" s="658">
        <f>AX53*AX7</f>
        <v>-4.6609325368243031</v>
      </c>
      <c r="AZ52" s="486">
        <f>SUM(AU52:AX52)</f>
        <v>-15.904009772824301</v>
      </c>
      <c r="BI52" s="1149">
        <f t="shared" ref="BI52:CB52" si="110">SUM(AA52:AD52)</f>
        <v>-6.696966518</v>
      </c>
      <c r="BJ52" s="415">
        <f t="shared" si="110"/>
        <v>-6.7298862959999992</v>
      </c>
      <c r="BK52" s="415">
        <f t="shared" si="110"/>
        <v>-8.7542380739999981</v>
      </c>
      <c r="BL52" s="415">
        <f t="shared" si="110"/>
        <v>-10.796433760000001</v>
      </c>
      <c r="BM52" s="1149">
        <f t="shared" si="110"/>
        <v>-5.0362659450000002</v>
      </c>
      <c r="BN52" s="415">
        <f t="shared" si="110"/>
        <v>-6.9778097510000006</v>
      </c>
      <c r="BO52" s="415">
        <f t="shared" si="110"/>
        <v>-5.997523903000002</v>
      </c>
      <c r="BP52" s="415">
        <f t="shared" si="110"/>
        <v>-4.287271553000001</v>
      </c>
      <c r="BQ52" s="1149">
        <f t="shared" si="110"/>
        <v>-10.269054677000002</v>
      </c>
      <c r="BR52" s="415">
        <f t="shared" si="110"/>
        <v>-8.065335699000002</v>
      </c>
      <c r="BS52" s="415">
        <f t="shared" si="110"/>
        <v>-6.9733230840000004</v>
      </c>
      <c r="BT52" s="415">
        <f t="shared" si="110"/>
        <v>-1.5645567879999995</v>
      </c>
      <c r="BU52" s="1149">
        <f t="shared" si="110"/>
        <v>-10.480956164</v>
      </c>
      <c r="BV52" s="415">
        <f t="shared" si="110"/>
        <v>-12.099153559000001</v>
      </c>
      <c r="BW52" s="415">
        <f t="shared" si="110"/>
        <v>-14.679675611</v>
      </c>
      <c r="BX52" s="415">
        <f t="shared" si="110"/>
        <v>-22.861558209999998</v>
      </c>
      <c r="BY52" s="1149">
        <f t="shared" si="110"/>
        <v>-45.043675102000002</v>
      </c>
      <c r="BZ52" s="415">
        <f t="shared" si="110"/>
        <v>-45.915966372</v>
      </c>
      <c r="CA52" s="415">
        <f t="shared" si="110"/>
        <v>-43.798906373000001</v>
      </c>
      <c r="CB52" s="415">
        <f t="shared" si="110"/>
        <v>-43.175412412</v>
      </c>
    </row>
    <row r="53" spans="1:80" s="473" customFormat="1" ht="15">
      <c r="A53" s="513" t="s">
        <v>498</v>
      </c>
      <c r="B53" s="472"/>
      <c r="C53" s="479">
        <f t="shared" ref="C53:M53" si="111">C52/C7</f>
        <v>-2.5390808556343507E-3</v>
      </c>
      <c r="D53" s="487">
        <f t="shared" si="111"/>
        <v>-6.6750946920094702E-4</v>
      </c>
      <c r="E53" s="487">
        <f t="shared" si="111"/>
        <v>-3.599894446722741E-3</v>
      </c>
      <c r="F53" s="487">
        <f t="shared" si="111"/>
        <v>-4.0613134013406538E-3</v>
      </c>
      <c r="G53" s="487">
        <f t="shared" si="111"/>
        <v>-1.3410421795270811E-3</v>
      </c>
      <c r="H53" s="487">
        <f t="shared" si="111"/>
        <v>-3.290650799013173E-4</v>
      </c>
      <c r="I53" s="487">
        <f t="shared" si="111"/>
        <v>-1.1256613458351279E-3</v>
      </c>
      <c r="J53" s="487">
        <f t="shared" si="111"/>
        <v>-4.497931458106198E-4</v>
      </c>
      <c r="K53" s="487">
        <f t="shared" si="111"/>
        <v>-4.9165779491469077E-4</v>
      </c>
      <c r="L53" s="487">
        <f t="shared" si="111"/>
        <v>-5.009343595037863E-4</v>
      </c>
      <c r="M53" s="480">
        <f t="shared" si="111"/>
        <v>-2.2503394908634988E-3</v>
      </c>
      <c r="N53" s="941">
        <f>AZ53</f>
        <v>-7.9084600993283092E-4</v>
      </c>
      <c r="O53" s="941">
        <v>-5.0000000000000001E-4</v>
      </c>
      <c r="P53" s="941">
        <f>AVERAGE(O53,Q53)</f>
        <v>-9.6000000000000002E-4</v>
      </c>
      <c r="Q53" s="941">
        <v>-1.42E-3</v>
      </c>
      <c r="R53" s="941">
        <f>Q53</f>
        <v>-1.42E-3</v>
      </c>
      <c r="S53" s="941">
        <f>R53</f>
        <v>-1.42E-3</v>
      </c>
      <c r="T53" s="626"/>
      <c r="U53" s="626"/>
      <c r="V53" s="626"/>
      <c r="W53" s="626"/>
      <c r="X53" s="627"/>
      <c r="AA53" s="487">
        <f>AA52/AA7</f>
        <v>-1.4000693627393788E-4</v>
      </c>
      <c r="AB53" s="487">
        <f t="shared" ref="AB53:AI53" si="112">AB52/AB7</f>
        <v>-4.5845763391004089E-4</v>
      </c>
      <c r="AC53" s="487">
        <f t="shared" si="112"/>
        <v>-3.0298379079802791E-3</v>
      </c>
      <c r="AD53" s="480">
        <f t="shared" si="112"/>
        <v>-3.9225709175977135E-4</v>
      </c>
      <c r="AE53" s="487">
        <f t="shared" si="112"/>
        <v>-1.5305565271507874E-4</v>
      </c>
      <c r="AF53" s="487">
        <f t="shared" si="112"/>
        <v>-1.3253920237628765E-3</v>
      </c>
      <c r="AG53" s="487">
        <f t="shared" si="112"/>
        <v>-2.7999603922983932E-3</v>
      </c>
      <c r="AH53" s="480">
        <f t="shared" si="112"/>
        <v>2.0593450800452805E-3</v>
      </c>
      <c r="AI53" s="487">
        <f t="shared" si="112"/>
        <v>-9.3109905535939698E-4</v>
      </c>
      <c r="AJ53" s="487">
        <f t="shared" ref="AJ53:AW53" si="113">AJ52/AJ7</f>
        <v>-6.4809017948599934E-4</v>
      </c>
      <c r="AK53" s="487">
        <f t="shared" si="113"/>
        <v>-1.548000294396818E-3</v>
      </c>
      <c r="AL53" s="480">
        <f t="shared" si="113"/>
        <v>-2.0756339367373556E-4</v>
      </c>
      <c r="AM53" s="487">
        <f t="shared" si="113"/>
        <v>1.0428679845153806E-5</v>
      </c>
      <c r="AN53" s="487">
        <f t="shared" si="113"/>
        <v>-1.3783881563060347E-4</v>
      </c>
      <c r="AO53" s="487">
        <f t="shared" si="113"/>
        <v>-5.270714251937996E-5</v>
      </c>
      <c r="AP53" s="480">
        <f t="shared" si="113"/>
        <v>-1.2308467349567364E-3</v>
      </c>
      <c r="AQ53" s="487">
        <f t="shared" si="113"/>
        <v>-2.2343416953462118E-4</v>
      </c>
      <c r="AR53" s="487">
        <f t="shared" si="113"/>
        <v>-6.4394242252933682E-4</v>
      </c>
      <c r="AS53" s="487">
        <f t="shared" si="113"/>
        <v>-1.3822240175599518E-3</v>
      </c>
      <c r="AT53" s="480">
        <f t="shared" si="113"/>
        <v>-7.8359199497003342E-3</v>
      </c>
      <c r="AU53" s="487">
        <f t="shared" si="113"/>
        <v>-6.1573717034230048E-4</v>
      </c>
      <c r="AV53" s="487">
        <f t="shared" si="113"/>
        <v>-2.2733830047500162E-4</v>
      </c>
      <c r="AW53" s="487">
        <f t="shared" si="113"/>
        <v>-1.4336493766581185E-3</v>
      </c>
      <c r="AX53" s="667">
        <f>AVERAGE(AU53:AW53)</f>
        <v>-7.5890828249180683E-4</v>
      </c>
      <c r="AZ53" s="487">
        <f>AZ52/AZ7</f>
        <v>-7.9084600993283092E-4</v>
      </c>
      <c r="BI53" s="1149">
        <f t="shared" ref="BI53:CA53" si="114">SUM(AA53:AD53)</f>
        <v>-4.0205595699240298E-3</v>
      </c>
      <c r="BJ53" s="415">
        <f t="shared" si="114"/>
        <v>-4.0336082863651705E-3</v>
      </c>
      <c r="BK53" s="415">
        <f t="shared" si="114"/>
        <v>-4.900542676218006E-3</v>
      </c>
      <c r="BL53" s="415">
        <f t="shared" si="114"/>
        <v>-4.67066516053612E-3</v>
      </c>
      <c r="BM53" s="1149">
        <f t="shared" si="114"/>
        <v>-2.2190629887310679E-3</v>
      </c>
      <c r="BN53" s="415">
        <f t="shared" si="114"/>
        <v>-2.9971063913753859E-3</v>
      </c>
      <c r="BO53" s="415">
        <f t="shared" si="114"/>
        <v>-2.3198045470985093E-3</v>
      </c>
      <c r="BP53" s="415">
        <f t="shared" si="114"/>
        <v>-1.0678444491969341E-3</v>
      </c>
      <c r="BQ53" s="1149">
        <f t="shared" si="114"/>
        <v>-3.3347529229159497E-3</v>
      </c>
      <c r="BR53" s="415">
        <f t="shared" si="114"/>
        <v>-2.3932251877113991E-3</v>
      </c>
      <c r="BS53" s="415">
        <f t="shared" si="114"/>
        <v>-1.8829738238560034E-3</v>
      </c>
      <c r="BT53" s="415">
        <f t="shared" si="114"/>
        <v>-3.8768067197856519E-4</v>
      </c>
      <c r="BU53" s="1149">
        <f t="shared" si="114"/>
        <v>-1.4109640132615661E-3</v>
      </c>
      <c r="BV53" s="415">
        <f t="shared" si="114"/>
        <v>-1.644826862641341E-3</v>
      </c>
      <c r="BW53" s="415">
        <f t="shared" si="114"/>
        <v>-2.150930469540074E-3</v>
      </c>
      <c r="BX53" s="415">
        <f t="shared" si="114"/>
        <v>-3.4804473445806459E-3</v>
      </c>
      <c r="BY53" s="1149">
        <f t="shared" si="114"/>
        <v>-1.0085520559324244E-2</v>
      </c>
      <c r="BZ53" s="415">
        <f t="shared" si="114"/>
        <v>-1.0477823560131924E-2</v>
      </c>
      <c r="CA53" s="415">
        <f t="shared" si="114"/>
        <v>-1.0061219438077588E-2</v>
      </c>
      <c r="CB53" s="415">
        <f>SUM(AT53:AW53)</f>
        <v>-1.0112644797175755E-2</v>
      </c>
    </row>
    <row r="54" spans="1:80" s="769" customFormat="1" ht="15">
      <c r="A54" s="763" t="s">
        <v>507</v>
      </c>
      <c r="B54" s="764"/>
      <c r="C54" s="765">
        <f>-SUM('A. Raw FS'!C368:C370)</f>
        <v>-4.9958513179999997</v>
      </c>
      <c r="D54" s="765">
        <f>-SUM('A. Raw FS'!D368:D370)</f>
        <v>-2.040755517</v>
      </c>
      <c r="E54" s="765">
        <f>-SUM('A. Raw FS'!E368:E370)</f>
        <v>-3.1634754699999998</v>
      </c>
      <c r="F54" s="765">
        <f>-SUM('A. Raw FS'!F368:F370)</f>
        <v>-10.366817004</v>
      </c>
      <c r="G54" s="765">
        <f>-SUM('A. Raw FS'!G368:G370)</f>
        <v>-4.8479818149999998</v>
      </c>
      <c r="H54" s="765">
        <f>-SUM('A. Raw FS'!H368:H370)</f>
        <v>-0.68846928900000004</v>
      </c>
      <c r="I54" s="765">
        <f>-SUM('A. Raw FS'!I368:I370)</f>
        <v>-6.2205840449999998</v>
      </c>
      <c r="J54" s="765">
        <f>-SUM('A. Raw FS'!J368:J370)</f>
        <v>-2.5314755369999999</v>
      </c>
      <c r="K54" s="765">
        <f>-SUM('A. Raw FS'!K368:K370)</f>
        <v>-5.6382743389999996</v>
      </c>
      <c r="L54" s="765">
        <f>-SUM('A. Raw FS'!L368:L370)</f>
        <v>-8.6576773639999995</v>
      </c>
      <c r="M54" s="985">
        <f>-SUM('A. Raw FS'!M368:M370)</f>
        <v>-47.936163579000002</v>
      </c>
      <c r="N54" s="766"/>
      <c r="O54" s="766"/>
      <c r="P54" s="766"/>
      <c r="Q54" s="766"/>
      <c r="R54" s="766"/>
      <c r="S54" s="766"/>
      <c r="T54" s="766"/>
      <c r="U54" s="766"/>
      <c r="V54" s="766"/>
      <c r="W54" s="766"/>
      <c r="X54" s="768"/>
      <c r="Z54" s="766"/>
      <c r="AA54" s="766">
        <f>-SUM('A. Raw FS'!AA368:AA370)</f>
        <v>-0.15047084199999999</v>
      </c>
      <c r="AB54" s="766">
        <f>-SUM('A. Raw FS'!AB368:AB370)</f>
        <v>-0.54349226900000003</v>
      </c>
      <c r="AC54" s="766">
        <f>-SUM('A. Raw FS'!AC368:AC370)</f>
        <v>-5.1290451240000001</v>
      </c>
      <c r="AD54" s="985">
        <f>-SUM('A. Raw FS'!AD368:AD370)</f>
        <v>-0.61220359899999999</v>
      </c>
      <c r="AE54" s="766">
        <f>-SUM('A. Raw FS'!AE368:AE370)</f>
        <v>-3.3559919000000001E-2</v>
      </c>
      <c r="AF54" s="766">
        <f>-SUM('A. Raw FS'!AF368:AF370)</f>
        <v>-2.3770529809999998</v>
      </c>
      <c r="AG54" s="766">
        <f>-SUM('A. Raw FS'!AG368:AG370)</f>
        <v>-7.0572557460000001</v>
      </c>
      <c r="AH54" s="985">
        <f>-SUM('A. Raw FS'!AH368:AH370)</f>
        <v>6.5827432750000003</v>
      </c>
      <c r="AI54" s="766">
        <f>-SUM('A. Raw FS'!AI368:AI370)</f>
        <v>-2.1124484360000002</v>
      </c>
      <c r="AJ54" s="766">
        <f>-SUM('A. Raw FS'!AJ368:AJ370)</f>
        <v>-1.648669706</v>
      </c>
      <c r="AK54" s="766">
        <f>-SUM('A. Raw FS'!AK368:AK370)</f>
        <v>0</v>
      </c>
      <c r="AL54" s="985">
        <f>-SUM('A. Raw FS'!AL368:AL370)</f>
        <v>0</v>
      </c>
      <c r="AM54" s="766">
        <f>-SUM('A. Raw FS'!AM368:AM370)</f>
        <v>-5.2214287999999998E-2</v>
      </c>
      <c r="AN54" s="766">
        <f>-SUM('A. Raw FS'!AN368:AN370)</f>
        <v>-9.5490164000000002E-2</v>
      </c>
      <c r="AO54" s="766">
        <f>-SUM('A. Raw FS'!AO368:AO370)</f>
        <v>-0.20161136199999999</v>
      </c>
      <c r="AP54" s="985">
        <f>-SUM('A. Raw FS'!AP368:AP370)</f>
        <v>-8.3472961740000002</v>
      </c>
      <c r="AQ54" s="766">
        <f>-SUM('A. Raw FS'!AQ368:AQ370)</f>
        <v>-1.548054139</v>
      </c>
      <c r="AR54" s="766">
        <f>-SUM('A. Raw FS'!AR368:AR370)</f>
        <v>-2.458214613</v>
      </c>
      <c r="AS54" s="766">
        <f>-SUM('A. Raw FS'!AS368:AS370)</f>
        <v>-7.4586434500000003</v>
      </c>
      <c r="AT54" s="985">
        <f>-SUM('A. Raw FS'!AT368:AT370)</f>
        <v>-36.471251377000002</v>
      </c>
      <c r="AU54" s="766">
        <f>-SUM('A. Raw FS'!AU368:AU370)</f>
        <v>-2.407390929</v>
      </c>
      <c r="AV54" s="766">
        <f>-SUM('A. Raw FS'!AV368:AV370)</f>
        <v>-0.69904853600000005</v>
      </c>
      <c r="AW54" s="766">
        <f>-SUM('A. Raw FS'!AW368:AW370)</f>
        <v>-7.34</v>
      </c>
      <c r="AX54" s="767"/>
      <c r="AZ54" s="766"/>
      <c r="BI54" s="770"/>
      <c r="BJ54" s="771"/>
      <c r="BK54" s="771"/>
      <c r="BL54" s="771"/>
      <c r="BM54" s="770"/>
      <c r="BN54" s="771"/>
      <c r="BO54" s="771"/>
      <c r="BP54" s="771"/>
      <c r="BQ54" s="770"/>
      <c r="BR54" s="771"/>
      <c r="BS54" s="771"/>
      <c r="BT54" s="771"/>
      <c r="BU54" s="770"/>
      <c r="BV54" s="771"/>
      <c r="BW54" s="771"/>
      <c r="BX54" s="771"/>
      <c r="BY54" s="770"/>
      <c r="BZ54" s="771"/>
      <c r="CA54" s="771"/>
      <c r="CB54" s="771"/>
    </row>
    <row r="55" spans="1:80" ht="15">
      <c r="A55" s="1128" t="s">
        <v>508</v>
      </c>
      <c r="C55" s="90">
        <f>'A. Raw FS'!C19</f>
        <v>-27.224105650999999</v>
      </c>
      <c r="D55" s="486">
        <f>'A. Raw FS'!D19</f>
        <v>-34.202162864999998</v>
      </c>
      <c r="E55" s="486">
        <f>'A. Raw FS'!E19</f>
        <v>-25.117089461999999</v>
      </c>
      <c r="F55" s="486">
        <f>'A. Raw FS'!F19</f>
        <v>-23.133793052000001</v>
      </c>
      <c r="G55" s="486">
        <f>'A. Raw FS'!G19</f>
        <v>-22.795497880999999</v>
      </c>
      <c r="H55" s="486">
        <f>'A. Raw FS'!H19</f>
        <v>-22.611716336000001</v>
      </c>
      <c r="I55" s="486">
        <f>'A. Raw FS'!I19</f>
        <v>-32.134890085000002</v>
      </c>
      <c r="J55" s="486">
        <f>'A. Raw FS'!J19</f>
        <v>-47.582349663999999</v>
      </c>
      <c r="K55" s="486">
        <f>'A. Raw FS'!K19</f>
        <v>-27.018043416000001</v>
      </c>
      <c r="L55" s="486">
        <f>'A. Raw FS'!L19</f>
        <v>-31.886522705000001</v>
      </c>
      <c r="M55" s="984">
        <f>'A. Raw FS'!M19</f>
        <v>-94.462125254</v>
      </c>
      <c r="N55" s="486">
        <f t="shared" ref="N55:S55" si="115">N201+N185</f>
        <v>-127.57520151683822</v>
      </c>
      <c r="O55" s="486">
        <f t="shared" si="115"/>
        <v>-126.81872144061469</v>
      </c>
      <c r="P55" s="486">
        <f t="shared" si="115"/>
        <v>-132.88358875255673</v>
      </c>
      <c r="Q55" s="486">
        <f t="shared" si="115"/>
        <v>-141.71743472210088</v>
      </c>
      <c r="R55" s="486">
        <f t="shared" si="115"/>
        <v>-151.32587480086082</v>
      </c>
      <c r="S55" s="486">
        <f t="shared" si="115"/>
        <v>-162.42310168783598</v>
      </c>
      <c r="T55" s="486"/>
      <c r="U55" s="486"/>
      <c r="V55" s="486"/>
      <c r="W55" s="486"/>
      <c r="X55" s="486"/>
      <c r="Y55" s="486"/>
      <c r="Z55" s="486"/>
      <c r="AA55" s="486">
        <f>'A. Raw FS'!AA19</f>
        <v>-7.3885506379999999</v>
      </c>
      <c r="AB55" s="486">
        <f>'A. Raw FS'!AB19</f>
        <v>-6.5825805119999998</v>
      </c>
      <c r="AC55" s="486">
        <f>'A. Raw FS'!AC19</f>
        <v>-5.7743399350000004</v>
      </c>
      <c r="AD55" s="984">
        <f>'A. Raw FS'!AD19</f>
        <v>-12.373313496</v>
      </c>
      <c r="AE55" s="486">
        <f>'A. Raw FS'!AE19</f>
        <v>-11.655150828</v>
      </c>
      <c r="AF55" s="486">
        <f>'A. Raw FS'!AF19</f>
        <v>-15.389230889</v>
      </c>
      <c r="AG55" s="486">
        <f>'A. Raw FS'!AG19</f>
        <v>-11.719631595999999</v>
      </c>
      <c r="AH55" s="984">
        <f>'A. Raw FS'!AH19</f>
        <v>-8.8274400570000005</v>
      </c>
      <c r="AI55" s="486">
        <f>'A. Raw FS'!AI19</f>
        <v>-10.48468473</v>
      </c>
      <c r="AJ55" s="486">
        <f>'A. Raw FS'!AJ19</f>
        <v>-7.7871945980000001</v>
      </c>
      <c r="AK55" s="486">
        <f>'A. Raw FS'!AK19</f>
        <v>-6.3917470549999997</v>
      </c>
      <c r="AL55" s="984">
        <f>'A. Raw FS'!AL19</f>
        <v>-2.3544170329999998</v>
      </c>
      <c r="AM55" s="486">
        <f>'A. Raw FS'!AM19</f>
        <v>-5.5325722600000002</v>
      </c>
      <c r="AN55" s="486">
        <f>'A. Raw FS'!AN19</f>
        <v>-5.9143162929999997</v>
      </c>
      <c r="AO55" s="486">
        <f>'A. Raw FS'!AO19</f>
        <v>-8.4341058950000001</v>
      </c>
      <c r="AP55" s="984">
        <f>'A. Raw FS'!AP19</f>
        <v>-12.005528257</v>
      </c>
      <c r="AQ55" s="486">
        <f>'A. Raw FS'!AQ19</f>
        <v>-13.822439606</v>
      </c>
      <c r="AR55" s="486">
        <f>'A. Raw FS'!AR19</f>
        <v>-21.826082442000001</v>
      </c>
      <c r="AS55" s="486">
        <f>'A. Raw FS'!AS19</f>
        <v>-21.773196287000001</v>
      </c>
      <c r="AT55" s="984">
        <f>'A. Raw FS'!AT19</f>
        <v>-41.567513759000001</v>
      </c>
      <c r="AU55" s="486">
        <f>'A. Raw FS'!AU19</f>
        <v>-24.134120926000001</v>
      </c>
      <c r="AV55" s="486">
        <f>'A. Raw FS'!AV19</f>
        <v>-44.523722853999999</v>
      </c>
      <c r="AW55" s="486">
        <f>'A. Raw FS'!AW19</f>
        <v>-30.68</v>
      </c>
      <c r="AX55" s="658">
        <f>AX201+AX185</f>
        <v>-28.234815588010129</v>
      </c>
      <c r="AZ55" s="486">
        <f>SUM(AU55:AX55)</f>
        <v>-127.57265936801014</v>
      </c>
      <c r="BI55" s="1149">
        <f t="shared" ref="BI55:BR56" si="116">SUM(AA55:AD55)</f>
        <v>-32.118784581</v>
      </c>
      <c r="BJ55" s="415">
        <f t="shared" si="116"/>
        <v>-36.385384771000005</v>
      </c>
      <c r="BK55" s="415">
        <f t="shared" si="116"/>
        <v>-45.192035148000002</v>
      </c>
      <c r="BL55" s="415">
        <f t="shared" si="116"/>
        <v>-51.137326809000001</v>
      </c>
      <c r="BM55" s="1149">
        <f t="shared" si="116"/>
        <v>-47.591453369999996</v>
      </c>
      <c r="BN55" s="415">
        <f t="shared" si="116"/>
        <v>-46.420987271999998</v>
      </c>
      <c r="BO55" s="415">
        <f t="shared" si="116"/>
        <v>-38.818950981</v>
      </c>
      <c r="BP55" s="415">
        <f t="shared" si="116"/>
        <v>-33.491066439999997</v>
      </c>
      <c r="BQ55" s="1149">
        <f t="shared" si="116"/>
        <v>-27.018043416000001</v>
      </c>
      <c r="BR55" s="415">
        <f t="shared" si="116"/>
        <v>-22.065930946000002</v>
      </c>
      <c r="BS55" s="415">
        <f t="shared" ref="BS55:CB56" si="117">SUM(AK55:AN55)</f>
        <v>-20.193052641000001</v>
      </c>
      <c r="BT55" s="415">
        <f t="shared" si="117"/>
        <v>-22.235411481</v>
      </c>
      <c r="BU55" s="1149">
        <f t="shared" si="117"/>
        <v>-31.886522705000004</v>
      </c>
      <c r="BV55" s="415">
        <f t="shared" si="117"/>
        <v>-40.176390050999998</v>
      </c>
      <c r="BW55" s="415">
        <f t="shared" si="117"/>
        <v>-56.0881562</v>
      </c>
      <c r="BX55" s="415">
        <f t="shared" si="117"/>
        <v>-69.427246592000003</v>
      </c>
      <c r="BY55" s="1149">
        <f t="shared" si="117"/>
        <v>-98.989232094000016</v>
      </c>
      <c r="BZ55" s="415">
        <f t="shared" si="117"/>
        <v>-109.30091341400001</v>
      </c>
      <c r="CA55" s="415">
        <f t="shared" si="117"/>
        <v>-131.99855382600001</v>
      </c>
      <c r="CB55" s="415">
        <f t="shared" si="117"/>
        <v>-140.90535753899999</v>
      </c>
    </row>
    <row r="56" spans="1:80" s="473" customFormat="1" ht="15">
      <c r="A56" s="513" t="s">
        <v>509</v>
      </c>
      <c r="B56" s="472"/>
      <c r="C56" s="479">
        <f t="shared" ref="C56:S56" si="118">C55/(AVERAGE(B121:C121)+AVERAGE(B126:C126))</f>
        <v>-9.7551082548754983E-2</v>
      </c>
      <c r="D56" s="487">
        <f t="shared" si="118"/>
        <v>-8.925889464255217E-2</v>
      </c>
      <c r="E56" s="487">
        <f t="shared" si="118"/>
        <v>-4.4896530483282633E-2</v>
      </c>
      <c r="F56" s="487">
        <f t="shared" si="118"/>
        <v>-4.2943282575118855E-2</v>
      </c>
      <c r="G56" s="487">
        <f t="shared" si="118"/>
        <v>-5.7828998737901406E-2</v>
      </c>
      <c r="H56" s="487">
        <f t="shared" si="118"/>
        <v>-4.6935962576310768E-2</v>
      </c>
      <c r="I56" s="487">
        <f t="shared" si="118"/>
        <v>-4.4085965231428284E-2</v>
      </c>
      <c r="J56" s="487">
        <f t="shared" si="118"/>
        <v>-6.530942100527902E-2</v>
      </c>
      <c r="K56" s="487">
        <f t="shared" si="118"/>
        <v>-4.3233960724000375E-2</v>
      </c>
      <c r="L56" s="487">
        <f t="shared" si="118"/>
        <v>-3.6507892283093916E-2</v>
      </c>
      <c r="M56" s="480">
        <f t="shared" si="118"/>
        <v>-6.147567977814837E-2</v>
      </c>
      <c r="N56" s="626">
        <f t="shared" si="118"/>
        <v>-6.3628977438676335E-2</v>
      </c>
      <c r="O56" s="626">
        <f t="shared" si="118"/>
        <v>-6.0070208188423978E-2</v>
      </c>
      <c r="P56" s="626">
        <f t="shared" si="118"/>
        <v>-5.7978868155779816E-2</v>
      </c>
      <c r="Q56" s="626">
        <f t="shared" si="118"/>
        <v>-5.5858554979330788E-2</v>
      </c>
      <c r="R56" s="626">
        <f t="shared" si="118"/>
        <v>-5.5112086039104016E-2</v>
      </c>
      <c r="S56" s="626">
        <f t="shared" si="118"/>
        <v>-5.5119438239458585E-2</v>
      </c>
      <c r="T56" s="626"/>
      <c r="U56" s="626"/>
      <c r="V56" s="626"/>
      <c r="W56" s="626"/>
      <c r="X56" s="627"/>
      <c r="Y56" s="615"/>
      <c r="AA56" s="487">
        <f t="shared" ref="AA56:AW56" si="119">AA55/(AVERAGE(Z121:AA121)+AVERAGE(Z126:AA126))</f>
        <v>-1.3172072608443155E-2</v>
      </c>
      <c r="AB56" s="487">
        <f t="shared" si="119"/>
        <v>-1.2395400978237124E-2</v>
      </c>
      <c r="AC56" s="487">
        <f t="shared" si="119"/>
        <v>-1.007920029845503E-2</v>
      </c>
      <c r="AD56" s="480">
        <f t="shared" si="119"/>
        <v>-1.6703737469319524E-2</v>
      </c>
      <c r="AE56" s="487">
        <f t="shared" si="119"/>
        <v>-1.415551343428539E-2</v>
      </c>
      <c r="AF56" s="487">
        <f t="shared" si="119"/>
        <v>-1.7646442926900839E-2</v>
      </c>
      <c r="AG56" s="487">
        <f t="shared" si="119"/>
        <v>-1.5334594779397132E-2</v>
      </c>
      <c r="AH56" s="480">
        <f t="shared" si="119"/>
        <v>-1.4537403189717869E-2</v>
      </c>
      <c r="AI56" s="487">
        <f t="shared" si="119"/>
        <v>-1.8537508455777542E-2</v>
      </c>
      <c r="AJ56" s="487">
        <f t="shared" si="119"/>
        <v>-1.4975435563816041E-2</v>
      </c>
      <c r="AK56" s="487">
        <f t="shared" si="119"/>
        <v>-1.2743901262729581E-2</v>
      </c>
      <c r="AL56" s="480">
        <f t="shared" si="119"/>
        <v>-4.2666148595402993E-3</v>
      </c>
      <c r="AM56" s="487">
        <f t="shared" si="119"/>
        <v>-8.4765403439586284E-3</v>
      </c>
      <c r="AN56" s="487">
        <f t="shared" si="119"/>
        <v>-9.1851362653139167E-3</v>
      </c>
      <c r="AO56" s="487">
        <f t="shared" si="119"/>
        <v>-1.0044304771625984E-2</v>
      </c>
      <c r="AP56" s="480">
        <f t="shared" si="119"/>
        <v>-1.0991101439505364E-2</v>
      </c>
      <c r="AQ56" s="487">
        <f t="shared" si="119"/>
        <v>-8.9288140645160177E-3</v>
      </c>
      <c r="AR56" s="487">
        <f t="shared" si="119"/>
        <v>-1.3546771637672655E-2</v>
      </c>
      <c r="AS56" s="487">
        <f t="shared" si="119"/>
        <v>-1.2043231263146157E-2</v>
      </c>
      <c r="AT56" s="480">
        <f t="shared" si="119"/>
        <v>-1.9207446611272307E-2</v>
      </c>
      <c r="AU56" s="487">
        <f t="shared" si="119"/>
        <v>-1.2934826890824079E-2</v>
      </c>
      <c r="AV56" s="487">
        <f t="shared" si="119"/>
        <v>-2.2795568597353186E-2</v>
      </c>
      <c r="AW56" s="487">
        <f t="shared" si="119"/>
        <v>-1.4741191723037634E-2</v>
      </c>
      <c r="AX56" s="663">
        <f>AX55/(AVERAGE(AW121:AX121)+AVERAGE(AW126:AX126))*4</f>
        <v>-5.5281285452475432E-2</v>
      </c>
      <c r="AZ56" s="487">
        <f>AZ55/(AVERAGE(AZ121,AT121)+AVERAGE(AZ126,AT126))</f>
        <v>-6.3628978940098127E-2</v>
      </c>
      <c r="BI56" s="1149">
        <f t="shared" si="116"/>
        <v>-5.2350411354454833E-2</v>
      </c>
      <c r="BJ56" s="415">
        <f t="shared" si="116"/>
        <v>-5.333385218029707E-2</v>
      </c>
      <c r="BK56" s="415">
        <f t="shared" si="116"/>
        <v>-5.8584894128960778E-2</v>
      </c>
      <c r="BL56" s="415">
        <f t="shared" si="116"/>
        <v>-6.3840288609902887E-2</v>
      </c>
      <c r="BM56" s="1149">
        <f t="shared" si="116"/>
        <v>-6.1673954330301227E-2</v>
      </c>
      <c r="BN56" s="415">
        <f t="shared" si="116"/>
        <v>-6.6055949351793375E-2</v>
      </c>
      <c r="BO56" s="415">
        <f t="shared" si="116"/>
        <v>-6.3384941988708587E-2</v>
      </c>
      <c r="BP56" s="415">
        <f t="shared" si="116"/>
        <v>-6.0794248472041033E-2</v>
      </c>
      <c r="BQ56" s="1149">
        <f t="shared" si="116"/>
        <v>-5.0523460141863465E-2</v>
      </c>
      <c r="BR56" s="415">
        <f t="shared" si="116"/>
        <v>-4.0462492030044553E-2</v>
      </c>
      <c r="BS56" s="415">
        <f t="shared" si="117"/>
        <v>-3.4672192731542428E-2</v>
      </c>
      <c r="BT56" s="415">
        <f t="shared" si="117"/>
        <v>-3.1972596240438828E-2</v>
      </c>
      <c r="BU56" s="1149">
        <f t="shared" si="117"/>
        <v>-3.8697082820403891E-2</v>
      </c>
      <c r="BV56" s="415">
        <f t="shared" si="117"/>
        <v>-3.9149356540961286E-2</v>
      </c>
      <c r="BW56" s="415">
        <f t="shared" si="117"/>
        <v>-4.3510991913320023E-2</v>
      </c>
      <c r="BX56" s="415">
        <f t="shared" si="117"/>
        <v>-4.5509918404840199E-2</v>
      </c>
      <c r="BY56" s="1149">
        <f t="shared" si="117"/>
        <v>-5.372626357660714E-2</v>
      </c>
      <c r="BZ56" s="415">
        <f t="shared" si="117"/>
        <v>-5.77322764029152E-2</v>
      </c>
      <c r="CA56" s="415">
        <f t="shared" si="117"/>
        <v>-6.6981073362595733E-2</v>
      </c>
      <c r="CB56" s="415">
        <f t="shared" si="117"/>
        <v>-6.9679033822487205E-2</v>
      </c>
    </row>
    <row r="57" spans="1:80" s="473" customFormat="1" ht="15">
      <c r="A57" s="513"/>
      <c r="B57" s="472"/>
      <c r="C57" s="479"/>
      <c r="D57" s="552"/>
      <c r="E57" s="552"/>
      <c r="F57" s="552"/>
      <c r="G57" s="552"/>
      <c r="H57" s="552"/>
      <c r="I57" s="487"/>
      <c r="J57" s="487"/>
      <c r="K57" s="487"/>
      <c r="L57" s="487"/>
      <c r="M57" s="480"/>
      <c r="X57" s="427"/>
      <c r="Y57" s="615"/>
      <c r="AD57" s="474"/>
      <c r="AH57" s="474"/>
      <c r="AL57" s="474"/>
      <c r="AP57" s="474"/>
      <c r="AT57" s="474"/>
      <c r="AX57" s="668"/>
      <c r="BI57" s="1149"/>
      <c r="BJ57" s="415"/>
      <c r="BK57" s="415"/>
      <c r="BL57" s="415"/>
      <c r="BM57" s="1149"/>
      <c r="BN57" s="415"/>
      <c r="BO57" s="415"/>
      <c r="BP57" s="415"/>
      <c r="BQ57" s="1149"/>
      <c r="BR57" s="415"/>
      <c r="BS57" s="415"/>
      <c r="BT57" s="415"/>
      <c r="BU57" s="1149"/>
      <c r="BV57" s="415"/>
      <c r="BW57" s="415"/>
      <c r="BX57" s="415"/>
      <c r="BY57" s="1149"/>
      <c r="BZ57" s="415"/>
      <c r="CA57" s="415"/>
      <c r="CB57" s="415"/>
    </row>
    <row r="58" spans="1:80" s="397" customFormat="1" ht="15">
      <c r="A58" s="511" t="s">
        <v>510</v>
      </c>
      <c r="B58" s="410"/>
      <c r="C58" s="608">
        <f t="shared" ref="C58:S58" si="120">C13+C17+C29+C43</f>
        <v>69.163160923000021</v>
      </c>
      <c r="D58" s="608">
        <f t="shared" si="120"/>
        <v>62.862878332999969</v>
      </c>
      <c r="E58" s="608">
        <f t="shared" si="120"/>
        <v>149.24065140299996</v>
      </c>
      <c r="F58" s="608">
        <f t="shared" si="120"/>
        <v>128.619916319</v>
      </c>
      <c r="G58" s="608">
        <f t="shared" si="120"/>
        <v>80.043248828000017</v>
      </c>
      <c r="H58" s="608">
        <f t="shared" si="120"/>
        <v>93.746213735999987</v>
      </c>
      <c r="I58" s="608">
        <f t="shared" si="120"/>
        <v>136.754786223</v>
      </c>
      <c r="J58" s="608">
        <f t="shared" si="120"/>
        <v>208.52438157099994</v>
      </c>
      <c r="K58" s="608">
        <f t="shared" si="120"/>
        <v>327.74175083599999</v>
      </c>
      <c r="L58" s="608">
        <f t="shared" si="120"/>
        <v>823.75290315900008</v>
      </c>
      <c r="M58" s="986">
        <f t="shared" si="120"/>
        <v>869.99143444700019</v>
      </c>
      <c r="N58" s="608">
        <f t="shared" si="120"/>
        <v>509.08651939340649</v>
      </c>
      <c r="O58" s="608">
        <f t="shared" si="120"/>
        <v>648.24812743617179</v>
      </c>
      <c r="P58" s="608">
        <f t="shared" si="120"/>
        <v>753.0897569326346</v>
      </c>
      <c r="Q58" s="608">
        <f t="shared" si="120"/>
        <v>879.47718880705668</v>
      </c>
      <c r="R58" s="608">
        <f t="shared" si="120"/>
        <v>1058.9888545901365</v>
      </c>
      <c r="S58" s="608">
        <f t="shared" si="120"/>
        <v>1268.4751319113586</v>
      </c>
      <c r="T58" s="608"/>
      <c r="U58" s="608"/>
      <c r="V58" s="608"/>
      <c r="W58" s="608"/>
      <c r="X58" s="608"/>
      <c r="Y58" s="608"/>
      <c r="Z58" s="608"/>
      <c r="AA58" s="608">
        <f>AA13+AA17+AA29+AA43</f>
        <v>23.390687124999996</v>
      </c>
      <c r="AB58" s="608">
        <f t="shared" ref="AB58:AI58" si="121">AB13+AB17+AB29+AB43</f>
        <v>29.233932309000011</v>
      </c>
      <c r="AC58" s="608">
        <f t="shared" si="121"/>
        <v>43.940287817999995</v>
      </c>
      <c r="AD58" s="986">
        <f t="shared" si="121"/>
        <v>41.119195918999992</v>
      </c>
      <c r="AE58" s="608">
        <f t="shared" si="121"/>
        <v>27.841556209000004</v>
      </c>
      <c r="AF58" s="608">
        <f t="shared" si="121"/>
        <v>44.038903240000003</v>
      </c>
      <c r="AG58" s="608">
        <f t="shared" si="121"/>
        <v>67.384899372999982</v>
      </c>
      <c r="AH58" s="986">
        <f t="shared" si="121"/>
        <v>69.439990122999987</v>
      </c>
      <c r="AI58" s="608">
        <f t="shared" si="121"/>
        <v>52.723381414000002</v>
      </c>
      <c r="AJ58" s="608">
        <f t="shared" ref="AJ58:AW58" si="122">AJ13+AJ17+AJ29+AJ43</f>
        <v>62.898941535999995</v>
      </c>
      <c r="AK58" s="608">
        <f t="shared" si="122"/>
        <v>97.659910968999981</v>
      </c>
      <c r="AL58" s="986">
        <f t="shared" si="122"/>
        <v>92.023562284999997</v>
      </c>
      <c r="AM58" s="608">
        <f t="shared" si="122"/>
        <v>136.37681082699999</v>
      </c>
      <c r="AN58" s="608">
        <f t="shared" si="122"/>
        <v>148.62077673900004</v>
      </c>
      <c r="AO58" s="608">
        <f t="shared" si="122"/>
        <v>135.97215540700003</v>
      </c>
      <c r="AP58" s="986">
        <f t="shared" si="122"/>
        <v>405.85197358099992</v>
      </c>
      <c r="AQ58" s="608">
        <f t="shared" si="122"/>
        <v>267.663284078</v>
      </c>
      <c r="AR58" s="608">
        <f t="shared" si="122"/>
        <v>174.974422049</v>
      </c>
      <c r="AS58" s="608">
        <f t="shared" si="122"/>
        <v>226.50411883499999</v>
      </c>
      <c r="AT58" s="986">
        <f t="shared" si="122"/>
        <v>200.74211208700001</v>
      </c>
      <c r="AU58" s="608">
        <f t="shared" si="122"/>
        <v>107.23486372099998</v>
      </c>
      <c r="AV58" s="608">
        <f t="shared" si="122"/>
        <v>110.576114652</v>
      </c>
      <c r="AW58" s="608">
        <f t="shared" si="122"/>
        <v>131.26999999999998</v>
      </c>
      <c r="AX58" s="659">
        <f>AX13+AX17+AX29+AX43</f>
        <v>181.1035424810357</v>
      </c>
      <c r="AZ58" s="608">
        <f>SUM(AU58:AX58)</f>
        <v>530.18452085403567</v>
      </c>
      <c r="BI58" s="467">
        <f t="shared" ref="BI58:CB58" si="123">SUM(AA58:AD58)</f>
        <v>137.684103171</v>
      </c>
      <c r="BJ58" s="417">
        <f t="shared" si="123"/>
        <v>142.13497225500001</v>
      </c>
      <c r="BK58" s="417">
        <f t="shared" si="123"/>
        <v>156.93994318599999</v>
      </c>
      <c r="BL58" s="417">
        <f t="shared" si="123"/>
        <v>180.38455474099999</v>
      </c>
      <c r="BM58" s="467">
        <f t="shared" si="123"/>
        <v>208.70534894499997</v>
      </c>
      <c r="BN58" s="417">
        <f t="shared" si="123"/>
        <v>233.58717415000001</v>
      </c>
      <c r="BO58" s="417">
        <f t="shared" si="123"/>
        <v>252.44721244599998</v>
      </c>
      <c r="BP58" s="417">
        <f t="shared" si="123"/>
        <v>282.72222404199999</v>
      </c>
      <c r="BQ58" s="467">
        <f t="shared" si="123"/>
        <v>305.30579620399999</v>
      </c>
      <c r="BR58" s="417">
        <f t="shared" si="123"/>
        <v>388.95922561699996</v>
      </c>
      <c r="BS58" s="417">
        <f t="shared" si="123"/>
        <v>474.68106081999997</v>
      </c>
      <c r="BT58" s="417">
        <f t="shared" si="123"/>
        <v>512.99330525800008</v>
      </c>
      <c r="BU58" s="467">
        <f t="shared" si="123"/>
        <v>826.82171655399998</v>
      </c>
      <c r="BV58" s="417">
        <f t="shared" si="123"/>
        <v>958.10818980499994</v>
      </c>
      <c r="BW58" s="417">
        <f t="shared" si="123"/>
        <v>984.46183511499999</v>
      </c>
      <c r="BX58" s="417">
        <f t="shared" si="123"/>
        <v>1074.9937985429997</v>
      </c>
      <c r="BY58" s="467">
        <f t="shared" si="123"/>
        <v>869.883937049</v>
      </c>
      <c r="BZ58" s="417">
        <f t="shared" si="123"/>
        <v>709.45551669199995</v>
      </c>
      <c r="CA58" s="417">
        <f t="shared" si="123"/>
        <v>645.05720929500001</v>
      </c>
      <c r="CB58" s="417">
        <f t="shared" si="123"/>
        <v>549.82309046</v>
      </c>
    </row>
    <row r="59" spans="1:80" s="473" customFormat="1" ht="15">
      <c r="A59" s="513" t="s">
        <v>511</v>
      </c>
      <c r="B59" s="472"/>
      <c r="C59" s="479">
        <f t="shared" ref="C59:S59" si="124">C58/C$7</f>
        <v>3.2324138563682853E-2</v>
      </c>
      <c r="D59" s="487">
        <f t="shared" si="124"/>
        <v>2.0561780281348863E-2</v>
      </c>
      <c r="E59" s="487">
        <f t="shared" si="124"/>
        <v>3.0603644036762568E-2</v>
      </c>
      <c r="F59" s="487">
        <f t="shared" si="124"/>
        <v>3.0599341130081132E-2</v>
      </c>
      <c r="G59" s="487">
        <f t="shared" si="124"/>
        <v>2.106360590125067E-2</v>
      </c>
      <c r="H59" s="487">
        <f t="shared" si="124"/>
        <v>2.4534832164467953E-2</v>
      </c>
      <c r="I59" s="487">
        <f t="shared" si="124"/>
        <v>2.3032886837994898E-2</v>
      </c>
      <c r="J59" s="487">
        <f t="shared" si="124"/>
        <v>2.456676437823643E-2</v>
      </c>
      <c r="K59" s="487">
        <f t="shared" si="124"/>
        <v>2.6144800534792102E-2</v>
      </c>
      <c r="L59" s="487">
        <f t="shared" si="124"/>
        <v>3.9371038908710979E-2</v>
      </c>
      <c r="M59" s="480">
        <f t="shared" si="124"/>
        <v>3.9494557175631238E-2</v>
      </c>
      <c r="N59" s="487">
        <f t="shared" si="124"/>
        <v>2.5314939334407316E-2</v>
      </c>
      <c r="O59" s="487">
        <f t="shared" si="124"/>
        <v>2.8245622146512959E-2</v>
      </c>
      <c r="P59" s="487">
        <f t="shared" si="124"/>
        <v>2.8969297214356315E-2</v>
      </c>
      <c r="Q59" s="487">
        <f t="shared" si="124"/>
        <v>3.0452271055540249E-2</v>
      </c>
      <c r="R59" s="487">
        <f t="shared" si="124"/>
        <v>3.3033105127815841E-2</v>
      </c>
      <c r="S59" s="487">
        <f t="shared" si="124"/>
        <v>3.5671042913377339E-2</v>
      </c>
      <c r="T59" s="487"/>
      <c r="U59" s="487"/>
      <c r="V59" s="487"/>
      <c r="W59" s="487"/>
      <c r="X59" s="488"/>
      <c r="Y59" s="487"/>
      <c r="Z59" s="487"/>
      <c r="AA59" s="487">
        <f>AA58/AA$7</f>
        <v>1.8497729231953034E-2</v>
      </c>
      <c r="AB59" s="487">
        <f t="shared" ref="AB59:AI59" si="125">AB58/AB$7</f>
        <v>2.129792762124114E-2</v>
      </c>
      <c r="AC59" s="487">
        <f t="shared" si="125"/>
        <v>2.5221863453649407E-2</v>
      </c>
      <c r="AD59" s="480">
        <f t="shared" si="125"/>
        <v>2.6346294325994602E-2</v>
      </c>
      <c r="AE59" s="487">
        <f t="shared" si="125"/>
        <v>2.029572116953016E-2</v>
      </c>
      <c r="AF59" s="487">
        <f t="shared" si="125"/>
        <v>2.1995759473199563E-2</v>
      </c>
      <c r="AG59" s="487">
        <f t="shared" si="125"/>
        <v>2.5773061755235305E-2</v>
      </c>
      <c r="AH59" s="480">
        <f t="shared" si="125"/>
        <v>2.7778146082240149E-2</v>
      </c>
      <c r="AI59" s="487">
        <f t="shared" si="125"/>
        <v>2.2816910815067107E-2</v>
      </c>
      <c r="AJ59" s="487">
        <f t="shared" ref="AJ59:AW59" si="126">AJ58/AJ$7</f>
        <v>2.4360775074750689E-2</v>
      </c>
      <c r="AK59" s="487">
        <f t="shared" si="126"/>
        <v>2.694605963204821E-2</v>
      </c>
      <c r="AL59" s="480">
        <f t="shared" si="126"/>
        <v>2.2907519489616775E-2</v>
      </c>
      <c r="AM59" s="487">
        <f t="shared" si="126"/>
        <v>2.7238331745860187E-2</v>
      </c>
      <c r="AN59" s="487">
        <f t="shared" si="126"/>
        <v>3.5238730246305992E-2</v>
      </c>
      <c r="AO59" s="487">
        <f t="shared" si="126"/>
        <v>3.5547122456838762E-2</v>
      </c>
      <c r="AP59" s="480">
        <f t="shared" si="126"/>
        <v>5.1233886463615236E-2</v>
      </c>
      <c r="AQ59" s="487">
        <f t="shared" si="126"/>
        <v>3.8190146065782103E-2</v>
      </c>
      <c r="AR59" s="487">
        <f t="shared" si="126"/>
        <v>3.5635148731964293E-2</v>
      </c>
      <c r="AS59" s="487">
        <f t="shared" si="126"/>
        <v>3.7344743681624333E-2</v>
      </c>
      <c r="AT59" s="480">
        <f t="shared" si="126"/>
        <v>4.9260384878765551E-2</v>
      </c>
      <c r="AU59" s="487">
        <f t="shared" si="126"/>
        <v>2.708000878508628E-2</v>
      </c>
      <c r="AV59" s="487">
        <f t="shared" si="126"/>
        <v>2.4060219362507112E-2</v>
      </c>
      <c r="AW59" s="487">
        <f t="shared" si="126"/>
        <v>2.4251952793029798E-2</v>
      </c>
      <c r="AX59" s="663">
        <f>AX58/AX$7</f>
        <v>2.9487871212808697E-2</v>
      </c>
      <c r="AZ59" s="487">
        <f>AZ58/AZ$7</f>
        <v>2.6364062826597714E-2</v>
      </c>
      <c r="BF59" s="479"/>
      <c r="BG59" s="479"/>
      <c r="BH59" s="479"/>
      <c r="BI59" s="480">
        <f t="shared" ref="BI59:CB59" si="127">BI58/BI$7</f>
        <v>2.3179117271066214E-2</v>
      </c>
      <c r="BJ59" s="479">
        <f t="shared" si="127"/>
        <v>2.350393526905456E-2</v>
      </c>
      <c r="BK59" s="479">
        <f t="shared" si="127"/>
        <v>2.3505194345841838E-2</v>
      </c>
      <c r="BL59" s="479">
        <f t="shared" si="127"/>
        <v>2.3894473304975034E-2</v>
      </c>
      <c r="BM59" s="480">
        <f t="shared" si="127"/>
        <v>2.458740612971215E-2</v>
      </c>
      <c r="BN59" s="479">
        <f t="shared" si="127"/>
        <v>2.4777939317430279E-2</v>
      </c>
      <c r="BO59" s="479">
        <f t="shared" si="127"/>
        <v>2.5226947470750383E-2</v>
      </c>
      <c r="BP59" s="479">
        <f t="shared" si="127"/>
        <v>2.5662891147505841E-2</v>
      </c>
      <c r="BQ59" s="480">
        <f t="shared" si="127"/>
        <v>2.4357932022554259E-2</v>
      </c>
      <c r="BR59" s="479">
        <f t="shared" si="127"/>
        <v>2.5538639403387353E-2</v>
      </c>
      <c r="BS59" s="479">
        <f t="shared" si="127"/>
        <v>2.8144609613352904E-2</v>
      </c>
      <c r="BT59" s="479">
        <f t="shared" si="127"/>
        <v>3.0058249649599331E-2</v>
      </c>
      <c r="BU59" s="480">
        <f t="shared" si="127"/>
        <v>3.9426879759433486E-2</v>
      </c>
      <c r="BV59" s="479">
        <f t="shared" si="127"/>
        <v>4.170598486850919E-2</v>
      </c>
      <c r="BW59" s="479">
        <f t="shared" si="127"/>
        <v>4.1598956197872038E-2</v>
      </c>
      <c r="BX59" s="479">
        <f t="shared" si="127"/>
        <v>4.149651813793237E-2</v>
      </c>
      <c r="BY59" s="480">
        <f t="shared" si="127"/>
        <v>3.9434051731232836E-2</v>
      </c>
      <c r="BZ59" s="479">
        <f t="shared" si="127"/>
        <v>3.7319268476774817E-2</v>
      </c>
      <c r="CA59" s="479">
        <f t="shared" si="127"/>
        <v>3.4502275360038762E-2</v>
      </c>
      <c r="CB59" s="479">
        <f t="shared" si="127"/>
        <v>3.0471889643853719E-2</v>
      </c>
    </row>
    <row r="60" spans="1:80" s="427" customFormat="1" ht="15">
      <c r="A60" s="512" t="s">
        <v>477</v>
      </c>
      <c r="B60" s="431"/>
      <c r="C60" s="428" t="e">
        <f t="shared" ref="C60:S60" si="128">C58/B58-1</f>
        <v>#DIV/0!</v>
      </c>
      <c r="D60" s="432">
        <f t="shared" si="128"/>
        <v>-9.1093040079735732E-2</v>
      </c>
      <c r="E60" s="432">
        <f t="shared" si="128"/>
        <v>1.3740664659425219</v>
      </c>
      <c r="F60" s="432">
        <f t="shared" si="128"/>
        <v>-0.13817103376423245</v>
      </c>
      <c r="G60" s="432">
        <f t="shared" si="128"/>
        <v>-0.37767609310615091</v>
      </c>
      <c r="H60" s="432">
        <f t="shared" si="128"/>
        <v>0.17119451182504375</v>
      </c>
      <c r="I60" s="432">
        <f t="shared" si="128"/>
        <v>0.45877663505554533</v>
      </c>
      <c r="J60" s="432">
        <f t="shared" si="128"/>
        <v>0.52480499827602678</v>
      </c>
      <c r="K60" s="432">
        <f t="shared" si="128"/>
        <v>0.5717190880357943</v>
      </c>
      <c r="L60" s="432">
        <f t="shared" si="128"/>
        <v>1.5134207071811279</v>
      </c>
      <c r="M60" s="429">
        <f t="shared" si="128"/>
        <v>5.6131554876080569E-2</v>
      </c>
      <c r="N60" s="432">
        <f t="shared" si="128"/>
        <v>-0.41483731995936102</v>
      </c>
      <c r="O60" s="432">
        <f t="shared" si="128"/>
        <v>0.27335551569619443</v>
      </c>
      <c r="P60" s="432">
        <f t="shared" si="128"/>
        <v>0.16173070936758815</v>
      </c>
      <c r="Q60" s="432">
        <f t="shared" si="128"/>
        <v>0.1678251904383925</v>
      </c>
      <c r="R60" s="432">
        <f t="shared" si="128"/>
        <v>0.20411179285567793</v>
      </c>
      <c r="S60" s="432">
        <f t="shared" si="128"/>
        <v>0.19781726352757523</v>
      </c>
      <c r="T60" s="432"/>
      <c r="U60" s="432"/>
      <c r="V60" s="432"/>
      <c r="W60" s="432"/>
      <c r="X60" s="432"/>
      <c r="Y60" s="432"/>
      <c r="Z60" s="432"/>
      <c r="AA60" s="432" t="e">
        <f t="shared" ref="AA60:AW60" si="129">AA58/Z58-1</f>
        <v>#DIV/0!</v>
      </c>
      <c r="AB60" s="432">
        <f t="shared" si="129"/>
        <v>0.24981075386001583</v>
      </c>
      <c r="AC60" s="432">
        <f t="shared" si="129"/>
        <v>0.50305772598619791</v>
      </c>
      <c r="AD60" s="429">
        <f t="shared" si="129"/>
        <v>-6.4202854352819028E-2</v>
      </c>
      <c r="AE60" s="432">
        <f t="shared" si="129"/>
        <v>-0.32290611266220737</v>
      </c>
      <c r="AF60" s="432">
        <f t="shared" si="129"/>
        <v>0.58176873840708954</v>
      </c>
      <c r="AG60" s="432">
        <f t="shared" si="129"/>
        <v>0.5301221060336283</v>
      </c>
      <c r="AH60" s="429">
        <f t="shared" si="129"/>
        <v>3.049779355793536E-2</v>
      </c>
      <c r="AI60" s="432">
        <f t="shared" si="129"/>
        <v>-0.24073460666382052</v>
      </c>
      <c r="AJ60" s="432">
        <f t="shared" si="129"/>
        <v>0.19299900440941764</v>
      </c>
      <c r="AK60" s="432">
        <f t="shared" si="129"/>
        <v>0.55264792354422476</v>
      </c>
      <c r="AL60" s="429">
        <f t="shared" si="129"/>
        <v>-5.7714046921352624E-2</v>
      </c>
      <c r="AM60" s="432">
        <f t="shared" si="129"/>
        <v>0.48197708761411029</v>
      </c>
      <c r="AN60" s="432">
        <f t="shared" si="129"/>
        <v>8.9780409424092378E-2</v>
      </c>
      <c r="AO60" s="432">
        <f t="shared" si="129"/>
        <v>-8.5106682992330485E-2</v>
      </c>
      <c r="AP60" s="429">
        <f t="shared" si="129"/>
        <v>1.9848167984553853</v>
      </c>
      <c r="AQ60" s="432">
        <f t="shared" si="129"/>
        <v>-0.3404903721021828</v>
      </c>
      <c r="AR60" s="432">
        <f t="shared" si="129"/>
        <v>-0.34628904127915228</v>
      </c>
      <c r="AS60" s="432">
        <f t="shared" si="129"/>
        <v>0.29449845401729391</v>
      </c>
      <c r="AT60" s="429">
        <f t="shared" si="129"/>
        <v>-0.11373747585917704</v>
      </c>
      <c r="AU60" s="432">
        <f t="shared" si="129"/>
        <v>-0.46580783371191559</v>
      </c>
      <c r="AV60" s="432">
        <f t="shared" si="129"/>
        <v>3.1158252223765226E-2</v>
      </c>
      <c r="AW60" s="432">
        <f t="shared" si="129"/>
        <v>0.18714607049747412</v>
      </c>
      <c r="AX60" s="664">
        <f>AX58/AT58-1</f>
        <v>-9.7829844479533579E-2</v>
      </c>
      <c r="AZ60" s="432">
        <f>AZ58/SUM(AQ58:AT58)-1</f>
        <v>-0.39051119549047297</v>
      </c>
      <c r="BF60" s="428"/>
      <c r="BG60" s="428"/>
      <c r="BH60" s="428"/>
      <c r="BI60" s="429"/>
      <c r="BJ60" s="428" t="e">
        <f t="shared" ref="BJ60:CB60" si="130">BJ58/BF58-1</f>
        <v>#DIV/0!</v>
      </c>
      <c r="BK60" s="428" t="e">
        <f t="shared" si="130"/>
        <v>#DIV/0!</v>
      </c>
      <c r="BL60" s="428" t="e">
        <f t="shared" si="130"/>
        <v>#DIV/0!</v>
      </c>
      <c r="BM60" s="429">
        <f t="shared" si="130"/>
        <v>0.51582749306790676</v>
      </c>
      <c r="BN60" s="428">
        <f t="shared" si="130"/>
        <v>0.64341801629882056</v>
      </c>
      <c r="BO60" s="428">
        <f t="shared" si="130"/>
        <v>0.60855934646801768</v>
      </c>
      <c r="BP60" s="428">
        <f t="shared" si="130"/>
        <v>0.56733055359389617</v>
      </c>
      <c r="BQ60" s="429">
        <f t="shared" si="130"/>
        <v>0.4628556371329855</v>
      </c>
      <c r="BR60" s="428">
        <f t="shared" si="130"/>
        <v>0.66515660387768749</v>
      </c>
      <c r="BS60" s="428">
        <f t="shared" si="130"/>
        <v>0.88031809193194066</v>
      </c>
      <c r="BT60" s="428">
        <f t="shared" si="130"/>
        <v>0.81447817551757806</v>
      </c>
      <c r="BU60" s="429">
        <f t="shared" si="130"/>
        <v>1.7081756286131307</v>
      </c>
      <c r="BV60" s="428">
        <f t="shared" si="130"/>
        <v>1.4632612538889336</v>
      </c>
      <c r="BW60" s="428">
        <f t="shared" si="130"/>
        <v>1.073943783251782</v>
      </c>
      <c r="BX60" s="428">
        <f t="shared" si="130"/>
        <v>1.0955318276568002</v>
      </c>
      <c r="BY60" s="429">
        <f t="shared" si="130"/>
        <v>5.2081627311959533E-2</v>
      </c>
      <c r="BZ60" s="428">
        <f t="shared" si="130"/>
        <v>-0.25952462963875433</v>
      </c>
      <c r="CA60" s="428">
        <f t="shared" si="130"/>
        <v>-0.3447615882238364</v>
      </c>
      <c r="CB60" s="428">
        <f t="shared" si="130"/>
        <v>-0.48853370949189978</v>
      </c>
    </row>
    <row r="61" spans="1:80" ht="15">
      <c r="C61" s="43"/>
      <c r="D61" s="415"/>
      <c r="E61" s="415"/>
      <c r="F61" s="415"/>
      <c r="G61" s="415"/>
      <c r="H61" s="415"/>
      <c r="I61" s="415"/>
      <c r="J61" s="415"/>
      <c r="K61" s="415"/>
      <c r="L61" s="415"/>
      <c r="M61" s="1149"/>
      <c r="BI61" s="1149"/>
      <c r="BJ61" s="415"/>
      <c r="BK61" s="415"/>
      <c r="BL61" s="415"/>
      <c r="BM61" s="1149"/>
      <c r="BN61" s="415"/>
      <c r="BO61" s="415"/>
      <c r="BP61" s="415"/>
      <c r="BQ61" s="1149"/>
      <c r="BR61" s="415"/>
      <c r="BS61" s="415"/>
      <c r="BT61" s="415"/>
      <c r="BU61" s="1149"/>
      <c r="BV61" s="415"/>
      <c r="BW61" s="415"/>
      <c r="BX61" s="415"/>
      <c r="BY61" s="1149"/>
      <c r="BZ61" s="415"/>
      <c r="CA61" s="415"/>
      <c r="CB61" s="415"/>
    </row>
    <row r="62" spans="1:80" ht="15">
      <c r="A62" s="1128" t="s">
        <v>512</v>
      </c>
      <c r="C62" s="1364">
        <f>'A. Raw FS'!C26</f>
        <v>15.929415999</v>
      </c>
      <c r="D62" s="1364">
        <f>'A. Raw FS'!D26</f>
        <v>6.1715770450000003</v>
      </c>
      <c r="E62" s="1364">
        <f>'A. Raw FS'!E26</f>
        <v>18.692345061000001</v>
      </c>
      <c r="F62" s="1364">
        <f>'A. Raw FS'!F26</f>
        <v>4.7352859900000004</v>
      </c>
      <c r="G62" s="1364">
        <f>'A. Raw FS'!G26</f>
        <v>4.2399391910000004</v>
      </c>
      <c r="H62" s="1364">
        <f>'A. Raw FS'!H26</f>
        <v>6.1217269979999998</v>
      </c>
      <c r="I62" s="1364">
        <f>'A. Raw FS'!I26</f>
        <v>2.3227133129999999</v>
      </c>
      <c r="J62" s="1364">
        <f>'A. Raw FS'!J26</f>
        <v>0.43670397</v>
      </c>
      <c r="K62" s="1364">
        <f>'A. Raw FS'!K26</f>
        <v>1.7986820059999999</v>
      </c>
      <c r="L62" s="1364">
        <f>'A. Raw FS'!L26</f>
        <v>-1.5531398709999999</v>
      </c>
      <c r="M62" s="1365">
        <f>'A. Raw FS'!M26</f>
        <v>-5.6898297739999997</v>
      </c>
      <c r="N62" s="1366">
        <f>AZ62</f>
        <v>2.8285674529999998</v>
      </c>
      <c r="O62" s="1366">
        <v>0</v>
      </c>
      <c r="P62" s="1366">
        <f t="shared" ref="P62:S63" si="131">O62</f>
        <v>0</v>
      </c>
      <c r="Q62" s="1366">
        <f t="shared" si="131"/>
        <v>0</v>
      </c>
      <c r="R62" s="1366">
        <f t="shared" si="131"/>
        <v>0</v>
      </c>
      <c r="S62" s="1366">
        <f t="shared" si="131"/>
        <v>0</v>
      </c>
      <c r="T62" s="1364"/>
      <c r="U62" s="1364"/>
      <c r="V62" s="1364"/>
      <c r="W62" s="1364"/>
      <c r="X62" s="1364"/>
      <c r="Y62" s="615"/>
      <c r="Z62" s="1364"/>
      <c r="AA62" s="1364">
        <f>'A. Raw FS'!AA26</f>
        <v>0.86110251800000004</v>
      </c>
      <c r="AB62" s="1364">
        <f>'A. Raw FS'!AB26</f>
        <v>-0.195025324</v>
      </c>
      <c r="AC62" s="1364">
        <f>'A. Raw FS'!AC26</f>
        <v>1.4086020180000001</v>
      </c>
      <c r="AD62" s="1365">
        <f>'A. Raw FS'!AD26</f>
        <v>0.24887408999999999</v>
      </c>
      <c r="AE62" s="1364">
        <f>'A. Raw FS'!AE26</f>
        <v>1.923750509</v>
      </c>
      <c r="AF62" s="1364">
        <f>'A. Raw FS'!AF26</f>
        <v>-0.370767087</v>
      </c>
      <c r="AG62" s="1364">
        <f>'A. Raw FS'!AG26</f>
        <v>-1.2241948090000001</v>
      </c>
      <c r="AH62" s="1365">
        <f>'A. Raw FS'!AH26</f>
        <v>-1.044101575</v>
      </c>
      <c r="AI62" s="1364">
        <f>'A. Raw FS'!AI26</f>
        <v>-0.11837072799999999</v>
      </c>
      <c r="AJ62" s="1364">
        <f>'A. Raw FS'!AJ26</f>
        <v>-2.5654592E-2</v>
      </c>
      <c r="AK62" s="1364">
        <f>'A. Raw FS'!AK26</f>
        <v>2.0602195810000001</v>
      </c>
      <c r="AL62" s="1365">
        <f>'A. Raw FS'!AL26</f>
        <v>-4.5523017999999998E-2</v>
      </c>
      <c r="AM62" s="1364">
        <f>'A. Raw FS'!AM26</f>
        <v>-0.35257392199999998</v>
      </c>
      <c r="AN62" s="1364">
        <f>'A. Raw FS'!AN26</f>
        <v>-0.28653599800000001</v>
      </c>
      <c r="AO62" s="1364">
        <f>'A. Raw FS'!AO26</f>
        <v>-0.223314333</v>
      </c>
      <c r="AP62" s="1365">
        <f>'A. Raw FS'!AP26</f>
        <v>-0.69071561800000003</v>
      </c>
      <c r="AQ62" s="1364">
        <f>'A. Raw FS'!AQ26</f>
        <v>-0.83657966399999995</v>
      </c>
      <c r="AR62" s="1364">
        <f>'A. Raw FS'!AR26</f>
        <v>-1.827386988</v>
      </c>
      <c r="AS62" s="1364">
        <f>'A. Raw FS'!AS26</f>
        <v>-0.52938186499999995</v>
      </c>
      <c r="AT62" s="1365">
        <f>'A. Raw FS'!AT26</f>
        <v>-2.4964812570000001</v>
      </c>
      <c r="AU62" s="1364">
        <f>'A. Raw FS'!AU26</f>
        <v>1.5509551180000001</v>
      </c>
      <c r="AV62" s="1364">
        <f>'A. Raw FS'!AV26</f>
        <v>-1.412387665</v>
      </c>
      <c r="AW62" s="1364">
        <f>'A. Raw FS'!AW26</f>
        <v>2.69</v>
      </c>
      <c r="AX62" s="1367">
        <v>0</v>
      </c>
      <c r="AZ62" s="1364">
        <f>SUM(AU62:AX62)</f>
        <v>2.8285674529999998</v>
      </c>
      <c r="BI62" s="1149">
        <f t="shared" ref="BI62:BR65" si="132">SUM(AA62:AD62)</f>
        <v>2.3235533020000005</v>
      </c>
      <c r="BJ62" s="415">
        <f t="shared" si="132"/>
        <v>3.3862012930000001</v>
      </c>
      <c r="BK62" s="415">
        <f t="shared" si="132"/>
        <v>3.2104595300000001</v>
      </c>
      <c r="BL62" s="415">
        <f t="shared" si="132"/>
        <v>0.57766270300000011</v>
      </c>
      <c r="BM62" s="1149">
        <f t="shared" si="132"/>
        <v>-0.71531296200000005</v>
      </c>
      <c r="BN62" s="415">
        <f t="shared" si="132"/>
        <v>-2.757434199</v>
      </c>
      <c r="BO62" s="415">
        <f t="shared" si="132"/>
        <v>-2.412321704</v>
      </c>
      <c r="BP62" s="415">
        <f t="shared" si="132"/>
        <v>0.87209268600000023</v>
      </c>
      <c r="BQ62" s="1149">
        <f t="shared" si="132"/>
        <v>1.8706712430000003</v>
      </c>
      <c r="BR62" s="415">
        <f t="shared" si="132"/>
        <v>1.6364680490000003</v>
      </c>
      <c r="BS62" s="415">
        <f t="shared" ref="BS62:CA65" si="133">SUM(AK62:AN62)</f>
        <v>1.3755866430000003</v>
      </c>
      <c r="BT62" s="415">
        <f t="shared" si="133"/>
        <v>-0.90794727100000006</v>
      </c>
      <c r="BU62" s="1149">
        <f t="shared" si="133"/>
        <v>-1.5531398709999999</v>
      </c>
      <c r="BV62" s="415">
        <f t="shared" si="133"/>
        <v>-2.0371456129999999</v>
      </c>
      <c r="BW62" s="415">
        <f t="shared" si="133"/>
        <v>-3.5779966029999999</v>
      </c>
      <c r="BX62" s="415">
        <f t="shared" si="133"/>
        <v>-3.8840641349999996</v>
      </c>
      <c r="BY62" s="1149">
        <f t="shared" si="133"/>
        <v>-5.6898297739999997</v>
      </c>
      <c r="BZ62" s="415">
        <f t="shared" si="133"/>
        <v>-3.3022949920000002</v>
      </c>
      <c r="CA62" s="415">
        <f t="shared" si="133"/>
        <v>-2.8872956690000002</v>
      </c>
      <c r="CB62" s="415">
        <f>SUM(AT62:AW62)</f>
        <v>0.33208619600000011</v>
      </c>
    </row>
    <row r="63" spans="1:80" ht="15">
      <c r="A63" s="1128" t="s">
        <v>513</v>
      </c>
      <c r="C63" s="1364">
        <f>'A. Raw FS'!C20+'A. Raw FS'!C27</f>
        <v>0</v>
      </c>
      <c r="D63" s="1364">
        <f>'A. Raw FS'!D20+'A. Raw FS'!D27</f>
        <v>0</v>
      </c>
      <c r="E63" s="1364">
        <f>'A. Raw FS'!E20+'A. Raw FS'!E27</f>
        <v>0</v>
      </c>
      <c r="F63" s="1364">
        <f>'A. Raw FS'!F20+'A. Raw FS'!F27</f>
        <v>0</v>
      </c>
      <c r="G63" s="1364">
        <f>'A. Raw FS'!G20+'A. Raw FS'!G27</f>
        <v>0</v>
      </c>
      <c r="H63" s="1364">
        <f>'A. Raw FS'!H20+'A. Raw FS'!H27</f>
        <v>-0.27546714</v>
      </c>
      <c r="I63" s="1364">
        <f>'A. Raw FS'!I20+'A. Raw FS'!I27</f>
        <v>0.589632991</v>
      </c>
      <c r="J63" s="1364">
        <f>'A. Raw FS'!J20+'A. Raw FS'!J27</f>
        <v>1.375472212</v>
      </c>
      <c r="K63" s="1364">
        <f>'A. Raw FS'!K20+'A. Raw FS'!K27</f>
        <v>4.1767276139999998</v>
      </c>
      <c r="L63" s="1364">
        <f>'A. Raw FS'!L20+'A. Raw FS'!L27</f>
        <v>-2.3776000800000001</v>
      </c>
      <c r="M63" s="1365">
        <f>'A. Raw FS'!M20+'A. Raw FS'!M27</f>
        <v>-1.826431065</v>
      </c>
      <c r="N63" s="1366">
        <f>AZ63</f>
        <v>0.34583193499999998</v>
      </c>
      <c r="O63" s="1366">
        <v>0</v>
      </c>
      <c r="P63" s="1366">
        <f t="shared" si="131"/>
        <v>0</v>
      </c>
      <c r="Q63" s="1366">
        <f t="shared" si="131"/>
        <v>0</v>
      </c>
      <c r="R63" s="1366">
        <f t="shared" si="131"/>
        <v>0</v>
      </c>
      <c r="S63" s="1366">
        <f t="shared" si="131"/>
        <v>0</v>
      </c>
      <c r="T63" s="1364"/>
      <c r="U63" s="1364"/>
      <c r="V63" s="1364"/>
      <c r="W63" s="1364"/>
      <c r="X63" s="1364"/>
      <c r="Y63" s="615"/>
      <c r="Z63" s="1364"/>
      <c r="AA63" s="1364">
        <f>'A. Raw FS'!AA20+'A. Raw FS'!AA27</f>
        <v>-0.286113546</v>
      </c>
      <c r="AB63" s="1364">
        <f>'A. Raw FS'!AB20+'A. Raw FS'!AB27</f>
        <v>2.7483780999999999E-2</v>
      </c>
      <c r="AC63" s="1364">
        <f>'A. Raw FS'!AC20+'A. Raw FS'!AC27</f>
        <v>0.48749712899999997</v>
      </c>
      <c r="AD63" s="1365">
        <f>'A. Raw FS'!AD20+'A. Raw FS'!AD27</f>
        <v>0.58929587400000005</v>
      </c>
      <c r="AE63" s="1364">
        <f>'A. Raw FS'!AE20+'A. Raw FS'!AE27</f>
        <v>1.3550917099999999</v>
      </c>
      <c r="AF63" s="1364">
        <f>'A. Raw FS'!AF20+'A. Raw FS'!AF27</f>
        <v>1.3538428810000001</v>
      </c>
      <c r="AG63" s="1364">
        <f>'A. Raw FS'!AG20+'A. Raw FS'!AG27</f>
        <v>1.1822775430000001</v>
      </c>
      <c r="AH63" s="1365">
        <f>'A. Raw FS'!AH20+'A. Raw FS'!AH27</f>
        <v>-1.4384484909999999</v>
      </c>
      <c r="AI63" s="1364">
        <f>'A. Raw FS'!AI20+'A. Raw FS'!AI27</f>
        <v>1.1554631310000001</v>
      </c>
      <c r="AJ63" s="1364">
        <f>'A. Raw FS'!AJ20+'A. Raw FS'!AJ27</f>
        <v>0.68291459600000004</v>
      </c>
      <c r="AK63" s="1364">
        <f>'A. Raw FS'!AK20+'A. Raw FS'!AK27</f>
        <v>1.2783104460000001</v>
      </c>
      <c r="AL63" s="1365">
        <f>'A. Raw FS'!AL20+'A. Raw FS'!AL27</f>
        <v>-0.15884557599999999</v>
      </c>
      <c r="AM63" s="1364">
        <f>'A. Raw FS'!AM20+'A. Raw FS'!AM27</f>
        <v>-0.97873006799999995</v>
      </c>
      <c r="AN63" s="1364">
        <f>'A. Raw FS'!AN20+'A. Raw FS'!AN27</f>
        <v>-1.608700945</v>
      </c>
      <c r="AO63" s="1364">
        <f>'A. Raw FS'!AO20+'A. Raw FS'!AO27</f>
        <v>-1.571251459</v>
      </c>
      <c r="AP63" s="1365">
        <f>'A. Raw FS'!AP20+'A. Raw FS'!AP27</f>
        <v>1.7810823920000001</v>
      </c>
      <c r="AQ63" s="1364">
        <f>'A. Raw FS'!AQ20+'A. Raw FS'!AQ27</f>
        <v>-1.6603711409999999</v>
      </c>
      <c r="AR63" s="1364">
        <f>'A. Raw FS'!AR20+'A. Raw FS'!AR27</f>
        <v>-0.33947455399999998</v>
      </c>
      <c r="AS63" s="1364">
        <f>'A. Raw FS'!AS20+'A. Raw FS'!AS27</f>
        <v>0.87898181099999995</v>
      </c>
      <c r="AT63" s="1365">
        <f>'A. Raw FS'!AT20+'A. Raw FS'!AT27</f>
        <v>-0.70556718100000004</v>
      </c>
      <c r="AU63" s="1364">
        <f>'A. Raw FS'!AU20+'A. Raw FS'!AU27</f>
        <v>-2.188399124</v>
      </c>
      <c r="AV63" s="1364">
        <f>'A. Raw FS'!AV20+'A. Raw FS'!AV27</f>
        <v>2.704231059</v>
      </c>
      <c r="AW63" s="1364">
        <f>'A. Raw FS'!AW20+'A. Raw FS'!AW27</f>
        <v>-0.17</v>
      </c>
      <c r="AX63" s="1367">
        <v>0</v>
      </c>
      <c r="AY63" s="43" t="s">
        <v>170</v>
      </c>
      <c r="AZ63" s="1364">
        <f>SUM(AU63:AX63)</f>
        <v>0.34583193499999998</v>
      </c>
      <c r="BI63" s="1149">
        <f t="shared" si="132"/>
        <v>0.81816323800000001</v>
      </c>
      <c r="BJ63" s="415">
        <f t="shared" si="132"/>
        <v>2.459368494</v>
      </c>
      <c r="BK63" s="415">
        <f t="shared" si="132"/>
        <v>3.7857275939999999</v>
      </c>
      <c r="BL63" s="415">
        <f t="shared" si="132"/>
        <v>4.4805080080000002</v>
      </c>
      <c r="BM63" s="1149">
        <f t="shared" si="132"/>
        <v>2.4527636430000004</v>
      </c>
      <c r="BN63" s="415">
        <f t="shared" si="132"/>
        <v>2.2531350640000003</v>
      </c>
      <c r="BO63" s="415">
        <f t="shared" si="132"/>
        <v>1.5822067790000003</v>
      </c>
      <c r="BP63" s="415">
        <f t="shared" si="132"/>
        <v>1.6782396820000003</v>
      </c>
      <c r="BQ63" s="1149">
        <f t="shared" si="132"/>
        <v>2.957842597</v>
      </c>
      <c r="BR63" s="415">
        <f t="shared" si="132"/>
        <v>0.82364939800000014</v>
      </c>
      <c r="BS63" s="415">
        <f t="shared" si="133"/>
        <v>-1.4679661429999999</v>
      </c>
      <c r="BT63" s="415">
        <f t="shared" si="133"/>
        <v>-4.3175280479999998</v>
      </c>
      <c r="BU63" s="1149">
        <f t="shared" si="133"/>
        <v>-2.3776000799999997</v>
      </c>
      <c r="BV63" s="415">
        <f t="shared" si="133"/>
        <v>-3.0592411529999994</v>
      </c>
      <c r="BW63" s="415">
        <f t="shared" si="133"/>
        <v>-1.7900147619999998</v>
      </c>
      <c r="BX63" s="415">
        <f t="shared" si="133"/>
        <v>0.66021850800000004</v>
      </c>
      <c r="BY63" s="1149">
        <f t="shared" si="133"/>
        <v>-1.826431065</v>
      </c>
      <c r="BZ63" s="415">
        <f t="shared" si="133"/>
        <v>-2.3544590480000003</v>
      </c>
      <c r="CA63" s="415">
        <f t="shared" si="133"/>
        <v>0.68924656499999992</v>
      </c>
      <c r="CB63" s="415">
        <f>SUM(AT63:AW63)</f>
        <v>-0.35973524600000018</v>
      </c>
    </row>
    <row r="64" spans="1:80" ht="15">
      <c r="C64" s="1364"/>
      <c r="D64" s="1364"/>
      <c r="E64" s="1364"/>
      <c r="F64" s="1364"/>
      <c r="G64" s="1364"/>
      <c r="H64" s="1364"/>
      <c r="I64" s="1364"/>
      <c r="J64" s="1364"/>
      <c r="K64" s="1364"/>
      <c r="L64" s="1364"/>
      <c r="M64" s="1365"/>
      <c r="N64" s="1364"/>
      <c r="O64" s="1364"/>
      <c r="P64" s="1364"/>
      <c r="Q64" s="1364"/>
      <c r="R64" s="1364"/>
      <c r="S64" s="1364"/>
      <c r="T64" s="1364"/>
      <c r="U64" s="1364"/>
      <c r="V64" s="1364"/>
      <c r="W64" s="1364"/>
      <c r="X64" s="1364"/>
      <c r="Y64" s="615"/>
      <c r="Z64" s="1364"/>
      <c r="AA64" s="1364"/>
      <c r="AB64" s="1364"/>
      <c r="AC64" s="1364"/>
      <c r="AD64" s="1365"/>
      <c r="AE64" s="1364"/>
      <c r="AF64" s="1364"/>
      <c r="AG64" s="1364"/>
      <c r="AH64" s="1365"/>
      <c r="AI64" s="1364"/>
      <c r="AJ64" s="1364"/>
      <c r="AK64" s="1364"/>
      <c r="AL64" s="1365"/>
      <c r="AM64" s="1364"/>
      <c r="AN64" s="1364"/>
      <c r="AO64" s="1364"/>
      <c r="AP64" s="1365"/>
      <c r="AQ64" s="1364"/>
      <c r="AR64" s="1364"/>
      <c r="AS64" s="1364"/>
      <c r="AT64" s="1365"/>
      <c r="AU64" s="1364"/>
      <c r="AV64" s="1364"/>
      <c r="AW64" s="1364"/>
      <c r="AX64" s="1368"/>
      <c r="AY64" s="1364"/>
      <c r="AZ64" s="1364"/>
      <c r="BA64" s="1364"/>
      <c r="BI64" s="415"/>
      <c r="BJ64" s="415"/>
      <c r="BK64" s="415"/>
      <c r="BL64" s="415"/>
      <c r="BM64" s="415"/>
      <c r="BN64" s="415"/>
      <c r="BO64" s="415"/>
      <c r="BP64" s="415"/>
      <c r="BQ64" s="415"/>
      <c r="BR64" s="415"/>
      <c r="BS64" s="415"/>
      <c r="BT64" s="415"/>
      <c r="BU64" s="415"/>
      <c r="BV64" s="415"/>
      <c r="BW64" s="415"/>
      <c r="BX64" s="415"/>
      <c r="BY64" s="415"/>
      <c r="BZ64" s="415"/>
      <c r="CA64" s="415"/>
      <c r="CB64" s="415"/>
    </row>
    <row r="65" spans="1:82" s="397" customFormat="1" ht="15">
      <c r="A65" s="511" t="s">
        <v>514</v>
      </c>
      <c r="B65" s="410"/>
      <c r="C65" s="417">
        <f t="shared" ref="C65:S65" si="134">C32+C43+C62+C63</f>
        <v>85.092576922000021</v>
      </c>
      <c r="D65" s="417">
        <f t="shared" si="134"/>
        <v>69.034455377999976</v>
      </c>
      <c r="E65" s="417">
        <f t="shared" si="134"/>
        <v>167.93299646399996</v>
      </c>
      <c r="F65" s="417">
        <f t="shared" si="134"/>
        <v>133.35520230899999</v>
      </c>
      <c r="G65" s="417">
        <f t="shared" si="134"/>
        <v>84.283188019000022</v>
      </c>
      <c r="H65" s="417">
        <f t="shared" si="134"/>
        <v>99.592473593999983</v>
      </c>
      <c r="I65" s="417">
        <f t="shared" si="134"/>
        <v>139.66713252700001</v>
      </c>
      <c r="J65" s="417">
        <f t="shared" si="134"/>
        <v>210.33655775299994</v>
      </c>
      <c r="K65" s="417">
        <f t="shared" si="134"/>
        <v>333.71716045599999</v>
      </c>
      <c r="L65" s="417">
        <f t="shared" si="134"/>
        <v>819.82216320800012</v>
      </c>
      <c r="M65" s="467">
        <f>M32+M43+M62+M63</f>
        <v>862.4751736080002</v>
      </c>
      <c r="N65" s="417">
        <f t="shared" si="134"/>
        <v>512.26091878140653</v>
      </c>
      <c r="O65" s="417">
        <f t="shared" si="134"/>
        <v>648.24812743617179</v>
      </c>
      <c r="P65" s="417">
        <f t="shared" si="134"/>
        <v>753.0897569326346</v>
      </c>
      <c r="Q65" s="417">
        <f t="shared" si="134"/>
        <v>879.47718880705668</v>
      </c>
      <c r="R65" s="417">
        <f t="shared" si="134"/>
        <v>1058.9888545901365</v>
      </c>
      <c r="S65" s="417">
        <f t="shared" si="134"/>
        <v>1268.4751319113586</v>
      </c>
      <c r="T65" s="417"/>
      <c r="U65" s="417"/>
      <c r="V65" s="417"/>
      <c r="W65" s="417"/>
      <c r="X65" s="417"/>
      <c r="Y65" s="417"/>
      <c r="Z65" s="417"/>
      <c r="AA65" s="417">
        <f>AA32+AA43+AA62+AA63</f>
        <v>23.965676096999996</v>
      </c>
      <c r="AB65" s="417">
        <f t="shared" ref="AB65:AI65" si="135">AB32+AB43+AB62+AB63</f>
        <v>29.066390766000012</v>
      </c>
      <c r="AC65" s="417">
        <f t="shared" si="135"/>
        <v>45.836386964999996</v>
      </c>
      <c r="AD65" s="467">
        <f t="shared" si="135"/>
        <v>41.957365882999994</v>
      </c>
      <c r="AE65" s="417">
        <f t="shared" si="135"/>
        <v>31.120398428000005</v>
      </c>
      <c r="AF65" s="417">
        <f t="shared" si="135"/>
        <v>45.021979034000005</v>
      </c>
      <c r="AG65" s="417">
        <f t="shared" si="135"/>
        <v>67.342982106999983</v>
      </c>
      <c r="AH65" s="467">
        <f t="shared" si="135"/>
        <v>66.957440056999985</v>
      </c>
      <c r="AI65" s="417">
        <f t="shared" si="135"/>
        <v>53.760473816999998</v>
      </c>
      <c r="AJ65" s="417">
        <f t="shared" ref="AJ65:AW65" si="136">AJ32+AJ43+AJ62+AJ63</f>
        <v>63.556201539999996</v>
      </c>
      <c r="AK65" s="417">
        <f t="shared" si="136"/>
        <v>100.99844099599999</v>
      </c>
      <c r="AL65" s="467">
        <f t="shared" si="136"/>
        <v>91.819193690999995</v>
      </c>
      <c r="AM65" s="417">
        <f t="shared" si="136"/>
        <v>135.04550683699998</v>
      </c>
      <c r="AN65" s="417">
        <f t="shared" si="136"/>
        <v>146.72553979600002</v>
      </c>
      <c r="AO65" s="417">
        <f t="shared" si="136"/>
        <v>134.17758961500004</v>
      </c>
      <c r="AP65" s="467">
        <f t="shared" si="136"/>
        <v>406.94234035499989</v>
      </c>
      <c r="AQ65" s="417">
        <f t="shared" si="136"/>
        <v>265.16633327300002</v>
      </c>
      <c r="AR65" s="417">
        <f t="shared" si="136"/>
        <v>172.80756050700001</v>
      </c>
      <c r="AS65" s="417">
        <f t="shared" si="136"/>
        <v>226.85371878099997</v>
      </c>
      <c r="AT65" s="467">
        <f t="shared" si="136"/>
        <v>197.54006364900002</v>
      </c>
      <c r="AU65" s="417">
        <f t="shared" si="136"/>
        <v>106.59741971499999</v>
      </c>
      <c r="AV65" s="417">
        <f t="shared" si="136"/>
        <v>111.867958046</v>
      </c>
      <c r="AW65" s="417">
        <f t="shared" si="136"/>
        <v>133.79</v>
      </c>
      <c r="AX65" s="666">
        <f>AX58+AX62+AX63</f>
        <v>181.1035424810357</v>
      </c>
      <c r="AZ65" s="417">
        <f>SUM(AU65:AX65)</f>
        <v>533.35892024203565</v>
      </c>
      <c r="BI65" s="467">
        <f t="shared" si="132"/>
        <v>140.82581971100001</v>
      </c>
      <c r="BJ65" s="417">
        <f t="shared" si="132"/>
        <v>147.98054204200002</v>
      </c>
      <c r="BK65" s="417">
        <f t="shared" si="132"/>
        <v>163.93613031000001</v>
      </c>
      <c r="BL65" s="417">
        <f t="shared" si="132"/>
        <v>185.44272545199999</v>
      </c>
      <c r="BM65" s="467">
        <f t="shared" si="132"/>
        <v>210.44279962599998</v>
      </c>
      <c r="BN65" s="417">
        <f t="shared" si="132"/>
        <v>233.08287501499996</v>
      </c>
      <c r="BO65" s="417">
        <f t="shared" si="132"/>
        <v>251.61709752099995</v>
      </c>
      <c r="BP65" s="417">
        <f t="shared" si="132"/>
        <v>285.27255640999994</v>
      </c>
      <c r="BQ65" s="467">
        <f t="shared" si="132"/>
        <v>310.13431004399996</v>
      </c>
      <c r="BR65" s="417">
        <f t="shared" si="132"/>
        <v>391.41934306399992</v>
      </c>
      <c r="BS65" s="417">
        <f t="shared" si="133"/>
        <v>474.58868131999998</v>
      </c>
      <c r="BT65" s="417">
        <f t="shared" si="133"/>
        <v>507.76782993900002</v>
      </c>
      <c r="BU65" s="467">
        <f t="shared" si="133"/>
        <v>822.8909766029999</v>
      </c>
      <c r="BV65" s="417">
        <f t="shared" si="133"/>
        <v>953.01180303899991</v>
      </c>
      <c r="BW65" s="417">
        <f t="shared" si="133"/>
        <v>979.09382374999996</v>
      </c>
      <c r="BX65" s="417">
        <f t="shared" si="133"/>
        <v>1071.769952916</v>
      </c>
      <c r="BY65" s="467">
        <f t="shared" si="133"/>
        <v>862.36767621000001</v>
      </c>
      <c r="BZ65" s="417">
        <f t="shared" si="133"/>
        <v>703.79876265199994</v>
      </c>
      <c r="CA65" s="417">
        <f t="shared" si="133"/>
        <v>642.859160191</v>
      </c>
      <c r="CB65" s="417">
        <f>SUM(AT65:AW65)</f>
        <v>549.79544140999997</v>
      </c>
    </row>
    <row r="66" spans="1:82" s="473" customFormat="1" ht="15">
      <c r="A66" s="513" t="s">
        <v>515</v>
      </c>
      <c r="B66" s="472"/>
      <c r="C66" s="479">
        <f t="shared" ref="C66:H66" si="137">C65/C$7</f>
        <v>3.9768920483981007E-2</v>
      </c>
      <c r="D66" s="487">
        <f t="shared" si="137"/>
        <v>2.2580437628161615E-2</v>
      </c>
      <c r="E66" s="487">
        <f t="shared" si="137"/>
        <v>3.4436740911383164E-2</v>
      </c>
      <c r="F66" s="487">
        <f t="shared" si="137"/>
        <v>3.1725890077579547E-2</v>
      </c>
      <c r="G66" s="487">
        <f t="shared" si="137"/>
        <v>2.2179357816273521E-2</v>
      </c>
      <c r="H66" s="487">
        <f t="shared" si="137"/>
        <v>2.6064888672241493E-2</v>
      </c>
      <c r="I66" s="487">
        <f t="shared" ref="I66:S66" si="138">I65/I$7</f>
        <v>2.3523397954320298E-2</v>
      </c>
      <c r="J66" s="487">
        <f t="shared" si="138"/>
        <v>2.4780261260182044E-2</v>
      </c>
      <c r="K66" s="487">
        <f t="shared" si="138"/>
        <v>2.6621474294635267E-2</v>
      </c>
      <c r="L66" s="487">
        <f t="shared" si="138"/>
        <v>3.9183170295492897E-2</v>
      </c>
      <c r="M66" s="480">
        <f t="shared" si="138"/>
        <v>3.9153345318020789E-2</v>
      </c>
      <c r="N66" s="487">
        <f t="shared" si="138"/>
        <v>2.5472790161072598E-2</v>
      </c>
      <c r="O66" s="487">
        <f t="shared" si="138"/>
        <v>2.8245622146512959E-2</v>
      </c>
      <c r="P66" s="487">
        <f t="shared" si="138"/>
        <v>2.8969297214356315E-2</v>
      </c>
      <c r="Q66" s="487">
        <f t="shared" si="138"/>
        <v>3.0452271055540249E-2</v>
      </c>
      <c r="R66" s="487">
        <f t="shared" si="138"/>
        <v>3.3033105127815841E-2</v>
      </c>
      <c r="S66" s="487">
        <f t="shared" si="138"/>
        <v>3.5671042913377339E-2</v>
      </c>
      <c r="T66" s="487"/>
      <c r="U66" s="487"/>
      <c r="V66" s="487"/>
      <c r="W66" s="487"/>
      <c r="X66" s="488"/>
      <c r="Y66" s="487"/>
      <c r="Z66" s="487"/>
      <c r="AA66" s="487">
        <f>AA65/AA$7</f>
        <v>1.8952439701063077E-2</v>
      </c>
      <c r="AB66" s="487">
        <f t="shared" ref="AB66:AI66" si="139">AB65/AB$7</f>
        <v>2.1175867830630402E-2</v>
      </c>
      <c r="AC66" s="487">
        <f t="shared" si="139"/>
        <v>2.631023032958563E-2</v>
      </c>
      <c r="AD66" s="480">
        <f t="shared" si="139"/>
        <v>2.6883334802424459E-2</v>
      </c>
      <c r="AE66" s="487">
        <f t="shared" si="139"/>
        <v>2.2685906076442653E-2</v>
      </c>
      <c r="AF66" s="487">
        <f t="shared" si="139"/>
        <v>2.2486768492904406E-2</v>
      </c>
      <c r="AG66" s="487">
        <f t="shared" si="139"/>
        <v>2.5757029435008062E-2</v>
      </c>
      <c r="AH66" s="480">
        <f t="shared" si="139"/>
        <v>2.6785049189978614E-2</v>
      </c>
      <c r="AI66" s="487">
        <f t="shared" si="139"/>
        <v>2.3265729616737348E-2</v>
      </c>
      <c r="AJ66" s="487">
        <f t="shared" ref="AJ66:AW66" si="140">AJ65/AJ$7</f>
        <v>2.4615332031228405E-2</v>
      </c>
      <c r="AK66" s="487">
        <f t="shared" si="140"/>
        <v>2.7867217846287026E-2</v>
      </c>
      <c r="AL66" s="480">
        <f t="shared" si="140"/>
        <v>2.2856645806465698E-2</v>
      </c>
      <c r="AM66" s="487">
        <f t="shared" si="140"/>
        <v>2.6972432437067814E-2</v>
      </c>
      <c r="AN66" s="487">
        <f t="shared" si="140"/>
        <v>3.4789360078469389E-2</v>
      </c>
      <c r="AO66" s="487">
        <f t="shared" si="140"/>
        <v>3.507797015301499E-2</v>
      </c>
      <c r="AP66" s="480">
        <f t="shared" si="140"/>
        <v>5.1371532036728763E-2</v>
      </c>
      <c r="AQ66" s="487">
        <f t="shared" si="140"/>
        <v>3.7833881603547406E-2</v>
      </c>
      <c r="AR66" s="487">
        <f t="shared" si="140"/>
        <v>3.519384746960539E-2</v>
      </c>
      <c r="AS66" s="487">
        <f t="shared" si="140"/>
        <v>3.7402383783012465E-2</v>
      </c>
      <c r="AT66" s="480">
        <f t="shared" si="140"/>
        <v>4.8474629778271397E-2</v>
      </c>
      <c r="AU66" s="487">
        <f t="shared" si="140"/>
        <v>2.6919035117721975E-2</v>
      </c>
      <c r="AV66" s="487">
        <f t="shared" si="140"/>
        <v>2.4341311129381593E-2</v>
      </c>
      <c r="AW66" s="487">
        <f t="shared" si="140"/>
        <v>2.4717519343181664E-2</v>
      </c>
      <c r="AX66" s="663">
        <f>AX65/AX$7</f>
        <v>2.9487871212808697E-2</v>
      </c>
      <c r="AZ66" s="487">
        <f>AZ65/AZ$7</f>
        <v>2.6521913653262993E-2</v>
      </c>
      <c r="BF66" s="479"/>
      <c r="BG66" s="479"/>
      <c r="BH66" s="479"/>
      <c r="BI66" s="480">
        <f t="shared" ref="BI66:CA66" si="141">BI65/BI$7</f>
        <v>2.3708025216398618E-2</v>
      </c>
      <c r="BJ66" s="479">
        <f t="shared" si="141"/>
        <v>2.4470579098540068E-2</v>
      </c>
      <c r="BK66" s="479">
        <f t="shared" si="141"/>
        <v>2.4553026622897014E-2</v>
      </c>
      <c r="BL66" s="479">
        <f t="shared" si="141"/>
        <v>2.4564499212678347E-2</v>
      </c>
      <c r="BM66" s="480">
        <f t="shared" si="141"/>
        <v>2.4792093770637683E-2</v>
      </c>
      <c r="BN66" s="479">
        <f t="shared" si="141"/>
        <v>2.4724445398466903E-2</v>
      </c>
      <c r="BO66" s="479">
        <f t="shared" si="141"/>
        <v>2.5143994423240931E-2</v>
      </c>
      <c r="BP66" s="479">
        <f t="shared" si="141"/>
        <v>2.5894386574410167E-2</v>
      </c>
      <c r="BQ66" s="480">
        <f t="shared" si="141"/>
        <v>2.4743160908959335E-2</v>
      </c>
      <c r="BR66" s="479">
        <f t="shared" si="141"/>
        <v>2.5700168037318713E-2</v>
      </c>
      <c r="BS66" s="479">
        <f t="shared" si="141"/>
        <v>2.8139132283039187E-2</v>
      </c>
      <c r="BT66" s="479">
        <f t="shared" si="141"/>
        <v>2.975206896445895E-2</v>
      </c>
      <c r="BU66" s="480">
        <f t="shared" si="141"/>
        <v>3.9239442965852897E-2</v>
      </c>
      <c r="BV66" s="479">
        <f t="shared" si="141"/>
        <v>4.1484141624073372E-2</v>
      </c>
      <c r="BW66" s="479">
        <f t="shared" si="141"/>
        <v>4.137212803483184E-2</v>
      </c>
      <c r="BX66" s="479">
        <f t="shared" si="141"/>
        <v>4.1372072426044536E-2</v>
      </c>
      <c r="BY66" s="480">
        <f t="shared" si="141"/>
        <v>3.9093320507069686E-2</v>
      </c>
      <c r="BZ66" s="479">
        <f t="shared" si="141"/>
        <v>3.7021707998691332E-2</v>
      </c>
      <c r="CA66" s="479">
        <f t="shared" si="141"/>
        <v>3.438470796547545E-2</v>
      </c>
      <c r="CB66" s="479">
        <f>CB65/CB$7</f>
        <v>3.0470357298604898E-2</v>
      </c>
    </row>
    <row r="67" spans="1:82" s="427" customFormat="1" ht="15">
      <c r="A67" s="512" t="s">
        <v>477</v>
      </c>
      <c r="B67" s="431"/>
      <c r="C67" s="428" t="e">
        <f t="shared" ref="C67:S67" si="142">C65/B65-1</f>
        <v>#DIV/0!</v>
      </c>
      <c r="D67" s="428">
        <f t="shared" si="142"/>
        <v>-0.18871354147283259</v>
      </c>
      <c r="E67" s="428">
        <f t="shared" si="142"/>
        <v>1.4325968176974588</v>
      </c>
      <c r="F67" s="428">
        <f t="shared" si="142"/>
        <v>-0.20590232344488923</v>
      </c>
      <c r="G67" s="428">
        <f t="shared" si="142"/>
        <v>-0.36797975212316225</v>
      </c>
      <c r="H67" s="428">
        <f t="shared" si="142"/>
        <v>0.18164103583206637</v>
      </c>
      <c r="I67" s="428">
        <f t="shared" si="142"/>
        <v>0.4023864202466636</v>
      </c>
      <c r="J67" s="428">
        <f t="shared" si="142"/>
        <v>0.5059846504140002</v>
      </c>
      <c r="K67" s="428">
        <f t="shared" si="142"/>
        <v>0.58658658305080258</v>
      </c>
      <c r="L67" s="428">
        <f t="shared" si="142"/>
        <v>1.4566377170648743</v>
      </c>
      <c r="M67" s="429">
        <f t="shared" si="142"/>
        <v>5.2027149684630292E-2</v>
      </c>
      <c r="N67" s="428">
        <f t="shared" si="142"/>
        <v>-0.40605720088328945</v>
      </c>
      <c r="O67" s="428">
        <f t="shared" si="142"/>
        <v>0.26546473421837224</v>
      </c>
      <c r="P67" s="428">
        <f t="shared" si="142"/>
        <v>0.16173070936758815</v>
      </c>
      <c r="Q67" s="428">
        <f t="shared" si="142"/>
        <v>0.1678251904383925</v>
      </c>
      <c r="R67" s="428">
        <f t="shared" si="142"/>
        <v>0.20411179285567793</v>
      </c>
      <c r="S67" s="428">
        <f t="shared" si="142"/>
        <v>0.19781726352757523</v>
      </c>
      <c r="T67" s="428"/>
      <c r="U67" s="428"/>
      <c r="V67" s="428"/>
      <c r="W67" s="428"/>
      <c r="Y67" s="787"/>
      <c r="Z67" s="428"/>
      <c r="AA67" s="428" t="e">
        <f>AA65/Z65-1</f>
        <v>#DIV/0!</v>
      </c>
      <c r="AB67" s="428">
        <f t="shared" ref="AB67:AI67" si="143">AB65/AA65-1</f>
        <v>0.21283416534359811</v>
      </c>
      <c r="AC67" s="428">
        <f t="shared" si="143"/>
        <v>0.57695488696919472</v>
      </c>
      <c r="AD67" s="429">
        <f t="shared" si="143"/>
        <v>-8.4627548959344545E-2</v>
      </c>
      <c r="AE67" s="428">
        <f t="shared" si="143"/>
        <v>-0.25828521945870864</v>
      </c>
      <c r="AF67" s="428">
        <f t="shared" si="143"/>
        <v>0.44670316924645515</v>
      </c>
      <c r="AG67" s="428">
        <f t="shared" si="143"/>
        <v>0.49578014009876048</v>
      </c>
      <c r="AH67" s="429">
        <f t="shared" si="143"/>
        <v>-5.7250516377106431E-3</v>
      </c>
      <c r="AI67" s="428">
        <f t="shared" si="143"/>
        <v>-0.19709484455746196</v>
      </c>
      <c r="AJ67" s="428">
        <f t="shared" ref="AJ67:AW67" si="144">AJ65/AI65-1</f>
        <v>0.18221059130439476</v>
      </c>
      <c r="AK67" s="428">
        <f t="shared" si="144"/>
        <v>0.58912015741587687</v>
      </c>
      <c r="AL67" s="429">
        <f t="shared" si="144"/>
        <v>-9.0885039555843594E-2</v>
      </c>
      <c r="AM67" s="428">
        <f t="shared" si="144"/>
        <v>0.47077644017948916</v>
      </c>
      <c r="AN67" s="428">
        <f t="shared" si="144"/>
        <v>8.6489608077800373E-2</v>
      </c>
      <c r="AO67" s="428">
        <f t="shared" si="144"/>
        <v>-8.551987744223688E-2</v>
      </c>
      <c r="AP67" s="429">
        <f t="shared" si="144"/>
        <v>2.0328636959618387</v>
      </c>
      <c r="AQ67" s="428">
        <f t="shared" si="144"/>
        <v>-0.34839335459249643</v>
      </c>
      <c r="AR67" s="428">
        <f t="shared" si="144"/>
        <v>-0.34830504923455996</v>
      </c>
      <c r="AS67" s="428">
        <f t="shared" si="144"/>
        <v>0.31275343576076176</v>
      </c>
      <c r="AT67" s="429">
        <f t="shared" si="144"/>
        <v>-0.12921831429309194</v>
      </c>
      <c r="AU67" s="428">
        <f t="shared" si="144"/>
        <v>-0.46037569419635249</v>
      </c>
      <c r="AV67" s="428">
        <f t="shared" si="144"/>
        <v>4.944339501923567E-2</v>
      </c>
      <c r="AW67" s="428">
        <f t="shared" si="144"/>
        <v>0.19596354789085968</v>
      </c>
      <c r="AX67" s="669">
        <f>AX65/AT65-1</f>
        <v>-8.3206013323806727E-2</v>
      </c>
      <c r="AZ67" s="428">
        <f>AZ65/SUM(AQ65:AT65)-1</f>
        <v>-0.38151795926989918</v>
      </c>
      <c r="BF67" s="428"/>
      <c r="BG67" s="428"/>
      <c r="BH67" s="428"/>
      <c r="BI67" s="429"/>
      <c r="BJ67" s="428" t="e">
        <f t="shared" ref="BJ67:CB67" si="145">BJ65/BF65-1</f>
        <v>#DIV/0!</v>
      </c>
      <c r="BK67" s="428" t="e">
        <f t="shared" si="145"/>
        <v>#DIV/0!</v>
      </c>
      <c r="BL67" s="428" t="e">
        <f t="shared" si="145"/>
        <v>#DIV/0!</v>
      </c>
      <c r="BM67" s="429">
        <f t="shared" si="145"/>
        <v>0.49434812492387104</v>
      </c>
      <c r="BN67" s="428">
        <f t="shared" si="145"/>
        <v>0.57509137214030526</v>
      </c>
      <c r="BO67" s="428">
        <f t="shared" si="145"/>
        <v>0.53484834029690065</v>
      </c>
      <c r="BP67" s="428">
        <f t="shared" si="145"/>
        <v>0.53833241888930239</v>
      </c>
      <c r="BQ67" s="429">
        <f t="shared" si="145"/>
        <v>0.47372260108291764</v>
      </c>
      <c r="BR67" s="428">
        <f t="shared" si="145"/>
        <v>0.67931403385516975</v>
      </c>
      <c r="BS67" s="428">
        <f t="shared" si="145"/>
        <v>0.88615434322936193</v>
      </c>
      <c r="BT67" s="428">
        <f t="shared" si="145"/>
        <v>0.77993928448281946</v>
      </c>
      <c r="BU67" s="429">
        <f t="shared" si="145"/>
        <v>1.653337441079167</v>
      </c>
      <c r="BV67" s="428">
        <f t="shared" si="145"/>
        <v>1.4347590887535047</v>
      </c>
      <c r="BW67" s="428">
        <f t="shared" si="145"/>
        <v>1.0630366089363776</v>
      </c>
      <c r="BX67" s="428">
        <f t="shared" si="145"/>
        <v>1.1107480421608349</v>
      </c>
      <c r="BY67" s="483">
        <f t="shared" si="145"/>
        <v>4.7973183239856443E-2</v>
      </c>
      <c r="BZ67" s="428">
        <f t="shared" si="145"/>
        <v>-0.26150047627143758</v>
      </c>
      <c r="CA67" s="484">
        <f t="shared" si="145"/>
        <v>-0.34341414009864446</v>
      </c>
      <c r="CB67" s="484">
        <f t="shared" si="145"/>
        <v>-0.48702103477135805</v>
      </c>
    </row>
    <row r="68" spans="1:82" ht="15">
      <c r="C68" s="1131">
        <f>C65-'A. Raw FS'!C28</f>
        <v>0</v>
      </c>
      <c r="D68" s="1131"/>
      <c r="E68" s="1131"/>
      <c r="F68" s="1131"/>
      <c r="G68" s="1131"/>
      <c r="H68" s="1131"/>
      <c r="I68" s="1131"/>
      <c r="J68" s="1131"/>
      <c r="K68" s="1131"/>
      <c r="L68" s="1131"/>
      <c r="M68" s="1363"/>
      <c r="BI68" s="1149">
        <f t="shared" ref="BI68:BR69" si="146">SUM(AA68:AD68)</f>
        <v>0</v>
      </c>
      <c r="BJ68" s="415">
        <f t="shared" si="146"/>
        <v>0</v>
      </c>
      <c r="BK68" s="415">
        <f t="shared" si="146"/>
        <v>0</v>
      </c>
      <c r="BL68" s="415">
        <f t="shared" si="146"/>
        <v>0</v>
      </c>
      <c r="BM68" s="1149">
        <f t="shared" si="146"/>
        <v>0</v>
      </c>
      <c r="BN68" s="415">
        <f t="shared" si="146"/>
        <v>0</v>
      </c>
      <c r="BO68" s="415">
        <f t="shared" si="146"/>
        <v>0</v>
      </c>
      <c r="BP68" s="415">
        <f t="shared" si="146"/>
        <v>0</v>
      </c>
      <c r="BQ68" s="1149">
        <f t="shared" si="146"/>
        <v>0</v>
      </c>
      <c r="BR68" s="415">
        <f t="shared" si="146"/>
        <v>0</v>
      </c>
      <c r="BS68" s="415">
        <f t="shared" ref="BS68:CA69" si="147">SUM(AK68:AN68)</f>
        <v>0</v>
      </c>
      <c r="BT68" s="415">
        <f t="shared" si="147"/>
        <v>0</v>
      </c>
      <c r="BU68" s="1149">
        <f t="shared" si="147"/>
        <v>0</v>
      </c>
      <c r="BV68" s="415">
        <f t="shared" si="147"/>
        <v>0</v>
      </c>
      <c r="BW68" s="415">
        <f t="shared" si="147"/>
        <v>0</v>
      </c>
      <c r="BX68" s="415">
        <f t="shared" si="147"/>
        <v>0</v>
      </c>
      <c r="BY68" s="1149">
        <f t="shared" si="147"/>
        <v>0</v>
      </c>
      <c r="BZ68" s="415">
        <f t="shared" si="147"/>
        <v>0</v>
      </c>
      <c r="CA68" s="415">
        <f t="shared" si="147"/>
        <v>0</v>
      </c>
      <c r="CB68" s="415">
        <f>SUM(AT68:AW68)</f>
        <v>0</v>
      </c>
    </row>
    <row r="69" spans="1:82" ht="15">
      <c r="A69" s="1128" t="s">
        <v>516</v>
      </c>
      <c r="C69" s="1364">
        <f>'A. Raw FS'!C31</f>
        <v>-21.399666881999998</v>
      </c>
      <c r="D69" s="1364">
        <f>'A. Raw FS'!D31</f>
        <v>-17.63113826</v>
      </c>
      <c r="E69" s="1364">
        <f>'A. Raw FS'!E31</f>
        <v>-39.993097145999997</v>
      </c>
      <c r="F69" s="1364">
        <f>'A. Raw FS'!F31</f>
        <v>-29.784264872000001</v>
      </c>
      <c r="G69" s="1364">
        <f>'A. Raw FS'!G31</f>
        <v>-17.556078789000001</v>
      </c>
      <c r="H69" s="1364">
        <f>'A. Raw FS'!H31</f>
        <v>-21.121319405000001</v>
      </c>
      <c r="I69" s="1364">
        <f>'A. Raw FS'!I31</f>
        <v>-30.111194302000001</v>
      </c>
      <c r="J69" s="1364">
        <f>'A. Raw FS'!J31</f>
        <v>-47.174096601999999</v>
      </c>
      <c r="K69" s="1364">
        <f>'A. Raw FS'!K31</f>
        <v>-66.420727008</v>
      </c>
      <c r="L69" s="1364">
        <f>'A. Raw FS'!L31</f>
        <v>-164.94060818899999</v>
      </c>
      <c r="M69" s="1365">
        <f>'A. Raw FS'!M31</f>
        <v>-178.76532941900001</v>
      </c>
      <c r="N69" s="1364">
        <f t="shared" ref="N69:S69" si="148">-N65*N70</f>
        <v>-113.86224953646841</v>
      </c>
      <c r="O69" s="1364">
        <f t="shared" si="148"/>
        <v>-136.65678289814247</v>
      </c>
      <c r="P69" s="1364">
        <f t="shared" si="148"/>
        <v>-158.75838133615156</v>
      </c>
      <c r="Q69" s="1364">
        <f t="shared" si="148"/>
        <v>-185.40203691758211</v>
      </c>
      <c r="R69" s="1364">
        <f t="shared" si="148"/>
        <v>-223.24477907192437</v>
      </c>
      <c r="S69" s="1364">
        <f t="shared" si="148"/>
        <v>-267.40645036475058</v>
      </c>
      <c r="T69" s="1364"/>
      <c r="U69" s="1364"/>
      <c r="V69" s="1364"/>
      <c r="W69" s="1364"/>
      <c r="X69" s="1364"/>
      <c r="Y69" s="1364"/>
      <c r="Z69" s="1364"/>
      <c r="AA69" s="1364">
        <f>'A. Raw FS'!AA31</f>
        <v>-4.4641292349999997</v>
      </c>
      <c r="AB69" s="1364">
        <f>'A. Raw FS'!AB31</f>
        <v>-6.0278151290000004</v>
      </c>
      <c r="AC69" s="1364">
        <f>'A. Raw FS'!AC31</f>
        <v>-10.471425779</v>
      </c>
      <c r="AD69" s="1365">
        <f>'A. Raw FS'!AD31</f>
        <v>-10.233925062999999</v>
      </c>
      <c r="AE69" s="1364">
        <f>'A. Raw FS'!AE31</f>
        <v>-6.632161193</v>
      </c>
      <c r="AF69" s="1364">
        <f>'A. Raw FS'!AF31</f>
        <v>-12.340926869</v>
      </c>
      <c r="AG69" s="1364">
        <f>'A. Raw FS'!AG31</f>
        <v>-16.704677573000001</v>
      </c>
      <c r="AH69" s="1365">
        <f>'A. Raw FS'!AH31</f>
        <v>-16.084006847000001</v>
      </c>
      <c r="AI69" s="1364">
        <f>'A. Raw FS'!AI31</f>
        <v>-8.9765818750000008</v>
      </c>
      <c r="AJ69" s="1364">
        <f>'A. Raw FS'!AJ31</f>
        <v>-15.219528598</v>
      </c>
      <c r="AK69" s="1364">
        <f>'A. Raw FS'!AK31</f>
        <v>-25.810943376000001</v>
      </c>
      <c r="AL69" s="1365">
        <f>'A. Raw FS'!AL31</f>
        <v>-28.318025950999999</v>
      </c>
      <c r="AM69" s="1364">
        <f>'A. Raw FS'!AM31</f>
        <v>-28.152590135000001</v>
      </c>
      <c r="AN69" s="1364">
        <f>'A. Raw FS'!AN31</f>
        <v>-30.153372915999999</v>
      </c>
      <c r="AO69" s="1364">
        <f>'A. Raw FS'!AO31</f>
        <v>-26.921628112</v>
      </c>
      <c r="AP69" s="1365">
        <f>'A. Raw FS'!AP31</f>
        <v>-79.747791028999998</v>
      </c>
      <c r="AQ69" s="1364">
        <f>'A. Raw FS'!AQ31</f>
        <v>-54.329160700999999</v>
      </c>
      <c r="AR69" s="1364">
        <f>'A. Raw FS'!AR31</f>
        <v>-35.886537715000003</v>
      </c>
      <c r="AS69" s="1364">
        <f>'A. Raw FS'!AS31</f>
        <v>-46.560250498000002</v>
      </c>
      <c r="AT69" s="1365">
        <f>'A. Raw FS'!AT31</f>
        <v>-41.989380505</v>
      </c>
      <c r="AU69" s="1364">
        <f>'A. Raw FS'!AU31</f>
        <v>-24.688935679</v>
      </c>
      <c r="AV69" s="1364">
        <f>'A. Raw FS'!AV31</f>
        <v>-24.731866141000001</v>
      </c>
      <c r="AW69" s="1364">
        <f>'A. Raw FS'!AW31</f>
        <v>-30.49</v>
      </c>
      <c r="AX69" s="1368">
        <f>-AX65*AX70</f>
        <v>-38.640983495901999</v>
      </c>
      <c r="AZ69" s="1364">
        <f>SUM(AU69:AX69)</f>
        <v>-118.55178531590201</v>
      </c>
      <c r="BI69" s="1149">
        <f t="shared" si="146"/>
        <v>-31.197295206</v>
      </c>
      <c r="BJ69" s="415">
        <f t="shared" si="146"/>
        <v>-33.365327164</v>
      </c>
      <c r="BK69" s="415">
        <f t="shared" si="146"/>
        <v>-39.678438904000004</v>
      </c>
      <c r="BL69" s="415">
        <f t="shared" si="146"/>
        <v>-45.911690698000001</v>
      </c>
      <c r="BM69" s="1149">
        <f t="shared" si="146"/>
        <v>-51.761772481999998</v>
      </c>
      <c r="BN69" s="415">
        <f t="shared" si="146"/>
        <v>-54.106193164000004</v>
      </c>
      <c r="BO69" s="415">
        <f t="shared" si="146"/>
        <v>-56.984794893</v>
      </c>
      <c r="BP69" s="415">
        <f t="shared" si="146"/>
        <v>-66.091060696</v>
      </c>
      <c r="BQ69" s="1149">
        <f t="shared" si="146"/>
        <v>-78.325079799999997</v>
      </c>
      <c r="BR69" s="415">
        <f t="shared" si="146"/>
        <v>-97.501088060000001</v>
      </c>
      <c r="BS69" s="415">
        <f t="shared" si="147"/>
        <v>-112.434932378</v>
      </c>
      <c r="BT69" s="415">
        <f t="shared" si="147"/>
        <v>-113.54561711400001</v>
      </c>
      <c r="BU69" s="1149">
        <f t="shared" si="147"/>
        <v>-164.97538219199998</v>
      </c>
      <c r="BV69" s="415">
        <f t="shared" si="147"/>
        <v>-191.15195275800002</v>
      </c>
      <c r="BW69" s="415">
        <f t="shared" si="147"/>
        <v>-196.885117557</v>
      </c>
      <c r="BX69" s="415">
        <f t="shared" si="147"/>
        <v>-216.52373994300001</v>
      </c>
      <c r="BY69" s="1149">
        <f t="shared" si="147"/>
        <v>-178.76532941900001</v>
      </c>
      <c r="BZ69" s="415">
        <f t="shared" si="147"/>
        <v>-149.125104397</v>
      </c>
      <c r="CA69" s="415">
        <f t="shared" si="147"/>
        <v>-137.97043282300001</v>
      </c>
      <c r="CB69" s="415">
        <f>SUM(AT69:AW69)</f>
        <v>-121.90018232499999</v>
      </c>
    </row>
    <row r="70" spans="1:82" s="473" customFormat="1" ht="15">
      <c r="A70" s="513" t="s">
        <v>517</v>
      </c>
      <c r="B70" s="472"/>
      <c r="C70" s="479">
        <f t="shared" ref="C70:M70" si="149">-C69/C65</f>
        <v>0.25148688235891564</v>
      </c>
      <c r="D70" s="487">
        <f t="shared" si="149"/>
        <v>0.25539620995719076</v>
      </c>
      <c r="E70" s="487">
        <f t="shared" si="149"/>
        <v>0.23814913083250661</v>
      </c>
      <c r="F70" s="487">
        <f t="shared" si="149"/>
        <v>0.22334535403415526</v>
      </c>
      <c r="G70" s="487">
        <f t="shared" si="149"/>
        <v>0.20829870347384488</v>
      </c>
      <c r="H70" s="487">
        <f t="shared" si="149"/>
        <v>0.21207746572400096</v>
      </c>
      <c r="I70" s="487">
        <f t="shared" si="149"/>
        <v>0.21559255751297823</v>
      </c>
      <c r="J70" s="487">
        <f t="shared" si="149"/>
        <v>0.22427911298898859</v>
      </c>
      <c r="K70" s="487">
        <f t="shared" si="149"/>
        <v>0.19903299823491533</v>
      </c>
      <c r="L70" s="487">
        <f t="shared" si="149"/>
        <v>0.20119071622018628</v>
      </c>
      <c r="M70" s="480">
        <f t="shared" si="149"/>
        <v>0.20727011616017815</v>
      </c>
      <c r="N70" s="489">
        <f>AZ70</f>
        <v>0.22227393377447177</v>
      </c>
      <c r="O70" s="489">
        <f>AVERAGE(J70:N70)</f>
        <v>0.21080937547574799</v>
      </c>
      <c r="P70" s="489">
        <f>O70</f>
        <v>0.21080937547574799</v>
      </c>
      <c r="Q70" s="489">
        <f>P70</f>
        <v>0.21080937547574799</v>
      </c>
      <c r="R70" s="489">
        <f>Q70</f>
        <v>0.21080937547574799</v>
      </c>
      <c r="S70" s="489">
        <f>R70</f>
        <v>0.21080937547574799</v>
      </c>
      <c r="T70" s="487"/>
      <c r="U70" s="487"/>
      <c r="V70" s="487"/>
      <c r="W70" s="487"/>
      <c r="X70" s="618" t="s">
        <v>518</v>
      </c>
      <c r="Y70" s="487"/>
      <c r="Z70" s="487"/>
      <c r="AA70" s="487">
        <f>-AA69/AA65</f>
        <v>0.18627178373485637</v>
      </c>
      <c r="AB70" s="487">
        <f t="shared" ref="AB70:AI70" si="150">-AB69/AB65</f>
        <v>0.20738092931892146</v>
      </c>
      <c r="AC70" s="487">
        <f t="shared" si="150"/>
        <v>0.22845225098120911</v>
      </c>
      <c r="AD70" s="480">
        <f t="shared" si="150"/>
        <v>0.24391247752630041</v>
      </c>
      <c r="AE70" s="487">
        <f t="shared" si="150"/>
        <v>0.21311299109309717</v>
      </c>
      <c r="AF70" s="487">
        <f t="shared" si="150"/>
        <v>0.27410893820727639</v>
      </c>
      <c r="AG70" s="487">
        <f t="shared" si="150"/>
        <v>0.24805372512993643</v>
      </c>
      <c r="AH70" s="480">
        <f t="shared" si="150"/>
        <v>0.24021239213010381</v>
      </c>
      <c r="AI70" s="487">
        <f t="shared" si="150"/>
        <v>0.16697363764977549</v>
      </c>
      <c r="AJ70" s="487">
        <f t="shared" ref="AJ70:AW70" si="151">-AJ69/AJ65</f>
        <v>0.23946567336031518</v>
      </c>
      <c r="AK70" s="487">
        <f t="shared" si="151"/>
        <v>0.25555783952172328</v>
      </c>
      <c r="AL70" s="480">
        <f t="shared" si="151"/>
        <v>0.30841074521193163</v>
      </c>
      <c r="AM70" s="487">
        <f t="shared" si="151"/>
        <v>0.20846743290008307</v>
      </c>
      <c r="AN70" s="487">
        <f t="shared" si="151"/>
        <v>0.20550868620366819</v>
      </c>
      <c r="AO70" s="487">
        <f t="shared" si="151"/>
        <v>0.2006417628252756</v>
      </c>
      <c r="AP70" s="480">
        <f t="shared" si="151"/>
        <v>0.19596828130351657</v>
      </c>
      <c r="AQ70" s="487">
        <f t="shared" si="151"/>
        <v>0.20488709871424671</v>
      </c>
      <c r="AR70" s="487">
        <f t="shared" si="151"/>
        <v>0.20766763681931802</v>
      </c>
      <c r="AS70" s="487">
        <f t="shared" si="151"/>
        <v>0.20524349677048201</v>
      </c>
      <c r="AT70" s="480">
        <f t="shared" si="151"/>
        <v>0.21256133935245169</v>
      </c>
      <c r="AU70" s="487">
        <f t="shared" si="151"/>
        <v>0.23160913036177241</v>
      </c>
      <c r="AV70" s="487">
        <f t="shared" si="151"/>
        <v>0.22108087581995803</v>
      </c>
      <c r="AW70" s="487">
        <f t="shared" si="151"/>
        <v>0.22789446146946707</v>
      </c>
      <c r="AX70" s="665">
        <f>AVERAGE(AP70:AW70)</f>
        <v>0.21336404007640158</v>
      </c>
      <c r="AZ70" s="487">
        <f>-AZ69/AZ65</f>
        <v>0.22227393377447177</v>
      </c>
      <c r="BF70" s="479"/>
      <c r="BG70" s="479"/>
      <c r="BH70" s="479"/>
      <c r="BI70" s="480">
        <f t="shared" ref="BI70:CB70" si="152">-BI69/BI65</f>
        <v>0.22153107484140677</v>
      </c>
      <c r="BJ70" s="479">
        <f t="shared" si="152"/>
        <v>0.22547104304111962</v>
      </c>
      <c r="BK70" s="479">
        <f t="shared" si="152"/>
        <v>0.24203596137696343</v>
      </c>
      <c r="BL70" s="479">
        <f t="shared" si="152"/>
        <v>0.24757881758960551</v>
      </c>
      <c r="BM70" s="480">
        <f t="shared" si="152"/>
        <v>0.24596599443645153</v>
      </c>
      <c r="BN70" s="479">
        <f t="shared" si="152"/>
        <v>0.23213285472181525</v>
      </c>
      <c r="BO70" s="479">
        <f t="shared" si="152"/>
        <v>0.22647425574187802</v>
      </c>
      <c r="BP70" s="479">
        <f t="shared" si="152"/>
        <v>0.23167689709700812</v>
      </c>
      <c r="BQ70" s="480">
        <f t="shared" si="152"/>
        <v>0.25255212746015659</v>
      </c>
      <c r="BR70" s="479">
        <f t="shared" si="152"/>
        <v>0.24909624367760963</v>
      </c>
      <c r="BS70" s="479">
        <f t="shared" si="152"/>
        <v>0.23691026946803376</v>
      </c>
      <c r="BT70" s="479">
        <f t="shared" si="152"/>
        <v>0.2236171935658875</v>
      </c>
      <c r="BU70" s="480">
        <f t="shared" si="152"/>
        <v>0.20048267253219818</v>
      </c>
      <c r="BV70" s="479">
        <f t="shared" si="152"/>
        <v>0.20057668976233817</v>
      </c>
      <c r="BW70" s="479">
        <f t="shared" si="152"/>
        <v>0.20108912218740774</v>
      </c>
      <c r="BX70" s="479">
        <f t="shared" si="152"/>
        <v>0.20202445436532038</v>
      </c>
      <c r="BY70" s="480">
        <f t="shared" si="152"/>
        <v>0.20729595316541974</v>
      </c>
      <c r="BZ70" s="479">
        <f t="shared" si="152"/>
        <v>0.21188599967848529</v>
      </c>
      <c r="CA70" s="479">
        <f t="shared" si="152"/>
        <v>0.21461999978659024</v>
      </c>
      <c r="CB70" s="479">
        <f t="shared" si="152"/>
        <v>0.22171915796969138</v>
      </c>
    </row>
    <row r="71" spans="1:82" ht="15">
      <c r="H71" s="303"/>
      <c r="I71" s="303"/>
      <c r="J71" s="303"/>
      <c r="K71" s="303"/>
      <c r="L71" s="303"/>
      <c r="M71" s="1369"/>
      <c r="BI71" s="1149">
        <f t="shared" ref="BI71:BR72" si="153">SUM(AA71:AD71)</f>
        <v>0</v>
      </c>
      <c r="BJ71" s="415">
        <f t="shared" si="153"/>
        <v>0</v>
      </c>
      <c r="BK71" s="415">
        <f t="shared" si="153"/>
        <v>0</v>
      </c>
      <c r="BL71" s="415">
        <f t="shared" si="153"/>
        <v>0</v>
      </c>
      <c r="BM71" s="1149">
        <f t="shared" si="153"/>
        <v>0</v>
      </c>
      <c r="BN71" s="415">
        <f t="shared" si="153"/>
        <v>0</v>
      </c>
      <c r="BO71" s="415">
        <f t="shared" si="153"/>
        <v>0</v>
      </c>
      <c r="BP71" s="415">
        <f t="shared" si="153"/>
        <v>0</v>
      </c>
      <c r="BQ71" s="1149">
        <f t="shared" si="153"/>
        <v>0</v>
      </c>
      <c r="BR71" s="415">
        <f t="shared" si="153"/>
        <v>0</v>
      </c>
      <c r="BS71" s="415">
        <f t="shared" ref="BS71:CA72" si="154">SUM(AK71:AN71)</f>
        <v>0</v>
      </c>
      <c r="BT71" s="415">
        <f t="shared" si="154"/>
        <v>0</v>
      </c>
      <c r="BU71" s="1149">
        <f t="shared" si="154"/>
        <v>0</v>
      </c>
      <c r="BV71" s="415">
        <f t="shared" si="154"/>
        <v>0</v>
      </c>
      <c r="BW71" s="415">
        <f t="shared" si="154"/>
        <v>0</v>
      </c>
      <c r="BX71" s="415">
        <f t="shared" si="154"/>
        <v>0</v>
      </c>
      <c r="BY71" s="1149">
        <f t="shared" si="154"/>
        <v>0</v>
      </c>
      <c r="BZ71" s="415">
        <f t="shared" si="154"/>
        <v>0</v>
      </c>
      <c r="CA71" s="415">
        <f t="shared" si="154"/>
        <v>0</v>
      </c>
      <c r="CB71" s="415">
        <f>SUM(AT71:AW71)</f>
        <v>0</v>
      </c>
    </row>
    <row r="72" spans="1:82" s="397" customFormat="1" ht="15">
      <c r="A72" s="511" t="s">
        <v>409</v>
      </c>
      <c r="B72" s="410"/>
      <c r="C72" s="417">
        <f t="shared" ref="C72:S72" si="155">C65+C69</f>
        <v>63.692910040000022</v>
      </c>
      <c r="D72" s="417">
        <f t="shared" si="155"/>
        <v>51.403317117999975</v>
      </c>
      <c r="E72" s="417">
        <f t="shared" si="155"/>
        <v>127.93989931799996</v>
      </c>
      <c r="F72" s="417">
        <f t="shared" si="155"/>
        <v>103.570937437</v>
      </c>
      <c r="G72" s="417">
        <f t="shared" si="155"/>
        <v>66.727109230000025</v>
      </c>
      <c r="H72" s="417">
        <f t="shared" si="155"/>
        <v>78.471154188999975</v>
      </c>
      <c r="I72" s="417">
        <f t="shared" si="155"/>
        <v>109.55593822500001</v>
      </c>
      <c r="J72" s="417">
        <f t="shared" si="155"/>
        <v>163.16246115099995</v>
      </c>
      <c r="K72" s="417">
        <f t="shared" si="155"/>
        <v>267.29643344800002</v>
      </c>
      <c r="L72" s="417">
        <f t="shared" si="155"/>
        <v>654.88155501900019</v>
      </c>
      <c r="M72" s="467">
        <f t="shared" si="155"/>
        <v>683.70984418900025</v>
      </c>
      <c r="N72" s="417">
        <f>N65+N69</f>
        <v>398.39866924493811</v>
      </c>
      <c r="O72" s="417">
        <f t="shared" si="155"/>
        <v>511.59134453802932</v>
      </c>
      <c r="P72" s="417">
        <f t="shared" si="155"/>
        <v>594.33137559648299</v>
      </c>
      <c r="Q72" s="417">
        <f t="shared" si="155"/>
        <v>694.07515188947457</v>
      </c>
      <c r="R72" s="417">
        <f t="shared" si="155"/>
        <v>835.74407551821218</v>
      </c>
      <c r="S72" s="417">
        <f t="shared" si="155"/>
        <v>1001.0686815466081</v>
      </c>
      <c r="T72" s="417"/>
      <c r="U72" s="599"/>
      <c r="V72" s="617"/>
      <c r="W72" s="417"/>
      <c r="X72" s="417"/>
      <c r="Y72" s="417"/>
      <c r="Z72" s="417"/>
      <c r="AA72" s="417">
        <f>AA65+AA69</f>
        <v>19.501546861999998</v>
      </c>
      <c r="AB72" s="417">
        <f t="shared" ref="AB72:AI72" si="156">AB65+AB69</f>
        <v>23.038575637000012</v>
      </c>
      <c r="AC72" s="417">
        <f t="shared" si="156"/>
        <v>35.364961185999995</v>
      </c>
      <c r="AD72" s="467">
        <f t="shared" si="156"/>
        <v>31.723440819999993</v>
      </c>
      <c r="AE72" s="417">
        <f t="shared" si="156"/>
        <v>24.488237235000007</v>
      </c>
      <c r="AF72" s="417">
        <f t="shared" si="156"/>
        <v>32.681052165000004</v>
      </c>
      <c r="AG72" s="417">
        <f t="shared" si="156"/>
        <v>50.638304533999985</v>
      </c>
      <c r="AH72" s="467">
        <f t="shared" si="156"/>
        <v>50.873433209999988</v>
      </c>
      <c r="AI72" s="417">
        <f t="shared" si="156"/>
        <v>44.783891941999997</v>
      </c>
      <c r="AJ72" s="417">
        <f t="shared" ref="AJ72:AW72" si="157">AJ65+AJ69</f>
        <v>48.336672941999993</v>
      </c>
      <c r="AK72" s="417">
        <f t="shared" si="157"/>
        <v>75.187497619999988</v>
      </c>
      <c r="AL72" s="467">
        <f t="shared" si="157"/>
        <v>63.50116774</v>
      </c>
      <c r="AM72" s="417">
        <f t="shared" si="157"/>
        <v>106.89291670199998</v>
      </c>
      <c r="AN72" s="417">
        <f t="shared" si="157"/>
        <v>116.57216688000003</v>
      </c>
      <c r="AO72" s="417">
        <f t="shared" si="157"/>
        <v>107.25596150300004</v>
      </c>
      <c r="AP72" s="467">
        <f t="shared" si="157"/>
        <v>327.1945493259999</v>
      </c>
      <c r="AQ72" s="417">
        <f t="shared" si="157"/>
        <v>210.83717257200001</v>
      </c>
      <c r="AR72" s="417">
        <f t="shared" si="157"/>
        <v>136.921022792</v>
      </c>
      <c r="AS72" s="417">
        <f t="shared" si="157"/>
        <v>180.29346828299998</v>
      </c>
      <c r="AT72" s="467">
        <f t="shared" si="157"/>
        <v>155.550683144</v>
      </c>
      <c r="AU72" s="417">
        <f t="shared" si="157"/>
        <v>81.90848403599999</v>
      </c>
      <c r="AV72" s="417">
        <f t="shared" si="157"/>
        <v>87.136091905000001</v>
      </c>
      <c r="AW72" s="417">
        <f t="shared" si="157"/>
        <v>103.3</v>
      </c>
      <c r="AX72" s="666">
        <f>AX65+AX69</f>
        <v>142.46255898513371</v>
      </c>
      <c r="AZ72" s="417">
        <f>SUM(AU72:AX72)</f>
        <v>414.8071349261337</v>
      </c>
      <c r="BA72" s="417"/>
      <c r="BB72" s="417"/>
      <c r="BC72" s="617"/>
      <c r="BI72" s="467">
        <f t="shared" si="153"/>
        <v>109.62852450499999</v>
      </c>
      <c r="BJ72" s="417">
        <f t="shared" si="153"/>
        <v>114.61521487800002</v>
      </c>
      <c r="BK72" s="417">
        <f t="shared" si="153"/>
        <v>124.25769140600002</v>
      </c>
      <c r="BL72" s="417">
        <f t="shared" si="153"/>
        <v>139.53103475399999</v>
      </c>
      <c r="BM72" s="467">
        <f t="shared" si="153"/>
        <v>158.68102714399998</v>
      </c>
      <c r="BN72" s="417">
        <f t="shared" si="153"/>
        <v>178.976681851</v>
      </c>
      <c r="BO72" s="417">
        <f t="shared" si="153"/>
        <v>194.63230262799999</v>
      </c>
      <c r="BP72" s="417">
        <f t="shared" si="153"/>
        <v>219.18149571399996</v>
      </c>
      <c r="BQ72" s="467">
        <f t="shared" si="153"/>
        <v>231.80923024399996</v>
      </c>
      <c r="BR72" s="417">
        <f t="shared" si="153"/>
        <v>293.91825500399995</v>
      </c>
      <c r="BS72" s="417">
        <f t="shared" si="154"/>
        <v>362.15374894199999</v>
      </c>
      <c r="BT72" s="417">
        <f t="shared" si="154"/>
        <v>394.22221282500004</v>
      </c>
      <c r="BU72" s="467">
        <f t="shared" si="154"/>
        <v>657.91559441099992</v>
      </c>
      <c r="BV72" s="417">
        <f t="shared" si="154"/>
        <v>761.85985028099992</v>
      </c>
      <c r="BW72" s="417">
        <f t="shared" si="154"/>
        <v>782.20870619300001</v>
      </c>
      <c r="BX72" s="417">
        <f t="shared" si="154"/>
        <v>855.24621297299996</v>
      </c>
      <c r="BY72" s="467">
        <f t="shared" si="154"/>
        <v>683.60234679099995</v>
      </c>
      <c r="BZ72" s="417">
        <f t="shared" si="154"/>
        <v>554.67365825499996</v>
      </c>
      <c r="CA72" s="417">
        <f t="shared" si="154"/>
        <v>504.88872736799999</v>
      </c>
      <c r="CB72" s="417">
        <f>SUM(AT72:AW72)</f>
        <v>427.89525908500002</v>
      </c>
      <c r="CD72" s="496" t="e" cm="1">
        <f t="array" aca="1" ref="CD72" ca="1">_xll.FA.Historical.MarketCap("dgw",TODAY()-1,TODAY()-1)</f>
        <v>#NAME?</v>
      </c>
    </row>
    <row r="73" spans="1:82" s="473" customFormat="1" ht="15">
      <c r="A73" s="513" t="s">
        <v>519</v>
      </c>
      <c r="B73" s="472"/>
      <c r="C73" s="479">
        <f t="shared" ref="C73:H73" si="158">C72/C$7</f>
        <v>2.9767558656685005E-2</v>
      </c>
      <c r="D73" s="487">
        <f t="shared" si="158"/>
        <v>1.68134794387544E-2</v>
      </c>
      <c r="E73" s="487">
        <f t="shared" si="158"/>
        <v>2.623566099463304E-2</v>
      </c>
      <c r="F73" s="487">
        <f t="shared" si="158"/>
        <v>2.464005992615385E-2</v>
      </c>
      <c r="G73" s="487">
        <f t="shared" si="158"/>
        <v>1.7559426339261261E-2</v>
      </c>
      <c r="H73" s="487">
        <f t="shared" si="158"/>
        <v>2.0537113138254296E-2</v>
      </c>
      <c r="I73" s="487">
        <f>I72/I$7</f>
        <v>1.8451928427952822E-2</v>
      </c>
      <c r="J73" s="487">
        <f>J72/J$7</f>
        <v>1.922256624511302E-2</v>
      </c>
      <c r="K73" s="487">
        <f>K72/K$7</f>
        <v>2.1322922448340286E-2</v>
      </c>
      <c r="L73" s="487">
        <f>L72/L$7</f>
        <v>3.1299880199965158E-2</v>
      </c>
      <c r="M73" s="480">
        <f>M72/M$7</f>
        <v>3.1038026885895055E-2</v>
      </c>
      <c r="N73" s="487">
        <f t="shared" ref="N73:S73" si="159">N72/N$7</f>
        <v>1.9810852887759332E-2</v>
      </c>
      <c r="O73" s="487">
        <f t="shared" si="159"/>
        <v>2.2291180181882607E-2</v>
      </c>
      <c r="P73" s="487">
        <f t="shared" si="159"/>
        <v>2.2862297760626531E-2</v>
      </c>
      <c r="Q73" s="487">
        <f t="shared" si="159"/>
        <v>2.4032646812503614E-2</v>
      </c>
      <c r="R73" s="487">
        <f t="shared" si="159"/>
        <v>2.6069416865796259E-2</v>
      </c>
      <c r="S73" s="487">
        <f t="shared" si="159"/>
        <v>2.8151252634239655E-2</v>
      </c>
      <c r="T73" s="487"/>
      <c r="U73" s="487"/>
      <c r="V73" s="487"/>
      <c r="W73" s="487"/>
      <c r="X73" s="488"/>
      <c r="Y73" s="487"/>
      <c r="Z73" s="487"/>
      <c r="AA73" s="487">
        <f>AA72/AA$7</f>
        <v>1.5422134951818753E-2</v>
      </c>
      <c r="AB73" s="487">
        <f t="shared" ref="AB73:AI73" si="160">AB72/AB$7</f>
        <v>1.6784396680779617E-2</v>
      </c>
      <c r="AC73" s="487">
        <f t="shared" si="160"/>
        <v>2.0299598986957712E-2</v>
      </c>
      <c r="AD73" s="480">
        <f t="shared" si="160"/>
        <v>2.0326154006596091E-2</v>
      </c>
      <c r="AE73" s="487">
        <f t="shared" si="160"/>
        <v>1.785124477683489E-2</v>
      </c>
      <c r="AF73" s="487">
        <f t="shared" si="160"/>
        <v>1.632294425760154E-2</v>
      </c>
      <c r="AG73" s="487">
        <f t="shared" si="160"/>
        <v>1.9367902335372892E-2</v>
      </c>
      <c r="AH73" s="480">
        <f t="shared" si="160"/>
        <v>2.0350948450731352E-2</v>
      </c>
      <c r="AI73" s="487">
        <f t="shared" si="160"/>
        <v>1.9380966110054597E-2</v>
      </c>
      <c r="AJ73" s="487">
        <f t="shared" ref="AJ73:AW73" si="161">AJ72/AJ$7</f>
        <v>1.8720804971382558E-2</v>
      </c>
      <c r="AK73" s="487">
        <f t="shared" si="161"/>
        <v>2.0745531860008704E-2</v>
      </c>
      <c r="AL73" s="480">
        <f t="shared" si="161"/>
        <v>1.5807410640248442E-2</v>
      </c>
      <c r="AM73" s="487">
        <f t="shared" si="161"/>
        <v>2.1349558687841358E-2</v>
      </c>
      <c r="AN73" s="487">
        <f t="shared" si="161"/>
        <v>2.7639844394876802E-2</v>
      </c>
      <c r="AO73" s="487">
        <f t="shared" si="161"/>
        <v>2.8039864385181662E-2</v>
      </c>
      <c r="AP73" s="480">
        <f t="shared" si="161"/>
        <v>4.1304341195562491E-2</v>
      </c>
      <c r="AQ73" s="487">
        <f t="shared" si="161"/>
        <v>3.0082207368698263E-2</v>
      </c>
      <c r="AR73" s="487">
        <f t="shared" si="161"/>
        <v>2.7885224335012899E-2</v>
      </c>
      <c r="AS73" s="487">
        <f t="shared" si="161"/>
        <v>2.9725787747835419E-2</v>
      </c>
      <c r="AT73" s="480">
        <f t="shared" si="161"/>
        <v>3.8170797547987786E-2</v>
      </c>
      <c r="AU73" s="487">
        <f t="shared" si="161"/>
        <v>2.0684340803928378E-2</v>
      </c>
      <c r="AV73" s="487">
        <f t="shared" si="161"/>
        <v>1.8959912746291819E-2</v>
      </c>
      <c r="AW73" s="487">
        <f t="shared" si="161"/>
        <v>1.9084533583606143E-2</v>
      </c>
      <c r="AX73" s="663">
        <f>AX72/AX$7</f>
        <v>2.3196219877591216E-2</v>
      </c>
      <c r="AZ73" s="487">
        <f>AZ72/AZ$7</f>
        <v>2.0626783574325357E-2</v>
      </c>
      <c r="BF73" s="479"/>
      <c r="BG73" s="479"/>
      <c r="BH73" s="479"/>
      <c r="BI73" s="480">
        <f t="shared" ref="BI73:CA73" si="162">BI72/BI$7</f>
        <v>1.8455960907842652E-2</v>
      </c>
      <c r="BJ73" s="479">
        <f t="shared" si="162"/>
        <v>1.8953172105372017E-2</v>
      </c>
      <c r="BK73" s="479">
        <f t="shared" si="162"/>
        <v>1.861031121950996E-2</v>
      </c>
      <c r="BL73" s="479">
        <f t="shared" si="162"/>
        <v>1.8482849542922647E-2</v>
      </c>
      <c r="BM73" s="480">
        <f t="shared" si="162"/>
        <v>1.8694081772181029E-2</v>
      </c>
      <c r="BN73" s="479">
        <f t="shared" si="162"/>
        <v>1.8985089306707136E-2</v>
      </c>
      <c r="BO73" s="479">
        <f t="shared" si="162"/>
        <v>1.9449526999859513E-2</v>
      </c>
      <c r="BP73" s="479">
        <f t="shared" si="162"/>
        <v>1.9895255440620398E-2</v>
      </c>
      <c r="BQ73" s="480">
        <f t="shared" si="162"/>
        <v>1.8494222981312675E-2</v>
      </c>
      <c r="BR73" s="479">
        <f t="shared" si="162"/>
        <v>1.9298352717339259E-2</v>
      </c>
      <c r="BS73" s="479">
        <f t="shared" si="162"/>
        <v>2.1472682871267728E-2</v>
      </c>
      <c r="BT73" s="479">
        <f t="shared" si="162"/>
        <v>2.3098994799847901E-2</v>
      </c>
      <c r="BU73" s="480">
        <f t="shared" si="162"/>
        <v>3.137261457138394E-2</v>
      </c>
      <c r="BV73" s="479">
        <f t="shared" si="162"/>
        <v>3.3163389819484711E-2</v>
      </c>
      <c r="BW73" s="479">
        <f t="shared" si="162"/>
        <v>3.3052643125282465E-2</v>
      </c>
      <c r="BX73" s="479">
        <f t="shared" si="162"/>
        <v>3.3013902068210373E-2</v>
      </c>
      <c r="BY73" s="480">
        <f t="shared" si="162"/>
        <v>3.0989433370155424E-2</v>
      </c>
      <c r="BZ73" s="479">
        <f t="shared" si="162"/>
        <v>2.9177326389583643E-2</v>
      </c>
      <c r="CA73" s="479">
        <f t="shared" si="162"/>
        <v>2.7005061949263137E-2</v>
      </c>
      <c r="CB73" s="575">
        <f>CB72/CB$7</f>
        <v>2.3714495335322581E-2</v>
      </c>
      <c r="CD73" s="473" t="e">
        <f ca="1">CD72/10^9/CB72</f>
        <v>#NAME?</v>
      </c>
    </row>
    <row r="74" spans="1:82" s="427" customFormat="1" ht="15">
      <c r="A74" s="512" t="s">
        <v>477</v>
      </c>
      <c r="B74" s="431"/>
      <c r="C74" s="428" t="e">
        <f t="shared" ref="C74:S74" si="163">C72/B72-1</f>
        <v>#DIV/0!</v>
      </c>
      <c r="D74" s="432">
        <f t="shared" si="163"/>
        <v>-0.19295072111294664</v>
      </c>
      <c r="E74" s="432">
        <f t="shared" si="163"/>
        <v>1.4889424747493396</v>
      </c>
      <c r="F74" s="432">
        <f t="shared" si="163"/>
        <v>-0.19047194824211866</v>
      </c>
      <c r="G74" s="432">
        <f t="shared" si="163"/>
        <v>-0.35573520061466368</v>
      </c>
      <c r="H74" s="432">
        <f t="shared" si="163"/>
        <v>0.17600110501594934</v>
      </c>
      <c r="I74" s="432">
        <f t="shared" si="163"/>
        <v>0.39613007298365277</v>
      </c>
      <c r="J74" s="432">
        <f t="shared" si="163"/>
        <v>0.48930732367884788</v>
      </c>
      <c r="K74" s="432">
        <f t="shared" si="163"/>
        <v>0.63822261298589078</v>
      </c>
      <c r="L74" s="432">
        <f t="shared" si="163"/>
        <v>1.4500198022522479</v>
      </c>
      <c r="M74" s="987">
        <f t="shared" si="163"/>
        <v>4.4020615558738152E-2</v>
      </c>
      <c r="N74" s="488">
        <f t="shared" si="163"/>
        <v>-0.41729862070728441</v>
      </c>
      <c r="O74" s="488">
        <f t="shared" si="163"/>
        <v>0.28411910990470601</v>
      </c>
      <c r="P74" s="488">
        <f t="shared" si="163"/>
        <v>0.16173070936758815</v>
      </c>
      <c r="Q74" s="488">
        <f t="shared" si="163"/>
        <v>0.1678251904383925</v>
      </c>
      <c r="R74" s="488">
        <f t="shared" si="163"/>
        <v>0.20411179285567793</v>
      </c>
      <c r="S74" s="488">
        <f t="shared" si="163"/>
        <v>0.19781726352757523</v>
      </c>
      <c r="T74" s="488"/>
      <c r="U74" s="488"/>
      <c r="V74" s="488"/>
      <c r="W74" s="488"/>
      <c r="X74" s="488"/>
      <c r="Y74" s="432"/>
      <c r="Z74" s="432"/>
      <c r="AA74" s="432" t="e">
        <f t="shared" ref="AA74:AW74" si="164">AA72/Z72-1</f>
        <v>#DIV/0!</v>
      </c>
      <c r="AB74" s="432">
        <f t="shared" si="164"/>
        <v>0.18137170348738541</v>
      </c>
      <c r="AC74" s="432">
        <f t="shared" si="164"/>
        <v>0.53503244919376769</v>
      </c>
      <c r="AD74" s="429">
        <f t="shared" si="164"/>
        <v>-0.10296972607569488</v>
      </c>
      <c r="AE74" s="432">
        <f t="shared" si="164"/>
        <v>-0.22807121163346711</v>
      </c>
      <c r="AF74" s="432">
        <f t="shared" si="164"/>
        <v>0.33456123653891878</v>
      </c>
      <c r="AG74" s="432">
        <f t="shared" si="164"/>
        <v>0.54946983586505893</v>
      </c>
      <c r="AH74" s="429">
        <f t="shared" si="164"/>
        <v>4.6432967723499807E-3</v>
      </c>
      <c r="AI74" s="432">
        <f t="shared" si="164"/>
        <v>-0.11969982923823974</v>
      </c>
      <c r="AJ74" s="432">
        <f t="shared" si="164"/>
        <v>7.9331671409917481E-2</v>
      </c>
      <c r="AK74" s="432">
        <f t="shared" si="164"/>
        <v>0.55549592149668148</v>
      </c>
      <c r="AL74" s="429">
        <f t="shared" si="164"/>
        <v>-0.15542916375622806</v>
      </c>
      <c r="AM74" s="432">
        <f t="shared" si="164"/>
        <v>0.6833220632991146</v>
      </c>
      <c r="AN74" s="432">
        <f t="shared" si="164"/>
        <v>9.0550903433425978E-2</v>
      </c>
      <c r="AO74" s="432">
        <f t="shared" si="164"/>
        <v>-7.9917922316655066E-2</v>
      </c>
      <c r="AP74" s="429">
        <f t="shared" si="164"/>
        <v>2.0505954609977368</v>
      </c>
      <c r="AQ74" s="432">
        <f t="shared" si="164"/>
        <v>-0.35562137875978905</v>
      </c>
      <c r="AR74" s="432">
        <f t="shared" si="164"/>
        <v>-0.35058404966400292</v>
      </c>
      <c r="AS74" s="432">
        <f t="shared" si="164"/>
        <v>0.31676980354498308</v>
      </c>
      <c r="AT74" s="429">
        <f t="shared" si="164"/>
        <v>-0.13723617042056202</v>
      </c>
      <c r="AU74" s="432">
        <f t="shared" si="164"/>
        <v>-0.47342896617063546</v>
      </c>
      <c r="AV74" s="432">
        <f t="shared" si="164"/>
        <v>6.3822544520570013E-2</v>
      </c>
      <c r="AW74" s="432">
        <f t="shared" si="164"/>
        <v>0.18550187117208194</v>
      </c>
      <c r="AX74" s="664">
        <f>AX72/AT72-1</f>
        <v>-8.4140576526752109E-2</v>
      </c>
      <c r="AZ74" s="432"/>
      <c r="BF74" s="428"/>
      <c r="BG74" s="428"/>
      <c r="BH74" s="428"/>
      <c r="BI74" s="429"/>
      <c r="BJ74" s="428" t="e">
        <f t="shared" ref="BJ74:CA74" si="165">BJ72/BF72-1</f>
        <v>#DIV/0!</v>
      </c>
      <c r="BK74" s="428" t="e">
        <f t="shared" si="165"/>
        <v>#DIV/0!</v>
      </c>
      <c r="BL74" s="428" t="e">
        <f t="shared" si="165"/>
        <v>#DIV/0!</v>
      </c>
      <c r="BM74" s="429">
        <f t="shared" si="165"/>
        <v>0.44744287912734593</v>
      </c>
      <c r="BN74" s="428">
        <f t="shared" si="165"/>
        <v>0.56154383204279035</v>
      </c>
      <c r="BO74" s="428">
        <f t="shared" si="165"/>
        <v>0.56636020213877725</v>
      </c>
      <c r="BP74" s="428">
        <f t="shared" si="165"/>
        <v>0.57084404985906989</v>
      </c>
      <c r="BQ74" s="429">
        <f t="shared" si="165"/>
        <v>0.46085032606725918</v>
      </c>
      <c r="BR74" s="428">
        <f t="shared" si="165"/>
        <v>0.64221535433699706</v>
      </c>
      <c r="BS74" s="428">
        <f t="shared" si="165"/>
        <v>0.86070731349350127</v>
      </c>
      <c r="BT74" s="428">
        <f t="shared" si="165"/>
        <v>0.79861083409797873</v>
      </c>
      <c r="BU74" s="429">
        <f t="shared" si="165"/>
        <v>1.8381768651683319</v>
      </c>
      <c r="BV74" s="428">
        <f t="shared" si="165"/>
        <v>1.5920807479978802</v>
      </c>
      <c r="BW74" s="428">
        <f t="shared" si="165"/>
        <v>1.1598801848059099</v>
      </c>
      <c r="BX74" s="428">
        <f t="shared" si="165"/>
        <v>1.1694521139341632</v>
      </c>
      <c r="BY74" s="429">
        <f t="shared" si="165"/>
        <v>3.9042625829527777E-2</v>
      </c>
      <c r="BZ74" s="428">
        <f t="shared" si="165"/>
        <v>-0.27194790741313202</v>
      </c>
      <c r="CA74" s="428">
        <f t="shared" si="165"/>
        <v>-0.35453450802754793</v>
      </c>
      <c r="CB74" s="428">
        <f>CB72/BX72-1</f>
        <v>-0.49968178450325551</v>
      </c>
    </row>
    <row r="75" spans="1:82" ht="15">
      <c r="C75" s="43"/>
      <c r="D75" s="415"/>
      <c r="E75" s="415"/>
      <c r="F75" s="415"/>
      <c r="G75" s="415"/>
      <c r="H75" s="415"/>
      <c r="I75" s="415"/>
      <c r="J75" s="415"/>
      <c r="K75" s="415"/>
      <c r="L75" s="415"/>
      <c r="M75" s="1147"/>
      <c r="AX75" s="692"/>
      <c r="AY75" s="413"/>
      <c r="AZ75" s="413"/>
      <c r="BA75" s="412"/>
      <c r="BI75" s="1149">
        <f t="shared" ref="BI75:BR76" si="166">SUM(AA75:AD75)</f>
        <v>0</v>
      </c>
      <c r="BJ75" s="415">
        <f t="shared" si="166"/>
        <v>0</v>
      </c>
      <c r="BK75" s="415">
        <f t="shared" si="166"/>
        <v>0</v>
      </c>
      <c r="BL75" s="415">
        <f t="shared" si="166"/>
        <v>0</v>
      </c>
      <c r="BM75" s="1149">
        <f t="shared" si="166"/>
        <v>0</v>
      </c>
      <c r="BN75" s="415">
        <f t="shared" si="166"/>
        <v>0</v>
      </c>
      <c r="BO75" s="415">
        <f t="shared" si="166"/>
        <v>0</v>
      </c>
      <c r="BP75" s="415">
        <f t="shared" si="166"/>
        <v>0</v>
      </c>
      <c r="BQ75" s="1149">
        <f t="shared" si="166"/>
        <v>0</v>
      </c>
      <c r="BR75" s="415">
        <f t="shared" si="166"/>
        <v>0</v>
      </c>
      <c r="BS75" s="415">
        <f t="shared" ref="BS75:BY76" si="167">SUM(AK75:AN75)</f>
        <v>0</v>
      </c>
      <c r="BT75" s="415">
        <f t="shared" si="167"/>
        <v>0</v>
      </c>
      <c r="BU75" s="1149">
        <f t="shared" si="167"/>
        <v>0</v>
      </c>
      <c r="BV75" s="415">
        <f t="shared" si="167"/>
        <v>0</v>
      </c>
      <c r="BW75" s="415">
        <f t="shared" si="167"/>
        <v>0</v>
      </c>
      <c r="BX75" s="415">
        <f t="shared" si="167"/>
        <v>0</v>
      </c>
      <c r="BY75" s="1149">
        <f t="shared" si="167"/>
        <v>0</v>
      </c>
      <c r="CB75" s="43"/>
    </row>
    <row r="76" spans="1:82" ht="15">
      <c r="A76" s="1128" t="s">
        <v>520</v>
      </c>
      <c r="C76" s="1364">
        <f>'A. Raw FS'!C33</f>
        <v>0</v>
      </c>
      <c r="D76" s="1364">
        <f>'A. Raw FS'!D33</f>
        <v>0</v>
      </c>
      <c r="E76" s="1364">
        <f>'A. Raw FS'!E33</f>
        <v>0</v>
      </c>
      <c r="F76" s="1364">
        <f>'A. Raw FS'!F33</f>
        <v>0</v>
      </c>
      <c r="G76" s="1364">
        <f>'A. Raw FS'!G33</f>
        <v>0</v>
      </c>
      <c r="H76" s="1364">
        <f>'A. Raw FS'!H33</f>
        <v>-0.73991991599999996</v>
      </c>
      <c r="I76" s="1364">
        <f>'A. Raw FS'!I33</f>
        <v>-1.4058058950000001</v>
      </c>
      <c r="J76" s="1364">
        <f>'A. Raw FS'!J33</f>
        <v>-1.2775702600000001</v>
      </c>
      <c r="K76" s="1364">
        <f>'A. Raw FS'!K33</f>
        <v>0.165387319</v>
      </c>
      <c r="L76" s="1364">
        <f>'A. Raw FS'!L33</f>
        <v>0.52584765</v>
      </c>
      <c r="M76" s="1368">
        <f>'A. Raw FS'!M33</f>
        <v>-0.180940291</v>
      </c>
      <c r="N76" s="1364">
        <f t="shared" ref="N76:S76" si="168">N72*N77</f>
        <v>8.4101174491214632</v>
      </c>
      <c r="O76" s="1364">
        <f t="shared" si="168"/>
        <v>4.4077085831446858</v>
      </c>
      <c r="P76" s="1364">
        <f t="shared" si="168"/>
        <v>5.1205704189822834</v>
      </c>
      <c r="Q76" s="1364">
        <f t="shared" si="168"/>
        <v>5.9799311247011842</v>
      </c>
      <c r="R76" s="1364">
        <f t="shared" si="168"/>
        <v>7.200505587717414</v>
      </c>
      <c r="S76" s="1364">
        <f t="shared" si="168"/>
        <v>8.6248898990946881</v>
      </c>
      <c r="T76" s="1364"/>
      <c r="U76" s="1364"/>
      <c r="V76" s="1364"/>
      <c r="W76" s="1364"/>
      <c r="X76" s="1592" t="s">
        <v>521</v>
      </c>
      <c r="Y76" s="1364"/>
      <c r="Z76" s="1364"/>
      <c r="AA76" s="1364">
        <f>'A. Raw FS'!AA33</f>
        <v>0.44699012100000002</v>
      </c>
      <c r="AB76" s="1364">
        <f>'A. Raw FS'!AB33</f>
        <v>-8.7560320000000004E-3</v>
      </c>
      <c r="AC76" s="1364">
        <f>'A. Raw FS'!AC33</f>
        <v>-1.263529208</v>
      </c>
      <c r="AD76" s="1365">
        <f>'A. Raw FS'!AD33</f>
        <v>-0.57956540899999998</v>
      </c>
      <c r="AE76" s="1364">
        <f>'A. Raw FS'!AE33</f>
        <v>-0.53964917199999995</v>
      </c>
      <c r="AF76" s="1364">
        <f>'A. Raw FS'!AF33</f>
        <v>-0.77902126100000002</v>
      </c>
      <c r="AG76" s="1364">
        <f>'A. Raw FS'!AG33</f>
        <v>-1.34311655</v>
      </c>
      <c r="AH76" s="1365">
        <f>'A. Raw FS'!AH33</f>
        <v>0.76095678899999997</v>
      </c>
      <c r="AI76" s="1364">
        <f>'A. Raw FS'!AI33</f>
        <v>-0.17443324199999999</v>
      </c>
      <c r="AJ76" s="1364">
        <f>'A. Raw FS'!AJ33</f>
        <v>-0.10854248399999999</v>
      </c>
      <c r="AK76" s="1364">
        <f>'A. Raw FS'!AK33</f>
        <v>0.113794911</v>
      </c>
      <c r="AL76" s="1365">
        <f>'A. Raw FS'!AL33</f>
        <v>0.25093626400000002</v>
      </c>
      <c r="AM76" s="1364">
        <f>'A. Raw FS'!AM33</f>
        <v>0.17998956399999999</v>
      </c>
      <c r="AN76" s="1364">
        <f>'A. Raw FS'!AN33</f>
        <v>0.125087114</v>
      </c>
      <c r="AO76" s="1364">
        <f>'A. Raw FS'!AO33</f>
        <v>4.0635762999999998E-2</v>
      </c>
      <c r="AP76" s="1365">
        <f>'A. Raw FS'!AP33</f>
        <v>0.18013520899999999</v>
      </c>
      <c r="AQ76" s="1364">
        <f>'A. Raw FS'!AQ33</f>
        <v>-1.0321989999999999E-3</v>
      </c>
      <c r="AR76" s="1364">
        <f>'A. Raw FS'!AR33</f>
        <v>3.6300530999999997E-2</v>
      </c>
      <c r="AS76" s="1364">
        <f>'A. Raw FS'!AS33</f>
        <v>-1.250502E-2</v>
      </c>
      <c r="AT76" s="1365">
        <f>'A. Raw FS'!AT33</f>
        <v>-0.20370360300000001</v>
      </c>
      <c r="AU76" s="1364">
        <f>'A. Raw FS'!AU33</f>
        <v>2.5193476989999999</v>
      </c>
      <c r="AV76" s="1364">
        <f>'A. Raw FS'!AV33</f>
        <v>4.119737056</v>
      </c>
      <c r="AW76" s="1364">
        <f>'A. Raw FS'!AW33</f>
        <v>0.89</v>
      </c>
      <c r="AX76" s="1370">
        <f>AX72*AX77</f>
        <v>1.227412173250426</v>
      </c>
      <c r="AZ76" s="1371">
        <f>SUM(AU76:AX76)</f>
        <v>8.7564969282504261</v>
      </c>
      <c r="BI76" s="1149">
        <f t="shared" si="166"/>
        <v>-1.4048605279999999</v>
      </c>
      <c r="BJ76" s="415">
        <f t="shared" si="166"/>
        <v>-2.391499821</v>
      </c>
      <c r="BK76" s="415">
        <f t="shared" si="166"/>
        <v>-3.1617650500000001</v>
      </c>
      <c r="BL76" s="415">
        <f t="shared" si="166"/>
        <v>-3.241352392</v>
      </c>
      <c r="BM76" s="1149">
        <f t="shared" si="166"/>
        <v>-1.9008301939999999</v>
      </c>
      <c r="BN76" s="415">
        <f t="shared" si="166"/>
        <v>-1.5356142639999999</v>
      </c>
      <c r="BO76" s="415">
        <f t="shared" si="166"/>
        <v>-0.86513548699999998</v>
      </c>
      <c r="BP76" s="415">
        <f t="shared" si="166"/>
        <v>0.59177597399999993</v>
      </c>
      <c r="BQ76" s="1149">
        <f t="shared" si="166"/>
        <v>8.1755449000000036E-2</v>
      </c>
      <c r="BR76" s="415">
        <f t="shared" si="166"/>
        <v>0.43617825500000001</v>
      </c>
      <c r="BS76" s="415">
        <f t="shared" si="167"/>
        <v>0.66980785300000001</v>
      </c>
      <c r="BT76" s="415">
        <f t="shared" si="167"/>
        <v>0.596648705</v>
      </c>
      <c r="BU76" s="1149">
        <f t="shared" si="167"/>
        <v>0.52584765</v>
      </c>
      <c r="BV76" s="415">
        <f t="shared" si="167"/>
        <v>0.344825887</v>
      </c>
      <c r="BW76" s="415">
        <f t="shared" si="167"/>
        <v>0.25603930399999997</v>
      </c>
      <c r="BX76" s="415">
        <f t="shared" si="167"/>
        <v>0.20289852099999997</v>
      </c>
      <c r="BY76" s="1149">
        <f t="shared" si="167"/>
        <v>-0.180940291</v>
      </c>
      <c r="BZ76" s="415">
        <f>SUM(AR76:AU76)</f>
        <v>2.3394396070000001</v>
      </c>
      <c r="CA76" s="415">
        <f>SUM(AS76:AV76)</f>
        <v>6.4228761319999998</v>
      </c>
      <c r="CB76" s="415">
        <f>SUM(AT76:AW76)</f>
        <v>7.3253811519999994</v>
      </c>
    </row>
    <row r="77" spans="1:82" s="473" customFormat="1" ht="15">
      <c r="A77" s="513" t="s">
        <v>522</v>
      </c>
      <c r="B77" s="472"/>
      <c r="C77" s="479">
        <f t="shared" ref="C77:H77" si="169">C76/C72</f>
        <v>0</v>
      </c>
      <c r="D77" s="487">
        <f t="shared" si="169"/>
        <v>0</v>
      </c>
      <c r="E77" s="487">
        <f t="shared" si="169"/>
        <v>0</v>
      </c>
      <c r="F77" s="487">
        <f t="shared" si="169"/>
        <v>0</v>
      </c>
      <c r="G77" s="487">
        <f t="shared" si="169"/>
        <v>0</v>
      </c>
      <c r="H77" s="487">
        <f t="shared" si="169"/>
        <v>-9.4291962906252417E-3</v>
      </c>
      <c r="I77" s="487">
        <f>I76/I72</f>
        <v>-1.2831854829382526E-2</v>
      </c>
      <c r="J77" s="487">
        <f>J76/J72</f>
        <v>-7.8300501903906857E-3</v>
      </c>
      <c r="K77" s="487">
        <f>K76/K72</f>
        <v>6.1874121127087364E-4</v>
      </c>
      <c r="L77" s="487">
        <f>L76/L72</f>
        <v>8.0296604167564851E-4</v>
      </c>
      <c r="M77" s="663">
        <f>M76/M72</f>
        <v>-2.6464485269277774E-4</v>
      </c>
      <c r="N77" s="489">
        <f>AZ77</f>
        <v>2.1109803065006896E-2</v>
      </c>
      <c r="O77" s="489">
        <f>AX77</f>
        <v>8.6156824782187801E-3</v>
      </c>
      <c r="P77" s="489">
        <f>O77</f>
        <v>8.6156824782187801E-3</v>
      </c>
      <c r="Q77" s="489">
        <f>P77</f>
        <v>8.6156824782187801E-3</v>
      </c>
      <c r="R77" s="489">
        <f>Q77</f>
        <v>8.6156824782187801E-3</v>
      </c>
      <c r="S77" s="489">
        <f>R77</f>
        <v>8.6156824782187801E-3</v>
      </c>
      <c r="T77" s="487"/>
      <c r="U77" s="487"/>
      <c r="V77" s="487"/>
      <c r="W77" s="487"/>
      <c r="X77" s="1594"/>
      <c r="Y77" s="615"/>
      <c r="Z77" s="487"/>
      <c r="AA77" s="487">
        <f>AA76/AA72</f>
        <v>2.2920752090234885E-2</v>
      </c>
      <c r="AB77" s="487">
        <f t="shared" ref="AB77:AI77" si="170">AB76/AB72</f>
        <v>-3.8005960689417752E-4</v>
      </c>
      <c r="AC77" s="487">
        <f t="shared" si="170"/>
        <v>-3.5728279224018944E-2</v>
      </c>
      <c r="AD77" s="480">
        <f t="shared" si="170"/>
        <v>-1.8269311084143619E-2</v>
      </c>
      <c r="AE77" s="487">
        <f t="shared" si="170"/>
        <v>-2.2037077100376262E-2</v>
      </c>
      <c r="AF77" s="487">
        <f t="shared" si="170"/>
        <v>-2.3837092424897451E-2</v>
      </c>
      <c r="AG77" s="487">
        <f t="shared" si="170"/>
        <v>-2.652372669977909E-2</v>
      </c>
      <c r="AH77" s="480">
        <f t="shared" si="170"/>
        <v>1.4957842256465242E-2</v>
      </c>
      <c r="AI77" s="487">
        <f t="shared" si="170"/>
        <v>-3.8949996178516593E-3</v>
      </c>
      <c r="AJ77" s="487">
        <f t="shared" ref="AJ77:AW77" si="171">AJ76/AJ72</f>
        <v>-2.2455514083528669E-3</v>
      </c>
      <c r="AK77" s="487">
        <f t="shared" si="171"/>
        <v>1.5134818234691506E-3</v>
      </c>
      <c r="AL77" s="480">
        <f t="shared" si="171"/>
        <v>3.9516795191458006E-3</v>
      </c>
      <c r="AM77" s="487">
        <f t="shared" si="171"/>
        <v>1.6838305993818238E-3</v>
      </c>
      <c r="AN77" s="487">
        <f t="shared" si="171"/>
        <v>1.0730444268807777E-3</v>
      </c>
      <c r="AO77" s="487">
        <f t="shared" si="171"/>
        <v>3.7886717372687378E-4</v>
      </c>
      <c r="AP77" s="480">
        <f t="shared" si="171"/>
        <v>5.5054465109845849E-4</v>
      </c>
      <c r="AQ77" s="487">
        <f t="shared" si="171"/>
        <v>-4.895716383445183E-6</v>
      </c>
      <c r="AR77" s="487">
        <f t="shared" si="171"/>
        <v>2.651202149953627E-4</v>
      </c>
      <c r="AS77" s="487">
        <f t="shared" si="171"/>
        <v>-6.9359251442050772E-5</v>
      </c>
      <c r="AT77" s="480">
        <f t="shared" si="171"/>
        <v>-1.3095641811577438E-3</v>
      </c>
      <c r="AU77" s="487">
        <f t="shared" si="171"/>
        <v>3.0758079930922777E-2</v>
      </c>
      <c r="AV77" s="487">
        <f t="shared" si="171"/>
        <v>4.7279341613019978E-2</v>
      </c>
      <c r="AW77" s="487">
        <f t="shared" si="171"/>
        <v>8.6156824782187801E-3</v>
      </c>
      <c r="AX77" s="665">
        <f>AW77</f>
        <v>8.6156824782187801E-3</v>
      </c>
      <c r="AZ77" s="487">
        <f>AZ76/AZ72</f>
        <v>2.1109803065006896E-2</v>
      </c>
      <c r="BF77" s="479"/>
      <c r="BG77" s="479"/>
      <c r="BH77" s="479"/>
      <c r="BI77" s="480">
        <f t="shared" ref="BI77:CA77" si="172">BI76/BI72</f>
        <v>-1.2814735346875224E-2</v>
      </c>
      <c r="BJ77" s="479">
        <f t="shared" si="172"/>
        <v>-2.0865465580163913E-2</v>
      </c>
      <c r="BK77" s="479">
        <f t="shared" si="172"/>
        <v>-2.5445226079963433E-2</v>
      </c>
      <c r="BL77" s="479">
        <f t="shared" si="172"/>
        <v>-2.3230332934279906E-2</v>
      </c>
      <c r="BM77" s="480">
        <f t="shared" si="172"/>
        <v>-1.1978938050829687E-2</v>
      </c>
      <c r="BN77" s="479">
        <f t="shared" si="172"/>
        <v>-8.5799683406714133E-3</v>
      </c>
      <c r="BO77" s="479">
        <f t="shared" si="172"/>
        <v>-4.4449738060877301E-3</v>
      </c>
      <c r="BP77" s="479">
        <f t="shared" si="172"/>
        <v>2.6999358320475269E-3</v>
      </c>
      <c r="BQ77" s="480">
        <f t="shared" si="172"/>
        <v>3.5268418308427628E-4</v>
      </c>
      <c r="BR77" s="479">
        <f t="shared" si="172"/>
        <v>1.4840121277736357E-3</v>
      </c>
      <c r="BS77" s="479">
        <f t="shared" si="172"/>
        <v>1.8495124100103455E-3</v>
      </c>
      <c r="BT77" s="479">
        <f t="shared" si="172"/>
        <v>1.5134832223796062E-3</v>
      </c>
      <c r="BU77" s="480">
        <f t="shared" si="172"/>
        <v>7.9926308855889951E-4</v>
      </c>
      <c r="BV77" s="479">
        <f t="shared" si="172"/>
        <v>4.5261065650436421E-4</v>
      </c>
      <c r="BW77" s="479">
        <f t="shared" si="172"/>
        <v>3.2732862977981933E-4</v>
      </c>
      <c r="BX77" s="479">
        <f t="shared" si="172"/>
        <v>2.3723989410568189E-4</v>
      </c>
      <c r="BY77" s="480">
        <f t="shared" si="172"/>
        <v>-2.6468646845549741E-4</v>
      </c>
      <c r="BZ77" s="479">
        <f t="shared" si="172"/>
        <v>4.2176865120291873E-3</v>
      </c>
      <c r="CA77" s="479">
        <f t="shared" si="172"/>
        <v>1.2721369648085916E-2</v>
      </c>
      <c r="CB77" s="479">
        <f>CB76/CB72</f>
        <v>1.7119566053768395E-2</v>
      </c>
    </row>
    <row r="78" spans="1:82" ht="15">
      <c r="C78" s="43"/>
      <c r="D78" s="43"/>
      <c r="E78" s="43"/>
      <c r="F78" s="43"/>
      <c r="G78" s="43"/>
      <c r="BI78" s="1149">
        <f t="shared" ref="BI78:BR79" si="173">SUM(AA78:AD78)</f>
        <v>0</v>
      </c>
      <c r="BJ78" s="415">
        <f t="shared" si="173"/>
        <v>0</v>
      </c>
      <c r="BK78" s="415">
        <f t="shared" si="173"/>
        <v>0</v>
      </c>
      <c r="BL78" s="415">
        <f t="shared" si="173"/>
        <v>0</v>
      </c>
      <c r="BM78" s="1149">
        <f t="shared" si="173"/>
        <v>0</v>
      </c>
      <c r="BN78" s="415">
        <f t="shared" si="173"/>
        <v>0</v>
      </c>
      <c r="BO78" s="415">
        <f t="shared" si="173"/>
        <v>0</v>
      </c>
      <c r="BP78" s="415">
        <f t="shared" si="173"/>
        <v>0</v>
      </c>
      <c r="BQ78" s="1149">
        <f t="shared" si="173"/>
        <v>0</v>
      </c>
      <c r="BR78" s="415">
        <f t="shared" si="173"/>
        <v>0</v>
      </c>
      <c r="BS78" s="415">
        <f t="shared" ref="BS78:CA79" si="174">SUM(AK78:AN78)</f>
        <v>0</v>
      </c>
      <c r="BT78" s="415">
        <f t="shared" si="174"/>
        <v>0</v>
      </c>
      <c r="BU78" s="1149">
        <f t="shared" si="174"/>
        <v>0</v>
      </c>
      <c r="BV78" s="415">
        <f t="shared" si="174"/>
        <v>0</v>
      </c>
      <c r="BW78" s="415">
        <f t="shared" si="174"/>
        <v>0</v>
      </c>
      <c r="BX78" s="415">
        <f t="shared" si="174"/>
        <v>0</v>
      </c>
      <c r="BY78" s="1149">
        <f t="shared" si="174"/>
        <v>0</v>
      </c>
      <c r="BZ78" s="415">
        <f t="shared" si="174"/>
        <v>0</v>
      </c>
      <c r="CA78" s="415">
        <f t="shared" si="174"/>
        <v>0</v>
      </c>
      <c r="CB78" s="415">
        <f>SUM(AT78:AW78)</f>
        <v>0</v>
      </c>
    </row>
    <row r="79" spans="1:82" ht="15">
      <c r="A79" s="1128" t="s">
        <v>523</v>
      </c>
      <c r="C79" s="415">
        <f t="shared" ref="C79:H79" si="175">C72-C76</f>
        <v>63.692910040000022</v>
      </c>
      <c r="D79" s="415">
        <f t="shared" si="175"/>
        <v>51.403317117999975</v>
      </c>
      <c r="E79" s="415">
        <f t="shared" si="175"/>
        <v>127.93989931799996</v>
      </c>
      <c r="F79" s="415">
        <f t="shared" si="175"/>
        <v>103.570937437</v>
      </c>
      <c r="G79" s="415">
        <f>G72-G76</f>
        <v>66.727109230000025</v>
      </c>
      <c r="H79" s="415">
        <f t="shared" si="175"/>
        <v>79.21107410499998</v>
      </c>
      <c r="I79" s="415">
        <f t="shared" ref="I79:S79" si="176">I72-I76</f>
        <v>110.96174412000001</v>
      </c>
      <c r="J79" s="415">
        <f t="shared" si="176"/>
        <v>164.44003141099995</v>
      </c>
      <c r="K79" s="415">
        <f t="shared" si="176"/>
        <v>267.13104612900003</v>
      </c>
      <c r="L79" s="415">
        <f t="shared" si="176"/>
        <v>654.35570736900024</v>
      </c>
      <c r="M79" s="1147">
        <f t="shared" si="176"/>
        <v>683.89078448000021</v>
      </c>
      <c r="N79" s="415">
        <f t="shared" si="176"/>
        <v>389.98855179581665</v>
      </c>
      <c r="O79" s="415">
        <f t="shared" si="176"/>
        <v>507.18363595488461</v>
      </c>
      <c r="P79" s="415">
        <f t="shared" si="176"/>
        <v>589.21080517750067</v>
      </c>
      <c r="Q79" s="415">
        <f t="shared" si="176"/>
        <v>688.09522076477333</v>
      </c>
      <c r="R79" s="415">
        <f t="shared" si="176"/>
        <v>828.54356993049475</v>
      </c>
      <c r="S79" s="415">
        <f t="shared" si="176"/>
        <v>992.44379164751342</v>
      </c>
      <c r="T79" s="415"/>
      <c r="U79" s="415"/>
      <c r="V79" s="415"/>
      <c r="W79" s="415"/>
      <c r="X79" s="415"/>
      <c r="Y79" s="415"/>
      <c r="Z79" s="415"/>
      <c r="AA79" s="415">
        <f>AA72-AA76</f>
        <v>19.054556740999999</v>
      </c>
      <c r="AB79" s="415">
        <f t="shared" ref="AB79:AI79" si="177">AB72-AB76</f>
        <v>23.047331669000013</v>
      </c>
      <c r="AC79" s="415">
        <f t="shared" si="177"/>
        <v>36.628490393999996</v>
      </c>
      <c r="AD79" s="1149">
        <f t="shared" si="177"/>
        <v>32.30300622899999</v>
      </c>
      <c r="AE79" s="415">
        <f t="shared" si="177"/>
        <v>25.027886407000008</v>
      </c>
      <c r="AF79" s="415">
        <f t="shared" si="177"/>
        <v>33.460073426000001</v>
      </c>
      <c r="AG79" s="415">
        <f t="shared" si="177"/>
        <v>51.981421083999983</v>
      </c>
      <c r="AH79" s="1149">
        <f t="shared" si="177"/>
        <v>50.11247642099999</v>
      </c>
      <c r="AI79" s="415">
        <f t="shared" si="177"/>
        <v>44.958325183999996</v>
      </c>
      <c r="AJ79" s="415">
        <f t="shared" ref="AJ79:AW79" si="178">AJ72-AJ76</f>
        <v>48.44521542599999</v>
      </c>
      <c r="AK79" s="415">
        <f t="shared" si="178"/>
        <v>75.073702708999988</v>
      </c>
      <c r="AL79" s="1149">
        <f t="shared" si="178"/>
        <v>63.250231475999996</v>
      </c>
      <c r="AM79" s="415">
        <f t="shared" si="178"/>
        <v>106.71292713799998</v>
      </c>
      <c r="AN79" s="415">
        <f t="shared" si="178"/>
        <v>116.44707976600003</v>
      </c>
      <c r="AO79" s="415">
        <f t="shared" si="178"/>
        <v>107.21532574000004</v>
      </c>
      <c r="AP79" s="1149">
        <f t="shared" si="178"/>
        <v>327.01441411699989</v>
      </c>
      <c r="AQ79" s="415">
        <f t="shared" si="178"/>
        <v>210.83820477100002</v>
      </c>
      <c r="AR79" s="415">
        <f t="shared" si="178"/>
        <v>136.88472226100001</v>
      </c>
      <c r="AS79" s="415">
        <f t="shared" si="178"/>
        <v>180.30597330299997</v>
      </c>
      <c r="AT79" s="1149">
        <f t="shared" si="178"/>
        <v>155.75438674700001</v>
      </c>
      <c r="AU79" s="415">
        <f t="shared" si="178"/>
        <v>79.389136336999997</v>
      </c>
      <c r="AV79" s="415">
        <f t="shared" si="178"/>
        <v>83.016354848999995</v>
      </c>
      <c r="AW79" s="415">
        <f t="shared" si="178"/>
        <v>102.41</v>
      </c>
      <c r="AX79" s="1147">
        <f>AX72-AX76</f>
        <v>141.23514681188328</v>
      </c>
      <c r="AZ79" s="415">
        <f>SUM(AU79:AX79)</f>
        <v>406.05063799788331</v>
      </c>
      <c r="BI79" s="1149">
        <f t="shared" si="173"/>
        <v>111.033385033</v>
      </c>
      <c r="BJ79" s="415">
        <f t="shared" si="173"/>
        <v>117.00671469900001</v>
      </c>
      <c r="BK79" s="415">
        <f t="shared" si="173"/>
        <v>127.41945645600001</v>
      </c>
      <c r="BL79" s="415">
        <f t="shared" si="173"/>
        <v>142.77238714599997</v>
      </c>
      <c r="BM79" s="1149">
        <f t="shared" si="173"/>
        <v>160.58185733799999</v>
      </c>
      <c r="BN79" s="415">
        <f t="shared" si="173"/>
        <v>180.51229611499997</v>
      </c>
      <c r="BO79" s="415">
        <f t="shared" si="173"/>
        <v>195.49743811499997</v>
      </c>
      <c r="BP79" s="415">
        <f t="shared" si="173"/>
        <v>218.58971973999996</v>
      </c>
      <c r="BQ79" s="1149">
        <f t="shared" si="173"/>
        <v>231.72747479499998</v>
      </c>
      <c r="BR79" s="415">
        <f t="shared" si="173"/>
        <v>293.48207674899999</v>
      </c>
      <c r="BS79" s="415">
        <f t="shared" si="174"/>
        <v>361.48394108900004</v>
      </c>
      <c r="BT79" s="415">
        <f t="shared" si="174"/>
        <v>393.62556412000004</v>
      </c>
      <c r="BU79" s="1149">
        <f t="shared" si="174"/>
        <v>657.38974676099997</v>
      </c>
      <c r="BV79" s="415">
        <f t="shared" si="174"/>
        <v>761.51502439400008</v>
      </c>
      <c r="BW79" s="415">
        <f t="shared" si="174"/>
        <v>781.95266688899994</v>
      </c>
      <c r="BX79" s="415">
        <f t="shared" si="174"/>
        <v>855.04331445199989</v>
      </c>
      <c r="BY79" s="1149">
        <f t="shared" si="174"/>
        <v>683.78328708200002</v>
      </c>
      <c r="BZ79" s="415">
        <f t="shared" si="174"/>
        <v>552.33421864799993</v>
      </c>
      <c r="CA79" s="415">
        <f t="shared" si="174"/>
        <v>498.46585123599993</v>
      </c>
      <c r="CB79" s="415">
        <f>SUM(AT79:AW79)</f>
        <v>420.56987793300004</v>
      </c>
    </row>
    <row r="80" spans="1:82" s="473" customFormat="1" ht="15">
      <c r="A80" s="513" t="s">
        <v>524</v>
      </c>
      <c r="B80" s="472"/>
      <c r="C80" s="479">
        <f t="shared" ref="C80:H80" si="179">C79/C$7</f>
        <v>2.9767558656685005E-2</v>
      </c>
      <c r="D80" s="487">
        <f t="shared" si="179"/>
        <v>1.68134794387544E-2</v>
      </c>
      <c r="E80" s="487">
        <f t="shared" si="179"/>
        <v>2.623566099463304E-2</v>
      </c>
      <c r="F80" s="487">
        <f t="shared" si="179"/>
        <v>2.464005992615385E-2</v>
      </c>
      <c r="G80" s="487">
        <f t="shared" si="179"/>
        <v>1.7559426339261261E-2</v>
      </c>
      <c r="H80" s="487">
        <f t="shared" si="179"/>
        <v>2.0730761609277677E-2</v>
      </c>
      <c r="I80" s="487">
        <f t="shared" ref="I80:S80" si="180">I79/I$7</f>
        <v>1.8688700894862471E-2</v>
      </c>
      <c r="J80" s="487">
        <f t="shared" si="180"/>
        <v>1.9373079903600363E-2</v>
      </c>
      <c r="K80" s="487">
        <f t="shared" si="180"/>
        <v>2.1309729077476764E-2</v>
      </c>
      <c r="L80" s="487">
        <f t="shared" si="180"/>
        <v>3.1274747459056076E-2</v>
      </c>
      <c r="M80" s="663">
        <f t="shared" si="180"/>
        <v>3.1046240939948143E-2</v>
      </c>
      <c r="N80" s="487">
        <f t="shared" si="180"/>
        <v>1.9392649684748908E-2</v>
      </c>
      <c r="O80" s="487">
        <f t="shared" si="180"/>
        <v>2.209912645137074E-2</v>
      </c>
      <c r="P80" s="487">
        <f t="shared" si="180"/>
        <v>2.2665323462398478E-2</v>
      </c>
      <c r="Q80" s="487">
        <f t="shared" si="180"/>
        <v>2.3825589158455902E-2</v>
      </c>
      <c r="R80" s="487">
        <f t="shared" si="180"/>
        <v>2.5844811047688234E-2</v>
      </c>
      <c r="S80" s="487">
        <f t="shared" si="180"/>
        <v>2.7908710380178926E-2</v>
      </c>
      <c r="T80" s="487"/>
      <c r="U80" s="487"/>
      <c r="V80" s="487"/>
      <c r="W80" s="487"/>
      <c r="X80" s="488"/>
      <c r="Y80" s="487"/>
      <c r="Z80" s="487"/>
      <c r="AA80" s="487">
        <f>AA79/AA$7</f>
        <v>1.506864801988597E-2</v>
      </c>
      <c r="AB80" s="487">
        <f t="shared" ref="AB80:AI80" si="181">AB79/AB$7</f>
        <v>1.679077575198407E-2</v>
      </c>
      <c r="AC80" s="487">
        <f t="shared" si="181"/>
        <v>2.1024868727699351E-2</v>
      </c>
      <c r="AD80" s="480">
        <f t="shared" si="181"/>
        <v>2.0697498837286808E-2</v>
      </c>
      <c r="AE80" s="487">
        <f t="shared" si="181"/>
        <v>1.8244634034319692E-2</v>
      </c>
      <c r="AF80" s="487">
        <f t="shared" si="181"/>
        <v>1.6712035788516436E-2</v>
      </c>
      <c r="AG80" s="487">
        <f t="shared" si="181"/>
        <v>1.9881611283664332E-2</v>
      </c>
      <c r="AH80" s="480">
        <f t="shared" si="181"/>
        <v>2.0046542174035859E-2</v>
      </c>
      <c r="AI80" s="487">
        <f t="shared" si="181"/>
        <v>1.9456454965646852E-2</v>
      </c>
      <c r="AJ80" s="487">
        <f t="shared" ref="AJ80:AW80" si="182">AJ79/AJ$7</f>
        <v>1.8762843501351545E-2</v>
      </c>
      <c r="AK80" s="487">
        <f t="shared" si="182"/>
        <v>2.0714133874620382E-2</v>
      </c>
      <c r="AL80" s="480">
        <f t="shared" si="182"/>
        <v>1.5744944819370641E-2</v>
      </c>
      <c r="AM80" s="487">
        <f t="shared" si="182"/>
        <v>2.1313609647639474E-2</v>
      </c>
      <c r="AN80" s="487">
        <f t="shared" si="182"/>
        <v>2.7610185613889029E-2</v>
      </c>
      <c r="AO80" s="487">
        <f t="shared" si="182"/>
        <v>2.8029241001010362E-2</v>
      </c>
      <c r="AP80" s="480">
        <f t="shared" si="182"/>
        <v>4.1281601311450124E-2</v>
      </c>
      <c r="AQ80" s="487">
        <f t="shared" si="182"/>
        <v>3.0082354642653731E-2</v>
      </c>
      <c r="AR80" s="487">
        <f t="shared" si="182"/>
        <v>2.7877831398342007E-2</v>
      </c>
      <c r="AS80" s="487">
        <f t="shared" si="182"/>
        <v>2.9727849506222131E-2</v>
      </c>
      <c r="AT80" s="480">
        <f t="shared" si="182"/>
        <v>3.822078465722286E-2</v>
      </c>
      <c r="AU80" s="487">
        <f t="shared" si="182"/>
        <v>2.0048130196162705E-2</v>
      </c>
      <c r="AV80" s="487">
        <f t="shared" si="182"/>
        <v>1.8063500554606836E-2</v>
      </c>
      <c r="AW80" s="487">
        <f t="shared" si="182"/>
        <v>1.8920107302004892E-2</v>
      </c>
      <c r="AX80" s="663">
        <f>AX79/AX$7</f>
        <v>2.2996368612430942E-2</v>
      </c>
      <c r="AZ80" s="487">
        <f>AZ79/AZ$7</f>
        <v>2.0191356235206834E-2</v>
      </c>
      <c r="BF80" s="479"/>
      <c r="BG80" s="479"/>
      <c r="BH80" s="479"/>
      <c r="BI80" s="480">
        <f t="shared" ref="BI80:CA80" si="183">BI79/BI$7</f>
        <v>1.8692469162448936E-2</v>
      </c>
      <c r="BJ80" s="479">
        <f t="shared" si="183"/>
        <v>1.9348638865571578E-2</v>
      </c>
      <c r="BK80" s="479">
        <f t="shared" si="183"/>
        <v>1.9083854795908871E-2</v>
      </c>
      <c r="BL80" s="479">
        <f t="shared" si="183"/>
        <v>1.8912212291378939E-2</v>
      </c>
      <c r="BM80" s="480">
        <f t="shared" si="183"/>
        <v>1.891801701964713E-2</v>
      </c>
      <c r="BN80" s="479">
        <f t="shared" si="183"/>
        <v>1.9147980771903501E-2</v>
      </c>
      <c r="BO80" s="479">
        <f t="shared" si="183"/>
        <v>1.9535979637914681E-2</v>
      </c>
      <c r="BP80" s="479">
        <f t="shared" si="183"/>
        <v>1.9841539527568529E-2</v>
      </c>
      <c r="BQ80" s="480">
        <f t="shared" si="183"/>
        <v>1.8487700361388731E-2</v>
      </c>
      <c r="BR80" s="479">
        <f t="shared" si="183"/>
        <v>1.9269713727860675E-2</v>
      </c>
      <c r="BS80" s="479">
        <f t="shared" si="183"/>
        <v>2.1432968877821104E-2</v>
      </c>
      <c r="BT80" s="479">
        <f t="shared" si="183"/>
        <v>2.3064034858764494E-2</v>
      </c>
      <c r="BU80" s="480">
        <f t="shared" si="183"/>
        <v>3.1347539598565455E-2</v>
      </c>
      <c r="BV80" s="479">
        <f t="shared" si="183"/>
        <v>3.314837971584661E-2</v>
      </c>
      <c r="BW80" s="479">
        <f t="shared" si="183"/>
        <v>3.3041824048897661E-2</v>
      </c>
      <c r="BX80" s="479">
        <f t="shared" si="183"/>
        <v>3.3006069853579692E-2</v>
      </c>
      <c r="BY80" s="480">
        <f t="shared" si="183"/>
        <v>3.0997635853833611E-2</v>
      </c>
      <c r="BZ80" s="479">
        <f t="shared" si="183"/>
        <v>2.9054265573613222E-2</v>
      </c>
      <c r="CA80" s="479">
        <f t="shared" si="183"/>
        <v>2.66615205738371E-2</v>
      </c>
      <c r="CB80" s="479">
        <f>CB79/CB$7</f>
        <v>2.3308513465997743E-2</v>
      </c>
    </row>
    <row r="81" spans="1:80" s="427" customFormat="1" ht="15">
      <c r="A81" s="512" t="s">
        <v>477</v>
      </c>
      <c r="B81" s="431"/>
      <c r="C81" s="428" t="e">
        <f t="shared" ref="C81:S81" si="184">C79/B79-1</f>
        <v>#DIV/0!</v>
      </c>
      <c r="D81" s="432">
        <f t="shared" si="184"/>
        <v>-0.19295072111294664</v>
      </c>
      <c r="E81" s="432">
        <f t="shared" si="184"/>
        <v>1.4889424747493396</v>
      </c>
      <c r="F81" s="432">
        <f t="shared" si="184"/>
        <v>-0.19047194824211866</v>
      </c>
      <c r="G81" s="432">
        <f t="shared" si="184"/>
        <v>-0.35573520061466368</v>
      </c>
      <c r="H81" s="432">
        <f t="shared" si="184"/>
        <v>0.18708985027313685</v>
      </c>
      <c r="I81" s="432">
        <f t="shared" si="184"/>
        <v>0.40083625141747503</v>
      </c>
      <c r="J81" s="432">
        <f t="shared" si="184"/>
        <v>0.48195247573943734</v>
      </c>
      <c r="K81" s="432">
        <f t="shared" si="184"/>
        <v>0.62448914559822155</v>
      </c>
      <c r="L81" s="432">
        <f t="shared" si="184"/>
        <v>1.4495681683251669</v>
      </c>
      <c r="M81" s="664">
        <f t="shared" si="184"/>
        <v>4.51361190532793E-2</v>
      </c>
      <c r="N81" s="432">
        <f t="shared" si="184"/>
        <v>-0.42975024573207776</v>
      </c>
      <c r="O81" s="432">
        <f t="shared" si="184"/>
        <v>0.30050903704585386</v>
      </c>
      <c r="P81" s="432">
        <f t="shared" si="184"/>
        <v>0.16173070936758815</v>
      </c>
      <c r="Q81" s="432">
        <f t="shared" si="184"/>
        <v>0.1678251904383925</v>
      </c>
      <c r="R81" s="432">
        <f t="shared" si="184"/>
        <v>0.20411179285567793</v>
      </c>
      <c r="S81" s="432">
        <f t="shared" si="184"/>
        <v>0.19781726352757523</v>
      </c>
      <c r="T81" s="432"/>
      <c r="U81" s="552"/>
      <c r="V81" s="432"/>
      <c r="W81" s="432"/>
      <c r="X81" s="432"/>
      <c r="Y81" s="432"/>
      <c r="Z81" s="432"/>
      <c r="AA81" s="432" t="e">
        <f>AA79/Z79-1</f>
        <v>#DIV/0!</v>
      </c>
      <c r="AB81" s="432">
        <f>AB79/AA79-1</f>
        <v>0.20954436160714751</v>
      </c>
      <c r="AC81" s="432">
        <f>AC79/AB79-1</f>
        <v>0.58927249887532196</v>
      </c>
      <c r="AD81" s="429">
        <f>AD79/AC79-1</f>
        <v>-0.1180907025780279</v>
      </c>
      <c r="AE81" s="432">
        <f t="shared" ref="AE81:AV81" si="185">AE79/AA79-1</f>
        <v>0.31348562693915083</v>
      </c>
      <c r="AF81" s="432">
        <f t="shared" si="185"/>
        <v>0.45179814767909665</v>
      </c>
      <c r="AG81" s="432">
        <f t="shared" si="185"/>
        <v>0.41915270121301273</v>
      </c>
      <c r="AH81" s="429">
        <f t="shared" si="185"/>
        <v>0.55132547310756386</v>
      </c>
      <c r="AI81" s="432">
        <f t="shared" si="185"/>
        <v>0.7963292805830251</v>
      </c>
      <c r="AJ81" s="432">
        <f t="shared" si="185"/>
        <v>0.44785143801734306</v>
      </c>
      <c r="AK81" s="432">
        <f t="shared" si="185"/>
        <v>0.44424106042972089</v>
      </c>
      <c r="AL81" s="429">
        <f t="shared" si="185"/>
        <v>0.26216535268838825</v>
      </c>
      <c r="AM81" s="432">
        <f t="shared" si="185"/>
        <v>1.3735965853100227</v>
      </c>
      <c r="AN81" s="432">
        <f t="shared" si="185"/>
        <v>1.4036858695338617</v>
      </c>
      <c r="AO81" s="432">
        <f t="shared" si="185"/>
        <v>0.42813424503100794</v>
      </c>
      <c r="AP81" s="429">
        <f t="shared" si="185"/>
        <v>4.1701694442190931</v>
      </c>
      <c r="AQ81" s="432">
        <f t="shared" si="185"/>
        <v>0.97575130235483454</v>
      </c>
      <c r="AR81" s="432">
        <f t="shared" si="185"/>
        <v>0.17551013332467713</v>
      </c>
      <c r="AS81" s="432">
        <f t="shared" si="185"/>
        <v>0.68171828102492227</v>
      </c>
      <c r="AT81" s="429">
        <f t="shared" si="185"/>
        <v>-0.52370788557572912</v>
      </c>
      <c r="AU81" s="432">
        <f t="shared" si="185"/>
        <v>-0.62345943694963735</v>
      </c>
      <c r="AV81" s="432">
        <f t="shared" si="185"/>
        <v>-0.3935308960870626</v>
      </c>
      <c r="AW81" s="432">
        <f>AW79/AS79-1</f>
        <v>-0.43202103555436633</v>
      </c>
      <c r="AX81" s="664">
        <f>AX79/AT79-1</f>
        <v>-9.3218818669300707E-2</v>
      </c>
      <c r="AZ81" s="432">
        <f>AZ79/SUM(AQ79:AT79)-1</f>
        <v>-0.40617057235973464</v>
      </c>
      <c r="BF81" s="428"/>
      <c r="BG81" s="428"/>
      <c r="BH81" s="428"/>
      <c r="BI81" s="429"/>
      <c r="BJ81" s="428" t="e">
        <f t="shared" ref="BJ81:CA81" si="186">BJ79/BF79-1</f>
        <v>#DIV/0!</v>
      </c>
      <c r="BK81" s="428" t="e">
        <f t="shared" si="186"/>
        <v>#DIV/0!</v>
      </c>
      <c r="BL81" s="428" t="e">
        <f t="shared" si="186"/>
        <v>#DIV/0!</v>
      </c>
      <c r="BM81" s="429">
        <f t="shared" si="186"/>
        <v>0.44624841699884943</v>
      </c>
      <c r="BN81" s="428">
        <f t="shared" si="186"/>
        <v>0.5427515983109874</v>
      </c>
      <c r="BO81" s="428">
        <f t="shared" si="186"/>
        <v>0.53428246794090173</v>
      </c>
      <c r="BP81" s="428">
        <f t="shared" si="186"/>
        <v>0.53103638672419695</v>
      </c>
      <c r="BQ81" s="429">
        <f t="shared" si="186"/>
        <v>0.44304891372161337</v>
      </c>
      <c r="BR81" s="428">
        <f t="shared" si="186"/>
        <v>0.62582872782267263</v>
      </c>
      <c r="BS81" s="428">
        <f t="shared" si="186"/>
        <v>0.84904694698024485</v>
      </c>
      <c r="BT81" s="428">
        <f t="shared" si="186"/>
        <v>0.80075057778652736</v>
      </c>
      <c r="BU81" s="429">
        <f t="shared" si="186"/>
        <v>1.8369089480760379</v>
      </c>
      <c r="BV81" s="428">
        <f t="shared" si="186"/>
        <v>1.5947581972621943</v>
      </c>
      <c r="BW81" s="428">
        <f t="shared" si="186"/>
        <v>1.1631740113635569</v>
      </c>
      <c r="BX81" s="428">
        <f t="shared" si="186"/>
        <v>1.172225059527213</v>
      </c>
      <c r="BY81" s="429">
        <f t="shared" si="186"/>
        <v>4.0148999054278933E-2</v>
      </c>
      <c r="BZ81" s="428">
        <f t="shared" si="186"/>
        <v>-0.27469032001366289</v>
      </c>
      <c r="CA81" s="428">
        <f t="shared" si="186"/>
        <v>-0.36253705327312558</v>
      </c>
      <c r="CB81" s="428">
        <f>CB79/BX79-1</f>
        <v>-0.50813032413153869</v>
      </c>
    </row>
    <row r="82" spans="1:80" ht="15" outlineLevel="1">
      <c r="C82" s="43"/>
      <c r="D82" s="43"/>
      <c r="E82" s="43"/>
      <c r="F82" s="43"/>
      <c r="G82" s="43"/>
      <c r="BI82" s="1149">
        <f t="shared" ref="BI82:CA82" si="187">SUM(AA82:AD82)</f>
        <v>0</v>
      </c>
      <c r="BJ82" s="415">
        <f t="shared" si="187"/>
        <v>0</v>
      </c>
      <c r="BK82" s="415">
        <f t="shared" si="187"/>
        <v>0</v>
      </c>
      <c r="BL82" s="415">
        <f t="shared" si="187"/>
        <v>0</v>
      </c>
      <c r="BM82" s="1149">
        <f t="shared" si="187"/>
        <v>0</v>
      </c>
      <c r="BN82" s="415">
        <f t="shared" si="187"/>
        <v>0</v>
      </c>
      <c r="BO82" s="415">
        <f t="shared" si="187"/>
        <v>0</v>
      </c>
      <c r="BP82" s="415">
        <f t="shared" si="187"/>
        <v>0</v>
      </c>
      <c r="BQ82" s="1149">
        <f t="shared" si="187"/>
        <v>0</v>
      </c>
      <c r="BR82" s="415">
        <f t="shared" si="187"/>
        <v>0</v>
      </c>
      <c r="BS82" s="415">
        <f t="shared" si="187"/>
        <v>0</v>
      </c>
      <c r="BT82" s="415">
        <f t="shared" si="187"/>
        <v>0</v>
      </c>
      <c r="BU82" s="1149">
        <f t="shared" si="187"/>
        <v>0</v>
      </c>
      <c r="BV82" s="415">
        <f t="shared" si="187"/>
        <v>0</v>
      </c>
      <c r="BW82" s="415">
        <f t="shared" si="187"/>
        <v>0</v>
      </c>
      <c r="BX82" s="415">
        <f t="shared" si="187"/>
        <v>0</v>
      </c>
      <c r="BY82" s="1149">
        <f t="shared" si="187"/>
        <v>0</v>
      </c>
      <c r="BZ82" s="415">
        <f t="shared" si="187"/>
        <v>0</v>
      </c>
      <c r="CA82" s="415">
        <f t="shared" si="187"/>
        <v>0</v>
      </c>
      <c r="CB82" s="415">
        <f>SUM(AT82:AW82)</f>
        <v>0</v>
      </c>
    </row>
    <row r="83" spans="1:80" ht="15" outlineLevel="1">
      <c r="A83" s="1128" t="s">
        <v>525</v>
      </c>
      <c r="C83" s="43"/>
      <c r="D83" s="43"/>
      <c r="E83" s="43"/>
      <c r="F83" s="43"/>
      <c r="G83" s="43"/>
      <c r="U83" s="486"/>
      <c r="Y83" s="43" t="s">
        <v>526</v>
      </c>
      <c r="CB83" s="43"/>
    </row>
    <row r="84" spans="1:80" s="473" customFormat="1" ht="15" outlineLevel="1">
      <c r="A84" s="513" t="s">
        <v>527</v>
      </c>
      <c r="B84" s="472"/>
      <c r="C84" s="490"/>
      <c r="D84" s="490"/>
      <c r="E84" s="490"/>
      <c r="F84" s="490"/>
      <c r="G84" s="490"/>
      <c r="H84" s="490"/>
      <c r="I84" s="490"/>
      <c r="J84" s="490"/>
      <c r="K84" s="490"/>
      <c r="L84" s="490"/>
      <c r="M84" s="696"/>
      <c r="U84" s="58"/>
      <c r="X84" s="427"/>
      <c r="AD84" s="474"/>
      <c r="AH84" s="474"/>
      <c r="AL84" s="474"/>
      <c r="AP84" s="474"/>
      <c r="AT84" s="474"/>
      <c r="AX84" s="668"/>
      <c r="BI84" s="474"/>
      <c r="BM84" s="474"/>
      <c r="BQ84" s="474"/>
      <c r="BU84" s="474"/>
      <c r="BY84" s="474"/>
    </row>
    <row r="85" spans="1:80" ht="15" outlineLevel="1">
      <c r="C85" s="43"/>
      <c r="D85" s="43"/>
      <c r="E85" s="43"/>
      <c r="F85" s="43"/>
      <c r="G85" s="43"/>
      <c r="U85" s="58"/>
      <c r="CB85" s="43"/>
    </row>
    <row r="86" spans="1:80" ht="15" outlineLevel="1">
      <c r="A86" s="1128" t="s">
        <v>528</v>
      </c>
      <c r="C86" s="43"/>
      <c r="D86" s="43"/>
      <c r="E86" s="43"/>
      <c r="F86" s="43"/>
      <c r="G86" s="43"/>
      <c r="U86" s="58"/>
      <c r="CB86" s="43"/>
    </row>
    <row r="87" spans="1:80" s="427" customFormat="1" ht="15" outlineLevel="1">
      <c r="A87" s="512" t="s">
        <v>529</v>
      </c>
      <c r="B87" s="431"/>
      <c r="C87" s="491"/>
      <c r="D87" s="491"/>
      <c r="E87" s="491"/>
      <c r="F87" s="491"/>
      <c r="G87" s="491"/>
      <c r="H87" s="491"/>
      <c r="I87" s="491"/>
      <c r="J87" s="491"/>
      <c r="K87" s="491"/>
      <c r="L87" s="491"/>
      <c r="M87" s="697"/>
      <c r="U87" s="58"/>
      <c r="AD87" s="419"/>
      <c r="AH87" s="419"/>
      <c r="AL87" s="419"/>
      <c r="AP87" s="419"/>
      <c r="AT87" s="419"/>
      <c r="AX87" s="670"/>
      <c r="BI87" s="419"/>
      <c r="BM87" s="419"/>
      <c r="BQ87" s="419"/>
      <c r="BU87" s="419"/>
      <c r="BY87" s="419"/>
    </row>
    <row r="88" spans="1:80" ht="15">
      <c r="C88" s="43"/>
      <c r="D88" s="43"/>
      <c r="E88" s="43"/>
      <c r="F88" s="43"/>
      <c r="G88" s="43"/>
      <c r="O88" s="58"/>
      <c r="P88" s="415"/>
      <c r="Q88" s="415">
        <v>4150</v>
      </c>
      <c r="U88" s="1525"/>
      <c r="Z88" s="43" t="s">
        <v>73</v>
      </c>
      <c r="AA88" s="415">
        <f>AA72-'A. Raw FS'!AA32</f>
        <v>0</v>
      </c>
      <c r="AB88" s="415">
        <f>AB72-'A. Raw FS'!AB32</f>
        <v>0</v>
      </c>
      <c r="AC88" s="415">
        <f>AC72-'A. Raw FS'!AC32</f>
        <v>0</v>
      </c>
      <c r="AD88" s="1149">
        <f>AD72-'A. Raw FS'!AD32</f>
        <v>0</v>
      </c>
      <c r="AE88" s="415">
        <f>AE72-'A. Raw FS'!AE32</f>
        <v>0</v>
      </c>
      <c r="AF88" s="415">
        <f>AF72-'A. Raw FS'!AF32</f>
        <v>0</v>
      </c>
      <c r="AG88" s="415">
        <f>AG72-'A. Raw FS'!AG32</f>
        <v>0</v>
      </c>
      <c r="AH88" s="1149">
        <f>AH72-'A. Raw FS'!AH32</f>
        <v>0</v>
      </c>
      <c r="AI88" s="415">
        <f>AI72-'A. Raw FS'!AI32</f>
        <v>0</v>
      </c>
      <c r="AJ88" s="415">
        <f>AJ72-'A. Raw FS'!AJ32</f>
        <v>0</v>
      </c>
      <c r="AK88" s="415">
        <f>AK72-'A. Raw FS'!AK32</f>
        <v>0</v>
      </c>
      <c r="AL88" s="1149">
        <f>AL72-'A. Raw FS'!AL32</f>
        <v>-21.634387426000004</v>
      </c>
      <c r="AM88" s="415">
        <f>AM72-'A. Raw FS'!AM32</f>
        <v>0</v>
      </c>
      <c r="AN88" s="415">
        <f>AN72-'A. Raw FS'!AN32</f>
        <v>0</v>
      </c>
      <c r="AO88" s="415">
        <f>AO72-'A. Raw FS'!AO32</f>
        <v>0</v>
      </c>
      <c r="AP88" s="1149">
        <f>AP72-'A. Raw FS'!AP32</f>
        <v>0</v>
      </c>
      <c r="AQ88" s="415">
        <f>AQ72-'A. Raw FS'!AQ32</f>
        <v>0</v>
      </c>
      <c r="AR88" s="415">
        <f>AR72-'A. Raw FS'!AR32</f>
        <v>0</v>
      </c>
      <c r="AS88" s="415">
        <f>AS72-'A. Raw FS'!AS32</f>
        <v>0</v>
      </c>
      <c r="AT88" s="1149">
        <f>AT72-'A. Raw FS'!AT32</f>
        <v>0</v>
      </c>
      <c r="AU88" s="415">
        <f>AU72-'A. Raw FS'!AU32</f>
        <v>0</v>
      </c>
      <c r="AV88" s="415">
        <f>AV72-'A. Raw FS'!AV32</f>
        <v>0</v>
      </c>
      <c r="AW88" s="415">
        <f>AW72-'A. Raw FS'!AW32</f>
        <v>0</v>
      </c>
      <c r="CB88" s="43"/>
    </row>
    <row r="89" spans="1:80" s="397" customFormat="1" ht="15">
      <c r="A89" s="511" t="s">
        <v>290</v>
      </c>
      <c r="B89" s="410"/>
      <c r="C89" s="417">
        <f>C72/'A. FCFF'!$K$32*10^3</f>
        <v>381.22808563879414</v>
      </c>
      <c r="D89" s="466">
        <f>D72/'A. FCFF'!$K$32*10^3</f>
        <v>307.66985160628064</v>
      </c>
      <c r="E89" s="466">
        <f>E72/'A. FCFF'!$K$32*10^3</f>
        <v>765.77256186269813</v>
      </c>
      <c r="F89" s="466">
        <f>F72/'A. FCFF'!$K$32*10^3</f>
        <v>619.91437009435174</v>
      </c>
      <c r="G89" s="466">
        <f>G72/'A. FCFF'!$K$32*10^3</f>
        <v>399.38900728492467</v>
      </c>
      <c r="H89" s="466">
        <f>H72/'A. FCFF'!$K$32*10^3</f>
        <v>469.6819138982944</v>
      </c>
      <c r="I89" s="466">
        <f>I72/'A. FCFF'!$K$32*10^3</f>
        <v>655.73704472992745</v>
      </c>
      <c r="J89" s="466">
        <f>J72/'A. FCFF'!$K$32*10^3</f>
        <v>976.59398312380529</v>
      </c>
      <c r="K89" s="466">
        <f>K72/'A. FCFF'!$K$32*10^3</f>
        <v>1599.8783468593792</v>
      </c>
      <c r="L89" s="466">
        <f>L72/'A. FCFF'!$K$32*10^3</f>
        <v>3919.7336310000701</v>
      </c>
      <c r="M89" s="659">
        <f>M72/'A. FCFF'!$K$32*10^3</f>
        <v>4092.2827182629808</v>
      </c>
      <c r="N89" s="772">
        <f>N72/'A. FCFF'!$K$32*10^3</f>
        <v>2384.5787843875823</v>
      </c>
      <c r="O89" s="772">
        <f>O72/'A. FCFF'!$K$32*10^3</f>
        <v>3062.0831861054285</v>
      </c>
      <c r="P89" s="772">
        <f>P72/'A. FCFF'!$K$32*10^3</f>
        <v>3557.3160719368234</v>
      </c>
      <c r="Q89" s="772">
        <f>Q72/'A. FCFF'!$K$32*10^3</f>
        <v>4154.3233191591753</v>
      </c>
      <c r="R89" s="705">
        <f>R72/'A. FCFF'!$K$32*10^3</f>
        <v>5002.2696999349055</v>
      </c>
      <c r="S89" s="772">
        <f>S72/'A. FCFF'!$K$32*10^3</f>
        <v>5991.8050034029329</v>
      </c>
      <c r="T89" s="417"/>
      <c r="U89" s="618"/>
      <c r="V89" s="406"/>
      <c r="W89" s="417"/>
      <c r="X89" s="417"/>
      <c r="Y89" s="417"/>
      <c r="Z89" s="417"/>
      <c r="AA89" s="417"/>
      <c r="AB89" s="417"/>
      <c r="AC89" s="417"/>
      <c r="AD89" s="467"/>
      <c r="AE89" s="417"/>
      <c r="AF89" s="417"/>
      <c r="AG89" s="417"/>
      <c r="AH89" s="467"/>
      <c r="AI89" s="417"/>
      <c r="AJ89" s="417"/>
      <c r="AK89" s="417"/>
      <c r="AL89" s="467"/>
      <c r="AM89" s="417"/>
      <c r="AN89" s="417"/>
      <c r="AO89" s="417"/>
      <c r="AP89" s="467"/>
      <c r="AQ89" s="417"/>
      <c r="AR89" s="417"/>
      <c r="AS89" s="417"/>
      <c r="AT89" s="467"/>
      <c r="AU89" s="417"/>
      <c r="AV89" s="417"/>
      <c r="AW89" s="417"/>
      <c r="AX89" s="676"/>
      <c r="AZ89" s="417"/>
      <c r="BI89" s="468"/>
      <c r="BM89" s="468"/>
      <c r="BQ89" s="468"/>
      <c r="BU89" s="468"/>
      <c r="BY89" s="468"/>
    </row>
    <row r="90" spans="1:80" s="427" customFormat="1" ht="15">
      <c r="A90" s="512" t="s">
        <v>477</v>
      </c>
      <c r="B90" s="431"/>
      <c r="C90" s="428" t="e">
        <f t="shared" ref="C90:M90" si="188">C89/B89-1</f>
        <v>#DIV/0!</v>
      </c>
      <c r="D90" s="432">
        <f t="shared" si="188"/>
        <v>-0.19295072111294664</v>
      </c>
      <c r="E90" s="432">
        <f t="shared" si="188"/>
        <v>1.4889424747493392</v>
      </c>
      <c r="F90" s="432">
        <f t="shared" si="188"/>
        <v>-0.19047194824211855</v>
      </c>
      <c r="G90" s="432">
        <f t="shared" si="188"/>
        <v>-0.35573520061466368</v>
      </c>
      <c r="H90" s="432">
        <f t="shared" si="188"/>
        <v>0.17600110501594912</v>
      </c>
      <c r="I90" s="432">
        <f t="shared" si="188"/>
        <v>0.39613007298365277</v>
      </c>
      <c r="J90" s="432">
        <f t="shared" si="188"/>
        <v>0.48930732367884811</v>
      </c>
      <c r="K90" s="432">
        <f t="shared" si="188"/>
        <v>0.63822261298589078</v>
      </c>
      <c r="L90" s="432">
        <f t="shared" si="188"/>
        <v>1.4500198022522484</v>
      </c>
      <c r="M90" s="429">
        <f t="shared" si="188"/>
        <v>4.4020615558738152E-2</v>
      </c>
      <c r="N90" s="432">
        <f>N89/M89-1</f>
        <v>-0.41729862070728441</v>
      </c>
      <c r="O90" s="432">
        <f>O89/N89-1</f>
        <v>0.28411910990470624</v>
      </c>
      <c r="P90" s="432">
        <f t="shared" ref="P90:S90" si="189">P89/O89-1</f>
        <v>0.16173070936758793</v>
      </c>
      <c r="Q90" s="432">
        <f t="shared" si="189"/>
        <v>0.1678251904383925</v>
      </c>
      <c r="R90" s="432">
        <f t="shared" si="189"/>
        <v>0.20411179285567793</v>
      </c>
      <c r="S90" s="432">
        <f t="shared" si="189"/>
        <v>0.19781726352757523</v>
      </c>
      <c r="T90" s="432"/>
      <c r="U90" s="43"/>
      <c r="V90" s="432"/>
      <c r="W90" s="432"/>
      <c r="X90" s="432"/>
      <c r="Y90" s="432"/>
      <c r="Z90" s="432"/>
      <c r="AA90" s="432"/>
      <c r="AB90" s="432"/>
      <c r="AC90" s="432"/>
      <c r="AD90" s="429"/>
      <c r="AE90" s="432"/>
      <c r="AF90" s="432"/>
      <c r="AG90" s="432"/>
      <c r="AH90" s="429"/>
      <c r="AI90" s="432"/>
      <c r="AJ90" s="432"/>
      <c r="AK90" s="432"/>
      <c r="AL90" s="429"/>
      <c r="AM90" s="432"/>
      <c r="AN90" s="432"/>
      <c r="AO90" s="432"/>
      <c r="AP90" s="429"/>
      <c r="AQ90" s="432"/>
      <c r="AR90" s="432"/>
      <c r="AS90" s="432"/>
      <c r="AT90" s="429"/>
      <c r="AU90" s="432"/>
      <c r="AV90" s="432"/>
      <c r="AW90" s="432"/>
      <c r="AX90" s="670"/>
      <c r="AZ90" s="432"/>
      <c r="BI90" s="419"/>
      <c r="BM90" s="419"/>
      <c r="BQ90" s="419"/>
      <c r="BU90" s="419"/>
      <c r="BY90" s="419"/>
      <c r="CB90" s="419"/>
    </row>
    <row r="91" spans="1:80" ht="15">
      <c r="C91" s="43"/>
      <c r="D91" s="43"/>
      <c r="E91" s="43"/>
      <c r="F91" s="43"/>
      <c r="G91" s="43"/>
      <c r="M91" s="1130"/>
      <c r="U91" s="1131"/>
      <c r="W91" s="1131"/>
    </row>
    <row r="92" spans="1:80" ht="15">
      <c r="A92" s="1128" t="s">
        <v>530</v>
      </c>
      <c r="C92" s="90">
        <f>'A. Raw FS'!C208</f>
        <v>0</v>
      </c>
      <c r="D92" s="486">
        <f>'A. Raw FS'!D208</f>
        <v>-12.842613374000001</v>
      </c>
      <c r="E92" s="486">
        <f>'A. Raw FS'!E208</f>
        <v>-43.75</v>
      </c>
      <c r="F92" s="486">
        <f>'A. Raw FS'!F208</f>
        <v>-14.632199999999999</v>
      </c>
      <c r="G92" s="486">
        <f>'A. Raw FS'!G208</f>
        <v>-54.492789999999999</v>
      </c>
      <c r="H92" s="486">
        <f>'A. Raw FS'!H208</f>
        <v>-27.720194599999999</v>
      </c>
      <c r="I92" s="486">
        <f>'A. Raw FS'!I208</f>
        <v>-32.480222400000002</v>
      </c>
      <c r="J92" s="486">
        <f>'A. Raw FS'!J208</f>
        <v>-20.900138999999999</v>
      </c>
      <c r="K92" s="486">
        <f>'A. Raw FS'!K208</f>
        <v>-43.000278000000002</v>
      </c>
      <c r="L92" s="486">
        <f>'A. Raw FS'!L208</f>
        <v>-44.200277999999997</v>
      </c>
      <c r="M92" s="984">
        <f>'A. Raw FS'!M208</f>
        <v>-90.597555999999997</v>
      </c>
      <c r="N92" s="486">
        <f t="shared" ref="N92:Q92" si="190">-N94*M72</f>
        <v>-164.09036260536004</v>
      </c>
      <c r="O92" s="486">
        <f t="shared" si="190"/>
        <v>-108.36443803462318</v>
      </c>
      <c r="P92" s="486">
        <f t="shared" si="190"/>
        <v>-155.52376873956095</v>
      </c>
      <c r="Q92" s="486">
        <f t="shared" si="190"/>
        <v>-199.69534220041834</v>
      </c>
      <c r="R92" s="486">
        <f>-R94*Q72</f>
        <v>-277.63006075578983</v>
      </c>
      <c r="S92" s="486">
        <f>-S94*R72</f>
        <v>-334.2976302072849</v>
      </c>
      <c r="T92" s="486"/>
      <c r="U92" s="486"/>
      <c r="V92" s="486"/>
      <c r="W92" s="629"/>
      <c r="AA92" s="486">
        <f>'A. Raw FS'!AA208</f>
        <v>0</v>
      </c>
      <c r="AB92" s="486">
        <f>'A. Raw FS'!AB208</f>
        <v>-32.480222400000002</v>
      </c>
      <c r="AC92" s="486">
        <f>'A. Raw FS'!AC208</f>
        <v>0</v>
      </c>
      <c r="AD92" s="984">
        <f>'A. Raw FS'!AD208</f>
        <v>0</v>
      </c>
      <c r="AE92" s="486">
        <f>'A. Raw FS'!AE208</f>
        <v>0</v>
      </c>
      <c r="AF92" s="486">
        <f>'A. Raw FS'!AF208</f>
        <v>0</v>
      </c>
      <c r="AG92" s="486">
        <f>'A. Raw FS'!AG208</f>
        <v>0</v>
      </c>
      <c r="AH92" s="984">
        <f>'A. Raw FS'!AH208</f>
        <v>-20.900138999999999</v>
      </c>
      <c r="AI92" s="486">
        <f>'A. Raw FS'!AI208</f>
        <v>0</v>
      </c>
      <c r="AJ92" s="486">
        <f>'A. Raw FS'!AJ208</f>
        <v>0</v>
      </c>
      <c r="AK92" s="486">
        <f>'A. Raw FS'!AK208</f>
        <v>-43.000278000000002</v>
      </c>
      <c r="AL92" s="984">
        <f>'A. Raw FS'!AL208</f>
        <v>0</v>
      </c>
      <c r="AM92" s="486">
        <f>'A. Raw FS'!AM208</f>
        <v>0</v>
      </c>
      <c r="AN92" s="486">
        <f>'A. Raw FS'!AN208</f>
        <v>0</v>
      </c>
      <c r="AO92" s="486">
        <f>'A. Raw FS'!AO208</f>
        <v>-44.200277999999997</v>
      </c>
      <c r="AP92" s="984">
        <f>'A. Raw FS'!AP208</f>
        <v>0</v>
      </c>
      <c r="AQ92" s="486">
        <f>'A. Raw FS'!AQ208</f>
        <v>0</v>
      </c>
      <c r="AR92" s="486">
        <f>'A. Raw FS'!AR208</f>
        <v>0</v>
      </c>
      <c r="AS92" s="486">
        <f>'A. Raw FS'!AS208</f>
        <v>-90.597555999999997</v>
      </c>
      <c r="AT92" s="984">
        <f>'A. Raw FS'!AT208</f>
        <v>0</v>
      </c>
      <c r="AU92" s="486">
        <f>'A. Raw FS'!AU208</f>
        <v>0</v>
      </c>
      <c r="AV92" s="486">
        <f>'A. Raw FS'!AV208</f>
        <v>0</v>
      </c>
      <c r="AW92" s="486">
        <f>'A. Raw FS'!AW208</f>
        <v>0</v>
      </c>
      <c r="AX92" s="658">
        <f>-AX93*AT130</f>
        <v>-163.22994300000002</v>
      </c>
      <c r="AY92" s="486"/>
      <c r="AZ92" s="486">
        <f>AX92</f>
        <v>-163.22994300000002</v>
      </c>
    </row>
    <row r="93" spans="1:80" s="473" customFormat="1" ht="15">
      <c r="A93" s="513" t="s">
        <v>531</v>
      </c>
      <c r="B93" s="472"/>
      <c r="C93" s="469">
        <f>-C92/C130</f>
        <v>0</v>
      </c>
      <c r="D93" s="492"/>
      <c r="E93" s="492">
        <f t="shared" ref="E93:M93" si="191">-E92/D130</f>
        <v>0.40500000509142858</v>
      </c>
      <c r="F93" s="492">
        <f t="shared" si="191"/>
        <v>0.13545236741711547</v>
      </c>
      <c r="G93" s="492">
        <f t="shared" si="191"/>
        <v>0.17800347685153745</v>
      </c>
      <c r="H93" s="492">
        <f t="shared" si="191"/>
        <v>9.0549428975855578E-2</v>
      </c>
      <c r="I93" s="492">
        <f t="shared" si="191"/>
        <v>7.9702650293740782E-2</v>
      </c>
      <c r="J93" s="492">
        <f t="shared" si="191"/>
        <v>5.1286485951142165E-2</v>
      </c>
      <c r="K93" s="492">
        <f t="shared" si="191"/>
        <v>0.10249937386397759</v>
      </c>
      <c r="L93" s="492">
        <f t="shared" si="191"/>
        <v>0.10242986917771833</v>
      </c>
      <c r="M93" s="470">
        <f t="shared" si="191"/>
        <v>0.10230997653639202</v>
      </c>
      <c r="N93" s="492">
        <f t="shared" ref="N93" si="192">-N92/M130</f>
        <v>0.10052712118226988</v>
      </c>
      <c r="O93" s="492">
        <f t="shared" ref="O93" si="193">-O92/N130</f>
        <v>6.4801810043643854E-2</v>
      </c>
      <c r="P93" s="492">
        <f t="shared" ref="P93" si="194">-P92/O130</f>
        <v>9.3003035884452842E-2</v>
      </c>
      <c r="Q93" s="492">
        <f t="shared" ref="Q93" si="195">-Q92/P130</f>
        <v>0.11941758630942514</v>
      </c>
      <c r="R93" s="492">
        <f t="shared" ref="R93" si="196">-R92/Q130</f>
        <v>0.16602245889702091</v>
      </c>
      <c r="S93" s="492">
        <f t="shared" ref="S93" si="197">-S92/R130</f>
        <v>0.19990960063679997</v>
      </c>
      <c r="T93" s="601"/>
      <c r="U93" s="601"/>
      <c r="V93" s="601"/>
      <c r="W93" s="601"/>
      <c r="X93" s="427"/>
      <c r="AB93" s="492"/>
      <c r="AC93" s="492"/>
      <c r="AD93" s="470"/>
      <c r="AE93" s="492">
        <f t="shared" ref="AE93:AV93" si="198">-AE92/AA130</f>
        <v>0</v>
      </c>
      <c r="AF93" s="492">
        <f t="shared" si="198"/>
        <v>0</v>
      </c>
      <c r="AG93" s="492">
        <f t="shared" si="198"/>
        <v>0</v>
      </c>
      <c r="AH93" s="470">
        <f t="shared" si="198"/>
        <v>5.1286485951142165E-2</v>
      </c>
      <c r="AI93" s="492">
        <f t="shared" si="198"/>
        <v>0</v>
      </c>
      <c r="AJ93" s="492">
        <f t="shared" si="198"/>
        <v>0</v>
      </c>
      <c r="AK93" s="492">
        <f t="shared" si="198"/>
        <v>0.10249937386397759</v>
      </c>
      <c r="AL93" s="470">
        <f t="shared" si="198"/>
        <v>0</v>
      </c>
      <c r="AM93" s="492">
        <f t="shared" si="198"/>
        <v>0</v>
      </c>
      <c r="AN93" s="492">
        <f t="shared" si="198"/>
        <v>0</v>
      </c>
      <c r="AO93" s="492">
        <f t="shared" si="198"/>
        <v>0.10242986917771833</v>
      </c>
      <c r="AP93" s="470">
        <f t="shared" si="198"/>
        <v>0</v>
      </c>
      <c r="AQ93" s="492">
        <f t="shared" si="198"/>
        <v>0</v>
      </c>
      <c r="AR93" s="492">
        <f t="shared" si="198"/>
        <v>0</v>
      </c>
      <c r="AS93" s="492">
        <f t="shared" si="198"/>
        <v>0.10230997653639202</v>
      </c>
      <c r="AT93" s="470">
        <f t="shared" si="198"/>
        <v>0</v>
      </c>
      <c r="AU93" s="492">
        <f t="shared" si="198"/>
        <v>0</v>
      </c>
      <c r="AV93" s="492">
        <f t="shared" si="198"/>
        <v>0</v>
      </c>
      <c r="AW93" s="492">
        <f>-AW92/AS130</f>
        <v>0</v>
      </c>
      <c r="AX93" s="693">
        <v>0.1</v>
      </c>
      <c r="AZ93" s="492">
        <f>-AZ92/AT130</f>
        <v>0.1</v>
      </c>
      <c r="BI93" s="474"/>
      <c r="BM93" s="474"/>
      <c r="BQ93" s="474"/>
      <c r="BU93" s="474"/>
      <c r="BY93" s="474"/>
      <c r="CB93" s="474"/>
    </row>
    <row r="94" spans="1:80" s="473" customFormat="1" ht="15">
      <c r="A94" s="513" t="s">
        <v>532</v>
      </c>
      <c r="B94" s="472"/>
      <c r="C94" s="469">
        <f>-C92/C72</f>
        <v>0</v>
      </c>
      <c r="D94" s="492"/>
      <c r="E94" s="492">
        <f t="shared" ref="E94:M94" si="199">-E92/D72</f>
        <v>0.8511123883225038</v>
      </c>
      <c r="F94" s="492">
        <f t="shared" si="199"/>
        <v>0.11436776234778062</v>
      </c>
      <c r="G94" s="492">
        <f t="shared" si="199"/>
        <v>0.52613977770691522</v>
      </c>
      <c r="H94" s="492">
        <f t="shared" si="199"/>
        <v>0.41542627756362027</v>
      </c>
      <c r="I94" s="492">
        <f t="shared" si="199"/>
        <v>0.41391289239572643</v>
      </c>
      <c r="J94" s="492">
        <f t="shared" si="199"/>
        <v>0.19077139348737476</v>
      </c>
      <c r="K94" s="492">
        <f t="shared" si="199"/>
        <v>0.26354271501338206</v>
      </c>
      <c r="L94" s="492">
        <f t="shared" si="199"/>
        <v>0.16536052288403894</v>
      </c>
      <c r="M94" s="470">
        <f t="shared" si="199"/>
        <v>0.13834189603549221</v>
      </c>
      <c r="N94" s="936">
        <v>0.24</v>
      </c>
      <c r="O94" s="935">
        <f>N94+($S94-$N94)/5</f>
        <v>0.27200000000000002</v>
      </c>
      <c r="P94" s="935">
        <f>O94+($S94-$N94)/5</f>
        <v>0.30400000000000005</v>
      </c>
      <c r="Q94" s="935">
        <f>P94+($S94-$N94)/5</f>
        <v>0.33600000000000008</v>
      </c>
      <c r="R94" s="935">
        <v>0.4</v>
      </c>
      <c r="S94" s="936">
        <v>0.4</v>
      </c>
      <c r="T94" s="57"/>
      <c r="U94" s="492"/>
      <c r="V94" s="492"/>
      <c r="W94" s="492"/>
      <c r="X94" s="632"/>
      <c r="Y94" s="615"/>
      <c r="AA94" s="492">
        <f>-AA92/AA72</f>
        <v>0</v>
      </c>
      <c r="AB94" s="492">
        <f>-AB92/AB72</f>
        <v>1.4098190318604888</v>
      </c>
      <c r="AC94" s="492">
        <f t="shared" ref="AC94:AV94" si="200">-AC92/AC72</f>
        <v>0</v>
      </c>
      <c r="AD94" s="470">
        <f t="shared" si="200"/>
        <v>0</v>
      </c>
      <c r="AE94" s="492">
        <f t="shared" si="200"/>
        <v>0</v>
      </c>
      <c r="AF94" s="492">
        <f t="shared" si="200"/>
        <v>0</v>
      </c>
      <c r="AG94" s="492">
        <f t="shared" si="200"/>
        <v>0</v>
      </c>
      <c r="AH94" s="470">
        <f t="shared" si="200"/>
        <v>0.41082619515232055</v>
      </c>
      <c r="AI94" s="492">
        <f t="shared" si="200"/>
        <v>0</v>
      </c>
      <c r="AJ94" s="492">
        <f t="shared" si="200"/>
        <v>0</v>
      </c>
      <c r="AK94" s="492">
        <f t="shared" si="200"/>
        <v>0.57190728992371553</v>
      </c>
      <c r="AL94" s="470">
        <f t="shared" si="200"/>
        <v>0</v>
      </c>
      <c r="AM94" s="492">
        <f t="shared" si="200"/>
        <v>0</v>
      </c>
      <c r="AN94" s="492">
        <f t="shared" si="200"/>
        <v>0</v>
      </c>
      <c r="AO94" s="492">
        <f t="shared" si="200"/>
        <v>0.4121008975222667</v>
      </c>
      <c r="AP94" s="470">
        <f t="shared" si="200"/>
        <v>0</v>
      </c>
      <c r="AQ94" s="492">
        <f t="shared" si="200"/>
        <v>0</v>
      </c>
      <c r="AR94" s="492">
        <f t="shared" si="200"/>
        <v>0</v>
      </c>
      <c r="AS94" s="492">
        <f t="shared" si="200"/>
        <v>0.50250048913470546</v>
      </c>
      <c r="AT94" s="470">
        <f t="shared" si="200"/>
        <v>0</v>
      </c>
      <c r="AU94" s="492">
        <f t="shared" si="200"/>
        <v>0</v>
      </c>
      <c r="AV94" s="492">
        <f t="shared" si="200"/>
        <v>0</v>
      </c>
      <c r="AW94" s="492">
        <f>-AW92/AW72</f>
        <v>0</v>
      </c>
      <c r="AX94" s="660">
        <f>-AX92/AX72</f>
        <v>1.1457743294996787</v>
      </c>
      <c r="AZ94" s="492">
        <f>-AZ93/AZ131</f>
        <v>-1.083769762941399E-4</v>
      </c>
      <c r="BI94" s="474"/>
      <c r="BM94" s="474"/>
      <c r="BQ94" s="474"/>
      <c r="BU94" s="474"/>
      <c r="BY94" s="474"/>
      <c r="CB94" s="474"/>
    </row>
    <row r="95" spans="1:80" ht="15">
      <c r="C95" s="43"/>
      <c r="D95" s="57"/>
      <c r="E95" s="57"/>
      <c r="F95" s="57"/>
      <c r="G95" s="57"/>
      <c r="H95" s="57"/>
      <c r="I95" s="57"/>
      <c r="J95" s="57"/>
      <c r="K95" s="57"/>
      <c r="L95" s="57"/>
      <c r="M95" s="993"/>
      <c r="Y95" s="615"/>
    </row>
    <row r="96" spans="1:80" s="427" customFormat="1" ht="15">
      <c r="A96" s="512"/>
      <c r="B96" s="431"/>
      <c r="C96" s="493"/>
      <c r="D96" s="493"/>
      <c r="E96" s="493"/>
      <c r="F96" s="493"/>
      <c r="G96" s="493"/>
      <c r="H96" s="493"/>
      <c r="I96" s="493"/>
      <c r="J96" s="493"/>
      <c r="K96" s="493"/>
      <c r="L96" s="493"/>
      <c r="M96" s="990"/>
      <c r="N96" s="493"/>
      <c r="O96" s="1526">
        <f>'A. FCFF'!P30/O89</f>
        <v>1.8152746576666025E-2</v>
      </c>
      <c r="P96" s="493"/>
      <c r="Q96" s="493"/>
      <c r="R96" s="493"/>
      <c r="S96" s="493"/>
      <c r="T96" s="493"/>
      <c r="U96" s="493"/>
      <c r="V96" s="493"/>
      <c r="W96" s="493"/>
      <c r="X96" s="493"/>
      <c r="Y96" s="615"/>
      <c r="Z96" s="493"/>
      <c r="AA96" s="493"/>
      <c r="AB96" s="493"/>
      <c r="AC96" s="493"/>
      <c r="AD96" s="990"/>
      <c r="AE96" s="493"/>
      <c r="AF96" s="493"/>
      <c r="AG96" s="493"/>
      <c r="AH96" s="990"/>
      <c r="AI96" s="493"/>
      <c r="AJ96" s="493"/>
      <c r="AK96" s="493"/>
      <c r="AL96" s="990"/>
      <c r="AM96" s="493"/>
      <c r="AN96" s="493"/>
      <c r="AO96" s="493"/>
      <c r="AP96" s="990"/>
      <c r="AQ96" s="493"/>
      <c r="AR96" s="493"/>
      <c r="AS96" s="493"/>
      <c r="AT96" s="990"/>
      <c r="AU96" s="493"/>
      <c r="AV96" s="493"/>
      <c r="AW96" s="493"/>
      <c r="AX96" s="672"/>
      <c r="BI96" s="419"/>
      <c r="BM96" s="419"/>
      <c r="BQ96" s="419"/>
      <c r="BU96" s="419"/>
      <c r="BY96" s="419"/>
      <c r="CB96" s="419"/>
    </row>
    <row r="97" spans="1:80" s="427" customFormat="1" ht="15">
      <c r="A97" s="512"/>
      <c r="B97" s="431"/>
      <c r="C97" s="431"/>
      <c r="D97" s="431"/>
      <c r="E97" s="431"/>
      <c r="F97" s="431"/>
      <c r="G97" s="431"/>
      <c r="H97" s="493"/>
      <c r="I97" s="493"/>
      <c r="J97" s="493"/>
      <c r="K97" s="493"/>
      <c r="L97" s="493"/>
      <c r="M97" s="990"/>
      <c r="N97" s="493"/>
      <c r="O97" s="493">
        <f>((S89/O89)^(1/4)-1)</f>
        <v>0.18272879840092338</v>
      </c>
      <c r="P97" s="493">
        <f>(Q89/O89)^(1/2)-1</f>
        <v>0.16477396386824017</v>
      </c>
      <c r="Q97" s="493"/>
      <c r="R97" s="493"/>
      <c r="S97" s="493"/>
      <c r="T97" s="493"/>
      <c r="U97" s="493"/>
      <c r="V97" s="493"/>
      <c r="W97" s="493"/>
      <c r="X97" s="493"/>
      <c r="Y97" s="615"/>
      <c r="Z97" s="493"/>
      <c r="AA97" s="493"/>
      <c r="AB97" s="493"/>
      <c r="AC97" s="493"/>
      <c r="AD97" s="990"/>
      <c r="AE97" s="493"/>
      <c r="AF97" s="493"/>
      <c r="AG97" s="493"/>
      <c r="AH97" s="990"/>
      <c r="AI97" s="493"/>
      <c r="AJ97" s="493"/>
      <c r="AK97" s="493"/>
      <c r="AL97" s="990"/>
      <c r="AM97" s="493"/>
      <c r="AN97" s="493"/>
      <c r="AO97" s="493"/>
      <c r="AP97" s="990"/>
      <c r="AQ97" s="493"/>
      <c r="AR97" s="493"/>
      <c r="AS97" s="493"/>
      <c r="AT97" s="990"/>
      <c r="AU97" s="493"/>
      <c r="AV97" s="493"/>
      <c r="AW97" s="493"/>
      <c r="AX97" s="672"/>
      <c r="BI97" s="419"/>
      <c r="BM97" s="419"/>
      <c r="BQ97" s="419"/>
      <c r="BU97" s="419"/>
      <c r="BY97" s="419"/>
      <c r="CB97" s="419"/>
    </row>
    <row r="98" spans="1:80" ht="15">
      <c r="M98" s="1130"/>
      <c r="O98" s="1131">
        <f>O96/O97*10</f>
        <v>0.99342559769025951</v>
      </c>
      <c r="P98" s="1131">
        <f>O96/P97*10</f>
        <v>1.1016756622533936</v>
      </c>
    </row>
    <row r="99" spans="1:80" s="1360" customFormat="1" ht="15">
      <c r="A99" s="864" t="s">
        <v>533</v>
      </c>
      <c r="B99" s="403"/>
      <c r="C99" s="403"/>
      <c r="D99" s="403"/>
      <c r="E99" s="403"/>
      <c r="F99" s="403"/>
      <c r="G99" s="403"/>
      <c r="H99" s="448"/>
      <c r="M99" s="1362"/>
      <c r="AD99" s="1362"/>
      <c r="AH99" s="1362"/>
      <c r="AL99" s="1362"/>
      <c r="AP99" s="1362"/>
      <c r="AT99" s="1362"/>
      <c r="AX99" s="1361"/>
      <c r="BI99" s="1362"/>
      <c r="BM99" s="1362"/>
      <c r="BQ99" s="1362"/>
      <c r="BU99" s="1362"/>
      <c r="BY99" s="1362"/>
      <c r="CB99" s="1362"/>
    </row>
    <row r="100" spans="1:80" ht="15">
      <c r="A100" s="511"/>
      <c r="B100" s="410"/>
      <c r="C100" s="410"/>
      <c r="D100" s="410"/>
      <c r="E100" s="410"/>
      <c r="F100" s="410"/>
      <c r="G100" s="410"/>
      <c r="H100" s="397"/>
      <c r="M100" s="1130"/>
    </row>
    <row r="101" spans="1:80" s="397" customFormat="1" ht="15">
      <c r="A101" s="511" t="s">
        <v>534</v>
      </c>
      <c r="B101" s="410"/>
      <c r="C101" s="494">
        <f t="shared" ref="C101:H101" si="201">SUM(C102:C106)</f>
        <v>771.54815376800002</v>
      </c>
      <c r="D101" s="494">
        <f t="shared" si="201"/>
        <v>889.59556224599999</v>
      </c>
      <c r="E101" s="494">
        <f t="shared" si="201"/>
        <v>1207.1624764220001</v>
      </c>
      <c r="F101" s="494">
        <f t="shared" si="201"/>
        <v>1171.265320514</v>
      </c>
      <c r="G101" s="494">
        <f t="shared" si="201"/>
        <v>1218.475787544</v>
      </c>
      <c r="H101" s="494">
        <f t="shared" si="201"/>
        <v>1501.889333246</v>
      </c>
      <c r="I101" s="494">
        <f>SUM(I102:I106)</f>
        <v>2118.3325600759999</v>
      </c>
      <c r="J101" s="494">
        <f t="shared" ref="J101:AZ101" si="202">SUM(J102:J106)</f>
        <v>2287.5539651060003</v>
      </c>
      <c r="K101" s="494">
        <f t="shared" si="202"/>
        <v>2862.0044874630003</v>
      </c>
      <c r="L101" s="494">
        <f t="shared" si="202"/>
        <v>6255.8146510909992</v>
      </c>
      <c r="M101" s="673">
        <f t="shared" ref="M101:S101" si="203">SUM(M102:M106)</f>
        <v>5782.3501048570006</v>
      </c>
      <c r="N101" s="494">
        <f t="shared" si="203"/>
        <v>6955.3194476785511</v>
      </c>
      <c r="O101" s="494">
        <f t="shared" si="203"/>
        <v>7546.0076032958523</v>
      </c>
      <c r="P101" s="494">
        <f t="shared" si="203"/>
        <v>8567.9452100654871</v>
      </c>
      <c r="Q101" s="494">
        <f t="shared" si="203"/>
        <v>9570.9190478194887</v>
      </c>
      <c r="R101" s="494">
        <f t="shared" si="203"/>
        <v>10590.97192551541</v>
      </c>
      <c r="S101" s="494">
        <f t="shared" si="203"/>
        <v>11787.982024529361</v>
      </c>
      <c r="T101" s="617"/>
      <c r="U101" s="617"/>
      <c r="V101" s="617"/>
      <c r="W101" s="617"/>
      <c r="X101" s="494"/>
      <c r="Y101" s="494"/>
      <c r="Z101" s="494"/>
      <c r="AA101" s="494">
        <f t="shared" si="202"/>
        <v>1298.055981281</v>
      </c>
      <c r="AB101" s="494">
        <f t="shared" si="202"/>
        <v>1367.4277546340002</v>
      </c>
      <c r="AC101" s="494">
        <f t="shared" si="202"/>
        <v>1563.637291019</v>
      </c>
      <c r="AD101" s="495">
        <f t="shared" si="202"/>
        <v>2122.9164947650002</v>
      </c>
      <c r="AE101" s="494">
        <f t="shared" si="202"/>
        <v>1734.5902498819999</v>
      </c>
      <c r="AF101" s="494">
        <f t="shared" si="202"/>
        <v>2037.464346961</v>
      </c>
      <c r="AG101" s="494">
        <f t="shared" si="202"/>
        <v>1941.4700979499999</v>
      </c>
      <c r="AH101" s="495">
        <f t="shared" si="202"/>
        <v>2306.6406896950002</v>
      </c>
      <c r="AI101" s="494">
        <f t="shared" si="202"/>
        <v>1793.9595132950001</v>
      </c>
      <c r="AJ101" s="494">
        <f t="shared" si="202"/>
        <v>2101.2460088739999</v>
      </c>
      <c r="AK101" s="494">
        <f t="shared" si="202"/>
        <v>2154.6142580830001</v>
      </c>
      <c r="AL101" s="495">
        <f t="shared" si="202"/>
        <v>2860.7820973299999</v>
      </c>
      <c r="AM101" s="494">
        <f t="shared" si="202"/>
        <v>3140.2876057179997</v>
      </c>
      <c r="AN101" s="494">
        <f t="shared" si="202"/>
        <v>3209.2062569630002</v>
      </c>
      <c r="AO101" s="494">
        <f t="shared" si="202"/>
        <v>3544.1687696050003</v>
      </c>
      <c r="AP101" s="495">
        <f t="shared" si="202"/>
        <v>6258.5480748070004</v>
      </c>
      <c r="AQ101" s="494">
        <f t="shared" si="202"/>
        <v>6380.6735328269997</v>
      </c>
      <c r="AR101" s="494">
        <f t="shared" si="202"/>
        <v>5852.9156703529998</v>
      </c>
      <c r="AS101" s="494">
        <f t="shared" si="202"/>
        <v>6076.2409655809997</v>
      </c>
      <c r="AT101" s="495">
        <f t="shared" si="202"/>
        <v>5782.2181048570001</v>
      </c>
      <c r="AU101" s="494">
        <f t="shared" si="202"/>
        <v>5379.0516697120001</v>
      </c>
      <c r="AV101" s="494">
        <f t="shared" si="202"/>
        <v>6023.4219912359995</v>
      </c>
      <c r="AW101" s="494">
        <f>SUM(AW102:AW106)</f>
        <v>6483.71</v>
      </c>
      <c r="AX101" s="673">
        <f>SUM(AX102:AX106)</f>
        <v>6973.1532665494133</v>
      </c>
      <c r="AY101" s="494"/>
      <c r="AZ101" s="494">
        <f t="shared" si="202"/>
        <v>6973.1532665494133</v>
      </c>
      <c r="BA101" s="494"/>
      <c r="BB101" s="494"/>
      <c r="BC101" s="494"/>
      <c r="BD101" s="494"/>
      <c r="BE101" s="494"/>
      <c r="BF101" s="494"/>
      <c r="BG101" s="494"/>
      <c r="BH101" s="494"/>
      <c r="BI101" s="495"/>
      <c r="BJ101" s="494"/>
      <c r="BK101" s="494"/>
      <c r="BL101" s="494"/>
      <c r="BM101" s="495"/>
      <c r="BN101" s="494"/>
      <c r="BO101" s="494"/>
      <c r="BP101" s="494"/>
      <c r="BQ101" s="495"/>
      <c r="BR101" s="494"/>
      <c r="BS101" s="494"/>
      <c r="BT101" s="494"/>
      <c r="BU101" s="495"/>
      <c r="BV101" s="494"/>
      <c r="BW101" s="494"/>
      <c r="BX101" s="494"/>
      <c r="BY101" s="495"/>
      <c r="BZ101" s="494"/>
      <c r="CA101" s="494"/>
      <c r="CB101" s="495"/>
    </row>
    <row r="102" spans="1:80" ht="15">
      <c r="A102" s="1128" t="s">
        <v>535</v>
      </c>
      <c r="C102" s="1364">
        <f>'A. Raw FS'!C45</f>
        <v>20.766254699000001</v>
      </c>
      <c r="D102" s="1364">
        <f>'A. Raw FS'!D45</f>
        <v>151.49192980500001</v>
      </c>
      <c r="E102" s="1364">
        <f>'A. Raw FS'!E45</f>
        <v>68.267019973000004</v>
      </c>
      <c r="F102" s="1364">
        <f>'A. Raw FS'!F45</f>
        <v>31.668848074</v>
      </c>
      <c r="G102" s="1364">
        <f>'A. Raw FS'!G45</f>
        <v>32.823139329</v>
      </c>
      <c r="H102" s="1364">
        <f>'A. Raw FS'!H45</f>
        <v>34.097098070000001</v>
      </c>
      <c r="I102" s="1364">
        <f>'A. Raw FS'!I45</f>
        <v>71.264154680999994</v>
      </c>
      <c r="J102" s="1364">
        <f>'A. Raw FS'!J45</f>
        <v>131.05729112500001</v>
      </c>
      <c r="K102" s="1364">
        <f>'A. Raw FS'!K45</f>
        <v>878.05623956199997</v>
      </c>
      <c r="L102" s="1364">
        <f>'A. Raw FS'!L45</f>
        <v>1494.3321708460001</v>
      </c>
      <c r="M102" s="1368">
        <f>'A. Raw FS'!M45</f>
        <v>827.78377017699995</v>
      </c>
      <c r="N102" s="1364">
        <f t="shared" ref="N102:S102" si="204">N236</f>
        <v>1641.3134523382332</v>
      </c>
      <c r="O102" s="1364">
        <f t="shared" si="204"/>
        <v>2110.443878398572</v>
      </c>
      <c r="P102" s="1364">
        <f t="shared" si="204"/>
        <v>2612.9337793195068</v>
      </c>
      <c r="Q102" s="1364">
        <f t="shared" si="204"/>
        <v>3246.839651340927</v>
      </c>
      <c r="R102" s="1364">
        <f t="shared" si="204"/>
        <v>3908.6656313316189</v>
      </c>
      <c r="S102" s="1364">
        <f t="shared" si="204"/>
        <v>4777.4091630439943</v>
      </c>
      <c r="T102" s="1364"/>
      <c r="U102" s="1364"/>
      <c r="V102" s="1364"/>
      <c r="W102" s="1364"/>
      <c r="X102" s="1364"/>
      <c r="Y102" s="1364"/>
      <c r="Z102" s="1364"/>
      <c r="AA102" s="1364">
        <f>'A. Raw FS'!AA45</f>
        <v>25.151246859</v>
      </c>
      <c r="AB102" s="1364">
        <f>AA236</f>
        <v>114.38847414600014</v>
      </c>
      <c r="AC102" s="1364">
        <f>'A. Raw FS'!AC45</f>
        <v>39.112781099999999</v>
      </c>
      <c r="AD102" s="1365">
        <f>'A. Raw FS'!AD45</f>
        <v>71.264154680999994</v>
      </c>
      <c r="AE102" s="1364">
        <f>'A. Raw FS'!AE45</f>
        <v>97.314924203999993</v>
      </c>
      <c r="AF102" s="1364">
        <f>'A. Raw FS'!AF45</f>
        <v>60.308273927999998</v>
      </c>
      <c r="AG102" s="1364">
        <f>'A. Raw FS'!AG45</f>
        <v>69.152408425000004</v>
      </c>
      <c r="AH102" s="1365">
        <f>'A. Raw FS'!AH45</f>
        <v>131.04014322800001</v>
      </c>
      <c r="AI102" s="1364">
        <f>'A. Raw FS'!AI45</f>
        <v>91.485431539999993</v>
      </c>
      <c r="AJ102" s="1364">
        <f>'A. Raw FS'!AJ45</f>
        <v>266.46600459299998</v>
      </c>
      <c r="AK102" s="1364">
        <f>'A. Raw FS'!AK45</f>
        <v>212.14923732299999</v>
      </c>
      <c r="AL102" s="1365">
        <f>'A. Raw FS'!AL45</f>
        <v>878.05623956199997</v>
      </c>
      <c r="AM102" s="1364">
        <f>'A. Raw FS'!AM45</f>
        <v>823.82739102599999</v>
      </c>
      <c r="AN102" s="1364">
        <f>'A. Raw FS'!AN45</f>
        <v>1024.8433563210001</v>
      </c>
      <c r="AO102" s="1364">
        <f>'A. Raw FS'!AO45</f>
        <v>569.50698307100004</v>
      </c>
      <c r="AP102" s="1365">
        <f>'A. Raw FS'!AP45</f>
        <v>1494.3321708460001</v>
      </c>
      <c r="AQ102" s="1364">
        <f>'A. Raw FS'!AQ45</f>
        <v>536.953075388</v>
      </c>
      <c r="AR102" s="1364">
        <f>'A. Raw FS'!AR45</f>
        <v>156.11075582999999</v>
      </c>
      <c r="AS102" s="1364">
        <f>'A. Raw FS'!AS45</f>
        <v>986.89689539000005</v>
      </c>
      <c r="AT102" s="1365">
        <f>'A. Raw FS'!AT45</f>
        <v>827.78377017699995</v>
      </c>
      <c r="AU102" s="1364">
        <f>'A. Raw FS'!AU45</f>
        <v>128.831134034</v>
      </c>
      <c r="AV102" s="1364">
        <f>'A. Raw FS'!AV45</f>
        <v>963.38231852499996</v>
      </c>
      <c r="AW102" s="1364">
        <f>'A. Raw FS'!AW45</f>
        <v>1562.18</v>
      </c>
      <c r="AX102" s="1368">
        <f>AX236</f>
        <v>1659.1472712090954</v>
      </c>
      <c r="AY102" s="1364"/>
      <c r="AZ102" s="1364">
        <f>AX102</f>
        <v>1659.1472712090954</v>
      </c>
      <c r="BA102" s="1364"/>
      <c r="BB102" s="1364"/>
      <c r="BC102" s="1364"/>
      <c r="BD102" s="1364"/>
      <c r="BE102" s="1364"/>
      <c r="BF102" s="1364"/>
      <c r="BG102" s="1364"/>
      <c r="BH102" s="1364"/>
      <c r="BI102" s="1365"/>
      <c r="BJ102" s="1364"/>
      <c r="BK102" s="1364"/>
      <c r="BL102" s="1364"/>
      <c r="BM102" s="1365"/>
      <c r="BN102" s="1364"/>
      <c r="BO102" s="1364"/>
      <c r="BP102" s="1364"/>
      <c r="BQ102" s="1365"/>
      <c r="BR102" s="1364"/>
      <c r="BS102" s="1364"/>
      <c r="BT102" s="1364"/>
      <c r="BU102" s="1365"/>
      <c r="BV102" s="1364"/>
      <c r="BW102" s="1364"/>
      <c r="BX102" s="1364"/>
      <c r="BY102" s="1365"/>
      <c r="BZ102" s="1364"/>
      <c r="CA102" s="1364"/>
      <c r="CB102" s="1365"/>
    </row>
    <row r="103" spans="1:80" ht="15">
      <c r="A103" s="1128" t="s">
        <v>536</v>
      </c>
      <c r="C103" s="1364">
        <f>'A. Raw FS'!C48</f>
        <v>4.9000000000000004</v>
      </c>
      <c r="D103" s="1364">
        <f>'A. Raw FS'!D48</f>
        <v>4.9000000000000004</v>
      </c>
      <c r="E103" s="1364">
        <f>'A. Raw FS'!E48</f>
        <v>4.9000000000000004</v>
      </c>
      <c r="F103" s="1364">
        <f>'A. Raw FS'!F48</f>
        <v>4.9000000000000004</v>
      </c>
      <c r="G103" s="1364">
        <f>'A. Raw FS'!G48</f>
        <v>4.9000000000000004</v>
      </c>
      <c r="H103" s="1364">
        <f>'A. Raw FS'!H48</f>
        <v>0</v>
      </c>
      <c r="I103" s="1364">
        <f>'A. Raw FS'!I48</f>
        <v>0</v>
      </c>
      <c r="J103" s="1364">
        <f>'A. Raw FS'!J48</f>
        <v>0</v>
      </c>
      <c r="K103" s="1364">
        <f>'A. Raw FS'!K48</f>
        <v>0</v>
      </c>
      <c r="L103" s="1364">
        <f>'A. Raw FS'!L48</f>
        <v>0</v>
      </c>
      <c r="M103" s="1368">
        <f>'A. Raw FS'!M48</f>
        <v>0</v>
      </c>
      <c r="N103" s="1364">
        <v>0</v>
      </c>
      <c r="O103" s="1364">
        <v>0</v>
      </c>
      <c r="P103" s="1364">
        <v>0</v>
      </c>
      <c r="Q103" s="1364">
        <v>0</v>
      </c>
      <c r="R103" s="1364">
        <v>0</v>
      </c>
      <c r="S103" s="1364">
        <v>0</v>
      </c>
      <c r="T103" s="1364"/>
      <c r="U103" s="1364"/>
      <c r="V103" s="1364"/>
      <c r="W103" s="1364"/>
      <c r="X103" s="1364"/>
      <c r="Y103" s="1364"/>
      <c r="Z103" s="1364"/>
      <c r="AA103" s="1364">
        <f>'A. Raw FS'!AA48</f>
        <v>0</v>
      </c>
      <c r="AB103" s="1364">
        <f>'A. Raw FS'!AB48</f>
        <v>0</v>
      </c>
      <c r="AC103" s="1364">
        <f>'A. Raw FS'!AC48</f>
        <v>0</v>
      </c>
      <c r="AD103" s="1365">
        <f>'A. Raw FS'!AD48</f>
        <v>0</v>
      </c>
      <c r="AE103" s="1364">
        <f>'A. Raw FS'!AE48</f>
        <v>0</v>
      </c>
      <c r="AF103" s="1364">
        <f>'A. Raw FS'!AF48</f>
        <v>0</v>
      </c>
      <c r="AG103" s="1364">
        <f>'A. Raw FS'!AG48</f>
        <v>0</v>
      </c>
      <c r="AH103" s="1365">
        <f>'A. Raw FS'!AH48</f>
        <v>0</v>
      </c>
      <c r="AI103" s="1364">
        <f>'A. Raw FS'!AI48</f>
        <v>0</v>
      </c>
      <c r="AJ103" s="1364">
        <f>'A. Raw FS'!AJ48</f>
        <v>0</v>
      </c>
      <c r="AK103" s="1364">
        <f>'A. Raw FS'!AK48</f>
        <v>0</v>
      </c>
      <c r="AL103" s="1365">
        <f>'A. Raw FS'!AL48</f>
        <v>0</v>
      </c>
      <c r="AM103" s="1364">
        <f>'A. Raw FS'!AM48</f>
        <v>0</v>
      </c>
      <c r="AN103" s="1364">
        <f>'A. Raw FS'!AN48</f>
        <v>0</v>
      </c>
      <c r="AO103" s="1364">
        <f>'A. Raw FS'!AO48</f>
        <v>0</v>
      </c>
      <c r="AP103" s="1365">
        <f>'A. Raw FS'!AP48</f>
        <v>0</v>
      </c>
      <c r="AQ103" s="1364">
        <f>'A. Raw FS'!AQ48</f>
        <v>0</v>
      </c>
      <c r="AR103" s="1364">
        <f>'A. Raw FS'!AR48</f>
        <v>0</v>
      </c>
      <c r="AS103" s="1364">
        <f>'A. Raw FS'!AS48</f>
        <v>0</v>
      </c>
      <c r="AT103" s="1365">
        <f>'A. Raw FS'!AT48</f>
        <v>0</v>
      </c>
      <c r="AU103" s="1364">
        <f>'A. Raw FS'!AU48</f>
        <v>0</v>
      </c>
      <c r="AV103" s="1364">
        <f>'A. Raw FS'!AV48</f>
        <v>0</v>
      </c>
      <c r="AW103" s="1364">
        <f>'A. Raw FS'!AW48</f>
        <v>0</v>
      </c>
      <c r="AX103" s="1368">
        <v>0</v>
      </c>
      <c r="AY103" s="1364"/>
      <c r="AZ103" s="1364"/>
      <c r="BA103" s="1364"/>
      <c r="BB103" s="1364"/>
      <c r="BC103" s="1364"/>
      <c r="BD103" s="1364"/>
      <c r="BE103" s="1364"/>
      <c r="BF103" s="1364"/>
      <c r="BG103" s="1364"/>
      <c r="BH103" s="1364"/>
      <c r="BI103" s="1365"/>
      <c r="BJ103" s="1364"/>
      <c r="BK103" s="1364"/>
      <c r="BL103" s="1364"/>
      <c r="BM103" s="1365"/>
      <c r="BN103" s="1364"/>
      <c r="BO103" s="1364"/>
      <c r="BP103" s="1364"/>
      <c r="BQ103" s="1365"/>
      <c r="BR103" s="1364"/>
      <c r="BS103" s="1364"/>
      <c r="BT103" s="1364"/>
      <c r="BU103" s="1365"/>
      <c r="BV103" s="1364"/>
      <c r="BW103" s="1364"/>
      <c r="BX103" s="1364"/>
      <c r="BY103" s="1365"/>
      <c r="BZ103" s="1364"/>
      <c r="CA103" s="1364"/>
      <c r="CB103" s="1365"/>
    </row>
    <row r="104" spans="1:80" ht="15">
      <c r="A104" s="1128" t="s">
        <v>537</v>
      </c>
      <c r="C104" s="1364">
        <f>'A. Raw FS'!C52</f>
        <v>219.88473793700001</v>
      </c>
      <c r="D104" s="1364">
        <f>'A. Raw FS'!D52</f>
        <v>280.01980036999998</v>
      </c>
      <c r="E104" s="1364">
        <f>'A. Raw FS'!E52</f>
        <v>314.50982328200001</v>
      </c>
      <c r="F104" s="1364">
        <f>'A. Raw FS'!F52</f>
        <v>348.987791367</v>
      </c>
      <c r="G104" s="1364">
        <f>'A. Raw FS'!G52</f>
        <v>360.88561785600001</v>
      </c>
      <c r="H104" s="1364">
        <f>'A. Raw FS'!H52</f>
        <v>482.22944310700001</v>
      </c>
      <c r="I104" s="1364">
        <f>'A. Raw FS'!I52</f>
        <v>600.82576649199996</v>
      </c>
      <c r="J104" s="1364">
        <f>'A. Raw FS'!J52</f>
        <v>584.63787762599998</v>
      </c>
      <c r="K104" s="1364">
        <f>'A. Raw FS'!K52</f>
        <v>1131.2442672960001</v>
      </c>
      <c r="L104" s="1364">
        <f>'A. Raw FS'!L52</f>
        <v>1786.3175981329985</v>
      </c>
      <c r="M104" s="1368">
        <f>'A. Raw FS'!M52</f>
        <v>1578.7807071570001</v>
      </c>
      <c r="N104" s="1364">
        <f t="shared" ref="N104:S104" si="205">N144*N7/365</f>
        <v>2019.1654476852773</v>
      </c>
      <c r="O104" s="1364">
        <f t="shared" si="205"/>
        <v>2074.9670340163925</v>
      </c>
      <c r="P104" s="1364">
        <f t="shared" si="205"/>
        <v>2225.6964769973411</v>
      </c>
      <c r="Q104" s="1364">
        <f t="shared" si="205"/>
        <v>2334.1783914351327</v>
      </c>
      <c r="R104" s="1364">
        <f t="shared" si="205"/>
        <v>2437.3175343522512</v>
      </c>
      <c r="S104" s="1364">
        <f t="shared" si="205"/>
        <v>2533.0667483851748</v>
      </c>
      <c r="T104" s="1372"/>
      <c r="U104" s="1372"/>
      <c r="V104" s="1372"/>
      <c r="W104" s="1372"/>
      <c r="X104" s="1364"/>
      <c r="Y104" s="1364"/>
      <c r="Z104" s="1364"/>
      <c r="AA104" s="1364">
        <f>'A. Raw FS'!AA52</f>
        <v>582.00758637599995</v>
      </c>
      <c r="AB104" s="1364">
        <f>'A. Raw FS'!AB52</f>
        <v>485.34213483899998</v>
      </c>
      <c r="AC104" s="1364">
        <f>'A. Raw FS'!AC52</f>
        <v>761.27484822400004</v>
      </c>
      <c r="AD104" s="1365">
        <f>'A. Raw FS'!AD52</f>
        <v>601.21984577000001</v>
      </c>
      <c r="AE104" s="1364">
        <f>'A. Raw FS'!AE52</f>
        <v>622.37692466199996</v>
      </c>
      <c r="AF104" s="1364">
        <f>'A. Raw FS'!AF52</f>
        <v>880.97977532300001</v>
      </c>
      <c r="AG104" s="1364">
        <f>'A. Raw FS'!AG52</f>
        <v>941.52267768599995</v>
      </c>
      <c r="AH104" s="1365">
        <f>'A. Raw FS'!AH52</f>
        <v>570.08959550099996</v>
      </c>
      <c r="AI104" s="1364">
        <f>'A. Raw FS'!AI52</f>
        <v>786.42605865899998</v>
      </c>
      <c r="AJ104" s="1364">
        <f>'A. Raw FS'!AJ52</f>
        <v>714.46937415399998</v>
      </c>
      <c r="AK104" s="1364">
        <f>'A. Raw FS'!AK52</f>
        <v>1089.3331203390001</v>
      </c>
      <c r="AL104" s="1365">
        <f>'A. Raw FS'!AL52</f>
        <v>1130.021877163</v>
      </c>
      <c r="AM104" s="1364">
        <f>'A. Raw FS'!AM52</f>
        <v>1634.157429034</v>
      </c>
      <c r="AN104" s="1364">
        <f>'A. Raw FS'!AN52</f>
        <v>1187.5017054919999</v>
      </c>
      <c r="AO104" s="1364">
        <f>'A. Raw FS'!AO52</f>
        <v>2008.6415740550001</v>
      </c>
      <c r="AP104" s="1365">
        <f>'A. Raw FS'!AP52</f>
        <v>1834.201589964</v>
      </c>
      <c r="AQ104" s="1364">
        <f>'A. Raw FS'!AQ52</f>
        <v>2172.8746329350001</v>
      </c>
      <c r="AR104" s="1364">
        <f>'A. Raw FS'!AR52</f>
        <v>2138.1180335549998</v>
      </c>
      <c r="AS104" s="1364">
        <f>'A. Raw FS'!AS52</f>
        <v>2259.545176563</v>
      </c>
      <c r="AT104" s="1365">
        <f>'A. Raw FS'!AT52</f>
        <v>1578.648707157</v>
      </c>
      <c r="AU104" s="1364">
        <f>'A. Raw FS'!AU52</f>
        <v>2085.8307474960002</v>
      </c>
      <c r="AV104" s="1364">
        <f>'A. Raw FS'!AV52</f>
        <v>2355.9736492100001</v>
      </c>
      <c r="AW104" s="1364">
        <f>'A. Raw FS'!AW52</f>
        <v>2540.77</v>
      </c>
      <c r="AX104" s="1368">
        <f>AX7*AX144/365*4</f>
        <v>2019.1654476852773</v>
      </c>
      <c r="AY104" s="1364"/>
      <c r="AZ104" s="1364">
        <f>AX104</f>
        <v>2019.1654476852773</v>
      </c>
      <c r="BA104" s="1364"/>
      <c r="BB104" s="1364"/>
      <c r="BC104" s="1364"/>
      <c r="BD104" s="1364"/>
      <c r="BE104" s="1364"/>
      <c r="BF104" s="1364"/>
      <c r="BG104" s="1364"/>
      <c r="BH104" s="1364"/>
      <c r="BI104" s="1365"/>
      <c r="BJ104" s="1364"/>
      <c r="BK104" s="1364"/>
      <c r="BL104" s="1364"/>
      <c r="BM104" s="1365"/>
      <c r="BN104" s="1364"/>
      <c r="BO104" s="1364"/>
      <c r="BP104" s="1364"/>
      <c r="BQ104" s="1365"/>
      <c r="BR104" s="1364"/>
      <c r="BS104" s="1364"/>
      <c r="BT104" s="1364"/>
      <c r="BU104" s="1365"/>
      <c r="BV104" s="1364"/>
      <c r="BW104" s="1364"/>
      <c r="BX104" s="1364"/>
      <c r="BY104" s="1365"/>
      <c r="BZ104" s="1364"/>
      <c r="CA104" s="1364"/>
      <c r="CB104" s="1365"/>
    </row>
    <row r="105" spans="1:80" ht="15">
      <c r="A105" s="1128" t="s">
        <v>538</v>
      </c>
      <c r="C105" s="1364">
        <f>'A. Raw FS'!C61</f>
        <v>462.93959053999998</v>
      </c>
      <c r="D105" s="1364">
        <f>'A. Raw FS'!D61</f>
        <v>385.815546461</v>
      </c>
      <c r="E105" s="1364">
        <f>'A. Raw FS'!E61</f>
        <v>731.94294546100002</v>
      </c>
      <c r="F105" s="1364">
        <f>'A. Raw FS'!F61</f>
        <v>669.57601687600004</v>
      </c>
      <c r="G105" s="1364">
        <f>'A. Raw FS'!G61</f>
        <v>714.27550687200005</v>
      </c>
      <c r="H105" s="1364">
        <f>'A. Raw FS'!H61</f>
        <v>883.03530538999996</v>
      </c>
      <c r="I105" s="1364">
        <f>'A. Raw FS'!I61</f>
        <v>1314.1752568320001</v>
      </c>
      <c r="J105" s="1364">
        <f>'A. Raw FS'!J61</f>
        <v>1453.645856457</v>
      </c>
      <c r="K105" s="1364">
        <f>'A. Raw FS'!K61</f>
        <v>827.37117436300002</v>
      </c>
      <c r="L105" s="1364">
        <f>'A. Raw FS'!L61</f>
        <v>2888.1112744799998</v>
      </c>
      <c r="M105" s="1368">
        <f>'A. Raw FS'!M61</f>
        <v>3254.3385936220002</v>
      </c>
      <c r="N105" s="1364">
        <f t="shared" ref="N105:S105" si="206">N145*-N10/365</f>
        <v>3144.8501847698194</v>
      </c>
      <c r="O105" s="1364">
        <f t="shared" si="206"/>
        <v>3189.4223061225352</v>
      </c>
      <c r="P105" s="1364">
        <f t="shared" si="206"/>
        <v>3535.424051811654</v>
      </c>
      <c r="Q105" s="1364">
        <f t="shared" si="206"/>
        <v>3774.4971147947404</v>
      </c>
      <c r="R105" s="1364">
        <f t="shared" si="206"/>
        <v>4005.8826687686906</v>
      </c>
      <c r="S105" s="1364">
        <f t="shared" si="206"/>
        <v>4212.2809041756827</v>
      </c>
      <c r="T105" s="1372"/>
      <c r="U105" s="1372"/>
      <c r="V105" s="1372"/>
      <c r="W105" s="1372"/>
      <c r="X105" s="1364"/>
      <c r="Y105" s="1364"/>
      <c r="Z105" s="1364"/>
      <c r="AA105" s="1364">
        <f>'A. Raw FS'!AA61</f>
        <v>597.00493215899996</v>
      </c>
      <c r="AB105" s="1364">
        <f>'A. Raw FS'!AB61</f>
        <v>666.401727295</v>
      </c>
      <c r="AC105" s="1364">
        <f>'A. Raw FS'!AC61</f>
        <v>668.01244962700002</v>
      </c>
      <c r="AD105" s="1365">
        <f>'A. Raw FS'!AD61</f>
        <v>1313.6952985600001</v>
      </c>
      <c r="AE105" s="1364">
        <f>'A. Raw FS'!AE61</f>
        <v>901.36590690200001</v>
      </c>
      <c r="AF105" s="1364">
        <f>'A. Raw FS'!AF61</f>
        <v>978.99509731800003</v>
      </c>
      <c r="AG105" s="1364">
        <f>'A. Raw FS'!AG61</f>
        <v>838.60594468800002</v>
      </c>
      <c r="AH105" s="1365">
        <f>'A. Raw FS'!AH61</f>
        <v>1484.4328348270001</v>
      </c>
      <c r="AI105" s="1364">
        <f>'A. Raw FS'!AI61</f>
        <v>835.89451232099998</v>
      </c>
      <c r="AJ105" s="1364">
        <f>'A. Raw FS'!AJ61</f>
        <v>1028.0641917999999</v>
      </c>
      <c r="AK105" s="1364">
        <f>'A. Raw FS'!AK61</f>
        <v>795.37530009399995</v>
      </c>
      <c r="AL105" s="1365">
        <f>'A. Raw FS'!AL61</f>
        <v>827.37117436300002</v>
      </c>
      <c r="AM105" s="1364">
        <f>'A. Raw FS'!AM61</f>
        <v>666.419257786</v>
      </c>
      <c r="AN105" s="1364">
        <f>'A. Raw FS'!AN61</f>
        <v>975.01401961600004</v>
      </c>
      <c r="AO105" s="1364">
        <f>'A. Raw FS'!AO61</f>
        <v>934.95570135499997</v>
      </c>
      <c r="AP105" s="1365">
        <f>'A. Raw FS'!AP61</f>
        <v>2842.9607063650001</v>
      </c>
      <c r="AQ105" s="1364">
        <f>'A. Raw FS'!AQ61</f>
        <v>3512.2284631590001</v>
      </c>
      <c r="AR105" s="1364">
        <f>'A. Raw FS'!AR61</f>
        <v>3396.605006195</v>
      </c>
      <c r="AS105" s="1364">
        <f>'A. Raw FS'!AS61</f>
        <v>2723.1197871260001</v>
      </c>
      <c r="AT105" s="1365">
        <f>'A. Raw FS'!AT61</f>
        <v>3254.3385936220002</v>
      </c>
      <c r="AU105" s="1364">
        <f>'A. Raw FS'!AU61</f>
        <v>3032.7667032670001</v>
      </c>
      <c r="AV105" s="1364">
        <f>'A. Raw FS'!AV61</f>
        <v>2592.9417179279999</v>
      </c>
      <c r="AW105" s="1364">
        <f>'A. Raw FS'!AW61</f>
        <v>2248.5700000000002</v>
      </c>
      <c r="AX105" s="1368">
        <f>(-AX10*AX145/365*4)</f>
        <v>3144.8501847698194</v>
      </c>
      <c r="AY105" s="1364"/>
      <c r="AZ105" s="1364">
        <f>AX105</f>
        <v>3144.8501847698194</v>
      </c>
      <c r="BA105" s="1364"/>
      <c r="BB105" s="1364"/>
      <c r="BC105" s="1364"/>
      <c r="BD105" s="1364"/>
      <c r="BE105" s="1364"/>
      <c r="BF105" s="1364"/>
      <c r="BG105" s="1364"/>
      <c r="BH105" s="1364"/>
      <c r="BI105" s="1365"/>
      <c r="BJ105" s="1364"/>
      <c r="BK105" s="1364"/>
      <c r="BL105" s="1364"/>
      <c r="BM105" s="1365"/>
      <c r="BN105" s="1364"/>
      <c r="BO105" s="1364"/>
      <c r="BP105" s="1364"/>
      <c r="BQ105" s="1365"/>
      <c r="BR105" s="1364"/>
      <c r="BS105" s="1364"/>
      <c r="BT105" s="1364"/>
      <c r="BU105" s="1365"/>
      <c r="BV105" s="1364"/>
      <c r="BW105" s="1364"/>
      <c r="BX105" s="1364"/>
      <c r="BY105" s="1365"/>
      <c r="BZ105" s="1364"/>
      <c r="CA105" s="1364"/>
      <c r="CB105" s="1365"/>
    </row>
    <row r="106" spans="1:80" ht="15">
      <c r="A106" s="1128" t="s">
        <v>66</v>
      </c>
      <c r="C106" s="1364">
        <f>'A. Raw FS'!C64</f>
        <v>63.057570591999998</v>
      </c>
      <c r="D106" s="1364">
        <f>'A. Raw FS'!D64</f>
        <v>67.368285610000001</v>
      </c>
      <c r="E106" s="1364">
        <f>'A. Raw FS'!E64</f>
        <v>87.542687705999995</v>
      </c>
      <c r="F106" s="1364">
        <f>'A. Raw FS'!F64</f>
        <v>116.132664197</v>
      </c>
      <c r="G106" s="1364">
        <f>'A. Raw FS'!G64</f>
        <v>105.591523487</v>
      </c>
      <c r="H106" s="1364">
        <f>'A. Raw FS'!H64</f>
        <v>102.52748667900001</v>
      </c>
      <c r="I106" s="1364">
        <f>'A. Raw FS'!I64</f>
        <v>132.067382071</v>
      </c>
      <c r="J106" s="1364">
        <f>'A. Raw FS'!J64</f>
        <v>118.212939898</v>
      </c>
      <c r="K106" s="1364">
        <f>'A. Raw FS'!K64</f>
        <v>25.332806242</v>
      </c>
      <c r="L106" s="1364">
        <f>'A. Raw FS'!L64</f>
        <v>87.053607631999995</v>
      </c>
      <c r="M106" s="1368">
        <f>'A. Raw FS'!M64</f>
        <v>121.447033901</v>
      </c>
      <c r="N106" s="1364">
        <f t="shared" ref="N106:S106" si="207">N7*N146</f>
        <v>149.99036288522186</v>
      </c>
      <c r="O106" s="1364">
        <f t="shared" si="207"/>
        <v>171.17438475835215</v>
      </c>
      <c r="P106" s="1364">
        <f t="shared" si="207"/>
        <v>193.89090193698425</v>
      </c>
      <c r="Q106" s="1364">
        <f t="shared" si="207"/>
        <v>215.40389024868784</v>
      </c>
      <c r="R106" s="1364">
        <f t="shared" si="207"/>
        <v>239.10609106284963</v>
      </c>
      <c r="S106" s="1364">
        <f t="shared" si="207"/>
        <v>265.22520892450984</v>
      </c>
      <c r="T106" s="1364"/>
      <c r="U106" s="1364"/>
      <c r="V106" s="1364"/>
      <c r="W106" s="1364"/>
      <c r="X106" s="1364"/>
      <c r="Y106" s="1364"/>
      <c r="Z106" s="1364"/>
      <c r="AA106" s="1364">
        <f>'A. Raw FS'!AA64</f>
        <v>93.892215887000006</v>
      </c>
      <c r="AB106" s="1364">
        <f>'A. Raw FS'!AB64</f>
        <v>101.29541835400001</v>
      </c>
      <c r="AC106" s="1364">
        <f>'A. Raw FS'!AC64</f>
        <v>95.237212068000005</v>
      </c>
      <c r="AD106" s="1365">
        <f>'A. Raw FS'!AD64</f>
        <v>136.737195754</v>
      </c>
      <c r="AE106" s="1364">
        <f>'A. Raw FS'!AE64</f>
        <v>113.532494114</v>
      </c>
      <c r="AF106" s="1364">
        <f>'A. Raw FS'!AF64</f>
        <v>117.18120039199999</v>
      </c>
      <c r="AG106" s="1364">
        <f>'A. Raw FS'!AG64</f>
        <v>92.189067151000003</v>
      </c>
      <c r="AH106" s="1365">
        <f>'A. Raw FS'!AH64</f>
        <v>121.078116139</v>
      </c>
      <c r="AI106" s="1364">
        <f>'A. Raw FS'!AI64</f>
        <v>80.153510775000001</v>
      </c>
      <c r="AJ106" s="1364">
        <f>'A. Raw FS'!AJ64</f>
        <v>92.246438327000007</v>
      </c>
      <c r="AK106" s="1364">
        <f>'A. Raw FS'!AK64</f>
        <v>57.756600327000001</v>
      </c>
      <c r="AL106" s="1365">
        <f>'A. Raw FS'!AL64</f>
        <v>25.332806242</v>
      </c>
      <c r="AM106" s="1364">
        <f>'A. Raw FS'!AM64</f>
        <v>15.883527872</v>
      </c>
      <c r="AN106" s="1364">
        <f>'A. Raw FS'!AN64</f>
        <v>21.847175534000002</v>
      </c>
      <c r="AO106" s="1364">
        <f>'A. Raw FS'!AO64</f>
        <v>31.064511123999999</v>
      </c>
      <c r="AP106" s="1365">
        <f>'A. Raw FS'!AP64</f>
        <v>87.053607631999995</v>
      </c>
      <c r="AQ106" s="1364">
        <f>'A. Raw FS'!AQ64</f>
        <v>158.61736134500001</v>
      </c>
      <c r="AR106" s="1364">
        <f>'A. Raw FS'!AR64</f>
        <v>162.08187477300001</v>
      </c>
      <c r="AS106" s="1364">
        <f>'A. Raw FS'!AS64</f>
        <v>106.679106502</v>
      </c>
      <c r="AT106" s="1365">
        <f>'A. Raw FS'!AT64</f>
        <v>121.447033901</v>
      </c>
      <c r="AU106" s="1364">
        <f>'A. Raw FS'!AU64</f>
        <v>131.62308491499999</v>
      </c>
      <c r="AV106" s="1364">
        <f>'A. Raw FS'!AV64</f>
        <v>111.124305573</v>
      </c>
      <c r="AW106" s="1364">
        <f>'A. Raw FS'!AW64</f>
        <v>132.19</v>
      </c>
      <c r="AX106" s="1368">
        <f>AX7*AX146*4</f>
        <v>149.99036288522186</v>
      </c>
      <c r="AY106" s="1364"/>
      <c r="AZ106" s="1364">
        <f>AX106</f>
        <v>149.99036288522186</v>
      </c>
      <c r="BA106" s="1364"/>
      <c r="BB106" s="1364"/>
      <c r="BC106" s="1364"/>
      <c r="BD106" s="1364"/>
      <c r="BE106" s="1364"/>
      <c r="BF106" s="1364"/>
      <c r="BG106" s="1364"/>
      <c r="BH106" s="1364"/>
      <c r="BI106" s="1365"/>
      <c r="BJ106" s="1364"/>
      <c r="BK106" s="1364"/>
      <c r="BL106" s="1364"/>
      <c r="BM106" s="1365"/>
      <c r="BN106" s="1364"/>
      <c r="BO106" s="1364"/>
      <c r="BP106" s="1364"/>
      <c r="BQ106" s="1365"/>
      <c r="BR106" s="1364"/>
      <c r="BS106" s="1364"/>
      <c r="BT106" s="1364"/>
      <c r="BU106" s="1365"/>
      <c r="BV106" s="1364"/>
      <c r="BW106" s="1364"/>
      <c r="BX106" s="1364"/>
      <c r="BY106" s="1365"/>
      <c r="BZ106" s="1364"/>
      <c r="CA106" s="1364"/>
      <c r="CB106" s="1365"/>
    </row>
    <row r="107" spans="1:80" ht="15">
      <c r="A107" s="1128" t="s">
        <v>539</v>
      </c>
      <c r="C107" s="1364"/>
      <c r="D107" s="1364"/>
      <c r="E107" s="601"/>
      <c r="F107" s="601"/>
      <c r="G107" s="601"/>
      <c r="H107" s="601"/>
      <c r="I107" s="601"/>
      <c r="J107" s="601"/>
      <c r="K107" s="601"/>
      <c r="L107" s="601"/>
      <c r="M107" s="674"/>
      <c r="N107" s="601"/>
      <c r="O107" s="601"/>
      <c r="P107" s="601"/>
      <c r="Q107" s="601"/>
      <c r="R107" s="601"/>
      <c r="S107" s="601"/>
      <c r="T107" s="1364"/>
      <c r="U107" s="1364"/>
      <c r="V107" s="1364"/>
      <c r="W107" s="1364"/>
      <c r="X107" s="1364"/>
      <c r="Y107" s="1364"/>
      <c r="Z107" s="1364"/>
      <c r="AA107" s="1364"/>
      <c r="AB107" s="1364"/>
      <c r="AC107" s="1364"/>
      <c r="AD107" s="1365"/>
      <c r="AE107" s="1364"/>
      <c r="AF107" s="1364"/>
      <c r="AG107" s="1364"/>
      <c r="AH107" s="1365"/>
      <c r="AI107" s="1364"/>
      <c r="AJ107" s="1364"/>
      <c r="AK107" s="1364"/>
      <c r="AL107" s="1365"/>
      <c r="AM107" s="1364"/>
      <c r="AN107" s="1364"/>
      <c r="AO107" s="1364"/>
      <c r="AP107" s="1365"/>
      <c r="AQ107" s="1364"/>
      <c r="AR107" s="1364"/>
      <c r="AS107" s="1364"/>
      <c r="AT107" s="1365"/>
      <c r="AU107" s="1364"/>
      <c r="AV107" s="1364"/>
      <c r="AW107" s="1364"/>
      <c r="AX107" s="1368"/>
      <c r="AY107" s="1364"/>
      <c r="AZ107" s="1364"/>
      <c r="BA107" s="1364"/>
      <c r="BB107" s="1364"/>
      <c r="BC107" s="1364"/>
      <c r="BD107" s="1364"/>
      <c r="BE107" s="1364"/>
      <c r="BF107" s="1364"/>
      <c r="BG107" s="1364"/>
      <c r="BH107" s="1364"/>
      <c r="BI107" s="1365"/>
      <c r="BJ107" s="1364"/>
      <c r="BK107" s="1364"/>
      <c r="BL107" s="1364"/>
      <c r="BM107" s="1365"/>
      <c r="BN107" s="1364"/>
      <c r="BO107" s="1364"/>
      <c r="BP107" s="1364"/>
      <c r="BQ107" s="1365"/>
      <c r="BR107" s="1364"/>
      <c r="BS107" s="1364"/>
      <c r="BT107" s="1364"/>
      <c r="BU107" s="1365"/>
      <c r="BV107" s="1364"/>
      <c r="BW107" s="1364"/>
      <c r="BX107" s="1364"/>
      <c r="BY107" s="1365"/>
      <c r="BZ107" s="1364"/>
      <c r="CA107" s="1364"/>
      <c r="CB107" s="1365"/>
    </row>
    <row r="108" spans="1:80" ht="15">
      <c r="C108" s="1364"/>
      <c r="D108" s="1364"/>
      <c r="E108" s="1364"/>
      <c r="F108" s="1364"/>
      <c r="G108" s="1364"/>
      <c r="H108" s="1364"/>
      <c r="I108" s="1364"/>
      <c r="J108" s="1364"/>
      <c r="K108" s="1364"/>
      <c r="L108" s="1364"/>
      <c r="M108" s="1368"/>
      <c r="N108" s="618"/>
      <c r="O108" s="618"/>
      <c r="P108" s="618"/>
      <c r="Q108" s="618"/>
      <c r="R108" s="618"/>
      <c r="S108" s="618"/>
      <c r="T108" s="1364"/>
      <c r="U108" s="1364"/>
      <c r="V108" s="1364"/>
      <c r="W108" s="1364"/>
      <c r="X108" s="1364"/>
      <c r="Y108" s="1364"/>
      <c r="Z108" s="1364"/>
      <c r="AA108" s="1364"/>
      <c r="AB108" s="1364"/>
      <c r="AC108" s="1364"/>
      <c r="AD108" s="1365"/>
      <c r="AE108" s="1364"/>
      <c r="AF108" s="1364"/>
      <c r="AG108" s="1364"/>
      <c r="AH108" s="1365"/>
      <c r="AI108" s="1364"/>
      <c r="AJ108" s="1364"/>
      <c r="AK108" s="1364"/>
      <c r="AL108" s="1365"/>
      <c r="AM108" s="1364"/>
      <c r="AN108" s="1364"/>
      <c r="AO108" s="1364"/>
      <c r="AP108" s="1365"/>
      <c r="AQ108" s="1364"/>
      <c r="AR108" s="1364"/>
      <c r="AS108" s="1364"/>
      <c r="AT108" s="1365"/>
      <c r="AU108" s="1364"/>
      <c r="AV108" s="1364"/>
      <c r="AW108" s="1364"/>
      <c r="AX108" s="1368"/>
      <c r="AY108" s="1364"/>
      <c r="AZ108" s="1364"/>
      <c r="BA108" s="1364"/>
      <c r="BB108" s="1364"/>
      <c r="BC108" s="1364"/>
      <c r="BD108" s="1364"/>
      <c r="BE108" s="1364"/>
      <c r="BF108" s="1364"/>
      <c r="BG108" s="1364"/>
      <c r="BH108" s="1364"/>
      <c r="BI108" s="1365"/>
      <c r="BJ108" s="1364"/>
      <c r="BK108" s="1364"/>
      <c r="BL108" s="1364"/>
      <c r="BM108" s="1365"/>
      <c r="BN108" s="1364"/>
      <c r="BO108" s="1364"/>
      <c r="BP108" s="1364"/>
      <c r="BQ108" s="1365"/>
      <c r="BR108" s="1364"/>
      <c r="BS108" s="1364"/>
      <c r="BT108" s="1364"/>
      <c r="BU108" s="1365"/>
      <c r="BV108" s="1364"/>
      <c r="BW108" s="1364"/>
      <c r="BX108" s="1364"/>
      <c r="BY108" s="1365"/>
      <c r="BZ108" s="1364"/>
      <c r="CA108" s="1364"/>
      <c r="CB108" s="1365"/>
    </row>
    <row r="109" spans="1:80" s="397" customFormat="1" ht="15">
      <c r="A109" s="511" t="s">
        <v>540</v>
      </c>
      <c r="B109" s="410"/>
      <c r="C109" s="494">
        <f>SUM(C110:C115)-C112-C113</f>
        <v>84.449235281999989</v>
      </c>
      <c r="D109" s="494">
        <f>SUM(D110:D116)-D112-D113</f>
        <v>86.948560092999998</v>
      </c>
      <c r="E109" s="494">
        <f t="shared" ref="E109:S109" si="208">SUM(E110:E116)-E112-E113</f>
        <v>85.559069207000022</v>
      </c>
      <c r="F109" s="494">
        <f t="shared" si="208"/>
        <v>84.243052475000013</v>
      </c>
      <c r="G109" s="494">
        <f t="shared" si="208"/>
        <v>87.736112677999984</v>
      </c>
      <c r="H109" s="494">
        <f t="shared" si="208"/>
        <v>92.059588112</v>
      </c>
      <c r="I109" s="494">
        <f t="shared" si="208"/>
        <v>105.00355352999998</v>
      </c>
      <c r="J109" s="494">
        <f t="shared" si="208"/>
        <v>117.50123696099996</v>
      </c>
      <c r="K109" s="494">
        <f t="shared" si="208"/>
        <v>206.742641967</v>
      </c>
      <c r="L109" s="494">
        <f t="shared" si="208"/>
        <v>289.00791692499996</v>
      </c>
      <c r="M109" s="673">
        <f t="shared" si="208"/>
        <v>573.07101869099995</v>
      </c>
      <c r="N109" s="494">
        <f t="shared" si="208"/>
        <v>512.99374508667495</v>
      </c>
      <c r="O109" s="494">
        <f t="shared" si="208"/>
        <v>497.49504805900358</v>
      </c>
      <c r="P109" s="494">
        <f t="shared" si="208"/>
        <v>483.90614533324282</v>
      </c>
      <c r="Q109" s="494">
        <f t="shared" si="208"/>
        <v>471.86049751833554</v>
      </c>
      <c r="R109" s="494">
        <f t="shared" si="208"/>
        <v>461.50738785037009</v>
      </c>
      <c r="S109" s="494">
        <f t="shared" si="208"/>
        <v>453.01278544665587</v>
      </c>
      <c r="T109" s="494"/>
      <c r="U109" s="494"/>
      <c r="V109" s="494"/>
      <c r="W109" s="494"/>
      <c r="X109" s="1364" t="s">
        <v>541</v>
      </c>
      <c r="Y109" s="494"/>
      <c r="Z109" s="494"/>
      <c r="AA109" s="494">
        <f>SUM(AA110:AA116)-AA112-AA113</f>
        <v>98.604195794999995</v>
      </c>
      <c r="AB109" s="494">
        <f t="shared" ref="AB109:AX109" si="209">SUM(AB110:AB116)-AB112-AB113</f>
        <v>98.957282072000027</v>
      </c>
      <c r="AC109" s="494">
        <f t="shared" si="209"/>
        <v>97.846532198000048</v>
      </c>
      <c r="AD109" s="495">
        <f t="shared" si="209"/>
        <v>98.921839199999965</v>
      </c>
      <c r="AE109" s="494">
        <f t="shared" si="209"/>
        <v>104.48431275999999</v>
      </c>
      <c r="AF109" s="494">
        <f t="shared" si="209"/>
        <v>110.70507807600001</v>
      </c>
      <c r="AG109" s="494">
        <f t="shared" si="209"/>
        <v>104.89270501299998</v>
      </c>
      <c r="AH109" s="495">
        <f t="shared" si="209"/>
        <v>112.37764582399997</v>
      </c>
      <c r="AI109" s="494">
        <f t="shared" si="209"/>
        <v>115.65224448100001</v>
      </c>
      <c r="AJ109" s="494">
        <f t="shared" si="209"/>
        <v>123.21841721399998</v>
      </c>
      <c r="AK109" s="494">
        <f t="shared" si="209"/>
        <v>166.99659972199998</v>
      </c>
      <c r="AL109" s="495">
        <f t="shared" si="209"/>
        <v>205.52360094400001</v>
      </c>
      <c r="AM109" s="494">
        <f t="shared" si="209"/>
        <v>214.53214533299996</v>
      </c>
      <c r="AN109" s="494">
        <f t="shared" si="209"/>
        <v>215.57975968399995</v>
      </c>
      <c r="AO109" s="494">
        <f t="shared" si="209"/>
        <v>216.386997533</v>
      </c>
      <c r="AP109" s="495">
        <f t="shared" si="209"/>
        <v>289.00791692499996</v>
      </c>
      <c r="AQ109" s="494">
        <f t="shared" si="209"/>
        <v>288.25031754300005</v>
      </c>
      <c r="AR109" s="494">
        <f t="shared" si="209"/>
        <v>283.28971863899994</v>
      </c>
      <c r="AS109" s="494">
        <f t="shared" si="209"/>
        <v>532.72120071900008</v>
      </c>
      <c r="AT109" s="495">
        <f t="shared" si="209"/>
        <v>573.07101872099997</v>
      </c>
      <c r="AU109" s="494">
        <f t="shared" si="209"/>
        <v>537.29509641099992</v>
      </c>
      <c r="AV109" s="494">
        <f t="shared" si="209"/>
        <v>536.22201960400002</v>
      </c>
      <c r="AW109" s="494">
        <f t="shared" si="209"/>
        <v>519.45000000000005</v>
      </c>
      <c r="AX109" s="673">
        <f t="shared" si="209"/>
        <v>512.99374508667483</v>
      </c>
      <c r="AY109" s="494"/>
      <c r="AZ109" s="494">
        <f>SUM(AZ110:AZ116)-AZ112-AZ113</f>
        <v>512.99374508667483</v>
      </c>
      <c r="BA109" s="494"/>
      <c r="BB109" s="494"/>
      <c r="BC109" s="494"/>
      <c r="BD109" s="494"/>
      <c r="BE109" s="494"/>
      <c r="BF109" s="494"/>
      <c r="BG109" s="494"/>
      <c r="BH109" s="494"/>
      <c r="BI109" s="495"/>
      <c r="BJ109" s="494"/>
      <c r="BK109" s="494"/>
      <c r="BL109" s="494"/>
      <c r="BM109" s="495"/>
      <c r="BN109" s="494"/>
      <c r="BO109" s="494"/>
      <c r="BP109" s="494"/>
      <c r="BQ109" s="495"/>
      <c r="BR109" s="494"/>
      <c r="BS109" s="494"/>
      <c r="BT109" s="494"/>
      <c r="BU109" s="495"/>
      <c r="BV109" s="494"/>
      <c r="BW109" s="494"/>
      <c r="BX109" s="494"/>
      <c r="BY109" s="495"/>
      <c r="BZ109" s="494"/>
      <c r="CA109" s="494"/>
      <c r="CB109" s="495"/>
    </row>
    <row r="110" spans="1:80" ht="15">
      <c r="A110" s="1128" t="s">
        <v>542</v>
      </c>
      <c r="C110" s="1364">
        <f>'A. Raw FS'!C71</f>
        <v>0</v>
      </c>
      <c r="D110" s="1364">
        <f>'A. Raw FS'!D71</f>
        <v>0</v>
      </c>
      <c r="E110" s="1364">
        <f>'A. Raw FS'!E71</f>
        <v>1.70458048</v>
      </c>
      <c r="F110" s="1364">
        <f>'A. Raw FS'!F71</f>
        <v>2.32422</v>
      </c>
      <c r="G110" s="1364">
        <f>'A. Raw FS'!G71</f>
        <v>2.3237800000000002</v>
      </c>
      <c r="H110" s="1364">
        <f>'A. Raw FS'!H71</f>
        <v>2.3397800000000002</v>
      </c>
      <c r="I110" s="1364">
        <f>'A. Raw FS'!I71</f>
        <v>4.4045317060000002</v>
      </c>
      <c r="J110" s="1364">
        <f>'A. Raw FS'!J71</f>
        <v>4.243538</v>
      </c>
      <c r="K110" s="1364">
        <f>'A. Raw FS'!K71</f>
        <v>8.8281604999999992</v>
      </c>
      <c r="L110" s="1364">
        <f>'A. Raw FS'!L71</f>
        <v>17.641047356000001</v>
      </c>
      <c r="M110" s="1368">
        <f>'A. Raw FS'!M71</f>
        <v>22.404577033999999</v>
      </c>
      <c r="N110" s="633">
        <f>AZ110</f>
        <v>15.54</v>
      </c>
      <c r="O110" s="1366">
        <f>N110</f>
        <v>15.54</v>
      </c>
      <c r="P110" s="1366">
        <f>O110</f>
        <v>15.54</v>
      </c>
      <c r="Q110" s="1366">
        <f>P110</f>
        <v>15.54</v>
      </c>
      <c r="R110" s="1366">
        <f>Q110</f>
        <v>15.54</v>
      </c>
      <c r="S110" s="1366">
        <f>R110</f>
        <v>15.54</v>
      </c>
      <c r="T110" s="1364"/>
      <c r="U110" s="1364"/>
      <c r="V110" s="1364"/>
      <c r="W110" s="1364"/>
      <c r="X110" s="1364"/>
      <c r="Y110" s="1364"/>
      <c r="Z110" s="1364"/>
      <c r="AA110" s="1364">
        <f>'A. Raw FS'!AA71</f>
        <v>5.4465877059999999</v>
      </c>
      <c r="AB110" s="1364">
        <f>'A. Raw FS'!AB71</f>
        <v>5.9142977060000002</v>
      </c>
      <c r="AC110" s="1364">
        <f>'A. Raw FS'!AC71</f>
        <v>3.9465877059999999</v>
      </c>
      <c r="AD110" s="1365">
        <f>'A. Raw FS'!AD71</f>
        <v>4.1197817060000004</v>
      </c>
      <c r="AE110" s="1364">
        <f>'A. Raw FS'!AE71</f>
        <v>4.595245706</v>
      </c>
      <c r="AF110" s="1364">
        <f>'A. Raw FS'!AF71</f>
        <v>4.5397757060000004</v>
      </c>
      <c r="AG110" s="1364">
        <f>'A. Raw FS'!AG71</f>
        <v>4.5462757060000003</v>
      </c>
      <c r="AH110" s="1365">
        <f>'A. Raw FS'!AH71</f>
        <v>4.2060557059999999</v>
      </c>
      <c r="AI110" s="1364">
        <f>'A. Raw FS'!AI71</f>
        <v>4.3776078500000004</v>
      </c>
      <c r="AJ110" s="1364">
        <f>'A. Raw FS'!AJ71</f>
        <v>4.1631538499999996</v>
      </c>
      <c r="AK110" s="1364">
        <f>'A. Raw FS'!AK71</f>
        <v>8.5226093499999998</v>
      </c>
      <c r="AL110" s="1365">
        <f>'A. Raw FS'!AL71</f>
        <v>8.8281604999999992</v>
      </c>
      <c r="AM110" s="1364">
        <f>'A. Raw FS'!AM71</f>
        <v>9.9667375000000007</v>
      </c>
      <c r="AN110" s="1364">
        <f>'A. Raw FS'!AN71</f>
        <v>12.0838965</v>
      </c>
      <c r="AO110" s="1364">
        <f>'A. Raw FS'!AO71</f>
        <v>15.435170727999999</v>
      </c>
      <c r="AP110" s="1365">
        <f>'A. Raw FS'!AP71</f>
        <v>17.641047356000001</v>
      </c>
      <c r="AQ110" s="1364">
        <f>'A. Raw FS'!AQ71</f>
        <v>20.153017756000001</v>
      </c>
      <c r="AR110" s="1364">
        <f>'A. Raw FS'!AR71</f>
        <v>21.463002156000002</v>
      </c>
      <c r="AS110" s="1364">
        <f>'A. Raw FS'!AS71</f>
        <v>21.862002155999999</v>
      </c>
      <c r="AT110" s="1365">
        <f>'A. Raw FS'!AT71</f>
        <v>22.404577033999999</v>
      </c>
      <c r="AU110" s="1364">
        <f>'A. Raw FS'!AU71</f>
        <v>14.748251716</v>
      </c>
      <c r="AV110" s="1364">
        <f>'A. Raw FS'!AV71</f>
        <v>14.729750215999999</v>
      </c>
      <c r="AW110" s="1364">
        <f>'A. Raw FS'!AW71</f>
        <v>15.54</v>
      </c>
      <c r="AX110" s="1367">
        <f>AW110</f>
        <v>15.54</v>
      </c>
      <c r="AY110" s="1364"/>
      <c r="AZ110" s="1364">
        <f t="shared" ref="AZ110:AZ116" si="210">AX110</f>
        <v>15.54</v>
      </c>
      <c r="BA110" s="1364"/>
      <c r="BB110" s="1364"/>
      <c r="BC110" s="1364"/>
      <c r="BD110" s="1364"/>
      <c r="BE110" s="1364"/>
      <c r="BF110" s="1364"/>
      <c r="BG110" s="1364"/>
      <c r="BH110" s="1364"/>
      <c r="BI110" s="1365"/>
      <c r="BJ110" s="1364"/>
      <c r="BK110" s="1364"/>
      <c r="BL110" s="1364"/>
      <c r="BM110" s="1365"/>
      <c r="BN110" s="1364"/>
      <c r="BO110" s="1364"/>
      <c r="BP110" s="1364"/>
      <c r="BQ110" s="1365"/>
      <c r="BR110" s="1364"/>
      <c r="BS110" s="1364"/>
      <c r="BT110" s="1364"/>
      <c r="BU110" s="1365"/>
      <c r="BV110" s="1364"/>
      <c r="BW110" s="1364"/>
      <c r="BX110" s="1364"/>
      <c r="BY110" s="1365"/>
      <c r="BZ110" s="1364"/>
      <c r="CA110" s="1364"/>
      <c r="CB110" s="1365"/>
    </row>
    <row r="111" spans="1:80" ht="15">
      <c r="A111" s="1128" t="s">
        <v>543</v>
      </c>
      <c r="C111" s="1364">
        <f t="shared" ref="C111:H111" si="211">SUM(C112:C113)</f>
        <v>77.324813215999995</v>
      </c>
      <c r="D111" s="1364">
        <f t="shared" si="211"/>
        <v>80.096571736000001</v>
      </c>
      <c r="E111" s="1364">
        <f t="shared" si="211"/>
        <v>83.374408181000007</v>
      </c>
      <c r="F111" s="1364">
        <f t="shared" si="211"/>
        <v>81.294875481999995</v>
      </c>
      <c r="G111" s="1364">
        <f t="shared" si="211"/>
        <v>84.785964919999998</v>
      </c>
      <c r="H111" s="1364">
        <f t="shared" si="211"/>
        <v>83.693439034999997</v>
      </c>
      <c r="I111" s="1364">
        <f>SUM(I112:I113)</f>
        <v>84.394526209999995</v>
      </c>
      <c r="J111" s="1364">
        <f>SUM(J112:J113)</f>
        <v>81.415131195000001</v>
      </c>
      <c r="K111" s="1364">
        <f>SUM(K112:K113)</f>
        <v>88.270746954999993</v>
      </c>
      <c r="L111" s="1364">
        <f>SUM(L112:L113)</f>
        <v>94.48366897599999</v>
      </c>
      <c r="M111" s="1368">
        <f>SUM(M112:M113)</f>
        <v>95.633913127999989</v>
      </c>
      <c r="N111" s="1364">
        <f t="shared" ref="N111:S111" si="212">N166</f>
        <v>112.48873688767497</v>
      </c>
      <c r="O111" s="1364">
        <f t="shared" si="212"/>
        <v>125.00465721500349</v>
      </c>
      <c r="P111" s="1364">
        <f t="shared" si="212"/>
        <v>139.43037184424279</v>
      </c>
      <c r="Q111" s="1364">
        <f t="shared" si="212"/>
        <v>155.39934138433563</v>
      </c>
      <c r="R111" s="1364">
        <f t="shared" si="212"/>
        <v>173.0608490713702</v>
      </c>
      <c r="S111" s="1364">
        <f t="shared" si="212"/>
        <v>192.58086402265585</v>
      </c>
      <c r="T111" s="1364"/>
      <c r="U111" s="1364"/>
      <c r="V111" s="1364"/>
      <c r="W111" s="1364"/>
      <c r="X111" s="625" t="s">
        <v>544</v>
      </c>
      <c r="Y111" s="1364"/>
      <c r="Z111" s="1364"/>
      <c r="AA111" s="1364">
        <f t="shared" ref="AA111:AV111" si="213">SUM(AA112:AA113)</f>
        <v>83.915887550999997</v>
      </c>
      <c r="AB111" s="1364">
        <f t="shared" si="213"/>
        <v>83.778863731000001</v>
      </c>
      <c r="AC111" s="1364">
        <f t="shared" si="213"/>
        <v>84.349655073000008</v>
      </c>
      <c r="AD111" s="1365">
        <f t="shared" si="213"/>
        <v>84.394526209999995</v>
      </c>
      <c r="AE111" s="1364">
        <f t="shared" si="213"/>
        <v>83.430385994000005</v>
      </c>
      <c r="AF111" s="1364">
        <f t="shared" si="213"/>
        <v>83.226666727999998</v>
      </c>
      <c r="AG111" s="1364">
        <f t="shared" si="213"/>
        <v>82.458986030000005</v>
      </c>
      <c r="AH111" s="1365">
        <f t="shared" si="213"/>
        <v>81.679932860999998</v>
      </c>
      <c r="AI111" s="1364">
        <f t="shared" si="213"/>
        <v>80.304383474999995</v>
      </c>
      <c r="AJ111" s="1364">
        <f t="shared" si="213"/>
        <v>83.001564196999993</v>
      </c>
      <c r="AK111" s="1364">
        <f t="shared" si="213"/>
        <v>82.212760712000005</v>
      </c>
      <c r="AL111" s="1365">
        <f t="shared" si="213"/>
        <v>88.270746954999993</v>
      </c>
      <c r="AM111" s="1364">
        <f t="shared" si="213"/>
        <v>86.881040814000002</v>
      </c>
      <c r="AN111" s="1364">
        <f t="shared" si="213"/>
        <v>85.491334676999998</v>
      </c>
      <c r="AO111" s="1364">
        <f t="shared" si="213"/>
        <v>84.257745206999999</v>
      </c>
      <c r="AP111" s="1365">
        <f t="shared" si="213"/>
        <v>94.48366897599999</v>
      </c>
      <c r="AQ111" s="1364">
        <f t="shared" si="213"/>
        <v>93.204808329000002</v>
      </c>
      <c r="AR111" s="1364">
        <f t="shared" si="213"/>
        <v>92.975680871999998</v>
      </c>
      <c r="AS111" s="1364">
        <f t="shared" si="213"/>
        <v>93.811210957</v>
      </c>
      <c r="AT111" s="1365">
        <f t="shared" si="213"/>
        <v>95.633913127999989</v>
      </c>
      <c r="AU111" s="1364">
        <f t="shared" si="213"/>
        <v>93.400538511000008</v>
      </c>
      <c r="AV111" s="1364">
        <f t="shared" si="213"/>
        <v>108.457202153</v>
      </c>
      <c r="AW111" s="1364">
        <f>SUM(AW112:AW113)</f>
        <v>110.97999999999999</v>
      </c>
      <c r="AX111" s="1368">
        <f>AX166</f>
        <v>112.48873688767497</v>
      </c>
      <c r="AY111" s="1364"/>
      <c r="AZ111" s="1364">
        <f t="shared" si="210"/>
        <v>112.48873688767497</v>
      </c>
      <c r="BA111" s="1364"/>
      <c r="BB111" s="1364"/>
      <c r="BC111" s="1364"/>
      <c r="BD111" s="1364"/>
      <c r="BE111" s="1364"/>
      <c r="BF111" s="1364"/>
      <c r="BG111" s="1364"/>
      <c r="BH111" s="1364"/>
      <c r="BI111" s="1365"/>
      <c r="BJ111" s="1364"/>
      <c r="BK111" s="1364"/>
      <c r="BL111" s="1364"/>
      <c r="BM111" s="1365"/>
      <c r="BN111" s="1364"/>
      <c r="BO111" s="1364"/>
      <c r="BP111" s="1364"/>
      <c r="BQ111" s="1365"/>
      <c r="BR111" s="1364"/>
      <c r="BS111" s="1364"/>
      <c r="BT111" s="1364"/>
      <c r="BU111" s="1365"/>
      <c r="BV111" s="1364"/>
      <c r="BW111" s="1364"/>
      <c r="BX111" s="1364"/>
      <c r="BY111" s="1365"/>
      <c r="BZ111" s="1364"/>
      <c r="CA111" s="1364"/>
      <c r="CB111" s="1365"/>
    </row>
    <row r="112" spans="1:80" ht="15">
      <c r="A112" s="1128" t="s">
        <v>545</v>
      </c>
      <c r="C112" s="1364">
        <f>'A. Raw FS'!C80</f>
        <v>19.674761523000001</v>
      </c>
      <c r="D112" s="1364">
        <f>'A. Raw FS'!D80</f>
        <v>22.59953982</v>
      </c>
      <c r="E112" s="1364">
        <f>'A. Raw FS'!E80</f>
        <v>26.028463428999999</v>
      </c>
      <c r="F112" s="1364">
        <f>'A. Raw FS'!F80</f>
        <v>24.258940591999998</v>
      </c>
      <c r="G112" s="1364">
        <f>'A. Raw FS'!G80</f>
        <v>27.942658327</v>
      </c>
      <c r="H112" s="1364">
        <f>'A. Raw FS'!H80</f>
        <v>26.511400737999999</v>
      </c>
      <c r="I112" s="1364">
        <f>'A. Raw FS'!I80</f>
        <v>22.704077145999999</v>
      </c>
      <c r="J112" s="1364">
        <f>'A. Raw FS'!J80</f>
        <v>19.911562483000001</v>
      </c>
      <c r="K112" s="1364">
        <f>'A. Raw FS'!K80</f>
        <v>27.277105603999999</v>
      </c>
      <c r="L112" s="1364">
        <f>'A. Raw FS'!L80</f>
        <v>34.103023987</v>
      </c>
      <c r="M112" s="1368">
        <f>'A. Raw FS'!M80</f>
        <v>32.282943498999998</v>
      </c>
      <c r="N112" s="1364">
        <f t="shared" ref="N112:S112" si="214">M112/M111*N111</f>
        <v>37.972591713968626</v>
      </c>
      <c r="O112" s="1364">
        <f t="shared" si="214"/>
        <v>42.197565214993681</v>
      </c>
      <c r="P112" s="1364">
        <f t="shared" si="214"/>
        <v>47.06722405332976</v>
      </c>
      <c r="Q112" s="1364">
        <f t="shared" si="214"/>
        <v>52.457836280083164</v>
      </c>
      <c r="R112" s="1364">
        <f t="shared" si="214"/>
        <v>58.419795130439525</v>
      </c>
      <c r="S112" s="1364">
        <f t="shared" si="214"/>
        <v>65.00912645821397</v>
      </c>
      <c r="T112" s="1364"/>
      <c r="U112" s="1364"/>
      <c r="V112" s="1364"/>
      <c r="W112" s="1364"/>
      <c r="X112" s="1364"/>
      <c r="Y112" s="1364"/>
      <c r="Z112" s="1364"/>
      <c r="AA112" s="1364">
        <f>'A. Raw FS'!AA80</f>
        <v>25.472220075999999</v>
      </c>
      <c r="AB112" s="1364">
        <f>'A. Raw FS'!AB80</f>
        <v>23.865904092000001</v>
      </c>
      <c r="AC112" s="1364">
        <f>'A. Raw FS'!AC80</f>
        <v>23.764164129000001</v>
      </c>
      <c r="AD112" s="1365">
        <f>'A. Raw FS'!AD80</f>
        <v>22.704077145999999</v>
      </c>
      <c r="AE112" s="1364">
        <f>'A. Raw FS'!AE80</f>
        <v>21.887594934999999</v>
      </c>
      <c r="AF112" s="1364">
        <f>'A. Raw FS'!AF80</f>
        <v>21.719266406999999</v>
      </c>
      <c r="AG112" s="1364">
        <f>'A. Raw FS'!AG80</f>
        <v>20.794870762999999</v>
      </c>
      <c r="AH112" s="1365">
        <f>'A. Raw FS'!AH80</f>
        <v>19.911562483000001</v>
      </c>
      <c r="AI112" s="1364">
        <f>'A. Raw FS'!AI80</f>
        <v>18.949585187</v>
      </c>
      <c r="AJ112" s="1364">
        <f>'A. Raw FS'!AJ80</f>
        <v>21.790473998</v>
      </c>
      <c r="AK112" s="1364">
        <f>'A. Raw FS'!AK80</f>
        <v>21.145378604000001</v>
      </c>
      <c r="AL112" s="1365">
        <f>'A. Raw FS'!AL80</f>
        <v>27.277105603999999</v>
      </c>
      <c r="AM112" s="1364">
        <f>'A. Raw FS'!AM80</f>
        <v>26.040648555000001</v>
      </c>
      <c r="AN112" s="1364">
        <f>'A. Raw FS'!AN80</f>
        <v>24.804191510999999</v>
      </c>
      <c r="AO112" s="1364">
        <f>'A. Raw FS'!AO80</f>
        <v>23.72385113</v>
      </c>
      <c r="AP112" s="1365">
        <f>'A. Raw FS'!AP80</f>
        <v>34.103023987</v>
      </c>
      <c r="AQ112" s="1364">
        <f>'A. Raw FS'!AQ80</f>
        <v>32.740591232</v>
      </c>
      <c r="AR112" s="1364">
        <f>'A. Raw FS'!AR80</f>
        <v>32.527217127</v>
      </c>
      <c r="AS112" s="1364">
        <f>'A. Raw FS'!AS80</f>
        <v>30.949242272999999</v>
      </c>
      <c r="AT112" s="1365">
        <f>'A. Raw FS'!AT80</f>
        <v>32.282943498999998</v>
      </c>
      <c r="AU112" s="1364">
        <f>'A. Raw FS'!AU80</f>
        <v>30.786954087000002</v>
      </c>
      <c r="AV112" s="1364">
        <f>'A. Raw FS'!AV80</f>
        <v>41.110077679</v>
      </c>
      <c r="AW112" s="1364">
        <f>'A. Raw FS'!AW80</f>
        <v>39.6</v>
      </c>
      <c r="AX112" s="1368">
        <f>AX111*AW112/AW111</f>
        <v>40.138349078680207</v>
      </c>
      <c r="AY112" s="1364"/>
      <c r="AZ112" s="1364">
        <f t="shared" si="210"/>
        <v>40.138349078680207</v>
      </c>
      <c r="BA112" s="1364"/>
      <c r="BB112" s="1364"/>
      <c r="BC112" s="1364"/>
      <c r="BD112" s="1364"/>
      <c r="BE112" s="1364"/>
      <c r="BF112" s="1364"/>
      <c r="BG112" s="1364"/>
      <c r="BH112" s="1364"/>
      <c r="BI112" s="1365"/>
      <c r="BJ112" s="1364"/>
      <c r="BK112" s="1364"/>
      <c r="BL112" s="1364"/>
      <c r="BM112" s="1365"/>
      <c r="BN112" s="1364"/>
      <c r="BO112" s="1364"/>
      <c r="BP112" s="1364"/>
      <c r="BQ112" s="1365"/>
      <c r="BR112" s="1364"/>
      <c r="BS112" s="1364"/>
      <c r="BT112" s="1364"/>
      <c r="BU112" s="1365"/>
      <c r="BV112" s="1364"/>
      <c r="BW112" s="1364"/>
      <c r="BX112" s="1364"/>
      <c r="BY112" s="1365"/>
      <c r="BZ112" s="1364"/>
      <c r="CA112" s="1364"/>
      <c r="CB112" s="1365"/>
    </row>
    <row r="113" spans="1:80" ht="15">
      <c r="A113" s="1128" t="s">
        <v>546</v>
      </c>
      <c r="C113" s="1364">
        <f>'A. Raw FS'!C86</f>
        <v>57.650051693000002</v>
      </c>
      <c r="D113" s="1364">
        <f>'A. Raw FS'!D86</f>
        <v>57.497031915999997</v>
      </c>
      <c r="E113" s="1364">
        <f>'A. Raw FS'!E86</f>
        <v>57.345944752000001</v>
      </c>
      <c r="F113" s="1364">
        <f>'A. Raw FS'!F86</f>
        <v>57.03593489</v>
      </c>
      <c r="G113" s="1364">
        <f>'A. Raw FS'!G86</f>
        <v>56.843306593000001</v>
      </c>
      <c r="H113" s="1364">
        <f>'A. Raw FS'!H86</f>
        <v>57.182038296999998</v>
      </c>
      <c r="I113" s="1364">
        <f>'A. Raw FS'!I86</f>
        <v>61.690449063999999</v>
      </c>
      <c r="J113" s="1364">
        <f>'A. Raw FS'!J86</f>
        <v>61.503568712000003</v>
      </c>
      <c r="K113" s="1364">
        <f>'A. Raw FS'!K86</f>
        <v>60.993641351000001</v>
      </c>
      <c r="L113" s="1364">
        <f>'A. Raw FS'!L86</f>
        <v>60.380644988999997</v>
      </c>
      <c r="M113" s="1368">
        <f>'A. Raw FS'!M86</f>
        <v>63.350969628999998</v>
      </c>
      <c r="N113" s="1364">
        <f t="shared" ref="N113:S113" si="215">M113/M111*N111</f>
        <v>74.516145173706363</v>
      </c>
      <c r="O113" s="1364">
        <f>N113/N111*O111</f>
        <v>82.807092000009817</v>
      </c>
      <c r="P113" s="1364">
        <f>O113/O111*P111</f>
        <v>92.363147790913033</v>
      </c>
      <c r="Q113" s="1364">
        <f t="shared" si="215"/>
        <v>102.94150510425249</v>
      </c>
      <c r="R113" s="1364">
        <f t="shared" si="215"/>
        <v>114.64105394093069</v>
      </c>
      <c r="S113" s="1364">
        <f t="shared" si="215"/>
        <v>127.5717375644419</v>
      </c>
      <c r="T113" s="1364"/>
      <c r="U113" s="1364"/>
      <c r="V113" s="1364"/>
      <c r="W113" s="1364"/>
      <c r="X113" s="1364"/>
      <c r="Y113" s="1364"/>
      <c r="Z113" s="1364"/>
      <c r="AA113" s="1364">
        <f>'A. Raw FS'!AA86</f>
        <v>58.443667474999998</v>
      </c>
      <c r="AB113" s="1364">
        <f>'A. Raw FS'!AB86</f>
        <v>59.912959639</v>
      </c>
      <c r="AC113" s="1364">
        <f>'A. Raw FS'!AC86</f>
        <v>60.585490944</v>
      </c>
      <c r="AD113" s="1365">
        <f>'A. Raw FS'!AD86</f>
        <v>61.690449063999999</v>
      </c>
      <c r="AE113" s="1364">
        <f>'A. Raw FS'!AE86</f>
        <v>61.542791059000002</v>
      </c>
      <c r="AF113" s="1364">
        <f>'A. Raw FS'!AF86</f>
        <v>61.507400320999999</v>
      </c>
      <c r="AG113" s="1364">
        <f>'A. Raw FS'!AG86</f>
        <v>61.664115267</v>
      </c>
      <c r="AH113" s="1365">
        <f>'A. Raw FS'!AH86</f>
        <v>61.768370378</v>
      </c>
      <c r="AI113" s="1364">
        <f>'A. Raw FS'!AI86</f>
        <v>61.354798287999998</v>
      </c>
      <c r="AJ113" s="1364">
        <f>'A. Raw FS'!AJ86</f>
        <v>61.211090198999997</v>
      </c>
      <c r="AK113" s="1364">
        <f>'A. Raw FS'!AK86</f>
        <v>61.067382107999997</v>
      </c>
      <c r="AL113" s="1365">
        <f>'A. Raw FS'!AL86</f>
        <v>60.993641351000001</v>
      </c>
      <c r="AM113" s="1364">
        <f>'A. Raw FS'!AM86</f>
        <v>60.840392258999998</v>
      </c>
      <c r="AN113" s="1364">
        <f>'A. Raw FS'!AN86</f>
        <v>60.687143165999998</v>
      </c>
      <c r="AO113" s="1364">
        <f>'A. Raw FS'!AO86</f>
        <v>60.533894076999999</v>
      </c>
      <c r="AP113" s="1365">
        <f>'A. Raw FS'!AP86</f>
        <v>60.380644988999997</v>
      </c>
      <c r="AQ113" s="1364">
        <f>'A. Raw FS'!AQ86</f>
        <v>60.464217097000002</v>
      </c>
      <c r="AR113" s="1364">
        <f>'A. Raw FS'!AR86</f>
        <v>60.448463744999998</v>
      </c>
      <c r="AS113" s="1364">
        <f>'A. Raw FS'!AS86</f>
        <v>62.861968683999997</v>
      </c>
      <c r="AT113" s="1365">
        <f>'A. Raw FS'!AT86</f>
        <v>63.350969628999998</v>
      </c>
      <c r="AU113" s="1364">
        <f>'A. Raw FS'!AU86</f>
        <v>62.613584424000003</v>
      </c>
      <c r="AV113" s="1364">
        <f>'A. Raw FS'!AV86</f>
        <v>67.347124473999997</v>
      </c>
      <c r="AW113" s="1364">
        <f>'A. Raw FS'!AW86</f>
        <v>71.38</v>
      </c>
      <c r="AX113" s="1368">
        <f>AX111*AW113/AW111</f>
        <v>72.350387808994768</v>
      </c>
      <c r="AY113" s="1364"/>
      <c r="AZ113" s="1364">
        <f t="shared" si="210"/>
        <v>72.350387808994768</v>
      </c>
      <c r="BA113" s="1364"/>
      <c r="BB113" s="1364"/>
      <c r="BC113" s="1364"/>
      <c r="BD113" s="1364"/>
      <c r="BE113" s="1364"/>
      <c r="BF113" s="1364"/>
      <c r="BG113" s="1364"/>
      <c r="BH113" s="1364"/>
      <c r="BI113" s="1365"/>
      <c r="BJ113" s="1364"/>
      <c r="BK113" s="1364"/>
      <c r="BL113" s="1364"/>
      <c r="BM113" s="1365"/>
      <c r="BN113" s="1364"/>
      <c r="BO113" s="1364"/>
      <c r="BP113" s="1364"/>
      <c r="BQ113" s="1365"/>
      <c r="BR113" s="1364"/>
      <c r="BS113" s="1364"/>
      <c r="BT113" s="1364"/>
      <c r="BU113" s="1365"/>
      <c r="BV113" s="1364"/>
      <c r="BW113" s="1364"/>
      <c r="BX113" s="1364"/>
      <c r="BY113" s="1365"/>
      <c r="BZ113" s="1364"/>
      <c r="CA113" s="1364"/>
      <c r="CB113" s="1365"/>
    </row>
    <row r="114" spans="1:80" ht="15">
      <c r="A114" s="1128" t="s">
        <v>547</v>
      </c>
      <c r="C114" s="1364">
        <f>'A. Raw FS'!C96</f>
        <v>5.0999999999999996</v>
      </c>
      <c r="D114" s="1364">
        <f>'A. Raw FS'!D96</f>
        <v>5.0999999999999996</v>
      </c>
      <c r="E114" s="1364">
        <f>'A. Raw FS'!E96</f>
        <v>0</v>
      </c>
      <c r="F114" s="1364">
        <f>'A. Raw FS'!F96</f>
        <v>0</v>
      </c>
      <c r="G114" s="1364">
        <f>'A. Raw FS'!G96</f>
        <v>0</v>
      </c>
      <c r="H114" s="1364">
        <f>'A. Raw FS'!H96</f>
        <v>0</v>
      </c>
      <c r="I114" s="1364">
        <f>'A. Raw FS'!I96</f>
        <v>4.1428829909999996</v>
      </c>
      <c r="J114" s="1364">
        <f>'A. Raw FS'!J96</f>
        <v>6.1258552030000004</v>
      </c>
      <c r="K114" s="1364">
        <f>'A. Raw FS'!K96</f>
        <v>59.904055268999997</v>
      </c>
      <c r="L114" s="1364">
        <f>'A. Raw FS'!L96</f>
        <v>65.269613977000006</v>
      </c>
      <c r="M114" s="1368">
        <f>'A. Raw FS'!M96</f>
        <v>70.627336628999998</v>
      </c>
      <c r="N114" s="633">
        <f>AX114</f>
        <v>60.96</v>
      </c>
      <c r="O114" s="1366">
        <f t="shared" ref="O114:S115" si="216">N114</f>
        <v>60.96</v>
      </c>
      <c r="P114" s="1366">
        <f t="shared" si="216"/>
        <v>60.96</v>
      </c>
      <c r="Q114" s="1366">
        <f t="shared" si="216"/>
        <v>60.96</v>
      </c>
      <c r="R114" s="1366">
        <f t="shared" si="216"/>
        <v>60.96</v>
      </c>
      <c r="S114" s="1366">
        <f t="shared" si="216"/>
        <v>60.96</v>
      </c>
      <c r="T114" s="1364"/>
      <c r="U114" s="1364"/>
      <c r="V114" s="1364"/>
      <c r="W114" s="1364"/>
      <c r="X114" s="1364"/>
      <c r="Y114" s="1364"/>
      <c r="Z114" s="1364"/>
      <c r="AA114" s="1364">
        <f>'A. Raw FS'!AA96</f>
        <v>3.0016693139999999</v>
      </c>
      <c r="AB114" s="1364">
        <f>'A. Raw FS'!AB96</f>
        <v>3.0191530950000001</v>
      </c>
      <c r="AC114" s="1364">
        <f>'A. Raw FS'!AC96</f>
        <v>3.506647627</v>
      </c>
      <c r="AD114" s="1365">
        <f>'A. Raw FS'!AD96</f>
        <v>3.5532499999999998</v>
      </c>
      <c r="AE114" s="1364">
        <f>'A. Raw FS'!AE96</f>
        <v>5.4979747010000004</v>
      </c>
      <c r="AF114" s="1364">
        <f>'A. Raw FS'!AF96</f>
        <v>6.921867582</v>
      </c>
      <c r="AG114" s="1364">
        <f>'A. Raw FS'!AG96</f>
        <v>8.1039092979999996</v>
      </c>
      <c r="AH114" s="1365">
        <f>'A. Raw FS'!AH96</f>
        <v>6.6654608069999997</v>
      </c>
      <c r="AI114" s="1364">
        <f>'A. Raw FS'!AI96</f>
        <v>7.2813183339999998</v>
      </c>
      <c r="AJ114" s="1364">
        <f>'A. Raw FS'!AJ96</f>
        <v>6.8501066550000003</v>
      </c>
      <c r="AK114" s="1364">
        <f>'A. Raw FS'!AK96</f>
        <v>47.243806999999997</v>
      </c>
      <c r="AL114" s="1365">
        <f>'A. Raw FS'!AL96</f>
        <v>58.685014246000001</v>
      </c>
      <c r="AM114" s="1364">
        <f>'A. Raw FS'!AM96</f>
        <v>68.804325200999997</v>
      </c>
      <c r="AN114" s="1364">
        <f>'A. Raw FS'!AN96</f>
        <v>67.195624256000002</v>
      </c>
      <c r="AO114" s="1364">
        <f>'A. Raw FS'!AO96</f>
        <v>65.694422797000001</v>
      </c>
      <c r="AP114" s="1365">
        <f>'A. Raw FS'!AP96</f>
        <v>65.269613977000006</v>
      </c>
      <c r="AQ114" s="1364">
        <f>'A. Raw FS'!AQ96</f>
        <v>63.609242836</v>
      </c>
      <c r="AR114" s="1364">
        <f>'A. Raw FS'!AR96</f>
        <v>63.269768282000001</v>
      </c>
      <c r="AS114" s="1364">
        <f>'A. Raw FS'!AS96</f>
        <v>320.71690381000002</v>
      </c>
      <c r="AT114" s="1365">
        <f>'A. Raw FS'!AT96</f>
        <v>70.627336628999998</v>
      </c>
      <c r="AU114" s="1364">
        <f>'A. Raw FS'!AU96</f>
        <v>66.450387504999995</v>
      </c>
      <c r="AV114" s="1364">
        <f>'A. Raw FS'!AV96</f>
        <v>61.129874293</v>
      </c>
      <c r="AW114" s="1364">
        <f>'A. Raw FS'!AW96</f>
        <v>60.96</v>
      </c>
      <c r="AX114" s="1367">
        <f>AW114</f>
        <v>60.96</v>
      </c>
      <c r="AY114" s="1364"/>
      <c r="AZ114" s="1364">
        <f t="shared" si="210"/>
        <v>60.96</v>
      </c>
      <c r="BA114" s="1364"/>
      <c r="BB114" s="1364"/>
      <c r="BC114" s="1364"/>
      <c r="BD114" s="1364"/>
      <c r="BE114" s="1364"/>
      <c r="BF114" s="1364"/>
      <c r="BG114" s="1364"/>
      <c r="BH114" s="1364"/>
      <c r="BI114" s="1365"/>
      <c r="BJ114" s="1364"/>
      <c r="BK114" s="1364"/>
      <c r="BL114" s="1364"/>
      <c r="BM114" s="1365"/>
      <c r="BN114" s="1364"/>
      <c r="BO114" s="1364"/>
      <c r="BP114" s="1364"/>
      <c r="BQ114" s="1365"/>
      <c r="BR114" s="1364"/>
      <c r="BS114" s="1364"/>
      <c r="BT114" s="1364"/>
      <c r="BU114" s="1365"/>
      <c r="BV114" s="1364"/>
      <c r="BW114" s="1364"/>
      <c r="BX114" s="1364"/>
      <c r="BY114" s="1365"/>
      <c r="BZ114" s="1364"/>
      <c r="CA114" s="1364"/>
      <c r="CB114" s="1365"/>
    </row>
    <row r="115" spans="1:80" ht="15">
      <c r="A115" s="1128" t="s">
        <v>548</v>
      </c>
      <c r="C115" s="1364">
        <f>'A. Raw FS'!C103</f>
        <v>2.0244220660000001</v>
      </c>
      <c r="D115" s="1364">
        <f>'A. Raw FS'!D103-'A. Raw FS'!D108</f>
        <v>1.7519883570000001</v>
      </c>
      <c r="E115" s="1364">
        <f>'A. Raw FS'!E103-'A. Raw FS'!E108</f>
        <v>0.480080546</v>
      </c>
      <c r="F115" s="1364">
        <f>'A. Raw FS'!F103-'A. Raw FS'!F108</f>
        <v>0.62395699299999996</v>
      </c>
      <c r="G115" s="1364">
        <f>'A. Raw FS'!G103-'A. Raw FS'!G108</f>
        <v>0.626367758</v>
      </c>
      <c r="H115" s="1364">
        <f>'A. Raw FS'!H103-'A. Raw FS'!H108</f>
        <v>0.56120934800000022</v>
      </c>
      <c r="I115" s="1364">
        <f>'A. Raw FS'!I103-'A. Raw FS'!I108</f>
        <v>7.1717328660000002</v>
      </c>
      <c r="J115" s="1364">
        <f>'A. Raw FS'!J103-'A. Raw FS'!J108</f>
        <v>25.716712563000002</v>
      </c>
      <c r="K115" s="1364">
        <f>'A. Raw FS'!K103-'A. Raw FS'!K108</f>
        <v>46.000359429999996</v>
      </c>
      <c r="L115" s="1364">
        <f>'A. Raw FS'!L103-'A. Raw FS'!L108</f>
        <v>108.449546775</v>
      </c>
      <c r="M115" s="1368">
        <f>'A. Raw FS'!M103-'A. Raw FS'!M108</f>
        <v>107.34984468799996</v>
      </c>
      <c r="N115" s="633">
        <f>AX115</f>
        <v>75.930000000000007</v>
      </c>
      <c r="O115" s="1366">
        <f t="shared" si="216"/>
        <v>75.930000000000007</v>
      </c>
      <c r="P115" s="1366">
        <f t="shared" si="216"/>
        <v>75.930000000000007</v>
      </c>
      <c r="Q115" s="1366">
        <f t="shared" si="216"/>
        <v>75.930000000000007</v>
      </c>
      <c r="R115" s="1366">
        <f t="shared" si="216"/>
        <v>75.930000000000007</v>
      </c>
      <c r="S115" s="1366">
        <f t="shared" si="216"/>
        <v>75.930000000000007</v>
      </c>
      <c r="T115" s="1364"/>
      <c r="U115" s="1364"/>
      <c r="V115" s="1364"/>
      <c r="W115" s="1364"/>
      <c r="X115" s="1364"/>
      <c r="Y115" s="1364"/>
      <c r="Z115" s="1364"/>
      <c r="AA115" s="1364">
        <f>'A. Raw FS'!AA103-'A. Raw FS'!AA108</f>
        <v>0.91871148800000046</v>
      </c>
      <c r="AB115" s="1364">
        <f>'A. Raw FS'!AB103-'A. Raw FS'!AB108</f>
        <v>1.0674477969999998</v>
      </c>
      <c r="AC115" s="1364">
        <f>'A. Raw FS'!AC103-'A. Raw FS'!AC108</f>
        <v>1.0099420419999996</v>
      </c>
      <c r="AD115" s="1365">
        <f>'A. Raw FS'!AD103-'A. Raw FS'!AD108</f>
        <v>1.9644015269999997</v>
      </c>
      <c r="AE115" s="1364">
        <f>'A. Raw FS'!AE103-'A. Raw FS'!AE108</f>
        <v>5.2514792949999993</v>
      </c>
      <c r="AF115" s="1364">
        <f>'A. Raw FS'!AF103-'A. Raw FS'!AF108</f>
        <v>16.01676806</v>
      </c>
      <c r="AG115" s="1364">
        <f>'A. Raw FS'!AG103-'A. Raw FS'!AG108</f>
        <v>4.2181269079999995</v>
      </c>
      <c r="AH115" s="1365">
        <f>'A. Raw FS'!AH103-'A. Raw FS'!AH108</f>
        <v>19.826196450000001</v>
      </c>
      <c r="AI115" s="1364">
        <f>'A. Raw FS'!AI103-'A. Raw FS'!AI108</f>
        <v>20.481322330000001</v>
      </c>
      <c r="AJ115" s="1364">
        <f>'A. Raw FS'!AJ103-'A. Raw FS'!AJ108</f>
        <v>25.176632713</v>
      </c>
      <c r="AK115" s="1364">
        <f>'A. Raw FS'!AK103-'A. Raw FS'!AK108</f>
        <v>25.134282854000002</v>
      </c>
      <c r="AL115" s="1365">
        <f>'A. Raw FS'!AL103-'A. Raw FS'!AL108</f>
        <v>46.000359429999996</v>
      </c>
      <c r="AM115" s="1364">
        <f>'A. Raw FS'!AM103-'A. Raw FS'!AM108</f>
        <v>45.284541998000002</v>
      </c>
      <c r="AN115" s="1364">
        <f>'A. Raw FS'!AN103-'A. Raw FS'!AN108</f>
        <v>50.808904251000001</v>
      </c>
      <c r="AO115" s="1364">
        <f>'A. Raw FS'!AO103-'A. Raw FS'!AO108</f>
        <v>47.691798967000004</v>
      </c>
      <c r="AP115" s="1365">
        <f>'A. Raw FS'!AP103-'A. Raw FS'!AP108</f>
        <v>108.449546775</v>
      </c>
      <c r="AQ115" s="1364">
        <f>'A. Raw FS'!AQ103-'A. Raw FS'!AQ108</f>
        <v>108.26302877400001</v>
      </c>
      <c r="AR115" s="1364">
        <f>'A. Raw FS'!AR103-'A. Raw FS'!AR108</f>
        <v>102.704867474</v>
      </c>
      <c r="AS115" s="1364">
        <f>'A. Raw FS'!AS103-'A. Raw FS'!AS108</f>
        <v>93.598503934000007</v>
      </c>
      <c r="AT115" s="1365">
        <f>'A. Raw FS'!AT103-'A. Raw FS'!AT108</f>
        <v>107.34984471799999</v>
      </c>
      <c r="AU115" s="1364">
        <f>'A. Raw FS'!AU103-'A. Raw FS'!AU108</f>
        <v>92.646056143999999</v>
      </c>
      <c r="AV115" s="1364">
        <f>'A. Raw FS'!AV103-'A. Raw FS'!AV108</f>
        <v>88.860815082999977</v>
      </c>
      <c r="AW115" s="1364">
        <f>'A. Raw FS'!AW103-'A. Raw FS'!AW108</f>
        <v>75.930000000000007</v>
      </c>
      <c r="AX115" s="1367">
        <f>AW115</f>
        <v>75.930000000000007</v>
      </c>
      <c r="AY115" s="1364"/>
      <c r="AZ115" s="1364">
        <f t="shared" si="210"/>
        <v>75.930000000000007</v>
      </c>
      <c r="BA115" s="1364"/>
      <c r="BB115" s="1364"/>
      <c r="BC115" s="1364"/>
      <c r="BD115" s="1364"/>
      <c r="BE115" s="1364"/>
      <c r="BF115" s="1364"/>
      <c r="BG115" s="1364"/>
      <c r="BH115" s="1364"/>
      <c r="BI115" s="1365"/>
      <c r="BJ115" s="1364"/>
      <c r="BK115" s="1364"/>
      <c r="BL115" s="1364"/>
      <c r="BM115" s="1365"/>
      <c r="BN115" s="1364"/>
      <c r="BO115" s="1364"/>
      <c r="BP115" s="1364"/>
      <c r="BQ115" s="1365"/>
      <c r="BR115" s="1364"/>
      <c r="BS115" s="1364"/>
      <c r="BT115" s="1364"/>
      <c r="BU115" s="1365"/>
      <c r="BV115" s="1364"/>
      <c r="BW115" s="1364"/>
      <c r="BX115" s="1364"/>
      <c r="BY115" s="1365"/>
      <c r="BZ115" s="1364"/>
      <c r="CA115" s="1364"/>
      <c r="CB115" s="1365"/>
    </row>
    <row r="116" spans="1:80" ht="15">
      <c r="A116" s="1128" t="s">
        <v>549</v>
      </c>
      <c r="C116" s="1364"/>
      <c r="D116" s="1364">
        <f>'A. Raw FS'!D108</f>
        <v>0</v>
      </c>
      <c r="E116" s="1364">
        <f>'A. Raw FS'!E108</f>
        <v>0</v>
      </c>
      <c r="F116" s="1364">
        <f>'A. Raw FS'!F108</f>
        <v>0</v>
      </c>
      <c r="G116" s="1364">
        <f>'A. Raw FS'!G108</f>
        <v>0</v>
      </c>
      <c r="H116" s="1364">
        <f>'A. Raw FS'!H108</f>
        <v>5.4651597289999998</v>
      </c>
      <c r="I116" s="1364">
        <f>'A. Raw FS'!I108</f>
        <v>4.8898797570000001</v>
      </c>
      <c r="J116" s="1364">
        <f>'A. Raw FS'!J108</f>
        <v>0</v>
      </c>
      <c r="K116" s="1364">
        <f>'A. Raw FS'!K108</f>
        <v>3.7393198129999998</v>
      </c>
      <c r="L116" s="1364">
        <f>'A. Raw FS'!L108</f>
        <v>3.1640398410000001</v>
      </c>
      <c r="M116" s="1368">
        <f>'A. Raw FS'!M108</f>
        <v>277.05534721200002</v>
      </c>
      <c r="N116" s="1364">
        <f t="shared" ref="N116:S116" si="217">N172</f>
        <v>248.075008199</v>
      </c>
      <c r="O116" s="1364">
        <f t="shared" si="217"/>
        <v>220.06039084399998</v>
      </c>
      <c r="P116" s="1364">
        <f t="shared" si="217"/>
        <v>192.04577348899997</v>
      </c>
      <c r="Q116" s="1364">
        <f t="shared" si="217"/>
        <v>164.03115613399996</v>
      </c>
      <c r="R116" s="1364">
        <f t="shared" si="217"/>
        <v>136.01653877899994</v>
      </c>
      <c r="S116" s="1364">
        <f t="shared" si="217"/>
        <v>108.00192142399995</v>
      </c>
      <c r="T116" s="1364"/>
      <c r="U116" s="1364"/>
      <c r="V116" s="1364"/>
      <c r="W116" s="1364"/>
      <c r="X116" s="1364"/>
      <c r="Y116" s="1364"/>
      <c r="Z116" s="1364"/>
      <c r="AA116" s="1364">
        <f>'A. Raw FS'!AA108</f>
        <v>5.3213397359999997</v>
      </c>
      <c r="AB116" s="1364">
        <f>'A. Raw FS'!AB108</f>
        <v>5.1775197430000004</v>
      </c>
      <c r="AC116" s="1364">
        <f>'A. Raw FS'!AC108</f>
        <v>5.0336997500000003</v>
      </c>
      <c r="AD116" s="1365">
        <f>'A. Raw FS'!AD108</f>
        <v>4.8898797570000001</v>
      </c>
      <c r="AE116" s="1364">
        <f>'A. Raw FS'!AE108</f>
        <v>5.7092270640000002</v>
      </c>
      <c r="AF116" s="1364">
        <f>'A. Raw FS'!AF108</f>
        <v>0</v>
      </c>
      <c r="AG116" s="1364">
        <f>'A. Raw FS'!AG108</f>
        <v>5.5654070710000001</v>
      </c>
      <c r="AH116" s="1365">
        <f>'A. Raw FS'!AH108</f>
        <v>0</v>
      </c>
      <c r="AI116" s="1364">
        <f>'A. Raw FS'!AI108</f>
        <v>3.207612492</v>
      </c>
      <c r="AJ116" s="1364">
        <f>'A. Raw FS'!AJ108</f>
        <v>4.0269597990000001</v>
      </c>
      <c r="AK116" s="1364">
        <f>'A. Raw FS'!AK108</f>
        <v>3.883139806</v>
      </c>
      <c r="AL116" s="1365">
        <f>'A. Raw FS'!AL108</f>
        <v>3.7393198129999998</v>
      </c>
      <c r="AM116" s="1364">
        <f>'A. Raw FS'!AM108</f>
        <v>3.5954998200000001</v>
      </c>
      <c r="AN116" s="1364">
        <f>'A. Raw FS'!AN108</f>
        <v>0</v>
      </c>
      <c r="AO116" s="1364">
        <f>'A. Raw FS'!AO108</f>
        <v>3.3078598339999998</v>
      </c>
      <c r="AP116" s="1365">
        <f>'A. Raw FS'!AP108</f>
        <v>3.1640398410000001</v>
      </c>
      <c r="AQ116" s="1364">
        <f>'A. Raw FS'!AQ108</f>
        <v>3.020219848</v>
      </c>
      <c r="AR116" s="1364">
        <f>'A. Raw FS'!AR108</f>
        <v>2.8763998549999998</v>
      </c>
      <c r="AS116" s="1364">
        <f>'A. Raw FS'!AS108</f>
        <v>2.7325798620000001</v>
      </c>
      <c r="AT116" s="1365">
        <f>'A. Raw FS'!AT108</f>
        <v>277.05534721200002</v>
      </c>
      <c r="AU116" s="1364">
        <f>'A. Raw FS'!AU108</f>
        <v>270.04986253499999</v>
      </c>
      <c r="AV116" s="1364">
        <f>'A. Raw FS'!AV108</f>
        <v>263.04437785900001</v>
      </c>
      <c r="AW116" s="1364">
        <f>'A. Raw FS'!AW108</f>
        <v>256.04000000000002</v>
      </c>
      <c r="AX116" s="1367">
        <f>AX172</f>
        <v>248.07500819900002</v>
      </c>
      <c r="AY116" s="1364"/>
      <c r="AZ116" s="1364">
        <f t="shared" si="210"/>
        <v>248.07500819900002</v>
      </c>
      <c r="BA116" s="1364"/>
      <c r="BB116" s="1364"/>
      <c r="BC116" s="1364"/>
      <c r="BD116" s="1364"/>
      <c r="BE116" s="1364"/>
      <c r="BF116" s="1364"/>
      <c r="BG116" s="1364"/>
      <c r="BH116" s="1364"/>
      <c r="BI116" s="1365"/>
      <c r="BJ116" s="1364"/>
      <c r="BK116" s="1364"/>
      <c r="BL116" s="1364"/>
      <c r="BM116" s="1365"/>
      <c r="BN116" s="1364"/>
      <c r="BO116" s="1364"/>
      <c r="BP116" s="1364"/>
      <c r="BQ116" s="1365"/>
      <c r="BR116" s="1364"/>
      <c r="BS116" s="1364"/>
      <c r="BT116" s="1364"/>
      <c r="BU116" s="1365"/>
      <c r="BV116" s="1364"/>
      <c r="BW116" s="1364"/>
      <c r="BX116" s="1364"/>
      <c r="BY116" s="1365"/>
      <c r="BZ116" s="1364"/>
      <c r="CA116" s="1364"/>
      <c r="CB116" s="1365"/>
    </row>
    <row r="117" spans="1:80" s="397" customFormat="1" ht="15">
      <c r="A117" s="511" t="s">
        <v>550</v>
      </c>
      <c r="B117" s="410"/>
      <c r="C117" s="494">
        <f t="shared" ref="C117:H117" si="218">C109+C101</f>
        <v>855.99738905000004</v>
      </c>
      <c r="D117" s="494">
        <f t="shared" si="218"/>
        <v>976.54412233899995</v>
      </c>
      <c r="E117" s="494">
        <f t="shared" si="218"/>
        <v>1292.721545629</v>
      </c>
      <c r="F117" s="494">
        <f t="shared" si="218"/>
        <v>1255.508372989</v>
      </c>
      <c r="G117" s="494">
        <f t="shared" si="218"/>
        <v>1306.2119002219999</v>
      </c>
      <c r="H117" s="494">
        <f t="shared" si="218"/>
        <v>1593.948921358</v>
      </c>
      <c r="I117" s="494">
        <f t="shared" ref="I117:S117" si="219">I109+I101</f>
        <v>2223.3361136059998</v>
      </c>
      <c r="J117" s="494">
        <f t="shared" si="219"/>
        <v>2405.0552020670002</v>
      </c>
      <c r="K117" s="494">
        <f t="shared" si="219"/>
        <v>3068.7471294300003</v>
      </c>
      <c r="L117" s="608">
        <f>L109+L101</f>
        <v>6544.8225680159994</v>
      </c>
      <c r="M117" s="673">
        <f t="shared" si="219"/>
        <v>6355.4211235480007</v>
      </c>
      <c r="N117" s="494">
        <f t="shared" si="219"/>
        <v>7468.3131927652257</v>
      </c>
      <c r="O117" s="494">
        <f t="shared" si="219"/>
        <v>8043.5026513548555</v>
      </c>
      <c r="P117" s="494">
        <f t="shared" si="219"/>
        <v>9051.8513553987304</v>
      </c>
      <c r="Q117" s="494">
        <f t="shared" si="219"/>
        <v>10042.779545337824</v>
      </c>
      <c r="R117" s="494">
        <f t="shared" si="219"/>
        <v>11052.47931336578</v>
      </c>
      <c r="S117" s="494">
        <f t="shared" si="219"/>
        <v>12240.994809976017</v>
      </c>
      <c r="T117" s="494"/>
      <c r="U117" s="494"/>
      <c r="V117" s="494"/>
      <c r="W117" s="494"/>
      <c r="X117" s="494"/>
      <c r="Y117" s="494"/>
      <c r="Z117" s="494"/>
      <c r="AA117" s="494">
        <f t="shared" ref="AA117:AZ117" si="220">AA109+AA101</f>
        <v>1396.6601770759999</v>
      </c>
      <c r="AB117" s="494">
        <f t="shared" si="220"/>
        <v>1466.3850367060002</v>
      </c>
      <c r="AC117" s="494">
        <f t="shared" si="220"/>
        <v>1661.483823217</v>
      </c>
      <c r="AD117" s="495">
        <f t="shared" si="220"/>
        <v>2221.8383339649999</v>
      </c>
      <c r="AE117" s="494">
        <f t="shared" si="220"/>
        <v>1839.0745626419998</v>
      </c>
      <c r="AF117" s="494">
        <f t="shared" si="220"/>
        <v>2148.1694250370001</v>
      </c>
      <c r="AG117" s="494">
        <f t="shared" si="220"/>
        <v>2046.3628029629999</v>
      </c>
      <c r="AH117" s="495">
        <f t="shared" si="220"/>
        <v>2419.0183355190002</v>
      </c>
      <c r="AI117" s="494">
        <f t="shared" si="220"/>
        <v>1909.6117577760001</v>
      </c>
      <c r="AJ117" s="494">
        <f t="shared" si="220"/>
        <v>2224.464426088</v>
      </c>
      <c r="AK117" s="494">
        <f t="shared" si="220"/>
        <v>2321.6108578050003</v>
      </c>
      <c r="AL117" s="495">
        <f t="shared" si="220"/>
        <v>3066.305698274</v>
      </c>
      <c r="AM117" s="494">
        <f t="shared" si="220"/>
        <v>3354.8197510509995</v>
      </c>
      <c r="AN117" s="494">
        <f t="shared" si="220"/>
        <v>3424.786016647</v>
      </c>
      <c r="AO117" s="494">
        <f t="shared" si="220"/>
        <v>3760.5557671380002</v>
      </c>
      <c r="AP117" s="495">
        <f t="shared" si="220"/>
        <v>6547.5559917320006</v>
      </c>
      <c r="AQ117" s="494">
        <f t="shared" si="220"/>
        <v>6668.9238503699999</v>
      </c>
      <c r="AR117" s="494">
        <f t="shared" si="220"/>
        <v>6136.2053889919998</v>
      </c>
      <c r="AS117" s="494">
        <f t="shared" si="220"/>
        <v>6608.9621662999998</v>
      </c>
      <c r="AT117" s="495">
        <f t="shared" si="220"/>
        <v>6355.2891235779998</v>
      </c>
      <c r="AU117" s="494">
        <f t="shared" si="220"/>
        <v>5916.3467661229997</v>
      </c>
      <c r="AV117" s="494">
        <f t="shared" si="220"/>
        <v>6559.6440108399993</v>
      </c>
      <c r="AW117" s="494">
        <f>AW109+AW101</f>
        <v>7003.16</v>
      </c>
      <c r="AX117" s="673">
        <f>AX109+AX101</f>
        <v>7486.1470116360879</v>
      </c>
      <c r="AY117" s="494"/>
      <c r="AZ117" s="494">
        <f t="shared" si="220"/>
        <v>7486.1470116360879</v>
      </c>
      <c r="BA117" s="494"/>
      <c r="BB117" s="494"/>
      <c r="BC117" s="494"/>
      <c r="BD117" s="494"/>
      <c r="BE117" s="494"/>
      <c r="BF117" s="494"/>
      <c r="BG117" s="494"/>
      <c r="BH117" s="494"/>
      <c r="BI117" s="495"/>
      <c r="BJ117" s="494"/>
      <c r="BK117" s="494"/>
      <c r="BL117" s="494"/>
      <c r="BM117" s="495"/>
      <c r="BN117" s="494"/>
      <c r="BO117" s="494"/>
      <c r="BP117" s="494"/>
      <c r="BQ117" s="495"/>
      <c r="BR117" s="494"/>
      <c r="BS117" s="494"/>
      <c r="BT117" s="494"/>
      <c r="BU117" s="495"/>
      <c r="BV117" s="494"/>
      <c r="BW117" s="494"/>
      <c r="BX117" s="494"/>
      <c r="BY117" s="495"/>
      <c r="BZ117" s="494"/>
      <c r="CA117" s="494"/>
      <c r="CB117" s="495"/>
    </row>
    <row r="118" spans="1:80" ht="15">
      <c r="C118" s="1364"/>
      <c r="D118" s="1364"/>
      <c r="E118" s="1364"/>
      <c r="F118" s="1364"/>
      <c r="G118" s="1364"/>
      <c r="H118" s="1364"/>
      <c r="I118" s="1364"/>
      <c r="J118" s="1364"/>
      <c r="K118" s="1364"/>
      <c r="L118" s="1364"/>
      <c r="M118" s="1368"/>
      <c r="N118" s="1364"/>
      <c r="O118" s="1364"/>
      <c r="P118" s="1364"/>
      <c r="Q118" s="1364"/>
      <c r="R118" s="1364"/>
      <c r="S118" s="1364"/>
      <c r="T118" s="1364"/>
      <c r="U118" s="1364"/>
      <c r="V118" s="1364"/>
      <c r="W118" s="1364"/>
      <c r="X118" s="1364"/>
      <c r="Y118" s="1364"/>
      <c r="Z118" s="1364"/>
      <c r="AA118" s="1364"/>
      <c r="AB118" s="1364"/>
      <c r="AC118" s="1364"/>
      <c r="AD118" s="1365"/>
      <c r="AE118" s="1364"/>
      <c r="AF118" s="1364"/>
      <c r="AG118" s="1364"/>
      <c r="AH118" s="1365"/>
      <c r="AI118" s="1364"/>
      <c r="AJ118" s="1364"/>
      <c r="AK118" s="1364"/>
      <c r="AL118" s="1365"/>
      <c r="AM118" s="1364"/>
      <c r="AN118" s="1364"/>
      <c r="AO118" s="1364"/>
      <c r="AP118" s="1365"/>
      <c r="AQ118" s="1364"/>
      <c r="AR118" s="1364"/>
      <c r="AS118" s="1364"/>
      <c r="AT118" s="1365"/>
      <c r="AU118" s="1364"/>
      <c r="AV118" s="1364"/>
      <c r="AW118" s="1364"/>
      <c r="AX118" s="1368"/>
      <c r="AY118" s="1364"/>
      <c r="AZ118" s="1364"/>
      <c r="BA118" s="1364"/>
      <c r="BB118" s="1364"/>
      <c r="BC118" s="1364"/>
      <c r="BD118" s="1364"/>
      <c r="BE118" s="1364"/>
      <c r="BF118" s="1364"/>
      <c r="BG118" s="1364"/>
      <c r="BH118" s="1364"/>
      <c r="BI118" s="1365"/>
      <c r="BJ118" s="1364"/>
      <c r="BK118" s="1364"/>
      <c r="BL118" s="1364"/>
      <c r="BM118" s="1365"/>
      <c r="BN118" s="1364"/>
      <c r="BO118" s="1364"/>
      <c r="BP118" s="1364"/>
      <c r="BQ118" s="1365"/>
      <c r="BR118" s="1364"/>
      <c r="BS118" s="1364"/>
      <c r="BT118" s="1364"/>
      <c r="BU118" s="1365"/>
      <c r="BV118" s="1364"/>
      <c r="BW118" s="1364"/>
      <c r="BX118" s="1364"/>
      <c r="BY118" s="1365"/>
      <c r="BZ118" s="1364"/>
      <c r="CA118" s="1364"/>
      <c r="CB118" s="1365"/>
    </row>
    <row r="119" spans="1:80" s="397" customFormat="1" ht="15">
      <c r="A119" s="511" t="s">
        <v>551</v>
      </c>
      <c r="B119" s="410"/>
      <c r="C119" s="494">
        <f t="shared" ref="C119:H119" si="221">C120+C125</f>
        <v>559.15341193399991</v>
      </c>
      <c r="D119" s="494">
        <f t="shared" si="221"/>
        <v>726.44772214599993</v>
      </c>
      <c r="E119" s="494">
        <f t="shared" si="221"/>
        <v>957.96242914299989</v>
      </c>
      <c r="F119" s="494">
        <f t="shared" si="221"/>
        <v>646.96411906600008</v>
      </c>
      <c r="G119" s="494">
        <f t="shared" si="221"/>
        <v>676.63332706900007</v>
      </c>
      <c r="H119" s="494">
        <f t="shared" si="221"/>
        <v>904.51400839899998</v>
      </c>
      <c r="I119" s="494">
        <f>I120+I125</f>
        <v>1456.8566337849998</v>
      </c>
      <c r="J119" s="494">
        <f t="shared" ref="J119:AZ119" si="222">J120+J125</f>
        <v>1480.206789049</v>
      </c>
      <c r="K119" s="494">
        <f t="shared" si="222"/>
        <v>1910.1608356639997</v>
      </c>
      <c r="L119" s="494">
        <f t="shared" si="222"/>
        <v>4763.5379006339999</v>
      </c>
      <c r="M119" s="673">
        <f t="shared" ref="M119:S119" si="223">M120+M125</f>
        <v>3932.1393902710001</v>
      </c>
      <c r="N119" s="494">
        <f t="shared" si="223"/>
        <v>4793.853988953344</v>
      </c>
      <c r="O119" s="494">
        <f t="shared" si="223"/>
        <v>4970.2242496227109</v>
      </c>
      <c r="P119" s="494">
        <f t="shared" si="223"/>
        <v>5544.8859172286448</v>
      </c>
      <c r="Q119" s="494">
        <f t="shared" si="223"/>
        <v>6047.4142286033839</v>
      </c>
      <c r="R119" s="494">
        <f t="shared" si="223"/>
        <v>6506.2004874566355</v>
      </c>
      <c r="S119" s="494">
        <f t="shared" si="223"/>
        <v>7036.5698226266441</v>
      </c>
      <c r="T119" s="494"/>
      <c r="U119" s="494"/>
      <c r="V119" s="494"/>
      <c r="W119" s="494"/>
      <c r="X119" s="494"/>
      <c r="Y119" s="494"/>
      <c r="Z119" s="494"/>
      <c r="AA119" s="494">
        <f t="shared" si="222"/>
        <v>687.72371725500011</v>
      </c>
      <c r="AB119" s="494">
        <f t="shared" si="222"/>
        <v>760.45254304399987</v>
      </c>
      <c r="AC119" s="494">
        <f t="shared" si="222"/>
        <v>927.071640065</v>
      </c>
      <c r="AD119" s="495">
        <f t="shared" si="222"/>
        <v>1455.6800645999997</v>
      </c>
      <c r="AE119" s="494">
        <f t="shared" si="222"/>
        <v>1032.1322416200001</v>
      </c>
      <c r="AF119" s="494">
        <f t="shared" si="222"/>
        <v>1311.1460518480001</v>
      </c>
      <c r="AG119" s="494">
        <f t="shared" si="222"/>
        <v>1155.8737720679999</v>
      </c>
      <c r="AH119" s="495">
        <f t="shared" si="222"/>
        <v>1496.4300256490001</v>
      </c>
      <c r="AI119" s="494">
        <f t="shared" si="222"/>
        <v>939.56445281599997</v>
      </c>
      <c r="AJ119" s="494">
        <f t="shared" si="222"/>
        <v>1194.4954481859997</v>
      </c>
      <c r="AK119" s="494">
        <f t="shared" si="222"/>
        <v>1262.2640800129998</v>
      </c>
      <c r="AL119" s="495">
        <f t="shared" si="222"/>
        <v>1921.8233653149998</v>
      </c>
      <c r="AM119" s="494">
        <f t="shared" si="222"/>
        <v>2089.3405405829999</v>
      </c>
      <c r="AN119" s="494">
        <f t="shared" si="222"/>
        <v>2030.7346392989998</v>
      </c>
      <c r="AO119" s="494">
        <f t="shared" si="222"/>
        <v>2303.4487062870003</v>
      </c>
      <c r="AP119" s="495">
        <f t="shared" si="222"/>
        <v>4763.5726746370001</v>
      </c>
      <c r="AQ119" s="494">
        <f t="shared" si="222"/>
        <v>4674.2403034979989</v>
      </c>
      <c r="AR119" s="494">
        <f t="shared" si="222"/>
        <v>4076.108375328</v>
      </c>
      <c r="AS119" s="494">
        <f t="shared" si="222"/>
        <v>4369.0873862089993</v>
      </c>
      <c r="AT119" s="495">
        <f t="shared" si="222"/>
        <v>3932.0025841770002</v>
      </c>
      <c r="AU119" s="494">
        <f t="shared" si="222"/>
        <v>3411.1598966629999</v>
      </c>
      <c r="AV119" s="494">
        <f t="shared" si="222"/>
        <v>4006.4981266529994</v>
      </c>
      <c r="AW119" s="494">
        <f>AW120+AW125</f>
        <v>4346.74</v>
      </c>
      <c r="AX119" s="673">
        <f>AX120+AX125</f>
        <v>4752.8493415545399</v>
      </c>
      <c r="AY119" s="494"/>
      <c r="AZ119" s="494">
        <f t="shared" si="222"/>
        <v>4752.8493415545399</v>
      </c>
      <c r="BA119" s="494"/>
      <c r="BB119" s="494"/>
      <c r="BC119" s="494"/>
      <c r="BD119" s="494"/>
      <c r="BE119" s="494"/>
      <c r="BF119" s="494"/>
      <c r="BG119" s="494"/>
      <c r="BH119" s="494"/>
      <c r="BI119" s="495"/>
      <c r="BJ119" s="494"/>
      <c r="BK119" s="494"/>
      <c r="BL119" s="494"/>
      <c r="BM119" s="495"/>
      <c r="BN119" s="494"/>
      <c r="BO119" s="494"/>
      <c r="BP119" s="494"/>
      <c r="BQ119" s="495"/>
      <c r="BR119" s="494"/>
      <c r="BS119" s="494"/>
      <c r="BT119" s="494"/>
      <c r="BU119" s="495"/>
      <c r="BV119" s="494"/>
      <c r="BW119" s="494"/>
      <c r="BX119" s="494"/>
      <c r="BY119" s="495"/>
      <c r="BZ119" s="494"/>
      <c r="CA119" s="494"/>
      <c r="CB119" s="495"/>
    </row>
    <row r="120" spans="1:80" s="397" customFormat="1" ht="15">
      <c r="A120" s="511" t="s">
        <v>552</v>
      </c>
      <c r="B120" s="410"/>
      <c r="C120" s="494">
        <f t="shared" ref="C120:H120" si="224">SUM(C121:C123)</f>
        <v>519.38045472299996</v>
      </c>
      <c r="D120" s="494">
        <f t="shared" si="224"/>
        <v>692.05379026699995</v>
      </c>
      <c r="E120" s="494">
        <f t="shared" si="224"/>
        <v>928.03199926399986</v>
      </c>
      <c r="F120" s="494">
        <f t="shared" si="224"/>
        <v>619.2693461880001</v>
      </c>
      <c r="G120" s="494">
        <f t="shared" si="224"/>
        <v>672.57989719000011</v>
      </c>
      <c r="H120" s="494">
        <f t="shared" si="224"/>
        <v>901.91356543699999</v>
      </c>
      <c r="I120" s="494">
        <f>SUM(I121:I123)</f>
        <v>1451.8932728579998</v>
      </c>
      <c r="J120" s="494">
        <f t="shared" ref="J120:AV120" si="225">SUM(J121:J123)</f>
        <v>1475.7403281219999</v>
      </c>
      <c r="K120" s="494">
        <f t="shared" si="225"/>
        <v>1905.5522062369996</v>
      </c>
      <c r="L120" s="494">
        <f t="shared" si="225"/>
        <v>4753.2953582700002</v>
      </c>
      <c r="M120" s="673">
        <f t="shared" si="225"/>
        <v>3882.2671037640002</v>
      </c>
      <c r="N120" s="494">
        <f t="shared" ref="N120:S120" si="226">SUM(N121:N123)</f>
        <v>4773.12121896605</v>
      </c>
      <c r="O120" s="494">
        <f t="shared" si="226"/>
        <v>4927.5468746387505</v>
      </c>
      <c r="P120" s="494">
        <f t="shared" si="226"/>
        <v>5487.6675420295296</v>
      </c>
      <c r="Q120" s="494">
        <f t="shared" si="226"/>
        <v>5979.5457264081915</v>
      </c>
      <c r="R120" s="494">
        <f t="shared" si="226"/>
        <v>6429.283376060338</v>
      </c>
      <c r="S120" s="494">
        <f t="shared" si="226"/>
        <v>6951.0251704010479</v>
      </c>
      <c r="T120" s="494"/>
      <c r="U120" s="494"/>
      <c r="V120" s="494"/>
      <c r="W120" s="494"/>
      <c r="X120" s="494"/>
      <c r="Y120" s="494"/>
      <c r="Z120" s="494"/>
      <c r="AA120" s="494">
        <f t="shared" si="225"/>
        <v>685.07493429300007</v>
      </c>
      <c r="AB120" s="494">
        <f t="shared" si="225"/>
        <v>757.35246154399988</v>
      </c>
      <c r="AC120" s="494">
        <f t="shared" si="225"/>
        <v>922.22792913800004</v>
      </c>
      <c r="AD120" s="495">
        <f t="shared" si="225"/>
        <v>1450.7293536479997</v>
      </c>
      <c r="AE120" s="494">
        <f t="shared" si="225"/>
        <v>1027.141530693</v>
      </c>
      <c r="AF120" s="494">
        <f t="shared" si="225"/>
        <v>1306.6472909210001</v>
      </c>
      <c r="AG120" s="494">
        <f t="shared" si="225"/>
        <v>1151.3851426409999</v>
      </c>
      <c r="AH120" s="495">
        <f t="shared" si="225"/>
        <v>1491.9713962220001</v>
      </c>
      <c r="AI120" s="494">
        <f t="shared" si="225"/>
        <v>935.03582338899992</v>
      </c>
      <c r="AJ120" s="494">
        <f t="shared" si="225"/>
        <v>1190.1368187589997</v>
      </c>
      <c r="AK120" s="494">
        <f t="shared" si="225"/>
        <v>1257.7054505859999</v>
      </c>
      <c r="AL120" s="495">
        <f t="shared" si="225"/>
        <v>1917.2147358879997</v>
      </c>
      <c r="AM120" s="494">
        <f t="shared" si="225"/>
        <v>2084.981911156</v>
      </c>
      <c r="AN120" s="494">
        <f t="shared" si="225"/>
        <v>2026.0260098719998</v>
      </c>
      <c r="AO120" s="494">
        <f t="shared" si="225"/>
        <v>2298.7900768600002</v>
      </c>
      <c r="AP120" s="495">
        <f t="shared" si="225"/>
        <v>4753.3301322730003</v>
      </c>
      <c r="AQ120" s="494">
        <f t="shared" si="225"/>
        <v>4663.2977611339993</v>
      </c>
      <c r="AR120" s="494">
        <f t="shared" si="225"/>
        <v>4066.2658329639999</v>
      </c>
      <c r="AS120" s="494">
        <f t="shared" si="225"/>
        <v>4359.1448438449997</v>
      </c>
      <c r="AT120" s="495">
        <f t="shared" si="225"/>
        <v>3882.1302976400002</v>
      </c>
      <c r="AU120" s="494">
        <f t="shared" si="225"/>
        <v>3378.905946934</v>
      </c>
      <c r="AV120" s="494">
        <f t="shared" si="225"/>
        <v>3985.6458401459995</v>
      </c>
      <c r="AW120" s="494">
        <f>SUM(AW121:AW123)</f>
        <v>4326.09</v>
      </c>
      <c r="AX120" s="673">
        <f>SUM(AX121:AX123)</f>
        <v>4732.116571567246</v>
      </c>
      <c r="AY120" s="494"/>
      <c r="AZ120" s="494">
        <f>AX120</f>
        <v>4732.116571567246</v>
      </c>
      <c r="BA120" s="494"/>
      <c r="BB120" s="494"/>
      <c r="BC120" s="494"/>
      <c r="BD120" s="494"/>
      <c r="BE120" s="494"/>
      <c r="BF120" s="494"/>
      <c r="BG120" s="494"/>
      <c r="BH120" s="494"/>
      <c r="BI120" s="495"/>
      <c r="BJ120" s="494"/>
      <c r="BK120" s="494"/>
      <c r="BL120" s="494"/>
      <c r="BM120" s="495"/>
      <c r="BN120" s="494"/>
      <c r="BO120" s="494"/>
      <c r="BP120" s="494"/>
      <c r="BQ120" s="495"/>
      <c r="BR120" s="494"/>
      <c r="BS120" s="494"/>
      <c r="BT120" s="494"/>
      <c r="BU120" s="495"/>
      <c r="BV120" s="494"/>
      <c r="BW120" s="494"/>
      <c r="BX120" s="494"/>
      <c r="BY120" s="495"/>
      <c r="BZ120" s="494"/>
      <c r="CA120" s="494"/>
      <c r="CB120" s="495"/>
    </row>
    <row r="121" spans="1:80" ht="15">
      <c r="A121" s="1128" t="s">
        <v>553</v>
      </c>
      <c r="C121" s="1364">
        <f>'A. Raw FS'!C121</f>
        <v>241.67538224800001</v>
      </c>
      <c r="D121" s="1364">
        <f>'A. Raw FS'!D121</f>
        <v>453.98326474100003</v>
      </c>
      <c r="E121" s="1364">
        <f>'A. Raw FS'!E121</f>
        <v>603.10450639099997</v>
      </c>
      <c r="F121" s="1364">
        <f>'A. Raw FS'!F121</f>
        <v>422.90698452300001</v>
      </c>
      <c r="G121" s="1364">
        <f>'A. Raw FS'!G121</f>
        <v>342.56903368600001</v>
      </c>
      <c r="H121" s="1364">
        <f>'A. Raw FS'!H121</f>
        <v>620.94444701600003</v>
      </c>
      <c r="I121" s="1364">
        <f>'A. Raw FS'!I121</f>
        <v>836.88413476999995</v>
      </c>
      <c r="J121" s="1364">
        <f>'A. Raw FS'!J121</f>
        <v>620.25172500600002</v>
      </c>
      <c r="K121" s="1364">
        <f>'A. Raw FS'!K121</f>
        <v>629.601074208</v>
      </c>
      <c r="L121" s="1364">
        <f>'A. Raw FS'!L121</f>
        <v>1117.227937872</v>
      </c>
      <c r="M121" s="1368">
        <f>'A. Raw FS'!M121</f>
        <v>1914.8263759930001</v>
      </c>
      <c r="N121" s="1364">
        <f t="shared" ref="N121:S121" si="227">N193</f>
        <v>2044.1526201003826</v>
      </c>
      <c r="O121" s="1364">
        <f t="shared" si="227"/>
        <v>2136.4672238885714</v>
      </c>
      <c r="P121" s="1364">
        <f t="shared" si="227"/>
        <v>2369.1798359273362</v>
      </c>
      <c r="Q121" s="1364">
        <f t="shared" si="227"/>
        <v>2601.5665573650131</v>
      </c>
      <c r="R121" s="1364">
        <f t="shared" si="227"/>
        <v>2766.895493293754</v>
      </c>
      <c r="S121" s="1364">
        <f t="shared" si="227"/>
        <v>2985.8190077673071</v>
      </c>
      <c r="T121" s="1364"/>
      <c r="U121" s="1364"/>
      <c r="V121" s="1364"/>
      <c r="W121" s="1364"/>
      <c r="X121" s="1364"/>
      <c r="Y121" s="1364"/>
      <c r="Z121" s="1364"/>
      <c r="AA121" s="1364">
        <f>'A. Raw FS'!AA121</f>
        <v>560.92544109300002</v>
      </c>
      <c r="AB121" s="1364">
        <f>'A. Raw FS'!AB121</f>
        <v>501.17501431900001</v>
      </c>
      <c r="AC121" s="1364">
        <f>'A. Raw FS'!AC121</f>
        <v>644.61825578499997</v>
      </c>
      <c r="AD121" s="1365">
        <f>'A. Raw FS'!AD121</f>
        <v>836.88413476999995</v>
      </c>
      <c r="AE121" s="1364">
        <f>'A. Raw FS'!AE121</f>
        <v>809.84537202000001</v>
      </c>
      <c r="AF121" s="1364">
        <f>'A. Raw FS'!AF121</f>
        <v>934.32833514000004</v>
      </c>
      <c r="AG121" s="1364">
        <f>'A. Raw FS'!AG121</f>
        <v>594.19351556399999</v>
      </c>
      <c r="AH121" s="1365">
        <f>'A. Raw FS'!AH121</f>
        <v>620.25172500600002</v>
      </c>
      <c r="AI121" s="1364">
        <f>'A. Raw FS'!AI121</f>
        <v>510.93424370299999</v>
      </c>
      <c r="AJ121" s="1364">
        <f>'A. Raw FS'!AJ121</f>
        <v>529.06149662999997</v>
      </c>
      <c r="AK121" s="1364">
        <f>'A. Raw FS'!AK121</f>
        <v>474.04531081099998</v>
      </c>
      <c r="AL121" s="1365">
        <f>'A. Raw FS'!AL121</f>
        <v>629.601074208</v>
      </c>
      <c r="AM121" s="1364">
        <f>'A. Raw FS'!AM121</f>
        <v>675.78344246999995</v>
      </c>
      <c r="AN121" s="1364">
        <f>'A. Raw FS'!AN121</f>
        <v>612.01809300299999</v>
      </c>
      <c r="AO121" s="1364">
        <f>'A. Raw FS'!AO121</f>
        <v>1067.3626280650001</v>
      </c>
      <c r="AP121" s="1365">
        <f>'A. Raw FS'!AP121</f>
        <v>1117.227937872</v>
      </c>
      <c r="AQ121" s="1364">
        <f>'A. Raw FS'!AQ121</f>
        <v>1978.9143955049999</v>
      </c>
      <c r="AR121" s="1364">
        <f>'A. Raw FS'!AR121</f>
        <v>1243.4153264050001</v>
      </c>
      <c r="AS121" s="1364">
        <f>'A. Raw FS'!AS121</f>
        <v>2372.42427864</v>
      </c>
      <c r="AT121" s="1365">
        <f>'A. Raw FS'!AT121-0.08</f>
        <v>1914.7463759930001</v>
      </c>
      <c r="AU121" s="1364">
        <f>'A. Raw FS'!AU121</f>
        <v>1752.303244014</v>
      </c>
      <c r="AV121" s="1364">
        <f>'A. Raw FS'!AV121</f>
        <v>2120.7407170880001</v>
      </c>
      <c r="AW121" s="1364">
        <f>'A. Raw FS'!AW121</f>
        <v>2022.13</v>
      </c>
      <c r="AX121" s="1368">
        <f>AX193</f>
        <v>2044.1526201003826</v>
      </c>
      <c r="AY121" s="1364"/>
      <c r="AZ121" s="1364">
        <f>AX121</f>
        <v>2044.1526201003826</v>
      </c>
      <c r="BA121" s="1364"/>
      <c r="BB121" s="1364"/>
      <c r="BC121" s="1364"/>
      <c r="BD121" s="1364"/>
      <c r="BE121" s="1364"/>
      <c r="BF121" s="1364"/>
      <c r="BG121" s="1364"/>
      <c r="BH121" s="1364"/>
      <c r="BI121" s="1365"/>
      <c r="BJ121" s="1364"/>
      <c r="BK121" s="1364"/>
      <c r="BL121" s="1364"/>
      <c r="BM121" s="1365"/>
      <c r="BN121" s="1364"/>
      <c r="BO121" s="1364"/>
      <c r="BP121" s="1364"/>
      <c r="BQ121" s="1365"/>
      <c r="BR121" s="1364"/>
      <c r="BS121" s="1364"/>
      <c r="BT121" s="1364"/>
      <c r="BU121" s="1365"/>
      <c r="BV121" s="1364"/>
      <c r="BW121" s="1364"/>
      <c r="BX121" s="1364"/>
      <c r="BY121" s="1365"/>
      <c r="BZ121" s="1364"/>
      <c r="CA121" s="1364"/>
      <c r="CB121" s="1365"/>
    </row>
    <row r="122" spans="1:80" ht="15">
      <c r="A122" s="1128" t="s">
        <v>554</v>
      </c>
      <c r="C122" s="1364">
        <f>'A. Raw FS'!C112</f>
        <v>245.835632807</v>
      </c>
      <c r="D122" s="1364">
        <f>'A. Raw FS'!D112</f>
        <v>181.525099896</v>
      </c>
      <c r="E122" s="1364">
        <f>'A. Raw FS'!E112</f>
        <v>206.57235799399999</v>
      </c>
      <c r="F122" s="1364">
        <f>'A. Raw FS'!F112</f>
        <v>153.198530675</v>
      </c>
      <c r="G122" s="1364">
        <f>'A. Raw FS'!G112</f>
        <v>275.88964887999998</v>
      </c>
      <c r="H122" s="1364">
        <f>'A. Raw FS'!H112</f>
        <v>229.45867236399999</v>
      </c>
      <c r="I122" s="1364">
        <f>'A. Raw FS'!I112</f>
        <v>547.08374325</v>
      </c>
      <c r="J122" s="1364">
        <f>'A. Raw FS'!J112</f>
        <v>700.32964287799996</v>
      </c>
      <c r="K122" s="1364">
        <f>'A. Raw FS'!K112</f>
        <v>941.37027256399995</v>
      </c>
      <c r="L122" s="1364">
        <f>'A. Raw FS'!L112</f>
        <v>2844.4560701949999</v>
      </c>
      <c r="M122" s="1368">
        <f>'A. Raw FS'!M112</f>
        <v>1210.40121464</v>
      </c>
      <c r="N122" s="1364">
        <f t="shared" ref="N122:S122" si="228">N141*N148/365</f>
        <v>1824.013107166495</v>
      </c>
      <c r="O122" s="1364">
        <f t="shared" si="228"/>
        <v>1758.3119679102017</v>
      </c>
      <c r="P122" s="1364">
        <f t="shared" si="228"/>
        <v>1948.6616377923906</v>
      </c>
      <c r="Q122" s="1364">
        <f t="shared" si="228"/>
        <v>2078.3561155068373</v>
      </c>
      <c r="R122" s="1364">
        <f t="shared" si="228"/>
        <v>2219.7593962175483</v>
      </c>
      <c r="S122" s="1364">
        <f t="shared" si="228"/>
        <v>2364.9899571634905</v>
      </c>
      <c r="T122" s="1372"/>
      <c r="U122" s="1372"/>
      <c r="V122" s="1372"/>
      <c r="W122" s="1372"/>
      <c r="X122" s="1364"/>
      <c r="Y122" s="1364"/>
      <c r="Z122" s="1364"/>
      <c r="AA122" s="1364">
        <f>'A. Raw FS'!AA112</f>
        <v>77.757402751000001</v>
      </c>
      <c r="AB122" s="1364">
        <f>'A. Raw FS'!AB112</f>
        <v>174.41116104299999</v>
      </c>
      <c r="AC122" s="1364">
        <f>'A. Raw FS'!AC112</f>
        <v>230.04049444899999</v>
      </c>
      <c r="AD122" s="1365">
        <f>'A. Raw FS'!AD112</f>
        <v>547.26918851799996</v>
      </c>
      <c r="AE122" s="1364">
        <f>'A. Raw FS'!AE112</f>
        <v>141.71390111400001</v>
      </c>
      <c r="AF122" s="1364">
        <f>'A. Raw FS'!AF112</f>
        <v>298.22737794900002</v>
      </c>
      <c r="AG122" s="1364">
        <f>'A. Raw FS'!AG112</f>
        <v>443.20524407900001</v>
      </c>
      <c r="AH122" s="1365">
        <f>'A. Raw FS'!AH112</f>
        <v>702.00471601100003</v>
      </c>
      <c r="AI122" s="1364">
        <f>'A. Raw FS'!AI112</f>
        <v>267.71899076699998</v>
      </c>
      <c r="AJ122" s="1364">
        <f>'A. Raw FS'!AJ112</f>
        <v>550.51264384299998</v>
      </c>
      <c r="AK122" s="1364">
        <f>'A. Raw FS'!AK112</f>
        <v>597.60057665800002</v>
      </c>
      <c r="AL122" s="1365">
        <f>'A. Raw FS'!AL112</f>
        <v>941.37027256399995</v>
      </c>
      <c r="AM122" s="1364">
        <f>'A. Raw FS'!AM112</f>
        <v>973.37895618599998</v>
      </c>
      <c r="AN122" s="1364">
        <f>'A. Raw FS'!AN112</f>
        <v>855.96738223900002</v>
      </c>
      <c r="AO122" s="1364">
        <f>'A. Raw FS'!AO112</f>
        <v>645.81296821299998</v>
      </c>
      <c r="AP122" s="1365">
        <f>'A. Raw FS'!AP112</f>
        <v>2844.4560701949999</v>
      </c>
      <c r="AQ122" s="1364">
        <f>'A. Raw FS'!AQ112</f>
        <v>1816.65482638</v>
      </c>
      <c r="AR122" s="1364">
        <f>'A. Raw FS'!AR112</f>
        <v>1739.489579067</v>
      </c>
      <c r="AS122" s="1364">
        <f>'A. Raw FS'!AS112</f>
        <v>1431.0230681979999</v>
      </c>
      <c r="AT122" s="1365">
        <f>'A. Raw FS'!AT112</f>
        <v>1210.476408516</v>
      </c>
      <c r="AU122" s="1364">
        <f>'A. Raw FS'!AU112</f>
        <v>1192.215350142</v>
      </c>
      <c r="AV122" s="1364">
        <f>'A. Raw FS'!AV112</f>
        <v>1271.8055646390001</v>
      </c>
      <c r="AW122" s="1364">
        <f>'A. Raw FS'!AW112</f>
        <v>1542.54</v>
      </c>
      <c r="AX122" s="1368">
        <f>(-AX10*AX148/365*4)</f>
        <v>1824.013107166495</v>
      </c>
      <c r="AY122" s="1364"/>
      <c r="AZ122" s="1364">
        <f>AX122</f>
        <v>1824.013107166495</v>
      </c>
      <c r="BA122" s="1364"/>
      <c r="BB122" s="1364"/>
      <c r="BC122" s="1364"/>
      <c r="BD122" s="1364"/>
      <c r="BE122" s="1364"/>
      <c r="BF122" s="1364"/>
      <c r="BG122" s="1364"/>
      <c r="BH122" s="1364"/>
      <c r="BI122" s="1365"/>
      <c r="BJ122" s="1364"/>
      <c r="BK122" s="1364"/>
      <c r="BL122" s="1364"/>
      <c r="BM122" s="1365"/>
      <c r="BN122" s="1364"/>
      <c r="BO122" s="1364"/>
      <c r="BP122" s="1364"/>
      <c r="BQ122" s="1365"/>
      <c r="BR122" s="1364"/>
      <c r="BS122" s="1364"/>
      <c r="BT122" s="1364"/>
      <c r="BU122" s="1365"/>
      <c r="BV122" s="1364"/>
      <c r="BW122" s="1364"/>
      <c r="BX122" s="1364"/>
      <c r="BY122" s="1365"/>
      <c r="BZ122" s="1364"/>
      <c r="CA122" s="1364"/>
      <c r="CB122" s="1365"/>
    </row>
    <row r="123" spans="1:80" ht="15">
      <c r="A123" s="1128" t="s">
        <v>555</v>
      </c>
      <c r="C123" s="1364">
        <f>SUM('A. Raw FS'!C112:C120)-'A. Raw FS'!C112</f>
        <v>31.869439667999956</v>
      </c>
      <c r="D123" s="1364">
        <f>SUM('A. Raw FS'!D112:D120)-'A. Raw FS'!D112</f>
        <v>56.545425629999983</v>
      </c>
      <c r="E123" s="1364">
        <f>SUM('A. Raw FS'!E112:E120)-'A. Raw FS'!E112</f>
        <v>118.35513487899996</v>
      </c>
      <c r="F123" s="1364">
        <f>SUM('A. Raw FS'!F112:F120)-'A. Raw FS'!F112</f>
        <v>43.163830990000008</v>
      </c>
      <c r="G123" s="1364">
        <f>SUM('A. Raw FS'!G112:G120)-'A. Raw FS'!G112</f>
        <v>54.121214624000061</v>
      </c>
      <c r="H123" s="1364">
        <f>SUM('A. Raw FS'!H112:H120)-'A. Raw FS'!H112</f>
        <v>51.510446056999967</v>
      </c>
      <c r="I123" s="1364">
        <f>SUM('A. Raw FS'!I112:I120)-'A. Raw FS'!I112</f>
        <v>67.925394837999988</v>
      </c>
      <c r="J123" s="1364">
        <f>SUM('A. Raw FS'!J112:J120)-'A. Raw FS'!J112</f>
        <v>155.15896023799996</v>
      </c>
      <c r="K123" s="1364">
        <f>SUM('A. Raw FS'!K112:K120)-'A. Raw FS'!K112</f>
        <v>334.58085946499989</v>
      </c>
      <c r="L123" s="1364">
        <f>SUM('A. Raw FS'!L112:L120)-'A. Raw FS'!L112</f>
        <v>791.61135020300026</v>
      </c>
      <c r="M123" s="1368">
        <f>SUM('A. Raw FS'!M112:M120)-'A. Raw FS'!M112</f>
        <v>757.03951313099992</v>
      </c>
      <c r="N123" s="1364">
        <f t="shared" ref="N123:S123" si="229">N149*N7</f>
        <v>904.95549169917228</v>
      </c>
      <c r="O123" s="1364">
        <f t="shared" si="229"/>
        <v>1032.7676828399772</v>
      </c>
      <c r="P123" s="1364">
        <f t="shared" si="229"/>
        <v>1169.8260683098024</v>
      </c>
      <c r="Q123" s="1364">
        <f t="shared" si="229"/>
        <v>1299.6230535363409</v>
      </c>
      <c r="R123" s="1364">
        <f t="shared" si="229"/>
        <v>1442.6284865490352</v>
      </c>
      <c r="S123" s="1364">
        <f t="shared" si="229"/>
        <v>1600.2162054702501</v>
      </c>
      <c r="T123" s="1364"/>
      <c r="U123" s="1364"/>
      <c r="V123" s="1364"/>
      <c r="W123" s="1364"/>
      <c r="X123" s="1364"/>
      <c r="Y123" s="1364"/>
      <c r="Z123" s="1364"/>
      <c r="AA123" s="1364">
        <f>SUM('A. Raw FS'!AA112:AA120)-'A. Raw FS'!AA112</f>
        <v>46.392090449000023</v>
      </c>
      <c r="AB123" s="1364">
        <f>SUM('A. Raw FS'!AB112:AB120)-'A. Raw FS'!AB112</f>
        <v>81.766286181999988</v>
      </c>
      <c r="AC123" s="1364">
        <f>SUM('A. Raw FS'!AC112:AC120)-'A. Raw FS'!AC112</f>
        <v>47.569178904000012</v>
      </c>
      <c r="AD123" s="1365">
        <f>SUM('A. Raw FS'!AD112:AD120)-'A. Raw FS'!AD112</f>
        <v>66.576030359999891</v>
      </c>
      <c r="AE123" s="1364">
        <f>SUM('A. Raw FS'!AE112:AE120)-'A. Raw FS'!AE112</f>
        <v>75.582257559000027</v>
      </c>
      <c r="AF123" s="1364">
        <f>SUM('A. Raw FS'!AF112:AF120)-'A. Raw FS'!AF112</f>
        <v>74.091577831999928</v>
      </c>
      <c r="AG123" s="1364">
        <f>SUM('A. Raw FS'!AG112:AG120)-'A. Raw FS'!AG112</f>
        <v>113.98638299800001</v>
      </c>
      <c r="AH123" s="1365">
        <f>SUM('A. Raw FS'!AH112:AH120)-'A. Raw FS'!AH112</f>
        <v>169.71495520500002</v>
      </c>
      <c r="AI123" s="1364">
        <f>SUM('A. Raw FS'!AI112:AI120)-'A. Raw FS'!AI112</f>
        <v>156.382588919</v>
      </c>
      <c r="AJ123" s="1364">
        <f>SUM('A. Raw FS'!AJ112:AJ120)-'A. Raw FS'!AJ112</f>
        <v>110.56267828599982</v>
      </c>
      <c r="AK123" s="1364">
        <f>SUM('A. Raw FS'!AK112:AK120)-'A. Raw FS'!AK112</f>
        <v>186.05956311699993</v>
      </c>
      <c r="AL123" s="1365">
        <f>SUM('A. Raw FS'!AL112:AL120)-'A. Raw FS'!AL112</f>
        <v>346.243389116</v>
      </c>
      <c r="AM123" s="1364">
        <f>SUM('A. Raw FS'!AM112:AM120)-'A. Raw FS'!AM112</f>
        <v>435.81951250000009</v>
      </c>
      <c r="AN123" s="1364">
        <f>SUM('A. Raw FS'!AN112:AN120)-'A. Raw FS'!AN112</f>
        <v>558.04053462999968</v>
      </c>
      <c r="AO123" s="1364">
        <f>SUM('A. Raw FS'!AO112:AO120)-'A. Raw FS'!AO112</f>
        <v>585.61448058199994</v>
      </c>
      <c r="AP123" s="1365">
        <f>SUM('A. Raw FS'!AP112:AP120)-'A. Raw FS'!AP112</f>
        <v>791.64612420599997</v>
      </c>
      <c r="AQ123" s="1364">
        <f>SUM('A. Raw FS'!AQ112:AQ120)-'A. Raw FS'!AQ112</f>
        <v>867.72853924899982</v>
      </c>
      <c r="AR123" s="1364">
        <f>SUM('A. Raw FS'!AR112:AR120)-'A. Raw FS'!AR112</f>
        <v>1083.3609274919997</v>
      </c>
      <c r="AS123" s="1364">
        <f>SUM('A. Raw FS'!AS112:AS120)-'A. Raw FS'!AS112</f>
        <v>555.69749700699981</v>
      </c>
      <c r="AT123" s="1365">
        <f>SUM('A. Raw FS'!AT112:AT120)-'A. Raw FS'!AT112</f>
        <v>756.90751313100009</v>
      </c>
      <c r="AU123" s="1364">
        <f>SUM('A. Raw FS'!AU112:AU120)-'A. Raw FS'!AU112</f>
        <v>434.38735277799992</v>
      </c>
      <c r="AV123" s="1364">
        <f>SUM('A. Raw FS'!AV112:AV120)-'A. Raw FS'!AV112</f>
        <v>593.09955841899978</v>
      </c>
      <c r="AW123" s="1364">
        <f>SUM('A. Raw FS'!AW112:AW120)-'A. Raw FS'!AW112</f>
        <v>761.42000000000007</v>
      </c>
      <c r="AX123" s="1368">
        <f>AX149*AX7*4</f>
        <v>863.95084430036809</v>
      </c>
      <c r="AY123" s="1364"/>
      <c r="AZ123" s="1364">
        <f>AX123</f>
        <v>863.95084430036809</v>
      </c>
      <c r="BA123" s="1364"/>
      <c r="BB123" s="1364"/>
      <c r="BC123" s="1364"/>
      <c r="BD123" s="1364"/>
      <c r="BE123" s="1364"/>
      <c r="BF123" s="1364"/>
      <c r="BG123" s="1364"/>
      <c r="BH123" s="1364"/>
      <c r="BI123" s="1365"/>
      <c r="BJ123" s="1364"/>
      <c r="BK123" s="1364"/>
      <c r="BL123" s="1364"/>
      <c r="BM123" s="1365"/>
      <c r="BN123" s="1364"/>
      <c r="BO123" s="1364"/>
      <c r="BP123" s="1364"/>
      <c r="BQ123" s="1365"/>
      <c r="BR123" s="1364"/>
      <c r="BS123" s="1364"/>
      <c r="BT123" s="1364"/>
      <c r="BU123" s="1365"/>
      <c r="BV123" s="1364"/>
      <c r="BW123" s="1364"/>
      <c r="BX123" s="1364"/>
      <c r="BY123" s="1365"/>
      <c r="BZ123" s="1364"/>
      <c r="CA123" s="1364"/>
      <c r="CB123" s="1365"/>
    </row>
    <row r="124" spans="1:80" ht="15">
      <c r="C124" s="1364"/>
      <c r="D124" s="1364"/>
      <c r="E124" s="601"/>
      <c r="F124" s="601"/>
      <c r="G124" s="601"/>
      <c r="H124" s="601"/>
      <c r="I124" s="601"/>
      <c r="J124" s="601"/>
      <c r="K124" s="601"/>
      <c r="L124" s="601"/>
      <c r="M124" s="674"/>
      <c r="N124" s="601"/>
      <c r="O124" s="601"/>
      <c r="P124" s="601"/>
      <c r="Q124" s="601"/>
      <c r="R124" s="601"/>
      <c r="S124" s="601"/>
      <c r="T124" s="1364"/>
      <c r="U124" s="1364"/>
      <c r="V124" s="1364"/>
      <c r="W124" s="1364"/>
      <c r="X124" s="1364"/>
      <c r="Y124" s="1364"/>
      <c r="Z124" s="1364"/>
      <c r="AA124" s="1364"/>
      <c r="AB124" s="1364"/>
      <c r="AC124" s="1364"/>
      <c r="AD124" s="1365"/>
      <c r="AE124" s="1364"/>
      <c r="AF124" s="1364"/>
      <c r="AG124" s="1364"/>
      <c r="AH124" s="1365"/>
      <c r="AI124" s="1364"/>
      <c r="AJ124" s="1364"/>
      <c r="AK124" s="1364"/>
      <c r="AL124" s="1365"/>
      <c r="AM124" s="1364"/>
      <c r="AN124" s="1364"/>
      <c r="AO124" s="1364"/>
      <c r="AP124" s="1365"/>
      <c r="AQ124" s="1364"/>
      <c r="AR124" s="1364"/>
      <c r="AS124" s="1364"/>
      <c r="AT124" s="1365"/>
      <c r="AU124" s="1364"/>
      <c r="AV124" s="1364"/>
      <c r="AW124" s="1364"/>
      <c r="AX124" s="1368"/>
      <c r="AY124" s="1364"/>
      <c r="AZ124" s="1364"/>
      <c r="BA124" s="1364"/>
      <c r="BB124" s="1364"/>
      <c r="BC124" s="1364"/>
      <c r="BD124" s="1364"/>
      <c r="BE124" s="1364"/>
      <c r="BF124" s="1364"/>
      <c r="BG124" s="1364"/>
      <c r="BH124" s="1364"/>
      <c r="BI124" s="1365"/>
      <c r="BJ124" s="1364"/>
      <c r="BK124" s="1364"/>
      <c r="BL124" s="1364"/>
      <c r="BM124" s="1365"/>
      <c r="BN124" s="1364"/>
      <c r="BO124" s="1364"/>
      <c r="BP124" s="1364"/>
      <c r="BQ124" s="1365"/>
      <c r="BR124" s="1364"/>
      <c r="BS124" s="1364"/>
      <c r="BT124" s="1364"/>
      <c r="BU124" s="1365"/>
      <c r="BV124" s="1364"/>
      <c r="BW124" s="1364"/>
      <c r="BX124" s="1364"/>
      <c r="BY124" s="1365"/>
      <c r="BZ124" s="1364"/>
      <c r="CA124" s="1364"/>
      <c r="CB124" s="1365"/>
    </row>
    <row r="125" spans="1:80" s="397" customFormat="1" ht="15">
      <c r="A125" s="511" t="s">
        <v>556</v>
      </c>
      <c r="B125" s="410"/>
      <c r="C125" s="494">
        <f t="shared" ref="C125:H125" si="230">SUM(C126:C127)</f>
        <v>39.772957210999998</v>
      </c>
      <c r="D125" s="494">
        <f t="shared" si="230"/>
        <v>34.393931879</v>
      </c>
      <c r="E125" s="494">
        <f t="shared" si="230"/>
        <v>29.930429879000002</v>
      </c>
      <c r="F125" s="494">
        <f t="shared" si="230"/>
        <v>27.694772877999998</v>
      </c>
      <c r="G125" s="494">
        <f t="shared" si="230"/>
        <v>4.0534298790000003</v>
      </c>
      <c r="H125" s="494">
        <f t="shared" si="230"/>
        <v>2.6004429619999998</v>
      </c>
      <c r="I125" s="494">
        <f>SUM(I126:I127)</f>
        <v>4.9633609270000001</v>
      </c>
      <c r="J125" s="494">
        <f t="shared" ref="J125:AZ125" si="231">SUM(J126:J127)</f>
        <v>4.466460927</v>
      </c>
      <c r="K125" s="494">
        <f t="shared" si="231"/>
        <v>4.6086294270000003</v>
      </c>
      <c r="L125" s="494">
        <f t="shared" si="231"/>
        <v>10.242542363999998</v>
      </c>
      <c r="M125" s="673">
        <f t="shared" ref="M125:S125" si="232">SUM(M126:M127)</f>
        <v>49.872286507000005</v>
      </c>
      <c r="N125" s="494">
        <f t="shared" si="232"/>
        <v>20.732769987293814</v>
      </c>
      <c r="O125" s="494">
        <f t="shared" si="232"/>
        <v>42.677374983960668</v>
      </c>
      <c r="P125" s="494">
        <f t="shared" si="232"/>
        <v>57.218375199115187</v>
      </c>
      <c r="Q125" s="494">
        <f t="shared" si="232"/>
        <v>67.868502195192363</v>
      </c>
      <c r="R125" s="494">
        <f t="shared" si="232"/>
        <v>76.917111396297557</v>
      </c>
      <c r="S125" s="494">
        <f t="shared" si="232"/>
        <v>85.544652225595883</v>
      </c>
      <c r="T125" s="494"/>
      <c r="U125" s="494"/>
      <c r="V125" s="494"/>
      <c r="W125" s="494"/>
      <c r="X125" s="494"/>
      <c r="Y125" s="494"/>
      <c r="Z125" s="494"/>
      <c r="AA125" s="494">
        <f t="shared" si="231"/>
        <v>2.6487829619999999</v>
      </c>
      <c r="AB125" s="494">
        <f t="shared" si="231"/>
        <v>3.1000814999999999</v>
      </c>
      <c r="AC125" s="494">
        <f t="shared" si="231"/>
        <v>4.8437109270000001</v>
      </c>
      <c r="AD125" s="495">
        <f t="shared" si="231"/>
        <v>4.9507109519999997</v>
      </c>
      <c r="AE125" s="494">
        <f t="shared" si="231"/>
        <v>4.9907109270000003</v>
      </c>
      <c r="AF125" s="494">
        <f t="shared" si="231"/>
        <v>4.4987609270000002</v>
      </c>
      <c r="AG125" s="494">
        <f t="shared" si="231"/>
        <v>4.4886294270000002</v>
      </c>
      <c r="AH125" s="495">
        <f t="shared" si="231"/>
        <v>4.458629427</v>
      </c>
      <c r="AI125" s="494">
        <f t="shared" si="231"/>
        <v>4.5286294270000003</v>
      </c>
      <c r="AJ125" s="494">
        <f t="shared" si="231"/>
        <v>4.3586294270000003</v>
      </c>
      <c r="AK125" s="494">
        <f t="shared" si="231"/>
        <v>4.5586294269999996</v>
      </c>
      <c r="AL125" s="495">
        <f t="shared" si="231"/>
        <v>4.6086294270000003</v>
      </c>
      <c r="AM125" s="494">
        <f t="shared" si="231"/>
        <v>4.3586294270000003</v>
      </c>
      <c r="AN125" s="494">
        <f t="shared" si="231"/>
        <v>4.708629427</v>
      </c>
      <c r="AO125" s="494">
        <f t="shared" si="231"/>
        <v>4.6586294270000002</v>
      </c>
      <c r="AP125" s="495">
        <f t="shared" si="231"/>
        <v>10.242542363999998</v>
      </c>
      <c r="AQ125" s="494">
        <f t="shared" si="231"/>
        <v>10.942542363999999</v>
      </c>
      <c r="AR125" s="494">
        <f t="shared" si="231"/>
        <v>9.8425423639999998</v>
      </c>
      <c r="AS125" s="494">
        <f t="shared" si="231"/>
        <v>9.9425423639999995</v>
      </c>
      <c r="AT125" s="495">
        <f t="shared" si="231"/>
        <v>49.872286537000008</v>
      </c>
      <c r="AU125" s="494">
        <f t="shared" si="231"/>
        <v>32.253949728999999</v>
      </c>
      <c r="AV125" s="494">
        <f t="shared" si="231"/>
        <v>20.852286507000002</v>
      </c>
      <c r="AW125" s="494">
        <f>SUM(AW126:AW127)</f>
        <v>20.650000000000002</v>
      </c>
      <c r="AX125" s="673">
        <f>SUM(AX126:AX127)</f>
        <v>20.732769987293807</v>
      </c>
      <c r="AY125" s="494"/>
      <c r="AZ125" s="494">
        <f t="shared" si="231"/>
        <v>20.732769987293807</v>
      </c>
      <c r="BA125" s="494"/>
      <c r="BB125" s="494"/>
      <c r="BC125" s="494"/>
      <c r="BD125" s="494"/>
      <c r="BE125" s="494"/>
      <c r="BF125" s="494"/>
      <c r="BG125" s="494"/>
      <c r="BH125" s="494"/>
      <c r="BI125" s="495"/>
      <c r="BJ125" s="494"/>
      <c r="BK125" s="494"/>
      <c r="BL125" s="494"/>
      <c r="BM125" s="495"/>
      <c r="BN125" s="494"/>
      <c r="BO125" s="494"/>
      <c r="BP125" s="494"/>
      <c r="BQ125" s="495"/>
      <c r="BR125" s="494"/>
      <c r="BS125" s="494"/>
      <c r="BT125" s="494"/>
      <c r="BU125" s="495"/>
      <c r="BV125" s="494"/>
      <c r="BW125" s="494"/>
      <c r="BX125" s="494"/>
      <c r="BY125" s="495"/>
      <c r="BZ125" s="494"/>
      <c r="CA125" s="494"/>
      <c r="CB125" s="495"/>
    </row>
    <row r="126" spans="1:80" ht="15">
      <c r="A126" s="1128" t="s">
        <v>557</v>
      </c>
      <c r="C126" s="1364">
        <f>'A. Raw FS'!C134</f>
        <v>37.4</v>
      </c>
      <c r="D126" s="1364">
        <f>'A. Raw FS'!D134</f>
        <v>33.299999999999997</v>
      </c>
      <c r="E126" s="1364">
        <f>'A. Raw FS'!E134</f>
        <v>28.5</v>
      </c>
      <c r="F126" s="1364">
        <f>'A. Raw FS'!F134</f>
        <v>22.9</v>
      </c>
      <c r="G126" s="1364">
        <f>'A. Raw FS'!G134</f>
        <v>0</v>
      </c>
      <c r="H126" s="1364">
        <f>'A. Raw FS'!H134</f>
        <v>0</v>
      </c>
      <c r="I126" s="1364">
        <f>'A. Raw FS'!I134</f>
        <v>0</v>
      </c>
      <c r="J126" s="1364">
        <f>'A. Raw FS'!J134</f>
        <v>0</v>
      </c>
      <c r="K126" s="1364">
        <f>'A. Raw FS'!K134</f>
        <v>0</v>
      </c>
      <c r="L126" s="1364">
        <f>'A. Raw FS'!L134</f>
        <v>0</v>
      </c>
      <c r="M126" s="1368">
        <f>'A. Raw FS'!M134</f>
        <v>41.1</v>
      </c>
      <c r="N126" s="1364">
        <f t="shared" ref="N126:S126" si="233">N182</f>
        <v>9.8927699872938106</v>
      </c>
      <c r="O126" s="1364">
        <f t="shared" si="233"/>
        <v>31.837374983960668</v>
      </c>
      <c r="P126" s="1364">
        <f t="shared" si="233"/>
        <v>46.378375199115183</v>
      </c>
      <c r="Q126" s="1364">
        <f t="shared" si="233"/>
        <v>57.028502195192367</v>
      </c>
      <c r="R126" s="1364">
        <f t="shared" si="233"/>
        <v>66.077111396297553</v>
      </c>
      <c r="S126" s="1364">
        <f t="shared" si="233"/>
        <v>74.704652225595879</v>
      </c>
      <c r="T126" s="1364"/>
      <c r="U126" s="1364"/>
      <c r="V126" s="1364"/>
      <c r="W126" s="1364"/>
      <c r="X126" s="1364"/>
      <c r="Y126" s="1364"/>
      <c r="Z126" s="1364"/>
      <c r="AA126" s="1364">
        <f>'A. Raw FS'!AA134</f>
        <v>0</v>
      </c>
      <c r="AB126" s="1364">
        <f>'A. Raw FS'!AB134</f>
        <v>0</v>
      </c>
      <c r="AC126" s="1364">
        <f>'A. Raw FS'!AC134</f>
        <v>0</v>
      </c>
      <c r="AD126" s="1365">
        <f>'A. Raw FS'!AD134</f>
        <v>0</v>
      </c>
      <c r="AE126" s="1364">
        <f>'A. Raw FS'!AE134</f>
        <v>0</v>
      </c>
      <c r="AF126" s="1364">
        <f>'A. Raw FS'!AF134</f>
        <v>0</v>
      </c>
      <c r="AG126" s="1364">
        <f>'A. Raw FS'!AG134</f>
        <v>0</v>
      </c>
      <c r="AH126" s="1365">
        <f>'A. Raw FS'!AH134</f>
        <v>0</v>
      </c>
      <c r="AI126" s="1364">
        <f>'A. Raw FS'!AI134</f>
        <v>0</v>
      </c>
      <c r="AJ126" s="1364">
        <f>'A. Raw FS'!AJ134</f>
        <v>0</v>
      </c>
      <c r="AK126" s="1364">
        <f>'A. Raw FS'!AK134</f>
        <v>0</v>
      </c>
      <c r="AL126" s="1365">
        <f>'A. Raw FS'!AL134</f>
        <v>0</v>
      </c>
      <c r="AM126" s="1364">
        <f>'A. Raw FS'!AM134</f>
        <v>0</v>
      </c>
      <c r="AN126" s="1364">
        <f>'A. Raw FS'!AN134</f>
        <v>0</v>
      </c>
      <c r="AO126" s="1364">
        <f>'A. Raw FS'!AO134</f>
        <v>0</v>
      </c>
      <c r="AP126" s="1365">
        <f>'A. Raw FS'!AP134</f>
        <v>0</v>
      </c>
      <c r="AQ126" s="1364">
        <f>'A. Raw FS'!AQ134</f>
        <v>0</v>
      </c>
      <c r="AR126" s="1364">
        <f>'A. Raw FS'!AR134</f>
        <v>0</v>
      </c>
      <c r="AS126" s="1364">
        <f>'A. Raw FS'!AS134</f>
        <v>0</v>
      </c>
      <c r="AT126" s="1365">
        <f>'A. Raw FS'!AT134</f>
        <v>41.1</v>
      </c>
      <c r="AU126" s="1364">
        <f>'A. Raw FS'!AU134</f>
        <v>23.5</v>
      </c>
      <c r="AV126" s="1364">
        <f>'A. Raw FS'!AV134</f>
        <v>9.8049999999999997</v>
      </c>
      <c r="AW126" s="1364">
        <f>'A. Raw FS'!AW134</f>
        <v>9.81</v>
      </c>
      <c r="AX126" s="1368">
        <f>AX182</f>
        <v>9.8927699872938071</v>
      </c>
      <c r="AY126" s="1364"/>
      <c r="AZ126" s="1364">
        <f>AX126</f>
        <v>9.8927699872938071</v>
      </c>
      <c r="BA126" s="1364"/>
      <c r="BB126" s="1364"/>
      <c r="BC126" s="1364"/>
      <c r="BD126" s="1364"/>
      <c r="BE126" s="1364"/>
      <c r="BF126" s="1364"/>
      <c r="BG126" s="1364"/>
      <c r="BH126" s="1364"/>
      <c r="BI126" s="1365"/>
      <c r="BJ126" s="1364"/>
      <c r="BK126" s="1364"/>
      <c r="BL126" s="1364"/>
      <c r="BM126" s="1365"/>
      <c r="BN126" s="1364"/>
      <c r="BO126" s="1364"/>
      <c r="BP126" s="1364"/>
      <c r="BQ126" s="1365"/>
      <c r="BR126" s="1364"/>
      <c r="BS126" s="1364"/>
      <c r="BT126" s="1364"/>
      <c r="BU126" s="1365"/>
      <c r="BV126" s="1364"/>
      <c r="BW126" s="1364"/>
      <c r="BX126" s="1364"/>
      <c r="BY126" s="1365"/>
      <c r="BZ126" s="1364"/>
      <c r="CA126" s="1364"/>
      <c r="CB126" s="1365"/>
    </row>
    <row r="127" spans="1:80" ht="15">
      <c r="A127" s="1128" t="s">
        <v>66</v>
      </c>
      <c r="C127" s="1364">
        <f>SUM('A. Raw FS'!C127:C140)-'A. Raw FS'!C134</f>
        <v>2.3729572109999992</v>
      </c>
      <c r="D127" s="1364">
        <f>SUM('A. Raw FS'!D127:D140)-'A. Raw FS'!D134</f>
        <v>1.093931879000003</v>
      </c>
      <c r="E127" s="1364">
        <f>SUM('A. Raw FS'!E127:E140)-'A. Raw FS'!E134</f>
        <v>1.4304298790000018</v>
      </c>
      <c r="F127" s="1364">
        <f>SUM('A. Raw FS'!F127:F140)-'A. Raw FS'!F134</f>
        <v>4.7947728779999998</v>
      </c>
      <c r="G127" s="1364">
        <f>SUM('A. Raw FS'!G127:G140)-'A. Raw FS'!G134</f>
        <v>4.0534298790000003</v>
      </c>
      <c r="H127" s="1364">
        <f>SUM('A. Raw FS'!H127:H140)-'A. Raw FS'!H134</f>
        <v>2.6004429619999998</v>
      </c>
      <c r="I127" s="1364">
        <f>SUM('A. Raw FS'!I127:I140)-'A. Raw FS'!I134</f>
        <v>4.9633609270000001</v>
      </c>
      <c r="J127" s="1364">
        <f>SUM('A. Raw FS'!J127:J140)-'A. Raw FS'!J134</f>
        <v>4.466460927</v>
      </c>
      <c r="K127" s="1364">
        <f>SUM('A. Raw FS'!K127:K140)-'A. Raw FS'!K134</f>
        <v>4.6086294270000003</v>
      </c>
      <c r="L127" s="1364">
        <f>SUM('A. Raw FS'!L127:L140)-'A. Raw FS'!L134</f>
        <v>10.242542363999998</v>
      </c>
      <c r="M127" s="1368">
        <f>SUM('A. Raw FS'!M127:M140)-'A. Raw FS'!M134</f>
        <v>8.772286507000004</v>
      </c>
      <c r="N127" s="633">
        <f>AZ127</f>
        <v>10.840000000000002</v>
      </c>
      <c r="O127" s="1366">
        <f>N127</f>
        <v>10.840000000000002</v>
      </c>
      <c r="P127" s="1366">
        <f>O127</f>
        <v>10.840000000000002</v>
      </c>
      <c r="Q127" s="1366">
        <f>P127</f>
        <v>10.840000000000002</v>
      </c>
      <c r="R127" s="1366">
        <f>Q127</f>
        <v>10.840000000000002</v>
      </c>
      <c r="S127" s="1366">
        <f>R127</f>
        <v>10.840000000000002</v>
      </c>
      <c r="T127" s="1364"/>
      <c r="U127" s="1364"/>
      <c r="V127" s="1364"/>
      <c r="W127" s="1364"/>
      <c r="X127" s="1364" t="s">
        <v>541</v>
      </c>
      <c r="Y127" s="1364"/>
      <c r="Z127" s="1364"/>
      <c r="AA127" s="1364">
        <f>SUM('A. Raw FS'!AA127:AA140)-'A. Raw FS'!AA134</f>
        <v>2.6487829619999999</v>
      </c>
      <c r="AB127" s="1364">
        <f>SUM('A. Raw FS'!AB127:AB140)-'A. Raw FS'!AB134</f>
        <v>3.1000814999999999</v>
      </c>
      <c r="AC127" s="1364">
        <f>SUM('A. Raw FS'!AC127:AC140)-'A. Raw FS'!AC134</f>
        <v>4.8437109270000001</v>
      </c>
      <c r="AD127" s="1365">
        <f>SUM('A. Raw FS'!AD127:AD140)-'A. Raw FS'!AD134</f>
        <v>4.9507109519999997</v>
      </c>
      <c r="AE127" s="1364">
        <f>SUM('A. Raw FS'!AE127:AE140)-'A. Raw FS'!AE134</f>
        <v>4.9907109270000003</v>
      </c>
      <c r="AF127" s="1364">
        <f>SUM('A. Raw FS'!AF127:AF140)-'A. Raw FS'!AF134</f>
        <v>4.4987609270000002</v>
      </c>
      <c r="AG127" s="1364">
        <f>SUM('A. Raw FS'!AG127:AG140)-'A. Raw FS'!AG134</f>
        <v>4.4886294270000002</v>
      </c>
      <c r="AH127" s="1365">
        <f>SUM('A. Raw FS'!AH127:AH140)-'A. Raw FS'!AH134</f>
        <v>4.458629427</v>
      </c>
      <c r="AI127" s="1364">
        <f>SUM('A. Raw FS'!AI127:AI140)-'A. Raw FS'!AI134</f>
        <v>4.5286294270000003</v>
      </c>
      <c r="AJ127" s="1364">
        <f>SUM('A. Raw FS'!AJ127:AJ140)-'A. Raw FS'!AJ134</f>
        <v>4.3586294270000003</v>
      </c>
      <c r="AK127" s="1364">
        <f>SUM('A. Raw FS'!AK127:AK140)-'A. Raw FS'!AK134</f>
        <v>4.5586294269999996</v>
      </c>
      <c r="AL127" s="1365">
        <f>SUM('A. Raw FS'!AL127:AL140)-'A. Raw FS'!AL134</f>
        <v>4.6086294270000003</v>
      </c>
      <c r="AM127" s="1364">
        <f>SUM('A. Raw FS'!AM127:AM140)-'A. Raw FS'!AM134</f>
        <v>4.3586294270000003</v>
      </c>
      <c r="AN127" s="1364">
        <f>SUM('A. Raw FS'!AN127:AN140)-'A. Raw FS'!AN134</f>
        <v>4.708629427</v>
      </c>
      <c r="AO127" s="1364">
        <f>SUM('A. Raw FS'!AO127:AO140)-'A. Raw FS'!AO134</f>
        <v>4.6586294270000002</v>
      </c>
      <c r="AP127" s="1365">
        <f>SUM('A. Raw FS'!AP127:AP140)-'A. Raw FS'!AP134</f>
        <v>10.242542363999998</v>
      </c>
      <c r="AQ127" s="1364">
        <f>SUM('A. Raw FS'!AQ127:AQ140)-'A. Raw FS'!AQ134</f>
        <v>10.942542363999999</v>
      </c>
      <c r="AR127" s="1364">
        <f>SUM('A. Raw FS'!AR127:AR140)-'A. Raw FS'!AR134</f>
        <v>9.8425423639999998</v>
      </c>
      <c r="AS127" s="1364">
        <f>SUM('A. Raw FS'!AS127:AS140)-'A. Raw FS'!AS134</f>
        <v>9.9425423639999995</v>
      </c>
      <c r="AT127" s="1365">
        <f>SUM('A. Raw FS'!AT127:AT140)-'A. Raw FS'!AT134</f>
        <v>8.7722865370000065</v>
      </c>
      <c r="AU127" s="1364">
        <f>SUM('A. Raw FS'!AU127:AU140)-'A. Raw FS'!AU134</f>
        <v>8.7539497289999986</v>
      </c>
      <c r="AV127" s="1364">
        <f>SUM('A. Raw FS'!AV127:AV140)-'A. Raw FS'!AV134</f>
        <v>11.047286507000003</v>
      </c>
      <c r="AW127" s="1364">
        <f>SUM('A. Raw FS'!AW127:AW140)-'A. Raw FS'!AW134</f>
        <v>10.840000000000002</v>
      </c>
      <c r="AX127" s="1367">
        <f>AW127</f>
        <v>10.840000000000002</v>
      </c>
      <c r="AY127" s="1364"/>
      <c r="AZ127" s="1364">
        <f>AX127</f>
        <v>10.840000000000002</v>
      </c>
      <c r="BA127" s="1364"/>
      <c r="BB127" s="1364"/>
      <c r="BC127" s="1364"/>
      <c r="BD127" s="1364"/>
      <c r="BE127" s="1364"/>
      <c r="BF127" s="1364"/>
      <c r="BG127" s="1364"/>
      <c r="BH127" s="1364"/>
      <c r="BI127" s="1365"/>
      <c r="BJ127" s="1364"/>
      <c r="BK127" s="1364"/>
      <c r="BL127" s="1364"/>
      <c r="BM127" s="1365"/>
      <c r="BN127" s="1364"/>
      <c r="BO127" s="1364"/>
      <c r="BP127" s="1364"/>
      <c r="BQ127" s="1365"/>
      <c r="BR127" s="1364"/>
      <c r="BS127" s="1364"/>
      <c r="BT127" s="1364"/>
      <c r="BU127" s="1365"/>
      <c r="BV127" s="1364"/>
      <c r="BW127" s="1364"/>
      <c r="BX127" s="1364"/>
      <c r="BY127" s="1365"/>
      <c r="BZ127" s="1364"/>
      <c r="CA127" s="1364"/>
      <c r="CB127" s="1365"/>
    </row>
    <row r="128" spans="1:80" ht="15">
      <c r="C128" s="1364"/>
      <c r="D128" s="1364"/>
      <c r="E128" s="1364"/>
      <c r="F128" s="1364"/>
      <c r="G128" s="1364"/>
      <c r="H128" s="1364"/>
      <c r="I128" s="1364"/>
      <c r="J128" s="1364"/>
      <c r="K128" s="1364"/>
      <c r="L128" s="1364"/>
      <c r="M128" s="1368"/>
      <c r="N128" s="1364"/>
      <c r="O128" s="1364"/>
      <c r="P128" s="1364"/>
      <c r="Q128" s="1364"/>
      <c r="R128" s="1364"/>
      <c r="S128" s="1364"/>
      <c r="T128" s="1364"/>
      <c r="U128" s="1364"/>
      <c r="V128" s="1364"/>
      <c r="W128" s="1364"/>
      <c r="X128" s="1364"/>
      <c r="Y128" s="1364"/>
      <c r="Z128" s="1364"/>
      <c r="AA128" s="1364"/>
      <c r="AB128" s="1364"/>
      <c r="AC128" s="1364"/>
      <c r="AD128" s="1365"/>
      <c r="AE128" s="1364"/>
      <c r="AF128" s="1364"/>
      <c r="AG128" s="1364"/>
      <c r="AH128" s="1365"/>
      <c r="AI128" s="1364"/>
      <c r="AJ128" s="1364"/>
      <c r="AK128" s="1364"/>
      <c r="AL128" s="1365"/>
      <c r="AM128" s="1364"/>
      <c r="AN128" s="1364"/>
      <c r="AO128" s="1364"/>
      <c r="AP128" s="1365"/>
      <c r="AQ128" s="1364"/>
      <c r="AR128" s="1364"/>
      <c r="AS128" s="1364"/>
      <c r="AT128" s="1365"/>
      <c r="AU128" s="1364"/>
      <c r="AV128" s="1364"/>
      <c r="AW128" s="1364"/>
      <c r="AX128" s="1368"/>
      <c r="AY128" s="1364"/>
      <c r="AZ128" s="1364"/>
      <c r="BA128" s="1364"/>
      <c r="BB128" s="1364"/>
      <c r="BC128" s="1364"/>
      <c r="BD128" s="1364"/>
      <c r="BE128" s="1364"/>
      <c r="BF128" s="1364"/>
      <c r="BG128" s="1364"/>
      <c r="BH128" s="1364"/>
      <c r="BI128" s="1365"/>
      <c r="BJ128" s="1364"/>
      <c r="BK128" s="1364"/>
      <c r="BL128" s="1364"/>
      <c r="BM128" s="1365"/>
      <c r="BN128" s="1364"/>
      <c r="BO128" s="1364"/>
      <c r="BP128" s="1364"/>
      <c r="BQ128" s="1365"/>
      <c r="BR128" s="1364"/>
      <c r="BS128" s="1364"/>
      <c r="BT128" s="1364"/>
      <c r="BU128" s="1365"/>
      <c r="BV128" s="1364"/>
      <c r="BW128" s="1364"/>
      <c r="BX128" s="1364"/>
      <c r="BY128" s="1365"/>
      <c r="BZ128" s="1364"/>
      <c r="CA128" s="1364"/>
      <c r="CB128" s="1365"/>
    </row>
    <row r="129" spans="1:80" s="397" customFormat="1" ht="15">
      <c r="A129" s="511" t="s">
        <v>558</v>
      </c>
      <c r="B129" s="410"/>
      <c r="C129" s="494">
        <f t="shared" ref="C129:H129" si="234">SUM(C130:C133)</f>
        <v>296.48951342399994</v>
      </c>
      <c r="D129" s="494">
        <f t="shared" si="234"/>
        <v>250.05021716800002</v>
      </c>
      <c r="E129" s="494">
        <f t="shared" si="234"/>
        <v>334.75911648599998</v>
      </c>
      <c r="F129" s="494">
        <f t="shared" si="234"/>
        <v>608.54425392300004</v>
      </c>
      <c r="G129" s="494">
        <f t="shared" si="234"/>
        <v>629.57857315299998</v>
      </c>
      <c r="H129" s="494">
        <f t="shared" si="234"/>
        <v>689.43491295900003</v>
      </c>
      <c r="I129" s="494">
        <f t="shared" ref="I129:S129" si="235">SUM(I130:I133)</f>
        <v>766.47947982100004</v>
      </c>
      <c r="J129" s="494">
        <f t="shared" si="235"/>
        <v>924.84841301799997</v>
      </c>
      <c r="K129" s="494">
        <f t="shared" si="235"/>
        <v>1158.5862937659999</v>
      </c>
      <c r="L129" s="494">
        <f t="shared" si="235"/>
        <v>1781.284667382</v>
      </c>
      <c r="M129" s="673">
        <f t="shared" si="235"/>
        <v>2423.2817332770005</v>
      </c>
      <c r="N129" s="494">
        <f>SUM(N130:N133)</f>
        <v>2674.4592038118831</v>
      </c>
      <c r="O129" s="494">
        <f t="shared" si="235"/>
        <v>3073.2784017321442</v>
      </c>
      <c r="P129" s="494">
        <f t="shared" si="235"/>
        <v>3506.9654381700843</v>
      </c>
      <c r="Q129" s="494">
        <f t="shared" si="235"/>
        <v>3995.3653167344396</v>
      </c>
      <c r="R129" s="494">
        <f t="shared" si="235"/>
        <v>4546.2788259091449</v>
      </c>
      <c r="S129" s="494">
        <f t="shared" si="235"/>
        <v>5204.4249873493736</v>
      </c>
      <c r="T129" s="494"/>
      <c r="U129" s="494"/>
      <c r="V129" s="494"/>
      <c r="W129" s="494"/>
      <c r="X129" s="494"/>
      <c r="Y129" s="494"/>
      <c r="Z129" s="494"/>
      <c r="AA129" s="494">
        <f t="shared" ref="AA129:AZ129" si="236">SUM(AA130:AA133)</f>
        <v>708.93645982099997</v>
      </c>
      <c r="AB129" s="494">
        <f t="shared" si="236"/>
        <v>699.49481305799986</v>
      </c>
      <c r="AC129" s="494">
        <f t="shared" si="236"/>
        <v>734.41218315200001</v>
      </c>
      <c r="AD129" s="495">
        <f t="shared" si="236"/>
        <v>766.15826936500014</v>
      </c>
      <c r="AE129" s="494">
        <f t="shared" si="236"/>
        <v>806.94232102199999</v>
      </c>
      <c r="AF129" s="494">
        <f t="shared" si="236"/>
        <v>837.02337318900004</v>
      </c>
      <c r="AG129" s="494">
        <f t="shared" si="236"/>
        <v>890.48903089500004</v>
      </c>
      <c r="AH129" s="495">
        <f t="shared" si="236"/>
        <v>922.58830986999999</v>
      </c>
      <c r="AI129" s="494">
        <f t="shared" si="236"/>
        <v>970.04730496000013</v>
      </c>
      <c r="AJ129" s="494">
        <f t="shared" si="236"/>
        <v>1029.968977902</v>
      </c>
      <c r="AK129" s="494">
        <f t="shared" si="236"/>
        <v>1059.346777792</v>
      </c>
      <c r="AL129" s="495">
        <f t="shared" si="236"/>
        <v>1144.4823329589999</v>
      </c>
      <c r="AM129" s="494">
        <f t="shared" si="236"/>
        <v>1265.479210468</v>
      </c>
      <c r="AN129" s="494">
        <f t="shared" si="236"/>
        <v>1394.0513773479997</v>
      </c>
      <c r="AO129" s="494">
        <f t="shared" si="236"/>
        <v>1457.1070608510001</v>
      </c>
      <c r="AP129" s="495">
        <f t="shared" si="236"/>
        <v>1784.3016101769999</v>
      </c>
      <c r="AQ129" s="494">
        <f t="shared" si="236"/>
        <v>1995.0018399539997</v>
      </c>
      <c r="AR129" s="494">
        <f t="shared" si="236"/>
        <v>2060.4153067460002</v>
      </c>
      <c r="AS129" s="494">
        <f t="shared" si="236"/>
        <v>2240.7087750290002</v>
      </c>
      <c r="AT129" s="495">
        <f t="shared" si="236"/>
        <v>2423.2817332770005</v>
      </c>
      <c r="AU129" s="494">
        <f t="shared" si="236"/>
        <v>2505.1902173130002</v>
      </c>
      <c r="AV129" s="494">
        <f t="shared" si="236"/>
        <v>2553.1458841869999</v>
      </c>
      <c r="AW129" s="494">
        <f>SUM(AW130:AW133)</f>
        <v>2656.45</v>
      </c>
      <c r="AX129" s="673">
        <f>SUM(AX130:AX133)</f>
        <v>2674.4592038118831</v>
      </c>
      <c r="AY129" s="494"/>
      <c r="AZ129" s="494">
        <f t="shared" si="236"/>
        <v>2674.4592038118831</v>
      </c>
      <c r="BA129" s="494"/>
      <c r="BB129" s="494"/>
      <c r="BC129" s="494"/>
      <c r="BD129" s="494"/>
      <c r="BE129" s="494"/>
      <c r="BF129" s="494"/>
      <c r="BG129" s="494"/>
      <c r="BH129" s="494"/>
      <c r="BI129" s="495"/>
      <c r="BJ129" s="494"/>
      <c r="BK129" s="494"/>
      <c r="BL129" s="494"/>
      <c r="BM129" s="495"/>
      <c r="BN129" s="494"/>
      <c r="BO129" s="494"/>
      <c r="BP129" s="494"/>
      <c r="BQ129" s="495"/>
      <c r="BR129" s="494"/>
      <c r="BS129" s="494"/>
      <c r="BT129" s="494"/>
      <c r="BU129" s="495"/>
      <c r="BV129" s="494"/>
      <c r="BW129" s="494"/>
      <c r="BX129" s="494"/>
      <c r="BY129" s="495"/>
      <c r="BZ129" s="494"/>
      <c r="CA129" s="494"/>
      <c r="CB129" s="495"/>
    </row>
    <row r="130" spans="1:80" ht="15">
      <c r="A130" s="1128" t="s">
        <v>559</v>
      </c>
      <c r="C130" s="1364">
        <f>'A. Raw FS'!C144</f>
        <v>108.02469000000001</v>
      </c>
      <c r="D130" s="1364">
        <f>'A. Raw FS'!D144</f>
        <v>108.02469000000001</v>
      </c>
      <c r="E130" s="1364">
        <f>'A. Raw FS'!E144</f>
        <v>108.02469000000001</v>
      </c>
      <c r="F130" s="1364">
        <f>'A. Raw FS'!F144</f>
        <v>306.13328999999999</v>
      </c>
      <c r="G130" s="1364">
        <f>'A. Raw FS'!G144</f>
        <v>306.13328999999999</v>
      </c>
      <c r="H130" s="1364">
        <f>'A. Raw FS'!H144</f>
        <v>407.51747</v>
      </c>
      <c r="I130" s="1364">
        <f>'A. Raw FS'!I144</f>
        <v>407.51747</v>
      </c>
      <c r="J130" s="1364">
        <f>'A. Raw FS'!J144</f>
        <v>419.51747</v>
      </c>
      <c r="K130" s="1364">
        <f>'A. Raw FS'!K144</f>
        <v>431.51747</v>
      </c>
      <c r="L130" s="1364">
        <f>'A. Raw FS'!L144</f>
        <v>885.52025000000003</v>
      </c>
      <c r="M130" s="1368">
        <f>'A. Raw FS'!M144</f>
        <v>1632.29943</v>
      </c>
      <c r="N130" s="633">
        <f>AZ130</f>
        <v>1672.2439999999999</v>
      </c>
      <c r="O130" s="1366">
        <f>N130</f>
        <v>1672.2439999999999</v>
      </c>
      <c r="P130" s="1366">
        <f>O130</f>
        <v>1672.2439999999999</v>
      </c>
      <c r="Q130" s="1366">
        <f>P130</f>
        <v>1672.2439999999999</v>
      </c>
      <c r="R130" s="1366">
        <f>Q130</f>
        <v>1672.2439999999999</v>
      </c>
      <c r="S130" s="1366">
        <f>R130</f>
        <v>1672.2439999999999</v>
      </c>
      <c r="T130" s="1364"/>
      <c r="U130" s="1364"/>
      <c r="V130" s="1364"/>
      <c r="W130" s="1364"/>
      <c r="X130" s="634" t="s">
        <v>560</v>
      </c>
      <c r="Y130" s="1364"/>
      <c r="Z130" s="1364"/>
      <c r="AA130" s="1364">
        <f>'A. Raw FS'!AA144</f>
        <v>407.51747</v>
      </c>
      <c r="AB130" s="1364">
        <f>'A. Raw FS'!AB144</f>
        <v>407.51747</v>
      </c>
      <c r="AC130" s="1364">
        <f>'A. Raw FS'!AC144</f>
        <v>407.51747</v>
      </c>
      <c r="AD130" s="1365">
        <f>'A. Raw FS'!AD144</f>
        <v>407.51747</v>
      </c>
      <c r="AE130" s="1364">
        <f>'A. Raw FS'!AE144</f>
        <v>419.51747</v>
      </c>
      <c r="AF130" s="1364">
        <f>'A. Raw FS'!AF144</f>
        <v>419.51747</v>
      </c>
      <c r="AG130" s="1364">
        <f>'A. Raw FS'!AG144</f>
        <v>419.51747</v>
      </c>
      <c r="AH130" s="1365">
        <f>'A. Raw FS'!AH144</f>
        <v>419.51747</v>
      </c>
      <c r="AI130" s="1364">
        <f>'A. Raw FS'!AI144</f>
        <v>419.93247000000002</v>
      </c>
      <c r="AJ130" s="1364">
        <f>'A. Raw FS'!AJ144</f>
        <v>431.51747</v>
      </c>
      <c r="AK130" s="1364">
        <f>'A. Raw FS'!AK144</f>
        <v>431.51747</v>
      </c>
      <c r="AL130" s="1365">
        <f>'A. Raw FS'!AL144</f>
        <v>431.51747</v>
      </c>
      <c r="AM130" s="1364">
        <f>'A. Raw FS'!AM144</f>
        <v>431.51747</v>
      </c>
      <c r="AN130" s="1364">
        <f>'A. Raw FS'!AN144</f>
        <v>443.51747</v>
      </c>
      <c r="AO130" s="1364">
        <f>'A. Raw FS'!AO144</f>
        <v>885.52025000000003</v>
      </c>
      <c r="AP130" s="1365">
        <f>'A. Raw FS'!AP144</f>
        <v>885.52025000000003</v>
      </c>
      <c r="AQ130" s="1364">
        <f>'A. Raw FS'!AQ144</f>
        <v>888.40025000000003</v>
      </c>
      <c r="AR130" s="1364">
        <f>'A. Raw FS'!AR144</f>
        <v>907.52025000000003</v>
      </c>
      <c r="AS130" s="1364">
        <f>'A. Raw FS'!AS144</f>
        <v>1632.29943</v>
      </c>
      <c r="AT130" s="1365">
        <f>'A. Raw FS'!AT144</f>
        <v>1632.29943</v>
      </c>
      <c r="AU130" s="1364">
        <f>'A. Raw FS'!AU144</f>
        <v>1632.29943</v>
      </c>
      <c r="AV130" s="1364">
        <f>'A. Raw FS'!AV144</f>
        <v>1632.24443</v>
      </c>
      <c r="AW130" s="1364">
        <f>'A. Raw FS'!AW144</f>
        <v>1632.24</v>
      </c>
      <c r="AX130" s="1367">
        <v>1672.2439999999999</v>
      </c>
      <c r="AY130" s="1364"/>
      <c r="AZ130" s="1364">
        <f>AX130</f>
        <v>1672.2439999999999</v>
      </c>
      <c r="BA130" s="1364"/>
      <c r="BB130" s="1364"/>
      <c r="BC130" s="1364"/>
      <c r="BD130" s="1364"/>
      <c r="BE130" s="1364"/>
      <c r="BF130" s="1364"/>
      <c r="BG130" s="1364"/>
      <c r="BH130" s="1364"/>
      <c r="BI130" s="1365"/>
      <c r="BJ130" s="1364"/>
      <c r="BK130" s="1364"/>
      <c r="BL130" s="1364"/>
      <c r="BM130" s="1365"/>
      <c r="BN130" s="1364"/>
      <c r="BO130" s="1364"/>
      <c r="BP130" s="1364"/>
      <c r="BQ130" s="1365"/>
      <c r="BR130" s="1364"/>
      <c r="BS130" s="1364"/>
      <c r="BT130" s="1364"/>
      <c r="BU130" s="1365"/>
      <c r="BV130" s="1364"/>
      <c r="BW130" s="1364"/>
      <c r="BX130" s="1364"/>
      <c r="BY130" s="1365"/>
      <c r="BZ130" s="1364"/>
      <c r="CA130" s="1364"/>
      <c r="CB130" s="1365"/>
    </row>
    <row r="131" spans="1:80" ht="15">
      <c r="A131" s="1128" t="s">
        <v>561</v>
      </c>
      <c r="C131" s="1364">
        <f>'A. Raw FS'!C156</f>
        <v>150.88521917400001</v>
      </c>
      <c r="D131" s="1364">
        <f>'A. Raw FS'!D156</f>
        <v>189.44592291800001</v>
      </c>
      <c r="E131" s="1364">
        <f>'A. Raw FS'!E156</f>
        <v>273.63582223600002</v>
      </c>
      <c r="F131" s="1364">
        <f>'A. Raw FS'!F156</f>
        <v>155.665959673</v>
      </c>
      <c r="G131" s="1364">
        <f>'A. Raw FS'!G156</f>
        <v>176.700278903</v>
      </c>
      <c r="H131" s="1364">
        <f>'A. Raw FS'!H156</f>
        <v>224.19957881900001</v>
      </c>
      <c r="I131" s="1364">
        <f>'A. Raw FS'!I156</f>
        <v>302.64995157599998</v>
      </c>
      <c r="J131" s="1364">
        <f>'A. Raw FS'!J156</f>
        <v>446.44038176200002</v>
      </c>
      <c r="K131" s="1364">
        <f>'A. Raw FS'!K156</f>
        <v>670.14863448000006</v>
      </c>
      <c r="L131" s="1364">
        <f>'A. Raw FS'!L156</f>
        <v>838.31838044599999</v>
      </c>
      <c r="M131" s="1368">
        <f>'A. Raw FS'!M156</f>
        <v>706.72493152799996</v>
      </c>
      <c r="N131" s="1364">
        <f>AZ131</f>
        <v>922.70520381188339</v>
      </c>
      <c r="O131" s="1364">
        <f>N131+O79+O92</f>
        <v>1321.5244017321447</v>
      </c>
      <c r="P131" s="1364">
        <f>O131+P79+P92</f>
        <v>1755.2114381700846</v>
      </c>
      <c r="Q131" s="1364">
        <f>P131+Q79+Q92</f>
        <v>2243.6113167344397</v>
      </c>
      <c r="R131" s="1364">
        <f>Q131+R79+R92</f>
        <v>2794.524825909145</v>
      </c>
      <c r="S131" s="1364">
        <f>R131+S79+S92</f>
        <v>3452.6709873493737</v>
      </c>
      <c r="T131" s="1364"/>
      <c r="U131" s="1364"/>
      <c r="V131" s="1364"/>
      <c r="W131" s="1364"/>
      <c r="X131" s="634" t="s">
        <v>562</v>
      </c>
      <c r="Y131" s="1364"/>
      <c r="Z131" s="1364"/>
      <c r="AA131" s="1364">
        <f>'A. Raw FS'!AA156</f>
        <v>243.25413556000001</v>
      </c>
      <c r="AB131" s="1364">
        <f>'A. Raw FS'!AB156</f>
        <v>233.82124482899999</v>
      </c>
      <c r="AC131" s="1364">
        <f>'A. Raw FS'!AC156</f>
        <v>269.99522645899998</v>
      </c>
      <c r="AD131" s="1365">
        <f>'A. Raw FS'!AD156</f>
        <v>302.32087808099999</v>
      </c>
      <c r="AE131" s="1364">
        <f>'A. Raw FS'!AE156</f>
        <v>327.67783798300002</v>
      </c>
      <c r="AF131" s="1364">
        <f>'A. Raw FS'!AF156</f>
        <v>360.66389617300001</v>
      </c>
      <c r="AG131" s="1364">
        <f>'A. Raw FS'!AG156</f>
        <v>415.40659312499997</v>
      </c>
      <c r="AH131" s="1365">
        <f>'A. Raw FS'!AH156</f>
        <v>444.61893054699999</v>
      </c>
      <c r="AI131" s="1364">
        <f>'A. Raw FS'!AI156</f>
        <v>491.398706946</v>
      </c>
      <c r="AJ131" s="1364">
        <f>'A. Raw FS'!AJ156</f>
        <v>539.84392237199995</v>
      </c>
      <c r="AK131" s="1364">
        <f>'A. Raw FS'!AK156</f>
        <v>571.18773864000002</v>
      </c>
      <c r="AL131" s="1365">
        <f>'A. Raw FS'!AL156</f>
        <v>656.07235754299995</v>
      </c>
      <c r="AM131" s="1364">
        <f>'A. Raw FS'!AM156</f>
        <v>776.861561618</v>
      </c>
      <c r="AN131" s="1364">
        <f>'A. Raw FS'!AN156</f>
        <v>893.308641384</v>
      </c>
      <c r="AO131" s="1364">
        <f>'A. Raw FS'!AO156</f>
        <v>514.32090912399997</v>
      </c>
      <c r="AP131" s="1365">
        <f>'A. Raw FS'!AP156</f>
        <v>841.33532324099997</v>
      </c>
      <c r="AQ131" s="1364">
        <f>'A. Raw FS'!AQ156</f>
        <v>1049.1565852169999</v>
      </c>
      <c r="AR131" s="1364">
        <f>'A. Raw FS'!AR156</f>
        <v>1095.443751478</v>
      </c>
      <c r="AS131" s="1364">
        <f>'A. Raw FS'!AS156</f>
        <v>550.97054478099994</v>
      </c>
      <c r="AT131" s="1365">
        <f>'A. Raw FS'!AT156</f>
        <v>706.72493152799996</v>
      </c>
      <c r="AU131" s="1364">
        <f>'A. Raw FS'!AU156</f>
        <v>786.11406786500004</v>
      </c>
      <c r="AV131" s="1364">
        <f>'A. Raw FS'!AV156</f>
        <v>842.28223622300004</v>
      </c>
      <c r="AW131" s="1364">
        <f>'A. Raw FS'!AW156</f>
        <v>944.7</v>
      </c>
      <c r="AX131" s="1368">
        <f>AW131+AX79+AX92</f>
        <v>922.70520381188339</v>
      </c>
      <c r="AY131" s="1364"/>
      <c r="AZ131" s="1364">
        <f>AX131</f>
        <v>922.70520381188339</v>
      </c>
      <c r="BA131" s="1364"/>
      <c r="BB131" s="1364"/>
      <c r="BC131" s="1364"/>
      <c r="BD131" s="1364"/>
      <c r="BE131" s="1364"/>
      <c r="BF131" s="1364"/>
      <c r="BG131" s="1364"/>
      <c r="BH131" s="1364"/>
      <c r="BI131" s="1365"/>
      <c r="BJ131" s="1364"/>
      <c r="BK131" s="1364"/>
      <c r="BL131" s="1364"/>
      <c r="BM131" s="1365"/>
      <c r="BN131" s="1364"/>
      <c r="BO131" s="1364"/>
      <c r="BP131" s="1364"/>
      <c r="BQ131" s="1365"/>
      <c r="BR131" s="1364"/>
      <c r="BS131" s="1364"/>
      <c r="BT131" s="1364"/>
      <c r="BU131" s="1365"/>
      <c r="BV131" s="1364"/>
      <c r="BW131" s="1364"/>
      <c r="BX131" s="1364"/>
      <c r="BY131" s="1365"/>
      <c r="BZ131" s="1364"/>
      <c r="CA131" s="1364"/>
      <c r="CB131" s="1365"/>
    </row>
    <row r="132" spans="1:80" ht="15">
      <c r="A132" s="1128" t="s">
        <v>563</v>
      </c>
      <c r="C132" s="1364">
        <f>'A. Raw FS'!C159</f>
        <v>0</v>
      </c>
      <c r="D132" s="1364">
        <f>'A. Raw FS'!D159</f>
        <v>0</v>
      </c>
      <c r="E132" s="1364">
        <f>'A. Raw FS'!E159</f>
        <v>0</v>
      </c>
      <c r="F132" s="1364">
        <f>'A. Raw FS'!F159</f>
        <v>0</v>
      </c>
      <c r="G132" s="1364">
        <f>'A. Raw FS'!G159</f>
        <v>0</v>
      </c>
      <c r="H132" s="1364">
        <f>'A. Raw FS'!H159</f>
        <v>2.3570398899999998</v>
      </c>
      <c r="I132" s="1364">
        <f>'A. Raw FS'!I159</f>
        <v>0.95123399500000005</v>
      </c>
      <c r="J132" s="1364">
        <f>'A. Raw FS'!J159</f>
        <v>3.529737006</v>
      </c>
      <c r="K132" s="1364">
        <f>'A. Raw FS'!K159</f>
        <v>1.559365036</v>
      </c>
      <c r="L132" s="1364">
        <f>'A. Raw FS'!L159</f>
        <v>2.0852126860000002</v>
      </c>
      <c r="M132" s="1368">
        <f>'A. Raw FS'!M159</f>
        <v>28.926547499000002</v>
      </c>
      <c r="N132" s="633">
        <f>AZ132</f>
        <v>24.14</v>
      </c>
      <c r="O132" s="1366">
        <f t="shared" ref="O132:S133" si="237">N132</f>
        <v>24.14</v>
      </c>
      <c r="P132" s="1366">
        <f t="shared" si="237"/>
        <v>24.14</v>
      </c>
      <c r="Q132" s="1366">
        <f t="shared" si="237"/>
        <v>24.14</v>
      </c>
      <c r="R132" s="1366">
        <f t="shared" si="237"/>
        <v>24.14</v>
      </c>
      <c r="S132" s="1366">
        <f t="shared" si="237"/>
        <v>24.14</v>
      </c>
      <c r="T132" s="1364"/>
      <c r="U132" s="1364"/>
      <c r="V132" s="1364"/>
      <c r="W132" s="1364"/>
      <c r="X132" s="1364"/>
      <c r="Y132" s="1364"/>
      <c r="Z132" s="1364"/>
      <c r="AA132" s="1364">
        <f>'A. Raw FS'!AA159</f>
        <v>2.804030011</v>
      </c>
      <c r="AB132" s="1364">
        <f>'A. Raw FS'!AB159</f>
        <v>2.7952739790000001</v>
      </c>
      <c r="AC132" s="1364">
        <f>'A. Raw FS'!AC159</f>
        <v>1.538662443</v>
      </c>
      <c r="AD132" s="1365">
        <f>'A. Raw FS'!AD159</f>
        <v>0.95909703400000001</v>
      </c>
      <c r="AE132" s="1364">
        <f>'A. Raw FS'!AE159</f>
        <v>4.3861887890000002</v>
      </c>
      <c r="AF132" s="1364">
        <f>'A. Raw FS'!AF159</f>
        <v>1.4811827660000001</v>
      </c>
      <c r="AG132" s="1364">
        <f>'A. Raw FS'!AG159</f>
        <v>0.20414351999999999</v>
      </c>
      <c r="AH132" s="1365">
        <f>'A. Raw FS'!AH159</f>
        <v>3.0910850729999999</v>
      </c>
      <c r="AI132" s="1364">
        <f>'A. Raw FS'!AI159</f>
        <v>3.3553037639999999</v>
      </c>
      <c r="AJ132" s="1364">
        <f>'A. Raw FS'!AJ159</f>
        <v>3.2467612799999999</v>
      </c>
      <c r="AK132" s="1364">
        <f>'A. Raw FS'!AK159</f>
        <v>1.2807449019999999</v>
      </c>
      <c r="AL132" s="1365">
        <f>'A. Raw FS'!AL159</f>
        <v>1.531681166</v>
      </c>
      <c r="AM132" s="1364">
        <f>'A. Raw FS'!AM159</f>
        <v>1.7393546</v>
      </c>
      <c r="AN132" s="1364">
        <f>'A. Raw FS'!AN159</f>
        <v>1.864441714</v>
      </c>
      <c r="AO132" s="1364">
        <f>'A. Raw FS'!AO159</f>
        <v>1.9050774770000001</v>
      </c>
      <c r="AP132" s="1365">
        <f>'A. Raw FS'!AP159</f>
        <v>2.0852126860000002</v>
      </c>
      <c r="AQ132" s="1364">
        <f>'A. Raw FS'!AQ159</f>
        <v>2.0841804869999998</v>
      </c>
      <c r="AR132" s="1364">
        <f>'A. Raw FS'!AR159</f>
        <v>2.120481018</v>
      </c>
      <c r="AS132" s="1364">
        <f>'A. Raw FS'!AS159</f>
        <v>2.1079759980000001</v>
      </c>
      <c r="AT132" s="1365">
        <f>'A. Raw FS'!AT159</f>
        <v>28.926547499000002</v>
      </c>
      <c r="AU132" s="1364">
        <f>'A. Raw FS'!AU159</f>
        <v>31.445895197999999</v>
      </c>
      <c r="AV132" s="1364">
        <f>'A. Raw FS'!AV159</f>
        <v>23.258393714</v>
      </c>
      <c r="AW132" s="1364">
        <f>'A. Raw FS'!AW159</f>
        <v>24.14</v>
      </c>
      <c r="AX132" s="1367">
        <f>AW132</f>
        <v>24.14</v>
      </c>
      <c r="AY132" s="1364"/>
      <c r="AZ132" s="1364">
        <f>AX132</f>
        <v>24.14</v>
      </c>
      <c r="BA132" s="1364"/>
      <c r="BB132" s="1364"/>
      <c r="BC132" s="1364"/>
      <c r="BD132" s="1364"/>
      <c r="BE132" s="1364"/>
      <c r="BF132" s="1364"/>
      <c r="BG132" s="1364"/>
      <c r="BH132" s="1364"/>
      <c r="BI132" s="1365"/>
      <c r="BJ132" s="1364"/>
      <c r="BK132" s="1364"/>
      <c r="BL132" s="1364"/>
      <c r="BM132" s="1365"/>
      <c r="BN132" s="1364"/>
      <c r="BO132" s="1364"/>
      <c r="BP132" s="1364"/>
      <c r="BQ132" s="1365"/>
      <c r="BR132" s="1364"/>
      <c r="BS132" s="1364"/>
      <c r="BT132" s="1364"/>
      <c r="BU132" s="1365"/>
      <c r="BV132" s="1364"/>
      <c r="BW132" s="1364"/>
      <c r="BX132" s="1364"/>
      <c r="BY132" s="1365"/>
      <c r="BZ132" s="1364"/>
      <c r="CA132" s="1364"/>
      <c r="CB132" s="1365"/>
    </row>
    <row r="133" spans="1:80" ht="15">
      <c r="A133" s="1128" t="s">
        <v>66</v>
      </c>
      <c r="C133" s="1364">
        <f>'A. Raw FS'!C141-'A. Raw FS'!C144-'A. Raw FS'!C151-'A. Raw FS'!C156-'A. Raw FS'!C159</f>
        <v>37.57960424999996</v>
      </c>
      <c r="D133" s="1364">
        <f>'A. Raw FS'!D141-'A. Raw FS'!D144-'A. Raw FS'!D151-'A. Raw FS'!D156-'A. Raw FS'!D159</f>
        <v>-47.420395750000012</v>
      </c>
      <c r="E133" s="1364">
        <f>'A. Raw FS'!E141-'A. Raw FS'!E144-'A. Raw FS'!E151-'A. Raw FS'!E156-'A. Raw FS'!E159</f>
        <v>-46.901395750000063</v>
      </c>
      <c r="F133" s="1364">
        <f>'A. Raw FS'!F141-'A. Raw FS'!F144-'A. Raw FS'!F151-'A. Raw FS'!F156-'A. Raw FS'!F159</f>
        <v>146.74500425000005</v>
      </c>
      <c r="G133" s="1364">
        <f>'A. Raw FS'!G141-'A. Raw FS'!G144-'A. Raw FS'!G151-'A. Raw FS'!G156-'A. Raw FS'!G159</f>
        <v>146.74500424999999</v>
      </c>
      <c r="H133" s="1364">
        <f>'A. Raw FS'!H141-'A. Raw FS'!H144-'A. Raw FS'!H151-'A. Raw FS'!H156-'A. Raw FS'!H159</f>
        <v>55.360824250000015</v>
      </c>
      <c r="I133" s="1364">
        <f>'A. Raw FS'!I141-'A. Raw FS'!I144-'A. Raw FS'!I151-'A. Raw FS'!I156-'A. Raw FS'!I159</f>
        <v>55.360824250000057</v>
      </c>
      <c r="J133" s="1364">
        <f>'A. Raw FS'!J141-'A. Raw FS'!J144-'A. Raw FS'!J151-'A. Raw FS'!J156-'A. Raw FS'!J159</f>
        <v>55.360824249999958</v>
      </c>
      <c r="K133" s="1364">
        <f>'A. Raw FS'!K141-'A. Raw FS'!K144-'A. Raw FS'!K151-'A. Raw FS'!K156-'A. Raw FS'!K159</f>
        <v>55.360824249999865</v>
      </c>
      <c r="L133" s="1364">
        <f>'A. Raw FS'!L141-'A. Raw FS'!L144-'A. Raw FS'!L151-'A. Raw FS'!L156-'A. Raw FS'!L159</f>
        <v>55.360824249999929</v>
      </c>
      <c r="M133" s="1368">
        <f>'A. Raw FS'!M141-'A. Raw FS'!M144-'A. Raw FS'!M151-'A. Raw FS'!M156-'A. Raw FS'!M159</f>
        <v>55.33082425000007</v>
      </c>
      <c r="N133" s="1364">
        <f>AZ133</f>
        <v>55.369999999999763</v>
      </c>
      <c r="O133" s="1364">
        <f t="shared" si="237"/>
        <v>55.369999999999763</v>
      </c>
      <c r="P133" s="1364">
        <f t="shared" si="237"/>
        <v>55.369999999999763</v>
      </c>
      <c r="Q133" s="1364">
        <f t="shared" si="237"/>
        <v>55.369999999999763</v>
      </c>
      <c r="R133" s="1364">
        <f t="shared" si="237"/>
        <v>55.369999999999763</v>
      </c>
      <c r="S133" s="1364">
        <f t="shared" si="237"/>
        <v>55.369999999999763</v>
      </c>
      <c r="T133" s="1364"/>
      <c r="U133" s="1364"/>
      <c r="V133" s="1364"/>
      <c r="W133" s="1364"/>
      <c r="X133" s="1364"/>
      <c r="Y133" s="1364"/>
      <c r="Z133" s="1364"/>
      <c r="AA133" s="1364">
        <f>'A. Raw FS'!AA141-'A. Raw FS'!AA144-'A. Raw FS'!AA151-'A. Raw FS'!AA156-'A. Raw FS'!AA159</f>
        <v>55.360824249999958</v>
      </c>
      <c r="AB133" s="1364">
        <f>'A. Raw FS'!AB141-'A. Raw FS'!AB144-'A. Raw FS'!AB151-'A. Raw FS'!AB156-'A. Raw FS'!AB159</f>
        <v>55.360824249999979</v>
      </c>
      <c r="AC133" s="1364">
        <f>'A. Raw FS'!AC141-'A. Raw FS'!AC144-'A. Raw FS'!AC151-'A. Raw FS'!AC156-'A. Raw FS'!AC159</f>
        <v>55.360824250000029</v>
      </c>
      <c r="AD133" s="1365">
        <f>'A. Raw FS'!AD141-'A. Raw FS'!AD144-'A. Raw FS'!AD151-'A. Raw FS'!AD156-'A. Raw FS'!AD159</f>
        <v>55.360824250000029</v>
      </c>
      <c r="AE133" s="1364">
        <f>'A. Raw FS'!AE141-'A. Raw FS'!AE144-'A. Raw FS'!AE151-'A. Raw FS'!AE156-'A. Raw FS'!AE159</f>
        <v>55.360824249999965</v>
      </c>
      <c r="AF133" s="1364">
        <f>'A. Raw FS'!AF141-'A. Raw FS'!AF144-'A. Raw FS'!AF151-'A. Raw FS'!AF156-'A. Raw FS'!AF159</f>
        <v>55.360824250000022</v>
      </c>
      <c r="AG133" s="1364">
        <f>'A. Raw FS'!AG141-'A. Raw FS'!AG144-'A. Raw FS'!AG151-'A. Raw FS'!AG156-'A. Raw FS'!AG159</f>
        <v>55.360824250000064</v>
      </c>
      <c r="AH133" s="1365">
        <f>'A. Raw FS'!AH141-'A. Raw FS'!AH144-'A. Raw FS'!AH151-'A. Raw FS'!AH156-'A. Raw FS'!AH159</f>
        <v>55.360824249999993</v>
      </c>
      <c r="AI133" s="1364">
        <f>'A. Raw FS'!AI141-'A. Raw FS'!AI144-'A. Raw FS'!AI151-'A. Raw FS'!AI156-'A. Raw FS'!AI159</f>
        <v>55.36082425000005</v>
      </c>
      <c r="AJ133" s="1364">
        <f>'A. Raw FS'!AJ141-'A. Raw FS'!AJ144-'A. Raw FS'!AJ151-'A. Raw FS'!AJ156-'A. Raw FS'!AJ159</f>
        <v>55.36082425000005</v>
      </c>
      <c r="AK133" s="1364">
        <f>'A. Raw FS'!AK141-'A. Raw FS'!AK144-'A. Raw FS'!AK151-'A. Raw FS'!AK156-'A. Raw FS'!AK159</f>
        <v>55.360824249999986</v>
      </c>
      <c r="AL133" s="1365">
        <f>'A. Raw FS'!AL141-'A. Raw FS'!AL144-'A. Raw FS'!AL151-'A. Raw FS'!AL156-'A. Raw FS'!AL159</f>
        <v>55.360824249999951</v>
      </c>
      <c r="AM133" s="1364">
        <f>'A. Raw FS'!AM141-'A. Raw FS'!AM144-'A. Raw FS'!AM151-'A. Raw FS'!AM156-'A. Raw FS'!AM159</f>
        <v>55.360824250000022</v>
      </c>
      <c r="AN133" s="1364">
        <f>'A. Raw FS'!AN141-'A. Raw FS'!AN144-'A. Raw FS'!AN151-'A. Raw FS'!AN156-'A. Raw FS'!AN159</f>
        <v>55.360824249999958</v>
      </c>
      <c r="AO133" s="1364">
        <f>'A. Raw FS'!AO141-'A. Raw FS'!AO144-'A. Raw FS'!AO151-'A. Raw FS'!AO156-'A. Raw FS'!AO159</f>
        <v>55.360824249999915</v>
      </c>
      <c r="AP133" s="1365">
        <f>'A. Raw FS'!AP141-'A. Raw FS'!AP144-'A. Raw FS'!AP151-'A. Raw FS'!AP156-'A. Raw FS'!AP159</f>
        <v>55.360824249999929</v>
      </c>
      <c r="AQ133" s="1364">
        <f>'A. Raw FS'!AQ141-'A. Raw FS'!AQ144-'A. Raw FS'!AQ151-'A. Raw FS'!AQ156-'A. Raw FS'!AQ159</f>
        <v>55.360824249999865</v>
      </c>
      <c r="AR133" s="1364">
        <f>'A. Raw FS'!AR141-'A. Raw FS'!AR144-'A. Raw FS'!AR151-'A. Raw FS'!AR156-'A. Raw FS'!AR159</f>
        <v>55.33082425000017</v>
      </c>
      <c r="AS133" s="1364">
        <f>'A. Raw FS'!AS141-'A. Raw FS'!AS144-'A. Raw FS'!AS151-'A. Raw FS'!AS156-'A. Raw FS'!AS159</f>
        <v>55.330824250000234</v>
      </c>
      <c r="AT133" s="1365">
        <f>'A. Raw FS'!AT141-'A. Raw FS'!AT144-'A. Raw FS'!AT151-'A. Raw FS'!AT156-'A. Raw FS'!AT159</f>
        <v>55.33082425000007</v>
      </c>
      <c r="AU133" s="1364">
        <f>'A. Raw FS'!AU141-'A. Raw FS'!AU144-'A. Raw FS'!AU151-'A. Raw FS'!AU156-'A. Raw FS'!AU159</f>
        <v>55.330824250000106</v>
      </c>
      <c r="AV133" s="1364">
        <f>'A. Raw FS'!AV141-'A. Raw FS'!AV144-'A. Raw FS'!AV151-'A. Raw FS'!AV156-'A. Raw FS'!AV159</f>
        <v>55.360824249999858</v>
      </c>
      <c r="AW133" s="1364">
        <f>'A. Raw FS'!AW141-'A. Raw FS'!AW144-'A. Raw FS'!AW151-'A. Raw FS'!AW156-'A. Raw FS'!AW159</f>
        <v>55.369999999999763</v>
      </c>
      <c r="AX133" s="1367">
        <f>AW133</f>
        <v>55.369999999999763</v>
      </c>
      <c r="AY133" s="1364"/>
      <c r="AZ133" s="1364">
        <f>AX133</f>
        <v>55.369999999999763</v>
      </c>
      <c r="BA133" s="1364"/>
      <c r="BB133" s="1364"/>
      <c r="BC133" s="1364"/>
      <c r="BD133" s="1364"/>
      <c r="BE133" s="1364"/>
      <c r="BF133" s="1364"/>
      <c r="BG133" s="1364"/>
      <c r="BH133" s="1364"/>
      <c r="BI133" s="1365"/>
      <c r="BJ133" s="1364"/>
      <c r="BK133" s="1364"/>
      <c r="BL133" s="1364"/>
      <c r="BM133" s="1365"/>
      <c r="BN133" s="1364"/>
      <c r="BO133" s="1364"/>
      <c r="BP133" s="1364"/>
      <c r="BQ133" s="1365"/>
      <c r="BR133" s="1364"/>
      <c r="BS133" s="1364"/>
      <c r="BT133" s="1364"/>
      <c r="BU133" s="1365"/>
      <c r="BV133" s="1364"/>
      <c r="BW133" s="1364"/>
      <c r="BX133" s="1364"/>
      <c r="BY133" s="1365"/>
      <c r="BZ133" s="1364"/>
      <c r="CA133" s="1364"/>
      <c r="CB133" s="1365"/>
    </row>
    <row r="134" spans="1:80" ht="15">
      <c r="C134" s="1364"/>
      <c r="D134" s="1364"/>
      <c r="E134" s="1364"/>
      <c r="F134" s="1364"/>
      <c r="G134" s="1364"/>
      <c r="H134" s="1364"/>
      <c r="I134" s="1364"/>
      <c r="J134" s="1364"/>
      <c r="K134" s="1364"/>
      <c r="L134" s="1364"/>
      <c r="M134" s="1368"/>
      <c r="N134" s="1364"/>
      <c r="O134" s="1364"/>
      <c r="P134" s="1364"/>
      <c r="Q134" s="1364"/>
      <c r="R134" s="1364"/>
      <c r="S134" s="1364"/>
      <c r="T134" s="1364"/>
      <c r="U134" s="1364"/>
      <c r="V134" s="1364"/>
      <c r="W134" s="1364"/>
      <c r="X134" s="1364"/>
      <c r="Y134" s="1364"/>
      <c r="Z134" s="1364"/>
      <c r="AA134" s="1364"/>
      <c r="AB134" s="1364"/>
      <c r="AC134" s="1364"/>
      <c r="AD134" s="1365"/>
      <c r="AE134" s="1364"/>
      <c r="AF134" s="1364"/>
      <c r="AG134" s="1364"/>
      <c r="AH134" s="1365"/>
      <c r="AI134" s="1364"/>
      <c r="AJ134" s="1364"/>
      <c r="AK134" s="1364"/>
      <c r="AL134" s="1365"/>
      <c r="AM134" s="1364"/>
      <c r="AN134" s="1364"/>
      <c r="AO134" s="1364"/>
      <c r="AP134" s="1365"/>
      <c r="AQ134" s="1364"/>
      <c r="AR134" s="1364"/>
      <c r="AS134" s="1364"/>
      <c r="AT134" s="1365"/>
      <c r="AU134" s="1364"/>
      <c r="AV134" s="1364"/>
      <c r="AW134" s="1364"/>
      <c r="AX134" s="1368"/>
      <c r="AY134" s="1364"/>
      <c r="AZ134" s="1364"/>
      <c r="BA134" s="1364"/>
      <c r="BB134" s="1364"/>
      <c r="BC134" s="1364"/>
      <c r="BD134" s="1364"/>
      <c r="BE134" s="1364"/>
      <c r="BF134" s="1364"/>
      <c r="BG134" s="1364"/>
      <c r="BH134" s="1364"/>
      <c r="BI134" s="1365"/>
      <c r="BJ134" s="1364"/>
      <c r="BK134" s="1364"/>
      <c r="BL134" s="1364"/>
      <c r="BM134" s="1365"/>
      <c r="BN134" s="1364"/>
      <c r="BO134" s="1364"/>
      <c r="BP134" s="1364"/>
      <c r="BQ134" s="1365"/>
      <c r="BR134" s="1364"/>
      <c r="BS134" s="1364"/>
      <c r="BT134" s="1364"/>
      <c r="BU134" s="1365"/>
      <c r="BV134" s="1364"/>
      <c r="BW134" s="1364"/>
      <c r="BX134" s="1364"/>
      <c r="BY134" s="1365"/>
      <c r="BZ134" s="1364"/>
      <c r="CA134" s="1364"/>
      <c r="CB134" s="1365"/>
    </row>
    <row r="135" spans="1:80" s="397" customFormat="1" ht="15">
      <c r="A135" s="511" t="s">
        <v>564</v>
      </c>
      <c r="B135" s="410"/>
      <c r="C135" s="494">
        <f t="shared" ref="C135:H135" si="238">C129+C119</f>
        <v>855.64292535799984</v>
      </c>
      <c r="D135" s="494">
        <f t="shared" si="238"/>
        <v>976.49793931399995</v>
      </c>
      <c r="E135" s="494">
        <f t="shared" si="238"/>
        <v>1292.7215456289998</v>
      </c>
      <c r="F135" s="494">
        <f t="shared" si="238"/>
        <v>1255.5083729890002</v>
      </c>
      <c r="G135" s="494">
        <f t="shared" si="238"/>
        <v>1306.2119002220002</v>
      </c>
      <c r="H135" s="494">
        <f t="shared" si="238"/>
        <v>1593.948921358</v>
      </c>
      <c r="I135" s="494">
        <f t="shared" ref="I135:S135" si="239">I129+I119</f>
        <v>2223.3361136059998</v>
      </c>
      <c r="J135" s="494">
        <f t="shared" si="239"/>
        <v>2405.0552020670002</v>
      </c>
      <c r="K135" s="494">
        <f t="shared" si="239"/>
        <v>3068.7471294299994</v>
      </c>
      <c r="L135" s="608">
        <f t="shared" si="239"/>
        <v>6544.8225680159994</v>
      </c>
      <c r="M135" s="673">
        <f t="shared" si="239"/>
        <v>6355.4211235480007</v>
      </c>
      <c r="N135" s="494">
        <f>N129+N119</f>
        <v>7468.3131927652266</v>
      </c>
      <c r="O135" s="494">
        <f t="shared" si="239"/>
        <v>8043.5026513548546</v>
      </c>
      <c r="P135" s="494">
        <f t="shared" si="239"/>
        <v>9051.8513553987286</v>
      </c>
      <c r="Q135" s="494">
        <f t="shared" si="239"/>
        <v>10042.779545337824</v>
      </c>
      <c r="R135" s="494">
        <f t="shared" si="239"/>
        <v>11052.47931336578</v>
      </c>
      <c r="S135" s="494">
        <f t="shared" si="239"/>
        <v>12240.994809976019</v>
      </c>
      <c r="T135" s="494"/>
      <c r="U135" s="494"/>
      <c r="V135" s="494"/>
      <c r="W135" s="494"/>
      <c r="X135" s="494"/>
      <c r="Y135" s="494"/>
      <c r="Z135" s="494"/>
      <c r="AA135" s="494">
        <f t="shared" ref="AA135:AZ135" si="240">AA129+AA119</f>
        <v>1396.6601770760001</v>
      </c>
      <c r="AB135" s="494">
        <f t="shared" si="240"/>
        <v>1459.9473561019997</v>
      </c>
      <c r="AC135" s="494">
        <f t="shared" si="240"/>
        <v>1661.483823217</v>
      </c>
      <c r="AD135" s="495">
        <f t="shared" si="240"/>
        <v>2221.8383339649999</v>
      </c>
      <c r="AE135" s="494">
        <f t="shared" si="240"/>
        <v>1839.074562642</v>
      </c>
      <c r="AF135" s="494">
        <f t="shared" si="240"/>
        <v>2148.1694250370001</v>
      </c>
      <c r="AG135" s="494">
        <f t="shared" si="240"/>
        <v>2046.3628029629999</v>
      </c>
      <c r="AH135" s="495">
        <f t="shared" si="240"/>
        <v>2419.0183355190002</v>
      </c>
      <c r="AI135" s="494">
        <f t="shared" si="240"/>
        <v>1909.6117577760001</v>
      </c>
      <c r="AJ135" s="494">
        <f t="shared" si="240"/>
        <v>2224.4644260879995</v>
      </c>
      <c r="AK135" s="494">
        <f t="shared" si="240"/>
        <v>2321.6108578049998</v>
      </c>
      <c r="AL135" s="495">
        <f t="shared" si="240"/>
        <v>3066.305698274</v>
      </c>
      <c r="AM135" s="494">
        <f t="shared" si="240"/>
        <v>3354.8197510509999</v>
      </c>
      <c r="AN135" s="494">
        <f t="shared" si="240"/>
        <v>3424.7860166469995</v>
      </c>
      <c r="AO135" s="494">
        <f t="shared" si="240"/>
        <v>3760.5557671380002</v>
      </c>
      <c r="AP135" s="495">
        <f t="shared" si="240"/>
        <v>6547.874284814</v>
      </c>
      <c r="AQ135" s="494">
        <f t="shared" si="240"/>
        <v>6669.2421434519983</v>
      </c>
      <c r="AR135" s="494">
        <f t="shared" si="240"/>
        <v>6136.5236820740001</v>
      </c>
      <c r="AS135" s="494">
        <f t="shared" si="240"/>
        <v>6609.7961612379995</v>
      </c>
      <c r="AT135" s="495">
        <f t="shared" si="240"/>
        <v>6355.2843174540012</v>
      </c>
      <c r="AU135" s="494">
        <f t="shared" si="240"/>
        <v>5916.3501139760001</v>
      </c>
      <c r="AV135" s="494">
        <f t="shared" si="240"/>
        <v>6559.6440108399993</v>
      </c>
      <c r="AW135" s="494">
        <f>AW129+AW119</f>
        <v>7003.19</v>
      </c>
      <c r="AX135" s="673">
        <f>AX129+AX119</f>
        <v>7427.3085453664225</v>
      </c>
      <c r="AY135" s="494"/>
      <c r="AZ135" s="494">
        <f t="shared" si="240"/>
        <v>7427.3085453664225</v>
      </c>
      <c r="BA135" s="494"/>
      <c r="BB135" s="494"/>
      <c r="BC135" s="494"/>
      <c r="BD135" s="494"/>
      <c r="BE135" s="494"/>
      <c r="BF135" s="494"/>
      <c r="BG135" s="494"/>
      <c r="BH135" s="494"/>
      <c r="BI135" s="495"/>
      <c r="BJ135" s="494"/>
      <c r="BK135" s="494"/>
      <c r="BL135" s="494"/>
      <c r="BM135" s="495"/>
      <c r="BN135" s="494"/>
      <c r="BO135" s="494"/>
      <c r="BP135" s="494"/>
      <c r="BQ135" s="495"/>
      <c r="BR135" s="494"/>
      <c r="BS135" s="494"/>
      <c r="BT135" s="494"/>
      <c r="BU135" s="495"/>
      <c r="BV135" s="494"/>
      <c r="BW135" s="494"/>
      <c r="BX135" s="494"/>
      <c r="BY135" s="495"/>
      <c r="BZ135" s="494"/>
      <c r="CA135" s="494"/>
      <c r="CB135" s="495"/>
    </row>
    <row r="136" spans="1:80" ht="15">
      <c r="C136" s="1364"/>
      <c r="D136" s="1364"/>
      <c r="E136" s="1364"/>
      <c r="F136" s="1364"/>
      <c r="G136" s="1364"/>
      <c r="H136" s="1364"/>
      <c r="I136" s="1364"/>
      <c r="J136" s="1364"/>
      <c r="K136" s="1364"/>
      <c r="L136" s="1364"/>
      <c r="M136" s="1368"/>
      <c r="N136" s="1364"/>
      <c r="O136" s="1364"/>
      <c r="P136" s="1364"/>
      <c r="Q136" s="1364"/>
      <c r="R136" s="1364"/>
      <c r="S136" s="1364"/>
      <c r="T136" s="1364"/>
      <c r="U136" s="1364"/>
      <c r="V136" s="1364"/>
      <c r="W136" s="1364"/>
      <c r="X136" s="1364"/>
      <c r="Y136" s="1364"/>
      <c r="Z136" s="1364"/>
      <c r="AA136" s="1364"/>
      <c r="AB136" s="1364"/>
      <c r="AC136" s="1364"/>
      <c r="AD136" s="1365"/>
      <c r="AE136" s="1364"/>
      <c r="AF136" s="1364"/>
      <c r="AG136" s="1364"/>
      <c r="AH136" s="1365"/>
      <c r="AI136" s="1364"/>
      <c r="AJ136" s="1364"/>
      <c r="AK136" s="1364"/>
      <c r="AL136" s="1365"/>
      <c r="AM136" s="1364"/>
      <c r="AN136" s="1364"/>
      <c r="AO136" s="1364"/>
      <c r="AP136" s="1365"/>
      <c r="AQ136" s="1364"/>
      <c r="AR136" s="1364"/>
      <c r="AS136" s="1364"/>
      <c r="AT136" s="1365"/>
      <c r="AU136" s="1364"/>
      <c r="AV136" s="1364"/>
      <c r="AW136" s="1364"/>
      <c r="AX136" s="1368"/>
      <c r="AY136" s="1364"/>
      <c r="AZ136" s="1364"/>
      <c r="BA136" s="1364"/>
      <c r="BB136" s="1364"/>
      <c r="BC136" s="1364"/>
      <c r="BD136" s="1364"/>
      <c r="BE136" s="1364"/>
      <c r="BF136" s="1364"/>
      <c r="BG136" s="1364"/>
      <c r="BH136" s="1364"/>
      <c r="BI136" s="1365"/>
      <c r="BJ136" s="1364"/>
      <c r="BK136" s="1364"/>
      <c r="BL136" s="1364"/>
      <c r="BM136" s="1365"/>
      <c r="BN136" s="1364"/>
      <c r="BO136" s="1364"/>
      <c r="BP136" s="1364"/>
      <c r="BQ136" s="1365"/>
      <c r="BR136" s="1364"/>
      <c r="BS136" s="1364"/>
      <c r="BT136" s="1364"/>
      <c r="BU136" s="1365"/>
      <c r="BV136" s="1364"/>
      <c r="BW136" s="1364"/>
      <c r="BX136" s="1364"/>
      <c r="BY136" s="1365"/>
      <c r="BZ136" s="1364"/>
      <c r="CA136" s="1364"/>
      <c r="CB136" s="1365"/>
    </row>
    <row r="137" spans="1:80" s="427" customFormat="1" ht="15">
      <c r="A137" s="512" t="s">
        <v>73</v>
      </c>
      <c r="B137" s="431"/>
      <c r="C137" s="497">
        <f t="shared" ref="C137:H137" si="241">C135-C117</f>
        <v>-0.3544636920001949</v>
      </c>
      <c r="D137" s="635">
        <f t="shared" si="241"/>
        <v>-4.6183025000004818E-2</v>
      </c>
      <c r="E137" s="635">
        <f t="shared" si="241"/>
        <v>0</v>
      </c>
      <c r="F137" s="635">
        <f t="shared" si="241"/>
        <v>0</v>
      </c>
      <c r="G137" s="635">
        <f t="shared" si="241"/>
        <v>0</v>
      </c>
      <c r="H137" s="636">
        <f t="shared" si="241"/>
        <v>0</v>
      </c>
      <c r="I137" s="718">
        <f t="shared" ref="I137:S137" si="242">I135-I117</f>
        <v>0</v>
      </c>
      <c r="J137" s="718">
        <f t="shared" si="242"/>
        <v>0</v>
      </c>
      <c r="K137" s="718">
        <f t="shared" si="242"/>
        <v>0</v>
      </c>
      <c r="L137" s="718">
        <f>L135-L117</f>
        <v>0</v>
      </c>
      <c r="M137" s="719">
        <f t="shared" si="242"/>
        <v>0</v>
      </c>
      <c r="N137" s="718">
        <f t="shared" si="242"/>
        <v>0</v>
      </c>
      <c r="O137" s="718">
        <f t="shared" si="242"/>
        <v>0</v>
      </c>
      <c r="P137" s="718">
        <f t="shared" si="242"/>
        <v>0</v>
      </c>
      <c r="Q137" s="718">
        <f t="shared" si="242"/>
        <v>0</v>
      </c>
      <c r="R137" s="718">
        <f t="shared" si="242"/>
        <v>0</v>
      </c>
      <c r="S137" s="718">
        <f t="shared" si="242"/>
        <v>0</v>
      </c>
      <c r="T137" s="712"/>
      <c r="U137" s="718"/>
      <c r="V137" s="636"/>
      <c r="W137" s="636"/>
      <c r="X137" s="498"/>
      <c r="Y137" s="499"/>
      <c r="Z137" s="499"/>
      <c r="AA137" s="716">
        <f t="shared" ref="AA137:AZ137" si="243">AA135-AA117</f>
        <v>0</v>
      </c>
      <c r="AB137" s="716">
        <f t="shared" si="243"/>
        <v>-6.437680604000434</v>
      </c>
      <c r="AC137" s="716">
        <f t="shared" si="243"/>
        <v>0</v>
      </c>
      <c r="AD137" s="991">
        <f t="shared" si="243"/>
        <v>0</v>
      </c>
      <c r="AE137" s="716">
        <f t="shared" si="243"/>
        <v>0</v>
      </c>
      <c r="AF137" s="716">
        <f t="shared" si="243"/>
        <v>0</v>
      </c>
      <c r="AG137" s="716">
        <f t="shared" si="243"/>
        <v>0</v>
      </c>
      <c r="AH137" s="991">
        <f t="shared" si="243"/>
        <v>0</v>
      </c>
      <c r="AI137" s="716">
        <f t="shared" si="243"/>
        <v>0</v>
      </c>
      <c r="AJ137" s="716">
        <f t="shared" si="243"/>
        <v>0</v>
      </c>
      <c r="AK137" s="716">
        <f t="shared" si="243"/>
        <v>0</v>
      </c>
      <c r="AL137" s="991">
        <f t="shared" si="243"/>
        <v>0</v>
      </c>
      <c r="AM137" s="716">
        <f t="shared" si="243"/>
        <v>0</v>
      </c>
      <c r="AN137" s="716">
        <f t="shared" si="243"/>
        <v>0</v>
      </c>
      <c r="AO137" s="716">
        <f t="shared" si="243"/>
        <v>0</v>
      </c>
      <c r="AP137" s="991">
        <f t="shared" si="243"/>
        <v>0.31829308199939987</v>
      </c>
      <c r="AQ137" s="716">
        <f t="shared" si="243"/>
        <v>0.31829308199849038</v>
      </c>
      <c r="AR137" s="716">
        <f t="shared" si="243"/>
        <v>0.31829308200030937</v>
      </c>
      <c r="AS137" s="716">
        <f t="shared" si="243"/>
        <v>0.83399493799970514</v>
      </c>
      <c r="AT137" s="991">
        <f t="shared" si="243"/>
        <v>-4.8061239986054716E-3</v>
      </c>
      <c r="AU137" s="716">
        <f t="shared" si="243"/>
        <v>3.3478530003776541E-3</v>
      </c>
      <c r="AV137" s="716">
        <f t="shared" si="243"/>
        <v>0</v>
      </c>
      <c r="AW137" s="716">
        <f>AW135-AW117</f>
        <v>2.9999999999745341E-2</v>
      </c>
      <c r="AX137" s="717">
        <f>AX135-AX117</f>
        <v>-58.838466269665332</v>
      </c>
      <c r="AY137" s="716"/>
      <c r="AZ137" s="716">
        <f t="shared" si="243"/>
        <v>-58.838466269665332</v>
      </c>
      <c r="BA137" s="499"/>
      <c r="BB137" s="499"/>
      <c r="BC137" s="499"/>
      <c r="BD137" s="499"/>
      <c r="BE137" s="499"/>
      <c r="BF137" s="499"/>
      <c r="BG137" s="499"/>
      <c r="BH137" s="499"/>
      <c r="BI137" s="500"/>
      <c r="BJ137" s="499"/>
      <c r="BK137" s="499"/>
      <c r="BL137" s="499"/>
      <c r="BM137" s="500"/>
      <c r="BN137" s="499"/>
      <c r="BO137" s="499"/>
      <c r="BP137" s="499"/>
      <c r="BQ137" s="500"/>
      <c r="BR137" s="499"/>
      <c r="BS137" s="499"/>
      <c r="BT137" s="499"/>
      <c r="BU137" s="500"/>
      <c r="BV137" s="499"/>
      <c r="BW137" s="499"/>
      <c r="BX137" s="499"/>
      <c r="BY137" s="500"/>
      <c r="BZ137" s="499"/>
      <c r="CA137" s="499"/>
      <c r="CB137" s="500"/>
    </row>
    <row r="138" spans="1:80" ht="15"/>
    <row r="139" spans="1:80" s="1194" customFormat="1" ht="15">
      <c r="A139" s="385" t="s">
        <v>565</v>
      </c>
      <c r="B139" s="441"/>
      <c r="C139" s="441"/>
      <c r="D139" s="441"/>
      <c r="E139" s="441"/>
      <c r="F139" s="441"/>
      <c r="G139" s="441"/>
      <c r="H139" s="409"/>
      <c r="M139" s="1373"/>
      <c r="T139" s="43"/>
      <c r="U139" s="43"/>
      <c r="V139" s="43"/>
      <c r="W139" s="43"/>
      <c r="X139" s="43"/>
      <c r="Y139" s="43"/>
      <c r="Z139" s="43"/>
      <c r="AD139" s="1374"/>
      <c r="AH139" s="1374"/>
      <c r="AL139" s="1374"/>
      <c r="AP139" s="1374"/>
      <c r="AT139" s="1374"/>
      <c r="AX139" s="1373"/>
      <c r="BI139" s="1374"/>
      <c r="BM139" s="1374"/>
      <c r="BQ139" s="1374"/>
      <c r="BU139" s="1374"/>
      <c r="BY139" s="1374"/>
      <c r="CB139" s="1374"/>
    </row>
    <row r="140" spans="1:80" ht="15">
      <c r="A140" s="511"/>
      <c r="B140" s="410"/>
      <c r="C140" s="1375"/>
      <c r="D140" s="1375"/>
      <c r="E140" s="1375"/>
      <c r="F140" s="1375"/>
      <c r="G140" s="1375"/>
      <c r="H140" s="406"/>
      <c r="I140" s="57"/>
      <c r="J140" s="57"/>
      <c r="K140" s="57"/>
      <c r="L140" s="57"/>
      <c r="M140" s="674"/>
      <c r="N140" s="57"/>
      <c r="O140" s="57"/>
      <c r="P140" s="57"/>
      <c r="Q140" s="57"/>
      <c r="R140" s="601"/>
      <c r="S140" s="57"/>
    </row>
    <row r="141" spans="1:80" ht="15">
      <c r="A141" s="1128" t="s">
        <v>566</v>
      </c>
      <c r="C141" s="90">
        <f t="shared" ref="C141:S141" si="244">-C10+C105-B105</f>
        <v>2451.1763421390006</v>
      </c>
      <c r="D141" s="486">
        <f t="shared" si="244"/>
        <v>2823.4785618449996</v>
      </c>
      <c r="E141" s="486">
        <f t="shared" si="244"/>
        <v>4935.3480262249996</v>
      </c>
      <c r="F141" s="486">
        <f t="shared" si="244"/>
        <v>3876.5224269849996</v>
      </c>
      <c r="G141" s="486">
        <f t="shared" si="244"/>
        <v>3604.0112486180005</v>
      </c>
      <c r="H141" s="486">
        <f t="shared" si="244"/>
        <v>3714.9532170060002</v>
      </c>
      <c r="I141" s="486">
        <f t="shared" si="244"/>
        <v>5999.6043170509993</v>
      </c>
      <c r="J141" s="486">
        <f t="shared" si="244"/>
        <v>8079.4127784639995</v>
      </c>
      <c r="K141" s="486">
        <f t="shared" si="244"/>
        <v>11106.580838624999</v>
      </c>
      <c r="L141" s="486">
        <f t="shared" si="244"/>
        <v>21475.559400393002</v>
      </c>
      <c r="M141" s="658">
        <f t="shared" si="244"/>
        <v>20731.265855204998</v>
      </c>
      <c r="N141" s="486">
        <f t="shared" si="244"/>
        <v>18559.806892161741</v>
      </c>
      <c r="O141" s="486">
        <f t="shared" si="244"/>
        <v>21392.795609574121</v>
      </c>
      <c r="P141" s="486">
        <f t="shared" si="244"/>
        <v>24526.258544628363</v>
      </c>
      <c r="Q141" s="486">
        <f t="shared" si="244"/>
        <v>27092.856505714128</v>
      </c>
      <c r="R141" s="486">
        <f t="shared" si="244"/>
        <v>30007.858504422413</v>
      </c>
      <c r="S141" s="486">
        <f t="shared" si="244"/>
        <v>33200.820552487465</v>
      </c>
      <c r="T141" s="486"/>
      <c r="U141" s="486"/>
      <c r="V141" s="486"/>
      <c r="W141" s="486"/>
      <c r="X141" s="1131"/>
      <c r="Y141" s="637"/>
      <c r="Z141" s="1131"/>
      <c r="AA141" s="415">
        <f t="shared" ref="AA141:AX141" si="245">-AA10+AA105-Z105</f>
        <v>1789.2543013079999</v>
      </c>
      <c r="AB141" s="415">
        <f t="shared" si="245"/>
        <v>1360.2950750090001</v>
      </c>
      <c r="AC141" s="415">
        <f t="shared" si="245"/>
        <v>1640.4132385570001</v>
      </c>
      <c r="AD141" s="1149">
        <f t="shared" si="245"/>
        <v>2094.5356754320001</v>
      </c>
      <c r="AE141" s="415">
        <f t="shared" si="245"/>
        <v>878.74377431700032</v>
      </c>
      <c r="AF141" s="415">
        <f t="shared" si="245"/>
        <v>1958.6698745890003</v>
      </c>
      <c r="AG141" s="415">
        <f t="shared" si="245"/>
        <v>2295.0161430460003</v>
      </c>
      <c r="AH141" s="1149">
        <f t="shared" si="245"/>
        <v>2979.4293974350007</v>
      </c>
      <c r="AI141" s="415">
        <f t="shared" si="245"/>
        <v>1518.9128558379998</v>
      </c>
      <c r="AJ141" s="415">
        <f t="shared" si="245"/>
        <v>2608.6025274259996</v>
      </c>
      <c r="AK141" s="415">
        <f t="shared" si="245"/>
        <v>3160.2800082819995</v>
      </c>
      <c r="AL141" s="1149">
        <f t="shared" si="245"/>
        <v>3794.6458258299995</v>
      </c>
      <c r="AM141" s="415">
        <f t="shared" si="245"/>
        <v>4526.8169764680006</v>
      </c>
      <c r="AN141" s="415">
        <f t="shared" si="245"/>
        <v>4221.0137301749992</v>
      </c>
      <c r="AO141" s="415">
        <f t="shared" si="245"/>
        <v>3511.0946724469995</v>
      </c>
      <c r="AP141" s="1149">
        <f t="shared" si="245"/>
        <v>9216.6340213029998</v>
      </c>
      <c r="AQ141" s="415">
        <f t="shared" si="245"/>
        <v>7211.515302333999</v>
      </c>
      <c r="AR141" s="415">
        <f t="shared" si="245"/>
        <v>4474.3123269020007</v>
      </c>
      <c r="AS141" s="415">
        <f t="shared" si="245"/>
        <v>4985.7795026559988</v>
      </c>
      <c r="AT141" s="1149">
        <f t="shared" si="245"/>
        <v>4136.5186913110001</v>
      </c>
      <c r="AU141" s="415">
        <f t="shared" si="245"/>
        <v>3477.6217128859998</v>
      </c>
      <c r="AV141" s="415">
        <f t="shared" si="245"/>
        <v>3763.005125229</v>
      </c>
      <c r="AW141" s="415">
        <f t="shared" si="245"/>
        <v>4683.5482820719999</v>
      </c>
      <c r="AX141" s="1147">
        <f t="shared" si="245"/>
        <v>6635.6317719747403</v>
      </c>
      <c r="AZ141" s="415">
        <f>SUM(AU141:AX141)</f>
        <v>18559.806892161738</v>
      </c>
    </row>
    <row r="142" spans="1:80" ht="15">
      <c r="A142" s="1128" t="s">
        <v>567</v>
      </c>
      <c r="C142" s="892">
        <f t="shared" ref="C142:S142" si="246">C102/C7</f>
        <v>9.7053299094660567E-3</v>
      </c>
      <c r="D142" s="892">
        <f t="shared" si="246"/>
        <v>4.9551402316440556E-2</v>
      </c>
      <c r="E142" s="892">
        <f t="shared" si="246"/>
        <v>1.3998997987905167E-2</v>
      </c>
      <c r="F142" s="892">
        <f t="shared" si="246"/>
        <v>7.5341822102390011E-3</v>
      </c>
      <c r="G142" s="892">
        <f t="shared" si="246"/>
        <v>8.6375013682109206E-3</v>
      </c>
      <c r="H142" s="892">
        <f t="shared" si="246"/>
        <v>8.9237372380576441E-3</v>
      </c>
      <c r="I142" s="892">
        <f t="shared" si="246"/>
        <v>1.2002645433529817E-2</v>
      </c>
      <c r="J142" s="892">
        <f t="shared" si="246"/>
        <v>1.5440178107045769E-2</v>
      </c>
      <c r="K142" s="892">
        <f t="shared" si="246"/>
        <v>7.0044799550623829E-2</v>
      </c>
      <c r="L142" s="892">
        <f t="shared" si="246"/>
        <v>7.1421186881766199E-2</v>
      </c>
      <c r="M142" s="892">
        <f t="shared" si="246"/>
        <v>3.7578477380177888E-2</v>
      </c>
      <c r="N142" s="892">
        <f t="shared" si="246"/>
        <v>8.1616285035787078E-2</v>
      </c>
      <c r="O142" s="892">
        <f t="shared" si="246"/>
        <v>9.1956764435909374E-2</v>
      </c>
      <c r="P142" s="892">
        <f t="shared" si="246"/>
        <v>0.10051239517962154</v>
      </c>
      <c r="Q142" s="892">
        <f t="shared" si="246"/>
        <v>0.11242320141426775</v>
      </c>
      <c r="R142" s="744">
        <f t="shared" si="246"/>
        <v>0.12192324985254914</v>
      </c>
      <c r="S142" s="892">
        <f t="shared" si="246"/>
        <v>0.13434647868336222</v>
      </c>
      <c r="T142" s="486"/>
      <c r="U142" s="486"/>
      <c r="V142" s="486"/>
      <c r="W142" s="486"/>
      <c r="X142" s="1131"/>
      <c r="Y142" s="637"/>
      <c r="Z142" s="1131"/>
      <c r="AA142" s="415"/>
      <c r="AB142" s="415"/>
      <c r="AC142" s="415"/>
      <c r="AD142" s="1149"/>
      <c r="AE142" s="415"/>
      <c r="AF142" s="415"/>
      <c r="AG142" s="415"/>
      <c r="AH142" s="1149"/>
      <c r="AI142" s="415"/>
      <c r="AJ142" s="415"/>
      <c r="AK142" s="415"/>
      <c r="AL142" s="1149"/>
      <c r="AM142" s="415"/>
      <c r="AN142" s="415"/>
      <c r="AO142" s="415"/>
      <c r="AP142" s="1149"/>
      <c r="AQ142" s="415"/>
      <c r="AR142" s="415"/>
      <c r="AS142" s="415"/>
      <c r="AT142" s="1149"/>
      <c r="AU142" s="415"/>
      <c r="AV142" s="415"/>
      <c r="AW142" s="415"/>
      <c r="AX142" s="1147"/>
      <c r="AZ142" s="415"/>
    </row>
    <row r="143" spans="1:80" ht="15">
      <c r="A143" s="1128" t="s">
        <v>568</v>
      </c>
      <c r="C143" s="57">
        <f>C102/C117</f>
        <v>2.4259717336342267E-2</v>
      </c>
      <c r="D143" s="601">
        <f t="shared" ref="D143:S143" si="247">D102/D117</f>
        <v>0.1551306554814435</v>
      </c>
      <c r="E143" s="601">
        <f t="shared" si="247"/>
        <v>5.2808758548062482E-2</v>
      </c>
      <c r="F143" s="601">
        <f t="shared" si="247"/>
        <v>2.5223924232863289E-2</v>
      </c>
      <c r="G143" s="601">
        <f t="shared" si="247"/>
        <v>2.5128495095949957E-2</v>
      </c>
      <c r="H143" s="601">
        <f t="shared" si="247"/>
        <v>2.1391587655738821E-2</v>
      </c>
      <c r="I143" s="601">
        <f t="shared" si="247"/>
        <v>3.2052803102908985E-2</v>
      </c>
      <c r="J143" s="601">
        <f t="shared" si="247"/>
        <v>5.4492425376500363E-2</v>
      </c>
      <c r="K143" s="601">
        <f t="shared" si="247"/>
        <v>0.28612857382129531</v>
      </c>
      <c r="L143" s="601">
        <f t="shared" si="247"/>
        <v>0.2283227933708511</v>
      </c>
      <c r="M143" s="674">
        <f t="shared" si="247"/>
        <v>0.13024845310563438</v>
      </c>
      <c r="N143" s="601">
        <f t="shared" si="247"/>
        <v>0.21977030287484753</v>
      </c>
      <c r="O143" s="601">
        <f t="shared" si="247"/>
        <v>0.26237871358730597</v>
      </c>
      <c r="P143" s="601">
        <f t="shared" si="247"/>
        <v>0.28866291289252044</v>
      </c>
      <c r="Q143" s="601">
        <f t="shared" si="247"/>
        <v>0.32330089858919714</v>
      </c>
      <c r="R143" s="601">
        <f t="shared" si="247"/>
        <v>0.353646048140969</v>
      </c>
      <c r="S143" s="601">
        <f t="shared" si="247"/>
        <v>0.39027948603903989</v>
      </c>
      <c r="T143" s="486"/>
      <c r="V143" s="486"/>
      <c r="W143" s="486"/>
      <c r="X143" s="1131"/>
      <c r="Y143" s="637"/>
      <c r="Z143" s="1131"/>
      <c r="AA143" s="415"/>
      <c r="AB143" s="415"/>
      <c r="AC143" s="415"/>
      <c r="AD143" s="1149"/>
      <c r="AE143" s="415"/>
      <c r="AF143" s="415"/>
      <c r="AG143" s="415"/>
      <c r="AH143" s="1149"/>
      <c r="AI143" s="415"/>
      <c r="AJ143" s="415"/>
      <c r="AK143" s="415"/>
      <c r="AL143" s="1149"/>
      <c r="AM143" s="415"/>
      <c r="AN143" s="415"/>
      <c r="AO143" s="415"/>
      <c r="AP143" s="1149"/>
      <c r="AQ143" s="415"/>
      <c r="AR143" s="415"/>
      <c r="AS143" s="415"/>
      <c r="AT143" s="1149"/>
      <c r="AU143" s="415"/>
      <c r="AV143" s="415"/>
      <c r="AW143" s="415"/>
      <c r="AX143" s="1147"/>
      <c r="AZ143" s="415"/>
    </row>
    <row r="144" spans="1:80" ht="45">
      <c r="A144" s="1128" t="s">
        <v>569</v>
      </c>
      <c r="C144" s="415">
        <f t="shared" ref="C144:M144" si="248">AVERAGE(B104:C104)/C7*365</f>
        <v>37.509396540379072</v>
      </c>
      <c r="D144" s="415">
        <f t="shared" si="248"/>
        <v>29.84120800762344</v>
      </c>
      <c r="E144" s="415">
        <f t="shared" si="248"/>
        <v>22.249608508759586</v>
      </c>
      <c r="F144" s="415">
        <f t="shared" si="248"/>
        <v>28.807534273072243</v>
      </c>
      <c r="G144" s="415">
        <f t="shared" si="248"/>
        <v>34.091945866540634</v>
      </c>
      <c r="H144" s="415">
        <f t="shared" si="248"/>
        <v>40.269762785434729</v>
      </c>
      <c r="I144" s="415">
        <f t="shared" si="248"/>
        <v>33.290422227272195</v>
      </c>
      <c r="J144" s="415">
        <f t="shared" si="248"/>
        <v>25.488379628991225</v>
      </c>
      <c r="K144" s="415">
        <f t="shared" si="248"/>
        <v>24.980658783332025</v>
      </c>
      <c r="L144" s="415">
        <f t="shared" si="248"/>
        <v>25.448539281551263</v>
      </c>
      <c r="M144" s="1147">
        <f t="shared" si="248"/>
        <v>27.879366214160758</v>
      </c>
      <c r="N144" s="934">
        <f>AZ144</f>
        <v>36.647981897937811</v>
      </c>
      <c r="O144" s="1022">
        <v>33</v>
      </c>
      <c r="P144" s="937">
        <f>O144-($O144-$S144)/4</f>
        <v>31.25</v>
      </c>
      <c r="Q144" s="937">
        <f t="shared" ref="Q144:R144" si="249">P144-($O144-$S144)/4</f>
        <v>29.5</v>
      </c>
      <c r="R144" s="937">
        <f t="shared" si="249"/>
        <v>27.75</v>
      </c>
      <c r="S144" s="934">
        <f>CHOOSE('D. Sensivity &amp; Scenario'!$E$62,'D. Sensivity &amp; Scenario'!H130,'D. Sensivity &amp; Scenario'!H131,'D. Sensivity &amp; Scenario'!H132)</f>
        <v>26</v>
      </c>
      <c r="T144" s="760"/>
      <c r="V144" s="415"/>
      <c r="W144" s="415"/>
      <c r="X144" s="42" t="s">
        <v>570</v>
      </c>
      <c r="AA144" s="415"/>
      <c r="AB144" s="415">
        <f t="shared" ref="AB144:AW144" si="250">AVERAGE(AA104:AB104)/AB7*365/4</f>
        <v>35.478048920511434</v>
      </c>
      <c r="AC144" s="415">
        <f t="shared" si="250"/>
        <v>32.647519462825883</v>
      </c>
      <c r="AD144" s="1149">
        <f t="shared" si="250"/>
        <v>39.830212445495391</v>
      </c>
      <c r="AE144" s="415">
        <f t="shared" si="250"/>
        <v>40.696042733407729</v>
      </c>
      <c r="AF144" s="415">
        <f t="shared" si="250"/>
        <v>34.258424168756555</v>
      </c>
      <c r="AG144" s="415">
        <f t="shared" si="250"/>
        <v>31.80346427435391</v>
      </c>
      <c r="AH144" s="1149">
        <f t="shared" si="250"/>
        <v>27.589059383361551</v>
      </c>
      <c r="AI144" s="415">
        <f t="shared" si="250"/>
        <v>26.784360165718656</v>
      </c>
      <c r="AJ144" s="415">
        <f t="shared" si="250"/>
        <v>26.521682901494561</v>
      </c>
      <c r="AK144" s="415">
        <f t="shared" si="250"/>
        <v>22.707577399278453</v>
      </c>
      <c r="AL144" s="1149">
        <f t="shared" si="250"/>
        <v>25.206275379375029</v>
      </c>
      <c r="AM144" s="415">
        <f t="shared" si="250"/>
        <v>25.188891955944769</v>
      </c>
      <c r="AN144" s="415">
        <f t="shared" si="250"/>
        <v>30.524471286633531</v>
      </c>
      <c r="AO144" s="415">
        <f t="shared" si="250"/>
        <v>38.122694234499882</v>
      </c>
      <c r="AP144" s="1149">
        <f t="shared" si="250"/>
        <v>22.133249361940823</v>
      </c>
      <c r="AQ144" s="415">
        <f t="shared" si="250"/>
        <v>26.08512957491293</v>
      </c>
      <c r="AR144" s="415">
        <f t="shared" si="250"/>
        <v>40.057530276883547</v>
      </c>
      <c r="AS144" s="415">
        <f t="shared" si="250"/>
        <v>33.080969052572975</v>
      </c>
      <c r="AT144" s="1149">
        <f t="shared" si="250"/>
        <v>42.972349377009209</v>
      </c>
      <c r="AU144" s="415">
        <f t="shared" si="250"/>
        <v>42.220946527100004</v>
      </c>
      <c r="AV144" s="415">
        <f t="shared" si="250"/>
        <v>44.096138887620874</v>
      </c>
      <c r="AW144" s="415">
        <f t="shared" si="250"/>
        <v>41.275417531020452</v>
      </c>
      <c r="AX144" s="1376">
        <v>30</v>
      </c>
      <c r="AZ144" s="486">
        <f>AVERAGE(AZ104)/AZ7*365</f>
        <v>36.647981897937811</v>
      </c>
      <c r="BA144" s="415"/>
    </row>
    <row r="145" spans="1:80" ht="45">
      <c r="A145" s="1128" t="s">
        <v>571</v>
      </c>
      <c r="C145" s="415">
        <f t="shared" ref="C145:M145" si="251">-AVERAGE(B105:C105)/C10*365</f>
        <v>84.986332946117614</v>
      </c>
      <c r="D145" s="415">
        <f t="shared" si="251"/>
        <v>53.401942129655879</v>
      </c>
      <c r="E145" s="415">
        <f t="shared" si="251"/>
        <v>44.45001479458481</v>
      </c>
      <c r="F145" s="415">
        <f t="shared" si="251"/>
        <v>64.936378643082961</v>
      </c>
      <c r="G145" s="415">
        <f t="shared" si="251"/>
        <v>70.955544276848272</v>
      </c>
      <c r="H145" s="415">
        <f t="shared" si="251"/>
        <v>82.203418944392084</v>
      </c>
      <c r="I145" s="415">
        <f t="shared" si="251"/>
        <v>72.011043131037496</v>
      </c>
      <c r="J145" s="415">
        <f t="shared" si="251"/>
        <v>63.618517842796642</v>
      </c>
      <c r="K145" s="415">
        <f t="shared" si="251"/>
        <v>35.48033190978385</v>
      </c>
      <c r="L145" s="415">
        <f t="shared" si="251"/>
        <v>34.925668708346308</v>
      </c>
      <c r="M145" s="1147">
        <f t="shared" si="251"/>
        <v>55.04517454968331</v>
      </c>
      <c r="N145" s="934">
        <f>AZ145</f>
        <v>61.484394506237408</v>
      </c>
      <c r="O145" s="1022">
        <f>'B. Sales &amp; COGS'!O91</f>
        <v>54.530960966237934</v>
      </c>
      <c r="P145" s="937">
        <f>'B. Sales &amp; COGS'!P91</f>
        <v>53.367083304419793</v>
      </c>
      <c r="Q145" s="937">
        <f>'B. Sales &amp; COGS'!Q91</f>
        <v>51.303439228151028</v>
      </c>
      <c r="R145" s="937">
        <f>'B. Sales &amp; COGS'!R91</f>
        <v>49.104109023716681</v>
      </c>
      <c r="S145" s="937">
        <f>'B. Sales &amp; COGS'!S91</f>
        <v>46.598255767254457</v>
      </c>
      <c r="T145" s="760"/>
      <c r="V145" s="415"/>
      <c r="W145" s="415"/>
      <c r="X145" s="1377" t="s">
        <v>572</v>
      </c>
      <c r="AB145" s="415">
        <f t="shared" ref="AB145:AW145" si="252">-AVERAGE(AA105:AB105)/AB10*365/4</f>
        <v>44.6533470036537</v>
      </c>
      <c r="AC145" s="415">
        <f t="shared" si="252"/>
        <v>37.150691568566849</v>
      </c>
      <c r="AD145" s="1149">
        <f t="shared" si="252"/>
        <v>62.404831158393911</v>
      </c>
      <c r="AE145" s="415">
        <f t="shared" si="252"/>
        <v>78.277645421344531</v>
      </c>
      <c r="AF145" s="415">
        <f t="shared" si="252"/>
        <v>45.608514233308959</v>
      </c>
      <c r="AG145" s="415">
        <f t="shared" si="252"/>
        <v>34.051025383233089</v>
      </c>
      <c r="AH145" s="1149">
        <f t="shared" si="252"/>
        <v>45.418465220190129</v>
      </c>
      <c r="AI145" s="415">
        <f t="shared" si="252"/>
        <v>48.843054123374358</v>
      </c>
      <c r="AJ145" s="415">
        <f t="shared" si="252"/>
        <v>35.193659922216831</v>
      </c>
      <c r="AK145" s="415">
        <f t="shared" si="252"/>
        <v>24.519654989457162</v>
      </c>
      <c r="AL145" s="1149">
        <f t="shared" si="252"/>
        <v>19.677038483578514</v>
      </c>
      <c r="AM145" s="415">
        <f t="shared" si="252"/>
        <v>14.53872620894664</v>
      </c>
      <c r="AN145" s="415">
        <f t="shared" si="252"/>
        <v>19.141711020061276</v>
      </c>
      <c r="AO145" s="415">
        <f t="shared" si="252"/>
        <v>24.539176078113197</v>
      </c>
      <c r="AP145" s="1149">
        <f t="shared" si="252"/>
        <v>23.584099797372293</v>
      </c>
      <c r="AQ145" s="415">
        <f t="shared" si="252"/>
        <v>44.320473024167633</v>
      </c>
      <c r="AR145" s="415">
        <f t="shared" si="252"/>
        <v>68.675367561194335</v>
      </c>
      <c r="AS145" s="415">
        <f t="shared" si="252"/>
        <v>49.33722973294028</v>
      </c>
      <c r="AT145" s="1149">
        <f t="shared" si="252"/>
        <v>75.644619680679284</v>
      </c>
      <c r="AU145" s="415">
        <f t="shared" si="252"/>
        <v>77.543705449544873</v>
      </c>
      <c r="AV145" s="415">
        <f t="shared" si="252"/>
        <v>61.071454225955684</v>
      </c>
      <c r="AW145" s="415">
        <f t="shared" si="252"/>
        <v>43.933469930003859</v>
      </c>
      <c r="AX145" s="1376">
        <v>50</v>
      </c>
      <c r="AZ145" s="486">
        <f>-AVERAGE(AZ105)/AZ10*365</f>
        <v>61.484394506237408</v>
      </c>
      <c r="BA145" s="415"/>
    </row>
    <row r="146" spans="1:80" ht="15">
      <c r="A146" s="1128" t="s">
        <v>573</v>
      </c>
      <c r="C146" s="408">
        <f t="shared" ref="C146:M146" si="253">C106/C7</f>
        <v>2.9470626011067629E-2</v>
      </c>
      <c r="D146" s="618">
        <f t="shared" si="253"/>
        <v>2.2035451181636512E-2</v>
      </c>
      <c r="E146" s="618">
        <f t="shared" si="253"/>
        <v>1.7951712401344022E-2</v>
      </c>
      <c r="F146" s="618">
        <f t="shared" si="253"/>
        <v>2.7628559478266583E-2</v>
      </c>
      <c r="G146" s="618">
        <f t="shared" si="253"/>
        <v>2.7786706184579478E-2</v>
      </c>
      <c r="H146" s="618">
        <f t="shared" si="253"/>
        <v>2.683302693160396E-2</v>
      </c>
      <c r="I146" s="618">
        <f t="shared" si="253"/>
        <v>2.2243412097265089E-2</v>
      </c>
      <c r="J146" s="618">
        <f t="shared" si="253"/>
        <v>1.3926953860520034E-2</v>
      </c>
      <c r="K146" s="618">
        <f t="shared" si="253"/>
        <v>2.0208629644962381E-3</v>
      </c>
      <c r="L146" s="618">
        <f t="shared" si="253"/>
        <v>4.1607027545268373E-3</v>
      </c>
      <c r="M146" s="675">
        <f t="shared" si="253"/>
        <v>5.5132690211630725E-3</v>
      </c>
      <c r="N146" s="586">
        <f>AZ146</f>
        <v>7.4584511522901411E-3</v>
      </c>
      <c r="O146" s="1378">
        <f>N146</f>
        <v>7.4584511522901411E-3</v>
      </c>
      <c r="P146" s="1378">
        <f>O146</f>
        <v>7.4584511522901411E-3</v>
      </c>
      <c r="Q146" s="1378">
        <f>P146</f>
        <v>7.4584511522901411E-3</v>
      </c>
      <c r="R146" s="1378">
        <f>Q146</f>
        <v>7.4584511522901411E-3</v>
      </c>
      <c r="S146" s="1378">
        <f>R146</f>
        <v>7.4584511522901411E-3</v>
      </c>
      <c r="T146" s="501"/>
      <c r="V146" s="501"/>
      <c r="W146" s="501"/>
      <c r="AB146" s="618">
        <f t="shared" ref="AB146:AW146" si="254">AB106/AB7/4</f>
        <v>1.8449301189312272E-2</v>
      </c>
      <c r="AC146" s="618">
        <f t="shared" si="254"/>
        <v>1.3666614841228643E-2</v>
      </c>
      <c r="AD146" s="992">
        <f t="shared" si="254"/>
        <v>2.19028991455874E-2</v>
      </c>
      <c r="AE146" s="618">
        <f t="shared" si="254"/>
        <v>2.0690508703265387E-2</v>
      </c>
      <c r="AF146" s="618">
        <f t="shared" si="254"/>
        <v>1.4631889698504843E-2</v>
      </c>
      <c r="AG146" s="618">
        <f t="shared" si="254"/>
        <v>8.8150110148872592E-3</v>
      </c>
      <c r="AH146" s="992">
        <f t="shared" si="254"/>
        <v>1.2108748833035823E-2</v>
      </c>
      <c r="AI146" s="618">
        <f t="shared" si="254"/>
        <v>8.6719376575402404E-3</v>
      </c>
      <c r="AJ146" s="618">
        <f t="shared" si="254"/>
        <v>8.9317668972407685E-3</v>
      </c>
      <c r="AK146" s="618">
        <f t="shared" si="254"/>
        <v>3.9840114052779934E-3</v>
      </c>
      <c r="AL146" s="992">
        <f t="shared" si="254"/>
        <v>1.5765303426258808E-3</v>
      </c>
      <c r="AM146" s="618">
        <f t="shared" si="254"/>
        <v>7.9309817931762737E-4</v>
      </c>
      <c r="AN146" s="618">
        <f t="shared" si="254"/>
        <v>1.2950186746741364E-3</v>
      </c>
      <c r="AO146" s="618">
        <f t="shared" si="254"/>
        <v>2.030294323277693E-3</v>
      </c>
      <c r="AP146" s="992">
        <f t="shared" si="254"/>
        <v>2.7473653819597918E-3</v>
      </c>
      <c r="AQ146" s="618">
        <f t="shared" si="254"/>
        <v>5.6578736781183192E-3</v>
      </c>
      <c r="AR146" s="618">
        <f t="shared" si="254"/>
        <v>8.2523657553130857E-3</v>
      </c>
      <c r="AS146" s="618">
        <f t="shared" si="254"/>
        <v>4.3971649489120577E-3</v>
      </c>
      <c r="AT146" s="992">
        <f t="shared" si="254"/>
        <v>7.4505139581212644E-3</v>
      </c>
      <c r="AU146" s="618">
        <f t="shared" si="254"/>
        <v>8.3096909254530612E-3</v>
      </c>
      <c r="AV146" s="618">
        <f t="shared" si="254"/>
        <v>6.0448750098679033E-3</v>
      </c>
      <c r="AW146" s="618">
        <f t="shared" si="254"/>
        <v>6.1054803833903585E-3</v>
      </c>
      <c r="AX146" s="1379">
        <f>AW146</f>
        <v>6.1054803833903585E-3</v>
      </c>
      <c r="AZ146" s="408">
        <f>AZ106/AZ7</f>
        <v>7.4584511522901411E-3</v>
      </c>
    </row>
    <row r="147" spans="1:80" ht="15">
      <c r="C147" s="415"/>
      <c r="D147" s="415"/>
      <c r="E147" s="415"/>
      <c r="F147" s="415"/>
      <c r="G147" s="415"/>
      <c r="H147" s="415"/>
      <c r="I147" s="415"/>
      <c r="J147" s="415"/>
      <c r="K147" s="415"/>
      <c r="L147" s="415"/>
      <c r="M147" s="415"/>
      <c r="N147" s="415"/>
      <c r="O147" s="415"/>
      <c r="P147" s="415"/>
      <c r="Q147" s="415"/>
      <c r="R147" s="415"/>
      <c r="S147" s="415"/>
    </row>
    <row r="148" spans="1:80" ht="30">
      <c r="A148" s="1128" t="s">
        <v>574</v>
      </c>
      <c r="C148" s="415">
        <f t="shared" ref="C148:M148" si="255">AVERAGE(B122:C122)/C141*365</f>
        <v>36.606915802823387</v>
      </c>
      <c r="D148" s="415">
        <f t="shared" si="255"/>
        <v>27.623136499868739</v>
      </c>
      <c r="E148" s="415">
        <f t="shared" si="255"/>
        <v>14.35112289722362</v>
      </c>
      <c r="F148" s="415">
        <f t="shared" si="255"/>
        <v>16.937393867513041</v>
      </c>
      <c r="G148" s="415">
        <f t="shared" si="255"/>
        <v>21.728176569597508</v>
      </c>
      <c r="H148" s="415">
        <f t="shared" si="255"/>
        <v>24.825633928536504</v>
      </c>
      <c r="I148" s="415">
        <f t="shared" si="255"/>
        <v>23.621389571773374</v>
      </c>
      <c r="J148" s="415">
        <f t="shared" si="255"/>
        <v>28.176916962972619</v>
      </c>
      <c r="K148" s="415">
        <f t="shared" si="255"/>
        <v>26.975919855210535</v>
      </c>
      <c r="L148" s="415">
        <f t="shared" si="255"/>
        <v>32.172074993346797</v>
      </c>
      <c r="M148" s="1147">
        <f t="shared" si="255"/>
        <v>35.695430257414451</v>
      </c>
      <c r="N148" s="639">
        <f>AZ148</f>
        <v>35.871320643801496</v>
      </c>
      <c r="O148" s="1022">
        <v>30</v>
      </c>
      <c r="P148" s="937">
        <f>O148-($O148-$S148)/4</f>
        <v>29</v>
      </c>
      <c r="Q148" s="937">
        <f t="shared" ref="Q148:R148" si="256">P148-($O148-$S148)/4</f>
        <v>28</v>
      </c>
      <c r="R148" s="937">
        <f t="shared" si="256"/>
        <v>27</v>
      </c>
      <c r="S148" s="934">
        <f>CHOOSE('D. Sensivity &amp; Scenario'!$E$62,'D. Sensivity &amp; Scenario'!H134,'D. Sensivity &amp; Scenario'!H135,'D. Sensivity &amp; Scenario'!H136)</f>
        <v>26</v>
      </c>
      <c r="T148" s="760"/>
      <c r="V148" s="415"/>
      <c r="W148" s="415"/>
      <c r="X148" s="1380" t="s">
        <v>575</v>
      </c>
      <c r="AA148" s="415"/>
      <c r="AB148" s="415">
        <f t="shared" ref="AB148:AW148" si="257">AVERAGE(AA122:AB122)/AB141*365/4</f>
        <v>8.4578639844190633</v>
      </c>
      <c r="AC148" s="415">
        <f t="shared" si="257"/>
        <v>11.249059900330291</v>
      </c>
      <c r="AD148" s="1149">
        <f t="shared" si="257"/>
        <v>16.932036394202132</v>
      </c>
      <c r="AE148" s="415">
        <f t="shared" si="257"/>
        <v>35.772490665885627</v>
      </c>
      <c r="AF148" s="415">
        <f t="shared" si="257"/>
        <v>10.247934640574014</v>
      </c>
      <c r="AG148" s="415">
        <f t="shared" si="257"/>
        <v>14.739706072450694</v>
      </c>
      <c r="AH148" s="1149">
        <f t="shared" si="257"/>
        <v>17.536983582859389</v>
      </c>
      <c r="AI148" s="415">
        <f t="shared" si="257"/>
        <v>29.128494075018267</v>
      </c>
      <c r="AJ148" s="415">
        <f t="shared" si="257"/>
        <v>14.311041232455553</v>
      </c>
      <c r="AK148" s="415">
        <f t="shared" si="257"/>
        <v>16.575324195350191</v>
      </c>
      <c r="AL148" s="1149">
        <f t="shared" si="257"/>
        <v>18.503846793236775</v>
      </c>
      <c r="AM148" s="415">
        <f t="shared" si="257"/>
        <v>19.298424039639606</v>
      </c>
      <c r="AN148" s="415">
        <f t="shared" si="257"/>
        <v>19.773431698167037</v>
      </c>
      <c r="AO148" s="415">
        <f t="shared" si="257"/>
        <v>19.514919101175789</v>
      </c>
      <c r="AP148" s="1149">
        <f t="shared" si="257"/>
        <v>17.277839665684368</v>
      </c>
      <c r="AQ148" s="415">
        <f t="shared" si="257"/>
        <v>29.489389641509344</v>
      </c>
      <c r="AR148" s="415">
        <f t="shared" si="257"/>
        <v>36.262351987139915</v>
      </c>
      <c r="AS148" s="415">
        <f t="shared" si="257"/>
        <v>29.013445029890701</v>
      </c>
      <c r="AT148" s="1149">
        <f t="shared" si="257"/>
        <v>29.135227619841832</v>
      </c>
      <c r="AU148" s="415">
        <f t="shared" si="257"/>
        <v>31.522350772821049</v>
      </c>
      <c r="AV148" s="415">
        <f t="shared" si="257"/>
        <v>29.875312548250033</v>
      </c>
      <c r="AW148" s="415">
        <f t="shared" si="257"/>
        <v>27.416076157081545</v>
      </c>
      <c r="AX148" s="1376">
        <v>29</v>
      </c>
      <c r="AZ148" s="486">
        <f>AVERAGE(AZ122)/AZ141*365</f>
        <v>35.871320643801496</v>
      </c>
      <c r="BA148" s="415"/>
    </row>
    <row r="149" spans="1:80" ht="15">
      <c r="A149" s="1128" t="s">
        <v>576</v>
      </c>
      <c r="C149" s="408">
        <f t="shared" ref="C149:M149" si="258">C123/C7</f>
        <v>1.4894521447945954E-2</v>
      </c>
      <c r="D149" s="618">
        <f t="shared" si="258"/>
        <v>1.8495408555116454E-2</v>
      </c>
      <c r="E149" s="618">
        <f t="shared" si="258"/>
        <v>2.4270186331330414E-2</v>
      </c>
      <c r="F149" s="618">
        <f t="shared" si="258"/>
        <v>1.0268897902782018E-2</v>
      </c>
      <c r="G149" s="618">
        <f t="shared" si="258"/>
        <v>1.424214974315437E-2</v>
      </c>
      <c r="H149" s="618">
        <f t="shared" si="258"/>
        <v>1.3481079377609631E-2</v>
      </c>
      <c r="I149" s="618">
        <f t="shared" si="258"/>
        <v>1.1440315735484286E-2</v>
      </c>
      <c r="J149" s="618">
        <f t="shared" si="258"/>
        <v>1.8279654343639644E-2</v>
      </c>
      <c r="K149" s="618">
        <f t="shared" si="258"/>
        <v>2.6690373781059564E-2</v>
      </c>
      <c r="L149" s="618">
        <f t="shared" si="258"/>
        <v>3.7834842402253495E-2</v>
      </c>
      <c r="M149" s="675">
        <f t="shared" si="258"/>
        <v>3.4366936445264222E-2</v>
      </c>
      <c r="N149" s="640">
        <v>4.4999999999999998E-2</v>
      </c>
      <c r="O149" s="640">
        <f>N149</f>
        <v>4.4999999999999998E-2</v>
      </c>
      <c r="P149" s="640">
        <f>O149</f>
        <v>4.4999999999999998E-2</v>
      </c>
      <c r="Q149" s="640">
        <f>P149</f>
        <v>4.4999999999999998E-2</v>
      </c>
      <c r="R149" s="640">
        <f>Q149</f>
        <v>4.4999999999999998E-2</v>
      </c>
      <c r="S149" s="640">
        <f>R149</f>
        <v>4.4999999999999998E-2</v>
      </c>
      <c r="T149" s="618"/>
      <c r="V149" s="618"/>
      <c r="W149" s="618"/>
      <c r="X149" s="618"/>
      <c r="AB149" s="618">
        <f t="shared" ref="AB149:AW149" si="259">AB123/AB7/4</f>
        <v>1.4892389660027011E-2</v>
      </c>
      <c r="AC149" s="618">
        <f t="shared" si="259"/>
        <v>6.8262145885820804E-3</v>
      </c>
      <c r="AD149" s="992">
        <f t="shared" si="259"/>
        <v>1.0664311714510096E-2</v>
      </c>
      <c r="AE149" s="618">
        <f t="shared" si="259"/>
        <v>1.3774341610664003E-2</v>
      </c>
      <c r="AF149" s="618">
        <f t="shared" si="259"/>
        <v>9.2514822411737425E-3</v>
      </c>
      <c r="AG149" s="618">
        <f t="shared" si="259"/>
        <v>1.0899244918366966E-2</v>
      </c>
      <c r="AH149" s="992">
        <f t="shared" si="259"/>
        <v>1.6972809218703491E-2</v>
      </c>
      <c r="AI149" s="618">
        <f t="shared" si="259"/>
        <v>1.6919284616704441E-2</v>
      </c>
      <c r="AJ149" s="618">
        <f t="shared" si="259"/>
        <v>1.070523792457505E-2</v>
      </c>
      <c r="AK149" s="618">
        <f t="shared" si="259"/>
        <v>1.2834263397124557E-2</v>
      </c>
      <c r="AL149" s="992">
        <f t="shared" si="259"/>
        <v>2.1547680255414856E-2</v>
      </c>
      <c r="AM149" s="618">
        <f t="shared" si="259"/>
        <v>2.1761391087691859E-2</v>
      </c>
      <c r="AN149" s="618">
        <f t="shared" si="259"/>
        <v>3.3078551158538451E-2</v>
      </c>
      <c r="AO149" s="618">
        <f t="shared" si="259"/>
        <v>3.8274214289381436E-2</v>
      </c>
      <c r="AP149" s="992">
        <f t="shared" si="259"/>
        <v>2.4983929047493261E-2</v>
      </c>
      <c r="AQ149" s="618">
        <f t="shared" si="259"/>
        <v>3.0951835412837261E-2</v>
      </c>
      <c r="AR149" s="618">
        <f t="shared" si="259"/>
        <v>5.5159101726829834E-2</v>
      </c>
      <c r="AS149" s="618">
        <f t="shared" si="259"/>
        <v>2.2905080818159389E-2</v>
      </c>
      <c r="AT149" s="992">
        <f t="shared" si="259"/>
        <v>4.6434645708897264E-2</v>
      </c>
      <c r="AU149" s="618">
        <f t="shared" si="259"/>
        <v>2.7423948054719729E-2</v>
      </c>
      <c r="AV149" s="618">
        <f t="shared" si="259"/>
        <v>3.2263083045279375E-2</v>
      </c>
      <c r="AW149" s="618">
        <f t="shared" si="259"/>
        <v>3.516782565641189E-2</v>
      </c>
      <c r="AX149" s="1379">
        <f>AW149</f>
        <v>3.516782565641189E-2</v>
      </c>
      <c r="AZ149" s="408">
        <f>AZ123/AZ7</f>
        <v>4.296099460153386E-2</v>
      </c>
    </row>
    <row r="150" spans="1:80" ht="15">
      <c r="C150" s="43"/>
      <c r="D150" s="43"/>
      <c r="E150" s="43"/>
      <c r="F150" s="43"/>
      <c r="G150" s="43"/>
    </row>
    <row r="151" spans="1:80" ht="15">
      <c r="A151" s="1128" t="s">
        <v>577</v>
      </c>
      <c r="C151" s="415">
        <f t="shared" ref="C151:I151" si="260">C144+C145-C148</f>
        <v>85.888813683673305</v>
      </c>
      <c r="D151" s="415">
        <f t="shared" si="260"/>
        <v>55.62001363741058</v>
      </c>
      <c r="E151" s="415">
        <f t="shared" si="260"/>
        <v>52.348500406120777</v>
      </c>
      <c r="F151" s="415">
        <f t="shared" si="260"/>
        <v>76.806519048642173</v>
      </c>
      <c r="G151" s="415">
        <f t="shared" si="260"/>
        <v>83.319313573791391</v>
      </c>
      <c r="H151" s="415">
        <f t="shared" si="260"/>
        <v>97.647547801290315</v>
      </c>
      <c r="I151" s="415">
        <f t="shared" si="260"/>
        <v>81.680075786536307</v>
      </c>
      <c r="J151" s="415">
        <f t="shared" ref="J151:S151" si="261">J144+J145-J148</f>
        <v>60.929980508815255</v>
      </c>
      <c r="K151" s="415">
        <f t="shared" si="261"/>
        <v>33.48507083790534</v>
      </c>
      <c r="L151" s="415">
        <f t="shared" si="261"/>
        <v>28.202132996550773</v>
      </c>
      <c r="M151" s="1147">
        <f t="shared" si="261"/>
        <v>47.229110506429613</v>
      </c>
      <c r="N151" s="415">
        <f>N144+N145-N148</f>
        <v>62.261055760373722</v>
      </c>
      <c r="O151" s="415">
        <f t="shared" si="261"/>
        <v>57.530960966237927</v>
      </c>
      <c r="P151" s="415">
        <f t="shared" si="261"/>
        <v>55.617083304419793</v>
      </c>
      <c r="Q151" s="415">
        <f t="shared" si="261"/>
        <v>52.803439228151035</v>
      </c>
      <c r="R151" s="415">
        <f t="shared" si="261"/>
        <v>49.854109023716688</v>
      </c>
      <c r="S151" s="415">
        <f t="shared" si="261"/>
        <v>46.598255767254457</v>
      </c>
      <c r="T151" s="415"/>
      <c r="U151" s="415"/>
      <c r="V151" s="415"/>
      <c r="W151" s="415"/>
      <c r="X151" s="415"/>
      <c r="Y151" s="415"/>
      <c r="AB151" s="415">
        <f>AB144+AB145-AB148</f>
        <v>71.67353193974607</v>
      </c>
      <c r="AC151" s="415">
        <f>AC144+AC145-AC148</f>
        <v>58.54915113106243</v>
      </c>
      <c r="AD151" s="1149">
        <f>AD144+AD145-AD148</f>
        <v>85.303007209687166</v>
      </c>
      <c r="AE151" s="415">
        <f>AE144+AE145-AE148</f>
        <v>83.20119748886664</v>
      </c>
      <c r="AF151" s="415">
        <f t="shared" ref="AF151:AZ151" si="262">AF144+AF145-AF148</f>
        <v>69.619003761491498</v>
      </c>
      <c r="AG151" s="415">
        <f t="shared" si="262"/>
        <v>51.114783585136301</v>
      </c>
      <c r="AH151" s="1149">
        <f t="shared" si="262"/>
        <v>55.470541020692281</v>
      </c>
      <c r="AI151" s="415">
        <f t="shared" si="262"/>
        <v>46.498920214074744</v>
      </c>
      <c r="AJ151" s="415">
        <f t="shared" si="262"/>
        <v>47.404301591255845</v>
      </c>
      <c r="AK151" s="415">
        <f t="shared" si="262"/>
        <v>30.651908193385424</v>
      </c>
      <c r="AL151" s="1149">
        <f t="shared" si="262"/>
        <v>26.379467069716767</v>
      </c>
      <c r="AM151" s="415">
        <f t="shared" si="262"/>
        <v>20.429194125251804</v>
      </c>
      <c r="AN151" s="415">
        <f t="shared" si="262"/>
        <v>29.89275060852777</v>
      </c>
      <c r="AO151" s="415">
        <f t="shared" si="262"/>
        <v>43.146951211437283</v>
      </c>
      <c r="AP151" s="1149">
        <f t="shared" si="262"/>
        <v>28.439509493628748</v>
      </c>
      <c r="AQ151" s="415">
        <f t="shared" si="262"/>
        <v>40.916212957571219</v>
      </c>
      <c r="AR151" s="415">
        <f t="shared" si="262"/>
        <v>72.470545850937981</v>
      </c>
      <c r="AS151" s="415">
        <f t="shared" si="262"/>
        <v>53.404753755622551</v>
      </c>
      <c r="AT151" s="1149">
        <f t="shared" si="262"/>
        <v>89.481741437846665</v>
      </c>
      <c r="AU151" s="415">
        <f t="shared" si="262"/>
        <v>88.242301203823814</v>
      </c>
      <c r="AV151" s="415">
        <f t="shared" si="262"/>
        <v>75.292280565326521</v>
      </c>
      <c r="AW151" s="415">
        <f>AW144+AW145-AW148</f>
        <v>57.79281130394277</v>
      </c>
      <c r="AX151" s="1147">
        <f>AX144+AX145-AX148</f>
        <v>51</v>
      </c>
      <c r="AZ151" s="415">
        <f t="shared" si="262"/>
        <v>62.261055760373722</v>
      </c>
    </row>
    <row r="152" spans="1:80" ht="15">
      <c r="C152" s="415"/>
      <c r="D152" s="415"/>
      <c r="E152" s="415"/>
      <c r="F152" s="415"/>
      <c r="G152" s="415"/>
      <c r="H152" s="415"/>
      <c r="I152" s="415"/>
      <c r="J152" s="415"/>
      <c r="K152" s="415"/>
      <c r="L152" s="415"/>
      <c r="M152" s="1147"/>
      <c r="N152" s="415"/>
      <c r="O152" s="415"/>
      <c r="P152" s="415"/>
      <c r="Q152" s="415"/>
      <c r="R152" s="415"/>
      <c r="S152" s="415"/>
      <c r="T152" s="415"/>
      <c r="U152" s="415"/>
      <c r="V152" s="415"/>
      <c r="W152" s="415"/>
      <c r="X152" s="415"/>
      <c r="Y152" s="415"/>
      <c r="AB152" s="415"/>
      <c r="AC152" s="415"/>
      <c r="AD152" s="1149"/>
      <c r="AE152" s="415"/>
      <c r="AF152" s="415"/>
      <c r="AG152" s="415"/>
      <c r="AH152" s="1149"/>
      <c r="AI152" s="415"/>
      <c r="AJ152" s="415"/>
      <c r="AK152" s="415"/>
      <c r="AL152" s="1149"/>
      <c r="AM152" s="415"/>
      <c r="AN152" s="415"/>
      <c r="AO152" s="415"/>
      <c r="AP152" s="1149"/>
      <c r="AQ152" s="415"/>
      <c r="AR152" s="415"/>
      <c r="AS152" s="415"/>
      <c r="AT152" s="1149"/>
      <c r="AU152" s="415"/>
      <c r="AV152" s="415"/>
      <c r="AW152" s="415"/>
      <c r="AX152" s="1147"/>
    </row>
    <row r="153" spans="1:80" ht="15">
      <c r="A153" s="1128" t="s">
        <v>578</v>
      </c>
      <c r="C153" s="57">
        <f t="shared" ref="C153:S153" si="263">C104/C7</f>
        <v>0.10276546997364129</v>
      </c>
      <c r="D153" s="601">
        <f t="shared" si="263"/>
        <v>9.1591504594096734E-2</v>
      </c>
      <c r="E153" s="601">
        <f t="shared" si="263"/>
        <v>6.4494134723362309E-2</v>
      </c>
      <c r="F153" s="601">
        <f t="shared" si="263"/>
        <v>8.302599460403258E-2</v>
      </c>
      <c r="G153" s="601">
        <f t="shared" si="263"/>
        <v>9.4968064655679349E-2</v>
      </c>
      <c r="H153" s="601">
        <f t="shared" si="263"/>
        <v>0.12620689390948325</v>
      </c>
      <c r="I153" s="601">
        <f t="shared" si="263"/>
        <v>0.10119391263129569</v>
      </c>
      <c r="J153" s="601">
        <f t="shared" si="263"/>
        <v>6.887760979326947E-2</v>
      </c>
      <c r="K153" s="601">
        <f t="shared" si="263"/>
        <v>9.0242258269318559E-2</v>
      </c>
      <c r="L153" s="601">
        <f t="shared" si="263"/>
        <v>8.5376548464600119E-2</v>
      </c>
      <c r="M153" s="674">
        <f t="shared" si="263"/>
        <v>7.1671102079562149E-2</v>
      </c>
      <c r="N153" s="601">
        <f t="shared" si="263"/>
        <v>0.10040542985736386</v>
      </c>
      <c r="O153" s="601">
        <f t="shared" si="263"/>
        <v>9.0410958904109592E-2</v>
      </c>
      <c r="P153" s="601">
        <f t="shared" si="263"/>
        <v>8.5616438356164393E-2</v>
      </c>
      <c r="Q153" s="601">
        <f t="shared" si="263"/>
        <v>8.0821917808219179E-2</v>
      </c>
      <c r="R153" s="601">
        <f t="shared" si="263"/>
        <v>7.6027397260273966E-2</v>
      </c>
      <c r="S153" s="601">
        <f t="shared" si="263"/>
        <v>7.1232876712328752E-2</v>
      </c>
      <c r="T153" s="601"/>
      <c r="U153" s="601"/>
      <c r="V153" s="601"/>
      <c r="W153" s="601"/>
      <c r="X153" s="415"/>
      <c r="Y153" s="415"/>
      <c r="AB153" s="601">
        <f t="shared" ref="AB153:AX153" si="264">AB104/AB7</f>
        <v>0.35358847896618339</v>
      </c>
      <c r="AC153" s="601">
        <f t="shared" si="264"/>
        <v>0.4369741580240144</v>
      </c>
      <c r="AD153" s="993">
        <f t="shared" si="264"/>
        <v>0.38521947370975546</v>
      </c>
      <c r="AE153" s="601">
        <f t="shared" si="264"/>
        <v>0.45369549138946369</v>
      </c>
      <c r="AF153" s="601">
        <f t="shared" si="264"/>
        <v>0.4400159362088169</v>
      </c>
      <c r="AG153" s="601">
        <f t="shared" si="264"/>
        <v>0.36010919867424684</v>
      </c>
      <c r="AH153" s="993">
        <f t="shared" si="264"/>
        <v>0.2280534895777116</v>
      </c>
      <c r="AI153" s="601">
        <f t="shared" si="264"/>
        <v>0.34033881670386168</v>
      </c>
      <c r="AJ153" s="601">
        <f t="shared" si="264"/>
        <v>0.27671415919776299</v>
      </c>
      <c r="AK153" s="601">
        <f t="shared" si="264"/>
        <v>0.30056586094100979</v>
      </c>
      <c r="AL153" s="993">
        <f t="shared" si="264"/>
        <v>0.28129750177063312</v>
      </c>
      <c r="AM153" s="601">
        <f t="shared" si="264"/>
        <v>0.32638776275136067</v>
      </c>
      <c r="AN153" s="601">
        <f t="shared" si="264"/>
        <v>0.28156259969189046</v>
      </c>
      <c r="AO153" s="601">
        <f t="shared" si="264"/>
        <v>0.52511801251592582</v>
      </c>
      <c r="AP153" s="993">
        <f t="shared" si="264"/>
        <v>0.23154569185024043</v>
      </c>
      <c r="AQ153" s="601">
        <f t="shared" si="264"/>
        <v>0.31002533612431638</v>
      </c>
      <c r="AR153" s="601">
        <f t="shared" si="264"/>
        <v>0.43544738276598227</v>
      </c>
      <c r="AS153" s="601">
        <f t="shared" si="264"/>
        <v>0.37254128485524429</v>
      </c>
      <c r="AT153" s="993">
        <f t="shared" si="264"/>
        <v>0.38738679240964058</v>
      </c>
      <c r="AU153" s="601">
        <f t="shared" si="264"/>
        <v>0.52673461788839249</v>
      </c>
      <c r="AV153" s="601">
        <f t="shared" si="264"/>
        <v>0.51263550894943399</v>
      </c>
      <c r="AW153" s="601">
        <f t="shared" si="264"/>
        <v>0.46940377921799598</v>
      </c>
      <c r="AX153" s="674">
        <f t="shared" si="264"/>
        <v>0.32876712328767127</v>
      </c>
      <c r="AZ153" s="601">
        <f>AZ104/AZ7</f>
        <v>0.10040542985736386</v>
      </c>
    </row>
    <row r="154" spans="1:80" ht="15">
      <c r="A154" s="1128" t="s">
        <v>579</v>
      </c>
      <c r="C154" s="57">
        <f t="shared" ref="C154:S154" si="265">-C105/C10</f>
        <v>0.23283926834552771</v>
      </c>
      <c r="D154" s="601">
        <f t="shared" si="265"/>
        <v>0.13301220431679808</v>
      </c>
      <c r="E154" s="601">
        <f t="shared" si="265"/>
        <v>0.15949177538313075</v>
      </c>
      <c r="F154" s="601">
        <f t="shared" si="265"/>
        <v>0.16999107018051923</v>
      </c>
      <c r="G154" s="601">
        <f t="shared" si="265"/>
        <v>0.20067798364157186</v>
      </c>
      <c r="H154" s="601">
        <f t="shared" si="265"/>
        <v>0.24900934641249831</v>
      </c>
      <c r="I154" s="601">
        <f t="shared" si="265"/>
        <v>0.23600317260686543</v>
      </c>
      <c r="J154" s="601">
        <f t="shared" si="265"/>
        <v>0.18308015646904324</v>
      </c>
      <c r="K154" s="601">
        <f t="shared" si="265"/>
        <v>7.0517460383105274E-2</v>
      </c>
      <c r="L154" s="601">
        <f t="shared" si="265"/>
        <v>0.14875808163916016</v>
      </c>
      <c r="M154" s="674">
        <f t="shared" si="265"/>
        <v>0.15980026690640056</v>
      </c>
      <c r="N154" s="601">
        <f t="shared" si="265"/>
        <v>0.16845039590749974</v>
      </c>
      <c r="O154" s="601">
        <f t="shared" si="265"/>
        <v>0.14939989305818613</v>
      </c>
      <c r="P154" s="601">
        <f t="shared" si="265"/>
        <v>0.14621118713539669</v>
      </c>
      <c r="Q154" s="601">
        <f t="shared" si="265"/>
        <v>0.14055736774835897</v>
      </c>
      <c r="R154" s="601">
        <f t="shared" si="265"/>
        <v>0.13453180554442926</v>
      </c>
      <c r="S154" s="601">
        <f t="shared" si="265"/>
        <v>0.12766645415686154</v>
      </c>
      <c r="T154" s="601"/>
      <c r="U154" s="601"/>
      <c r="V154" s="601"/>
      <c r="W154" s="601"/>
      <c r="X154" s="415"/>
      <c r="Y154" s="415"/>
      <c r="AB154" s="601">
        <f t="shared" ref="AB154:AX154" si="266">-AB105/AB10</f>
        <v>0.51623101346185174</v>
      </c>
      <c r="AC154" s="601">
        <f t="shared" si="266"/>
        <v>0.40762229921746407</v>
      </c>
      <c r="AD154" s="993">
        <f t="shared" si="266"/>
        <v>0.90671410824687171</v>
      </c>
      <c r="AE154" s="601">
        <f t="shared" si="266"/>
        <v>0.69815246002832165</v>
      </c>
      <c r="AF154" s="601">
        <f t="shared" si="266"/>
        <v>0.5204539729285097</v>
      </c>
      <c r="AG154" s="601">
        <f t="shared" si="266"/>
        <v>0.3443393779987764</v>
      </c>
      <c r="AH154" s="993">
        <f t="shared" si="266"/>
        <v>0.6361121185745755</v>
      </c>
      <c r="AI154" s="601">
        <f t="shared" si="266"/>
        <v>0.38565782734707288</v>
      </c>
      <c r="AJ154" s="601">
        <f t="shared" si="266"/>
        <v>0.42544703556461033</v>
      </c>
      <c r="AK154" s="601">
        <f t="shared" si="266"/>
        <v>0.23441868273440791</v>
      </c>
      <c r="AL154" s="993">
        <f t="shared" si="266"/>
        <v>0.21989055187548098</v>
      </c>
      <c r="AM154" s="601">
        <f t="shared" si="266"/>
        <v>0.14216128674234169</v>
      </c>
      <c r="AN154" s="601">
        <f t="shared" si="266"/>
        <v>0.24921002262404496</v>
      </c>
      <c r="AO154" s="601">
        <f t="shared" si="266"/>
        <v>0.26328229276559445</v>
      </c>
      <c r="AP154" s="993">
        <f t="shared" si="266"/>
        <v>0.38898686744493899</v>
      </c>
      <c r="AQ154" s="601">
        <f t="shared" si="266"/>
        <v>0.53685349548617534</v>
      </c>
      <c r="AR154" s="601">
        <f t="shared" si="266"/>
        <v>0.74001144376231665</v>
      </c>
      <c r="AS154" s="601">
        <f t="shared" si="266"/>
        <v>0.48117907908997165</v>
      </c>
      <c r="AT154" s="993">
        <f t="shared" si="266"/>
        <v>0.90265406418167926</v>
      </c>
      <c r="AU154" s="601">
        <f t="shared" si="266"/>
        <v>0.8198453578125463</v>
      </c>
      <c r="AV154" s="601">
        <f t="shared" si="266"/>
        <v>0.61695135175891547</v>
      </c>
      <c r="AW154" s="601">
        <f t="shared" si="266"/>
        <v>0.44721674171426756</v>
      </c>
      <c r="AX154" s="674">
        <f t="shared" si="266"/>
        <v>0.54794520547945202</v>
      </c>
      <c r="AZ154" s="601">
        <f>-AZ105/AZ10</f>
        <v>0.16845039590749974</v>
      </c>
    </row>
    <row r="155" spans="1:80" ht="15">
      <c r="A155" s="1128" t="s">
        <v>580</v>
      </c>
      <c r="C155" s="57">
        <f t="shared" ref="C155:S155" si="267">C122/C141</f>
        <v>0.10029292000773531</v>
      </c>
      <c r="D155" s="601">
        <f t="shared" si="267"/>
        <v>6.4291297390755675E-2</v>
      </c>
      <c r="E155" s="601">
        <f t="shared" si="267"/>
        <v>4.1855682090976107E-2</v>
      </c>
      <c r="F155" s="601">
        <f t="shared" si="267"/>
        <v>3.9519578065269068E-2</v>
      </c>
      <c r="G155" s="601">
        <f t="shared" si="267"/>
        <v>7.6550718032801099E-2</v>
      </c>
      <c r="H155" s="601">
        <f t="shared" si="267"/>
        <v>6.1766234716928173E-2</v>
      </c>
      <c r="I155" s="601">
        <f t="shared" si="267"/>
        <v>9.1186637374597646E-2</v>
      </c>
      <c r="J155" s="601">
        <f t="shared" si="267"/>
        <v>8.6680760357331521E-2</v>
      </c>
      <c r="K155" s="601">
        <f t="shared" si="267"/>
        <v>8.4757882397994783E-2</v>
      </c>
      <c r="L155" s="601">
        <f t="shared" si="267"/>
        <v>0.1324508487607986</v>
      </c>
      <c r="M155" s="674">
        <f t="shared" si="267"/>
        <v>5.8385301847648854E-2</v>
      </c>
      <c r="N155" s="601">
        <f t="shared" si="267"/>
        <v>9.8277590804935588E-2</v>
      </c>
      <c r="O155" s="601">
        <f t="shared" si="267"/>
        <v>8.2191780821917804E-2</v>
      </c>
      <c r="P155" s="601">
        <f t="shared" si="267"/>
        <v>7.9452054794520555E-2</v>
      </c>
      <c r="Q155" s="601">
        <f t="shared" si="267"/>
        <v>7.6712328767123292E-2</v>
      </c>
      <c r="R155" s="601">
        <f>R122/R141</f>
        <v>7.3972602739726029E-2</v>
      </c>
      <c r="S155" s="601">
        <f t="shared" si="267"/>
        <v>7.1232876712328766E-2</v>
      </c>
      <c r="T155" s="601"/>
      <c r="U155" s="601"/>
      <c r="V155" s="601"/>
      <c r="W155" s="601"/>
      <c r="X155" s="415"/>
      <c r="Y155" s="415"/>
      <c r="AB155" s="601">
        <f t="shared" ref="AB155:AX155" si="268">AB122/AB141</f>
        <v>0.12821568220545534</v>
      </c>
      <c r="AC155" s="601">
        <f t="shared" si="268"/>
        <v>0.1402332589386785</v>
      </c>
      <c r="AD155" s="993">
        <f t="shared" si="268"/>
        <v>0.26128425260893451</v>
      </c>
      <c r="AE155" s="601">
        <f t="shared" si="268"/>
        <v>0.16126873982594814</v>
      </c>
      <c r="AF155" s="601">
        <f t="shared" si="268"/>
        <v>0.15226015461721384</v>
      </c>
      <c r="AG155" s="601">
        <f t="shared" si="268"/>
        <v>0.19311639502925998</v>
      </c>
      <c r="AH155" s="993">
        <f t="shared" si="268"/>
        <v>0.23561716770847393</v>
      </c>
      <c r="AI155" s="601">
        <f t="shared" si="268"/>
        <v>0.17625697862653</v>
      </c>
      <c r="AJ155" s="601">
        <f t="shared" si="268"/>
        <v>0.2110373803809085</v>
      </c>
      <c r="AK155" s="601">
        <f t="shared" si="268"/>
        <v>0.18909735058029536</v>
      </c>
      <c r="AL155" s="993">
        <f t="shared" si="268"/>
        <v>0.24807856010068999</v>
      </c>
      <c r="AM155" s="601">
        <f t="shared" si="268"/>
        <v>0.21502503000363585</v>
      </c>
      <c r="AN155" s="601">
        <f t="shared" si="268"/>
        <v>0.2027871589518645</v>
      </c>
      <c r="AO155" s="601">
        <f t="shared" si="268"/>
        <v>0.18393493438982414</v>
      </c>
      <c r="AP155" s="993">
        <f t="shared" si="268"/>
        <v>0.30862200491203462</v>
      </c>
      <c r="AQ155" s="601">
        <f t="shared" si="268"/>
        <v>0.25191027824513412</v>
      </c>
      <c r="AR155" s="601">
        <f t="shared" si="268"/>
        <v>0.38877249775529571</v>
      </c>
      <c r="AS155" s="601">
        <f t="shared" si="268"/>
        <v>0.28702092971333221</v>
      </c>
      <c r="AT155" s="993">
        <f t="shared" si="268"/>
        <v>0.29263167867672801</v>
      </c>
      <c r="AU155" s="601">
        <f t="shared" si="268"/>
        <v>0.34282490982971447</v>
      </c>
      <c r="AV155" s="601">
        <f t="shared" si="268"/>
        <v>0.33797603838278151</v>
      </c>
      <c r="AW155" s="601">
        <f t="shared" si="268"/>
        <v>0.32935285537775666</v>
      </c>
      <c r="AX155" s="674">
        <f t="shared" si="268"/>
        <v>0.27488160432140363</v>
      </c>
      <c r="AZ155" s="601">
        <f>AZ122/AZ141</f>
        <v>9.8277590804935616E-2</v>
      </c>
    </row>
    <row r="156" spans="1:80" ht="15">
      <c r="C156" s="57"/>
      <c r="D156" s="601"/>
      <c r="E156" s="601"/>
      <c r="F156" s="601"/>
      <c r="G156" s="601"/>
      <c r="H156" s="601"/>
      <c r="I156" s="601"/>
      <c r="J156" s="601"/>
      <c r="K156" s="601"/>
      <c r="L156" s="601"/>
      <c r="M156" s="674"/>
      <c r="N156" s="601"/>
      <c r="O156" s="601"/>
      <c r="P156" s="601"/>
      <c r="Q156" s="601"/>
      <c r="R156" s="601"/>
      <c r="S156" s="601"/>
      <c r="T156" s="601"/>
      <c r="U156" s="601"/>
      <c r="V156" s="601"/>
      <c r="W156" s="601"/>
      <c r="X156" s="415"/>
      <c r="Y156" s="415"/>
      <c r="AB156" s="601"/>
      <c r="AC156" s="601"/>
      <c r="AD156" s="993"/>
      <c r="AE156" s="601"/>
      <c r="AF156" s="601"/>
      <c r="AG156" s="601"/>
      <c r="AH156" s="993"/>
      <c r="AI156" s="601"/>
      <c r="AJ156" s="601"/>
      <c r="AK156" s="601"/>
      <c r="AL156" s="993"/>
      <c r="AM156" s="601"/>
      <c r="AN156" s="601"/>
      <c r="AO156" s="601"/>
      <c r="AP156" s="993"/>
      <c r="AQ156" s="601"/>
      <c r="AR156" s="601"/>
      <c r="AS156" s="601"/>
      <c r="AT156" s="993"/>
      <c r="AU156" s="601"/>
      <c r="AV156" s="601"/>
      <c r="AW156" s="601"/>
      <c r="AX156" s="674"/>
      <c r="AZ156" s="601"/>
    </row>
    <row r="157" spans="1:80" ht="15">
      <c r="I157" s="415"/>
      <c r="J157" s="415"/>
      <c r="K157" s="415"/>
      <c r="L157" s="415"/>
      <c r="M157" s="1147"/>
      <c r="N157" s="415"/>
      <c r="O157" s="415"/>
      <c r="P157" s="415"/>
      <c r="Q157" s="415"/>
      <c r="R157" s="415"/>
      <c r="S157" s="415"/>
      <c r="T157" s="415"/>
      <c r="U157" s="415"/>
      <c r="V157" s="415"/>
      <c r="W157" s="415"/>
      <c r="X157" s="415"/>
      <c r="Y157" s="415"/>
      <c r="AW157" s="415"/>
      <c r="AX157" s="1147"/>
    </row>
    <row r="158" spans="1:80" s="1194" customFormat="1" ht="15">
      <c r="A158" s="385" t="s">
        <v>581</v>
      </c>
      <c r="B158" s="441"/>
      <c r="C158" s="441"/>
      <c r="D158" s="441"/>
      <c r="E158" s="441"/>
      <c r="F158" s="441"/>
      <c r="G158" s="441"/>
      <c r="M158" s="1373"/>
      <c r="T158" s="43"/>
      <c r="U158" s="43"/>
      <c r="V158" s="43"/>
      <c r="W158" s="43"/>
      <c r="X158" s="43"/>
      <c r="Y158" s="43"/>
      <c r="Z158" s="43"/>
      <c r="AD158" s="1374"/>
      <c r="AH158" s="1374"/>
      <c r="AL158" s="1374"/>
      <c r="AP158" s="1374"/>
      <c r="AT158" s="1374"/>
      <c r="AX158" s="1373"/>
      <c r="BI158" s="1374"/>
      <c r="BM158" s="1374"/>
      <c r="BQ158" s="1374"/>
      <c r="BU158" s="1374"/>
      <c r="BY158" s="1374"/>
      <c r="CB158" s="1374"/>
    </row>
    <row r="159" spans="1:80" ht="15">
      <c r="A159" s="511"/>
      <c r="B159" s="410"/>
      <c r="C159" s="410"/>
      <c r="D159" s="410"/>
      <c r="E159" s="410"/>
      <c r="F159" s="410"/>
      <c r="G159" s="410"/>
    </row>
    <row r="160" spans="1:80" ht="15">
      <c r="A160" s="511" t="s">
        <v>582</v>
      </c>
      <c r="B160" s="410"/>
      <c r="C160" s="410"/>
      <c r="D160" s="410"/>
      <c r="E160" s="410"/>
      <c r="F160" s="410"/>
      <c r="G160" s="410"/>
    </row>
    <row r="161" spans="1:80" ht="15">
      <c r="A161" s="1128" t="s">
        <v>583</v>
      </c>
      <c r="C161" s="1364">
        <f t="shared" ref="C161:S161" si="269">B166</f>
        <v>0</v>
      </c>
      <c r="D161" s="1371">
        <f t="shared" si="269"/>
        <v>77.324813215999995</v>
      </c>
      <c r="E161" s="1371">
        <f t="shared" si="269"/>
        <v>80.096571736000001</v>
      </c>
      <c r="F161" s="1371">
        <f t="shared" si="269"/>
        <v>83.374408181000007</v>
      </c>
      <c r="G161" s="1371">
        <f t="shared" si="269"/>
        <v>81.294875481999995</v>
      </c>
      <c r="H161" s="1371">
        <f t="shared" si="269"/>
        <v>84.785964919999998</v>
      </c>
      <c r="I161" s="1371">
        <f t="shared" si="269"/>
        <v>83.693439034999997</v>
      </c>
      <c r="J161" s="1371">
        <f t="shared" si="269"/>
        <v>84.394526209999995</v>
      </c>
      <c r="K161" s="1371">
        <f t="shared" si="269"/>
        <v>81.415131195000001</v>
      </c>
      <c r="L161" s="1371">
        <f t="shared" si="269"/>
        <v>88.270746954999993</v>
      </c>
      <c r="M161" s="1370">
        <f t="shared" si="269"/>
        <v>94.48366897599999</v>
      </c>
      <c r="N161" s="1364">
        <f t="shared" si="269"/>
        <v>95.633913127999989</v>
      </c>
      <c r="O161" s="1364">
        <f t="shared" si="269"/>
        <v>112.48873688767497</v>
      </c>
      <c r="P161" s="1364">
        <f t="shared" si="269"/>
        <v>125.00465721500349</v>
      </c>
      <c r="Q161" s="1364">
        <f t="shared" si="269"/>
        <v>139.43037184424279</v>
      </c>
      <c r="R161" s="1364">
        <f t="shared" si="269"/>
        <v>155.39934138433563</v>
      </c>
      <c r="S161" s="1364">
        <f t="shared" si="269"/>
        <v>173.0608490713702</v>
      </c>
      <c r="T161" s="1364"/>
      <c r="U161" s="1364"/>
      <c r="V161" s="1364"/>
      <c r="W161" s="1364"/>
      <c r="X161" s="1364"/>
      <c r="AB161" s="1364">
        <f>AA166</f>
        <v>83.915887550999997</v>
      </c>
      <c r="AC161" s="1364">
        <f>AB166</f>
        <v>83.778863731000001</v>
      </c>
      <c r="AD161" s="1365">
        <f>AC166</f>
        <v>84.349655073000008</v>
      </c>
      <c r="AE161" s="1364">
        <f t="shared" ref="AE161:AX161" si="270">AD166</f>
        <v>84.394526209999995</v>
      </c>
      <c r="AF161" s="1364">
        <f t="shared" si="270"/>
        <v>83.430385994000005</v>
      </c>
      <c r="AG161" s="1364">
        <f t="shared" si="270"/>
        <v>83.226666727999998</v>
      </c>
      <c r="AH161" s="1365">
        <f t="shared" si="270"/>
        <v>82.458986030000005</v>
      </c>
      <c r="AI161" s="1364">
        <f t="shared" si="270"/>
        <v>81.679932860999998</v>
      </c>
      <c r="AJ161" s="1364">
        <f t="shared" si="270"/>
        <v>80.304383474999995</v>
      </c>
      <c r="AK161" s="1364">
        <f t="shared" si="270"/>
        <v>83.001564196999993</v>
      </c>
      <c r="AL161" s="1365">
        <f t="shared" si="270"/>
        <v>82.212760712000005</v>
      </c>
      <c r="AM161" s="1364">
        <f t="shared" si="270"/>
        <v>88.270746954999993</v>
      </c>
      <c r="AN161" s="1364">
        <f t="shared" si="270"/>
        <v>86.881040814000002</v>
      </c>
      <c r="AO161" s="1364">
        <f t="shared" si="270"/>
        <v>85.491334676999998</v>
      </c>
      <c r="AP161" s="1365">
        <f t="shared" si="270"/>
        <v>84.257745206999999</v>
      </c>
      <c r="AQ161" s="1364">
        <f t="shared" si="270"/>
        <v>94.48366897599999</v>
      </c>
      <c r="AR161" s="1364">
        <f t="shared" si="270"/>
        <v>93.204808329000002</v>
      </c>
      <c r="AS161" s="1364">
        <f t="shared" si="270"/>
        <v>92.975680871999998</v>
      </c>
      <c r="AT161" s="1365">
        <f t="shared" si="270"/>
        <v>93.811210957</v>
      </c>
      <c r="AU161" s="1364">
        <f t="shared" si="270"/>
        <v>95.633913127999989</v>
      </c>
      <c r="AV161" s="1364">
        <f t="shared" si="270"/>
        <v>93.400538511000008</v>
      </c>
      <c r="AW161" s="1364">
        <f>AV166</f>
        <v>108.457202153</v>
      </c>
      <c r="AX161" s="1368">
        <f t="shared" si="270"/>
        <v>110.97999999999999</v>
      </c>
      <c r="AZ161" s="1364">
        <f>AU161</f>
        <v>95.633913127999989</v>
      </c>
    </row>
    <row r="162" spans="1:80" ht="15">
      <c r="A162" s="1128" t="s">
        <v>584</v>
      </c>
      <c r="B162" s="1381"/>
      <c r="C162" s="1382">
        <f>C166+C164-C161</f>
        <v>80.346051023000001</v>
      </c>
      <c r="D162" s="1371">
        <f t="shared" ref="D162:J162" si="271">D166+D164-D161</f>
        <v>6.1886207640000066</v>
      </c>
      <c r="E162" s="1371">
        <f t="shared" si="271"/>
        <v>6.2319187070000055</v>
      </c>
      <c r="F162" s="1371">
        <f t="shared" si="271"/>
        <v>1.1721431599999903</v>
      </c>
      <c r="G162" s="1371">
        <f t="shared" si="271"/>
        <v>7.4950244230000038</v>
      </c>
      <c r="H162" s="1371">
        <f t="shared" si="271"/>
        <v>3.7079333289999994</v>
      </c>
      <c r="I162" s="1371">
        <f t="shared" si="271"/>
        <v>6.1627376959999935</v>
      </c>
      <c r="J162" s="1371">
        <f t="shared" si="271"/>
        <v>0.83727022000000773</v>
      </c>
      <c r="K162" s="1371">
        <f>K166+K164-K161</f>
        <v>12.567233870999999</v>
      </c>
      <c r="L162" s="1371">
        <f>L166+L164-L161</f>
        <v>11.927279145</v>
      </c>
      <c r="M162" s="1370">
        <f>M166+M164-M161</f>
        <v>14.373131479999998</v>
      </c>
      <c r="N162" s="415">
        <f t="shared" ref="N162:S162" si="272">N163*N7</f>
        <v>29.7906092342938</v>
      </c>
      <c r="O162" s="415">
        <f t="shared" si="272"/>
        <v>26.890989990313763</v>
      </c>
      <c r="P162" s="415">
        <f t="shared" si="272"/>
        <v>30.459687707134851</v>
      </c>
      <c r="Q162" s="415">
        <f t="shared" si="272"/>
        <v>33.839314595634775</v>
      </c>
      <c r="R162" s="415">
        <f t="shared" si="272"/>
        <v>37.562860298701381</v>
      </c>
      <c r="S162" s="415">
        <f t="shared" si="272"/>
        <v>41.666096527447102</v>
      </c>
      <c r="T162" s="415"/>
      <c r="U162" s="415"/>
      <c r="V162" s="415"/>
      <c r="W162" s="415"/>
      <c r="X162" s="415"/>
      <c r="AB162" s="415">
        <f t="shared" ref="AB162:AW162" si="273">AB166+AB164-AB161</f>
        <v>0.63854002099999718</v>
      </c>
      <c r="AC162" s="415">
        <f t="shared" si="273"/>
        <v>1.3888767880000046</v>
      </c>
      <c r="AD162" s="1149">
        <f t="shared" si="273"/>
        <v>2.0797079629999899</v>
      </c>
      <c r="AE162" s="415">
        <f t="shared" si="273"/>
        <v>-0.80561775099998556</v>
      </c>
      <c r="AF162" s="415">
        <f t="shared" si="273"/>
        <v>1.0776597559999885</v>
      </c>
      <c r="AG162" s="415">
        <f t="shared" si="273"/>
        <v>0.19335721400000239</v>
      </c>
      <c r="AH162" s="1149">
        <f t="shared" si="273"/>
        <v>-0.75571707100000651</v>
      </c>
      <c r="AI162" s="415">
        <f t="shared" si="273"/>
        <v>-1.2911536010000049</v>
      </c>
      <c r="AJ162" s="415">
        <f t="shared" si="273"/>
        <v>5.1623772930000058</v>
      </c>
      <c r="AK162" s="415">
        <f t="shared" si="273"/>
        <v>0.80372970200001248</v>
      </c>
      <c r="AL162" s="1149">
        <f t="shared" si="273"/>
        <v>9.3488155189999844</v>
      </c>
      <c r="AM162" s="415">
        <f t="shared" si="273"/>
        <v>-4.0836344949999841</v>
      </c>
      <c r="AN162" s="415">
        <f t="shared" si="273"/>
        <v>0.14381999299999393</v>
      </c>
      <c r="AO162" s="415">
        <f t="shared" si="273"/>
        <v>0.165300000000002</v>
      </c>
      <c r="AP162" s="1149">
        <f t="shared" si="273"/>
        <v>11.186699172999994</v>
      </c>
      <c r="AQ162" s="415">
        <f t="shared" si="273"/>
        <v>0.48835040000001584</v>
      </c>
      <c r="AR162" s="415">
        <f t="shared" si="273"/>
        <v>2.553136264999992</v>
      </c>
      <c r="AS162" s="415">
        <f t="shared" si="273"/>
        <v>1.8135665960000011</v>
      </c>
      <c r="AT162" s="1149">
        <f t="shared" si="273"/>
        <v>8.5553424879999938</v>
      </c>
      <c r="AU162" s="415">
        <f t="shared" si="273"/>
        <v>1.1551673000000164</v>
      </c>
      <c r="AV162" s="415">
        <f t="shared" si="273"/>
        <v>18.599865900999987</v>
      </c>
      <c r="AW162" s="415">
        <f t="shared" si="273"/>
        <v>5.0478060459999909</v>
      </c>
      <c r="AX162" s="1147">
        <f>AX163*AX7</f>
        <v>4.9877699872938059</v>
      </c>
      <c r="AZ162" s="415">
        <f>SUM(AU162:AX162)</f>
        <v>29.7906092342938</v>
      </c>
    </row>
    <row r="163" spans="1:80" ht="15">
      <c r="A163" s="1128" t="s">
        <v>498</v>
      </c>
      <c r="C163" s="408">
        <f t="shared" ref="C163:M163" si="274">C162/C7</f>
        <v>3.7550581142518608E-2</v>
      </c>
      <c r="D163" s="641">
        <f t="shared" si="274"/>
        <v>2.0242321663970306E-3</v>
      </c>
      <c r="E163" s="641">
        <f t="shared" si="274"/>
        <v>1.2779321182407816E-3</v>
      </c>
      <c r="F163" s="641">
        <f t="shared" si="274"/>
        <v>2.7885890018132948E-4</v>
      </c>
      <c r="G163" s="641">
        <f t="shared" si="274"/>
        <v>1.9723367426722357E-3</v>
      </c>
      <c r="H163" s="641">
        <f t="shared" si="274"/>
        <v>9.7042342595556671E-4</v>
      </c>
      <c r="I163" s="641">
        <f t="shared" si="274"/>
        <v>1.0379573825865865E-3</v>
      </c>
      <c r="J163" s="641">
        <f t="shared" si="274"/>
        <v>9.8640840273399273E-5</v>
      </c>
      <c r="K163" s="641">
        <f t="shared" si="274"/>
        <v>1.0025204966815217E-3</v>
      </c>
      <c r="L163" s="641">
        <f t="shared" si="274"/>
        <v>5.7006096062548535E-4</v>
      </c>
      <c r="M163" s="698">
        <f t="shared" si="274"/>
        <v>6.5248971490225287E-4</v>
      </c>
      <c r="N163" s="1378">
        <f>AZ163</f>
        <v>1.481373866272817E-3</v>
      </c>
      <c r="O163" s="1378">
        <f>AVERAGE(L163:N163)*1.3</f>
        <v>1.1717006347802404E-3</v>
      </c>
      <c r="P163" s="1378">
        <f>O163</f>
        <v>1.1717006347802404E-3</v>
      </c>
      <c r="Q163" s="1378">
        <f>P163</f>
        <v>1.1717006347802404E-3</v>
      </c>
      <c r="R163" s="1378">
        <f>Q163</f>
        <v>1.1717006347802404E-3</v>
      </c>
      <c r="S163" s="1378">
        <f>R163</f>
        <v>1.1717006347802404E-3</v>
      </c>
      <c r="T163" s="501"/>
      <c r="U163" s="501"/>
      <c r="V163" s="501"/>
      <c r="W163" s="501"/>
      <c r="X163" s="501"/>
      <c r="AB163" s="618">
        <f t="shared" ref="AB163:AW163" si="275">AB162/AB7</f>
        <v>4.6519842102586202E-4</v>
      </c>
      <c r="AC163" s="618">
        <f t="shared" si="275"/>
        <v>7.9721964603357326E-4</v>
      </c>
      <c r="AD163" s="992">
        <f t="shared" si="275"/>
        <v>1.3325308747098906E-3</v>
      </c>
      <c r="AE163" s="618">
        <f t="shared" si="275"/>
        <v>-5.8727296422583677E-4</v>
      </c>
      <c r="AF163" s="618">
        <f t="shared" si="275"/>
        <v>5.3825011621526201E-4</v>
      </c>
      <c r="AG163" s="618">
        <f t="shared" si="275"/>
        <v>7.3954364607081076E-5</v>
      </c>
      <c r="AH163" s="992">
        <f t="shared" si="275"/>
        <v>-3.0231022726092961E-4</v>
      </c>
      <c r="AI163" s="618">
        <f t="shared" si="275"/>
        <v>-5.5876796541632853E-4</v>
      </c>
      <c r="AJ163" s="618">
        <f t="shared" si="275"/>
        <v>1.9993899581568549E-3</v>
      </c>
      <c r="AK163" s="618">
        <f t="shared" si="275"/>
        <v>2.2176293489572534E-4</v>
      </c>
      <c r="AL163" s="992">
        <f t="shared" si="275"/>
        <v>2.3272102099576304E-3</v>
      </c>
      <c r="AM163" s="618">
        <f t="shared" si="275"/>
        <v>-8.1561806900404602E-4</v>
      </c>
      <c r="AN163" s="618">
        <f t="shared" si="275"/>
        <v>3.4100440386290113E-5</v>
      </c>
      <c r="AO163" s="618">
        <f t="shared" si="275"/>
        <v>4.3214284016659905E-5</v>
      </c>
      <c r="AP163" s="992">
        <f t="shared" si="275"/>
        <v>1.4121850148345115E-3</v>
      </c>
      <c r="AQ163" s="618">
        <f t="shared" si="275"/>
        <v>6.9677741463595197E-5</v>
      </c>
      <c r="AR163" s="618">
        <f t="shared" si="275"/>
        <v>5.1996965882686558E-4</v>
      </c>
      <c r="AS163" s="618">
        <f t="shared" si="275"/>
        <v>2.9901080839290508E-4</v>
      </c>
      <c r="AT163" s="992">
        <f t="shared" si="275"/>
        <v>2.0994073408268561E-3</v>
      </c>
      <c r="AU163" s="618">
        <f t="shared" si="275"/>
        <v>2.9171427599920422E-4</v>
      </c>
      <c r="AV163" s="618">
        <f t="shared" si="275"/>
        <v>4.0471385262511698E-3</v>
      </c>
      <c r="AW163" s="618">
        <f t="shared" si="275"/>
        <v>9.3257525661584679E-4</v>
      </c>
      <c r="AX163" s="1379">
        <f>AVERAGE(AM163:AW163)</f>
        <v>8.1212502532816884E-4</v>
      </c>
      <c r="AY163" s="642"/>
      <c r="AZ163" s="640">
        <f>AZ162/AZ7</f>
        <v>1.481373866272817E-3</v>
      </c>
      <c r="BC163" s="415"/>
    </row>
    <row r="164" spans="1:80" ht="15">
      <c r="A164" s="1128" t="s">
        <v>585</v>
      </c>
      <c r="C164" s="90">
        <f>'A. Raw FS'!C175</f>
        <v>3.0212378069999999</v>
      </c>
      <c r="D164" s="643">
        <f>'A. Raw FS'!D175-D171</f>
        <v>3.4168622439999998</v>
      </c>
      <c r="E164" s="643">
        <f>'A. Raw FS'!E175-E171</f>
        <v>2.954082262</v>
      </c>
      <c r="F164" s="643">
        <f>'A. Raw FS'!F175-F171</f>
        <v>3.2516758590000001</v>
      </c>
      <c r="G164" s="643">
        <f>'A. Raw FS'!G175-G171</f>
        <v>4.0039349849999999</v>
      </c>
      <c r="H164" s="643">
        <f>'A. Raw FS'!H175-H171</f>
        <v>4.800459214</v>
      </c>
      <c r="I164" s="643">
        <f>'A. Raw FS'!I175-I171</f>
        <v>5.4616505210000001</v>
      </c>
      <c r="J164" s="643">
        <f>'A. Raw FS'!J175-J171</f>
        <v>3.8166652350000003</v>
      </c>
      <c r="K164" s="643">
        <f>'A. Raw FS'!K175-K171</f>
        <v>5.7116181109999999</v>
      </c>
      <c r="L164" s="643">
        <f>'A. Raw FS'!L175-L171</f>
        <v>5.7143571240000002</v>
      </c>
      <c r="M164" s="699">
        <f>'A. Raw FS'!M175-M171</f>
        <v>13.222887328000001</v>
      </c>
      <c r="N164" s="415">
        <f t="shared" ref="N164:S164" si="276">N165*(N162+N161)</f>
        <v>12.935785474618813</v>
      </c>
      <c r="O164" s="415">
        <f t="shared" si="276"/>
        <v>14.375069662985245</v>
      </c>
      <c r="P164" s="415">
        <f t="shared" si="276"/>
        <v>16.033973077895542</v>
      </c>
      <c r="Q164" s="415">
        <f t="shared" si="276"/>
        <v>17.870345055541922</v>
      </c>
      <c r="R164" s="415">
        <f t="shared" si="276"/>
        <v>19.901352611666795</v>
      </c>
      <c r="S164" s="415">
        <f t="shared" si="276"/>
        <v>22.146081576161453</v>
      </c>
      <c r="T164" s="415"/>
      <c r="U164" s="415"/>
      <c r="V164" s="415"/>
      <c r="W164" s="415"/>
      <c r="AB164" s="486">
        <f>'A. Raw FS'!AB175-AB171</f>
        <v>0.77556384099999998</v>
      </c>
      <c r="AC164" s="486">
        <f>'A. Raw FS'!AC175-AC171</f>
        <v>0.8180854460000001</v>
      </c>
      <c r="AD164" s="984">
        <f>'A. Raw FS'!AD175-AD171</f>
        <v>2.0348368259999998</v>
      </c>
      <c r="AE164" s="486">
        <f>'A. Raw FS'!AE175-AE171</f>
        <v>0.15852246500000011</v>
      </c>
      <c r="AF164" s="486">
        <f>'A. Raw FS'!AF175-AF171</f>
        <v>1.2813790219999999</v>
      </c>
      <c r="AG164" s="486">
        <f>'A. Raw FS'!AG175-AG171</f>
        <v>0.96103791200000011</v>
      </c>
      <c r="AH164" s="984">
        <f>'A. Raw FS'!AH175-AH171</f>
        <v>2.3336098000000138E-2</v>
      </c>
      <c r="AI164" s="486">
        <f>'A. Raw FS'!AI175-AI171</f>
        <v>8.4395785000000112E-2</v>
      </c>
      <c r="AJ164" s="486">
        <f>'A. Raw FS'!AJ175-AJ171</f>
        <v>2.4651965709999999</v>
      </c>
      <c r="AK164" s="486">
        <f>'A. Raw FS'!AK175-AK171</f>
        <v>1.5925331869999999</v>
      </c>
      <c r="AL164" s="984">
        <f>'A. Raw FS'!AL175-AL171</f>
        <v>3.2908292760000002</v>
      </c>
      <c r="AM164" s="486">
        <f>'A. Raw FS'!AM175-AM171</f>
        <v>-2.6939283540000001</v>
      </c>
      <c r="AN164" s="486">
        <f>'A. Raw FS'!AN175-AN171</f>
        <v>1.5335261299999998</v>
      </c>
      <c r="AO164" s="486">
        <f>'A. Raw FS'!AO175-AO171</f>
        <v>1.3988894699999999</v>
      </c>
      <c r="AP164" s="984">
        <f>'A. Raw FS'!AP175-AP171</f>
        <v>0.96077540400000072</v>
      </c>
      <c r="AQ164" s="486">
        <f>'A. Raw FS'!AQ175-AQ171</f>
        <v>1.7672110469999998</v>
      </c>
      <c r="AR164" s="486">
        <f>'A. Raw FS'!AR175-AR171</f>
        <v>2.7822637219999997</v>
      </c>
      <c r="AS164" s="486">
        <f>'A. Raw FS'!AS175-AS171</f>
        <v>0.978036511</v>
      </c>
      <c r="AT164" s="984">
        <f>'A. Raw FS'!AT175-AT171</f>
        <v>6.7326403169999995</v>
      </c>
      <c r="AU164" s="486">
        <f>'A. Raw FS'!AU175-AU171</f>
        <v>3.3885419169999995</v>
      </c>
      <c r="AV164" s="486">
        <f>'A. Raw FS'!AV175-AV171</f>
        <v>3.5432022589999992</v>
      </c>
      <c r="AW164" s="486">
        <f>'A. Raw FS'!AW175-AW171</f>
        <v>2.5250081990000002</v>
      </c>
      <c r="AX164" s="1147">
        <f>AX165*(AX162+AX161)</f>
        <v>3.4790330996188135</v>
      </c>
      <c r="AZ164" s="415">
        <f>SUM(AU164:AX164)</f>
        <v>12.935785474618813</v>
      </c>
    </row>
    <row r="165" spans="1:80" ht="15">
      <c r="A165" s="1383" t="s">
        <v>586</v>
      </c>
      <c r="B165" s="1384"/>
      <c r="C165" s="616">
        <f>C164/C162</f>
        <v>3.760281642386052E-2</v>
      </c>
      <c r="D165" s="644">
        <f>D164/(D162+D161)</f>
        <v>4.0913923439171211E-2</v>
      </c>
      <c r="E165" s="644">
        <f t="shared" ref="E165:M165" si="277">E164/(E162+E161)</f>
        <v>3.4219088586409235E-2</v>
      </c>
      <c r="F165" s="644">
        <f t="shared" si="277"/>
        <v>3.8460183265016663E-2</v>
      </c>
      <c r="G165" s="644">
        <f t="shared" si="277"/>
        <v>4.5094486977505059E-2</v>
      </c>
      <c r="H165" s="644">
        <f t="shared" si="277"/>
        <v>5.424621707242111E-2</v>
      </c>
      <c r="I165" s="644">
        <f t="shared" si="277"/>
        <v>6.0782137852920179E-2</v>
      </c>
      <c r="J165" s="644">
        <f t="shared" si="277"/>
        <v>4.4779828595242481E-2</v>
      </c>
      <c r="K165" s="644">
        <f t="shared" si="277"/>
        <v>6.0773296213486032E-2</v>
      </c>
      <c r="L165" s="644">
        <f t="shared" si="277"/>
        <v>5.7030635696325362E-2</v>
      </c>
      <c r="M165" s="700">
        <f t="shared" si="277"/>
        <v>0.12147047563964276</v>
      </c>
      <c r="N165" s="631">
        <f>AZ165</f>
        <v>0.10313601543766118</v>
      </c>
      <c r="O165" s="1385">
        <f>N165</f>
        <v>0.10313601543766118</v>
      </c>
      <c r="P165" s="1385">
        <f>AVERAGE(N165:O165)</f>
        <v>0.10313601543766118</v>
      </c>
      <c r="Q165" s="1385">
        <f>AVERAGE(O165:P165)</f>
        <v>0.10313601543766118</v>
      </c>
      <c r="R165" s="1385">
        <f>AVERAGE(P165:Q165)</f>
        <v>0.10313601543766118</v>
      </c>
      <c r="S165" s="1385">
        <f>AVERAGE(Q165:R165)</f>
        <v>0.10313601543766118</v>
      </c>
      <c r="T165" s="1179"/>
      <c r="U165" s="1179"/>
      <c r="V165" s="1179"/>
      <c r="W165" s="1179"/>
      <c r="AA165" s="601" t="e">
        <f>AA164/AA162</f>
        <v>#DIV/0!</v>
      </c>
      <c r="AB165" s="601">
        <f t="shared" ref="AB165:AW165" si="278">AB164/(AB162+AB161)</f>
        <v>9.1723622673642955E-3</v>
      </c>
      <c r="AC165" s="601">
        <f t="shared" si="278"/>
        <v>9.605578837887499E-3</v>
      </c>
      <c r="AD165" s="993">
        <f t="shared" si="278"/>
        <v>2.354335094604873E-2</v>
      </c>
      <c r="AE165" s="601">
        <f t="shared" si="278"/>
        <v>1.8964533443782757E-3</v>
      </c>
      <c r="AF165" s="601">
        <f t="shared" si="278"/>
        <v>1.5162805039779303E-2</v>
      </c>
      <c r="AG165" s="601">
        <f t="shared" si="278"/>
        <v>1.1520470344964027E-2</v>
      </c>
      <c r="AH165" s="993">
        <f t="shared" si="278"/>
        <v>2.8562012630988567E-4</v>
      </c>
      <c r="AI165" s="601">
        <f t="shared" si="278"/>
        <v>1.0498453363378033E-3</v>
      </c>
      <c r="AJ165" s="601">
        <f t="shared" si="278"/>
        <v>2.8843921880832592E-2</v>
      </c>
      <c r="AK165" s="601">
        <f t="shared" si="278"/>
        <v>1.9002775515819803E-2</v>
      </c>
      <c r="AL165" s="993">
        <f t="shared" si="278"/>
        <v>3.5941160161961305E-2</v>
      </c>
      <c r="AM165" s="601">
        <f t="shared" si="278"/>
        <v>-3.1999296273286147E-2</v>
      </c>
      <c r="AN165" s="601">
        <f t="shared" si="278"/>
        <v>1.7621701612381642E-2</v>
      </c>
      <c r="AO165" s="601">
        <f t="shared" si="278"/>
        <v>1.6331361549225341E-2</v>
      </c>
      <c r="AP165" s="993">
        <f t="shared" si="278"/>
        <v>1.0066331364189149E-2</v>
      </c>
      <c r="AQ165" s="601">
        <f t="shared" si="278"/>
        <v>1.8607702127544572E-2</v>
      </c>
      <c r="AR165" s="601">
        <f t="shared" si="278"/>
        <v>2.9055173790502715E-2</v>
      </c>
      <c r="AS165" s="601">
        <f t="shared" si="278"/>
        <v>1.0318011136549812E-2</v>
      </c>
      <c r="AT165" s="993">
        <f t="shared" si="278"/>
        <v>6.5769922796290542E-2</v>
      </c>
      <c r="AU165" s="601">
        <f t="shared" si="278"/>
        <v>3.5009547585491185E-2</v>
      </c>
      <c r="AV165" s="601">
        <f t="shared" si="278"/>
        <v>3.1635620224781724E-2</v>
      </c>
      <c r="AW165" s="601">
        <f t="shared" si="278"/>
        <v>2.224578667553672E-2</v>
      </c>
      <c r="AX165" s="693">
        <v>0.03</v>
      </c>
      <c r="AZ165" s="631">
        <f>AZ164/(AZ162+AZ161)</f>
        <v>0.10313601543766118</v>
      </c>
    </row>
    <row r="166" spans="1:80" ht="15">
      <c r="A166" s="1128" t="s">
        <v>587</v>
      </c>
      <c r="C166" s="1364">
        <f t="shared" ref="C166:M166" si="279">C111</f>
        <v>77.324813215999995</v>
      </c>
      <c r="D166" s="1371">
        <f t="shared" si="279"/>
        <v>80.096571736000001</v>
      </c>
      <c r="E166" s="1371">
        <f t="shared" si="279"/>
        <v>83.374408181000007</v>
      </c>
      <c r="F166" s="1371">
        <f t="shared" si="279"/>
        <v>81.294875481999995</v>
      </c>
      <c r="G166" s="1371">
        <f t="shared" si="279"/>
        <v>84.785964919999998</v>
      </c>
      <c r="H166" s="1371">
        <f t="shared" si="279"/>
        <v>83.693439034999997</v>
      </c>
      <c r="I166" s="1371">
        <f t="shared" si="279"/>
        <v>84.394526209999995</v>
      </c>
      <c r="J166" s="1371">
        <f t="shared" si="279"/>
        <v>81.415131195000001</v>
      </c>
      <c r="K166" s="1371">
        <f t="shared" si="279"/>
        <v>88.270746954999993</v>
      </c>
      <c r="L166" s="1371">
        <f t="shared" si="279"/>
        <v>94.48366897599999</v>
      </c>
      <c r="M166" s="1370">
        <f t="shared" si="279"/>
        <v>95.633913127999989</v>
      </c>
      <c r="N166" s="415">
        <f t="shared" ref="N166:S166" si="280">N161+N162-N164</f>
        <v>112.48873688767497</v>
      </c>
      <c r="O166" s="415">
        <f t="shared" si="280"/>
        <v>125.00465721500349</v>
      </c>
      <c r="P166" s="415">
        <f t="shared" si="280"/>
        <v>139.43037184424279</v>
      </c>
      <c r="Q166" s="415">
        <f t="shared" si="280"/>
        <v>155.39934138433563</v>
      </c>
      <c r="R166" s="415">
        <f t="shared" si="280"/>
        <v>173.0608490713702</v>
      </c>
      <c r="S166" s="415">
        <f t="shared" si="280"/>
        <v>192.58086402265585</v>
      </c>
      <c r="T166" s="415"/>
      <c r="U166" s="415"/>
      <c r="V166" s="415"/>
      <c r="W166" s="415"/>
      <c r="X166" s="415"/>
      <c r="AA166" s="1364">
        <f t="shared" ref="AA166:AW166" si="281">AA111</f>
        <v>83.915887550999997</v>
      </c>
      <c r="AB166" s="1364">
        <f t="shared" si="281"/>
        <v>83.778863731000001</v>
      </c>
      <c r="AC166" s="1364">
        <f t="shared" si="281"/>
        <v>84.349655073000008</v>
      </c>
      <c r="AD166" s="1365">
        <f t="shared" si="281"/>
        <v>84.394526209999995</v>
      </c>
      <c r="AE166" s="1364">
        <f t="shared" si="281"/>
        <v>83.430385994000005</v>
      </c>
      <c r="AF166" s="1364">
        <f t="shared" si="281"/>
        <v>83.226666727999998</v>
      </c>
      <c r="AG166" s="1364">
        <f t="shared" si="281"/>
        <v>82.458986030000005</v>
      </c>
      <c r="AH166" s="1365">
        <f t="shared" si="281"/>
        <v>81.679932860999998</v>
      </c>
      <c r="AI166" s="1364">
        <f t="shared" si="281"/>
        <v>80.304383474999995</v>
      </c>
      <c r="AJ166" s="1364">
        <f t="shared" si="281"/>
        <v>83.001564196999993</v>
      </c>
      <c r="AK166" s="1364">
        <f t="shared" si="281"/>
        <v>82.212760712000005</v>
      </c>
      <c r="AL166" s="1365">
        <f t="shared" si="281"/>
        <v>88.270746954999993</v>
      </c>
      <c r="AM166" s="1364">
        <f t="shared" si="281"/>
        <v>86.881040814000002</v>
      </c>
      <c r="AN166" s="1364">
        <f t="shared" si="281"/>
        <v>85.491334676999998</v>
      </c>
      <c r="AO166" s="1364">
        <f t="shared" si="281"/>
        <v>84.257745206999999</v>
      </c>
      <c r="AP166" s="1365">
        <f t="shared" si="281"/>
        <v>94.48366897599999</v>
      </c>
      <c r="AQ166" s="1364">
        <f t="shared" si="281"/>
        <v>93.204808329000002</v>
      </c>
      <c r="AR166" s="1364">
        <f t="shared" si="281"/>
        <v>92.975680871999998</v>
      </c>
      <c r="AS166" s="1364">
        <f t="shared" si="281"/>
        <v>93.811210957</v>
      </c>
      <c r="AT166" s="1365">
        <f t="shared" si="281"/>
        <v>95.633913127999989</v>
      </c>
      <c r="AU166" s="1364">
        <f t="shared" si="281"/>
        <v>93.400538511000008</v>
      </c>
      <c r="AV166" s="1364">
        <f t="shared" si="281"/>
        <v>108.457202153</v>
      </c>
      <c r="AW166" s="1364">
        <f t="shared" si="281"/>
        <v>110.97999999999999</v>
      </c>
      <c r="AX166" s="1147">
        <f>AX161+AX162-AX164</f>
        <v>112.48873688767497</v>
      </c>
      <c r="AZ166" s="415">
        <f>AX166</f>
        <v>112.48873688767497</v>
      </c>
    </row>
    <row r="167" spans="1:80" ht="15">
      <c r="C167" s="1364"/>
      <c r="D167" s="1364"/>
      <c r="E167" s="1364"/>
      <c r="F167" s="1364"/>
      <c r="G167" s="1364"/>
      <c r="H167" s="1364"/>
      <c r="I167" s="1364"/>
      <c r="J167" s="1364"/>
      <c r="K167" s="1364"/>
      <c r="L167" s="1364"/>
      <c r="M167" s="1368"/>
      <c r="N167" s="415"/>
      <c r="O167" s="415"/>
      <c r="P167" s="415"/>
      <c r="Q167" s="415"/>
      <c r="R167" s="415"/>
      <c r="S167" s="415"/>
      <c r="T167" s="415"/>
      <c r="U167" s="415"/>
      <c r="V167" s="415"/>
      <c r="W167" s="415"/>
      <c r="X167" s="415"/>
      <c r="AA167" s="1364"/>
      <c r="AB167" s="1364"/>
      <c r="AC167" s="1364"/>
      <c r="AD167" s="1365"/>
      <c r="AE167" s="1364"/>
      <c r="AF167" s="1364"/>
      <c r="AG167" s="1364"/>
      <c r="AH167" s="1365"/>
      <c r="AI167" s="1364"/>
      <c r="AJ167" s="1364"/>
      <c r="AK167" s="1364"/>
      <c r="AL167" s="1365"/>
      <c r="AM167" s="1364"/>
      <c r="AN167" s="1364"/>
      <c r="AO167" s="1364"/>
      <c r="AP167" s="1365"/>
      <c r="AQ167" s="1364"/>
      <c r="AR167" s="1364"/>
      <c r="AS167" s="1364"/>
      <c r="AT167" s="1365"/>
      <c r="AU167" s="1364"/>
      <c r="AV167" s="1364"/>
      <c r="AW167" s="1364"/>
      <c r="AX167" s="1147"/>
      <c r="AZ167" s="415"/>
    </row>
    <row r="168" spans="1:80" ht="15">
      <c r="A168" s="511" t="s">
        <v>549</v>
      </c>
      <c r="C168" s="1364"/>
      <c r="D168" s="1364"/>
      <c r="E168" s="1364"/>
      <c r="F168" s="1364"/>
      <c r="G168" s="1364"/>
      <c r="H168" s="1364"/>
      <c r="I168" s="1364"/>
      <c r="J168" s="1364"/>
      <c r="K168" s="1364"/>
      <c r="L168" s="1364"/>
      <c r="M168" s="1368"/>
      <c r="N168" s="415"/>
      <c r="O168" s="415"/>
      <c r="P168" s="415"/>
      <c r="Q168" s="415"/>
      <c r="R168" s="415"/>
      <c r="S168" s="415"/>
      <c r="T168" s="415"/>
      <c r="U168" s="415"/>
      <c r="V168" s="415"/>
      <c r="W168" s="415"/>
      <c r="X168" s="415"/>
      <c r="AA168" s="1364"/>
      <c r="AB168" s="1364"/>
      <c r="AC168" s="1364"/>
      <c r="AD168" s="1365"/>
      <c r="AE168" s="1364"/>
      <c r="AF168" s="1364"/>
      <c r="AG168" s="1364"/>
      <c r="AH168" s="1365"/>
      <c r="AI168" s="1364"/>
      <c r="AJ168" s="1364"/>
      <c r="AK168" s="1364"/>
      <c r="AL168" s="1365"/>
      <c r="AM168" s="1364"/>
      <c r="AN168" s="1364"/>
      <c r="AO168" s="1364"/>
      <c r="AP168" s="1365"/>
      <c r="AQ168" s="1364"/>
      <c r="AR168" s="1364"/>
      <c r="AS168" s="1364"/>
      <c r="AT168" s="1365"/>
      <c r="AU168" s="1364"/>
      <c r="AV168" s="1364"/>
      <c r="AW168" s="1364"/>
      <c r="AX168" s="1147"/>
      <c r="AZ168" s="415"/>
    </row>
    <row r="169" spans="1:80" ht="15">
      <c r="A169" s="1128" t="s">
        <v>588</v>
      </c>
      <c r="C169" s="1364"/>
      <c r="D169" s="1364">
        <f>'A. Raw FS'!C108</f>
        <v>0</v>
      </c>
      <c r="E169" s="1364">
        <f t="shared" ref="E169:S169" si="282">D172</f>
        <v>0</v>
      </c>
      <c r="F169" s="1364">
        <f t="shared" si="282"/>
        <v>0</v>
      </c>
      <c r="G169" s="1364">
        <f t="shared" si="282"/>
        <v>0</v>
      </c>
      <c r="H169" s="1364">
        <f t="shared" si="282"/>
        <v>0</v>
      </c>
      <c r="I169" s="1364">
        <f t="shared" si="282"/>
        <v>5.4651597289999998</v>
      </c>
      <c r="J169" s="1364">
        <f t="shared" si="282"/>
        <v>4.8898797570000001</v>
      </c>
      <c r="K169" s="1364">
        <f t="shared" si="282"/>
        <v>0</v>
      </c>
      <c r="L169" s="1364">
        <f t="shared" si="282"/>
        <v>3.7393198129999998</v>
      </c>
      <c r="M169" s="1368">
        <f t="shared" si="282"/>
        <v>3.1640398410000001</v>
      </c>
      <c r="N169" s="1364">
        <f t="shared" si="282"/>
        <v>277.05534721200002</v>
      </c>
      <c r="O169" s="1364">
        <f t="shared" si="282"/>
        <v>248.075008199</v>
      </c>
      <c r="P169" s="1364">
        <f t="shared" si="282"/>
        <v>220.06039084399998</v>
      </c>
      <c r="Q169" s="1364">
        <f t="shared" si="282"/>
        <v>192.04577348899997</v>
      </c>
      <c r="R169" s="1364">
        <f t="shared" si="282"/>
        <v>164.03115613399996</v>
      </c>
      <c r="S169" s="1364">
        <f t="shared" si="282"/>
        <v>136.01653877899994</v>
      </c>
      <c r="T169" s="1364"/>
      <c r="U169" s="415"/>
      <c r="V169" s="415"/>
      <c r="W169" s="415"/>
      <c r="X169" s="415"/>
      <c r="AA169" s="1364"/>
      <c r="AB169" s="1364">
        <f>'A. Raw FS'!AA108</f>
        <v>5.3213397359999997</v>
      </c>
      <c r="AC169" s="1364">
        <f>AB172</f>
        <v>5.1775197430000004</v>
      </c>
      <c r="AD169" s="1365">
        <f t="shared" ref="AD169:AX169" si="283">AC172</f>
        <v>5.0336997500000003</v>
      </c>
      <c r="AE169" s="1364">
        <f t="shared" si="283"/>
        <v>4.8898797570000001</v>
      </c>
      <c r="AF169" s="1364">
        <f t="shared" si="283"/>
        <v>5.7092270640000002</v>
      </c>
      <c r="AG169" s="1364">
        <f t="shared" si="283"/>
        <v>0</v>
      </c>
      <c r="AH169" s="1365">
        <f t="shared" si="283"/>
        <v>5.5654070710000001</v>
      </c>
      <c r="AI169" s="1364">
        <f t="shared" si="283"/>
        <v>0</v>
      </c>
      <c r="AJ169" s="1364">
        <f t="shared" si="283"/>
        <v>3.207612492</v>
      </c>
      <c r="AK169" s="1364">
        <f t="shared" si="283"/>
        <v>4.0269597990000001</v>
      </c>
      <c r="AL169" s="1365">
        <f t="shared" si="283"/>
        <v>3.883139806</v>
      </c>
      <c r="AM169" s="1364">
        <f t="shared" si="283"/>
        <v>3.7393198129999998</v>
      </c>
      <c r="AN169" s="1364">
        <f t="shared" si="283"/>
        <v>3.5954998200000001</v>
      </c>
      <c r="AO169" s="1364">
        <f t="shared" si="283"/>
        <v>0</v>
      </c>
      <c r="AP169" s="1365">
        <f t="shared" si="283"/>
        <v>3.3078598339999998</v>
      </c>
      <c r="AQ169" s="1364">
        <f t="shared" si="283"/>
        <v>3.1640398410000001</v>
      </c>
      <c r="AR169" s="1364">
        <f t="shared" si="283"/>
        <v>3.020219848</v>
      </c>
      <c r="AS169" s="1364">
        <f t="shared" si="283"/>
        <v>2.8763998549999998</v>
      </c>
      <c r="AT169" s="1365">
        <f t="shared" si="283"/>
        <v>2.7325798620000001</v>
      </c>
      <c r="AU169" s="1364">
        <f t="shared" si="283"/>
        <v>277.05534721200002</v>
      </c>
      <c r="AV169" s="1364">
        <f t="shared" si="283"/>
        <v>270.04986253499999</v>
      </c>
      <c r="AW169" s="1364">
        <f>AV172</f>
        <v>263.04437785900001</v>
      </c>
      <c r="AX169" s="1368">
        <f t="shared" si="283"/>
        <v>256.04000000000002</v>
      </c>
      <c r="AY169" s="1364"/>
      <c r="AZ169" s="1364">
        <f>AT172</f>
        <v>277.05534721200002</v>
      </c>
    </row>
    <row r="170" spans="1:80" ht="15">
      <c r="A170" s="1128" t="s">
        <v>589</v>
      </c>
      <c r="C170" s="1364"/>
      <c r="D170" s="1364">
        <f t="shared" ref="D170:L170" si="284">D172+D171-D169</f>
        <v>0</v>
      </c>
      <c r="E170" s="1364">
        <f t="shared" si="284"/>
        <v>0</v>
      </c>
      <c r="F170" s="1364">
        <f t="shared" si="284"/>
        <v>0</v>
      </c>
      <c r="G170" s="1364">
        <f t="shared" si="284"/>
        <v>0</v>
      </c>
      <c r="H170" s="1364">
        <f t="shared" si="284"/>
        <v>5.4651597289999998</v>
      </c>
      <c r="I170" s="1364">
        <f t="shared" si="284"/>
        <v>-0.5752799719999997</v>
      </c>
      <c r="J170" s="1364">
        <f t="shared" si="284"/>
        <v>-2.4885125270000001</v>
      </c>
      <c r="K170" s="1364">
        <f t="shared" si="284"/>
        <v>4.3145997850000004</v>
      </c>
      <c r="L170" s="1364">
        <f t="shared" si="284"/>
        <v>0</v>
      </c>
      <c r="M170" s="1370">
        <f>M172+M171-M169</f>
        <v>273.50342004300006</v>
      </c>
      <c r="N170" s="1366">
        <f>AZ170</f>
        <v>-0.96572165800000676</v>
      </c>
      <c r="O170" s="1366">
        <v>0</v>
      </c>
      <c r="P170" s="1366">
        <f>O170</f>
        <v>0</v>
      </c>
      <c r="Q170" s="1366">
        <f>P170</f>
        <v>0</v>
      </c>
      <c r="R170" s="1366">
        <f>Q170</f>
        <v>0</v>
      </c>
      <c r="S170" s="1366">
        <f>R170</f>
        <v>0</v>
      </c>
      <c r="T170" s="415"/>
      <c r="U170" s="415"/>
      <c r="V170" s="415"/>
      <c r="W170" s="415"/>
      <c r="X170" s="415"/>
      <c r="AA170" s="1364"/>
      <c r="AB170" s="1364">
        <f t="shared" ref="AB170:AW170" si="285">AB172+AB171-AB169</f>
        <v>0.43145997900000044</v>
      </c>
      <c r="AC170" s="1364">
        <f t="shared" si="285"/>
        <v>0</v>
      </c>
      <c r="AD170" s="1365">
        <f t="shared" si="285"/>
        <v>-0.86291995799999999</v>
      </c>
      <c r="AE170" s="1364">
        <f t="shared" si="285"/>
        <v>1.8260872580000003</v>
      </c>
      <c r="AF170" s="1364">
        <f t="shared" si="285"/>
        <v>-5.5333014939999998</v>
      </c>
      <c r="AG170" s="1364">
        <f t="shared" si="285"/>
        <v>5.5333014939999998</v>
      </c>
      <c r="AH170" s="1365">
        <f t="shared" si="285"/>
        <v>-4.3145997850000004</v>
      </c>
      <c r="AI170" s="1364">
        <f t="shared" si="285"/>
        <v>4.3145997850000004</v>
      </c>
      <c r="AJ170" s="1364">
        <f t="shared" si="285"/>
        <v>0</v>
      </c>
      <c r="AK170" s="1364">
        <f t="shared" si="285"/>
        <v>0</v>
      </c>
      <c r="AL170" s="1365">
        <f t="shared" si="285"/>
        <v>-2.9766472020000001</v>
      </c>
      <c r="AM170" s="1364">
        <f t="shared" si="285"/>
        <v>3.9398145020000008</v>
      </c>
      <c r="AN170" s="1364">
        <f t="shared" si="285"/>
        <v>-3.451679827</v>
      </c>
      <c r="AO170" s="1364">
        <f t="shared" si="285"/>
        <v>3.451679827</v>
      </c>
      <c r="AP170" s="1365">
        <f t="shared" si="285"/>
        <v>0</v>
      </c>
      <c r="AQ170" s="1364">
        <f t="shared" si="285"/>
        <v>0</v>
      </c>
      <c r="AR170" s="1364">
        <f t="shared" si="285"/>
        <v>-0.96316729999999984</v>
      </c>
      <c r="AS170" s="1364">
        <f t="shared" si="285"/>
        <v>0.96316730000000028</v>
      </c>
      <c r="AT170" s="1365">
        <f t="shared" si="285"/>
        <v>274.46658734300001</v>
      </c>
      <c r="AU170" s="1364">
        <f t="shared" si="285"/>
        <v>-0.96316730000000916</v>
      </c>
      <c r="AV170" s="1364">
        <f t="shared" si="285"/>
        <v>-0.96316830000000664</v>
      </c>
      <c r="AW170" s="1364">
        <f t="shared" si="285"/>
        <v>0.96061394200000905</v>
      </c>
      <c r="AX170" s="1376">
        <v>0</v>
      </c>
      <c r="AZ170" s="415">
        <f>SUM(AU170:AX170)</f>
        <v>-0.96572165800000676</v>
      </c>
    </row>
    <row r="171" spans="1:80" ht="15">
      <c r="A171" s="1128" t="s">
        <v>590</v>
      </c>
      <c r="B171" s="1384"/>
      <c r="C171" s="1386"/>
      <c r="D171" s="1386">
        <f>'A. Raw FS'!D296-'A. Raw FS'!C296</f>
        <v>0</v>
      </c>
      <c r="E171" s="1386">
        <f>'A. Raw FS'!E296-'A. Raw FS'!D296</f>
        <v>0</v>
      </c>
      <c r="F171" s="1386">
        <f>'A. Raw FS'!F296-'A. Raw FS'!E296</f>
        <v>0</v>
      </c>
      <c r="G171" s="1386">
        <f>'A. Raw FS'!G296-'A. Raw FS'!F296</f>
        <v>0</v>
      </c>
      <c r="H171" s="1386">
        <f>'A. Raw FS'!H296-'A. Raw FS'!G296</f>
        <v>0</v>
      </c>
      <c r="I171" s="1386">
        <f>'A. Raw FS'!I296-'A. Raw FS'!H296</f>
        <v>0</v>
      </c>
      <c r="J171" s="1386">
        <f>'A. Raw FS'!J296-'A. Raw FS'!I296</f>
        <v>2.40136723</v>
      </c>
      <c r="K171" s="1386">
        <f>'A. Raw FS'!K296-'A. Raw FS'!J296</f>
        <v>0.57527997200000014</v>
      </c>
      <c r="L171" s="1386">
        <f>'A. Raw FS'!L296-'A. Raw FS'!K296</f>
        <v>0.5752799719999997</v>
      </c>
      <c r="M171" s="1387">
        <f>'A. Raw FS'!M296-'A. Raw FS'!L296</f>
        <v>-0.3878873279999997</v>
      </c>
      <c r="N171" s="1366">
        <f>AZ171</f>
        <v>28.014617355000002</v>
      </c>
      <c r="O171" s="1366">
        <f>IF(N172&gt;0,MAX($M$172/10,N171),0)</f>
        <v>28.014617355000002</v>
      </c>
      <c r="P171" s="1366">
        <f>IF(O172&gt;0,MAX($M$172/10,O171),0)</f>
        <v>28.014617355000002</v>
      </c>
      <c r="Q171" s="1366">
        <f>IF(P172&gt;0,MAX($M$172/10,P171),0)</f>
        <v>28.014617355000002</v>
      </c>
      <c r="R171" s="1366">
        <f>IF(Q172&gt;0,MAX($M$172/10,Q171),0)</f>
        <v>28.014617355000002</v>
      </c>
      <c r="S171" s="1366">
        <f>IF(R172&gt;0,MAX($M$172/10,R171),0)</f>
        <v>28.014617355000002</v>
      </c>
      <c r="T171" s="415"/>
      <c r="U171" s="415"/>
      <c r="V171" s="415"/>
      <c r="W171" s="415"/>
      <c r="X171" s="415"/>
      <c r="AA171" s="1364"/>
      <c r="AB171" s="1364">
        <f>'A. Raw FS'!AB296-'A. Raw FS'!AA296</f>
        <v>0.57527997200000003</v>
      </c>
      <c r="AC171" s="1364">
        <f>'A. Raw FS'!AC296-'A. Raw FS'!AB296</f>
        <v>0.14381999299999992</v>
      </c>
      <c r="AD171" s="1365">
        <f>'A. Raw FS'!AD296-'A. Raw FS'!AC296</f>
        <v>-0.71909996499999995</v>
      </c>
      <c r="AE171" s="1364">
        <f>'A. Raw FS'!AE296-'A. Raw FS'!AD296</f>
        <v>1.0067399509999999</v>
      </c>
      <c r="AF171" s="1364">
        <f>'A. Raw FS'!AF296-'A. Raw FS'!AE296</f>
        <v>0.1759255700000002</v>
      </c>
      <c r="AG171" s="1364">
        <f>'A. Raw FS'!AG296-'A. Raw FS'!AF296</f>
        <v>-3.2105577000000052E-2</v>
      </c>
      <c r="AH171" s="1365">
        <f>'A. Raw FS'!AH296-'A. Raw FS'!AG296</f>
        <v>1.2508072859999999</v>
      </c>
      <c r="AI171" s="1364">
        <f>'A. Raw FS'!AI296-'A. Raw FS'!AH296</f>
        <v>1.106987293</v>
      </c>
      <c r="AJ171" s="1364">
        <f>'A. Raw FS'!AJ296-'A. Raw FS'!AI296</f>
        <v>-0.81934730700000014</v>
      </c>
      <c r="AK171" s="1364">
        <f>'A. Raw FS'!AK296-'A. Raw FS'!AJ296</f>
        <v>0.14381999300000015</v>
      </c>
      <c r="AL171" s="1365">
        <f>'A. Raw FS'!AL296-'A. Raw FS'!AK296</f>
        <v>-2.832827209</v>
      </c>
      <c r="AM171" s="1364">
        <f>'A. Raw FS'!AM296-'A. Raw FS'!AL296</f>
        <v>4.0836344950000001</v>
      </c>
      <c r="AN171" s="1364">
        <f>'A. Raw FS'!AN296-'A. Raw FS'!AM296</f>
        <v>0.14381999300000015</v>
      </c>
      <c r="AO171" s="1364">
        <f>'A. Raw FS'!AO296-'A. Raw FS'!AN296</f>
        <v>0.14381999300000015</v>
      </c>
      <c r="AP171" s="1365">
        <f>'A. Raw FS'!AP296-'A. Raw FS'!AO296</f>
        <v>0.14381999299999926</v>
      </c>
      <c r="AQ171" s="1364">
        <f>'A. Raw FS'!AQ296-'A. Raw FS'!AP296</f>
        <v>0.14381999300000015</v>
      </c>
      <c r="AR171" s="1364">
        <f>'A. Raw FS'!AR296-'A. Raw FS'!AQ296</f>
        <v>-0.81934730699999969</v>
      </c>
      <c r="AS171" s="1364">
        <f>'A. Raw FS'!AS296-'A. Raw FS'!AR296</f>
        <v>1.106987293</v>
      </c>
      <c r="AT171" s="1365">
        <f>'A. Raw FS'!AT296-'A. Raw FS'!AS296</f>
        <v>0.14381999300000015</v>
      </c>
      <c r="AU171" s="1364">
        <f>'A. Raw FS'!AU296-'A. Raw FS'!AT296</f>
        <v>6.0423173769999998</v>
      </c>
      <c r="AV171" s="1364">
        <f>'A. Raw FS'!AV296-'A. Raw FS'!AU296</f>
        <v>6.0423163760000005</v>
      </c>
      <c r="AW171" s="1364">
        <f>'A. Raw FS'!AW296-'A. Raw FS'!AV296</f>
        <v>7.964991801</v>
      </c>
      <c r="AX171" s="1376">
        <f>AW171</f>
        <v>7.964991801</v>
      </c>
      <c r="AZ171" s="415">
        <f>SUM(AU171:AX171)</f>
        <v>28.014617355000002</v>
      </c>
    </row>
    <row r="172" spans="1:80" ht="15">
      <c r="A172" s="1128" t="s">
        <v>591</v>
      </c>
      <c r="C172" s="1364"/>
      <c r="D172" s="1364">
        <f>'A. Raw FS'!D108</f>
        <v>0</v>
      </c>
      <c r="E172" s="1364">
        <f>'A. Raw FS'!E108</f>
        <v>0</v>
      </c>
      <c r="F172" s="1364">
        <f>'A. Raw FS'!F108</f>
        <v>0</v>
      </c>
      <c r="G172" s="1364">
        <f>'A. Raw FS'!G108</f>
        <v>0</v>
      </c>
      <c r="H172" s="1364">
        <f>'A. Raw FS'!H108</f>
        <v>5.4651597289999998</v>
      </c>
      <c r="I172" s="1364">
        <f>'A. Raw FS'!I108</f>
        <v>4.8898797570000001</v>
      </c>
      <c r="J172" s="1364">
        <f>'A. Raw FS'!J108</f>
        <v>0</v>
      </c>
      <c r="K172" s="1364">
        <f>'A. Raw FS'!K108</f>
        <v>3.7393198129999998</v>
      </c>
      <c r="L172" s="1364">
        <f>'A. Raw FS'!L108</f>
        <v>3.1640398410000001</v>
      </c>
      <c r="M172" s="1368">
        <f>'A. Raw FS'!M108</f>
        <v>277.05534721200002</v>
      </c>
      <c r="N172" s="415">
        <f t="shared" ref="N172:S172" si="286">N169+N170-N171</f>
        <v>248.075008199</v>
      </c>
      <c r="O172" s="415">
        <f t="shared" si="286"/>
        <v>220.06039084399998</v>
      </c>
      <c r="P172" s="415">
        <f t="shared" si="286"/>
        <v>192.04577348899997</v>
      </c>
      <c r="Q172" s="415">
        <f t="shared" si="286"/>
        <v>164.03115613399996</v>
      </c>
      <c r="R172" s="415">
        <f t="shared" si="286"/>
        <v>136.01653877899994</v>
      </c>
      <c r="S172" s="415">
        <f t="shared" si="286"/>
        <v>108.00192142399995</v>
      </c>
      <c r="T172" s="415"/>
      <c r="U172" s="415"/>
      <c r="V172" s="415"/>
      <c r="W172" s="415"/>
      <c r="X172" s="415"/>
      <c r="AA172" s="1364"/>
      <c r="AB172" s="1364">
        <f>'A. Raw FS'!AB108</f>
        <v>5.1775197430000004</v>
      </c>
      <c r="AC172" s="1364">
        <f>'A. Raw FS'!AC108</f>
        <v>5.0336997500000003</v>
      </c>
      <c r="AD172" s="1365">
        <f>'A. Raw FS'!AD108</f>
        <v>4.8898797570000001</v>
      </c>
      <c r="AE172" s="1364">
        <f>'A. Raw FS'!AE108</f>
        <v>5.7092270640000002</v>
      </c>
      <c r="AF172" s="1364">
        <f>'A. Raw FS'!AF108</f>
        <v>0</v>
      </c>
      <c r="AG172" s="1364">
        <f>'A. Raw FS'!AG108</f>
        <v>5.5654070710000001</v>
      </c>
      <c r="AH172" s="1365">
        <f>'A. Raw FS'!AH108</f>
        <v>0</v>
      </c>
      <c r="AI172" s="1364">
        <f>'A. Raw FS'!AI108</f>
        <v>3.207612492</v>
      </c>
      <c r="AJ172" s="1364">
        <f>'A. Raw FS'!AJ108</f>
        <v>4.0269597990000001</v>
      </c>
      <c r="AK172" s="1364">
        <f>'A. Raw FS'!AK108</f>
        <v>3.883139806</v>
      </c>
      <c r="AL172" s="1365">
        <f>'A. Raw FS'!AL108</f>
        <v>3.7393198129999998</v>
      </c>
      <c r="AM172" s="1364">
        <f>'A. Raw FS'!AM108</f>
        <v>3.5954998200000001</v>
      </c>
      <c r="AN172" s="1364">
        <f>'A. Raw FS'!AN108</f>
        <v>0</v>
      </c>
      <c r="AO172" s="1364">
        <f>'A. Raw FS'!AO108</f>
        <v>3.3078598339999998</v>
      </c>
      <c r="AP172" s="1365">
        <f>'A. Raw FS'!AP108</f>
        <v>3.1640398410000001</v>
      </c>
      <c r="AQ172" s="1364">
        <f>'A. Raw FS'!AQ108</f>
        <v>3.020219848</v>
      </c>
      <c r="AR172" s="1364">
        <f>'A. Raw FS'!AR108</f>
        <v>2.8763998549999998</v>
      </c>
      <c r="AS172" s="1364">
        <f>'A. Raw FS'!AS108</f>
        <v>2.7325798620000001</v>
      </c>
      <c r="AT172" s="1365">
        <f>'A. Raw FS'!AT108</f>
        <v>277.05534721200002</v>
      </c>
      <c r="AU172" s="1364">
        <f>'A. Raw FS'!AU108</f>
        <v>270.04986253499999</v>
      </c>
      <c r="AV172" s="1364">
        <f>'A. Raw FS'!AV108</f>
        <v>263.04437785900001</v>
      </c>
      <c r="AW172" s="1364">
        <f>'A. Raw FS'!AW108</f>
        <v>256.04000000000002</v>
      </c>
      <c r="AX172" s="1147">
        <f>AX169+AX170-AX171</f>
        <v>248.07500819900002</v>
      </c>
      <c r="AZ172" s="415">
        <f>AX172</f>
        <v>248.07500819900002</v>
      </c>
    </row>
    <row r="173" spans="1:80" ht="15">
      <c r="C173" s="1364"/>
      <c r="D173" s="1364"/>
      <c r="E173" s="1364"/>
      <c r="F173" s="1364"/>
      <c r="G173" s="1364"/>
      <c r="H173" s="1364"/>
      <c r="I173" s="1364"/>
      <c r="J173" s="1364"/>
      <c r="K173" s="1364"/>
      <c r="L173" s="1364"/>
      <c r="M173" s="1368"/>
      <c r="N173" s="415"/>
      <c r="O173" s="415"/>
      <c r="P173" s="415"/>
      <c r="Q173" s="415"/>
      <c r="R173" s="415"/>
      <c r="S173" s="415"/>
      <c r="T173" s="415"/>
      <c r="U173" s="415"/>
      <c r="V173" s="415"/>
      <c r="W173" s="415"/>
      <c r="X173" s="415"/>
      <c r="AA173" s="1364"/>
      <c r="AB173" s="1364"/>
      <c r="AC173" s="1364"/>
      <c r="AD173" s="1365"/>
      <c r="AE173" s="1364"/>
      <c r="AF173" s="1364"/>
      <c r="AG173" s="1364"/>
      <c r="AH173" s="1365"/>
      <c r="AI173" s="1364"/>
      <c r="AJ173" s="1364"/>
      <c r="AK173" s="1364"/>
      <c r="AL173" s="1365"/>
      <c r="AM173" s="1364"/>
      <c r="AN173" s="1364"/>
      <c r="AO173" s="1364"/>
      <c r="AP173" s="1365"/>
      <c r="AQ173" s="1364"/>
      <c r="AR173" s="1364"/>
      <c r="AS173" s="1364"/>
      <c r="AT173" s="1365"/>
      <c r="AU173" s="1364"/>
      <c r="AV173" s="1364"/>
      <c r="AW173" s="1364"/>
      <c r="AX173" s="1147"/>
      <c r="AZ173" s="415"/>
    </row>
    <row r="174" spans="1:80" ht="15">
      <c r="A174" s="1128" t="s">
        <v>496</v>
      </c>
      <c r="C174" s="1364"/>
      <c r="D174" s="1364">
        <f>D164+D171</f>
        <v>3.4168622439999998</v>
      </c>
      <c r="E174" s="1364">
        <f t="shared" ref="E174:S174" si="287">E164+E171</f>
        <v>2.954082262</v>
      </c>
      <c r="F174" s="1364">
        <f t="shared" si="287"/>
        <v>3.2516758590000001</v>
      </c>
      <c r="G174" s="1364">
        <f t="shared" si="287"/>
        <v>4.0039349849999999</v>
      </c>
      <c r="H174" s="1364">
        <f t="shared" si="287"/>
        <v>4.800459214</v>
      </c>
      <c r="I174" s="1364">
        <f t="shared" si="287"/>
        <v>5.4616505210000001</v>
      </c>
      <c r="J174" s="1364">
        <f t="shared" si="287"/>
        <v>6.2180324650000003</v>
      </c>
      <c r="K174" s="1364">
        <f t="shared" si="287"/>
        <v>6.2868980830000005</v>
      </c>
      <c r="L174" s="1364">
        <f t="shared" si="287"/>
        <v>6.2896370959999999</v>
      </c>
      <c r="M174" s="1368">
        <f t="shared" si="287"/>
        <v>12.835000000000001</v>
      </c>
      <c r="N174" s="1364">
        <f t="shared" si="287"/>
        <v>40.950402829618817</v>
      </c>
      <c r="O174" s="1364">
        <f t="shared" si="287"/>
        <v>42.389687017985246</v>
      </c>
      <c r="P174" s="1364">
        <f>P164+P171</f>
        <v>44.048590432895544</v>
      </c>
      <c r="Q174" s="1364">
        <f t="shared" si="287"/>
        <v>45.884962410541924</v>
      </c>
      <c r="R174" s="1364">
        <f t="shared" si="287"/>
        <v>47.915969966666793</v>
      </c>
      <c r="S174" s="1364">
        <f t="shared" si="287"/>
        <v>50.160698931161456</v>
      </c>
      <c r="T174" s="415"/>
      <c r="U174" s="415"/>
      <c r="V174" s="415"/>
      <c r="W174" s="415"/>
      <c r="X174" s="415"/>
      <c r="AA174" s="1364"/>
      <c r="AB174" s="1364">
        <f t="shared" ref="AB174:AZ174" si="288">AB164+AB171</f>
        <v>1.350843813</v>
      </c>
      <c r="AC174" s="1364">
        <f t="shared" si="288"/>
        <v>0.96190543900000003</v>
      </c>
      <c r="AD174" s="1365">
        <f t="shared" si="288"/>
        <v>1.315736861</v>
      </c>
      <c r="AE174" s="1364">
        <f t="shared" si="288"/>
        <v>1.165262416</v>
      </c>
      <c r="AF174" s="1364">
        <f t="shared" si="288"/>
        <v>1.4573045920000001</v>
      </c>
      <c r="AG174" s="1364">
        <f t="shared" si="288"/>
        <v>0.92893233500000005</v>
      </c>
      <c r="AH174" s="1365">
        <f t="shared" si="288"/>
        <v>1.274143384</v>
      </c>
      <c r="AI174" s="1364">
        <f t="shared" si="288"/>
        <v>1.1913830780000001</v>
      </c>
      <c r="AJ174" s="1364">
        <f t="shared" si="288"/>
        <v>1.6458492639999998</v>
      </c>
      <c r="AK174" s="1364">
        <f t="shared" si="288"/>
        <v>1.7363531800000001</v>
      </c>
      <c r="AL174" s="1365">
        <f t="shared" si="288"/>
        <v>0.45800206700000023</v>
      </c>
      <c r="AM174" s="1364">
        <f t="shared" si="288"/>
        <v>1.389706141</v>
      </c>
      <c r="AN174" s="1364">
        <f t="shared" si="288"/>
        <v>1.677346123</v>
      </c>
      <c r="AO174" s="1364">
        <f t="shared" si="288"/>
        <v>1.542709463</v>
      </c>
      <c r="AP174" s="1365">
        <f t="shared" si="288"/>
        <v>1.104595397</v>
      </c>
      <c r="AQ174" s="1364">
        <f t="shared" si="288"/>
        <v>1.9110310399999999</v>
      </c>
      <c r="AR174" s="1364">
        <f t="shared" si="288"/>
        <v>1.962916415</v>
      </c>
      <c r="AS174" s="1364">
        <f t="shared" si="288"/>
        <v>2.085023804</v>
      </c>
      <c r="AT174" s="1365">
        <f t="shared" si="288"/>
        <v>6.8764603099999997</v>
      </c>
      <c r="AU174" s="1364">
        <f t="shared" si="288"/>
        <v>9.4308592939999993</v>
      </c>
      <c r="AV174" s="1364">
        <f t="shared" si="288"/>
        <v>9.5855186349999997</v>
      </c>
      <c r="AW174" s="1364">
        <f t="shared" si="288"/>
        <v>10.49</v>
      </c>
      <c r="AX174" s="1368">
        <f t="shared" si="288"/>
        <v>11.444024900618814</v>
      </c>
      <c r="AY174" s="1364"/>
      <c r="AZ174" s="1364">
        <f t="shared" si="288"/>
        <v>40.950402829618817</v>
      </c>
    </row>
    <row r="175" spans="1:80" ht="15"/>
    <row r="176" spans="1:80" s="1194" customFormat="1" ht="15">
      <c r="A176" s="385" t="s">
        <v>592</v>
      </c>
      <c r="B176" s="441"/>
      <c r="C176" s="441"/>
      <c r="D176" s="441"/>
      <c r="E176" s="441"/>
      <c r="F176" s="441"/>
      <c r="G176" s="441"/>
      <c r="M176" s="1373"/>
      <c r="T176" s="43"/>
      <c r="U176" s="43"/>
      <c r="V176" s="43"/>
      <c r="W176" s="43"/>
      <c r="X176" s="43"/>
      <c r="Y176" s="43"/>
      <c r="Z176" s="43"/>
      <c r="AD176" s="1374"/>
      <c r="AH176" s="1374"/>
      <c r="AL176" s="1374"/>
      <c r="AP176" s="1374"/>
      <c r="AT176" s="1374"/>
      <c r="AX176" s="1373"/>
      <c r="BI176" s="1374"/>
      <c r="BM176" s="1374"/>
      <c r="BQ176" s="1374"/>
      <c r="BU176" s="1374"/>
      <c r="BY176" s="1374"/>
      <c r="CB176" s="1374"/>
    </row>
    <row r="177" spans="1:80" ht="15">
      <c r="B177" s="43"/>
      <c r="C177" s="43"/>
      <c r="D177" s="43"/>
      <c r="E177" s="43"/>
      <c r="F177" s="43"/>
      <c r="G177" s="43"/>
      <c r="J177" s="1364"/>
      <c r="K177" s="1364"/>
      <c r="L177" s="1364"/>
      <c r="M177" s="1368"/>
    </row>
    <row r="178" spans="1:80" ht="15">
      <c r="A178" s="516" t="s">
        <v>593</v>
      </c>
      <c r="B178" s="502"/>
      <c r="C178" s="502"/>
      <c r="D178" s="502"/>
      <c r="E178" s="502"/>
      <c r="F178" s="502"/>
      <c r="G178" s="502"/>
      <c r="J178" s="415"/>
      <c r="K178" s="415"/>
      <c r="L178" s="415"/>
      <c r="M178" s="1147"/>
    </row>
    <row r="179" spans="1:80" ht="15">
      <c r="A179" s="1128" t="s">
        <v>583</v>
      </c>
      <c r="C179" s="90">
        <f t="shared" ref="C179:I179" si="289">B182</f>
        <v>0</v>
      </c>
      <c r="D179" s="486">
        <f t="shared" si="289"/>
        <v>37.4</v>
      </c>
      <c r="E179" s="486">
        <f t="shared" si="289"/>
        <v>33.299999999999997</v>
      </c>
      <c r="F179" s="486">
        <f t="shared" si="289"/>
        <v>28.5</v>
      </c>
      <c r="G179" s="486">
        <f t="shared" si="289"/>
        <v>22.9</v>
      </c>
      <c r="H179" s="486">
        <f t="shared" si="289"/>
        <v>0</v>
      </c>
      <c r="I179" s="486">
        <f t="shared" si="289"/>
        <v>0</v>
      </c>
      <c r="J179" s="486">
        <f t="shared" ref="J179:S179" si="290">I182</f>
        <v>0</v>
      </c>
      <c r="K179" s="486">
        <f t="shared" si="290"/>
        <v>0</v>
      </c>
      <c r="L179" s="486">
        <f t="shared" si="290"/>
        <v>0</v>
      </c>
      <c r="M179" s="658">
        <f t="shared" si="290"/>
        <v>0</v>
      </c>
      <c r="N179" s="415">
        <f>M182</f>
        <v>41.1</v>
      </c>
      <c r="O179" s="415">
        <f t="shared" si="290"/>
        <v>9.8927699872938106</v>
      </c>
      <c r="P179" s="415">
        <f t="shared" si="290"/>
        <v>31.837374983960668</v>
      </c>
      <c r="Q179" s="415">
        <f t="shared" si="290"/>
        <v>46.378375199115183</v>
      </c>
      <c r="R179" s="415">
        <f t="shared" si="290"/>
        <v>57.028502195192367</v>
      </c>
      <c r="S179" s="415">
        <f t="shared" si="290"/>
        <v>66.077111396297553</v>
      </c>
      <c r="T179" s="415"/>
      <c r="U179" s="415"/>
      <c r="V179" s="415"/>
      <c r="W179" s="415"/>
      <c r="X179" s="415"/>
      <c r="AA179" s="486"/>
      <c r="AB179" s="486">
        <f>AA182</f>
        <v>0</v>
      </c>
      <c r="AC179" s="486">
        <f t="shared" ref="AC179:AX179" si="291">AB182</f>
        <v>0</v>
      </c>
      <c r="AD179" s="984">
        <f t="shared" si="291"/>
        <v>0</v>
      </c>
      <c r="AE179" s="486">
        <f t="shared" si="291"/>
        <v>0</v>
      </c>
      <c r="AF179" s="486">
        <f t="shared" si="291"/>
        <v>0</v>
      </c>
      <c r="AG179" s="486">
        <f t="shared" si="291"/>
        <v>0</v>
      </c>
      <c r="AH179" s="984">
        <f t="shared" si="291"/>
        <v>0</v>
      </c>
      <c r="AI179" s="486">
        <f t="shared" si="291"/>
        <v>0</v>
      </c>
      <c r="AJ179" s="486">
        <f t="shared" si="291"/>
        <v>0</v>
      </c>
      <c r="AK179" s="486">
        <f t="shared" si="291"/>
        <v>0</v>
      </c>
      <c r="AL179" s="984">
        <f t="shared" si="291"/>
        <v>0</v>
      </c>
      <c r="AM179" s="486">
        <f t="shared" si="291"/>
        <v>0</v>
      </c>
      <c r="AN179" s="486">
        <f t="shared" si="291"/>
        <v>0</v>
      </c>
      <c r="AO179" s="486">
        <f t="shared" si="291"/>
        <v>0</v>
      </c>
      <c r="AP179" s="984">
        <f t="shared" si="291"/>
        <v>0</v>
      </c>
      <c r="AQ179" s="486">
        <f t="shared" si="291"/>
        <v>0</v>
      </c>
      <c r="AR179" s="486">
        <f t="shared" si="291"/>
        <v>0</v>
      </c>
      <c r="AS179" s="486">
        <f t="shared" si="291"/>
        <v>0</v>
      </c>
      <c r="AT179" s="984">
        <f t="shared" si="291"/>
        <v>0</v>
      </c>
      <c r="AU179" s="486">
        <f t="shared" si="291"/>
        <v>41.1</v>
      </c>
      <c r="AV179" s="486">
        <f t="shared" si="291"/>
        <v>23.5</v>
      </c>
      <c r="AW179" s="486">
        <f>AV182</f>
        <v>9.8049999999999997</v>
      </c>
      <c r="AX179" s="658">
        <f t="shared" si="291"/>
        <v>9.81</v>
      </c>
      <c r="AZ179" s="415">
        <f>AU179</f>
        <v>41.1</v>
      </c>
    </row>
    <row r="180" spans="1:80" ht="15">
      <c r="A180" s="1128" t="s">
        <v>594</v>
      </c>
      <c r="C180" s="90">
        <f t="shared" ref="C180:S180" si="292">C162</f>
        <v>80.346051023000001</v>
      </c>
      <c r="D180" s="486">
        <f t="shared" si="292"/>
        <v>6.1886207640000066</v>
      </c>
      <c r="E180" s="486">
        <f t="shared" si="292"/>
        <v>6.2319187070000055</v>
      </c>
      <c r="F180" s="486">
        <f t="shared" si="292"/>
        <v>1.1721431599999903</v>
      </c>
      <c r="G180" s="486">
        <f t="shared" si="292"/>
        <v>7.4950244230000038</v>
      </c>
      <c r="H180" s="486">
        <f t="shared" si="292"/>
        <v>3.7079333289999994</v>
      </c>
      <c r="I180" s="486">
        <f t="shared" si="292"/>
        <v>6.1627376959999935</v>
      </c>
      <c r="J180" s="486">
        <f t="shared" si="292"/>
        <v>0.83727022000000773</v>
      </c>
      <c r="K180" s="486">
        <f t="shared" si="292"/>
        <v>12.567233870999999</v>
      </c>
      <c r="L180" s="486">
        <f t="shared" si="292"/>
        <v>11.927279145</v>
      </c>
      <c r="M180" s="658">
        <f t="shared" si="292"/>
        <v>14.373131479999998</v>
      </c>
      <c r="N180" s="415">
        <f t="shared" si="292"/>
        <v>29.7906092342938</v>
      </c>
      <c r="O180" s="415">
        <f t="shared" si="292"/>
        <v>26.890989990313763</v>
      </c>
      <c r="P180" s="415">
        <f t="shared" si="292"/>
        <v>30.459687707134851</v>
      </c>
      <c r="Q180" s="415">
        <f t="shared" si="292"/>
        <v>33.839314595634775</v>
      </c>
      <c r="R180" s="415">
        <f t="shared" si="292"/>
        <v>37.562860298701381</v>
      </c>
      <c r="S180" s="415">
        <f t="shared" si="292"/>
        <v>41.666096527447102</v>
      </c>
      <c r="T180" s="415"/>
      <c r="U180" s="415"/>
      <c r="V180" s="415"/>
      <c r="W180" s="415"/>
      <c r="X180" s="415"/>
      <c r="AA180" s="486"/>
      <c r="AB180" s="486">
        <f>AB162</f>
        <v>0.63854002099999718</v>
      </c>
      <c r="AC180" s="486">
        <f t="shared" ref="AC180:AT180" si="293">AC162</f>
        <v>1.3888767880000046</v>
      </c>
      <c r="AD180" s="984">
        <f t="shared" si="293"/>
        <v>2.0797079629999899</v>
      </c>
      <c r="AE180" s="486">
        <f t="shared" si="293"/>
        <v>-0.80561775099998556</v>
      </c>
      <c r="AF180" s="486">
        <f t="shared" si="293"/>
        <v>1.0776597559999885</v>
      </c>
      <c r="AG180" s="486">
        <f t="shared" si="293"/>
        <v>0.19335721400000239</v>
      </c>
      <c r="AH180" s="984">
        <f t="shared" si="293"/>
        <v>-0.75571707100000651</v>
      </c>
      <c r="AI180" s="486">
        <f t="shared" si="293"/>
        <v>-1.2911536010000049</v>
      </c>
      <c r="AJ180" s="486">
        <f t="shared" si="293"/>
        <v>5.1623772930000058</v>
      </c>
      <c r="AK180" s="486">
        <f t="shared" si="293"/>
        <v>0.80372970200001248</v>
      </c>
      <c r="AL180" s="984">
        <f t="shared" si="293"/>
        <v>9.3488155189999844</v>
      </c>
      <c r="AM180" s="486">
        <f t="shared" si="293"/>
        <v>-4.0836344949999841</v>
      </c>
      <c r="AN180" s="486">
        <f t="shared" si="293"/>
        <v>0.14381999299999393</v>
      </c>
      <c r="AO180" s="486">
        <f t="shared" si="293"/>
        <v>0.165300000000002</v>
      </c>
      <c r="AP180" s="984">
        <f t="shared" si="293"/>
        <v>11.186699172999994</v>
      </c>
      <c r="AQ180" s="486">
        <f t="shared" si="293"/>
        <v>0.48835040000001584</v>
      </c>
      <c r="AR180" s="486">
        <f t="shared" si="293"/>
        <v>2.553136264999992</v>
      </c>
      <c r="AS180" s="486">
        <f t="shared" si="293"/>
        <v>1.8135665960000011</v>
      </c>
      <c r="AT180" s="984">
        <f t="shared" si="293"/>
        <v>8.5553424879999938</v>
      </c>
      <c r="AU180" s="486">
        <f>AU162</f>
        <v>1.1551673000000164</v>
      </c>
      <c r="AV180" s="486">
        <f>AV162</f>
        <v>18.599865900999987</v>
      </c>
      <c r="AW180" s="486">
        <f>AW162</f>
        <v>5.0478060459999909</v>
      </c>
      <c r="AX180" s="658">
        <f>AX162</f>
        <v>4.9877699872938059</v>
      </c>
      <c r="AZ180" s="415">
        <f>SUM(AU180:AX180)</f>
        <v>29.7906092342938</v>
      </c>
    </row>
    <row r="181" spans="1:80" ht="15">
      <c r="A181" s="1128" t="s">
        <v>595</v>
      </c>
      <c r="C181" s="90">
        <f t="shared" ref="C181:M181" si="294">C182-C179-C180</f>
        <v>-42.946051023000003</v>
      </c>
      <c r="D181" s="486">
        <f t="shared" si="294"/>
        <v>-10.288620764000008</v>
      </c>
      <c r="E181" s="486">
        <f t="shared" si="294"/>
        <v>-11.031918707000003</v>
      </c>
      <c r="F181" s="486">
        <f t="shared" si="294"/>
        <v>-6.7721431599999917</v>
      </c>
      <c r="G181" s="486">
        <f t="shared" si="294"/>
        <v>-30.395024423000002</v>
      </c>
      <c r="H181" s="486">
        <f t="shared" si="294"/>
        <v>-3.7079333289999994</v>
      </c>
      <c r="I181" s="486">
        <f t="shared" si="294"/>
        <v>-6.1627376959999935</v>
      </c>
      <c r="J181" s="486">
        <f t="shared" si="294"/>
        <v>-0.83727022000000773</v>
      </c>
      <c r="K181" s="486">
        <f t="shared" si="294"/>
        <v>-12.567233870999999</v>
      </c>
      <c r="L181" s="486">
        <f t="shared" si="294"/>
        <v>-11.927279145</v>
      </c>
      <c r="M181" s="658">
        <f t="shared" si="294"/>
        <v>26.726868520000004</v>
      </c>
      <c r="N181" s="1388">
        <f>AZ181</f>
        <v>-60.997839246999995</v>
      </c>
      <c r="O181" s="1388">
        <f>-N182/2</f>
        <v>-4.9463849936469053</v>
      </c>
      <c r="P181" s="1388">
        <f>-O182/2</f>
        <v>-15.918687491980334</v>
      </c>
      <c r="Q181" s="1388">
        <f>-P182/2</f>
        <v>-23.189187599557592</v>
      </c>
      <c r="R181" s="1388">
        <f>-Q182/2</f>
        <v>-28.514251097596183</v>
      </c>
      <c r="S181" s="1388">
        <f>-R182/2</f>
        <v>-33.038555698148777</v>
      </c>
      <c r="T181" s="415"/>
      <c r="U181" s="415"/>
      <c r="V181" s="415"/>
      <c r="W181" s="415"/>
      <c r="X181" s="415"/>
      <c r="Z181" s="397"/>
      <c r="AA181" s="486"/>
      <c r="AB181" s="486">
        <f t="shared" ref="AB181:AT181" si="295">-AA182/5</f>
        <v>0</v>
      </c>
      <c r="AC181" s="486">
        <f t="shared" si="295"/>
        <v>0</v>
      </c>
      <c r="AD181" s="984">
        <f t="shared" si="295"/>
        <v>0</v>
      </c>
      <c r="AE181" s="486">
        <f t="shared" si="295"/>
        <v>0</v>
      </c>
      <c r="AF181" s="486">
        <f t="shared" si="295"/>
        <v>0</v>
      </c>
      <c r="AG181" s="486">
        <f t="shared" si="295"/>
        <v>0</v>
      </c>
      <c r="AH181" s="984">
        <f t="shared" si="295"/>
        <v>0</v>
      </c>
      <c r="AI181" s="486">
        <f t="shared" si="295"/>
        <v>0</v>
      </c>
      <c r="AJ181" s="486">
        <f t="shared" si="295"/>
        <v>0</v>
      </c>
      <c r="AK181" s="486">
        <f t="shared" si="295"/>
        <v>0</v>
      </c>
      <c r="AL181" s="984">
        <f t="shared" si="295"/>
        <v>0</v>
      </c>
      <c r="AM181" s="486">
        <f t="shared" si="295"/>
        <v>0</v>
      </c>
      <c r="AN181" s="486">
        <f t="shared" si="295"/>
        <v>0</v>
      </c>
      <c r="AO181" s="486">
        <f t="shared" si="295"/>
        <v>0</v>
      </c>
      <c r="AP181" s="984">
        <f t="shared" si="295"/>
        <v>0</v>
      </c>
      <c r="AQ181" s="486">
        <f t="shared" si="295"/>
        <v>0</v>
      </c>
      <c r="AR181" s="486">
        <f t="shared" si="295"/>
        <v>0</v>
      </c>
      <c r="AS181" s="486">
        <f t="shared" si="295"/>
        <v>0</v>
      </c>
      <c r="AT181" s="984">
        <f t="shared" si="295"/>
        <v>0</v>
      </c>
      <c r="AU181" s="486">
        <f>AU182-AU179-AU180</f>
        <v>-18.755167300000018</v>
      </c>
      <c r="AV181" s="486">
        <f>AV182-AV179-AV180</f>
        <v>-32.294865900999987</v>
      </c>
      <c r="AW181" s="486">
        <f>AW182-AW179-AW180</f>
        <v>-5.0428060459999902</v>
      </c>
      <c r="AX181" s="694">
        <f>-AW182/2</f>
        <v>-4.9050000000000002</v>
      </c>
      <c r="AZ181" s="415">
        <f>SUM(AU181:AX181)</f>
        <v>-60.997839246999995</v>
      </c>
    </row>
    <row r="182" spans="1:80" s="397" customFormat="1" ht="15">
      <c r="A182" s="511" t="s">
        <v>587</v>
      </c>
      <c r="B182" s="410"/>
      <c r="C182" s="466">
        <f t="shared" ref="C182:M182" si="296">C126</f>
        <v>37.4</v>
      </c>
      <c r="D182" s="608">
        <f t="shared" si="296"/>
        <v>33.299999999999997</v>
      </c>
      <c r="E182" s="608">
        <f t="shared" si="296"/>
        <v>28.5</v>
      </c>
      <c r="F182" s="608">
        <f t="shared" si="296"/>
        <v>22.9</v>
      </c>
      <c r="G182" s="608">
        <f t="shared" si="296"/>
        <v>0</v>
      </c>
      <c r="H182" s="608">
        <f t="shared" si="296"/>
        <v>0</v>
      </c>
      <c r="I182" s="608">
        <f t="shared" si="296"/>
        <v>0</v>
      </c>
      <c r="J182" s="608">
        <f t="shared" si="296"/>
        <v>0</v>
      </c>
      <c r="K182" s="608">
        <f t="shared" si="296"/>
        <v>0</v>
      </c>
      <c r="L182" s="608">
        <f t="shared" si="296"/>
        <v>0</v>
      </c>
      <c r="M182" s="659">
        <f t="shared" si="296"/>
        <v>41.1</v>
      </c>
      <c r="N182" s="417">
        <f t="shared" ref="N182:S182" si="297">N179+N180+N181</f>
        <v>9.8927699872938106</v>
      </c>
      <c r="O182" s="417">
        <f t="shared" si="297"/>
        <v>31.837374983960668</v>
      </c>
      <c r="P182" s="417">
        <f t="shared" si="297"/>
        <v>46.378375199115183</v>
      </c>
      <c r="Q182" s="417">
        <f t="shared" si="297"/>
        <v>57.028502195192367</v>
      </c>
      <c r="R182" s="417">
        <f t="shared" si="297"/>
        <v>66.077111396297553</v>
      </c>
      <c r="S182" s="417">
        <f t="shared" si="297"/>
        <v>74.704652225595879</v>
      </c>
      <c r="T182" s="417"/>
      <c r="U182" s="417"/>
      <c r="V182" s="417"/>
      <c r="W182" s="417"/>
      <c r="X182" s="417"/>
      <c r="Z182" s="608"/>
      <c r="AA182" s="608">
        <f t="shared" ref="AA182:AW182" si="298">AA126</f>
        <v>0</v>
      </c>
      <c r="AB182" s="608">
        <f t="shared" si="298"/>
        <v>0</v>
      </c>
      <c r="AC182" s="608">
        <f t="shared" si="298"/>
        <v>0</v>
      </c>
      <c r="AD182" s="986">
        <f t="shared" si="298"/>
        <v>0</v>
      </c>
      <c r="AE182" s="608">
        <f t="shared" si="298"/>
        <v>0</v>
      </c>
      <c r="AF182" s="608">
        <f t="shared" si="298"/>
        <v>0</v>
      </c>
      <c r="AG182" s="608">
        <f t="shared" si="298"/>
        <v>0</v>
      </c>
      <c r="AH182" s="986">
        <f t="shared" si="298"/>
        <v>0</v>
      </c>
      <c r="AI182" s="608">
        <f t="shared" si="298"/>
        <v>0</v>
      </c>
      <c r="AJ182" s="608">
        <f t="shared" si="298"/>
        <v>0</v>
      </c>
      <c r="AK182" s="608">
        <f t="shared" si="298"/>
        <v>0</v>
      </c>
      <c r="AL182" s="986">
        <f t="shared" si="298"/>
        <v>0</v>
      </c>
      <c r="AM182" s="608">
        <f t="shared" si="298"/>
        <v>0</v>
      </c>
      <c r="AN182" s="608">
        <f t="shared" si="298"/>
        <v>0</v>
      </c>
      <c r="AO182" s="608">
        <f t="shared" si="298"/>
        <v>0</v>
      </c>
      <c r="AP182" s="986">
        <f t="shared" si="298"/>
        <v>0</v>
      </c>
      <c r="AQ182" s="608">
        <f t="shared" si="298"/>
        <v>0</v>
      </c>
      <c r="AR182" s="608">
        <f t="shared" si="298"/>
        <v>0</v>
      </c>
      <c r="AS182" s="608">
        <f t="shared" si="298"/>
        <v>0</v>
      </c>
      <c r="AT182" s="986">
        <f t="shared" si="298"/>
        <v>41.1</v>
      </c>
      <c r="AU182" s="608">
        <f t="shared" si="298"/>
        <v>23.5</v>
      </c>
      <c r="AV182" s="608">
        <f t="shared" si="298"/>
        <v>9.8049999999999997</v>
      </c>
      <c r="AW182" s="608">
        <f t="shared" si="298"/>
        <v>9.81</v>
      </c>
      <c r="AX182" s="666">
        <f>AX179+AX180+AX181</f>
        <v>9.8927699872938071</v>
      </c>
      <c r="AZ182" s="417">
        <f>AX182</f>
        <v>9.8927699872938071</v>
      </c>
      <c r="BI182" s="468"/>
      <c r="BM182" s="468"/>
      <c r="BQ182" s="468"/>
      <c r="BU182" s="468"/>
      <c r="BY182" s="468"/>
      <c r="CB182" s="468"/>
    </row>
    <row r="183" spans="1:80" s="397" customFormat="1" ht="15">
      <c r="A183" s="511"/>
      <c r="B183" s="410"/>
      <c r="C183" s="466"/>
      <c r="D183" s="608"/>
      <c r="E183" s="608"/>
      <c r="F183" s="608"/>
      <c r="G183" s="608"/>
      <c r="H183" s="608"/>
      <c r="I183" s="608"/>
      <c r="J183" s="608"/>
      <c r="K183" s="608"/>
      <c r="L183" s="608"/>
      <c r="M183" s="659"/>
      <c r="Z183" s="43"/>
      <c r="AA183" s="608"/>
      <c r="AB183" s="608"/>
      <c r="AC183" s="608"/>
      <c r="AD183" s="986"/>
      <c r="AE183" s="608"/>
      <c r="AF183" s="608"/>
      <c r="AG183" s="608"/>
      <c r="AH183" s="986"/>
      <c r="AI183" s="608"/>
      <c r="AJ183" s="608"/>
      <c r="AK183" s="608"/>
      <c r="AL183" s="986"/>
      <c r="AM183" s="608"/>
      <c r="AN183" s="608"/>
      <c r="AO183" s="608"/>
      <c r="AP183" s="986"/>
      <c r="AQ183" s="608"/>
      <c r="AR183" s="608"/>
      <c r="AS183" s="608"/>
      <c r="AT183" s="986"/>
      <c r="AU183" s="608"/>
      <c r="AV183" s="608"/>
      <c r="AW183" s="608"/>
      <c r="AX183" s="676"/>
      <c r="BI183" s="468"/>
      <c r="BM183" s="468"/>
      <c r="BQ183" s="468"/>
      <c r="BU183" s="468"/>
      <c r="BY183" s="468"/>
      <c r="CB183" s="468"/>
    </row>
    <row r="184" spans="1:80" ht="15">
      <c r="A184" s="1128" t="s">
        <v>596</v>
      </c>
      <c r="C184" s="90">
        <f t="shared" ref="C184:S184" si="299">AVERAGE(B182:C182)</f>
        <v>37.4</v>
      </c>
      <c r="D184" s="486">
        <f t="shared" si="299"/>
        <v>35.349999999999994</v>
      </c>
      <c r="E184" s="486">
        <f t="shared" si="299"/>
        <v>30.9</v>
      </c>
      <c r="F184" s="486">
        <f t="shared" si="299"/>
        <v>25.7</v>
      </c>
      <c r="G184" s="486">
        <f t="shared" si="299"/>
        <v>11.45</v>
      </c>
      <c r="H184" s="486">
        <f t="shared" si="299"/>
        <v>0</v>
      </c>
      <c r="I184" s="486">
        <f t="shared" si="299"/>
        <v>0</v>
      </c>
      <c r="J184" s="486">
        <f t="shared" si="299"/>
        <v>0</v>
      </c>
      <c r="K184" s="486">
        <f t="shared" si="299"/>
        <v>0</v>
      </c>
      <c r="L184" s="486">
        <f t="shared" si="299"/>
        <v>0</v>
      </c>
      <c r="M184" s="658">
        <f t="shared" si="299"/>
        <v>20.55</v>
      </c>
      <c r="N184" s="486">
        <f t="shared" si="299"/>
        <v>25.496384993646906</v>
      </c>
      <c r="O184" s="486">
        <f t="shared" si="299"/>
        <v>20.865072485627238</v>
      </c>
      <c r="P184" s="486">
        <f t="shared" si="299"/>
        <v>39.107875091537927</v>
      </c>
      <c r="Q184" s="486">
        <f t="shared" si="299"/>
        <v>51.703438697153771</v>
      </c>
      <c r="R184" s="486">
        <f t="shared" si="299"/>
        <v>61.552806795744957</v>
      </c>
      <c r="S184" s="486">
        <f t="shared" si="299"/>
        <v>70.390881810946723</v>
      </c>
      <c r="T184" s="486"/>
      <c r="U184" s="486"/>
      <c r="V184" s="486"/>
      <c r="W184" s="486"/>
      <c r="X184" s="486"/>
      <c r="AA184" s="486"/>
      <c r="AB184" s="486">
        <f t="shared" ref="AB184:AX184" si="300">AVERAGE(AA182:AB182)</f>
        <v>0</v>
      </c>
      <c r="AC184" s="486">
        <f t="shared" si="300"/>
        <v>0</v>
      </c>
      <c r="AD184" s="984">
        <f t="shared" si="300"/>
        <v>0</v>
      </c>
      <c r="AE184" s="486">
        <f t="shared" si="300"/>
        <v>0</v>
      </c>
      <c r="AF184" s="486">
        <f t="shared" si="300"/>
        <v>0</v>
      </c>
      <c r="AG184" s="486">
        <f t="shared" si="300"/>
        <v>0</v>
      </c>
      <c r="AH184" s="984">
        <f t="shared" si="300"/>
        <v>0</v>
      </c>
      <c r="AI184" s="486">
        <f t="shared" si="300"/>
        <v>0</v>
      </c>
      <c r="AJ184" s="486">
        <f t="shared" si="300"/>
        <v>0</v>
      </c>
      <c r="AK184" s="486">
        <f t="shared" si="300"/>
        <v>0</v>
      </c>
      <c r="AL184" s="984">
        <f t="shared" si="300"/>
        <v>0</v>
      </c>
      <c r="AM184" s="486">
        <f t="shared" si="300"/>
        <v>0</v>
      </c>
      <c r="AN184" s="486">
        <f t="shared" si="300"/>
        <v>0</v>
      </c>
      <c r="AO184" s="486">
        <f t="shared" si="300"/>
        <v>0</v>
      </c>
      <c r="AP184" s="984">
        <f t="shared" si="300"/>
        <v>0</v>
      </c>
      <c r="AQ184" s="486">
        <f t="shared" si="300"/>
        <v>0</v>
      </c>
      <c r="AR184" s="486">
        <f t="shared" si="300"/>
        <v>0</v>
      </c>
      <c r="AS184" s="486">
        <f t="shared" si="300"/>
        <v>0</v>
      </c>
      <c r="AT184" s="984">
        <f t="shared" si="300"/>
        <v>20.55</v>
      </c>
      <c r="AU184" s="486">
        <f t="shared" si="300"/>
        <v>32.299999999999997</v>
      </c>
      <c r="AV184" s="486">
        <f t="shared" si="300"/>
        <v>16.6525</v>
      </c>
      <c r="AW184" s="486">
        <f t="shared" si="300"/>
        <v>9.807500000000001</v>
      </c>
      <c r="AX184" s="658">
        <f t="shared" si="300"/>
        <v>9.8513849936469029</v>
      </c>
      <c r="AZ184" s="415">
        <f>AVERAGE(AX182,AT182)</f>
        <v>25.496384993646906</v>
      </c>
    </row>
    <row r="185" spans="1:80" ht="15">
      <c r="A185" s="1128" t="s">
        <v>597</v>
      </c>
      <c r="C185" s="90">
        <f t="shared" ref="C185:S185" si="301">-C184*C186</f>
        <v>-2.6180000000000003</v>
      </c>
      <c r="D185" s="486">
        <f t="shared" si="301"/>
        <v>-2.4744999999999999</v>
      </c>
      <c r="E185" s="486">
        <f t="shared" si="301"/>
        <v>-2.1630000000000003</v>
      </c>
      <c r="F185" s="486">
        <f t="shared" si="301"/>
        <v>-1.7990000000000002</v>
      </c>
      <c r="G185" s="486">
        <f t="shared" si="301"/>
        <v>-0.80149999999999999</v>
      </c>
      <c r="H185" s="486">
        <f t="shared" si="301"/>
        <v>0</v>
      </c>
      <c r="I185" s="486">
        <f t="shared" si="301"/>
        <v>0</v>
      </c>
      <c r="J185" s="486">
        <f t="shared" si="301"/>
        <v>0</v>
      </c>
      <c r="K185" s="486">
        <f t="shared" si="301"/>
        <v>0</v>
      </c>
      <c r="L185" s="486">
        <f t="shared" si="301"/>
        <v>0</v>
      </c>
      <c r="M185" s="658">
        <f t="shared" si="301"/>
        <v>-1.4385000000000001</v>
      </c>
      <c r="N185" s="486">
        <f t="shared" si="301"/>
        <v>-1.7712788248199955</v>
      </c>
      <c r="O185" s="486">
        <f t="shared" si="301"/>
        <v>-1.4001261209460882</v>
      </c>
      <c r="P185" s="486">
        <f t="shared" si="301"/>
        <v>-2.5316827746865456</v>
      </c>
      <c r="Q185" s="486">
        <f t="shared" si="301"/>
        <v>-3.2246370058916463</v>
      </c>
      <c r="R185" s="486">
        <f t="shared" si="301"/>
        <v>-3.6931684077446971</v>
      </c>
      <c r="S185" s="486">
        <f t="shared" si="301"/>
        <v>-4.2234529086568031</v>
      </c>
      <c r="T185" s="486"/>
      <c r="U185" s="486"/>
      <c r="V185" s="486"/>
      <c r="W185" s="486"/>
      <c r="X185" s="486"/>
      <c r="Z185" s="486"/>
      <c r="AA185" s="486">
        <f>-AA184*$B$185</f>
        <v>0</v>
      </c>
      <c r="AB185" s="486">
        <f>-AB184*$B$185</f>
        <v>0</v>
      </c>
      <c r="AC185" s="486">
        <f t="shared" ref="AC185:AS185" si="302">-AC184*$B$185</f>
        <v>0</v>
      </c>
      <c r="AD185" s="984">
        <f t="shared" si="302"/>
        <v>0</v>
      </c>
      <c r="AE185" s="486">
        <f t="shared" si="302"/>
        <v>0</v>
      </c>
      <c r="AF185" s="486">
        <f t="shared" si="302"/>
        <v>0</v>
      </c>
      <c r="AG185" s="486">
        <f t="shared" si="302"/>
        <v>0</v>
      </c>
      <c r="AH185" s="984">
        <f t="shared" si="302"/>
        <v>0</v>
      </c>
      <c r="AI185" s="486">
        <f t="shared" si="302"/>
        <v>0</v>
      </c>
      <c r="AJ185" s="486">
        <f t="shared" si="302"/>
        <v>0</v>
      </c>
      <c r="AK185" s="486">
        <f t="shared" si="302"/>
        <v>0</v>
      </c>
      <c r="AL185" s="984">
        <f t="shared" si="302"/>
        <v>0</v>
      </c>
      <c r="AM185" s="486">
        <f t="shared" si="302"/>
        <v>0</v>
      </c>
      <c r="AN185" s="486">
        <f t="shared" si="302"/>
        <v>0</v>
      </c>
      <c r="AO185" s="486">
        <f t="shared" si="302"/>
        <v>0</v>
      </c>
      <c r="AP185" s="984">
        <f t="shared" si="302"/>
        <v>0</v>
      </c>
      <c r="AQ185" s="486">
        <f t="shared" si="302"/>
        <v>0</v>
      </c>
      <c r="AR185" s="486">
        <f t="shared" si="302"/>
        <v>0</v>
      </c>
      <c r="AS185" s="486">
        <f t="shared" si="302"/>
        <v>0</v>
      </c>
      <c r="AT185" s="984">
        <f>-AT184*AT186/4</f>
        <v>-0.35962500000000003</v>
      </c>
      <c r="AU185" s="486">
        <f>-AU184*AU186/4</f>
        <v>-0.88824999999999987</v>
      </c>
      <c r="AV185" s="486">
        <f>-AV184*AV186/4</f>
        <v>-0.39549687500000003</v>
      </c>
      <c r="AW185" s="486">
        <f>-AW184*AW186/4</f>
        <v>-0.20840937500000004</v>
      </c>
      <c r="AX185" s="658">
        <f>-AX184*AX186/3</f>
        <v>-0.27912257481999564</v>
      </c>
      <c r="AZ185" s="415">
        <f>SUM(AU185:AX185)</f>
        <v>-1.7712788248199955</v>
      </c>
    </row>
    <row r="186" spans="1:80" ht="15">
      <c r="A186" s="588" t="s">
        <v>598</v>
      </c>
      <c r="C186" s="589">
        <v>7.0000000000000007E-2</v>
      </c>
      <c r="D186" s="645">
        <v>7.0000000000000007E-2</v>
      </c>
      <c r="E186" s="645">
        <f t="shared" ref="E186:M186" si="303">D186</f>
        <v>7.0000000000000007E-2</v>
      </c>
      <c r="F186" s="645">
        <f t="shared" si="303"/>
        <v>7.0000000000000007E-2</v>
      </c>
      <c r="G186" s="645">
        <f t="shared" si="303"/>
        <v>7.0000000000000007E-2</v>
      </c>
      <c r="H186" s="645">
        <f t="shared" si="303"/>
        <v>7.0000000000000007E-2</v>
      </c>
      <c r="I186" s="645">
        <f t="shared" si="303"/>
        <v>7.0000000000000007E-2</v>
      </c>
      <c r="J186" s="645">
        <f t="shared" si="303"/>
        <v>7.0000000000000007E-2</v>
      </c>
      <c r="K186" s="645">
        <f t="shared" si="303"/>
        <v>7.0000000000000007E-2</v>
      </c>
      <c r="L186" s="645">
        <f t="shared" si="303"/>
        <v>7.0000000000000007E-2</v>
      </c>
      <c r="M186" s="685">
        <f t="shared" si="303"/>
        <v>7.0000000000000007E-2</v>
      </c>
      <c r="N186" s="649">
        <f>AZ186</f>
        <v>6.9471763360231503E-2</v>
      </c>
      <c r="O186" s="702">
        <f>N186-($N186-$R186)/4</f>
        <v>6.7103822520173634E-2</v>
      </c>
      <c r="P186" s="702">
        <f>O186-($N186-$R186)/4</f>
        <v>6.4735881680115764E-2</v>
      </c>
      <c r="Q186" s="702">
        <f>P186-($N186-$R186)/4</f>
        <v>6.2367940840057888E-2</v>
      </c>
      <c r="R186" s="646">
        <f>R202+0.5%</f>
        <v>0.06</v>
      </c>
      <c r="S186" s="646">
        <f>R186</f>
        <v>0.06</v>
      </c>
      <c r="T186" s="645"/>
      <c r="U186" s="645"/>
      <c r="V186" s="645"/>
      <c r="W186" s="645"/>
      <c r="X186" s="486"/>
      <c r="Z186" s="486"/>
      <c r="AA186" s="645">
        <v>7.0000000000000007E-2</v>
      </c>
      <c r="AB186" s="645">
        <f>AA186</f>
        <v>7.0000000000000007E-2</v>
      </c>
      <c r="AC186" s="645">
        <v>7.0000000000000007E-2</v>
      </c>
      <c r="AD186" s="994">
        <v>7.0000000000000007E-2</v>
      </c>
      <c r="AE186" s="645">
        <v>7.0000000000000007E-2</v>
      </c>
      <c r="AF186" s="645">
        <v>7.0000000000000007E-2</v>
      </c>
      <c r="AG186" s="645">
        <v>7.0000000000000007E-2</v>
      </c>
      <c r="AH186" s="994">
        <v>7.0000000000000007E-2</v>
      </c>
      <c r="AI186" s="645">
        <v>7.0000000000000007E-2</v>
      </c>
      <c r="AJ186" s="645">
        <v>7.0000000000000007E-2</v>
      </c>
      <c r="AK186" s="645">
        <v>7.0000000000000007E-2</v>
      </c>
      <c r="AL186" s="994">
        <v>7.0000000000000007E-2</v>
      </c>
      <c r="AM186" s="645">
        <v>7.0000000000000007E-2</v>
      </c>
      <c r="AN186" s="645">
        <v>7.0000000000000007E-2</v>
      </c>
      <c r="AO186" s="645">
        <v>7.0000000000000007E-2</v>
      </c>
      <c r="AP186" s="994">
        <v>7.0000000000000007E-2</v>
      </c>
      <c r="AQ186" s="645">
        <v>7.0000000000000007E-2</v>
      </c>
      <c r="AR186" s="645">
        <v>7.0000000000000007E-2</v>
      </c>
      <c r="AS186" s="645">
        <v>7.0000000000000007E-2</v>
      </c>
      <c r="AT186" s="994">
        <f>AS186</f>
        <v>7.0000000000000007E-2</v>
      </c>
      <c r="AU186" s="645">
        <v>0.11</v>
      </c>
      <c r="AV186" s="645">
        <v>9.5000000000000001E-2</v>
      </c>
      <c r="AW186" s="645">
        <v>8.5000000000000006E-2</v>
      </c>
      <c r="AX186" s="677">
        <f>AW186</f>
        <v>8.5000000000000006E-2</v>
      </c>
      <c r="AZ186" s="645">
        <f>-AZ185/AZ184</f>
        <v>6.9471763360231503E-2</v>
      </c>
    </row>
    <row r="187" spans="1:80" ht="15">
      <c r="C187" s="43"/>
      <c r="D187" s="43"/>
      <c r="E187" s="43"/>
      <c r="F187" s="43"/>
      <c r="G187" s="43"/>
    </row>
    <row r="188" spans="1:80" ht="15">
      <c r="A188" s="516" t="s">
        <v>599</v>
      </c>
      <c r="B188" s="502"/>
      <c r="C188" s="43"/>
      <c r="D188" s="43"/>
      <c r="E188" s="43"/>
      <c r="F188" s="43"/>
      <c r="G188" s="43"/>
    </row>
    <row r="189" spans="1:80" ht="15">
      <c r="A189" s="303" t="s">
        <v>600</v>
      </c>
      <c r="B189" s="43"/>
      <c r="C189" s="1364">
        <f>B193</f>
        <v>0</v>
      </c>
      <c r="D189" s="1364">
        <f>C193</f>
        <v>241.67538224800001</v>
      </c>
      <c r="E189" s="1364">
        <f>D193</f>
        <v>453.98326474100003</v>
      </c>
      <c r="F189" s="1364">
        <f>E193</f>
        <v>603.10450639099997</v>
      </c>
      <c r="G189" s="1364">
        <f>F193</f>
        <v>422.90698452300001</v>
      </c>
      <c r="H189" s="1364">
        <f t="shared" ref="H189:M189" si="304">G193</f>
        <v>342.56903368600001</v>
      </c>
      <c r="I189" s="1364">
        <f t="shared" si="304"/>
        <v>620.94444701600003</v>
      </c>
      <c r="J189" s="1364">
        <f t="shared" si="304"/>
        <v>836.88413476999995</v>
      </c>
      <c r="K189" s="1364">
        <f t="shared" si="304"/>
        <v>620.25172500600002</v>
      </c>
      <c r="L189" s="1364">
        <f t="shared" si="304"/>
        <v>629.601074208</v>
      </c>
      <c r="M189" s="1368">
        <f t="shared" si="304"/>
        <v>1117.227937872</v>
      </c>
      <c r="N189" s="1364">
        <f t="shared" ref="N189:S189" si="305">M193</f>
        <v>1914.8263759930001</v>
      </c>
      <c r="O189" s="1364">
        <f t="shared" si="305"/>
        <v>2044.1526201003826</v>
      </c>
      <c r="P189" s="1364">
        <f t="shared" si="305"/>
        <v>2136.4672238885714</v>
      </c>
      <c r="Q189" s="1364">
        <f t="shared" si="305"/>
        <v>2369.1798359273362</v>
      </c>
      <c r="R189" s="1364">
        <f t="shared" si="305"/>
        <v>2601.5665573650131</v>
      </c>
      <c r="S189" s="1364">
        <f t="shared" si="305"/>
        <v>2766.895493293754</v>
      </c>
      <c r="T189" s="1364"/>
      <c r="U189" s="1364"/>
      <c r="V189" s="1364"/>
      <c r="W189" s="1364"/>
      <c r="X189" s="1364"/>
      <c r="AA189" s="1364"/>
      <c r="AB189" s="1364">
        <f t="shared" ref="AB189:AX189" si="306">AA193</f>
        <v>560.92544109300002</v>
      </c>
      <c r="AC189" s="1364">
        <f t="shared" si="306"/>
        <v>501.17501431900001</v>
      </c>
      <c r="AD189" s="1365">
        <f t="shared" si="306"/>
        <v>644.61825578499997</v>
      </c>
      <c r="AE189" s="1364">
        <f t="shared" si="306"/>
        <v>836.88413476999995</v>
      </c>
      <c r="AF189" s="1364">
        <f t="shared" si="306"/>
        <v>809.84537202000001</v>
      </c>
      <c r="AG189" s="1364">
        <f t="shared" si="306"/>
        <v>934.32833514000004</v>
      </c>
      <c r="AH189" s="1365">
        <f t="shared" si="306"/>
        <v>594.19351556399999</v>
      </c>
      <c r="AI189" s="1364">
        <f t="shared" si="306"/>
        <v>620.25172500600002</v>
      </c>
      <c r="AJ189" s="1364">
        <f t="shared" si="306"/>
        <v>510.93424370299999</v>
      </c>
      <c r="AK189" s="1364">
        <f t="shared" si="306"/>
        <v>529.06149662999997</v>
      </c>
      <c r="AL189" s="1365">
        <f t="shared" si="306"/>
        <v>474.04531081099998</v>
      </c>
      <c r="AM189" s="1364">
        <f t="shared" si="306"/>
        <v>629.601074208</v>
      </c>
      <c r="AN189" s="1364">
        <f t="shared" si="306"/>
        <v>675.78344246999995</v>
      </c>
      <c r="AO189" s="1364">
        <f t="shared" si="306"/>
        <v>612.01809300299999</v>
      </c>
      <c r="AP189" s="1365">
        <f t="shared" si="306"/>
        <v>1067.3626280650001</v>
      </c>
      <c r="AQ189" s="1364">
        <f t="shared" si="306"/>
        <v>1117.227937872</v>
      </c>
      <c r="AR189" s="1364">
        <f t="shared" si="306"/>
        <v>1978.9143955049999</v>
      </c>
      <c r="AS189" s="1364">
        <f t="shared" si="306"/>
        <v>1243.4153264050001</v>
      </c>
      <c r="AT189" s="1365">
        <f t="shared" si="306"/>
        <v>2372.42427864</v>
      </c>
      <c r="AU189" s="1364">
        <f t="shared" si="306"/>
        <v>1914.7463759930001</v>
      </c>
      <c r="AV189" s="1364">
        <f t="shared" si="306"/>
        <v>1752.303244014</v>
      </c>
      <c r="AW189" s="1364">
        <f t="shared" si="306"/>
        <v>2120.7407170880001</v>
      </c>
      <c r="AX189" s="1368">
        <f t="shared" si="306"/>
        <v>2022.13</v>
      </c>
      <c r="AZ189" s="1364">
        <f>AU189</f>
        <v>1914.7463759930001</v>
      </c>
    </row>
    <row r="190" spans="1:80" s="427" customFormat="1" ht="15">
      <c r="A190" s="512" t="s">
        <v>601</v>
      </c>
      <c r="B190" s="431"/>
      <c r="C190" s="498">
        <f>'A. Raw FS'!C205</f>
        <v>1761.374644878</v>
      </c>
      <c r="D190" s="498">
        <f>'A. Raw FS'!D205</f>
        <v>2578.5145385730002</v>
      </c>
      <c r="E190" s="498">
        <f>'A. Raw FS'!E205</f>
        <v>3803.6416456010002</v>
      </c>
      <c r="F190" s="498">
        <f>'A. Raw FS'!F205</f>
        <v>3142.464939859</v>
      </c>
      <c r="G190" s="498">
        <f>'A. Raw FS'!G205</f>
        <v>2691.4769320740002</v>
      </c>
      <c r="H190" s="498">
        <f>'A. Raw FS'!H205</f>
        <v>2832.7365743209998</v>
      </c>
      <c r="I190" s="498">
        <f>'A. Raw FS'!I205</f>
        <v>3392.9276182449998</v>
      </c>
      <c r="J190" s="498">
        <f>'A. Raw FS'!J205</f>
        <v>3891.177798097</v>
      </c>
      <c r="K190" s="498">
        <f>'A. Raw FS'!K205</f>
        <v>3834.0702296459999</v>
      </c>
      <c r="L190" s="498">
        <f>'A. Raw FS'!L205</f>
        <v>4902.4974328170001</v>
      </c>
      <c r="M190" s="686">
        <f>'A. Raw FS'!M205</f>
        <v>9942.6370102180008</v>
      </c>
      <c r="N190" s="647"/>
      <c r="O190" s="647"/>
      <c r="P190" s="647"/>
      <c r="Q190" s="647"/>
      <c r="R190" s="647"/>
      <c r="S190" s="647"/>
      <c r="T190" s="647"/>
      <c r="U190" s="647"/>
      <c r="V190" s="647"/>
      <c r="W190" s="647"/>
      <c r="X190" s="647"/>
      <c r="AA190" s="498"/>
      <c r="AB190" s="498">
        <f>'A. Raw FS'!AB205</f>
        <v>597.21184284499998</v>
      </c>
      <c r="AC190" s="498">
        <f>'A. Raw FS'!AC205</f>
        <v>885.44310840599996</v>
      </c>
      <c r="AD190" s="995">
        <f>'A. Raw FS'!AD205</f>
        <v>1134.5287499359999</v>
      </c>
      <c r="AE190" s="498">
        <f>'A. Raw FS'!AE205</f>
        <v>793.35660266699995</v>
      </c>
      <c r="AF190" s="498">
        <f>'A. Raw FS'!AF205</f>
        <v>1268.2848821330001</v>
      </c>
      <c r="AG190" s="498">
        <f>'A. Raw FS'!AG205</f>
        <v>852.38391091400001</v>
      </c>
      <c r="AH190" s="995">
        <f>'A. Raw FS'!AH205</f>
        <v>977.15240238299998</v>
      </c>
      <c r="AI190" s="498">
        <f>'A. Raw FS'!AI205</f>
        <v>993.44745535200002</v>
      </c>
      <c r="AJ190" s="498">
        <f>'A. Raw FS'!AJ205</f>
        <v>986.49436714299998</v>
      </c>
      <c r="AK190" s="498">
        <f>'A. Raw FS'!AK205</f>
        <v>971.79313115399998</v>
      </c>
      <c r="AL190" s="995">
        <f>'A. Raw FS'!AL205</f>
        <v>882.33527599700005</v>
      </c>
      <c r="AM190" s="498">
        <f>'A. Raw FS'!AM205</f>
        <v>1337.1729178420001</v>
      </c>
      <c r="AN190" s="498">
        <f>'A. Raw FS'!AN205</f>
        <v>713.17981731400005</v>
      </c>
      <c r="AO190" s="498">
        <f>'A. Raw FS'!AO205</f>
        <v>1182.4258254270001</v>
      </c>
      <c r="AP190" s="995">
        <f>'A. Raw FS'!AP205</f>
        <v>1669.7188722339999</v>
      </c>
      <c r="AQ190" s="498">
        <f>'A. Raw FS'!AQ205</f>
        <v>3160.0746642670001</v>
      </c>
      <c r="AR190" s="498">
        <f>'A. Raw FS'!AR205</f>
        <v>1757.084423755</v>
      </c>
      <c r="AS190" s="498">
        <f>'A. Raw FS'!AS205</f>
        <v>3028.8991094399998</v>
      </c>
      <c r="AT190" s="995">
        <f>'A. Raw FS'!AT205</f>
        <v>2037.6788127560001</v>
      </c>
      <c r="AU190" s="498">
        <f>'A. Raw FS'!AU205</f>
        <v>2319.400137822</v>
      </c>
      <c r="AV190" s="498">
        <f>'A. Raw FS'!AV205</f>
        <v>2618.8919147649999</v>
      </c>
      <c r="AW190" s="498">
        <f>'A. Raw FS'!AW205</f>
        <v>2343.06</v>
      </c>
      <c r="AX190" s="678"/>
      <c r="BI190" s="419"/>
      <c r="BM190" s="419"/>
      <c r="BQ190" s="419"/>
      <c r="BU190" s="419"/>
      <c r="BY190" s="419"/>
      <c r="CB190" s="419"/>
    </row>
    <row r="191" spans="1:80" s="427" customFormat="1" ht="15">
      <c r="A191" s="512" t="s">
        <v>602</v>
      </c>
      <c r="B191" s="431"/>
      <c r="C191" s="498">
        <f>'A. Raw FS'!C206</f>
        <v>-1724.781462784</v>
      </c>
      <c r="D191" s="498">
        <f>'A. Raw FS'!D206</f>
        <v>-2370.3066560799998</v>
      </c>
      <c r="E191" s="498">
        <f>'A. Raw FS'!E206</f>
        <v>-3659.3204039510001</v>
      </c>
      <c r="F191" s="498">
        <f>'A. Raw FS'!F206</f>
        <v>-3328.2624617269998</v>
      </c>
      <c r="G191" s="498">
        <f>'A. Raw FS'!G206</f>
        <v>-2794.7148829110001</v>
      </c>
      <c r="H191" s="498">
        <f>'A. Raw FS'!H206</f>
        <v>-2567.4360315959998</v>
      </c>
      <c r="I191" s="498">
        <f>'A. Raw FS'!I206</f>
        <v>-3176.987930491</v>
      </c>
      <c r="J191" s="498">
        <f>'A. Raw FS'!J206</f>
        <v>-4107.810207861</v>
      </c>
      <c r="K191" s="498">
        <f>'A. Raw FS'!K206</f>
        <v>-3824.7208804440002</v>
      </c>
      <c r="L191" s="498">
        <f>'A. Raw FS'!L206</f>
        <v>-4414.8705691530004</v>
      </c>
      <c r="M191" s="686">
        <f>'A. Raw FS'!M206</f>
        <v>-9145.2833757520002</v>
      </c>
      <c r="N191" s="647"/>
      <c r="O191" s="647"/>
      <c r="P191" s="647"/>
      <c r="Q191" s="647"/>
      <c r="R191" s="647"/>
      <c r="S191" s="647"/>
      <c r="T191" s="647"/>
      <c r="U191" s="647"/>
      <c r="V191" s="647"/>
      <c r="W191" s="647"/>
      <c r="X191" s="647"/>
      <c r="AA191" s="498"/>
      <c r="AB191" s="498">
        <f>'A. Raw FS'!AB206</f>
        <v>-666.96226961900004</v>
      </c>
      <c r="AC191" s="498">
        <f>'A. Raw FS'!AC206</f>
        <v>-731.99986693999995</v>
      </c>
      <c r="AD191" s="995">
        <f>'A. Raw FS'!AD206</f>
        <v>-942.26287095099997</v>
      </c>
      <c r="AE191" s="498">
        <f>'A. Raw FS'!AE206</f>
        <v>-820.39536541699999</v>
      </c>
      <c r="AF191" s="498">
        <f>'A. Raw FS'!AF206</f>
        <v>-1143.8019190130001</v>
      </c>
      <c r="AG191" s="498">
        <f>'A. Raw FS'!AG206</f>
        <v>-1192.5187304900001</v>
      </c>
      <c r="AH191" s="995">
        <f>'A. Raw FS'!AH206</f>
        <v>-951.09419294099996</v>
      </c>
      <c r="AI191" s="498">
        <f>'A. Raw FS'!AI206</f>
        <v>-1102.7649366549999</v>
      </c>
      <c r="AJ191" s="498">
        <f>'A. Raw FS'!AJ206</f>
        <v>-968.367114216</v>
      </c>
      <c r="AK191" s="498">
        <f>'A. Raw FS'!AK206</f>
        <v>-1026.809316973</v>
      </c>
      <c r="AL191" s="995">
        <f>'A. Raw FS'!AL206</f>
        <v>-726.77951259999998</v>
      </c>
      <c r="AM191" s="498">
        <f>'A. Raw FS'!AM206</f>
        <v>-1290.9905495800001</v>
      </c>
      <c r="AN191" s="498">
        <f>'A. Raw FS'!AN206</f>
        <v>-776.94516678100001</v>
      </c>
      <c r="AO191" s="498">
        <f>'A. Raw FS'!AO206</f>
        <v>-727.08129036499997</v>
      </c>
      <c r="AP191" s="995">
        <f>'A. Raw FS'!AP206</f>
        <v>-1619.853562427</v>
      </c>
      <c r="AQ191" s="498">
        <f>'A. Raw FS'!AQ206</f>
        <v>-2298.3882066340002</v>
      </c>
      <c r="AR191" s="498">
        <f>'A. Raw FS'!AR206</f>
        <v>-2492.5834928549998</v>
      </c>
      <c r="AS191" s="498">
        <f>'A. Raw FS'!AS206</f>
        <v>-1899.8901572049999</v>
      </c>
      <c r="AT191" s="995">
        <f>'A. Raw FS'!AT206</f>
        <v>-2454.4215190579998</v>
      </c>
      <c r="AU191" s="498">
        <f>'A. Raw FS'!AU206</f>
        <v>-2499.523269801</v>
      </c>
      <c r="AV191" s="498">
        <f>'A. Raw FS'!AV206</f>
        <v>-2262.863751676</v>
      </c>
      <c r="AW191" s="498">
        <f>'A. Raw FS'!AW206</f>
        <v>-2441.67</v>
      </c>
      <c r="AX191" s="678"/>
      <c r="BI191" s="419"/>
      <c r="BM191" s="419"/>
      <c r="BQ191" s="419"/>
      <c r="BU191" s="419"/>
      <c r="BY191" s="419"/>
      <c r="CB191" s="419"/>
    </row>
    <row r="192" spans="1:80" ht="15">
      <c r="A192" s="1128" t="s">
        <v>603</v>
      </c>
      <c r="C192" s="1364">
        <f t="shared" ref="C192:M192" si="307">C193-C189</f>
        <v>241.67538224800001</v>
      </c>
      <c r="D192" s="1364">
        <f t="shared" si="307"/>
        <v>212.30788249300002</v>
      </c>
      <c r="E192" s="1364">
        <f t="shared" si="307"/>
        <v>149.12124164999994</v>
      </c>
      <c r="F192" s="1364">
        <f t="shared" si="307"/>
        <v>-180.19752186799997</v>
      </c>
      <c r="G192" s="1364">
        <f t="shared" si="307"/>
        <v>-80.337950836999994</v>
      </c>
      <c r="H192" s="1364">
        <f t="shared" si="307"/>
        <v>278.37541333000001</v>
      </c>
      <c r="I192" s="1364">
        <f t="shared" si="307"/>
        <v>215.93968775399992</v>
      </c>
      <c r="J192" s="1364">
        <f t="shared" si="307"/>
        <v>-216.63240976399993</v>
      </c>
      <c r="K192" s="1364">
        <f t="shared" si="307"/>
        <v>9.3493492019999849</v>
      </c>
      <c r="L192" s="1364">
        <f t="shared" si="307"/>
        <v>487.62686366399998</v>
      </c>
      <c r="M192" s="1368">
        <f t="shared" si="307"/>
        <v>797.59843812100007</v>
      </c>
      <c r="N192" s="1189">
        <f t="shared" ref="N192:S192" si="308">N193-N189</f>
        <v>129.32624410738254</v>
      </c>
      <c r="O192" s="1189">
        <f t="shared" si="308"/>
        <v>92.314603788188833</v>
      </c>
      <c r="P192" s="1189">
        <f t="shared" si="308"/>
        <v>232.71261203876475</v>
      </c>
      <c r="Q192" s="1189">
        <f t="shared" si="308"/>
        <v>232.3867214376769</v>
      </c>
      <c r="R192" s="1189">
        <f t="shared" si="308"/>
        <v>165.32893592874098</v>
      </c>
      <c r="S192" s="1189">
        <f t="shared" si="308"/>
        <v>218.92351447355304</v>
      </c>
      <c r="T192" s="1189"/>
      <c r="U192" s="1189"/>
      <c r="V192" s="1189"/>
      <c r="W192" s="1189"/>
      <c r="X192" s="1189"/>
      <c r="AA192" s="1364"/>
      <c r="AB192" s="1364">
        <f t="shared" ref="AB192:AX192" si="309">AB193-AB189</f>
        <v>-59.750426774000005</v>
      </c>
      <c r="AC192" s="1364">
        <f t="shared" si="309"/>
        <v>143.44324146599996</v>
      </c>
      <c r="AD192" s="1365">
        <f t="shared" si="309"/>
        <v>192.26587898499997</v>
      </c>
      <c r="AE192" s="1364">
        <f t="shared" si="309"/>
        <v>-27.038762749999933</v>
      </c>
      <c r="AF192" s="1364">
        <f t="shared" si="309"/>
        <v>124.48296312000002</v>
      </c>
      <c r="AG192" s="1364">
        <f t="shared" si="309"/>
        <v>-340.13481957600004</v>
      </c>
      <c r="AH192" s="1365">
        <f t="shared" si="309"/>
        <v>26.05820944200002</v>
      </c>
      <c r="AI192" s="1364">
        <f t="shared" si="309"/>
        <v>-109.31748130300002</v>
      </c>
      <c r="AJ192" s="1364">
        <f t="shared" si="309"/>
        <v>18.127252926999972</v>
      </c>
      <c r="AK192" s="1364">
        <f t="shared" si="309"/>
        <v>-55.016185818999986</v>
      </c>
      <c r="AL192" s="1365">
        <f t="shared" si="309"/>
        <v>155.55576339700002</v>
      </c>
      <c r="AM192" s="1364">
        <f t="shared" si="309"/>
        <v>46.182368261999954</v>
      </c>
      <c r="AN192" s="1364">
        <f t="shared" si="309"/>
        <v>-63.765349466999965</v>
      </c>
      <c r="AO192" s="1364">
        <f t="shared" si="309"/>
        <v>455.34453506200009</v>
      </c>
      <c r="AP192" s="1365">
        <f t="shared" si="309"/>
        <v>49.865309806999903</v>
      </c>
      <c r="AQ192" s="1364">
        <f t="shared" si="309"/>
        <v>861.68645763299992</v>
      </c>
      <c r="AR192" s="1364">
        <f t="shared" si="309"/>
        <v>-735.49906909999982</v>
      </c>
      <c r="AS192" s="1364">
        <f t="shared" si="309"/>
        <v>1129.0089522349999</v>
      </c>
      <c r="AT192" s="1365">
        <f t="shared" si="309"/>
        <v>-457.67790264699988</v>
      </c>
      <c r="AU192" s="1364">
        <f t="shared" si="309"/>
        <v>-162.4431319790001</v>
      </c>
      <c r="AV192" s="1364">
        <f t="shared" si="309"/>
        <v>368.43747307400008</v>
      </c>
      <c r="AW192" s="1364">
        <f t="shared" si="309"/>
        <v>-98.610717088000001</v>
      </c>
      <c r="AX192" s="1389">
        <f t="shared" si="309"/>
        <v>22.022620100382483</v>
      </c>
      <c r="AZ192" s="1189">
        <f>AZ193-AZ189</f>
        <v>129.40624410738246</v>
      </c>
    </row>
    <row r="193" spans="1:80" s="397" customFormat="1" ht="15">
      <c r="A193" s="511" t="s">
        <v>587</v>
      </c>
      <c r="B193" s="410"/>
      <c r="C193" s="494">
        <f t="shared" ref="C193:M193" si="310">C121</f>
        <v>241.67538224800001</v>
      </c>
      <c r="D193" s="494">
        <f t="shared" si="310"/>
        <v>453.98326474100003</v>
      </c>
      <c r="E193" s="494">
        <f t="shared" si="310"/>
        <v>603.10450639099997</v>
      </c>
      <c r="F193" s="494">
        <f t="shared" si="310"/>
        <v>422.90698452300001</v>
      </c>
      <c r="G193" s="494">
        <f t="shared" si="310"/>
        <v>342.56903368600001</v>
      </c>
      <c r="H193" s="494">
        <f t="shared" si="310"/>
        <v>620.94444701600003</v>
      </c>
      <c r="I193" s="494">
        <f t="shared" si="310"/>
        <v>836.88413476999995</v>
      </c>
      <c r="J193" s="494">
        <f t="shared" si="310"/>
        <v>620.25172500600002</v>
      </c>
      <c r="K193" s="494">
        <f t="shared" si="310"/>
        <v>629.601074208</v>
      </c>
      <c r="L193" s="494">
        <f t="shared" si="310"/>
        <v>1117.227937872</v>
      </c>
      <c r="M193" s="673">
        <f t="shared" si="310"/>
        <v>1914.8263759930001</v>
      </c>
      <c r="N193" s="608">
        <f>N105*N195</f>
        <v>2044.1526201003826</v>
      </c>
      <c r="O193" s="608">
        <f>2*(AVERAGE(N105:O105)*O195)-N193</f>
        <v>2136.4672238885714</v>
      </c>
      <c r="P193" s="608">
        <f>2*(AVERAGE(O105:P105)*P195)-O193</f>
        <v>2369.1798359273362</v>
      </c>
      <c r="Q193" s="608">
        <f>2*(AVERAGE(P105:Q105)*Q195)-P193</f>
        <v>2601.5665573650131</v>
      </c>
      <c r="R193" s="608">
        <f>2*(AVERAGE(Q105:R105)*R195)-Q193</f>
        <v>2766.895493293754</v>
      </c>
      <c r="S193" s="608">
        <f>2*(AVERAGE(R105:S105)*S195)-R193</f>
        <v>2985.8190077673071</v>
      </c>
      <c r="T193" s="608"/>
      <c r="U193" s="608"/>
      <c r="V193" s="608"/>
      <c r="W193" s="608"/>
      <c r="X193" s="608"/>
      <c r="Y193" s="43"/>
      <c r="Z193" s="494"/>
      <c r="AA193" s="494">
        <f t="shared" ref="AA193:AW193" si="311">AA121</f>
        <v>560.92544109300002</v>
      </c>
      <c r="AB193" s="494">
        <f t="shared" si="311"/>
        <v>501.17501431900001</v>
      </c>
      <c r="AC193" s="494">
        <f t="shared" si="311"/>
        <v>644.61825578499997</v>
      </c>
      <c r="AD193" s="495">
        <f t="shared" si="311"/>
        <v>836.88413476999995</v>
      </c>
      <c r="AE193" s="494">
        <f t="shared" si="311"/>
        <v>809.84537202000001</v>
      </c>
      <c r="AF193" s="494">
        <f t="shared" si="311"/>
        <v>934.32833514000004</v>
      </c>
      <c r="AG193" s="494">
        <f t="shared" si="311"/>
        <v>594.19351556399999</v>
      </c>
      <c r="AH193" s="495">
        <f t="shared" si="311"/>
        <v>620.25172500600002</v>
      </c>
      <c r="AI193" s="494">
        <f t="shared" si="311"/>
        <v>510.93424370299999</v>
      </c>
      <c r="AJ193" s="494">
        <f t="shared" si="311"/>
        <v>529.06149662999997</v>
      </c>
      <c r="AK193" s="494">
        <f t="shared" si="311"/>
        <v>474.04531081099998</v>
      </c>
      <c r="AL193" s="495">
        <f t="shared" si="311"/>
        <v>629.601074208</v>
      </c>
      <c r="AM193" s="494">
        <f t="shared" si="311"/>
        <v>675.78344246999995</v>
      </c>
      <c r="AN193" s="494">
        <f t="shared" si="311"/>
        <v>612.01809300299999</v>
      </c>
      <c r="AO193" s="494">
        <f t="shared" si="311"/>
        <v>1067.3626280650001</v>
      </c>
      <c r="AP193" s="495">
        <f t="shared" si="311"/>
        <v>1117.227937872</v>
      </c>
      <c r="AQ193" s="494">
        <f t="shared" si="311"/>
        <v>1978.9143955049999</v>
      </c>
      <c r="AR193" s="494">
        <f t="shared" si="311"/>
        <v>1243.4153264050001</v>
      </c>
      <c r="AS193" s="494">
        <f t="shared" si="311"/>
        <v>2372.42427864</v>
      </c>
      <c r="AT193" s="495">
        <f t="shared" si="311"/>
        <v>1914.7463759930001</v>
      </c>
      <c r="AU193" s="494">
        <f>AU121</f>
        <v>1752.303244014</v>
      </c>
      <c r="AV193" s="494">
        <f t="shared" si="311"/>
        <v>2120.7407170880001</v>
      </c>
      <c r="AW193" s="494">
        <f t="shared" si="311"/>
        <v>2022.13</v>
      </c>
      <c r="AX193" s="659">
        <f>AX105*AX195</f>
        <v>2044.1526201003826</v>
      </c>
      <c r="AZ193" s="417">
        <f>AX193</f>
        <v>2044.1526201003826</v>
      </c>
      <c r="BI193" s="468"/>
      <c r="BM193" s="468"/>
      <c r="BQ193" s="468"/>
      <c r="BU193" s="468"/>
      <c r="BY193" s="468"/>
      <c r="CB193" s="468"/>
    </row>
    <row r="194" spans="1:80" s="397" customFormat="1" ht="15">
      <c r="A194" s="511"/>
      <c r="B194" s="410"/>
      <c r="C194" s="494"/>
      <c r="D194" s="494"/>
      <c r="E194" s="494"/>
      <c r="F194" s="494"/>
      <c r="G194" s="494"/>
      <c r="H194" s="494"/>
      <c r="I194" s="494"/>
      <c r="J194" s="494"/>
      <c r="K194" s="494"/>
      <c r="L194" s="494"/>
      <c r="M194" s="679"/>
      <c r="N194" s="608"/>
      <c r="O194" s="608"/>
      <c r="P194" s="608"/>
      <c r="Q194" s="608"/>
      <c r="R194" s="608"/>
      <c r="S194" s="608"/>
      <c r="T194" s="608"/>
      <c r="U194" s="608"/>
      <c r="V194" s="608"/>
      <c r="W194" s="608"/>
      <c r="X194" s="608"/>
      <c r="Y194" s="43"/>
      <c r="AD194" s="468"/>
      <c r="AH194" s="468"/>
      <c r="AL194" s="468"/>
      <c r="AP194" s="468"/>
      <c r="AT194" s="468"/>
      <c r="AX194" s="659"/>
      <c r="BI194" s="468"/>
      <c r="BM194" s="468"/>
      <c r="BQ194" s="468"/>
      <c r="BU194" s="468"/>
      <c r="BY194" s="468"/>
      <c r="CB194" s="468"/>
    </row>
    <row r="195" spans="1:80" s="397" customFormat="1" ht="15">
      <c r="A195" s="511" t="s">
        <v>604</v>
      </c>
      <c r="B195" s="410"/>
      <c r="C195" s="406">
        <f t="shared" ref="C195:M195" si="312">AVERAGE(B193:C193)/AVERAGE(B105:C105)</f>
        <v>0.52204518081094686</v>
      </c>
      <c r="D195" s="617">
        <f t="shared" si="312"/>
        <v>0.81962231114977102</v>
      </c>
      <c r="E195" s="617">
        <f t="shared" si="312"/>
        <v>0.94572108265921018</v>
      </c>
      <c r="F195" s="617">
        <f t="shared" si="312"/>
        <v>0.73207107323268017</v>
      </c>
      <c r="G195" s="617">
        <f t="shared" si="312"/>
        <v>0.55314895064450098</v>
      </c>
      <c r="H195" s="617">
        <f t="shared" si="312"/>
        <v>0.60320976562948292</v>
      </c>
      <c r="I195" s="617">
        <f t="shared" si="312"/>
        <v>0.66349061252997243</v>
      </c>
      <c r="J195" s="617">
        <f t="shared" si="312"/>
        <v>0.52645593776994004</v>
      </c>
      <c r="K195" s="617">
        <f t="shared" si="312"/>
        <v>0.54793663630152378</v>
      </c>
      <c r="L195" s="617">
        <f t="shared" si="312"/>
        <v>0.47014863779640836</v>
      </c>
      <c r="M195" s="679">
        <f t="shared" si="312"/>
        <v>0.49362296461068172</v>
      </c>
      <c r="N195" s="630">
        <f>AZ195</f>
        <v>0.65</v>
      </c>
      <c r="O195" s="938">
        <f>N195+($S195-$N195)/5</f>
        <v>0.66</v>
      </c>
      <c r="P195" s="938">
        <f>O195+($S195-$N195)/5</f>
        <v>0.67</v>
      </c>
      <c r="Q195" s="938">
        <f>P195+($S195-$N195)/5</f>
        <v>0.68</v>
      </c>
      <c r="R195" s="938">
        <f>Q195+($S195-$N195)/5</f>
        <v>0.69000000000000006</v>
      </c>
      <c r="S195" s="630">
        <v>0.7</v>
      </c>
      <c r="T195" s="617"/>
      <c r="U195" s="617"/>
      <c r="V195" s="617"/>
      <c r="W195" s="617"/>
      <c r="X195" s="1595" t="s">
        <v>605</v>
      </c>
      <c r="Y195" s="43"/>
      <c r="AB195" s="617">
        <f t="shared" ref="AB195:AW195" si="313">AVERAGE(AA193:AB193)/AVERAGE(AA105:AB105)</f>
        <v>0.84066396790325815</v>
      </c>
      <c r="AC195" s="617">
        <f t="shared" si="313"/>
        <v>0.85864890370613511</v>
      </c>
      <c r="AD195" s="756">
        <f t="shared" si="313"/>
        <v>0.7475887359830824</v>
      </c>
      <c r="AE195" s="617">
        <f t="shared" si="313"/>
        <v>0.74342393010604779</v>
      </c>
      <c r="AF195" s="617">
        <f t="shared" si="313"/>
        <v>0.92757385589556385</v>
      </c>
      <c r="AG195" s="617">
        <f t="shared" si="313"/>
        <v>0.84095564173810267</v>
      </c>
      <c r="AH195" s="756">
        <f t="shared" si="313"/>
        <v>0.52278302509592611</v>
      </c>
      <c r="AI195" s="617">
        <f t="shared" si="313"/>
        <v>0.48751137209126222</v>
      </c>
      <c r="AJ195" s="617">
        <f t="shared" si="313"/>
        <v>0.55794999000443957</v>
      </c>
      <c r="AK195" s="617">
        <f t="shared" si="313"/>
        <v>0.55011795669681185</v>
      </c>
      <c r="AL195" s="756">
        <f t="shared" si="313"/>
        <v>0.68011017271709051</v>
      </c>
      <c r="AM195" s="617">
        <f t="shared" si="313"/>
        <v>0.87387393076286135</v>
      </c>
      <c r="AN195" s="617">
        <f t="shared" si="313"/>
        <v>0.78455917349944604</v>
      </c>
      <c r="AO195" s="617">
        <f t="shared" si="313"/>
        <v>0.87927086101356</v>
      </c>
      <c r="AP195" s="756">
        <f t="shared" si="313"/>
        <v>0.57825275368001494</v>
      </c>
      <c r="AQ195" s="617">
        <f t="shared" si="313"/>
        <v>0.48718334746421077</v>
      </c>
      <c r="AR195" s="617">
        <f t="shared" si="313"/>
        <v>0.46640720697691085</v>
      </c>
      <c r="AS195" s="617">
        <f t="shared" si="313"/>
        <v>0.59085003446417839</v>
      </c>
      <c r="AT195" s="756">
        <f t="shared" si="313"/>
        <v>0.71722300375038628</v>
      </c>
      <c r="AU195" s="617">
        <f t="shared" si="313"/>
        <v>0.58326518275772132</v>
      </c>
      <c r="AV195" s="617">
        <f t="shared" si="313"/>
        <v>0.68845444362352803</v>
      </c>
      <c r="AW195" s="617">
        <f t="shared" si="313"/>
        <v>0.85569775691072913</v>
      </c>
      <c r="AX195" s="671">
        <v>0.65</v>
      </c>
      <c r="AZ195" s="617">
        <f>AVERAGE(AZ193)/AVERAGE(AZ105)</f>
        <v>0.65</v>
      </c>
      <c r="BI195" s="468"/>
      <c r="BM195" s="468"/>
      <c r="BQ195" s="468"/>
      <c r="BU195" s="468"/>
      <c r="BY195" s="468"/>
      <c r="CB195" s="468"/>
    </row>
    <row r="196" spans="1:80" s="397" customFormat="1" ht="15">
      <c r="A196" s="1128" t="s">
        <v>606</v>
      </c>
      <c r="B196" s="303"/>
      <c r="C196" s="57">
        <f t="shared" ref="C196:S196" si="314">C193/C10</f>
        <v>-0.1215526179433296</v>
      </c>
      <c r="D196" s="601">
        <f t="shared" si="314"/>
        <v>-0.1565134306277649</v>
      </c>
      <c r="E196" s="601">
        <f t="shared" si="314"/>
        <v>-0.131417631746261</v>
      </c>
      <c r="F196" s="601">
        <f t="shared" si="314"/>
        <v>-0.10736706374474965</v>
      </c>
      <c r="G196" s="601">
        <f t="shared" si="314"/>
        <v>-9.6245863503293352E-2</v>
      </c>
      <c r="H196" s="601">
        <f t="shared" si="314"/>
        <v>-0.17510168615697047</v>
      </c>
      <c r="I196" s="601">
        <f t="shared" si="314"/>
        <v>-0.15028993270364108</v>
      </c>
      <c r="J196" s="601">
        <f t="shared" si="314"/>
        <v>-7.8117914593767865E-2</v>
      </c>
      <c r="K196" s="601">
        <f t="shared" si="314"/>
        <v>-5.3661367694862523E-2</v>
      </c>
      <c r="L196" s="601">
        <f t="shared" si="314"/>
        <v>-5.7545111318966405E-2</v>
      </c>
      <c r="M196" s="674">
        <f t="shared" si="314"/>
        <v>-9.4025178130754339E-2</v>
      </c>
      <c r="N196" s="601">
        <f t="shared" si="314"/>
        <v>-0.10949275733987483</v>
      </c>
      <c r="O196" s="601">
        <f t="shared" si="314"/>
        <v>-0.1000770497398689</v>
      </c>
      <c r="P196" s="601">
        <f t="shared" si="314"/>
        <v>-9.7979928651182435E-2</v>
      </c>
      <c r="Q196" s="601">
        <f t="shared" si="314"/>
        <v>-9.6878957965575691E-2</v>
      </c>
      <c r="R196" s="601">
        <f t="shared" si="314"/>
        <v>-9.2922203979571114E-2</v>
      </c>
      <c r="S196" s="601">
        <f t="shared" si="314"/>
        <v>-9.0494659341909922E-2</v>
      </c>
      <c r="T196" s="601"/>
      <c r="U196" s="601"/>
      <c r="V196" s="601"/>
      <c r="W196" s="601"/>
      <c r="X196" s="1595"/>
      <c r="Y196" s="43"/>
      <c r="AB196" s="617"/>
      <c r="AC196" s="617"/>
      <c r="AD196" s="756"/>
      <c r="AE196" s="617"/>
      <c r="AF196" s="617"/>
      <c r="AG196" s="617"/>
      <c r="AH196" s="756"/>
      <c r="AI196" s="617"/>
      <c r="AJ196" s="617"/>
      <c r="AK196" s="617"/>
      <c r="AL196" s="756"/>
      <c r="AM196" s="617"/>
      <c r="AN196" s="617"/>
      <c r="AO196" s="617"/>
      <c r="AP196" s="756"/>
      <c r="AQ196" s="617"/>
      <c r="AR196" s="617"/>
      <c r="AS196" s="617"/>
      <c r="AT196" s="756"/>
      <c r="AU196" s="617"/>
      <c r="AV196" s="617"/>
      <c r="AW196" s="617"/>
      <c r="AX196" s="676"/>
      <c r="BI196" s="468"/>
      <c r="BM196" s="468"/>
      <c r="BQ196" s="468"/>
      <c r="BU196" s="468"/>
      <c r="BY196" s="468"/>
      <c r="CB196" s="468"/>
    </row>
    <row r="197" spans="1:80" s="397" customFormat="1" ht="15">
      <c r="A197" s="1128" t="s">
        <v>607</v>
      </c>
      <c r="B197" s="303"/>
      <c r="C197" s="57">
        <f t="shared" ref="C197:S197" si="315">(C193+C182)/C129</f>
        <v>0.94126560843621954</v>
      </c>
      <c r="D197" s="601">
        <f t="shared" si="315"/>
        <v>1.9487416178231567</v>
      </c>
      <c r="E197" s="601">
        <f t="shared" si="315"/>
        <v>1.8867432589170858</v>
      </c>
      <c r="F197" s="601">
        <f t="shared" si="315"/>
        <v>0.73257940018181256</v>
      </c>
      <c r="G197" s="601">
        <f t="shared" si="315"/>
        <v>0.54412435285142557</v>
      </c>
      <c r="H197" s="601">
        <f t="shared" si="315"/>
        <v>0.90065709662273363</v>
      </c>
      <c r="I197" s="601">
        <f t="shared" si="315"/>
        <v>1.0918545855466892</v>
      </c>
      <c r="J197" s="601">
        <f t="shared" si="315"/>
        <v>0.67065231044941875</v>
      </c>
      <c r="K197" s="601">
        <f t="shared" si="315"/>
        <v>0.54342182157314622</v>
      </c>
      <c r="L197" s="601">
        <f t="shared" si="315"/>
        <v>0.62720347754074524</v>
      </c>
      <c r="M197" s="674">
        <f t="shared" si="315"/>
        <v>0.80713948738762764</v>
      </c>
      <c r="N197" s="601">
        <f t="shared" si="315"/>
        <v>0.76802270423869756</v>
      </c>
      <c r="O197" s="601">
        <f t="shared" si="315"/>
        <v>0.70553471421607761</v>
      </c>
      <c r="P197" s="601">
        <f t="shared" si="315"/>
        <v>0.68878871312369605</v>
      </c>
      <c r="Q197" s="601">
        <f t="shared" si="315"/>
        <v>0.66541976735513486</v>
      </c>
      <c r="R197" s="601">
        <f t="shared" si="315"/>
        <v>0.62314097158867632</v>
      </c>
      <c r="S197" s="601">
        <f t="shared" si="315"/>
        <v>0.58806182574102872</v>
      </c>
      <c r="T197" s="601"/>
      <c r="U197" s="601"/>
      <c r="V197" s="601"/>
      <c r="W197" s="601"/>
      <c r="X197" s="1595"/>
      <c r="Y197" s="43"/>
      <c r="AB197" s="617">
        <f t="shared" ref="AB197:AX197" si="316">(AB193+AB182)/AB129</f>
        <v>0.71648138765747249</v>
      </c>
      <c r="AC197" s="617">
        <f t="shared" si="316"/>
        <v>0.87773360869148931</v>
      </c>
      <c r="AD197" s="756">
        <f t="shared" si="316"/>
        <v>1.0923123435887707</v>
      </c>
      <c r="AE197" s="617">
        <f t="shared" si="316"/>
        <v>1.0035975941803663</v>
      </c>
      <c r="AF197" s="617">
        <f t="shared" si="316"/>
        <v>1.1162511885185176</v>
      </c>
      <c r="AG197" s="617">
        <f t="shared" si="316"/>
        <v>0.66726651867547027</v>
      </c>
      <c r="AH197" s="756">
        <f t="shared" si="316"/>
        <v>0.67229523544840752</v>
      </c>
      <c r="AI197" s="617">
        <f t="shared" si="316"/>
        <v>0.5267106470895957</v>
      </c>
      <c r="AJ197" s="617">
        <f t="shared" si="316"/>
        <v>0.51366740938904221</v>
      </c>
      <c r="AK197" s="617">
        <f t="shared" si="316"/>
        <v>0.44748832086793544</v>
      </c>
      <c r="AL197" s="756">
        <f t="shared" si="316"/>
        <v>0.55011864847244862</v>
      </c>
      <c r="AM197" s="617">
        <f t="shared" si="316"/>
        <v>0.53401386358617575</v>
      </c>
      <c r="AN197" s="617">
        <f t="shared" si="316"/>
        <v>0.43902118885122032</v>
      </c>
      <c r="AO197" s="617">
        <f t="shared" si="316"/>
        <v>0.73252175954841914</v>
      </c>
      <c r="AP197" s="756">
        <f t="shared" si="316"/>
        <v>0.62614298586054218</v>
      </c>
      <c r="AQ197" s="617">
        <f t="shared" si="316"/>
        <v>0.99193612550784882</v>
      </c>
      <c r="AR197" s="617">
        <f t="shared" si="316"/>
        <v>0.60347800869753654</v>
      </c>
      <c r="AS197" s="617">
        <f t="shared" si="316"/>
        <v>1.0587829641579796</v>
      </c>
      <c r="AT197" s="756">
        <f t="shared" si="316"/>
        <v>0.80710647430503746</v>
      </c>
      <c r="AU197" s="617">
        <f t="shared" si="316"/>
        <v>0.70884966408605843</v>
      </c>
      <c r="AV197" s="617">
        <f t="shared" si="316"/>
        <v>0.8344786446726804</v>
      </c>
      <c r="AW197" s="617">
        <f t="shared" si="316"/>
        <v>0.76490805398181794</v>
      </c>
      <c r="AX197" s="679">
        <f t="shared" si="316"/>
        <v>0.76802270423869756</v>
      </c>
      <c r="AZ197" s="406">
        <f>(AZ193+AZ182)/AZ129</f>
        <v>0.76802270423869756</v>
      </c>
      <c r="BI197" s="468"/>
      <c r="BM197" s="468"/>
      <c r="BQ197" s="468"/>
      <c r="BU197" s="468"/>
      <c r="BY197" s="468"/>
      <c r="CB197" s="468"/>
    </row>
    <row r="198" spans="1:80" s="397" customFormat="1" ht="15">
      <c r="A198" s="1128" t="s">
        <v>608</v>
      </c>
      <c r="B198" s="303"/>
      <c r="C198" s="57">
        <f t="shared" ref="C198:S198" si="317">C193/C141</f>
        <v>9.8595673470438197E-2</v>
      </c>
      <c r="D198" s="57">
        <f t="shared" si="317"/>
        <v>0.16078863529402718</v>
      </c>
      <c r="E198" s="57">
        <f t="shared" si="317"/>
        <v>0.1222010085583182</v>
      </c>
      <c r="F198" s="57">
        <f t="shared" si="317"/>
        <v>0.10909442483270237</v>
      </c>
      <c r="G198" s="57">
        <f t="shared" si="317"/>
        <v>9.5052154406388728E-2</v>
      </c>
      <c r="H198" s="57">
        <f t="shared" si="317"/>
        <v>0.16714731269656177</v>
      </c>
      <c r="I198" s="57">
        <f t="shared" si="317"/>
        <v>0.13948988809004587</v>
      </c>
      <c r="J198" s="57">
        <f t="shared" si="317"/>
        <v>7.6769406640456103E-2</v>
      </c>
      <c r="K198" s="57">
        <f t="shared" si="317"/>
        <v>5.6687209444193351E-2</v>
      </c>
      <c r="L198" s="57">
        <f t="shared" si="317"/>
        <v>5.2023228687191017E-2</v>
      </c>
      <c r="M198" s="57">
        <f t="shared" si="317"/>
        <v>9.2364180237081123E-2</v>
      </c>
      <c r="N198" s="57">
        <f t="shared" si="317"/>
        <v>0.11013867935035887</v>
      </c>
      <c r="O198" s="57">
        <f t="shared" si="317"/>
        <v>9.9868538122825701E-2</v>
      </c>
      <c r="P198" s="57">
        <f t="shared" si="317"/>
        <v>9.6597686582172312E-2</v>
      </c>
      <c r="Q198" s="57">
        <f t="shared" si="317"/>
        <v>9.6024077668455499E-2</v>
      </c>
      <c r="R198" s="601">
        <f t="shared" si="317"/>
        <v>9.2205696480672963E-2</v>
      </c>
      <c r="S198" s="57">
        <f t="shared" si="317"/>
        <v>8.9932084752152433E-2</v>
      </c>
      <c r="T198" s="601"/>
      <c r="U198" s="601"/>
      <c r="V198" s="601"/>
      <c r="W198" s="601"/>
      <c r="X198" s="884"/>
      <c r="Y198" s="43"/>
      <c r="AB198" s="617"/>
      <c r="AC198" s="617"/>
      <c r="AD198" s="756"/>
      <c r="AE198" s="617"/>
      <c r="AF198" s="617"/>
      <c r="AG198" s="617"/>
      <c r="AH198" s="756"/>
      <c r="AI198" s="617"/>
      <c r="AJ198" s="617"/>
      <c r="AK198" s="617"/>
      <c r="AL198" s="756"/>
      <c r="AM198" s="617"/>
      <c r="AN198" s="617"/>
      <c r="AO198" s="617"/>
      <c r="AP198" s="756"/>
      <c r="AQ198" s="617"/>
      <c r="AR198" s="617"/>
      <c r="AS198" s="617"/>
      <c r="AT198" s="756"/>
      <c r="AU198" s="617"/>
      <c r="AV198" s="617"/>
      <c r="AW198" s="617"/>
      <c r="AX198" s="679"/>
      <c r="AZ198" s="406"/>
      <c r="BI198" s="468"/>
      <c r="BM198" s="468"/>
      <c r="BQ198" s="468"/>
      <c r="BU198" s="468"/>
      <c r="BY198" s="468"/>
      <c r="CB198" s="468"/>
    </row>
    <row r="199" spans="1:80" s="397" customFormat="1" ht="15">
      <c r="A199" s="511"/>
      <c r="B199" s="410"/>
      <c r="C199" s="406"/>
      <c r="D199" s="617"/>
      <c r="E199" s="617"/>
      <c r="F199" s="617"/>
      <c r="G199" s="617"/>
      <c r="H199" s="617"/>
      <c r="I199" s="617"/>
      <c r="J199" s="617"/>
      <c r="K199" s="617"/>
      <c r="L199" s="617"/>
      <c r="M199" s="679"/>
      <c r="N199" s="617"/>
      <c r="O199" s="617"/>
      <c r="P199" s="617"/>
      <c r="Q199" s="617"/>
      <c r="R199" s="617"/>
      <c r="S199" s="617"/>
      <c r="T199" s="617"/>
      <c r="U199" s="617"/>
      <c r="V199" s="617"/>
      <c r="W199" s="617"/>
      <c r="X199" s="617"/>
      <c r="AD199" s="468"/>
      <c r="AH199" s="468"/>
      <c r="AL199" s="468"/>
      <c r="AP199" s="468"/>
      <c r="AT199" s="468"/>
      <c r="AX199" s="679"/>
      <c r="BI199" s="468"/>
      <c r="BM199" s="468"/>
      <c r="BQ199" s="468"/>
      <c r="BU199" s="468"/>
      <c r="BY199" s="468"/>
      <c r="CB199" s="468"/>
    </row>
    <row r="200" spans="1:80" ht="15">
      <c r="A200" s="1128" t="s">
        <v>609</v>
      </c>
      <c r="C200" s="1364">
        <f t="shared" ref="C200:S200" si="318">AVERAGE(B193:C193)</f>
        <v>241.67538224800001</v>
      </c>
      <c r="D200" s="1364">
        <f t="shared" si="318"/>
        <v>347.82932349450004</v>
      </c>
      <c r="E200" s="1364">
        <f t="shared" si="318"/>
        <v>528.54388556599997</v>
      </c>
      <c r="F200" s="1364">
        <f t="shared" si="318"/>
        <v>513.00574545699999</v>
      </c>
      <c r="G200" s="1364">
        <f t="shared" si="318"/>
        <v>382.73800910450001</v>
      </c>
      <c r="H200" s="1364">
        <f t="shared" si="318"/>
        <v>481.75674035100002</v>
      </c>
      <c r="I200" s="1364">
        <f t="shared" si="318"/>
        <v>728.91429089300004</v>
      </c>
      <c r="J200" s="1364">
        <f t="shared" si="318"/>
        <v>728.56792988799998</v>
      </c>
      <c r="K200" s="1364">
        <f t="shared" si="318"/>
        <v>624.92639960700001</v>
      </c>
      <c r="L200" s="1364">
        <f t="shared" si="318"/>
        <v>873.41450603999999</v>
      </c>
      <c r="M200" s="1368">
        <f t="shared" si="318"/>
        <v>1516.0271569325</v>
      </c>
      <c r="N200" s="486">
        <f>AVERAGE(M193:N193)</f>
        <v>1979.4894980466913</v>
      </c>
      <c r="O200" s="486">
        <f>AVERAGE(N193:O193)</f>
        <v>2090.309921994477</v>
      </c>
      <c r="P200" s="486">
        <f>AVERAGE(O193:P193)</f>
        <v>2252.8235299079538</v>
      </c>
      <c r="Q200" s="486">
        <f>AVERAGE(P193:Q193)</f>
        <v>2485.3731966461746</v>
      </c>
      <c r="R200" s="486">
        <f t="shared" si="318"/>
        <v>2684.2310253293836</v>
      </c>
      <c r="S200" s="486">
        <f t="shared" si="318"/>
        <v>2876.3572505305306</v>
      </c>
      <c r="T200" s="486"/>
      <c r="U200" s="486"/>
      <c r="V200" s="486"/>
      <c r="W200" s="486"/>
      <c r="X200" s="486"/>
      <c r="AB200" s="1364">
        <f>AVERAGE(AA193:AB193)</f>
        <v>531.05022770599999</v>
      </c>
      <c r="AC200" s="1364">
        <f>AVERAGE(AB193:AC193)</f>
        <v>572.89663505199997</v>
      </c>
      <c r="AD200" s="1365">
        <f>AVERAGE(AC193:AD193)</f>
        <v>740.75119527749996</v>
      </c>
      <c r="AE200" s="1364">
        <f t="shared" ref="AE200:AX200" si="319">AVERAGE(AD193:AE193)</f>
        <v>823.36475339499998</v>
      </c>
      <c r="AF200" s="1364">
        <f t="shared" si="319"/>
        <v>872.08685358000002</v>
      </c>
      <c r="AG200" s="1364">
        <f t="shared" si="319"/>
        <v>764.26092535199996</v>
      </c>
      <c r="AH200" s="1365">
        <f t="shared" si="319"/>
        <v>607.22262028499995</v>
      </c>
      <c r="AI200" s="1364">
        <f t="shared" si="319"/>
        <v>565.5929843545</v>
      </c>
      <c r="AJ200" s="1364">
        <f t="shared" si="319"/>
        <v>519.99787016649998</v>
      </c>
      <c r="AK200" s="1364">
        <f t="shared" si="319"/>
        <v>501.5534037205</v>
      </c>
      <c r="AL200" s="1365">
        <f t="shared" si="319"/>
        <v>551.82319250950002</v>
      </c>
      <c r="AM200" s="1364">
        <f t="shared" si="319"/>
        <v>652.69225833899998</v>
      </c>
      <c r="AN200" s="1364">
        <f t="shared" si="319"/>
        <v>643.90076773650003</v>
      </c>
      <c r="AO200" s="1364">
        <f t="shared" si="319"/>
        <v>839.69036053400009</v>
      </c>
      <c r="AP200" s="1365">
        <f t="shared" si="319"/>
        <v>1092.2952829685</v>
      </c>
      <c r="AQ200" s="1364">
        <f t="shared" si="319"/>
        <v>1548.0711666884999</v>
      </c>
      <c r="AR200" s="1364">
        <f t="shared" si="319"/>
        <v>1611.164860955</v>
      </c>
      <c r="AS200" s="1364">
        <f t="shared" si="319"/>
        <v>1807.9198025225</v>
      </c>
      <c r="AT200" s="1365">
        <f t="shared" si="319"/>
        <v>2143.5853273165003</v>
      </c>
      <c r="AU200" s="1364">
        <f t="shared" si="319"/>
        <v>1833.5248100035001</v>
      </c>
      <c r="AV200" s="1364">
        <f>AVERAGE(AU193:AV193)</f>
        <v>1936.5219805510001</v>
      </c>
      <c r="AW200" s="1364">
        <f>AVERAGE(AV193:AW193)</f>
        <v>2071.4353585440003</v>
      </c>
      <c r="AX200" s="1368">
        <f t="shared" si="319"/>
        <v>2033.1413100501914</v>
      </c>
      <c r="AZ200" s="1364">
        <f>AVERAGE(AX193,AT193)</f>
        <v>1979.4494980466914</v>
      </c>
    </row>
    <row r="201" spans="1:80" ht="15">
      <c r="A201" s="1128" t="s">
        <v>597</v>
      </c>
      <c r="C201" s="90">
        <f t="shared" ref="C201:M201" si="320">C55-C185</f>
        <v>-24.606105651</v>
      </c>
      <c r="D201" s="486">
        <f t="shared" si="320"/>
        <v>-31.727662864999999</v>
      </c>
      <c r="E201" s="486">
        <f t="shared" si="320"/>
        <v>-22.954089461999999</v>
      </c>
      <c r="F201" s="486">
        <f t="shared" si="320"/>
        <v>-21.334793052000002</v>
      </c>
      <c r="G201" s="486">
        <f t="shared" si="320"/>
        <v>-21.993997880999999</v>
      </c>
      <c r="H201" s="486">
        <f t="shared" si="320"/>
        <v>-22.611716336000001</v>
      </c>
      <c r="I201" s="486">
        <f t="shared" si="320"/>
        <v>-32.134890085000002</v>
      </c>
      <c r="J201" s="486">
        <f t="shared" si="320"/>
        <v>-47.582349663999999</v>
      </c>
      <c r="K201" s="486">
        <f t="shared" si="320"/>
        <v>-27.018043416000001</v>
      </c>
      <c r="L201" s="486">
        <f t="shared" si="320"/>
        <v>-31.886522705000001</v>
      </c>
      <c r="M201" s="658">
        <f t="shared" si="320"/>
        <v>-93.023625253999995</v>
      </c>
      <c r="N201" s="486">
        <f t="shared" ref="N201:S201" si="321">-N200*N202</f>
        <v>-125.80392269201822</v>
      </c>
      <c r="O201" s="486">
        <f t="shared" si="321"/>
        <v>-125.41859531966861</v>
      </c>
      <c r="P201" s="486">
        <f t="shared" si="321"/>
        <v>-130.35190597787019</v>
      </c>
      <c r="Q201" s="486">
        <f t="shared" si="321"/>
        <v>-138.49279771620922</v>
      </c>
      <c r="R201" s="486">
        <f t="shared" si="321"/>
        <v>-147.63270639311611</v>
      </c>
      <c r="S201" s="486">
        <f t="shared" si="321"/>
        <v>-158.19964877917917</v>
      </c>
      <c r="T201" s="486"/>
      <c r="U201" s="486"/>
      <c r="V201" s="486"/>
      <c r="W201" s="486"/>
      <c r="X201" s="486"/>
      <c r="AB201" s="486">
        <f t="shared" ref="AB201:AV201" si="322">AB55-AB185</f>
        <v>-6.5825805119999998</v>
      </c>
      <c r="AC201" s="486">
        <f t="shared" si="322"/>
        <v>-5.7743399350000004</v>
      </c>
      <c r="AD201" s="984">
        <f t="shared" si="322"/>
        <v>-12.373313496</v>
      </c>
      <c r="AE201" s="486">
        <f t="shared" si="322"/>
        <v>-11.655150828</v>
      </c>
      <c r="AF201" s="486">
        <f t="shared" si="322"/>
        <v>-15.389230889</v>
      </c>
      <c r="AG201" s="486">
        <f t="shared" si="322"/>
        <v>-11.719631595999999</v>
      </c>
      <c r="AH201" s="984">
        <f t="shared" si="322"/>
        <v>-8.8274400570000005</v>
      </c>
      <c r="AI201" s="486">
        <f t="shared" si="322"/>
        <v>-10.48468473</v>
      </c>
      <c r="AJ201" s="486">
        <f t="shared" si="322"/>
        <v>-7.7871945980000001</v>
      </c>
      <c r="AK201" s="486">
        <f t="shared" si="322"/>
        <v>-6.3917470549999997</v>
      </c>
      <c r="AL201" s="984">
        <f t="shared" si="322"/>
        <v>-2.3544170329999998</v>
      </c>
      <c r="AM201" s="486">
        <f t="shared" si="322"/>
        <v>-5.5325722600000002</v>
      </c>
      <c r="AN201" s="486">
        <f t="shared" si="322"/>
        <v>-5.9143162929999997</v>
      </c>
      <c r="AO201" s="486">
        <f t="shared" si="322"/>
        <v>-8.4341058950000001</v>
      </c>
      <c r="AP201" s="984">
        <f t="shared" si="322"/>
        <v>-12.005528257</v>
      </c>
      <c r="AQ201" s="486">
        <f t="shared" si="322"/>
        <v>-13.822439606</v>
      </c>
      <c r="AR201" s="486">
        <f t="shared" si="322"/>
        <v>-21.826082442000001</v>
      </c>
      <c r="AS201" s="486">
        <f t="shared" si="322"/>
        <v>-21.773196287000001</v>
      </c>
      <c r="AT201" s="984">
        <f t="shared" si="322"/>
        <v>-41.207888758999999</v>
      </c>
      <c r="AU201" s="486">
        <f>AU55-AU185</f>
        <v>-23.245870926000002</v>
      </c>
      <c r="AV201" s="486">
        <f t="shared" si="322"/>
        <v>-44.128225979</v>
      </c>
      <c r="AW201" s="486">
        <f>AW55-AW185</f>
        <v>-30.471590625000001</v>
      </c>
      <c r="AX201" s="658">
        <f>-AX200*AX202/4</f>
        <v>-27.955693013190132</v>
      </c>
      <c r="AZ201" s="415">
        <f>SUM(AU201:AX201)</f>
        <v>-125.80138054319013</v>
      </c>
    </row>
    <row r="202" spans="1:80" ht="15">
      <c r="A202" s="517" t="s">
        <v>598</v>
      </c>
      <c r="B202" s="503"/>
      <c r="C202" s="504">
        <f>-C201/C200</f>
        <v>0.10181469631751716</v>
      </c>
      <c r="D202" s="648">
        <f>-D201/D200</f>
        <v>9.1216181966043142E-2</v>
      </c>
      <c r="E202" s="648">
        <f>-E201/E200</f>
        <v>4.3428918749895733E-2</v>
      </c>
      <c r="F202" s="648">
        <f>-F201/F200</f>
        <v>4.1587824777662805E-2</v>
      </c>
      <c r="G202" s="648">
        <f>-G201/G200</f>
        <v>5.7464890755061948E-2</v>
      </c>
      <c r="H202" s="648">
        <f t="shared" ref="H202:M202" si="323">-H201/H200</f>
        <v>4.6935962576310768E-2</v>
      </c>
      <c r="I202" s="648">
        <f t="shared" si="323"/>
        <v>4.4085965231428284E-2</v>
      </c>
      <c r="J202" s="648">
        <f t="shared" si="323"/>
        <v>6.530942100527902E-2</v>
      </c>
      <c r="K202" s="648">
        <f t="shared" si="323"/>
        <v>4.3233960724000375E-2</v>
      </c>
      <c r="L202" s="648">
        <f t="shared" si="323"/>
        <v>3.6507892283093916E-2</v>
      </c>
      <c r="M202" s="687">
        <f t="shared" si="323"/>
        <v>6.1360131201226104E-2</v>
      </c>
      <c r="N202" s="649">
        <f>AZ202</f>
        <v>6.3553720702311509E-2</v>
      </c>
      <c r="O202" s="640">
        <v>0.06</v>
      </c>
      <c r="P202" s="640">
        <f>O202-($N202-$R202)/4</f>
        <v>5.7861569824422122E-2</v>
      </c>
      <c r="Q202" s="640">
        <f>P202-($N202-$R202)/4</f>
        <v>5.5723139648844247E-2</v>
      </c>
      <c r="R202" s="649">
        <v>5.5E-2</v>
      </c>
      <c r="S202" s="646">
        <f>R202</f>
        <v>5.5E-2</v>
      </c>
      <c r="U202" s="648" t="s">
        <v>610</v>
      </c>
      <c r="V202" s="648"/>
      <c r="W202" s="648"/>
      <c r="X202" s="599"/>
      <c r="AB202" s="648">
        <f t="shared" ref="AB202:AW202" si="324">-AB201/AB200*4</f>
        <v>4.9581603912948496E-2</v>
      </c>
      <c r="AC202" s="648">
        <f t="shared" si="324"/>
        <v>4.0316801193820119E-2</v>
      </c>
      <c r="AD202" s="996">
        <f t="shared" si="324"/>
        <v>6.6814949877278096E-2</v>
      </c>
      <c r="AE202" s="648">
        <f t="shared" si="324"/>
        <v>5.6622053737141562E-2</v>
      </c>
      <c r="AF202" s="648">
        <f t="shared" si="324"/>
        <v>7.0585771707603356E-2</v>
      </c>
      <c r="AG202" s="648">
        <f t="shared" si="324"/>
        <v>6.1338379117588528E-2</v>
      </c>
      <c r="AH202" s="996">
        <f t="shared" si="324"/>
        <v>5.8149612758871476E-2</v>
      </c>
      <c r="AI202" s="648">
        <f t="shared" si="324"/>
        <v>7.4150033823110167E-2</v>
      </c>
      <c r="AJ202" s="648">
        <f t="shared" si="324"/>
        <v>5.9901742255264165E-2</v>
      </c>
      <c r="AK202" s="648">
        <f t="shared" si="324"/>
        <v>5.0975605050918325E-2</v>
      </c>
      <c r="AL202" s="996">
        <f t="shared" si="324"/>
        <v>1.7066459438161197E-2</v>
      </c>
      <c r="AM202" s="648">
        <f t="shared" si="324"/>
        <v>3.3906161375834513E-2</v>
      </c>
      <c r="AN202" s="648">
        <f t="shared" si="324"/>
        <v>3.6740545061255667E-2</v>
      </c>
      <c r="AO202" s="648">
        <f t="shared" si="324"/>
        <v>4.0177219086503936E-2</v>
      </c>
      <c r="AP202" s="996">
        <f t="shared" si="324"/>
        <v>4.3964405758021456E-2</v>
      </c>
      <c r="AQ202" s="648">
        <f t="shared" si="324"/>
        <v>3.5715256258064071E-2</v>
      </c>
      <c r="AR202" s="648">
        <f t="shared" si="324"/>
        <v>5.418708655069062E-2</v>
      </c>
      <c r="AS202" s="648">
        <f t="shared" si="324"/>
        <v>4.8172925052584629E-2</v>
      </c>
      <c r="AT202" s="996">
        <f t="shared" si="324"/>
        <v>7.6895261847284804E-2</v>
      </c>
      <c r="AU202" s="648">
        <f t="shared" si="324"/>
        <v>5.0712967283940112E-2</v>
      </c>
      <c r="AV202" s="648">
        <f t="shared" si="324"/>
        <v>9.1149445081835145E-2</v>
      </c>
      <c r="AW202" s="648">
        <f t="shared" si="324"/>
        <v>5.8841499444941991E-2</v>
      </c>
      <c r="AX202" s="680">
        <v>5.5E-2</v>
      </c>
      <c r="AZ202" s="648">
        <f>-AZ201/AZ200</f>
        <v>6.3553720702311509E-2</v>
      </c>
    </row>
    <row r="203" spans="1:80" ht="15">
      <c r="D203" s="1210"/>
      <c r="E203" s="1210"/>
      <c r="F203" s="1210"/>
      <c r="G203" s="1210"/>
      <c r="H203" s="1210"/>
      <c r="J203" s="1210"/>
      <c r="K203" s="1210"/>
      <c r="L203" s="1210"/>
      <c r="M203" s="1390"/>
    </row>
    <row r="204" spans="1:80" s="1360" customFormat="1" ht="15">
      <c r="A204" s="864" t="s">
        <v>611</v>
      </c>
      <c r="B204" s="403"/>
      <c r="C204" s="403"/>
      <c r="D204" s="403"/>
      <c r="E204" s="403"/>
      <c r="F204" s="403"/>
      <c r="G204" s="403"/>
      <c r="H204" s="448"/>
      <c r="M204" s="1361"/>
      <c r="AD204" s="1362"/>
      <c r="AH204" s="1362"/>
      <c r="AL204" s="1362"/>
      <c r="AP204" s="1362"/>
      <c r="AT204" s="1362"/>
      <c r="AX204" s="1361"/>
      <c r="BI204" s="1362"/>
      <c r="BM204" s="1362"/>
      <c r="BQ204" s="1362"/>
      <c r="BU204" s="1362"/>
      <c r="BY204" s="1362"/>
      <c r="CB204" s="1362"/>
    </row>
    <row r="205" spans="1:80" ht="15">
      <c r="L205" s="415"/>
      <c r="M205" s="1129" t="s">
        <v>170</v>
      </c>
    </row>
    <row r="206" spans="1:80" ht="15">
      <c r="A206" s="518" t="s">
        <v>612</v>
      </c>
      <c r="B206" s="505"/>
      <c r="C206" s="506"/>
      <c r="D206" s="650">
        <f t="shared" ref="D206:S206" si="325">D32</f>
        <v>93.123941163999973</v>
      </c>
      <c r="E206" s="650">
        <f t="shared" si="325"/>
        <v>181.17495496499996</v>
      </c>
      <c r="F206" s="650">
        <f t="shared" si="325"/>
        <v>154.71080993699999</v>
      </c>
      <c r="G206" s="650">
        <f t="shared" si="325"/>
        <v>88.668949805000011</v>
      </c>
      <c r="H206" s="650">
        <f t="shared" si="325"/>
        <v>93.128522151999988</v>
      </c>
      <c r="I206" s="650">
        <f t="shared" si="325"/>
        <v>143.168508436</v>
      </c>
      <c r="J206" s="650">
        <f t="shared" si="325"/>
        <v>199.29945048799993</v>
      </c>
      <c r="K206" s="650">
        <f t="shared" si="325"/>
        <v>278.16573434600002</v>
      </c>
      <c r="L206" s="650">
        <f t="shared" si="325"/>
        <v>685.99023941900009</v>
      </c>
      <c r="M206" s="681">
        <f t="shared" si="325"/>
        <v>804.97772367100015</v>
      </c>
      <c r="N206" s="650">
        <f t="shared" si="325"/>
        <v>481.74169968037995</v>
      </c>
      <c r="O206" s="650">
        <f t="shared" si="325"/>
        <v>567.9035715533746</v>
      </c>
      <c r="P206" s="650">
        <f t="shared" si="325"/>
        <v>668.214188351345</v>
      </c>
      <c r="Q206" s="650">
        <f t="shared" si="325"/>
        <v>799.35294047693253</v>
      </c>
      <c r="R206" s="650">
        <f t="shared" si="325"/>
        <v>952.64367545419691</v>
      </c>
      <c r="S206" s="650">
        <f t="shared" si="325"/>
        <v>1131.2582269662391</v>
      </c>
      <c r="T206" s="651"/>
      <c r="U206" s="651"/>
      <c r="V206" s="651"/>
      <c r="W206" s="651"/>
      <c r="X206" s="652"/>
      <c r="AA206" s="651">
        <f t="shared" ref="AA206:AH206" si="326">AA32</f>
        <v>26.543814031999997</v>
      </c>
      <c r="AB206" s="651">
        <f t="shared" si="326"/>
        <v>30.033810851000009</v>
      </c>
      <c r="AC206" s="651">
        <f t="shared" si="326"/>
        <v>46.024627949999996</v>
      </c>
      <c r="AD206" s="997">
        <f t="shared" si="326"/>
        <v>41.492966001999996</v>
      </c>
      <c r="AE206" s="651">
        <f t="shared" si="326"/>
        <v>28.022644706000001</v>
      </c>
      <c r="AF206" s="651">
        <f t="shared" si="326"/>
        <v>49.451600783000004</v>
      </c>
      <c r="AG206" s="651">
        <f t="shared" si="326"/>
        <v>65.082495822999988</v>
      </c>
      <c r="AH206" s="997">
        <f t="shared" si="326"/>
        <v>58.412904562999991</v>
      </c>
      <c r="AI206" s="650">
        <f t="shared" ref="AI206:AX206" si="327">AI32</f>
        <v>50.986054362000004</v>
      </c>
      <c r="AJ206" s="650">
        <f t="shared" si="327"/>
        <v>44.805546970999998</v>
      </c>
      <c r="AK206" s="650">
        <f t="shared" si="327"/>
        <v>88.855324540999987</v>
      </c>
      <c r="AL206" s="1003">
        <f t="shared" si="327"/>
        <v>95.211798225999999</v>
      </c>
      <c r="AM206" s="650">
        <f t="shared" si="327"/>
        <v>116.95734206799997</v>
      </c>
      <c r="AN206" s="650">
        <f t="shared" si="327"/>
        <v>116.21462400700003</v>
      </c>
      <c r="AO206" s="650">
        <f t="shared" si="327"/>
        <v>96.135348508000035</v>
      </c>
      <c r="AP206" s="1003">
        <f t="shared" si="327"/>
        <v>359.75173823099993</v>
      </c>
      <c r="AQ206" s="650">
        <f t="shared" si="327"/>
        <v>209.77491077400003</v>
      </c>
      <c r="AR206" s="650">
        <f t="shared" si="327"/>
        <v>170.31102088099999</v>
      </c>
      <c r="AS206" s="650">
        <f t="shared" si="327"/>
        <v>218.41895204299999</v>
      </c>
      <c r="AT206" s="1003">
        <f t="shared" si="327"/>
        <v>206.365342575</v>
      </c>
      <c r="AU206" s="650">
        <f t="shared" si="327"/>
        <v>96.803172377999985</v>
      </c>
      <c r="AV206" s="650">
        <f t="shared" si="327"/>
        <v>111.498635503</v>
      </c>
      <c r="AW206" s="650">
        <f t="shared" si="327"/>
        <v>122.96999999999997</v>
      </c>
      <c r="AX206" s="681">
        <f t="shared" si="327"/>
        <v>209.33835806904582</v>
      </c>
      <c r="AZ206" s="650">
        <f t="shared" ref="AZ206:AZ234" si="328">SUM(AU206:AX206)</f>
        <v>540.61016595004583</v>
      </c>
    </row>
    <row r="207" spans="1:80" ht="15">
      <c r="A207" s="868" t="s">
        <v>613</v>
      </c>
      <c r="B207" s="893"/>
      <c r="C207" s="894"/>
      <c r="D207" s="895">
        <f t="shared" ref="D207:S207" si="329">D46+D49+D52+SUM(D62:D63)</f>
        <v>10.112677078999999</v>
      </c>
      <c r="E207" s="895">
        <f t="shared" si="329"/>
        <v>11.875130960999998</v>
      </c>
      <c r="F207" s="895">
        <f t="shared" si="329"/>
        <v>1.7781854240000046</v>
      </c>
      <c r="G207" s="895">
        <f t="shared" si="329"/>
        <v>18.409736095000003</v>
      </c>
      <c r="H207" s="895">
        <f t="shared" si="329"/>
        <v>29.075667778</v>
      </c>
      <c r="I207" s="895">
        <f t="shared" si="329"/>
        <v>28.633514176000002</v>
      </c>
      <c r="J207" s="895">
        <f t="shared" si="329"/>
        <v>58.619456928999995</v>
      </c>
      <c r="K207" s="895">
        <f t="shared" si="329"/>
        <v>82.569469525999978</v>
      </c>
      <c r="L207" s="895">
        <f t="shared" si="329"/>
        <v>165.71844649400003</v>
      </c>
      <c r="M207" s="896">
        <f t="shared" si="329"/>
        <v>151.959575191</v>
      </c>
      <c r="N207" s="895">
        <f t="shared" si="329"/>
        <v>158.09442061786478</v>
      </c>
      <c r="O207" s="895">
        <f t="shared" si="329"/>
        <v>207.16327732341188</v>
      </c>
      <c r="P207" s="895">
        <f t="shared" si="329"/>
        <v>217.75915733384639</v>
      </c>
      <c r="Q207" s="895">
        <f t="shared" si="329"/>
        <v>221.84168305222502</v>
      </c>
      <c r="R207" s="895">
        <f t="shared" si="329"/>
        <v>257.67105393680043</v>
      </c>
      <c r="S207" s="895">
        <f t="shared" si="329"/>
        <v>299.64000663295548</v>
      </c>
      <c r="T207" s="897"/>
      <c r="U207" s="897"/>
      <c r="V207" s="897"/>
      <c r="W207" s="897"/>
      <c r="X207" s="1391"/>
      <c r="AA207" s="897">
        <f t="shared" ref="AA207:AH207" si="330">AA46+AA49+AA52+SUM(AA62:AA63)</f>
        <v>4.8104127029999999</v>
      </c>
      <c r="AB207" s="897">
        <f t="shared" si="330"/>
        <v>5.6151604269999993</v>
      </c>
      <c r="AC207" s="897">
        <f t="shared" si="330"/>
        <v>5.5860989500000011</v>
      </c>
      <c r="AD207" s="998">
        <f t="shared" si="330"/>
        <v>12.837713377</v>
      </c>
      <c r="AE207" s="897">
        <f t="shared" si="330"/>
        <v>14.75290455</v>
      </c>
      <c r="AF207" s="897">
        <f t="shared" si="330"/>
        <v>10.95960914</v>
      </c>
      <c r="AG207" s="897">
        <f t="shared" si="330"/>
        <v>13.980117879999996</v>
      </c>
      <c r="AH207" s="998">
        <f t="shared" si="330"/>
        <v>17.371975550999998</v>
      </c>
      <c r="AI207" s="895">
        <f t="shared" ref="AI207:AZ207" si="331">AI46+AI49+AI52+SUM(AI62:AI63)</f>
        <v>13.259104185000002</v>
      </c>
      <c r="AJ207" s="895">
        <f t="shared" si="331"/>
        <v>26.537849167000001</v>
      </c>
      <c r="AK207" s="895">
        <f t="shared" si="331"/>
        <v>18.534863510000001</v>
      </c>
      <c r="AL207" s="1004">
        <f t="shared" si="331"/>
        <v>-1.038187502</v>
      </c>
      <c r="AM207" s="895">
        <f t="shared" si="331"/>
        <v>23.620737029000001</v>
      </c>
      <c r="AN207" s="895">
        <f t="shared" si="331"/>
        <v>36.425232082000001</v>
      </c>
      <c r="AO207" s="895">
        <f t="shared" si="331"/>
        <v>46.476347001999997</v>
      </c>
      <c r="AP207" s="1004">
        <f t="shared" si="331"/>
        <v>59.196130381000003</v>
      </c>
      <c r="AQ207" s="895">
        <f t="shared" si="331"/>
        <v>69.21386210499999</v>
      </c>
      <c r="AR207" s="895">
        <f t="shared" si="331"/>
        <v>24.322622068000001</v>
      </c>
      <c r="AS207" s="895">
        <f t="shared" si="331"/>
        <v>30.207963025000002</v>
      </c>
      <c r="AT207" s="1004">
        <f t="shared" si="331"/>
        <v>32.742234832999998</v>
      </c>
      <c r="AU207" s="895">
        <f t="shared" si="331"/>
        <v>33.928368262999996</v>
      </c>
      <c r="AV207" s="895">
        <f t="shared" si="331"/>
        <v>44.893045396999995</v>
      </c>
      <c r="AW207" s="895">
        <f t="shared" si="331"/>
        <v>41.500000000000007</v>
      </c>
      <c r="AX207" s="896">
        <f t="shared" si="331"/>
        <v>58.86846626966588</v>
      </c>
      <c r="AZ207" s="895">
        <f t="shared" si="331"/>
        <v>179.18987992966589</v>
      </c>
    </row>
    <row r="208" spans="1:80" ht="15">
      <c r="A208" s="1128" t="s">
        <v>614</v>
      </c>
      <c r="B208" s="507"/>
      <c r="C208" s="90"/>
      <c r="D208" s="653">
        <f t="shared" ref="D208:S208" si="332">D69</f>
        <v>-17.63113826</v>
      </c>
      <c r="E208" s="653">
        <f t="shared" si="332"/>
        <v>-39.993097145999997</v>
      </c>
      <c r="F208" s="653">
        <f t="shared" si="332"/>
        <v>-29.784264872000001</v>
      </c>
      <c r="G208" s="653">
        <f t="shared" si="332"/>
        <v>-17.556078789000001</v>
      </c>
      <c r="H208" s="653">
        <f t="shared" si="332"/>
        <v>-21.121319405000001</v>
      </c>
      <c r="I208" s="653">
        <f t="shared" si="332"/>
        <v>-30.111194302000001</v>
      </c>
      <c r="J208" s="653">
        <f t="shared" si="332"/>
        <v>-47.174096601999999</v>
      </c>
      <c r="K208" s="653">
        <f t="shared" si="332"/>
        <v>-66.420727008</v>
      </c>
      <c r="L208" s="653">
        <f t="shared" si="332"/>
        <v>-164.94060818899999</v>
      </c>
      <c r="M208" s="682">
        <f t="shared" si="332"/>
        <v>-178.76532941900001</v>
      </c>
      <c r="N208" s="653">
        <f t="shared" si="332"/>
        <v>-113.86224953646841</v>
      </c>
      <c r="O208" s="653">
        <f t="shared" si="332"/>
        <v>-136.65678289814247</v>
      </c>
      <c r="P208" s="653">
        <f t="shared" si="332"/>
        <v>-158.75838133615156</v>
      </c>
      <c r="Q208" s="653">
        <f t="shared" si="332"/>
        <v>-185.40203691758211</v>
      </c>
      <c r="R208" s="653">
        <f t="shared" si="332"/>
        <v>-223.24477907192437</v>
      </c>
      <c r="S208" s="653">
        <f t="shared" si="332"/>
        <v>-267.40645036475058</v>
      </c>
      <c r="T208" s="486"/>
      <c r="U208" s="486"/>
      <c r="V208" s="486"/>
      <c r="W208" s="486"/>
      <c r="X208" s="1364"/>
      <c r="AA208" s="486">
        <f t="shared" ref="AA208:AH208" si="333">AA69</f>
        <v>-4.4641292349999997</v>
      </c>
      <c r="AB208" s="486">
        <f t="shared" si="333"/>
        <v>-6.0278151290000004</v>
      </c>
      <c r="AC208" s="486">
        <f t="shared" si="333"/>
        <v>-10.471425779</v>
      </c>
      <c r="AD208" s="984">
        <f t="shared" si="333"/>
        <v>-10.233925062999999</v>
      </c>
      <c r="AE208" s="486">
        <f t="shared" si="333"/>
        <v>-6.632161193</v>
      </c>
      <c r="AF208" s="486">
        <f t="shared" si="333"/>
        <v>-12.340926869</v>
      </c>
      <c r="AG208" s="486">
        <f t="shared" si="333"/>
        <v>-16.704677573000001</v>
      </c>
      <c r="AH208" s="984">
        <f t="shared" si="333"/>
        <v>-16.084006847000001</v>
      </c>
      <c r="AI208" s="653">
        <f t="shared" ref="AI208:AX208" si="334">AI69</f>
        <v>-8.9765818750000008</v>
      </c>
      <c r="AJ208" s="653">
        <f t="shared" si="334"/>
        <v>-15.219528598</v>
      </c>
      <c r="AK208" s="653">
        <f t="shared" si="334"/>
        <v>-25.810943376000001</v>
      </c>
      <c r="AL208" s="1005">
        <f t="shared" si="334"/>
        <v>-28.318025950999999</v>
      </c>
      <c r="AM208" s="653">
        <f t="shared" si="334"/>
        <v>-28.152590135000001</v>
      </c>
      <c r="AN208" s="653">
        <f t="shared" si="334"/>
        <v>-30.153372915999999</v>
      </c>
      <c r="AO208" s="653">
        <f t="shared" si="334"/>
        <v>-26.921628112</v>
      </c>
      <c r="AP208" s="1005">
        <f t="shared" si="334"/>
        <v>-79.747791028999998</v>
      </c>
      <c r="AQ208" s="653">
        <f t="shared" si="334"/>
        <v>-54.329160700999999</v>
      </c>
      <c r="AR208" s="653">
        <f t="shared" si="334"/>
        <v>-35.886537715000003</v>
      </c>
      <c r="AS208" s="653">
        <f t="shared" si="334"/>
        <v>-46.560250498000002</v>
      </c>
      <c r="AT208" s="1005">
        <f t="shared" si="334"/>
        <v>-41.989380505</v>
      </c>
      <c r="AU208" s="653">
        <f t="shared" si="334"/>
        <v>-24.688935679</v>
      </c>
      <c r="AV208" s="653">
        <f t="shared" si="334"/>
        <v>-24.731866141000001</v>
      </c>
      <c r="AW208" s="653">
        <f t="shared" si="334"/>
        <v>-30.49</v>
      </c>
      <c r="AX208" s="682">
        <f t="shared" si="334"/>
        <v>-38.640983495901999</v>
      </c>
      <c r="AZ208" s="653">
        <f t="shared" si="328"/>
        <v>-118.55178531590201</v>
      </c>
    </row>
    <row r="209" spans="1:52" ht="15">
      <c r="A209" s="518" t="s">
        <v>615</v>
      </c>
      <c r="B209" s="505"/>
      <c r="C209" s="461"/>
      <c r="D209" s="654">
        <f t="shared" ref="D209:L209" si="335">SUM(D206:D208)</f>
        <v>85.605479982999967</v>
      </c>
      <c r="E209" s="654">
        <f t="shared" si="335"/>
        <v>153.05698877999995</v>
      </c>
      <c r="F209" s="654">
        <f t="shared" si="335"/>
        <v>126.70473048900001</v>
      </c>
      <c r="G209" s="654">
        <f t="shared" si="335"/>
        <v>89.522607111000013</v>
      </c>
      <c r="H209" s="654">
        <f t="shared" si="335"/>
        <v>101.08287052499998</v>
      </c>
      <c r="I209" s="654">
        <f t="shared" si="335"/>
        <v>141.69082831</v>
      </c>
      <c r="J209" s="654">
        <f t="shared" si="335"/>
        <v>210.74481081499991</v>
      </c>
      <c r="K209" s="654">
        <f t="shared" si="335"/>
        <v>294.31447686399997</v>
      </c>
      <c r="L209" s="654">
        <f t="shared" si="335"/>
        <v>686.76807772400025</v>
      </c>
      <c r="M209" s="683">
        <f t="shared" ref="M209:S209" si="336">SUM(M206:M208)</f>
        <v>778.17196944300008</v>
      </c>
      <c r="N209" s="654">
        <f t="shared" si="336"/>
        <v>525.97387076177631</v>
      </c>
      <c r="O209" s="654">
        <f t="shared" si="336"/>
        <v>638.41006597864407</v>
      </c>
      <c r="P209" s="654">
        <f t="shared" si="336"/>
        <v>727.21496434903975</v>
      </c>
      <c r="Q209" s="654">
        <f t="shared" si="336"/>
        <v>835.79258661157542</v>
      </c>
      <c r="R209" s="654">
        <f t="shared" si="336"/>
        <v>987.06995031907309</v>
      </c>
      <c r="S209" s="654">
        <f t="shared" si="336"/>
        <v>1163.491783234444</v>
      </c>
      <c r="T209" s="598"/>
      <c r="U209" s="598"/>
      <c r="V209" s="598"/>
      <c r="W209" s="598"/>
      <c r="X209" s="623"/>
      <c r="AA209" s="598">
        <f t="shared" ref="AA209:AH209" si="337">SUM(AA206:AA208)</f>
        <v>26.890097499999996</v>
      </c>
      <c r="AB209" s="598">
        <f t="shared" si="337"/>
        <v>29.621156149000004</v>
      </c>
      <c r="AC209" s="598">
        <f t="shared" si="337"/>
        <v>41.139301120999995</v>
      </c>
      <c r="AD209" s="999">
        <f t="shared" si="337"/>
        <v>44.096754315999995</v>
      </c>
      <c r="AE209" s="598">
        <f t="shared" si="337"/>
        <v>36.143388063000003</v>
      </c>
      <c r="AF209" s="598">
        <f t="shared" si="337"/>
        <v>48.070283054000001</v>
      </c>
      <c r="AG209" s="598">
        <f t="shared" si="337"/>
        <v>62.357936129999985</v>
      </c>
      <c r="AH209" s="999">
        <f t="shared" si="337"/>
        <v>59.700873266999992</v>
      </c>
      <c r="AI209" s="654">
        <f t="shared" ref="AI209:AX209" si="338">SUM(AI206:AI208)</f>
        <v>55.268576672000002</v>
      </c>
      <c r="AJ209" s="654">
        <f t="shared" si="338"/>
        <v>56.123867540000006</v>
      </c>
      <c r="AK209" s="654">
        <f t="shared" si="338"/>
        <v>81.579244674999998</v>
      </c>
      <c r="AL209" s="1006">
        <f t="shared" si="338"/>
        <v>65.855584773000004</v>
      </c>
      <c r="AM209" s="654">
        <f t="shared" si="338"/>
        <v>112.42548896199997</v>
      </c>
      <c r="AN209" s="654">
        <f t="shared" si="338"/>
        <v>122.48648317300004</v>
      </c>
      <c r="AO209" s="654">
        <f t="shared" si="338"/>
        <v>115.69006739800002</v>
      </c>
      <c r="AP209" s="1006">
        <f t="shared" si="338"/>
        <v>339.20007758299994</v>
      </c>
      <c r="AQ209" s="654">
        <f t="shared" si="338"/>
        <v>224.659612178</v>
      </c>
      <c r="AR209" s="654">
        <f t="shared" si="338"/>
        <v>158.74710523399997</v>
      </c>
      <c r="AS209" s="654">
        <f t="shared" si="338"/>
        <v>202.06666457</v>
      </c>
      <c r="AT209" s="1006">
        <f t="shared" si="338"/>
        <v>197.11819690300001</v>
      </c>
      <c r="AU209" s="654">
        <f t="shared" si="338"/>
        <v>106.04260496199998</v>
      </c>
      <c r="AV209" s="654">
        <f t="shared" si="338"/>
        <v>131.65981475899997</v>
      </c>
      <c r="AW209" s="654">
        <f t="shared" si="338"/>
        <v>133.97999999999996</v>
      </c>
      <c r="AX209" s="683">
        <f t="shared" si="338"/>
        <v>229.56584084280973</v>
      </c>
      <c r="AZ209" s="654">
        <f t="shared" si="328"/>
        <v>601.24826056380971</v>
      </c>
    </row>
    <row r="210" spans="1:52" ht="15">
      <c r="A210" s="1128" t="s">
        <v>496</v>
      </c>
      <c r="B210" s="507"/>
      <c r="C210" s="90"/>
      <c r="D210" s="653">
        <f t="shared" ref="D210:S210" si="339">D36</f>
        <v>3.4168622439999998</v>
      </c>
      <c r="E210" s="653">
        <f t="shared" si="339"/>
        <v>2.954082262</v>
      </c>
      <c r="F210" s="653">
        <f t="shared" si="339"/>
        <v>3.2516758590000001</v>
      </c>
      <c r="G210" s="653">
        <f t="shared" si="339"/>
        <v>4.0039349849999999</v>
      </c>
      <c r="H210" s="653">
        <f t="shared" si="339"/>
        <v>4.800459214</v>
      </c>
      <c r="I210" s="653">
        <f t="shared" si="339"/>
        <v>5.4616505210000001</v>
      </c>
      <c r="J210" s="653">
        <f t="shared" si="339"/>
        <v>6.2180324650000003</v>
      </c>
      <c r="K210" s="653">
        <f t="shared" si="339"/>
        <v>6.2868980830000005</v>
      </c>
      <c r="L210" s="653">
        <f t="shared" si="339"/>
        <v>6.2896370959999999</v>
      </c>
      <c r="M210" s="682">
        <f t="shared" si="339"/>
        <v>12.835000000000001</v>
      </c>
      <c r="N210" s="653">
        <f t="shared" si="339"/>
        <v>40.950402829618817</v>
      </c>
      <c r="O210" s="653">
        <f t="shared" si="339"/>
        <v>42.389687017985246</v>
      </c>
      <c r="P210" s="653">
        <f t="shared" si="339"/>
        <v>44.048590432895544</v>
      </c>
      <c r="Q210" s="653">
        <f t="shared" si="339"/>
        <v>45.884962410541924</v>
      </c>
      <c r="R210" s="653">
        <f t="shared" si="339"/>
        <v>47.915969966666793</v>
      </c>
      <c r="S210" s="653">
        <f t="shared" si="339"/>
        <v>50.160698931161456</v>
      </c>
      <c r="T210" s="486"/>
      <c r="U210" s="486"/>
      <c r="V210" s="486"/>
      <c r="W210" s="486"/>
      <c r="X210" s="1364"/>
      <c r="AA210" s="486">
        <f t="shared" ref="AA210:AH210" si="340">AA36</f>
        <v>0</v>
      </c>
      <c r="AB210" s="486">
        <f t="shared" si="340"/>
        <v>1.350843813</v>
      </c>
      <c r="AC210" s="486">
        <f t="shared" si="340"/>
        <v>0.96190543900000003</v>
      </c>
      <c r="AD210" s="984">
        <f t="shared" si="340"/>
        <v>1.315736861</v>
      </c>
      <c r="AE210" s="486">
        <f t="shared" si="340"/>
        <v>1.165262416</v>
      </c>
      <c r="AF210" s="486">
        <f t="shared" si="340"/>
        <v>1.4573045920000001</v>
      </c>
      <c r="AG210" s="486">
        <f t="shared" si="340"/>
        <v>0.92893233500000005</v>
      </c>
      <c r="AH210" s="984">
        <f t="shared" si="340"/>
        <v>1.274143384</v>
      </c>
      <c r="AI210" s="653">
        <f t="shared" ref="AI210:AX210" si="341">AI36</f>
        <v>1.1913830780000001</v>
      </c>
      <c r="AJ210" s="653">
        <f t="shared" si="341"/>
        <v>1.6458492639999998</v>
      </c>
      <c r="AK210" s="653">
        <f t="shared" si="341"/>
        <v>1.7363531800000001</v>
      </c>
      <c r="AL210" s="1005">
        <f t="shared" si="341"/>
        <v>0.45800206700000023</v>
      </c>
      <c r="AM210" s="653">
        <f t="shared" si="341"/>
        <v>1.389706141</v>
      </c>
      <c r="AN210" s="653">
        <f t="shared" si="341"/>
        <v>1.677346123</v>
      </c>
      <c r="AO210" s="653">
        <f t="shared" si="341"/>
        <v>1.542709463</v>
      </c>
      <c r="AP210" s="1005">
        <f t="shared" si="341"/>
        <v>1.104595397</v>
      </c>
      <c r="AQ210" s="653">
        <f t="shared" si="341"/>
        <v>1.9110310399999999</v>
      </c>
      <c r="AR210" s="653">
        <f t="shared" si="341"/>
        <v>1.962916415</v>
      </c>
      <c r="AS210" s="653">
        <f t="shared" si="341"/>
        <v>2.085023804</v>
      </c>
      <c r="AT210" s="1005">
        <f t="shared" si="341"/>
        <v>6.8764603099999997</v>
      </c>
      <c r="AU210" s="653">
        <f t="shared" si="341"/>
        <v>9.4308592939999993</v>
      </c>
      <c r="AV210" s="653">
        <f t="shared" si="341"/>
        <v>9.5855186349999997</v>
      </c>
      <c r="AW210" s="653">
        <f t="shared" si="341"/>
        <v>10.49</v>
      </c>
      <c r="AX210" s="682">
        <f t="shared" si="341"/>
        <v>11.444024900618814</v>
      </c>
      <c r="AZ210" s="653">
        <f t="shared" si="328"/>
        <v>40.950402829618817</v>
      </c>
    </row>
    <row r="211" spans="1:52" ht="15">
      <c r="A211" s="518" t="s">
        <v>616</v>
      </c>
      <c r="B211" s="505"/>
      <c r="C211" s="461"/>
      <c r="D211" s="654">
        <f t="shared" ref="D211:L211" si="342">D209+D210</f>
        <v>89.022342226999967</v>
      </c>
      <c r="E211" s="654">
        <f t="shared" si="342"/>
        <v>156.01107104199997</v>
      </c>
      <c r="F211" s="654">
        <f t="shared" si="342"/>
        <v>129.956406348</v>
      </c>
      <c r="G211" s="654">
        <f t="shared" si="342"/>
        <v>93.526542096000014</v>
      </c>
      <c r="H211" s="654">
        <f t="shared" si="342"/>
        <v>105.88332973899998</v>
      </c>
      <c r="I211" s="654">
        <f t="shared" si="342"/>
        <v>147.152478831</v>
      </c>
      <c r="J211" s="654">
        <f t="shared" si="342"/>
        <v>216.9628432799999</v>
      </c>
      <c r="K211" s="654">
        <f t="shared" si="342"/>
        <v>300.60137494699995</v>
      </c>
      <c r="L211" s="654">
        <f t="shared" si="342"/>
        <v>693.05771482000023</v>
      </c>
      <c r="M211" s="683">
        <f t="shared" ref="M211:S211" si="343">M209+M210</f>
        <v>791.00696944300012</v>
      </c>
      <c r="N211" s="654">
        <f t="shared" si="343"/>
        <v>566.92427359139515</v>
      </c>
      <c r="O211" s="654">
        <f t="shared" si="343"/>
        <v>680.79975299662931</v>
      </c>
      <c r="P211" s="654">
        <f t="shared" si="343"/>
        <v>771.26355478193534</v>
      </c>
      <c r="Q211" s="654">
        <f t="shared" si="343"/>
        <v>881.67754902211732</v>
      </c>
      <c r="R211" s="654">
        <f t="shared" si="343"/>
        <v>1034.9859202857399</v>
      </c>
      <c r="S211" s="654">
        <f t="shared" si="343"/>
        <v>1213.6524821656055</v>
      </c>
      <c r="T211" s="598"/>
      <c r="U211" s="598"/>
      <c r="V211" s="598"/>
      <c r="W211" s="598"/>
      <c r="X211" s="494"/>
      <c r="AA211" s="598">
        <f t="shared" ref="AA211:AH211" si="344">AA209+AA210</f>
        <v>26.890097499999996</v>
      </c>
      <c r="AB211" s="598">
        <f t="shared" si="344"/>
        <v>30.971999962000005</v>
      </c>
      <c r="AC211" s="598">
        <f t="shared" si="344"/>
        <v>42.101206559999994</v>
      </c>
      <c r="AD211" s="999">
        <f t="shared" si="344"/>
        <v>45.412491176999993</v>
      </c>
      <c r="AE211" s="598">
        <f t="shared" si="344"/>
        <v>37.308650479000001</v>
      </c>
      <c r="AF211" s="598">
        <f t="shared" si="344"/>
        <v>49.527587646000001</v>
      </c>
      <c r="AG211" s="598">
        <f t="shared" si="344"/>
        <v>63.286868464999984</v>
      </c>
      <c r="AH211" s="999">
        <f t="shared" si="344"/>
        <v>60.97501665099999</v>
      </c>
      <c r="AI211" s="654">
        <f t="shared" ref="AI211:AX211" si="345">AI209+AI210</f>
        <v>56.459959750000003</v>
      </c>
      <c r="AJ211" s="654">
        <f t="shared" si="345"/>
        <v>57.769716804000005</v>
      </c>
      <c r="AK211" s="654">
        <f t="shared" si="345"/>
        <v>83.315597854999993</v>
      </c>
      <c r="AL211" s="1006">
        <f t="shared" si="345"/>
        <v>66.313586839999999</v>
      </c>
      <c r="AM211" s="654">
        <f t="shared" si="345"/>
        <v>113.81519510299998</v>
      </c>
      <c r="AN211" s="654">
        <f t="shared" si="345"/>
        <v>124.16382929600005</v>
      </c>
      <c r="AO211" s="654">
        <f t="shared" si="345"/>
        <v>117.23277686100002</v>
      </c>
      <c r="AP211" s="1006">
        <f t="shared" si="345"/>
        <v>340.30467297999996</v>
      </c>
      <c r="AQ211" s="654">
        <f t="shared" si="345"/>
        <v>226.57064321800001</v>
      </c>
      <c r="AR211" s="654">
        <f t="shared" si="345"/>
        <v>160.71002164899997</v>
      </c>
      <c r="AS211" s="654">
        <f t="shared" si="345"/>
        <v>204.151688374</v>
      </c>
      <c r="AT211" s="1006">
        <f t="shared" si="345"/>
        <v>203.99465721300001</v>
      </c>
      <c r="AU211" s="654">
        <f t="shared" si="345"/>
        <v>115.47346425599999</v>
      </c>
      <c r="AV211" s="654">
        <f t="shared" si="345"/>
        <v>141.24533339399997</v>
      </c>
      <c r="AW211" s="654">
        <f t="shared" si="345"/>
        <v>144.46999999999997</v>
      </c>
      <c r="AX211" s="683">
        <f t="shared" si="345"/>
        <v>241.00986574342855</v>
      </c>
      <c r="AZ211" s="654">
        <f t="shared" si="328"/>
        <v>642.19866339342843</v>
      </c>
    </row>
    <row r="212" spans="1:52" ht="15">
      <c r="A212" s="1128" t="s">
        <v>617</v>
      </c>
      <c r="B212" s="507"/>
      <c r="C212" s="90"/>
      <c r="D212" s="653">
        <f t="shared" ref="D212:L212" si="346">SUM(D213:D217)</f>
        <v>-26.956280320999959</v>
      </c>
      <c r="E212" s="653">
        <f t="shared" si="346"/>
        <v>-315.63943714100009</v>
      </c>
      <c r="F212" s="653">
        <f t="shared" si="346"/>
        <v>-129.88578671899995</v>
      </c>
      <c r="G212" s="653">
        <f t="shared" si="346"/>
        <v>87.592766064000003</v>
      </c>
      <c r="H212" s="653">
        <f t="shared" si="346"/>
        <v>-336.09733204399998</v>
      </c>
      <c r="I212" s="653">
        <f t="shared" si="346"/>
        <v>-247.30090225799995</v>
      </c>
      <c r="J212" s="653">
        <f t="shared" si="346"/>
        <v>131.21219014799993</v>
      </c>
      <c r="K212" s="653">
        <f t="shared" si="346"/>
        <v>588.42633249299979</v>
      </c>
      <c r="L212" s="653">
        <f t="shared" si="346"/>
        <v>-426.23083083099766</v>
      </c>
      <c r="M212" s="682">
        <f t="shared" ref="M212:S212" si="347">SUM(M213:M217)</f>
        <v>-1866.4740767400021</v>
      </c>
      <c r="N212" s="653">
        <f t="shared" si="347"/>
        <v>408.95278746834902</v>
      </c>
      <c r="O212" s="653">
        <f t="shared" si="347"/>
        <v>-59.446677672449823</v>
      </c>
      <c r="P212" s="653">
        <f t="shared" si="347"/>
        <v>-192.03965049668523</v>
      </c>
      <c r="Q212" s="653">
        <f t="shared" si="347"/>
        <v>-109.57650279159634</v>
      </c>
      <c r="R212" s="653">
        <f t="shared" si="347"/>
        <v>-73.8181839818252</v>
      </c>
      <c r="S212" s="653">
        <f t="shared" si="347"/>
        <v>-25.448287434418944</v>
      </c>
      <c r="T212" s="486"/>
      <c r="U212" s="486"/>
      <c r="V212" s="486"/>
      <c r="W212" s="486"/>
      <c r="X212" s="1364"/>
      <c r="AA212" s="486">
        <f t="shared" ref="AA212:AH212" si="348">SUM(AA213:AA217)</f>
        <v>-1154.2018289279999</v>
      </c>
      <c r="AB212" s="486">
        <f t="shared" si="348"/>
        <v>151.42569795899988</v>
      </c>
      <c r="AC212" s="486">
        <f t="shared" si="348"/>
        <v>-248.08529330300007</v>
      </c>
      <c r="AD212" s="984">
        <f t="shared" si="348"/>
        <v>-191.06547864000009</v>
      </c>
      <c r="AE212" s="486">
        <f t="shared" si="348"/>
        <v>17.352490201000307</v>
      </c>
      <c r="AF212" s="486">
        <f t="shared" si="348"/>
        <v>-184.80248024700012</v>
      </c>
      <c r="AG212" s="486">
        <f t="shared" si="348"/>
        <v>289.70455480400017</v>
      </c>
      <c r="AH212" s="984">
        <f t="shared" si="348"/>
        <v>11.585407196999938</v>
      </c>
      <c r="AI212" s="653">
        <f t="shared" ref="AI212:AX212" si="349">SUM(AI213:AI217)</f>
        <v>25.336821038000039</v>
      </c>
      <c r="AJ212" s="653">
        <f t="shared" si="349"/>
        <v>104.88227391699991</v>
      </c>
      <c r="AK212" s="653">
        <f t="shared" si="349"/>
        <v>10.540345666999983</v>
      </c>
      <c r="AL212" s="1005">
        <f t="shared" si="349"/>
        <v>463.38713374700001</v>
      </c>
      <c r="AM212" s="653">
        <f t="shared" si="349"/>
        <v>-213.28812691799982</v>
      </c>
      <c r="AN212" s="653">
        <f t="shared" si="349"/>
        <v>134.78960323299961</v>
      </c>
      <c r="AO212" s="653">
        <f t="shared" si="349"/>
        <v>-976.23062819399979</v>
      </c>
      <c r="AP212" s="1005">
        <f t="shared" si="349"/>
        <v>612.91475155100011</v>
      </c>
      <c r="AQ212" s="653">
        <f t="shared" si="349"/>
        <v>-2033.7353526500001</v>
      </c>
      <c r="AR212" s="653">
        <f t="shared" si="349"/>
        <v>284.07269944600034</v>
      </c>
      <c r="AS212" s="653">
        <f t="shared" si="349"/>
        <v>-229.06809702200042</v>
      </c>
      <c r="AT212" s="1005">
        <f t="shared" si="349"/>
        <v>115.03051707500035</v>
      </c>
      <c r="AU212" s="653">
        <f t="shared" si="349"/>
        <v>-628.91109440700029</v>
      </c>
      <c r="AV212" s="653">
        <f t="shared" si="349"/>
        <v>428.50178460500024</v>
      </c>
      <c r="AW212" s="653">
        <f t="shared" si="349"/>
        <v>576.75429986900008</v>
      </c>
      <c r="AX212" s="682">
        <f t="shared" si="349"/>
        <v>-8.4720438734552772</v>
      </c>
      <c r="AZ212" s="653">
        <f t="shared" si="328"/>
        <v>367.87294619354475</v>
      </c>
    </row>
    <row r="213" spans="1:52" ht="15">
      <c r="A213" s="519" t="s">
        <v>618</v>
      </c>
      <c r="B213" s="507"/>
      <c r="C213" s="90"/>
      <c r="D213" s="653">
        <f t="shared" ref="D213:S213" si="350">-(D104-C104)-(D110-C110)</f>
        <v>-60.135062432999973</v>
      </c>
      <c r="E213" s="653">
        <f t="shared" si="350"/>
        <v>-36.194603392000026</v>
      </c>
      <c r="F213" s="653">
        <f t="shared" si="350"/>
        <v>-35.097607604999986</v>
      </c>
      <c r="G213" s="653">
        <f t="shared" si="350"/>
        <v>-11.897386489000011</v>
      </c>
      <c r="H213" s="653">
        <f t="shared" si="350"/>
        <v>-121.359825251</v>
      </c>
      <c r="I213" s="653">
        <f t="shared" si="350"/>
        <v>-120.66107509099994</v>
      </c>
      <c r="J213" s="653">
        <f t="shared" si="350"/>
        <v>16.34888257199998</v>
      </c>
      <c r="K213" s="653">
        <f t="shared" si="350"/>
        <v>-551.19101217000014</v>
      </c>
      <c r="L213" s="653">
        <f t="shared" si="350"/>
        <v>-663.88621769299834</v>
      </c>
      <c r="M213" s="682">
        <f t="shared" si="350"/>
        <v>202.77336129799841</v>
      </c>
      <c r="N213" s="653">
        <f t="shared" si="350"/>
        <v>-433.52016349427726</v>
      </c>
      <c r="O213" s="653">
        <f t="shared" si="350"/>
        <v>-55.801586331115232</v>
      </c>
      <c r="P213" s="653">
        <f t="shared" si="350"/>
        <v>-150.72944298094853</v>
      </c>
      <c r="Q213" s="653">
        <f t="shared" si="350"/>
        <v>-108.4819144377916</v>
      </c>
      <c r="R213" s="653">
        <f t="shared" si="350"/>
        <v>-103.13914291711853</v>
      </c>
      <c r="S213" s="653">
        <f t="shared" si="350"/>
        <v>-95.749214032923646</v>
      </c>
      <c r="T213" s="486"/>
      <c r="U213" s="486"/>
      <c r="V213" s="486"/>
      <c r="W213" s="486"/>
      <c r="X213" s="1364"/>
      <c r="AA213" s="486">
        <f t="shared" ref="AA213:AH213" si="351">-(AA104-Z104)-(AA110-Z110)</f>
        <v>-587.45417408199989</v>
      </c>
      <c r="AB213" s="486">
        <f t="shared" si="351"/>
        <v>96.19774153699997</v>
      </c>
      <c r="AC213" s="486">
        <f t="shared" si="351"/>
        <v>-273.96500338500005</v>
      </c>
      <c r="AD213" s="984">
        <f t="shared" si="351"/>
        <v>159.88180845400004</v>
      </c>
      <c r="AE213" s="486">
        <f t="shared" si="351"/>
        <v>-21.632542891999957</v>
      </c>
      <c r="AF213" s="486">
        <f t="shared" si="351"/>
        <v>-258.54738066100003</v>
      </c>
      <c r="AG213" s="486">
        <f t="shared" si="351"/>
        <v>-60.549402362999942</v>
      </c>
      <c r="AH213" s="984">
        <f t="shared" si="351"/>
        <v>371.77330218499998</v>
      </c>
      <c r="AI213" s="653">
        <f t="shared" ref="AI213:AX213" si="352">-(AI104-AH104)-(AI110-AH110)</f>
        <v>-216.50801530200002</v>
      </c>
      <c r="AJ213" s="653">
        <f t="shared" si="352"/>
        <v>72.171138505000002</v>
      </c>
      <c r="AK213" s="653">
        <f t="shared" si="352"/>
        <v>-379.22320168500011</v>
      </c>
      <c r="AL213" s="1005">
        <f t="shared" si="352"/>
        <v>-40.994307973999938</v>
      </c>
      <c r="AM213" s="653">
        <f t="shared" si="352"/>
        <v>-505.27412887099996</v>
      </c>
      <c r="AN213" s="653">
        <f t="shared" si="352"/>
        <v>444.53856454200002</v>
      </c>
      <c r="AO213" s="653">
        <f t="shared" si="352"/>
        <v>-824.49114279100013</v>
      </c>
      <c r="AP213" s="1005">
        <f t="shared" si="352"/>
        <v>172.23410746300004</v>
      </c>
      <c r="AQ213" s="653">
        <f t="shared" si="352"/>
        <v>-341.18501337100008</v>
      </c>
      <c r="AR213" s="653">
        <f t="shared" si="352"/>
        <v>33.446614980000348</v>
      </c>
      <c r="AS213" s="653">
        <f t="shared" si="352"/>
        <v>-121.82614300800026</v>
      </c>
      <c r="AT213" s="1005">
        <f t="shared" si="352"/>
        <v>680.35389452800007</v>
      </c>
      <c r="AU213" s="653">
        <f t="shared" si="352"/>
        <v>-499.52571502100022</v>
      </c>
      <c r="AV213" s="653">
        <f t="shared" si="352"/>
        <v>-270.12440021399988</v>
      </c>
      <c r="AW213" s="653">
        <f t="shared" si="352"/>
        <v>-185.60660057399991</v>
      </c>
      <c r="AX213" s="682">
        <f t="shared" si="352"/>
        <v>521.6045523147227</v>
      </c>
      <c r="AZ213" s="653">
        <f t="shared" si="328"/>
        <v>-433.65216349427737</v>
      </c>
    </row>
    <row r="214" spans="1:52" ht="15">
      <c r="A214" s="519" t="s">
        <v>619</v>
      </c>
      <c r="B214" s="507"/>
      <c r="C214" s="90"/>
      <c r="D214" s="653">
        <f t="shared" ref="D214:S214" si="353">-(D105-C105)</f>
        <v>77.124044078999987</v>
      </c>
      <c r="E214" s="653">
        <f t="shared" si="353"/>
        <v>-346.12739900000003</v>
      </c>
      <c r="F214" s="653">
        <f t="shared" si="353"/>
        <v>62.366928584999982</v>
      </c>
      <c r="G214" s="653">
        <f t="shared" si="353"/>
        <v>-44.699489996000011</v>
      </c>
      <c r="H214" s="653">
        <f t="shared" si="353"/>
        <v>-168.75979851799991</v>
      </c>
      <c r="I214" s="653">
        <f t="shared" si="353"/>
        <v>-431.1399514420001</v>
      </c>
      <c r="J214" s="653">
        <f t="shared" si="353"/>
        <v>-139.47059962499998</v>
      </c>
      <c r="K214" s="653">
        <f t="shared" si="353"/>
        <v>626.27468209400001</v>
      </c>
      <c r="L214" s="653">
        <f t="shared" si="353"/>
        <v>-2060.7401001169997</v>
      </c>
      <c r="M214" s="682">
        <f t="shared" si="353"/>
        <v>-366.2273191420004</v>
      </c>
      <c r="N214" s="653">
        <f t="shared" si="353"/>
        <v>109.48840885218078</v>
      </c>
      <c r="O214" s="653">
        <f t="shared" si="353"/>
        <v>-44.57212135271584</v>
      </c>
      <c r="P214" s="653">
        <f t="shared" si="353"/>
        <v>-346.00174568911871</v>
      </c>
      <c r="Q214" s="653">
        <f t="shared" si="353"/>
        <v>-239.0730629830864</v>
      </c>
      <c r="R214" s="653">
        <f t="shared" si="353"/>
        <v>-231.38555397395021</v>
      </c>
      <c r="S214" s="653">
        <f t="shared" si="353"/>
        <v>-206.39823540699217</v>
      </c>
      <c r="T214" s="486"/>
      <c r="U214" s="486"/>
      <c r="V214" s="486"/>
      <c r="W214" s="486"/>
      <c r="X214" s="1364"/>
      <c r="AA214" s="486">
        <f t="shared" ref="AA214:AH215" si="354">-(AA105-Z105)</f>
        <v>-597.00493215899996</v>
      </c>
      <c r="AB214" s="486">
        <f t="shared" si="354"/>
        <v>-69.396795136000037</v>
      </c>
      <c r="AC214" s="486">
        <f t="shared" si="354"/>
        <v>-1.610722332000023</v>
      </c>
      <c r="AD214" s="984">
        <f t="shared" si="354"/>
        <v>-645.68284893300006</v>
      </c>
      <c r="AE214" s="486">
        <f t="shared" si="354"/>
        <v>412.32939165800008</v>
      </c>
      <c r="AF214" s="486">
        <f t="shared" si="354"/>
        <v>-77.629190416000029</v>
      </c>
      <c r="AG214" s="486">
        <f t="shared" si="354"/>
        <v>140.38915263000001</v>
      </c>
      <c r="AH214" s="984">
        <f t="shared" si="354"/>
        <v>-645.82689013900006</v>
      </c>
      <c r="AI214" s="653">
        <f t="shared" ref="AI214:AX214" si="355">-(AI105-AH105)</f>
        <v>648.5383225060001</v>
      </c>
      <c r="AJ214" s="653">
        <f t="shared" si="355"/>
        <v>-192.16967947899991</v>
      </c>
      <c r="AK214" s="653">
        <f t="shared" si="355"/>
        <v>232.68889170599994</v>
      </c>
      <c r="AL214" s="1005">
        <f t="shared" si="355"/>
        <v>-31.995874269000069</v>
      </c>
      <c r="AM214" s="653">
        <f t="shared" si="355"/>
        <v>160.95191657700002</v>
      </c>
      <c r="AN214" s="653">
        <f t="shared" si="355"/>
        <v>-308.59476183000004</v>
      </c>
      <c r="AO214" s="653">
        <f t="shared" si="355"/>
        <v>40.058318261000068</v>
      </c>
      <c r="AP214" s="1005">
        <f t="shared" si="355"/>
        <v>-1908.0050050100001</v>
      </c>
      <c r="AQ214" s="653">
        <f t="shared" si="355"/>
        <v>-669.26775679399998</v>
      </c>
      <c r="AR214" s="653">
        <f t="shared" si="355"/>
        <v>115.62345696400007</v>
      </c>
      <c r="AS214" s="653">
        <f t="shared" si="355"/>
        <v>673.48521906899987</v>
      </c>
      <c r="AT214" s="1005">
        <f t="shared" si="355"/>
        <v>-531.21880649600007</v>
      </c>
      <c r="AU214" s="653">
        <f t="shared" si="355"/>
        <v>221.57189035500005</v>
      </c>
      <c r="AV214" s="653">
        <f t="shared" si="355"/>
        <v>439.82498533900025</v>
      </c>
      <c r="AW214" s="653">
        <f t="shared" si="355"/>
        <v>344.37171792799973</v>
      </c>
      <c r="AX214" s="682">
        <f t="shared" si="355"/>
        <v>-896.28018476981924</v>
      </c>
      <c r="AZ214" s="653">
        <f t="shared" si="328"/>
        <v>109.48840885218078</v>
      </c>
    </row>
    <row r="215" spans="1:52" ht="15">
      <c r="A215" s="519" t="s">
        <v>620</v>
      </c>
      <c r="B215" s="507"/>
      <c r="C215" s="90"/>
      <c r="D215" s="653">
        <f t="shared" ref="D215:S215" si="356">-(D106-C106)</f>
        <v>-4.3107150180000033</v>
      </c>
      <c r="E215" s="653">
        <f t="shared" si="356"/>
        <v>-20.174402095999994</v>
      </c>
      <c r="F215" s="653">
        <f t="shared" si="356"/>
        <v>-28.589976491000002</v>
      </c>
      <c r="G215" s="653">
        <f t="shared" si="356"/>
        <v>10.541140709999993</v>
      </c>
      <c r="H215" s="653">
        <f t="shared" si="356"/>
        <v>3.0640368079999973</v>
      </c>
      <c r="I215" s="653">
        <f t="shared" si="356"/>
        <v>-29.539895391999991</v>
      </c>
      <c r="J215" s="653">
        <f t="shared" si="356"/>
        <v>13.854442172999995</v>
      </c>
      <c r="K215" s="653">
        <f t="shared" si="356"/>
        <v>92.880133655999998</v>
      </c>
      <c r="L215" s="653">
        <f t="shared" si="356"/>
        <v>-61.720801389999991</v>
      </c>
      <c r="M215" s="682">
        <f t="shared" si="356"/>
        <v>-34.393426269000003</v>
      </c>
      <c r="N215" s="653">
        <f t="shared" si="356"/>
        <v>-28.543328984221858</v>
      </c>
      <c r="O215" s="653">
        <f t="shared" si="356"/>
        <v>-21.184021873130291</v>
      </c>
      <c r="P215" s="653">
        <f t="shared" si="356"/>
        <v>-22.716517178632103</v>
      </c>
      <c r="Q215" s="653">
        <f t="shared" si="356"/>
        <v>-21.512988311703594</v>
      </c>
      <c r="R215" s="653">
        <f t="shared" si="356"/>
        <v>-23.702200814161785</v>
      </c>
      <c r="S215" s="653">
        <f t="shared" si="356"/>
        <v>-26.119117861660214</v>
      </c>
      <c r="T215" s="486"/>
      <c r="U215" s="486"/>
      <c r="V215" s="486"/>
      <c r="W215" s="486"/>
      <c r="X215" s="1364"/>
      <c r="AA215" s="486">
        <f t="shared" si="354"/>
        <v>-93.892215887000006</v>
      </c>
      <c r="AB215" s="486">
        <f t="shared" si="354"/>
        <v>-7.4032024669999998</v>
      </c>
      <c r="AC215" s="486">
        <f t="shared" si="354"/>
        <v>6.0582062860000008</v>
      </c>
      <c r="AD215" s="984">
        <f t="shared" si="354"/>
        <v>-41.499983685999993</v>
      </c>
      <c r="AE215" s="486">
        <f t="shared" si="354"/>
        <v>23.204701639999996</v>
      </c>
      <c r="AF215" s="486">
        <f t="shared" si="354"/>
        <v>-3.6487062779999917</v>
      </c>
      <c r="AG215" s="486">
        <f t="shared" si="354"/>
        <v>24.992133240999991</v>
      </c>
      <c r="AH215" s="984">
        <f t="shared" si="354"/>
        <v>-28.889048987999999</v>
      </c>
      <c r="AI215" s="653">
        <f t="shared" ref="AI215:AX215" si="357">-(AI106-AH106)</f>
        <v>40.924605364000001</v>
      </c>
      <c r="AJ215" s="653">
        <f t="shared" si="357"/>
        <v>-12.092927552000006</v>
      </c>
      <c r="AK215" s="653">
        <f t="shared" si="357"/>
        <v>34.489838000000006</v>
      </c>
      <c r="AL215" s="1005">
        <f t="shared" si="357"/>
        <v>32.423794084999997</v>
      </c>
      <c r="AM215" s="653">
        <f t="shared" si="357"/>
        <v>9.44927837</v>
      </c>
      <c r="AN215" s="653">
        <f t="shared" si="357"/>
        <v>-5.9636476620000014</v>
      </c>
      <c r="AO215" s="653">
        <f t="shared" si="357"/>
        <v>-9.2173355899999976</v>
      </c>
      <c r="AP215" s="1005">
        <f t="shared" si="357"/>
        <v>-55.989096507999996</v>
      </c>
      <c r="AQ215" s="653">
        <f t="shared" si="357"/>
        <v>-71.563753713000011</v>
      </c>
      <c r="AR215" s="653">
        <f t="shared" si="357"/>
        <v>-3.4645134280000036</v>
      </c>
      <c r="AS215" s="653">
        <f t="shared" si="357"/>
        <v>55.402768271000014</v>
      </c>
      <c r="AT215" s="1005">
        <f t="shared" si="357"/>
        <v>-14.767927399000001</v>
      </c>
      <c r="AU215" s="653">
        <f t="shared" si="357"/>
        <v>-10.176051013999995</v>
      </c>
      <c r="AV215" s="653">
        <f t="shared" si="357"/>
        <v>20.498779341999992</v>
      </c>
      <c r="AW215" s="653">
        <f t="shared" si="357"/>
        <v>-21.065694426999997</v>
      </c>
      <c r="AX215" s="682">
        <f t="shared" si="357"/>
        <v>-17.800362885221858</v>
      </c>
      <c r="AZ215" s="653">
        <f t="shared" si="328"/>
        <v>-28.543328984221858</v>
      </c>
    </row>
    <row r="216" spans="1:52" ht="15">
      <c r="A216" s="519" t="s">
        <v>621</v>
      </c>
      <c r="B216" s="507"/>
      <c r="C216" s="90"/>
      <c r="D216" s="653">
        <f t="shared" ref="D216:S216" si="358">D122-C122</f>
        <v>-64.310532910999996</v>
      </c>
      <c r="E216" s="653">
        <f t="shared" si="358"/>
        <v>25.047258097999986</v>
      </c>
      <c r="F216" s="653">
        <f t="shared" si="358"/>
        <v>-53.373827318999986</v>
      </c>
      <c r="G216" s="653">
        <f t="shared" si="358"/>
        <v>122.69111820499998</v>
      </c>
      <c r="H216" s="653">
        <f t="shared" si="358"/>
        <v>-46.430976515999987</v>
      </c>
      <c r="I216" s="653">
        <f t="shared" si="358"/>
        <v>317.625070886</v>
      </c>
      <c r="J216" s="653">
        <f t="shared" si="358"/>
        <v>153.24589962799996</v>
      </c>
      <c r="K216" s="653">
        <f t="shared" si="358"/>
        <v>241.04062968599999</v>
      </c>
      <c r="L216" s="653">
        <f t="shared" si="358"/>
        <v>1903.0857976309999</v>
      </c>
      <c r="M216" s="682">
        <f t="shared" si="358"/>
        <v>-1634.0548555549999</v>
      </c>
      <c r="N216" s="653">
        <f t="shared" si="358"/>
        <v>613.61189252649501</v>
      </c>
      <c r="O216" s="653">
        <f t="shared" si="358"/>
        <v>-65.701139256293345</v>
      </c>
      <c r="P216" s="653">
        <f t="shared" si="358"/>
        <v>190.34966988218889</v>
      </c>
      <c r="Q216" s="653">
        <f t="shared" si="358"/>
        <v>129.69447771444675</v>
      </c>
      <c r="R216" s="653">
        <f t="shared" si="358"/>
        <v>141.40328071071099</v>
      </c>
      <c r="S216" s="653">
        <f t="shared" si="358"/>
        <v>145.23056094594222</v>
      </c>
      <c r="T216" s="486"/>
      <c r="U216" s="486"/>
      <c r="V216" s="486"/>
      <c r="W216" s="486"/>
      <c r="X216" s="1364"/>
      <c r="AA216" s="486">
        <f t="shared" ref="AA216:AH217" si="359">AA122-Z122</f>
        <v>77.757402751000001</v>
      </c>
      <c r="AB216" s="486">
        <f t="shared" si="359"/>
        <v>96.653758291999992</v>
      </c>
      <c r="AC216" s="486">
        <f t="shared" si="359"/>
        <v>55.629333406000001</v>
      </c>
      <c r="AD216" s="984">
        <f t="shared" si="359"/>
        <v>317.22869406899997</v>
      </c>
      <c r="AE216" s="486">
        <f t="shared" si="359"/>
        <v>-405.55528740399996</v>
      </c>
      <c r="AF216" s="486">
        <f t="shared" si="359"/>
        <v>156.51347683500001</v>
      </c>
      <c r="AG216" s="486">
        <f t="shared" si="359"/>
        <v>144.97786613</v>
      </c>
      <c r="AH216" s="984">
        <f t="shared" si="359"/>
        <v>258.79947193200002</v>
      </c>
      <c r="AI216" s="653">
        <f t="shared" ref="AI216:AX216" si="360">AI122-AH122</f>
        <v>-434.28572524400005</v>
      </c>
      <c r="AJ216" s="653">
        <f t="shared" si="360"/>
        <v>282.793653076</v>
      </c>
      <c r="AK216" s="653">
        <f t="shared" si="360"/>
        <v>47.087932815000045</v>
      </c>
      <c r="AL216" s="1005">
        <f t="shared" si="360"/>
        <v>343.76969590599992</v>
      </c>
      <c r="AM216" s="653">
        <f t="shared" si="360"/>
        <v>32.008683622000035</v>
      </c>
      <c r="AN216" s="653">
        <f t="shared" si="360"/>
        <v>-117.41157394699997</v>
      </c>
      <c r="AO216" s="653">
        <f t="shared" si="360"/>
        <v>-210.15441402600004</v>
      </c>
      <c r="AP216" s="1005">
        <f t="shared" si="360"/>
        <v>2198.6431019820002</v>
      </c>
      <c r="AQ216" s="653">
        <f t="shared" si="360"/>
        <v>-1027.8012438149999</v>
      </c>
      <c r="AR216" s="653">
        <f t="shared" si="360"/>
        <v>-77.165247313000009</v>
      </c>
      <c r="AS216" s="653">
        <f t="shared" si="360"/>
        <v>-308.4665108690001</v>
      </c>
      <c r="AT216" s="1005">
        <f t="shared" si="360"/>
        <v>-220.54665968199993</v>
      </c>
      <c r="AU216" s="653">
        <f t="shared" si="360"/>
        <v>-18.261058373999958</v>
      </c>
      <c r="AV216" s="653">
        <f t="shared" si="360"/>
        <v>79.590214497000034</v>
      </c>
      <c r="AW216" s="653">
        <f t="shared" si="360"/>
        <v>270.7344353609999</v>
      </c>
      <c r="AX216" s="682">
        <f t="shared" si="360"/>
        <v>281.47310716649508</v>
      </c>
      <c r="AZ216" s="653">
        <f t="shared" si="328"/>
        <v>613.53669865049505</v>
      </c>
    </row>
    <row r="217" spans="1:52" ht="15">
      <c r="A217" s="519" t="s">
        <v>622</v>
      </c>
      <c r="B217" s="507"/>
      <c r="C217" s="90"/>
      <c r="D217" s="653">
        <f t="shared" ref="D217:S217" si="361">D123-C123</f>
        <v>24.675985962000027</v>
      </c>
      <c r="E217" s="653">
        <f t="shared" si="361"/>
        <v>61.80970924899998</v>
      </c>
      <c r="F217" s="653">
        <f t="shared" si="361"/>
        <v>-75.191303888999954</v>
      </c>
      <c r="G217" s="653">
        <f t="shared" si="361"/>
        <v>10.957383634000053</v>
      </c>
      <c r="H217" s="653">
        <f t="shared" si="361"/>
        <v>-2.6107685670000933</v>
      </c>
      <c r="I217" s="653">
        <f t="shared" si="361"/>
        <v>16.414948781000021</v>
      </c>
      <c r="J217" s="653">
        <f t="shared" si="361"/>
        <v>87.233565399999975</v>
      </c>
      <c r="K217" s="653">
        <f t="shared" si="361"/>
        <v>179.42189922699993</v>
      </c>
      <c r="L217" s="653">
        <f t="shared" si="361"/>
        <v>457.03049073800037</v>
      </c>
      <c r="M217" s="682">
        <f t="shared" si="361"/>
        <v>-34.571837072000335</v>
      </c>
      <c r="N217" s="653">
        <f t="shared" si="361"/>
        <v>147.91597856817236</v>
      </c>
      <c r="O217" s="653">
        <f t="shared" si="361"/>
        <v>127.81219114080488</v>
      </c>
      <c r="P217" s="653">
        <f t="shared" si="361"/>
        <v>137.05838546982523</v>
      </c>
      <c r="Q217" s="653">
        <f t="shared" si="361"/>
        <v>129.79698522653848</v>
      </c>
      <c r="R217" s="653">
        <f t="shared" si="361"/>
        <v>143.00543301269431</v>
      </c>
      <c r="S217" s="653">
        <f t="shared" si="361"/>
        <v>157.5877189212149</v>
      </c>
      <c r="T217" s="486"/>
      <c r="U217" s="486"/>
      <c r="V217" s="486"/>
      <c r="W217" s="486"/>
      <c r="X217" s="1364"/>
      <c r="AA217" s="486">
        <f t="shared" si="359"/>
        <v>46.392090449000023</v>
      </c>
      <c r="AB217" s="486">
        <f t="shared" si="359"/>
        <v>35.374195732999965</v>
      </c>
      <c r="AC217" s="486">
        <f t="shared" si="359"/>
        <v>-34.197107277999976</v>
      </c>
      <c r="AD217" s="984">
        <f t="shared" si="359"/>
        <v>19.006851455999879</v>
      </c>
      <c r="AE217" s="486">
        <f t="shared" si="359"/>
        <v>9.0062271990001364</v>
      </c>
      <c r="AF217" s="486">
        <f t="shared" si="359"/>
        <v>-1.4906797270000993</v>
      </c>
      <c r="AG217" s="486">
        <f t="shared" si="359"/>
        <v>39.894805166000083</v>
      </c>
      <c r="AH217" s="984">
        <f t="shared" si="359"/>
        <v>55.728572207000013</v>
      </c>
      <c r="AI217" s="653">
        <f t="shared" ref="AI217:AX217" si="362">AI123-AH123</f>
        <v>-13.332366286000024</v>
      </c>
      <c r="AJ217" s="653">
        <f t="shared" si="362"/>
        <v>-45.819910633000177</v>
      </c>
      <c r="AK217" s="653">
        <f t="shared" si="362"/>
        <v>75.496884831000102</v>
      </c>
      <c r="AL217" s="1005">
        <f t="shared" si="362"/>
        <v>160.18382599900008</v>
      </c>
      <c r="AM217" s="653">
        <f t="shared" si="362"/>
        <v>89.576123384000084</v>
      </c>
      <c r="AN217" s="653">
        <f t="shared" si="362"/>
        <v>122.2210221299996</v>
      </c>
      <c r="AO217" s="653">
        <f t="shared" si="362"/>
        <v>27.573945952000258</v>
      </c>
      <c r="AP217" s="1005">
        <f t="shared" si="362"/>
        <v>206.03164362400003</v>
      </c>
      <c r="AQ217" s="653">
        <f t="shared" si="362"/>
        <v>76.082415042999855</v>
      </c>
      <c r="AR217" s="653">
        <f t="shared" si="362"/>
        <v>215.63238824299992</v>
      </c>
      <c r="AS217" s="653">
        <f t="shared" si="362"/>
        <v>-527.66343048499994</v>
      </c>
      <c r="AT217" s="1005">
        <f t="shared" si="362"/>
        <v>201.21001612400028</v>
      </c>
      <c r="AU217" s="653">
        <f t="shared" si="362"/>
        <v>-322.52016035300016</v>
      </c>
      <c r="AV217" s="653">
        <f t="shared" si="362"/>
        <v>158.71220564099985</v>
      </c>
      <c r="AW217" s="653">
        <f t="shared" si="362"/>
        <v>168.3204415810003</v>
      </c>
      <c r="AX217" s="682">
        <f t="shared" si="362"/>
        <v>102.53084430036802</v>
      </c>
      <c r="AZ217" s="653">
        <f t="shared" si="328"/>
        <v>107.043331169368</v>
      </c>
    </row>
    <row r="218" spans="1:52" ht="15">
      <c r="A218" s="1128" t="s">
        <v>597</v>
      </c>
      <c r="B218" s="507"/>
      <c r="C218" s="90"/>
      <c r="D218" s="653">
        <f t="shared" ref="D218:S218" si="363">D55</f>
        <v>-34.202162864999998</v>
      </c>
      <c r="E218" s="653">
        <f t="shared" si="363"/>
        <v>-25.117089461999999</v>
      </c>
      <c r="F218" s="653">
        <f t="shared" si="363"/>
        <v>-23.133793052000001</v>
      </c>
      <c r="G218" s="653">
        <f t="shared" si="363"/>
        <v>-22.795497880999999</v>
      </c>
      <c r="H218" s="653">
        <f t="shared" si="363"/>
        <v>-22.611716336000001</v>
      </c>
      <c r="I218" s="653">
        <f t="shared" si="363"/>
        <v>-32.134890085000002</v>
      </c>
      <c r="J218" s="653">
        <f t="shared" si="363"/>
        <v>-47.582349663999999</v>
      </c>
      <c r="K218" s="653">
        <f t="shared" si="363"/>
        <v>-27.018043416000001</v>
      </c>
      <c r="L218" s="653">
        <f t="shared" si="363"/>
        <v>-31.886522705000001</v>
      </c>
      <c r="M218" s="682">
        <f t="shared" si="363"/>
        <v>-94.462125254</v>
      </c>
      <c r="N218" s="653">
        <f t="shared" si="363"/>
        <v>-127.57520151683822</v>
      </c>
      <c r="O218" s="653">
        <f t="shared" si="363"/>
        <v>-126.81872144061469</v>
      </c>
      <c r="P218" s="653">
        <f t="shared" si="363"/>
        <v>-132.88358875255673</v>
      </c>
      <c r="Q218" s="653">
        <f t="shared" si="363"/>
        <v>-141.71743472210088</v>
      </c>
      <c r="R218" s="653">
        <f t="shared" si="363"/>
        <v>-151.32587480086082</v>
      </c>
      <c r="S218" s="653">
        <f t="shared" si="363"/>
        <v>-162.42310168783598</v>
      </c>
      <c r="T218" s="486"/>
      <c r="U218" s="486"/>
      <c r="V218" s="486"/>
      <c r="W218" s="486"/>
      <c r="X218" s="1364"/>
      <c r="AA218" s="486">
        <f t="shared" ref="AA218:AH218" si="364">AA55</f>
        <v>-7.3885506379999999</v>
      </c>
      <c r="AB218" s="486">
        <f t="shared" si="364"/>
        <v>-6.5825805119999998</v>
      </c>
      <c r="AC218" s="486">
        <f t="shared" si="364"/>
        <v>-5.7743399350000004</v>
      </c>
      <c r="AD218" s="984">
        <f t="shared" si="364"/>
        <v>-12.373313496</v>
      </c>
      <c r="AE218" s="486">
        <f t="shared" si="364"/>
        <v>-11.655150828</v>
      </c>
      <c r="AF218" s="486">
        <f t="shared" si="364"/>
        <v>-15.389230889</v>
      </c>
      <c r="AG218" s="486">
        <f t="shared" si="364"/>
        <v>-11.719631595999999</v>
      </c>
      <c r="AH218" s="984">
        <f t="shared" si="364"/>
        <v>-8.8274400570000005</v>
      </c>
      <c r="AI218" s="653">
        <f t="shared" ref="AI218:AX218" si="365">AI55</f>
        <v>-10.48468473</v>
      </c>
      <c r="AJ218" s="653">
        <f t="shared" si="365"/>
        <v>-7.7871945980000001</v>
      </c>
      <c r="AK218" s="653">
        <f t="shared" si="365"/>
        <v>-6.3917470549999997</v>
      </c>
      <c r="AL218" s="1005">
        <f t="shared" si="365"/>
        <v>-2.3544170329999998</v>
      </c>
      <c r="AM218" s="653">
        <f t="shared" si="365"/>
        <v>-5.5325722600000002</v>
      </c>
      <c r="AN218" s="653">
        <f t="shared" si="365"/>
        <v>-5.9143162929999997</v>
      </c>
      <c r="AO218" s="653">
        <f t="shared" si="365"/>
        <v>-8.4341058950000001</v>
      </c>
      <c r="AP218" s="1005">
        <f t="shared" si="365"/>
        <v>-12.005528257</v>
      </c>
      <c r="AQ218" s="653">
        <f t="shared" si="365"/>
        <v>-13.822439606</v>
      </c>
      <c r="AR218" s="653">
        <f t="shared" si="365"/>
        <v>-21.826082442000001</v>
      </c>
      <c r="AS218" s="653">
        <f t="shared" si="365"/>
        <v>-21.773196287000001</v>
      </c>
      <c r="AT218" s="1005">
        <f t="shared" si="365"/>
        <v>-41.567513759000001</v>
      </c>
      <c r="AU218" s="653">
        <f t="shared" si="365"/>
        <v>-24.134120926000001</v>
      </c>
      <c r="AV218" s="653">
        <f t="shared" si="365"/>
        <v>-44.523722853999999</v>
      </c>
      <c r="AW218" s="653">
        <f t="shared" si="365"/>
        <v>-30.68</v>
      </c>
      <c r="AX218" s="682">
        <f t="shared" si="365"/>
        <v>-28.234815588010129</v>
      </c>
      <c r="AZ218" s="653">
        <f t="shared" si="328"/>
        <v>-127.57265936801014</v>
      </c>
    </row>
    <row r="219" spans="1:52" ht="15">
      <c r="A219" s="518" t="s">
        <v>623</v>
      </c>
      <c r="B219" s="505"/>
      <c r="C219" s="654"/>
      <c r="D219" s="654">
        <f t="shared" ref="D219:L219" si="366">D211+D212+D218</f>
        <v>27.86389904100001</v>
      </c>
      <c r="E219" s="654">
        <f t="shared" si="366"/>
        <v>-184.74545556100011</v>
      </c>
      <c r="F219" s="654">
        <f t="shared" si="366"/>
        <v>-23.063173422999952</v>
      </c>
      <c r="G219" s="654">
        <f t="shared" si="366"/>
        <v>158.32381027900001</v>
      </c>
      <c r="H219" s="654">
        <f t="shared" si="366"/>
        <v>-252.82571864100001</v>
      </c>
      <c r="I219" s="654">
        <f t="shared" si="366"/>
        <v>-132.28331351199995</v>
      </c>
      <c r="J219" s="654">
        <f t="shared" si="366"/>
        <v>300.59268376399984</v>
      </c>
      <c r="K219" s="654">
        <f t="shared" si="366"/>
        <v>862.00966402399979</v>
      </c>
      <c r="L219" s="654">
        <f t="shared" si="366"/>
        <v>234.94036128400256</v>
      </c>
      <c r="M219" s="683">
        <f t="shared" ref="M219:S219" si="367">M211+M212+M218</f>
        <v>-1169.9292325510021</v>
      </c>
      <c r="N219" s="654">
        <f t="shared" si="367"/>
        <v>848.30185954290596</v>
      </c>
      <c r="O219" s="654">
        <f t="shared" si="367"/>
        <v>494.53435388356479</v>
      </c>
      <c r="P219" s="654">
        <f t="shared" si="367"/>
        <v>446.34031553269335</v>
      </c>
      <c r="Q219" s="654">
        <f t="shared" si="367"/>
        <v>630.38361150842013</v>
      </c>
      <c r="R219" s="654">
        <f t="shared" si="367"/>
        <v>809.84186150305391</v>
      </c>
      <c r="S219" s="654">
        <f t="shared" si="367"/>
        <v>1025.7810930433507</v>
      </c>
      <c r="T219" s="598"/>
      <c r="U219" s="598"/>
      <c r="V219" s="598"/>
      <c r="W219" s="598"/>
      <c r="X219" s="494"/>
      <c r="AA219" s="598">
        <f t="shared" ref="AA219:AH219" si="368">AA211+AA212+AA218</f>
        <v>-1134.700282066</v>
      </c>
      <c r="AB219" s="598">
        <f t="shared" si="368"/>
        <v>175.8151174089999</v>
      </c>
      <c r="AC219" s="598">
        <f t="shared" si="368"/>
        <v>-211.75842667800009</v>
      </c>
      <c r="AD219" s="999">
        <f t="shared" si="368"/>
        <v>-158.02630095900011</v>
      </c>
      <c r="AE219" s="598">
        <f t="shared" si="368"/>
        <v>43.005989852000312</v>
      </c>
      <c r="AF219" s="598">
        <f t="shared" si="368"/>
        <v>-150.66412349000012</v>
      </c>
      <c r="AG219" s="598">
        <f t="shared" si="368"/>
        <v>341.27179167300017</v>
      </c>
      <c r="AH219" s="999">
        <f t="shared" si="368"/>
        <v>63.732983790999924</v>
      </c>
      <c r="AI219" s="654">
        <f t="shared" ref="AI219:AX219" si="369">AI211+AI212+AI218</f>
        <v>71.312096058000037</v>
      </c>
      <c r="AJ219" s="654">
        <f t="shared" si="369"/>
        <v>154.86479612299991</v>
      </c>
      <c r="AK219" s="654">
        <f t="shared" si="369"/>
        <v>87.464196466999979</v>
      </c>
      <c r="AL219" s="1006">
        <f t="shared" si="369"/>
        <v>527.34630355399997</v>
      </c>
      <c r="AM219" s="654">
        <f t="shared" si="369"/>
        <v>-105.00550407499983</v>
      </c>
      <c r="AN219" s="654">
        <f t="shared" si="369"/>
        <v>253.03911623599964</v>
      </c>
      <c r="AO219" s="654">
        <f t="shared" si="369"/>
        <v>-867.43195722799976</v>
      </c>
      <c r="AP219" s="1006">
        <f t="shared" si="369"/>
        <v>941.21389627400004</v>
      </c>
      <c r="AQ219" s="654">
        <f t="shared" si="369"/>
        <v>-1820.9871490380001</v>
      </c>
      <c r="AR219" s="654">
        <f t="shared" si="369"/>
        <v>422.95663865300025</v>
      </c>
      <c r="AS219" s="654">
        <f t="shared" si="369"/>
        <v>-46.689604935000418</v>
      </c>
      <c r="AT219" s="1006">
        <f t="shared" si="369"/>
        <v>277.45766052900035</v>
      </c>
      <c r="AU219" s="654">
        <f t="shared" si="369"/>
        <v>-537.57175107700039</v>
      </c>
      <c r="AV219" s="654">
        <f t="shared" si="369"/>
        <v>525.22339514500027</v>
      </c>
      <c r="AW219" s="654">
        <f t="shared" si="369"/>
        <v>690.54429986900016</v>
      </c>
      <c r="AX219" s="683">
        <f t="shared" si="369"/>
        <v>204.30300628196315</v>
      </c>
      <c r="AZ219" s="654">
        <f t="shared" si="328"/>
        <v>882.49895021896316</v>
      </c>
    </row>
    <row r="220" spans="1:52" ht="15">
      <c r="B220" s="507"/>
      <c r="C220" s="90"/>
      <c r="D220" s="653"/>
      <c r="E220" s="653"/>
      <c r="F220" s="653"/>
      <c r="G220" s="653"/>
      <c r="H220" s="653"/>
      <c r="I220" s="653"/>
      <c r="J220" s="653"/>
      <c r="K220" s="653"/>
      <c r="L220" s="653"/>
      <c r="M220" s="682"/>
      <c r="N220" s="653"/>
      <c r="O220" s="653"/>
      <c r="P220" s="653"/>
      <c r="Q220" s="653"/>
      <c r="R220" s="653"/>
      <c r="S220" s="653"/>
      <c r="T220" s="486"/>
      <c r="U220" s="486"/>
      <c r="V220" s="486"/>
      <c r="W220" s="486"/>
      <c r="X220" s="1364"/>
      <c r="AA220" s="486"/>
      <c r="AB220" s="486"/>
      <c r="AC220" s="486"/>
      <c r="AD220" s="984"/>
      <c r="AE220" s="486"/>
      <c r="AF220" s="486"/>
      <c r="AG220" s="486"/>
      <c r="AH220" s="984"/>
      <c r="AI220" s="653"/>
      <c r="AJ220" s="653"/>
      <c r="AK220" s="653"/>
      <c r="AL220" s="1005"/>
      <c r="AM220" s="653"/>
      <c r="AN220" s="653"/>
      <c r="AO220" s="653"/>
      <c r="AP220" s="1005"/>
      <c r="AQ220" s="653"/>
      <c r="AR220" s="653"/>
      <c r="AS220" s="653"/>
      <c r="AT220" s="1005"/>
      <c r="AU220" s="653"/>
      <c r="AV220" s="653"/>
      <c r="AW220" s="653"/>
      <c r="AX220" s="682"/>
      <c r="AZ220" s="653">
        <f t="shared" si="328"/>
        <v>0</v>
      </c>
    </row>
    <row r="221" spans="1:52" ht="15">
      <c r="A221" s="1128" t="s">
        <v>624</v>
      </c>
      <c r="B221" s="507"/>
      <c r="C221" s="90"/>
      <c r="D221" s="653">
        <f t="shared" ref="D221:J221" si="370">-D180-D170</f>
        <v>-6.1886207640000066</v>
      </c>
      <c r="E221" s="653">
        <f t="shared" si="370"/>
        <v>-6.2319187070000055</v>
      </c>
      <c r="F221" s="653">
        <f t="shared" si="370"/>
        <v>-1.1721431599999903</v>
      </c>
      <c r="G221" s="653">
        <f t="shared" si="370"/>
        <v>-7.4950244230000038</v>
      </c>
      <c r="H221" s="653">
        <f t="shared" si="370"/>
        <v>-9.1730930579999992</v>
      </c>
      <c r="I221" s="653">
        <f t="shared" si="370"/>
        <v>-5.5874577239999939</v>
      </c>
      <c r="J221" s="653">
        <f t="shared" si="370"/>
        <v>1.6512423069999924</v>
      </c>
      <c r="K221" s="653">
        <f>-K180-K170</f>
        <v>-16.881833655999998</v>
      </c>
      <c r="L221" s="653">
        <f>-L180-L170</f>
        <v>-11.927279145</v>
      </c>
      <c r="M221" s="682">
        <f t="shared" ref="M221:S221" si="371">-M180-M170</f>
        <v>-287.87655152300005</v>
      </c>
      <c r="N221" s="653">
        <f t="shared" si="371"/>
        <v>-28.824887576293794</v>
      </c>
      <c r="O221" s="653">
        <f t="shared" si="371"/>
        <v>-26.890989990313763</v>
      </c>
      <c r="P221" s="653">
        <f t="shared" si="371"/>
        <v>-30.459687707134851</v>
      </c>
      <c r="Q221" s="653">
        <f t="shared" si="371"/>
        <v>-33.839314595634775</v>
      </c>
      <c r="R221" s="653">
        <f t="shared" si="371"/>
        <v>-37.562860298701381</v>
      </c>
      <c r="S221" s="653">
        <f t="shared" si="371"/>
        <v>-41.666096527447102</v>
      </c>
      <c r="T221" s="486"/>
      <c r="U221" s="486"/>
      <c r="V221" s="486"/>
      <c r="W221" s="486"/>
      <c r="X221" s="1364"/>
      <c r="AA221" s="486">
        <f t="shared" ref="AA221:AH221" si="372">-AA180-AA170</f>
        <v>0</v>
      </c>
      <c r="AB221" s="486">
        <f t="shared" si="372"/>
        <v>-1.0699999999999976</v>
      </c>
      <c r="AC221" s="486">
        <f t="shared" si="372"/>
        <v>-1.3888767880000046</v>
      </c>
      <c r="AD221" s="984">
        <f t="shared" si="372"/>
        <v>-1.21678800499999</v>
      </c>
      <c r="AE221" s="486">
        <f t="shared" si="372"/>
        <v>-1.0204695070000147</v>
      </c>
      <c r="AF221" s="486">
        <f t="shared" si="372"/>
        <v>4.4556417380000113</v>
      </c>
      <c r="AG221" s="486">
        <f t="shared" si="372"/>
        <v>-5.7266587080000022</v>
      </c>
      <c r="AH221" s="984">
        <f t="shared" si="372"/>
        <v>5.0703168560000069</v>
      </c>
      <c r="AI221" s="653">
        <f t="shared" ref="AI221:AX221" si="373">-AI180-AI170</f>
        <v>-3.0234461839999955</v>
      </c>
      <c r="AJ221" s="653">
        <f t="shared" si="373"/>
        <v>-5.1623772930000058</v>
      </c>
      <c r="AK221" s="653">
        <f t="shared" si="373"/>
        <v>-0.80372970200001248</v>
      </c>
      <c r="AL221" s="1005">
        <f t="shared" si="373"/>
        <v>-6.3721683169999839</v>
      </c>
      <c r="AM221" s="653">
        <f t="shared" si="373"/>
        <v>0.14381999299998327</v>
      </c>
      <c r="AN221" s="653">
        <f t="shared" si="373"/>
        <v>3.307859834000006</v>
      </c>
      <c r="AO221" s="653">
        <f t="shared" si="373"/>
        <v>-3.616979827000002</v>
      </c>
      <c r="AP221" s="1005">
        <f t="shared" si="373"/>
        <v>-11.186699172999994</v>
      </c>
      <c r="AQ221" s="653">
        <f t="shared" si="373"/>
        <v>-0.48835040000001584</v>
      </c>
      <c r="AR221" s="653">
        <f t="shared" si="373"/>
        <v>-1.5899689649999922</v>
      </c>
      <c r="AS221" s="653">
        <f t="shared" si="373"/>
        <v>-2.7767338960000014</v>
      </c>
      <c r="AT221" s="1005">
        <f t="shared" si="373"/>
        <v>-283.02192983100002</v>
      </c>
      <c r="AU221" s="653">
        <f t="shared" si="373"/>
        <v>-0.19200000000000728</v>
      </c>
      <c r="AV221" s="653">
        <f t="shared" si="373"/>
        <v>-17.63669760099998</v>
      </c>
      <c r="AW221" s="653">
        <f t="shared" si="373"/>
        <v>-6.008419988</v>
      </c>
      <c r="AX221" s="682">
        <f t="shared" si="373"/>
        <v>-4.9877699872938059</v>
      </c>
      <c r="AZ221" s="653">
        <f t="shared" si="328"/>
        <v>-28.824887576293794</v>
      </c>
    </row>
    <row r="222" spans="1:52" ht="15">
      <c r="A222" s="1128" t="s">
        <v>625</v>
      </c>
      <c r="B222" s="507"/>
      <c r="C222" s="90"/>
      <c r="D222" s="653">
        <f t="shared" ref="D222:S222" si="374">-(D114-C114+D115-C115)</f>
        <v>0.27243370899999997</v>
      </c>
      <c r="E222" s="653">
        <f t="shared" si="374"/>
        <v>6.3719078109999998</v>
      </c>
      <c r="F222" s="653">
        <f t="shared" si="374"/>
        <v>-0.14387644699999996</v>
      </c>
      <c r="G222" s="653">
        <f t="shared" si="374"/>
        <v>-2.4107650000000369E-3</v>
      </c>
      <c r="H222" s="653">
        <f t="shared" si="374"/>
        <v>6.5158409999999778E-2</v>
      </c>
      <c r="I222" s="653">
        <f t="shared" si="374"/>
        <v>-10.753406509</v>
      </c>
      <c r="J222" s="653">
        <f t="shared" si="374"/>
        <v>-20.527951909000002</v>
      </c>
      <c r="K222" s="653">
        <f t="shared" si="374"/>
        <v>-74.061846932999984</v>
      </c>
      <c r="L222" s="653">
        <f t="shared" si="374"/>
        <v>-67.814746053000022</v>
      </c>
      <c r="M222" s="682">
        <f t="shared" si="374"/>
        <v>-4.2580205649999527</v>
      </c>
      <c r="N222" s="653">
        <f t="shared" si="374"/>
        <v>41.08718131699996</v>
      </c>
      <c r="O222" s="653">
        <f t="shared" si="374"/>
        <v>0</v>
      </c>
      <c r="P222" s="653">
        <f t="shared" si="374"/>
        <v>0</v>
      </c>
      <c r="Q222" s="653">
        <f t="shared" si="374"/>
        <v>0</v>
      </c>
      <c r="R222" s="653">
        <f t="shared" si="374"/>
        <v>0</v>
      </c>
      <c r="S222" s="653">
        <f t="shared" si="374"/>
        <v>0</v>
      </c>
      <c r="T222" s="486"/>
      <c r="U222" s="486"/>
      <c r="V222" s="486"/>
      <c r="W222" s="486"/>
      <c r="X222" s="1364"/>
      <c r="AA222" s="486">
        <f t="shared" ref="AA222:AH222" si="375">-(AA114-Z114+AA115-Z115)</f>
        <v>-3.9203808020000004</v>
      </c>
      <c r="AB222" s="486">
        <f t="shared" si="375"/>
        <v>-0.16622008999999949</v>
      </c>
      <c r="AC222" s="486">
        <f t="shared" si="375"/>
        <v>-0.42998877699999971</v>
      </c>
      <c r="AD222" s="984">
        <f t="shared" si="375"/>
        <v>-1.0010618579999999</v>
      </c>
      <c r="AE222" s="486">
        <f t="shared" si="375"/>
        <v>-5.2318024689999998</v>
      </c>
      <c r="AF222" s="486">
        <f t="shared" si="375"/>
        <v>-12.189181646000002</v>
      </c>
      <c r="AG222" s="486">
        <f t="shared" si="375"/>
        <v>10.616599436000001</v>
      </c>
      <c r="AH222" s="984">
        <f t="shared" si="375"/>
        <v>-14.169621051000004</v>
      </c>
      <c r="AI222" s="653">
        <f t="shared" ref="AI222:AX222" si="376">-(AI114-AH114+AI115-AH115)</f>
        <v>-1.2709834069999992</v>
      </c>
      <c r="AJ222" s="653">
        <f t="shared" si="376"/>
        <v>-4.2640987039999985</v>
      </c>
      <c r="AK222" s="653">
        <f t="shared" si="376"/>
        <v>-40.351350486000001</v>
      </c>
      <c r="AL222" s="1005">
        <f t="shared" si="376"/>
        <v>-32.307283822000002</v>
      </c>
      <c r="AM222" s="653">
        <f t="shared" si="376"/>
        <v>-9.4034935230000016</v>
      </c>
      <c r="AN222" s="653">
        <f t="shared" si="376"/>
        <v>-3.9156613080000042</v>
      </c>
      <c r="AO222" s="653">
        <f t="shared" si="376"/>
        <v>4.618306742999998</v>
      </c>
      <c r="AP222" s="1005">
        <f t="shared" si="376"/>
        <v>-60.332938988000002</v>
      </c>
      <c r="AQ222" s="653">
        <f t="shared" si="376"/>
        <v>1.8468891419999949</v>
      </c>
      <c r="AR222" s="653">
        <f t="shared" si="376"/>
        <v>5.8976358540000007</v>
      </c>
      <c r="AS222" s="653">
        <f t="shared" si="376"/>
        <v>-248.340771988</v>
      </c>
      <c r="AT222" s="1005">
        <f t="shared" si="376"/>
        <v>236.33822639700003</v>
      </c>
      <c r="AU222" s="653">
        <f t="shared" si="376"/>
        <v>18.88073769799999</v>
      </c>
      <c r="AV222" s="653">
        <f t="shared" si="376"/>
        <v>9.1057542730000165</v>
      </c>
      <c r="AW222" s="653">
        <f t="shared" si="376"/>
        <v>13.100689375999963</v>
      </c>
      <c r="AX222" s="682">
        <f t="shared" si="376"/>
        <v>0</v>
      </c>
      <c r="AZ222" s="653">
        <f t="shared" si="328"/>
        <v>41.087181346999969</v>
      </c>
    </row>
    <row r="223" spans="1:52" ht="15">
      <c r="A223" s="518" t="s">
        <v>626</v>
      </c>
      <c r="B223" s="505"/>
      <c r="C223" s="461"/>
      <c r="D223" s="654">
        <f>SUM(D221:D222)</f>
        <v>-5.9161870550000071</v>
      </c>
      <c r="E223" s="654">
        <f t="shared" ref="E223:L223" si="377">SUM(E221:E222)</f>
        <v>0.13998910399999431</v>
      </c>
      <c r="F223" s="654">
        <f t="shared" si="377"/>
        <v>-1.3160196069999903</v>
      </c>
      <c r="G223" s="654">
        <f t="shared" si="377"/>
        <v>-7.4974351880000043</v>
      </c>
      <c r="H223" s="654">
        <f t="shared" si="377"/>
        <v>-9.1079346479999987</v>
      </c>
      <c r="I223" s="654">
        <f t="shared" si="377"/>
        <v>-16.340864232999994</v>
      </c>
      <c r="J223" s="654">
        <f t="shared" si="377"/>
        <v>-18.876709602000009</v>
      </c>
      <c r="K223" s="654">
        <f>SUM(K221:K222)</f>
        <v>-90.943680588999982</v>
      </c>
      <c r="L223" s="654">
        <f t="shared" si="377"/>
        <v>-79.742025198000022</v>
      </c>
      <c r="M223" s="683">
        <f t="shared" ref="M223:S223" si="378">SUM(M221:M222)</f>
        <v>-292.13457208800003</v>
      </c>
      <c r="N223" s="654">
        <f t="shared" si="378"/>
        <v>12.262293740706166</v>
      </c>
      <c r="O223" s="654">
        <f t="shared" si="378"/>
        <v>-26.890989990313763</v>
      </c>
      <c r="P223" s="654">
        <f t="shared" si="378"/>
        <v>-30.459687707134851</v>
      </c>
      <c r="Q223" s="654">
        <f t="shared" si="378"/>
        <v>-33.839314595634775</v>
      </c>
      <c r="R223" s="654">
        <f t="shared" si="378"/>
        <v>-37.562860298701381</v>
      </c>
      <c r="S223" s="654">
        <f t="shared" si="378"/>
        <v>-41.666096527447102</v>
      </c>
      <c r="T223" s="598"/>
      <c r="U223" s="598"/>
      <c r="V223" s="598"/>
      <c r="W223" s="598"/>
      <c r="X223" s="494"/>
      <c r="AA223" s="598">
        <f t="shared" ref="AA223:AH223" si="379">SUM(AA221:AA222)</f>
        <v>-3.9203808020000004</v>
      </c>
      <c r="AB223" s="598">
        <f t="shared" si="379"/>
        <v>-1.2362200899999971</v>
      </c>
      <c r="AC223" s="598">
        <f t="shared" si="379"/>
        <v>-1.8188655650000043</v>
      </c>
      <c r="AD223" s="999">
        <f t="shared" si="379"/>
        <v>-2.2178498629999899</v>
      </c>
      <c r="AE223" s="598">
        <f t="shared" si="379"/>
        <v>-6.2522719760000145</v>
      </c>
      <c r="AF223" s="598">
        <f t="shared" si="379"/>
        <v>-7.7335399079999902</v>
      </c>
      <c r="AG223" s="598">
        <f t="shared" si="379"/>
        <v>4.8899407279999991</v>
      </c>
      <c r="AH223" s="999">
        <f t="shared" si="379"/>
        <v>-9.0993041949999967</v>
      </c>
      <c r="AI223" s="654">
        <f t="shared" ref="AI223:AX223" si="380">SUM(AI221:AI222)</f>
        <v>-4.2944295909999948</v>
      </c>
      <c r="AJ223" s="654">
        <f t="shared" si="380"/>
        <v>-9.4264759970000043</v>
      </c>
      <c r="AK223" s="654">
        <f t="shared" si="380"/>
        <v>-41.155080188000014</v>
      </c>
      <c r="AL223" s="1006">
        <f t="shared" si="380"/>
        <v>-38.679452138999984</v>
      </c>
      <c r="AM223" s="654">
        <f t="shared" si="380"/>
        <v>-9.2596735300000184</v>
      </c>
      <c r="AN223" s="654">
        <f t="shared" si="380"/>
        <v>-0.60780147399999818</v>
      </c>
      <c r="AO223" s="654">
        <f t="shared" si="380"/>
        <v>1.001326915999996</v>
      </c>
      <c r="AP223" s="1006">
        <f t="shared" si="380"/>
        <v>-71.519638160999989</v>
      </c>
      <c r="AQ223" s="654">
        <f t="shared" si="380"/>
        <v>1.358538741999979</v>
      </c>
      <c r="AR223" s="654">
        <f t="shared" si="380"/>
        <v>4.3076668890000089</v>
      </c>
      <c r="AS223" s="654">
        <f t="shared" si="380"/>
        <v>-251.117505884</v>
      </c>
      <c r="AT223" s="1006">
        <f t="shared" si="380"/>
        <v>-46.683703433999995</v>
      </c>
      <c r="AU223" s="654">
        <f t="shared" si="380"/>
        <v>18.688737697999983</v>
      </c>
      <c r="AV223" s="654">
        <f t="shared" si="380"/>
        <v>-8.5309433279999638</v>
      </c>
      <c r="AW223" s="654">
        <f t="shared" si="380"/>
        <v>7.0922693879999628</v>
      </c>
      <c r="AX223" s="683">
        <f t="shared" si="380"/>
        <v>-4.9877699872938059</v>
      </c>
      <c r="AZ223" s="654">
        <f t="shared" si="328"/>
        <v>12.262293770706176</v>
      </c>
    </row>
    <row r="224" spans="1:52" ht="15">
      <c r="B224" s="507"/>
      <c r="C224" s="90"/>
      <c r="D224" s="653"/>
      <c r="E224" s="653"/>
      <c r="F224" s="653"/>
      <c r="G224" s="653"/>
      <c r="H224" s="653"/>
      <c r="I224" s="653"/>
      <c r="J224" s="653"/>
      <c r="K224" s="653"/>
      <c r="L224" s="653"/>
      <c r="M224" s="682"/>
      <c r="N224" s="653"/>
      <c r="O224" s="653"/>
      <c r="P224" s="653"/>
      <c r="Q224" s="653"/>
      <c r="R224" s="653"/>
      <c r="S224" s="653"/>
      <c r="T224" s="486"/>
      <c r="U224" s="486"/>
      <c r="V224" s="486"/>
      <c r="W224" s="486"/>
      <c r="X224" s="1364"/>
      <c r="AA224" s="486"/>
      <c r="AB224" s="486"/>
      <c r="AC224" s="486"/>
      <c r="AD224" s="984"/>
      <c r="AE224" s="486"/>
      <c r="AF224" s="486"/>
      <c r="AG224" s="486"/>
      <c r="AH224" s="984"/>
      <c r="AI224" s="653"/>
      <c r="AJ224" s="653"/>
      <c r="AK224" s="653"/>
      <c r="AL224" s="1005"/>
      <c r="AM224" s="653"/>
      <c r="AN224" s="653"/>
      <c r="AO224" s="653"/>
      <c r="AP224" s="1005"/>
      <c r="AQ224" s="653"/>
      <c r="AR224" s="653"/>
      <c r="AS224" s="653"/>
      <c r="AT224" s="1005"/>
      <c r="AU224" s="653"/>
      <c r="AV224" s="653"/>
      <c r="AW224" s="653"/>
      <c r="AX224" s="682"/>
      <c r="AZ224" s="653">
        <f t="shared" si="328"/>
        <v>0</v>
      </c>
    </row>
    <row r="225" spans="1:80" ht="15">
      <c r="A225" s="1128" t="s">
        <v>627</v>
      </c>
      <c r="B225" s="507"/>
      <c r="C225" s="90"/>
      <c r="D225" s="653">
        <f t="shared" ref="D225:S225" si="381">D121-C121</f>
        <v>212.30788249300002</v>
      </c>
      <c r="E225" s="653">
        <f t="shared" si="381"/>
        <v>149.12124164999994</v>
      </c>
      <c r="F225" s="653">
        <f t="shared" si="381"/>
        <v>-180.19752186799997</v>
      </c>
      <c r="G225" s="653">
        <f t="shared" si="381"/>
        <v>-80.337950836999994</v>
      </c>
      <c r="H225" s="653">
        <f t="shared" si="381"/>
        <v>278.37541333000001</v>
      </c>
      <c r="I225" s="653">
        <f t="shared" si="381"/>
        <v>215.93968775399992</v>
      </c>
      <c r="J225" s="653">
        <f t="shared" si="381"/>
        <v>-216.63240976399993</v>
      </c>
      <c r="K225" s="653">
        <f t="shared" si="381"/>
        <v>9.3493492019999849</v>
      </c>
      <c r="L225" s="653">
        <f t="shared" si="381"/>
        <v>487.62686366399998</v>
      </c>
      <c r="M225" s="682">
        <f t="shared" si="381"/>
        <v>797.59843812100007</v>
      </c>
      <c r="N225" s="653">
        <f t="shared" si="381"/>
        <v>129.32624410738254</v>
      </c>
      <c r="O225" s="653">
        <f t="shared" si="381"/>
        <v>92.314603788188833</v>
      </c>
      <c r="P225" s="653">
        <f t="shared" si="381"/>
        <v>232.71261203876475</v>
      </c>
      <c r="Q225" s="653">
        <f t="shared" si="381"/>
        <v>232.3867214376769</v>
      </c>
      <c r="R225" s="653">
        <f t="shared" si="381"/>
        <v>165.32893592874098</v>
      </c>
      <c r="S225" s="653">
        <f t="shared" si="381"/>
        <v>218.92351447355304</v>
      </c>
      <c r="T225" s="486"/>
      <c r="U225" s="486"/>
      <c r="V225" s="486"/>
      <c r="W225" s="486"/>
      <c r="X225" s="1364"/>
      <c r="AA225" s="486">
        <f t="shared" ref="AA225:AH225" si="382">AA121-Z121</f>
        <v>560.92544109300002</v>
      </c>
      <c r="AB225" s="486">
        <f t="shared" si="382"/>
        <v>-59.750426774000005</v>
      </c>
      <c r="AC225" s="486">
        <f t="shared" si="382"/>
        <v>143.44324146599996</v>
      </c>
      <c r="AD225" s="984">
        <f t="shared" si="382"/>
        <v>192.26587898499997</v>
      </c>
      <c r="AE225" s="486">
        <f t="shared" si="382"/>
        <v>-27.038762749999933</v>
      </c>
      <c r="AF225" s="486">
        <f t="shared" si="382"/>
        <v>124.48296312000002</v>
      </c>
      <c r="AG225" s="486">
        <f t="shared" si="382"/>
        <v>-340.13481957600004</v>
      </c>
      <c r="AH225" s="984">
        <f t="shared" si="382"/>
        <v>26.05820944200002</v>
      </c>
      <c r="AI225" s="653">
        <f t="shared" ref="AI225:AX225" si="383">AI121-AH121</f>
        <v>-109.31748130300002</v>
      </c>
      <c r="AJ225" s="653">
        <f t="shared" si="383"/>
        <v>18.127252926999972</v>
      </c>
      <c r="AK225" s="653">
        <f t="shared" si="383"/>
        <v>-55.016185818999986</v>
      </c>
      <c r="AL225" s="1005">
        <f t="shared" si="383"/>
        <v>155.55576339700002</v>
      </c>
      <c r="AM225" s="653">
        <f t="shared" si="383"/>
        <v>46.182368261999954</v>
      </c>
      <c r="AN225" s="653">
        <f t="shared" si="383"/>
        <v>-63.765349466999965</v>
      </c>
      <c r="AO225" s="653">
        <f t="shared" si="383"/>
        <v>455.34453506200009</v>
      </c>
      <c r="AP225" s="1005">
        <f t="shared" si="383"/>
        <v>49.865309806999903</v>
      </c>
      <c r="AQ225" s="653">
        <f t="shared" si="383"/>
        <v>861.68645763299992</v>
      </c>
      <c r="AR225" s="653">
        <f t="shared" si="383"/>
        <v>-735.49906909999982</v>
      </c>
      <c r="AS225" s="653">
        <f t="shared" si="383"/>
        <v>1129.0089522349999</v>
      </c>
      <c r="AT225" s="1005">
        <f t="shared" si="383"/>
        <v>-457.67790264699988</v>
      </c>
      <c r="AU225" s="653">
        <f t="shared" si="383"/>
        <v>-162.4431319790001</v>
      </c>
      <c r="AV225" s="653">
        <f t="shared" si="383"/>
        <v>368.43747307400008</v>
      </c>
      <c r="AW225" s="653">
        <f t="shared" si="383"/>
        <v>-98.610717088000001</v>
      </c>
      <c r="AX225" s="682">
        <f t="shared" si="383"/>
        <v>22.022620100382483</v>
      </c>
      <c r="AZ225" s="653">
        <f t="shared" si="328"/>
        <v>129.40624410738246</v>
      </c>
    </row>
    <row r="226" spans="1:80" ht="15">
      <c r="A226" s="1128" t="s">
        <v>628</v>
      </c>
      <c r="B226" s="507"/>
      <c r="C226" s="90"/>
      <c r="D226" s="653">
        <f t="shared" ref="D226:S226" si="384">D126-C126</f>
        <v>-4.1000000000000014</v>
      </c>
      <c r="E226" s="653">
        <f t="shared" si="384"/>
        <v>-4.7999999999999972</v>
      </c>
      <c r="F226" s="653">
        <f t="shared" si="384"/>
        <v>-5.6000000000000014</v>
      </c>
      <c r="G226" s="653">
        <f t="shared" si="384"/>
        <v>-22.9</v>
      </c>
      <c r="H226" s="653">
        <f t="shared" si="384"/>
        <v>0</v>
      </c>
      <c r="I226" s="653">
        <f t="shared" si="384"/>
        <v>0</v>
      </c>
      <c r="J226" s="653">
        <f t="shared" si="384"/>
        <v>0</v>
      </c>
      <c r="K226" s="653">
        <f t="shared" si="384"/>
        <v>0</v>
      </c>
      <c r="L226" s="653">
        <f t="shared" si="384"/>
        <v>0</v>
      </c>
      <c r="M226" s="682">
        <f t="shared" si="384"/>
        <v>41.1</v>
      </c>
      <c r="N226" s="653">
        <f t="shared" si="384"/>
        <v>-31.207230012706191</v>
      </c>
      <c r="O226" s="653">
        <f t="shared" si="384"/>
        <v>21.944604996666857</v>
      </c>
      <c r="P226" s="653">
        <f t="shared" si="384"/>
        <v>14.541000215154515</v>
      </c>
      <c r="Q226" s="653">
        <f t="shared" si="384"/>
        <v>10.650126996077184</v>
      </c>
      <c r="R226" s="653">
        <f t="shared" si="384"/>
        <v>9.0486092011051866</v>
      </c>
      <c r="S226" s="653">
        <f t="shared" si="384"/>
        <v>8.6275408292983258</v>
      </c>
      <c r="T226" s="486"/>
      <c r="U226" s="486"/>
      <c r="V226" s="486"/>
      <c r="W226" s="486"/>
      <c r="X226" s="1364"/>
      <c r="AA226" s="486">
        <f t="shared" ref="AA226:AH227" si="385">AA126-Z126</f>
        <v>0</v>
      </c>
      <c r="AB226" s="486">
        <f t="shared" si="385"/>
        <v>0</v>
      </c>
      <c r="AC226" s="486">
        <f t="shared" si="385"/>
        <v>0</v>
      </c>
      <c r="AD226" s="984">
        <f t="shared" si="385"/>
        <v>0</v>
      </c>
      <c r="AE226" s="486">
        <f t="shared" si="385"/>
        <v>0</v>
      </c>
      <c r="AF226" s="486">
        <f t="shared" si="385"/>
        <v>0</v>
      </c>
      <c r="AG226" s="486">
        <f t="shared" si="385"/>
        <v>0</v>
      </c>
      <c r="AH226" s="984">
        <f t="shared" si="385"/>
        <v>0</v>
      </c>
      <c r="AI226" s="653">
        <f t="shared" ref="AI226:AX226" si="386">AI126-AH126</f>
        <v>0</v>
      </c>
      <c r="AJ226" s="653">
        <f t="shared" si="386"/>
        <v>0</v>
      </c>
      <c r="AK226" s="653">
        <f t="shared" si="386"/>
        <v>0</v>
      </c>
      <c r="AL226" s="1005">
        <f t="shared" si="386"/>
        <v>0</v>
      </c>
      <c r="AM226" s="653">
        <f t="shared" si="386"/>
        <v>0</v>
      </c>
      <c r="AN226" s="653">
        <f t="shared" si="386"/>
        <v>0</v>
      </c>
      <c r="AO226" s="653">
        <f t="shared" si="386"/>
        <v>0</v>
      </c>
      <c r="AP226" s="1005">
        <f t="shared" si="386"/>
        <v>0</v>
      </c>
      <c r="AQ226" s="653">
        <f t="shared" si="386"/>
        <v>0</v>
      </c>
      <c r="AR226" s="653">
        <f t="shared" si="386"/>
        <v>0</v>
      </c>
      <c r="AS226" s="653">
        <f t="shared" si="386"/>
        <v>0</v>
      </c>
      <c r="AT226" s="1005">
        <f t="shared" si="386"/>
        <v>41.1</v>
      </c>
      <c r="AU226" s="653">
        <f t="shared" si="386"/>
        <v>-17.600000000000001</v>
      </c>
      <c r="AV226" s="653">
        <f t="shared" si="386"/>
        <v>-13.695</v>
      </c>
      <c r="AW226" s="653">
        <f t="shared" si="386"/>
        <v>5.0000000000007816E-3</v>
      </c>
      <c r="AX226" s="682">
        <f t="shared" si="386"/>
        <v>8.2769987293806579E-2</v>
      </c>
      <c r="AZ226" s="653">
        <f t="shared" si="328"/>
        <v>-31.207230012706191</v>
      </c>
    </row>
    <row r="227" spans="1:80" ht="15">
      <c r="A227" s="1128" t="s">
        <v>629</v>
      </c>
      <c r="B227" s="507"/>
      <c r="C227" s="90"/>
      <c r="D227" s="653">
        <f t="shared" ref="D227:S227" si="387">D127-C127</f>
        <v>-1.2790253319999962</v>
      </c>
      <c r="E227" s="653">
        <f t="shared" si="387"/>
        <v>0.33649799999999885</v>
      </c>
      <c r="F227" s="653">
        <f t="shared" si="387"/>
        <v>3.364342998999998</v>
      </c>
      <c r="G227" s="653">
        <f t="shared" si="387"/>
        <v>-0.74134299899999956</v>
      </c>
      <c r="H227" s="653">
        <f t="shared" si="387"/>
        <v>-1.4529869170000005</v>
      </c>
      <c r="I227" s="653">
        <f t="shared" si="387"/>
        <v>2.3629179650000003</v>
      </c>
      <c r="J227" s="653">
        <f t="shared" si="387"/>
        <v>-0.49690000000000012</v>
      </c>
      <c r="K227" s="653">
        <f t="shared" si="387"/>
        <v>0.14216850000000036</v>
      </c>
      <c r="L227" s="653">
        <f t="shared" si="387"/>
        <v>5.6339129369999981</v>
      </c>
      <c r="M227" s="682">
        <f t="shared" si="387"/>
        <v>-1.4702558569999944</v>
      </c>
      <c r="N227" s="653">
        <f t="shared" si="387"/>
        <v>2.0677134929999976</v>
      </c>
      <c r="O227" s="653">
        <f t="shared" si="387"/>
        <v>0</v>
      </c>
      <c r="P227" s="653">
        <f t="shared" si="387"/>
        <v>0</v>
      </c>
      <c r="Q227" s="653">
        <f t="shared" si="387"/>
        <v>0</v>
      </c>
      <c r="R227" s="653">
        <f t="shared" si="387"/>
        <v>0</v>
      </c>
      <c r="S227" s="653">
        <f t="shared" si="387"/>
        <v>0</v>
      </c>
      <c r="T227" s="486"/>
      <c r="U227" s="486"/>
      <c r="V227" s="486"/>
      <c r="W227" s="486"/>
      <c r="X227" s="634" t="s">
        <v>630</v>
      </c>
      <c r="AA227" s="486">
        <f t="shared" si="385"/>
        <v>2.6487829619999999</v>
      </c>
      <c r="AB227" s="486">
        <f t="shared" si="385"/>
        <v>0.45129853800000008</v>
      </c>
      <c r="AC227" s="486">
        <f t="shared" si="385"/>
        <v>1.7436294270000001</v>
      </c>
      <c r="AD227" s="984">
        <f t="shared" si="385"/>
        <v>0.10700002499999961</v>
      </c>
      <c r="AE227" s="486">
        <f t="shared" si="385"/>
        <v>3.9999975000000632E-2</v>
      </c>
      <c r="AF227" s="486">
        <f t="shared" si="385"/>
        <v>-0.49195000000000011</v>
      </c>
      <c r="AG227" s="486">
        <f t="shared" si="385"/>
        <v>-1.013149999999996E-2</v>
      </c>
      <c r="AH227" s="984">
        <f t="shared" si="385"/>
        <v>-3.0000000000000249E-2</v>
      </c>
      <c r="AI227" s="653">
        <f t="shared" ref="AI227:AX227" si="388">AI127-AH127</f>
        <v>7.0000000000000284E-2</v>
      </c>
      <c r="AJ227" s="653">
        <f t="shared" si="388"/>
        <v>-0.16999999999999993</v>
      </c>
      <c r="AK227" s="653">
        <f t="shared" si="388"/>
        <v>0.19999999999999929</v>
      </c>
      <c r="AL227" s="1005">
        <f t="shared" si="388"/>
        <v>5.0000000000000711E-2</v>
      </c>
      <c r="AM227" s="653">
        <f t="shared" si="388"/>
        <v>-0.25</v>
      </c>
      <c r="AN227" s="653">
        <f t="shared" si="388"/>
        <v>0.34999999999999964</v>
      </c>
      <c r="AO227" s="653">
        <f t="shared" si="388"/>
        <v>-4.9999999999999822E-2</v>
      </c>
      <c r="AP227" s="1005">
        <f t="shared" si="388"/>
        <v>5.5839129369999982</v>
      </c>
      <c r="AQ227" s="653">
        <f t="shared" si="388"/>
        <v>0.70000000000000107</v>
      </c>
      <c r="AR227" s="653">
        <f t="shared" si="388"/>
        <v>-1.0999999999999996</v>
      </c>
      <c r="AS227" s="653">
        <f t="shared" si="388"/>
        <v>9.9999999999999645E-2</v>
      </c>
      <c r="AT227" s="1005">
        <f t="shared" si="388"/>
        <v>-1.170255826999993</v>
      </c>
      <c r="AU227" s="653">
        <f t="shared" si="388"/>
        <v>-1.833680800000792E-2</v>
      </c>
      <c r="AV227" s="653">
        <f t="shared" si="388"/>
        <v>2.293336778000004</v>
      </c>
      <c r="AW227" s="653">
        <f t="shared" si="388"/>
        <v>-0.20728650700000095</v>
      </c>
      <c r="AX227" s="682">
        <f t="shared" si="388"/>
        <v>0</v>
      </c>
      <c r="AZ227" s="653">
        <f t="shared" si="328"/>
        <v>2.0677134629999951</v>
      </c>
    </row>
    <row r="228" spans="1:80" ht="15">
      <c r="A228" s="1128" t="s">
        <v>631</v>
      </c>
      <c r="B228" s="507"/>
      <c r="C228" s="90"/>
      <c r="D228" s="653">
        <f t="shared" ref="D228:S228" si="389">D130-C130</f>
        <v>0</v>
      </c>
      <c r="E228" s="653">
        <f t="shared" si="389"/>
        <v>0</v>
      </c>
      <c r="F228" s="653">
        <f t="shared" si="389"/>
        <v>198.10859999999997</v>
      </c>
      <c r="G228" s="653">
        <f t="shared" si="389"/>
        <v>0</v>
      </c>
      <c r="H228" s="653">
        <f t="shared" si="389"/>
        <v>101.38418000000001</v>
      </c>
      <c r="I228" s="653">
        <f t="shared" si="389"/>
        <v>0</v>
      </c>
      <c r="J228" s="653">
        <f t="shared" si="389"/>
        <v>12</v>
      </c>
      <c r="K228" s="653">
        <f t="shared" si="389"/>
        <v>12</v>
      </c>
      <c r="L228" s="653">
        <f t="shared" si="389"/>
        <v>454.00278000000003</v>
      </c>
      <c r="M228" s="682">
        <f t="shared" si="389"/>
        <v>746.77918</v>
      </c>
      <c r="N228" s="653">
        <f t="shared" si="389"/>
        <v>39.944569999999885</v>
      </c>
      <c r="O228" s="653">
        <f t="shared" si="389"/>
        <v>0</v>
      </c>
      <c r="P228" s="653">
        <f t="shared" si="389"/>
        <v>0</v>
      </c>
      <c r="Q228" s="653">
        <f t="shared" si="389"/>
        <v>0</v>
      </c>
      <c r="R228" s="653">
        <f t="shared" si="389"/>
        <v>0</v>
      </c>
      <c r="S228" s="653">
        <f t="shared" si="389"/>
        <v>0</v>
      </c>
      <c r="T228" s="486"/>
      <c r="U228" s="486"/>
      <c r="V228" s="486"/>
      <c r="W228" s="486"/>
      <c r="X228" s="1392" t="s">
        <v>632</v>
      </c>
      <c r="AA228" s="486">
        <f t="shared" ref="AA228:AH228" si="390">AA130-Z130</f>
        <v>407.51747</v>
      </c>
      <c r="AB228" s="486">
        <f t="shared" si="390"/>
        <v>0</v>
      </c>
      <c r="AC228" s="486">
        <f t="shared" si="390"/>
        <v>0</v>
      </c>
      <c r="AD228" s="984">
        <f t="shared" si="390"/>
        <v>0</v>
      </c>
      <c r="AE228" s="486">
        <f t="shared" si="390"/>
        <v>12</v>
      </c>
      <c r="AF228" s="486">
        <f t="shared" si="390"/>
        <v>0</v>
      </c>
      <c r="AG228" s="486">
        <f t="shared" si="390"/>
        <v>0</v>
      </c>
      <c r="AH228" s="984">
        <f t="shared" si="390"/>
        <v>0</v>
      </c>
      <c r="AI228" s="653">
        <f t="shared" ref="AI228:AX228" si="391">AI130-AH130</f>
        <v>0.41500000000002046</v>
      </c>
      <c r="AJ228" s="653">
        <f t="shared" si="391"/>
        <v>11.58499999999998</v>
      </c>
      <c r="AK228" s="653">
        <f t="shared" si="391"/>
        <v>0</v>
      </c>
      <c r="AL228" s="1005">
        <f t="shared" si="391"/>
        <v>0</v>
      </c>
      <c r="AM228" s="653">
        <f t="shared" si="391"/>
        <v>0</v>
      </c>
      <c r="AN228" s="653">
        <f t="shared" si="391"/>
        <v>12</v>
      </c>
      <c r="AO228" s="653">
        <f t="shared" si="391"/>
        <v>442.00278000000003</v>
      </c>
      <c r="AP228" s="1005">
        <f t="shared" si="391"/>
        <v>0</v>
      </c>
      <c r="AQ228" s="653">
        <f t="shared" si="391"/>
        <v>2.8799999999999955</v>
      </c>
      <c r="AR228" s="653">
        <f t="shared" si="391"/>
        <v>19.120000000000005</v>
      </c>
      <c r="AS228" s="653">
        <f t="shared" si="391"/>
        <v>724.77918</v>
      </c>
      <c r="AT228" s="1005">
        <f t="shared" si="391"/>
        <v>0</v>
      </c>
      <c r="AU228" s="653">
        <f t="shared" si="391"/>
        <v>0</v>
      </c>
      <c r="AV228" s="653">
        <f t="shared" si="391"/>
        <v>-5.5000000000063665E-2</v>
      </c>
      <c r="AW228" s="653">
        <f t="shared" si="391"/>
        <v>-4.4299999999566353E-3</v>
      </c>
      <c r="AX228" s="682">
        <f t="shared" si="391"/>
        <v>40.003999999999905</v>
      </c>
      <c r="AZ228" s="653">
        <f t="shared" si="328"/>
        <v>39.944569999999885</v>
      </c>
    </row>
    <row r="229" spans="1:80" ht="15">
      <c r="A229" s="1128" t="s">
        <v>633</v>
      </c>
      <c r="B229" s="507"/>
      <c r="C229" s="90"/>
      <c r="D229" s="653">
        <f>'A. Raw FS'!D208</f>
        <v>-12.842613374000001</v>
      </c>
      <c r="E229" s="653">
        <f>'A. Raw FS'!E208</f>
        <v>-43.75</v>
      </c>
      <c r="F229" s="653">
        <f>'A. Raw FS'!F208</f>
        <v>-14.632199999999999</v>
      </c>
      <c r="G229" s="653">
        <f>'A. Raw FS'!G208</f>
        <v>-54.492789999999999</v>
      </c>
      <c r="H229" s="653">
        <f>'A. Raw FS'!H208</f>
        <v>-27.720194599999999</v>
      </c>
      <c r="I229" s="653">
        <f>'A. Raw FS'!I208</f>
        <v>-32.480222400000002</v>
      </c>
      <c r="J229" s="653">
        <f>'A. Raw FS'!J208</f>
        <v>-20.900138999999999</v>
      </c>
      <c r="K229" s="653">
        <f>'A. Raw FS'!K208</f>
        <v>-43.000278000000002</v>
      </c>
      <c r="L229" s="653">
        <f>'A. Raw FS'!L208</f>
        <v>-44.200277999999997</v>
      </c>
      <c r="M229" s="682">
        <f>'A. Raw FS'!M208</f>
        <v>-90.597555999999997</v>
      </c>
      <c r="N229" s="653">
        <f t="shared" ref="N229:S229" si="392">N92</f>
        <v>-164.09036260536004</v>
      </c>
      <c r="O229" s="653">
        <f t="shared" si="392"/>
        <v>-108.36443803462318</v>
      </c>
      <c r="P229" s="653">
        <f t="shared" si="392"/>
        <v>-155.52376873956095</v>
      </c>
      <c r="Q229" s="653">
        <f t="shared" si="392"/>
        <v>-199.69534220041834</v>
      </c>
      <c r="R229" s="653">
        <f t="shared" si="392"/>
        <v>-277.63006075578983</v>
      </c>
      <c r="S229" s="653">
        <f t="shared" si="392"/>
        <v>-334.2976302072849</v>
      </c>
      <c r="T229" s="486"/>
      <c r="U229" s="486"/>
      <c r="V229" s="486"/>
      <c r="W229" s="486"/>
      <c r="X229" s="1364"/>
      <c r="AA229" s="486">
        <f>'A. Raw FS'!AA208</f>
        <v>0</v>
      </c>
      <c r="AB229" s="486">
        <f>'A. Raw FS'!AB208</f>
        <v>-32.480222400000002</v>
      </c>
      <c r="AC229" s="486">
        <f>'A. Raw FS'!AC208</f>
        <v>0</v>
      </c>
      <c r="AD229" s="984">
        <f>'A. Raw FS'!AD208</f>
        <v>0</v>
      </c>
      <c r="AE229" s="486">
        <f>'A. Raw FS'!AE208</f>
        <v>0</v>
      </c>
      <c r="AF229" s="486">
        <f>'A. Raw FS'!AF208</f>
        <v>0</v>
      </c>
      <c r="AG229" s="486">
        <f>'A. Raw FS'!AG208</f>
        <v>0</v>
      </c>
      <c r="AH229" s="984">
        <f>'A. Raw FS'!AH208</f>
        <v>-20.900138999999999</v>
      </c>
      <c r="AI229" s="653">
        <f>'A. Raw FS'!AI208</f>
        <v>0</v>
      </c>
      <c r="AJ229" s="653">
        <f>'A. Raw FS'!AJ208</f>
        <v>0</v>
      </c>
      <c r="AK229" s="653">
        <f>'A. Raw FS'!AK208</f>
        <v>-43.000278000000002</v>
      </c>
      <c r="AL229" s="1005">
        <f>'A. Raw FS'!AL208</f>
        <v>0</v>
      </c>
      <c r="AM229" s="653">
        <f>'A. Raw FS'!AM208</f>
        <v>0</v>
      </c>
      <c r="AN229" s="653">
        <f>'A. Raw FS'!AN208</f>
        <v>0</v>
      </c>
      <c r="AO229" s="653">
        <f>'A. Raw FS'!AO208</f>
        <v>-44.200277999999997</v>
      </c>
      <c r="AP229" s="1005">
        <f>'A. Raw FS'!AP208</f>
        <v>0</v>
      </c>
      <c r="AQ229" s="653">
        <f>'A. Raw FS'!AQ208</f>
        <v>0</v>
      </c>
      <c r="AR229" s="653">
        <f>'A. Raw FS'!AR208</f>
        <v>0</v>
      </c>
      <c r="AS229" s="653">
        <f>'A. Raw FS'!AS208</f>
        <v>-90.597555999999997</v>
      </c>
      <c r="AT229" s="1005">
        <f>'A. Raw FS'!AT208</f>
        <v>0</v>
      </c>
      <c r="AU229" s="653">
        <f>'A. Raw FS'!AU208</f>
        <v>0</v>
      </c>
      <c r="AV229" s="653">
        <f>'A. Raw FS'!AV208</f>
        <v>0</v>
      </c>
      <c r="AW229" s="653">
        <f>'A. Raw FS'!AW208</f>
        <v>0</v>
      </c>
      <c r="AX229" s="682">
        <f>'A. Raw FS'!AX208</f>
        <v>0</v>
      </c>
      <c r="AZ229" s="653">
        <f t="shared" si="328"/>
        <v>0</v>
      </c>
    </row>
    <row r="230" spans="1:80" ht="15">
      <c r="A230" s="1128" t="s">
        <v>634</v>
      </c>
      <c r="B230" s="507"/>
      <c r="C230" s="90"/>
      <c r="D230" s="653">
        <f t="shared" ref="D230:S230" si="393">D131+D133-C131-C133-(D72+D229)+D132-C132</f>
        <v>-84.999999999999943</v>
      </c>
      <c r="E230" s="653">
        <f t="shared" si="393"/>
        <v>0.51900000000000546</v>
      </c>
      <c r="F230" s="653">
        <f t="shared" si="393"/>
        <v>-13.262199999999908</v>
      </c>
      <c r="G230" s="653">
        <f t="shared" si="393"/>
        <v>8.7999999999999119</v>
      </c>
      <c r="H230" s="653">
        <f t="shared" si="393"/>
        <v>-92.278799782999954</v>
      </c>
      <c r="I230" s="653">
        <f t="shared" si="393"/>
        <v>-3.1148962999977936E-2</v>
      </c>
      <c r="J230" s="653">
        <f t="shared" si="393"/>
        <v>4.1066110459999736</v>
      </c>
      <c r="K230" s="653">
        <f t="shared" si="393"/>
        <v>-2.5582747000000814</v>
      </c>
      <c r="L230" s="653">
        <f t="shared" si="393"/>
        <v>-441.98568340300011</v>
      </c>
      <c r="M230" s="682">
        <f t="shared" si="393"/>
        <v>-697.8944022940002</v>
      </c>
      <c r="N230" s="653">
        <f t="shared" si="393"/>
        <v>-23.075406104694913</v>
      </c>
      <c r="O230" s="653">
        <f t="shared" si="393"/>
        <v>-4.4077085831449381</v>
      </c>
      <c r="P230" s="653">
        <f t="shared" si="393"/>
        <v>-5.1205704189821972</v>
      </c>
      <c r="Q230" s="653">
        <f t="shared" si="393"/>
        <v>-5.9799311247010678</v>
      </c>
      <c r="R230" s="653">
        <f t="shared" si="393"/>
        <v>-7.2005055877169752</v>
      </c>
      <c r="S230" s="653">
        <f t="shared" si="393"/>
        <v>-8.6248898990943417</v>
      </c>
      <c r="T230" s="486"/>
      <c r="U230" s="486"/>
      <c r="V230" s="486"/>
      <c r="W230" s="486"/>
      <c r="X230" s="1364"/>
      <c r="AA230" s="486">
        <f t="shared" ref="AA230:AH230" si="394">AA131+AA133-Z131-Z133-(AA72+AA229)+AA132-Z132</f>
        <v>281.91744295899997</v>
      </c>
      <c r="AB230" s="486">
        <f t="shared" si="394"/>
        <v>0</v>
      </c>
      <c r="AC230" s="486">
        <f t="shared" si="394"/>
        <v>-0.44759109199998104</v>
      </c>
      <c r="AD230" s="984">
        <f t="shared" si="394"/>
        <v>2.2645392999994796E-2</v>
      </c>
      <c r="AE230" s="486">
        <f t="shared" si="394"/>
        <v>4.2958144219999435</v>
      </c>
      <c r="AF230" s="486">
        <f t="shared" si="394"/>
        <v>-2.5999999979999675</v>
      </c>
      <c r="AG230" s="486">
        <f t="shared" si="394"/>
        <v>2.8273531720000173</v>
      </c>
      <c r="AH230" s="984">
        <f t="shared" si="394"/>
        <v>2.1259847649999735</v>
      </c>
      <c r="AI230" s="653">
        <f t="shared" ref="AI230:AX230" si="395">AI131+AI133-AH131-AH133-(AI72+AI229)+AI132-AH132</f>
        <v>2.2601031480000313</v>
      </c>
      <c r="AJ230" s="653">
        <f t="shared" si="395"/>
        <v>-3.1086244689504383E-14</v>
      </c>
      <c r="AK230" s="653">
        <f t="shared" si="395"/>
        <v>-2.809419730000017</v>
      </c>
      <c r="AL230" s="1005">
        <f t="shared" si="395"/>
        <v>21.634387426999904</v>
      </c>
      <c r="AM230" s="653">
        <f t="shared" si="395"/>
        <v>14.103960807000178</v>
      </c>
      <c r="AN230" s="653">
        <f t="shared" si="395"/>
        <v>-9.5257135512838431E-14</v>
      </c>
      <c r="AO230" s="653">
        <f t="shared" si="395"/>
        <v>-442.00278000000009</v>
      </c>
      <c r="AP230" s="1005">
        <f t="shared" si="395"/>
        <v>1.5698553568199713E-13</v>
      </c>
      <c r="AQ230" s="653">
        <f t="shared" si="395"/>
        <v>-3.0169427950000265</v>
      </c>
      <c r="AR230" s="653">
        <f t="shared" si="395"/>
        <v>-90.627555999999615</v>
      </c>
      <c r="AS230" s="653">
        <f t="shared" si="395"/>
        <v>-634.18162399999994</v>
      </c>
      <c r="AT230" s="1005">
        <f t="shared" si="395"/>
        <v>27.022275103999867</v>
      </c>
      <c r="AU230" s="653">
        <f t="shared" si="395"/>
        <v>1.1723955140041653E-13</v>
      </c>
      <c r="AV230" s="653">
        <f t="shared" si="395"/>
        <v>-39.125425031000262</v>
      </c>
      <c r="AW230" s="653">
        <f t="shared" si="395"/>
        <v>8.5458129999196331E-3</v>
      </c>
      <c r="AX230" s="682">
        <f t="shared" si="395"/>
        <v>-164.45735517325033</v>
      </c>
      <c r="AZ230" s="653">
        <f t="shared" si="328"/>
        <v>-203.57423439125057</v>
      </c>
    </row>
    <row r="231" spans="1:80" ht="15">
      <c r="A231" s="518" t="s">
        <v>635</v>
      </c>
      <c r="B231" s="505"/>
      <c r="C231" s="461"/>
      <c r="D231" s="654">
        <f t="shared" ref="D231:L231" si="396">SUM(D225:D230)</f>
        <v>109.08624378700009</v>
      </c>
      <c r="E231" s="654">
        <f t="shared" si="396"/>
        <v>101.42673964999994</v>
      </c>
      <c r="F231" s="654">
        <f t="shared" si="396"/>
        <v>-12.218978868999899</v>
      </c>
      <c r="G231" s="654">
        <f t="shared" si="396"/>
        <v>-149.67208383600007</v>
      </c>
      <c r="H231" s="654">
        <f t="shared" si="396"/>
        <v>258.30761203000009</v>
      </c>
      <c r="I231" s="654">
        <f t="shared" si="396"/>
        <v>185.79123435599996</v>
      </c>
      <c r="J231" s="654">
        <f t="shared" si="396"/>
        <v>-221.92283771799995</v>
      </c>
      <c r="K231" s="654">
        <f t="shared" si="396"/>
        <v>-24.067034998000096</v>
      </c>
      <c r="L231" s="654">
        <f t="shared" si="396"/>
        <v>461.07759519799987</v>
      </c>
      <c r="M231" s="683">
        <f t="shared" ref="M231:S231" si="397">SUM(M225:M230)</f>
        <v>795.51540397000008</v>
      </c>
      <c r="N231" s="654">
        <f t="shared" si="397"/>
        <v>-47.03447112237874</v>
      </c>
      <c r="O231" s="654">
        <f t="shared" si="397"/>
        <v>1.4870621670875721</v>
      </c>
      <c r="P231" s="654">
        <f t="shared" si="397"/>
        <v>86.609273095376125</v>
      </c>
      <c r="Q231" s="654">
        <f t="shared" si="397"/>
        <v>37.361575108634668</v>
      </c>
      <c r="R231" s="654">
        <f t="shared" si="397"/>
        <v>-110.45302121366063</v>
      </c>
      <c r="S231" s="654">
        <f t="shared" si="397"/>
        <v>-115.37146480352789</v>
      </c>
      <c r="T231" s="598"/>
      <c r="U231" s="598"/>
      <c r="V231" s="598"/>
      <c r="W231" s="598"/>
      <c r="X231" s="494"/>
      <c r="AA231" s="598">
        <f t="shared" ref="AA231:AH231" si="398">SUM(AA225:AA230)</f>
        <v>1253.0091370140001</v>
      </c>
      <c r="AB231" s="598">
        <f t="shared" si="398"/>
        <v>-91.779350636000004</v>
      </c>
      <c r="AC231" s="598">
        <f t="shared" si="398"/>
        <v>144.73927980099998</v>
      </c>
      <c r="AD231" s="999">
        <f t="shared" si="398"/>
        <v>192.39552440299997</v>
      </c>
      <c r="AE231" s="598">
        <f t="shared" si="398"/>
        <v>-10.702948352999989</v>
      </c>
      <c r="AF231" s="598">
        <f t="shared" si="398"/>
        <v>121.39101312200005</v>
      </c>
      <c r="AG231" s="598">
        <f t="shared" si="398"/>
        <v>-337.31759790400002</v>
      </c>
      <c r="AH231" s="999">
        <f t="shared" si="398"/>
        <v>7.2540552069999933</v>
      </c>
      <c r="AI231" s="654">
        <f t="shared" ref="AI231:AX231" si="399">SUM(AI225:AI230)</f>
        <v>-106.57237815499998</v>
      </c>
      <c r="AJ231" s="654">
        <f t="shared" si="399"/>
        <v>29.542252926999918</v>
      </c>
      <c r="AK231" s="654">
        <f t="shared" si="399"/>
        <v>-100.62588354899999</v>
      </c>
      <c r="AL231" s="1006">
        <f t="shared" si="399"/>
        <v>177.24015082399993</v>
      </c>
      <c r="AM231" s="654">
        <f t="shared" si="399"/>
        <v>60.036329069000132</v>
      </c>
      <c r="AN231" s="654">
        <f t="shared" si="399"/>
        <v>-51.415349467000055</v>
      </c>
      <c r="AO231" s="654">
        <f t="shared" si="399"/>
        <v>411.09425706199994</v>
      </c>
      <c r="AP231" s="1006">
        <f t="shared" si="399"/>
        <v>55.44922274400006</v>
      </c>
      <c r="AQ231" s="654">
        <f t="shared" si="399"/>
        <v>862.24951483799998</v>
      </c>
      <c r="AR231" s="654">
        <f t="shared" si="399"/>
        <v>-808.10662509999941</v>
      </c>
      <c r="AS231" s="654">
        <f t="shared" si="399"/>
        <v>1129.1089522349998</v>
      </c>
      <c r="AT231" s="1006">
        <f t="shared" si="399"/>
        <v>-390.72588337000002</v>
      </c>
      <c r="AU231" s="654">
        <f t="shared" si="399"/>
        <v>-180.061468787</v>
      </c>
      <c r="AV231" s="654">
        <f t="shared" si="399"/>
        <v>317.8553848209998</v>
      </c>
      <c r="AW231" s="654">
        <f t="shared" si="399"/>
        <v>-98.808887782000056</v>
      </c>
      <c r="AX231" s="683">
        <f t="shared" si="399"/>
        <v>-102.34796508557415</v>
      </c>
      <c r="AZ231" s="654">
        <f t="shared" si="328"/>
        <v>-63.362936833574395</v>
      </c>
    </row>
    <row r="232" spans="1:80" ht="15">
      <c r="B232" s="507"/>
      <c r="C232" s="90"/>
      <c r="D232" s="653"/>
      <c r="E232" s="653"/>
      <c r="F232" s="653"/>
      <c r="G232" s="653"/>
      <c r="H232" s="653"/>
      <c r="I232" s="653"/>
      <c r="J232" s="653"/>
      <c r="K232" s="653"/>
      <c r="L232" s="653"/>
      <c r="M232" s="682"/>
      <c r="N232" s="653"/>
      <c r="O232" s="653"/>
      <c r="P232" s="653"/>
      <c r="Q232" s="653"/>
      <c r="R232" s="653"/>
      <c r="S232" s="653"/>
      <c r="T232" s="486"/>
      <c r="U232" s="486"/>
      <c r="V232" s="486"/>
      <c r="W232" s="486"/>
      <c r="X232" s="1364"/>
      <c r="AA232" s="486"/>
      <c r="AB232" s="486"/>
      <c r="AC232" s="486"/>
      <c r="AD232" s="984"/>
      <c r="AE232" s="486"/>
      <c r="AF232" s="486"/>
      <c r="AG232" s="486"/>
      <c r="AH232" s="984"/>
      <c r="AI232" s="653"/>
      <c r="AJ232" s="653"/>
      <c r="AK232" s="653"/>
      <c r="AL232" s="1005"/>
      <c r="AM232" s="653"/>
      <c r="AN232" s="653"/>
      <c r="AO232" s="653"/>
      <c r="AP232" s="1005"/>
      <c r="AQ232" s="653"/>
      <c r="AR232" s="653"/>
      <c r="AS232" s="653"/>
      <c r="AT232" s="1005"/>
      <c r="AU232" s="653"/>
      <c r="AV232" s="653"/>
      <c r="AW232" s="653"/>
      <c r="AX232" s="682"/>
      <c r="AZ232" s="653">
        <f t="shared" si="328"/>
        <v>0</v>
      </c>
    </row>
    <row r="233" spans="1:80" ht="15">
      <c r="A233" s="518" t="s">
        <v>636</v>
      </c>
      <c r="B233" s="505"/>
      <c r="C233" s="461"/>
      <c r="D233" s="654">
        <f t="shared" ref="D233:L233" si="400">D219+D223+D231</f>
        <v>131.03395577300009</v>
      </c>
      <c r="E233" s="654">
        <f t="shared" si="400"/>
        <v>-83.178726807000174</v>
      </c>
      <c r="F233" s="654">
        <f t="shared" si="400"/>
        <v>-36.598171898999844</v>
      </c>
      <c r="G233" s="654">
        <f t="shared" si="400"/>
        <v>1.1542912549999471</v>
      </c>
      <c r="H233" s="654">
        <f t="shared" si="400"/>
        <v>-3.6260412589999191</v>
      </c>
      <c r="I233" s="654">
        <f t="shared" si="400"/>
        <v>37.167056611000021</v>
      </c>
      <c r="J233" s="654">
        <f t="shared" si="400"/>
        <v>59.793136443999884</v>
      </c>
      <c r="K233" s="654">
        <f t="shared" si="400"/>
        <v>746.99894843699974</v>
      </c>
      <c r="L233" s="654">
        <f t="shared" si="400"/>
        <v>616.27593128400235</v>
      </c>
      <c r="M233" s="683">
        <f t="shared" ref="M233:S233" si="401">M219+M223+M231</f>
        <v>-666.54840066900215</v>
      </c>
      <c r="N233" s="654">
        <f t="shared" si="401"/>
        <v>813.52968216123338</v>
      </c>
      <c r="O233" s="654">
        <f t="shared" si="401"/>
        <v>469.13042606033861</v>
      </c>
      <c r="P233" s="654">
        <f t="shared" si="401"/>
        <v>502.48990092093464</v>
      </c>
      <c r="Q233" s="654">
        <f t="shared" si="401"/>
        <v>633.90587202142001</v>
      </c>
      <c r="R233" s="654">
        <f t="shared" si="401"/>
        <v>661.82597999069185</v>
      </c>
      <c r="S233" s="654">
        <f t="shared" si="401"/>
        <v>868.74353171237567</v>
      </c>
      <c r="T233" s="598"/>
      <c r="U233" s="598"/>
      <c r="V233" s="598"/>
      <c r="W233" s="598"/>
      <c r="X233" s="494"/>
      <c r="AA233" s="598">
        <f t="shared" ref="AA233:AH233" si="402">AA219+AA223+AA231</f>
        <v>114.38847414600014</v>
      </c>
      <c r="AB233" s="598">
        <f t="shared" si="402"/>
        <v>82.799546682999903</v>
      </c>
      <c r="AC233" s="598">
        <f t="shared" si="402"/>
        <v>-68.838012442000121</v>
      </c>
      <c r="AD233" s="999">
        <f t="shared" si="402"/>
        <v>32.151373580999859</v>
      </c>
      <c r="AE233" s="598">
        <f t="shared" si="402"/>
        <v>26.050769523000305</v>
      </c>
      <c r="AF233" s="598">
        <f t="shared" si="402"/>
        <v>-37.006650276000059</v>
      </c>
      <c r="AG233" s="598">
        <f t="shared" si="402"/>
        <v>8.844134497000141</v>
      </c>
      <c r="AH233" s="999">
        <f t="shared" si="402"/>
        <v>61.887734802999923</v>
      </c>
      <c r="AI233" s="654">
        <f t="shared" ref="AI233:AX233" si="403">AI219+AI223+AI231</f>
        <v>-39.554711687999941</v>
      </c>
      <c r="AJ233" s="654">
        <f t="shared" si="403"/>
        <v>174.9805730529998</v>
      </c>
      <c r="AK233" s="654">
        <f t="shared" si="403"/>
        <v>-54.316767270000028</v>
      </c>
      <c r="AL233" s="1006">
        <f t="shared" si="403"/>
        <v>665.90700223899989</v>
      </c>
      <c r="AM233" s="654">
        <f t="shared" si="403"/>
        <v>-54.228848535999717</v>
      </c>
      <c r="AN233" s="654">
        <f t="shared" si="403"/>
        <v>201.0159652949996</v>
      </c>
      <c r="AO233" s="654">
        <f t="shared" si="403"/>
        <v>-455.33637324999978</v>
      </c>
      <c r="AP233" s="1006">
        <f t="shared" si="403"/>
        <v>925.1434808570001</v>
      </c>
      <c r="AQ233" s="654">
        <f t="shared" si="403"/>
        <v>-957.37909545800005</v>
      </c>
      <c r="AR233" s="654">
        <f t="shared" si="403"/>
        <v>-380.84231955799913</v>
      </c>
      <c r="AS233" s="654">
        <f t="shared" si="403"/>
        <v>831.30184141599943</v>
      </c>
      <c r="AT233" s="1006">
        <f t="shared" si="403"/>
        <v>-159.95192627499966</v>
      </c>
      <c r="AU233" s="654">
        <f t="shared" si="403"/>
        <v>-698.9444821660004</v>
      </c>
      <c r="AV233" s="654">
        <f t="shared" si="403"/>
        <v>834.54783663800015</v>
      </c>
      <c r="AW233" s="654">
        <f t="shared" si="403"/>
        <v>598.82768147500008</v>
      </c>
      <c r="AX233" s="683">
        <f t="shared" si="403"/>
        <v>96.967271209095202</v>
      </c>
      <c r="AZ233" s="654">
        <f t="shared" si="328"/>
        <v>831.39830715609503</v>
      </c>
    </row>
    <row r="234" spans="1:80" ht="15">
      <c r="B234" s="507"/>
      <c r="C234" s="90"/>
      <c r="D234" s="653"/>
      <c r="E234" s="653"/>
      <c r="F234" s="653"/>
      <c r="G234" s="653"/>
      <c r="H234" s="653"/>
      <c r="I234" s="653"/>
      <c r="J234" s="653"/>
      <c r="K234" s="653"/>
      <c r="L234" s="653"/>
      <c r="M234" s="682"/>
      <c r="N234" s="653"/>
      <c r="O234" s="653"/>
      <c r="P234" s="653"/>
      <c r="Q234" s="653"/>
      <c r="R234" s="653"/>
      <c r="S234" s="653"/>
      <c r="T234" s="486"/>
      <c r="U234" s="486"/>
      <c r="V234" s="486"/>
      <c r="W234" s="486"/>
      <c r="X234" s="1364"/>
      <c r="AA234" s="486"/>
      <c r="AB234" s="486"/>
      <c r="AC234" s="486"/>
      <c r="AD234" s="984"/>
      <c r="AE234" s="486"/>
      <c r="AF234" s="486"/>
      <c r="AG234" s="486"/>
      <c r="AH234" s="984"/>
      <c r="AI234" s="653"/>
      <c r="AJ234" s="653"/>
      <c r="AK234" s="653"/>
      <c r="AL234" s="1005"/>
      <c r="AM234" s="653"/>
      <c r="AN234" s="653"/>
      <c r="AO234" s="653"/>
      <c r="AP234" s="1005"/>
      <c r="AQ234" s="653"/>
      <c r="AR234" s="653"/>
      <c r="AS234" s="653"/>
      <c r="AT234" s="1005"/>
      <c r="AU234" s="653"/>
      <c r="AV234" s="653"/>
      <c r="AW234" s="653"/>
      <c r="AX234" s="682"/>
      <c r="AZ234" s="653">
        <f t="shared" si="328"/>
        <v>0</v>
      </c>
    </row>
    <row r="235" spans="1:80" ht="15">
      <c r="A235" s="1128" t="s">
        <v>637</v>
      </c>
      <c r="B235" s="507"/>
      <c r="C235" s="90"/>
      <c r="D235" s="653">
        <f>SUM(C102)</f>
        <v>20.766254699000001</v>
      </c>
      <c r="E235" s="653">
        <f>SUM(D102)</f>
        <v>151.49192980500001</v>
      </c>
      <c r="F235" s="653">
        <f>SUM(E102)</f>
        <v>68.267019973000004</v>
      </c>
      <c r="G235" s="653">
        <f>SUM(F102)</f>
        <v>31.668848074</v>
      </c>
      <c r="H235" s="653">
        <f t="shared" ref="H235:S235" si="404">SUM(G102:G103)</f>
        <v>37.723139328999999</v>
      </c>
      <c r="I235" s="653">
        <f t="shared" si="404"/>
        <v>34.097098070000001</v>
      </c>
      <c r="J235" s="653">
        <f t="shared" si="404"/>
        <v>71.264154680999994</v>
      </c>
      <c r="K235" s="653">
        <f t="shared" si="404"/>
        <v>131.05729112500001</v>
      </c>
      <c r="L235" s="653">
        <f t="shared" si="404"/>
        <v>878.05623956199997</v>
      </c>
      <c r="M235" s="682">
        <f t="shared" si="404"/>
        <v>1494.3321708460001</v>
      </c>
      <c r="N235" s="653">
        <f t="shared" si="404"/>
        <v>827.78377017699995</v>
      </c>
      <c r="O235" s="653">
        <f t="shared" si="404"/>
        <v>1641.3134523382332</v>
      </c>
      <c r="P235" s="653">
        <f t="shared" si="404"/>
        <v>2110.443878398572</v>
      </c>
      <c r="Q235" s="653">
        <f t="shared" si="404"/>
        <v>2612.9337793195068</v>
      </c>
      <c r="R235" s="653">
        <f t="shared" si="404"/>
        <v>3246.839651340927</v>
      </c>
      <c r="S235" s="653">
        <f t="shared" si="404"/>
        <v>3908.6656313316189</v>
      </c>
      <c r="T235" s="486"/>
      <c r="U235" s="486"/>
      <c r="V235" s="486"/>
      <c r="W235" s="486"/>
      <c r="X235" s="1364"/>
      <c r="AA235" s="486">
        <f t="shared" ref="AA235:AH235" si="405">SUM(Z102)</f>
        <v>0</v>
      </c>
      <c r="AB235" s="486">
        <f t="shared" si="405"/>
        <v>25.151246859</v>
      </c>
      <c r="AC235" s="486">
        <f t="shared" si="405"/>
        <v>114.38847414600014</v>
      </c>
      <c r="AD235" s="984">
        <f t="shared" si="405"/>
        <v>39.112781099999999</v>
      </c>
      <c r="AE235" s="486">
        <f t="shared" si="405"/>
        <v>71.264154680999994</v>
      </c>
      <c r="AF235" s="486">
        <f t="shared" si="405"/>
        <v>97.314924203999993</v>
      </c>
      <c r="AG235" s="486">
        <f t="shared" si="405"/>
        <v>60.308273927999998</v>
      </c>
      <c r="AH235" s="984">
        <f t="shared" si="405"/>
        <v>69.152408425000004</v>
      </c>
      <c r="AI235" s="653">
        <f t="shared" ref="AI235:AX235" si="406">SUM(AH102:AH103)</f>
        <v>131.04014322800001</v>
      </c>
      <c r="AJ235" s="653">
        <f t="shared" si="406"/>
        <v>91.485431539999993</v>
      </c>
      <c r="AK235" s="653">
        <f t="shared" si="406"/>
        <v>266.46600459299998</v>
      </c>
      <c r="AL235" s="1005">
        <f t="shared" si="406"/>
        <v>212.14923732299999</v>
      </c>
      <c r="AM235" s="653">
        <f t="shared" si="406"/>
        <v>878.05623956199997</v>
      </c>
      <c r="AN235" s="653">
        <f t="shared" si="406"/>
        <v>823.82739102599999</v>
      </c>
      <c r="AO235" s="653">
        <f t="shared" si="406"/>
        <v>1024.8433563210001</v>
      </c>
      <c r="AP235" s="1005">
        <f t="shared" si="406"/>
        <v>569.50698307100004</v>
      </c>
      <c r="AQ235" s="653">
        <f t="shared" si="406"/>
        <v>1494.3321708460001</v>
      </c>
      <c r="AR235" s="653">
        <f t="shared" si="406"/>
        <v>536.953075388</v>
      </c>
      <c r="AS235" s="653">
        <f t="shared" si="406"/>
        <v>156.11075582999999</v>
      </c>
      <c r="AT235" s="1005">
        <f t="shared" si="406"/>
        <v>986.89689539000005</v>
      </c>
      <c r="AU235" s="653">
        <f t="shared" si="406"/>
        <v>827.78377017699995</v>
      </c>
      <c r="AV235" s="653">
        <f t="shared" si="406"/>
        <v>128.831134034</v>
      </c>
      <c r="AW235" s="653">
        <f t="shared" si="406"/>
        <v>963.38231852499996</v>
      </c>
      <c r="AX235" s="682">
        <f t="shared" si="406"/>
        <v>1562.18</v>
      </c>
      <c r="AZ235" s="653">
        <f>AT235</f>
        <v>986.89689539000005</v>
      </c>
    </row>
    <row r="236" spans="1:80" ht="15">
      <c r="A236" s="1128" t="s">
        <v>638</v>
      </c>
      <c r="B236" s="507"/>
      <c r="C236" s="90"/>
      <c r="D236" s="653">
        <f t="shared" ref="D236:L236" si="407">D233+D235</f>
        <v>151.80021047200009</v>
      </c>
      <c r="E236" s="653">
        <f t="shared" si="407"/>
        <v>68.313202997999838</v>
      </c>
      <c r="F236" s="653">
        <f t="shared" si="407"/>
        <v>31.668848074000159</v>
      </c>
      <c r="G236" s="653">
        <f t="shared" si="407"/>
        <v>32.823139328999943</v>
      </c>
      <c r="H236" s="653">
        <f t="shared" si="407"/>
        <v>34.097098070000079</v>
      </c>
      <c r="I236" s="653">
        <f t="shared" si="407"/>
        <v>71.264154681000022</v>
      </c>
      <c r="J236" s="653">
        <f t="shared" si="407"/>
        <v>131.05729112499989</v>
      </c>
      <c r="K236" s="653">
        <f t="shared" si="407"/>
        <v>878.05623956199975</v>
      </c>
      <c r="L236" s="653">
        <f t="shared" si="407"/>
        <v>1494.3321708460023</v>
      </c>
      <c r="M236" s="682">
        <f t="shared" ref="M236:S236" si="408">M233+M235</f>
        <v>827.7837701769979</v>
      </c>
      <c r="N236" s="653">
        <f>N233+N235</f>
        <v>1641.3134523382332</v>
      </c>
      <c r="O236" s="653">
        <f t="shared" si="408"/>
        <v>2110.443878398572</v>
      </c>
      <c r="P236" s="653">
        <f t="shared" si="408"/>
        <v>2612.9337793195068</v>
      </c>
      <c r="Q236" s="653">
        <f t="shared" si="408"/>
        <v>3246.839651340927</v>
      </c>
      <c r="R236" s="653">
        <f>R233+R235</f>
        <v>3908.6656313316189</v>
      </c>
      <c r="S236" s="653">
        <f t="shared" si="408"/>
        <v>4777.4091630439943</v>
      </c>
      <c r="T236" s="486"/>
      <c r="U236" s="486"/>
      <c r="V236" s="486"/>
      <c r="W236" s="486"/>
      <c r="X236" s="1364"/>
      <c r="AA236" s="486">
        <f t="shared" ref="AA236:AH236" si="409">AA233+AA235</f>
        <v>114.38847414600014</v>
      </c>
      <c r="AB236" s="486">
        <f t="shared" si="409"/>
        <v>107.9507935419999</v>
      </c>
      <c r="AC236" s="486">
        <f t="shared" si="409"/>
        <v>45.550461704000014</v>
      </c>
      <c r="AD236" s="984">
        <f t="shared" si="409"/>
        <v>71.264154680999866</v>
      </c>
      <c r="AE236" s="486">
        <f t="shared" si="409"/>
        <v>97.314924204000306</v>
      </c>
      <c r="AF236" s="486">
        <f t="shared" si="409"/>
        <v>60.308273927999934</v>
      </c>
      <c r="AG236" s="486">
        <f t="shared" si="409"/>
        <v>69.152408425000147</v>
      </c>
      <c r="AH236" s="984">
        <f t="shared" si="409"/>
        <v>131.04014322799992</v>
      </c>
      <c r="AI236" s="653">
        <f t="shared" ref="AI236:AX236" si="410">AI233+AI235</f>
        <v>91.485431540000064</v>
      </c>
      <c r="AJ236" s="653">
        <f t="shared" si="410"/>
        <v>266.46600459299981</v>
      </c>
      <c r="AK236" s="653">
        <f t="shared" si="410"/>
        <v>212.14923732299997</v>
      </c>
      <c r="AL236" s="1005">
        <f t="shared" si="410"/>
        <v>878.05623956199986</v>
      </c>
      <c r="AM236" s="653">
        <f t="shared" si="410"/>
        <v>823.82739102600021</v>
      </c>
      <c r="AN236" s="653">
        <f t="shared" si="410"/>
        <v>1024.8433563209996</v>
      </c>
      <c r="AO236" s="653">
        <f t="shared" si="410"/>
        <v>569.50698307100038</v>
      </c>
      <c r="AP236" s="1005">
        <f t="shared" si="410"/>
        <v>1494.6504639280001</v>
      </c>
      <c r="AQ236" s="653">
        <f t="shared" si="410"/>
        <v>536.953075388</v>
      </c>
      <c r="AR236" s="653">
        <f t="shared" si="410"/>
        <v>156.11075583000087</v>
      </c>
      <c r="AS236" s="653">
        <f t="shared" si="410"/>
        <v>987.41259724599945</v>
      </c>
      <c r="AT236" s="1005">
        <f t="shared" si="410"/>
        <v>826.94496911500039</v>
      </c>
      <c r="AU236" s="653">
        <f t="shared" si="410"/>
        <v>128.83928801099955</v>
      </c>
      <c r="AV236" s="653">
        <f t="shared" si="410"/>
        <v>963.37897067200015</v>
      </c>
      <c r="AW236" s="653">
        <f t="shared" si="410"/>
        <v>1562.21</v>
      </c>
      <c r="AX236" s="682">
        <f t="shared" si="410"/>
        <v>1659.1472712090954</v>
      </c>
      <c r="AZ236" s="653">
        <f>AX236</f>
        <v>1659.1472712090954</v>
      </c>
    </row>
    <row r="237" spans="1:80" ht="15">
      <c r="A237" s="1128" t="s">
        <v>639</v>
      </c>
      <c r="B237" s="507"/>
      <c r="C237" s="90"/>
      <c r="D237" s="653">
        <f t="shared" ref="D237:S237" si="411">D102</f>
        <v>151.49192980500001</v>
      </c>
      <c r="E237" s="653">
        <f t="shared" si="411"/>
        <v>68.267019973000004</v>
      </c>
      <c r="F237" s="653">
        <f t="shared" si="411"/>
        <v>31.668848074</v>
      </c>
      <c r="G237" s="653">
        <f t="shared" si="411"/>
        <v>32.823139329</v>
      </c>
      <c r="H237" s="653">
        <f t="shared" si="411"/>
        <v>34.097098070000001</v>
      </c>
      <c r="I237" s="653">
        <f t="shared" si="411"/>
        <v>71.264154680999994</v>
      </c>
      <c r="J237" s="653">
        <f t="shared" si="411"/>
        <v>131.05729112500001</v>
      </c>
      <c r="K237" s="653">
        <f t="shared" si="411"/>
        <v>878.05623956199997</v>
      </c>
      <c r="L237" s="653">
        <f t="shared" si="411"/>
        <v>1494.3321708460001</v>
      </c>
      <c r="M237" s="682">
        <f t="shared" si="411"/>
        <v>827.78377017699995</v>
      </c>
      <c r="N237" s="653">
        <f>N102</f>
        <v>1641.3134523382332</v>
      </c>
      <c r="O237" s="653">
        <f t="shared" si="411"/>
        <v>2110.443878398572</v>
      </c>
      <c r="P237" s="653">
        <f t="shared" si="411"/>
        <v>2612.9337793195068</v>
      </c>
      <c r="Q237" s="653">
        <f t="shared" si="411"/>
        <v>3246.839651340927</v>
      </c>
      <c r="R237" s="653">
        <f t="shared" si="411"/>
        <v>3908.6656313316189</v>
      </c>
      <c r="S237" s="653">
        <f t="shared" si="411"/>
        <v>4777.4091630439943</v>
      </c>
      <c r="T237" s="486"/>
      <c r="U237" s="486"/>
      <c r="V237" s="486"/>
      <c r="W237" s="486"/>
      <c r="X237" s="1364"/>
      <c r="AA237" s="486">
        <f t="shared" ref="AA237:AH237" si="412">AA102</f>
        <v>25.151246859</v>
      </c>
      <c r="AB237" s="486">
        <f t="shared" si="412"/>
        <v>114.38847414600014</v>
      </c>
      <c r="AC237" s="486">
        <f t="shared" si="412"/>
        <v>39.112781099999999</v>
      </c>
      <c r="AD237" s="984">
        <f t="shared" si="412"/>
        <v>71.264154680999994</v>
      </c>
      <c r="AE237" s="486">
        <f t="shared" si="412"/>
        <v>97.314924203999993</v>
      </c>
      <c r="AF237" s="486">
        <f t="shared" si="412"/>
        <v>60.308273927999998</v>
      </c>
      <c r="AG237" s="486">
        <f t="shared" si="412"/>
        <v>69.152408425000004</v>
      </c>
      <c r="AH237" s="984">
        <f t="shared" si="412"/>
        <v>131.04014322800001</v>
      </c>
      <c r="AI237" s="653">
        <f t="shared" ref="AI237:AX237" si="413">AI102</f>
        <v>91.485431539999993</v>
      </c>
      <c r="AJ237" s="653">
        <f t="shared" si="413"/>
        <v>266.46600459299998</v>
      </c>
      <c r="AK237" s="653">
        <f t="shared" si="413"/>
        <v>212.14923732299999</v>
      </c>
      <c r="AL237" s="1005">
        <f t="shared" si="413"/>
        <v>878.05623956199997</v>
      </c>
      <c r="AM237" s="653">
        <f t="shared" si="413"/>
        <v>823.82739102599999</v>
      </c>
      <c r="AN237" s="653">
        <f t="shared" si="413"/>
        <v>1024.8433563210001</v>
      </c>
      <c r="AO237" s="653">
        <f t="shared" si="413"/>
        <v>569.50698307100004</v>
      </c>
      <c r="AP237" s="1005">
        <f t="shared" si="413"/>
        <v>1494.3321708460001</v>
      </c>
      <c r="AQ237" s="653">
        <f t="shared" si="413"/>
        <v>536.953075388</v>
      </c>
      <c r="AR237" s="653">
        <f t="shared" si="413"/>
        <v>156.11075582999999</v>
      </c>
      <c r="AS237" s="653">
        <f t="shared" si="413"/>
        <v>986.89689539000005</v>
      </c>
      <c r="AT237" s="1005">
        <f t="shared" si="413"/>
        <v>827.78377017699995</v>
      </c>
      <c r="AU237" s="653">
        <f t="shared" si="413"/>
        <v>128.831134034</v>
      </c>
      <c r="AV237" s="653">
        <f t="shared" si="413"/>
        <v>963.38231852499996</v>
      </c>
      <c r="AW237" s="653">
        <f t="shared" si="413"/>
        <v>1562.18</v>
      </c>
      <c r="AX237" s="682">
        <f t="shared" si="413"/>
        <v>1659.1472712090954</v>
      </c>
      <c r="AZ237" s="653">
        <f>AZ102</f>
        <v>1659.1472712090954</v>
      </c>
    </row>
    <row r="238" spans="1:80" s="1393" customFormat="1" ht="15">
      <c r="A238" s="707" t="s">
        <v>640</v>
      </c>
      <c r="B238" s="708"/>
      <c r="C238" s="710"/>
      <c r="D238" s="710">
        <f t="shared" ref="D238:L238" si="414">D236-D237</f>
        <v>0.30828066700007639</v>
      </c>
      <c r="E238" s="710">
        <f t="shared" si="414"/>
        <v>4.6183024999834288E-2</v>
      </c>
      <c r="F238" s="710">
        <f t="shared" si="414"/>
        <v>1.5987211554602254E-13</v>
      </c>
      <c r="G238" s="710">
        <f t="shared" si="414"/>
        <v>-5.6843418860808015E-14</v>
      </c>
      <c r="H238" s="710">
        <f t="shared" si="414"/>
        <v>7.815970093361102E-14</v>
      </c>
      <c r="I238" s="710">
        <f t="shared" si="414"/>
        <v>0</v>
      </c>
      <c r="J238" s="710">
        <f t="shared" si="414"/>
        <v>0</v>
      </c>
      <c r="K238" s="710">
        <f t="shared" si="414"/>
        <v>0</v>
      </c>
      <c r="L238" s="710">
        <f t="shared" si="414"/>
        <v>2.2737367544323206E-12</v>
      </c>
      <c r="M238" s="711">
        <f t="shared" ref="M238:S238" si="415">M236-M237</f>
        <v>-2.0463630789890885E-12</v>
      </c>
      <c r="N238" s="710">
        <f t="shared" si="415"/>
        <v>0</v>
      </c>
      <c r="O238" s="710">
        <f t="shared" si="415"/>
        <v>0</v>
      </c>
      <c r="P238" s="710">
        <f t="shared" si="415"/>
        <v>0</v>
      </c>
      <c r="Q238" s="710">
        <f t="shared" si="415"/>
        <v>0</v>
      </c>
      <c r="R238" s="710">
        <f t="shared" si="415"/>
        <v>0</v>
      </c>
      <c r="S238" s="710">
        <f t="shared" si="415"/>
        <v>0</v>
      </c>
      <c r="T238" s="712"/>
      <c r="U238" s="712"/>
      <c r="V238" s="712"/>
      <c r="W238" s="712"/>
      <c r="X238" s="713"/>
      <c r="AA238" s="709">
        <f t="shared" ref="AA238:AH238" si="416">AA236-AA237</f>
        <v>89.237227287000138</v>
      </c>
      <c r="AB238" s="709">
        <f t="shared" si="416"/>
        <v>-6.437680604000235</v>
      </c>
      <c r="AC238" s="709">
        <f t="shared" si="416"/>
        <v>6.4376806040000147</v>
      </c>
      <c r="AD238" s="1000">
        <f t="shared" si="416"/>
        <v>-1.2789769243681803E-13</v>
      </c>
      <c r="AE238" s="709">
        <f t="shared" si="416"/>
        <v>3.1263880373444408E-13</v>
      </c>
      <c r="AF238" s="709">
        <f t="shared" si="416"/>
        <v>-6.3948846218409017E-14</v>
      </c>
      <c r="AG238" s="709">
        <f t="shared" si="416"/>
        <v>1.4210854715202004E-13</v>
      </c>
      <c r="AH238" s="1000">
        <f t="shared" si="416"/>
        <v>0</v>
      </c>
      <c r="AI238" s="709">
        <f t="shared" ref="AI238:AX238" si="417">AI236-AI237</f>
        <v>0</v>
      </c>
      <c r="AJ238" s="709">
        <f t="shared" si="417"/>
        <v>0</v>
      </c>
      <c r="AK238" s="709">
        <f t="shared" si="417"/>
        <v>0</v>
      </c>
      <c r="AL238" s="1000">
        <f t="shared" si="417"/>
        <v>0</v>
      </c>
      <c r="AM238" s="709">
        <f t="shared" si="417"/>
        <v>0</v>
      </c>
      <c r="AN238" s="709">
        <f t="shared" si="417"/>
        <v>0</v>
      </c>
      <c r="AO238" s="709">
        <f t="shared" si="417"/>
        <v>0</v>
      </c>
      <c r="AP238" s="1000">
        <f t="shared" si="417"/>
        <v>0.31829308200008199</v>
      </c>
      <c r="AQ238" s="709">
        <f t="shared" si="417"/>
        <v>0</v>
      </c>
      <c r="AR238" s="709">
        <f t="shared" si="417"/>
        <v>8.8107299234252423E-13</v>
      </c>
      <c r="AS238" s="709">
        <f t="shared" si="417"/>
        <v>0.51570185599939578</v>
      </c>
      <c r="AT238" s="1000">
        <f>AT236-AT237</f>
        <v>-0.83880106199956117</v>
      </c>
      <c r="AU238" s="715">
        <f t="shared" si="417"/>
        <v>8.1539769995515599E-3</v>
      </c>
      <c r="AV238" s="715">
        <f t="shared" si="417"/>
        <v>-3.3478529998092199E-3</v>
      </c>
      <c r="AW238" s="715">
        <f t="shared" si="417"/>
        <v>2.9999999999972715E-2</v>
      </c>
      <c r="AX238" s="714">
        <f t="shared" si="417"/>
        <v>0</v>
      </c>
      <c r="AZ238" s="715">
        <f>SUM(AU238:AX238)</f>
        <v>3.4806123999715055E-2</v>
      </c>
      <c r="BI238" s="1394"/>
      <c r="BM238" s="1394"/>
      <c r="BQ238" s="1394"/>
      <c r="BU238" s="1394"/>
      <c r="BY238" s="1394"/>
      <c r="CB238" s="1394"/>
    </row>
    <row r="239" spans="1:80" ht="15">
      <c r="C239" s="90"/>
      <c r="D239" s="486"/>
      <c r="E239" s="486"/>
      <c r="F239" s="486"/>
      <c r="G239" s="486"/>
      <c r="H239" s="486"/>
      <c r="I239" s="486"/>
      <c r="J239" s="486"/>
      <c r="K239" s="486"/>
      <c r="L239" s="629"/>
      <c r="M239" s="701"/>
      <c r="N239" s="486"/>
      <c r="O239" s="486"/>
      <c r="P239" s="486"/>
      <c r="Q239" s="486"/>
      <c r="R239" s="486"/>
      <c r="S239" s="486"/>
      <c r="T239" s="486"/>
      <c r="U239" s="486"/>
      <c r="V239" s="486"/>
      <c r="W239" s="486"/>
      <c r="AA239" s="486"/>
      <c r="AB239" s="486"/>
      <c r="AC239" s="486"/>
      <c r="AD239" s="984"/>
      <c r="AE239" s="486"/>
      <c r="AF239" s="486"/>
      <c r="AG239" s="486"/>
      <c r="AH239" s="984"/>
      <c r="AI239" s="486"/>
      <c r="AJ239" s="486"/>
      <c r="AK239" s="486"/>
      <c r="AL239" s="984"/>
      <c r="AM239" s="486"/>
      <c r="AN239" s="486"/>
      <c r="AO239" s="486"/>
      <c r="AP239" s="984"/>
      <c r="AQ239" s="486"/>
      <c r="AR239" s="486"/>
      <c r="AS239" s="486"/>
      <c r="AT239" s="984"/>
      <c r="AU239" s="486"/>
      <c r="AV239" s="486"/>
      <c r="AW239" s="486"/>
      <c r="AX239" s="658"/>
    </row>
    <row r="240" spans="1:80" ht="15">
      <c r="A240" s="1128" t="s">
        <v>641</v>
      </c>
      <c r="C240" s="90"/>
      <c r="D240" s="486"/>
      <c r="E240" s="486">
        <f t="shared" ref="E240:S240" si="418">D237</f>
        <v>151.49192980500001</v>
      </c>
      <c r="F240" s="486">
        <f t="shared" si="418"/>
        <v>68.267019973000004</v>
      </c>
      <c r="G240" s="486">
        <f t="shared" si="418"/>
        <v>31.668848074</v>
      </c>
      <c r="H240" s="486">
        <f t="shared" si="418"/>
        <v>32.823139329</v>
      </c>
      <c r="I240" s="486">
        <f t="shared" si="418"/>
        <v>34.097098070000001</v>
      </c>
      <c r="J240" s="486">
        <f t="shared" si="418"/>
        <v>71.264154680999994</v>
      </c>
      <c r="K240" s="486">
        <f t="shared" si="418"/>
        <v>131.05729112500001</v>
      </c>
      <c r="L240" s="486">
        <f t="shared" si="418"/>
        <v>878.05623956199997</v>
      </c>
      <c r="M240" s="658">
        <f t="shared" si="418"/>
        <v>1494.3321708460001</v>
      </c>
      <c r="N240" s="486">
        <f t="shared" si="418"/>
        <v>827.78377017699995</v>
      </c>
      <c r="O240" s="486">
        <f t="shared" si="418"/>
        <v>1641.3134523382332</v>
      </c>
      <c r="P240" s="486">
        <f t="shared" si="418"/>
        <v>2110.443878398572</v>
      </c>
      <c r="Q240" s="486">
        <f>P237</f>
        <v>2612.9337793195068</v>
      </c>
      <c r="R240" s="486">
        <f t="shared" si="418"/>
        <v>3246.839651340927</v>
      </c>
      <c r="S240" s="486">
        <f t="shared" si="418"/>
        <v>3908.6656313316189</v>
      </c>
      <c r="T240" s="486"/>
      <c r="U240" s="486"/>
      <c r="V240" s="486"/>
      <c r="W240" s="486"/>
      <c r="X240" s="1364"/>
      <c r="Y240" s="638"/>
      <c r="AA240" s="486">
        <f t="shared" ref="AA240:AH240" si="419">Z237</f>
        <v>0</v>
      </c>
      <c r="AB240" s="486">
        <f t="shared" si="419"/>
        <v>25.151246859</v>
      </c>
      <c r="AC240" s="486">
        <f t="shared" si="419"/>
        <v>114.38847414600014</v>
      </c>
      <c r="AD240" s="984">
        <f t="shared" si="419"/>
        <v>39.112781099999999</v>
      </c>
      <c r="AE240" s="486">
        <f t="shared" si="419"/>
        <v>71.264154680999994</v>
      </c>
      <c r="AF240" s="486">
        <f t="shared" si="419"/>
        <v>97.314924203999993</v>
      </c>
      <c r="AG240" s="486">
        <f t="shared" si="419"/>
        <v>60.308273927999998</v>
      </c>
      <c r="AH240" s="984">
        <f t="shared" si="419"/>
        <v>69.152408425000004</v>
      </c>
      <c r="AI240" s="486">
        <f t="shared" ref="AI240:AT240" si="420">AVERAGE(AH237)</f>
        <v>131.04014322800001</v>
      </c>
      <c r="AJ240" s="486">
        <f t="shared" si="420"/>
        <v>91.485431539999993</v>
      </c>
      <c r="AK240" s="486">
        <f t="shared" si="420"/>
        <v>266.46600459299998</v>
      </c>
      <c r="AL240" s="984">
        <f t="shared" si="420"/>
        <v>212.14923732299999</v>
      </c>
      <c r="AM240" s="486">
        <f t="shared" si="420"/>
        <v>878.05623956199997</v>
      </c>
      <c r="AN240" s="486">
        <f t="shared" si="420"/>
        <v>823.82739102599999</v>
      </c>
      <c r="AO240" s="486">
        <f t="shared" si="420"/>
        <v>1024.8433563210001</v>
      </c>
      <c r="AP240" s="984">
        <f t="shared" si="420"/>
        <v>569.50698307100004</v>
      </c>
      <c r="AQ240" s="486">
        <f t="shared" si="420"/>
        <v>1494.3321708460001</v>
      </c>
      <c r="AR240" s="486">
        <f t="shared" si="420"/>
        <v>536.953075388</v>
      </c>
      <c r="AS240" s="486">
        <f t="shared" si="420"/>
        <v>156.11075582999999</v>
      </c>
      <c r="AT240" s="984">
        <f t="shared" si="420"/>
        <v>986.89689539000005</v>
      </c>
      <c r="AU240" s="486">
        <f>AVERAGE(AT237)</f>
        <v>827.78377017699995</v>
      </c>
      <c r="AV240" s="486">
        <f>AVERAGE(AU237)</f>
        <v>128.831134034</v>
      </c>
      <c r="AW240" s="486">
        <f>AVERAGE(AV237)</f>
        <v>963.38231852499996</v>
      </c>
      <c r="AX240" s="658">
        <f>AVERAGE(AW237)</f>
        <v>1562.18</v>
      </c>
      <c r="AZ240" s="415">
        <f>AVERAGE(AZ237,AT237)</f>
        <v>1243.4655206930477</v>
      </c>
    </row>
    <row r="241" spans="1:80" ht="15">
      <c r="A241" s="1128" t="s">
        <v>642</v>
      </c>
      <c r="C241" s="508">
        <v>0.06</v>
      </c>
      <c r="D241" s="601">
        <f t="shared" ref="D241:M241" si="421">D50</f>
        <v>9.8078650209252501E-3</v>
      </c>
      <c r="E241" s="601">
        <f t="shared" si="421"/>
        <v>4.228591371143435E-2</v>
      </c>
      <c r="F241" s="601">
        <f t="shared" si="421"/>
        <v>7.7112239877445768E-3</v>
      </c>
      <c r="G241" s="601">
        <f t="shared" si="421"/>
        <v>2.4462790612149E-2</v>
      </c>
      <c r="H241" s="601">
        <f t="shared" si="421"/>
        <v>1.4684393232243539E-2</v>
      </c>
      <c r="I241" s="601">
        <f t="shared" si="421"/>
        <v>2.3976302806213773E-3</v>
      </c>
      <c r="J241" s="601">
        <f t="shared" si="421"/>
        <v>8.1307668272466232E-4</v>
      </c>
      <c r="K241" s="601">
        <f t="shared" si="421"/>
        <v>9.6366463854464669E-3</v>
      </c>
      <c r="L241" s="601">
        <f t="shared" si="421"/>
        <v>3.0577430375966309E-2</v>
      </c>
      <c r="M241" s="674">
        <f t="shared" si="421"/>
        <v>3.9263254739913496E-2</v>
      </c>
      <c r="N241" s="655">
        <f>AZ50</f>
        <v>5.0749062920400469E-2</v>
      </c>
      <c r="O241" s="640">
        <f>N241-($N241-$R241)/4</f>
        <v>4.9311797190300349E-2</v>
      </c>
      <c r="P241" s="640">
        <f>O241-($N241-$R241)/4</f>
        <v>4.787453146020023E-2</v>
      </c>
      <c r="Q241" s="640">
        <f>P241-($N241-$R241)/4</f>
        <v>4.6437265730100111E-2</v>
      </c>
      <c r="R241" s="655">
        <v>4.4999999999999998E-2</v>
      </c>
      <c r="S241" s="640">
        <f>R241</f>
        <v>4.4999999999999998E-2</v>
      </c>
      <c r="T241" s="601"/>
      <c r="U241" s="601"/>
      <c r="V241" s="601"/>
      <c r="W241" s="601"/>
      <c r="X241" s="1179"/>
      <c r="Y241" s="638"/>
      <c r="AA241" s="601">
        <f t="shared" ref="AA241:AH241" si="422">AA50</f>
        <v>6.1900179690013984E-4</v>
      </c>
      <c r="AB241" s="601">
        <f t="shared" si="422"/>
        <v>2.4157327933020664E-4</v>
      </c>
      <c r="AC241" s="601">
        <f t="shared" si="422"/>
        <v>3.2512461165232361E-4</v>
      </c>
      <c r="AD241" s="993">
        <f t="shared" si="422"/>
        <v>0.22852141931214864</v>
      </c>
      <c r="AE241" s="601">
        <f t="shared" si="422"/>
        <v>2.7010902124493478E-4</v>
      </c>
      <c r="AF241" s="601">
        <f t="shared" si="422"/>
        <v>2.0103627115510757E-4</v>
      </c>
      <c r="AG241" s="601">
        <f t="shared" si="422"/>
        <v>2.580777375241894E-4</v>
      </c>
      <c r="AH241" s="993">
        <f t="shared" si="422"/>
        <v>2.2719465646672281E-4</v>
      </c>
      <c r="AI241" s="601">
        <f t="shared" ref="AI241:AW241" si="423">AI50</f>
        <v>1.4971699336013104E-4</v>
      </c>
      <c r="AJ241" s="601">
        <f t="shared" si="423"/>
        <v>2.4193684186762812E-4</v>
      </c>
      <c r="AK241" s="601">
        <f t="shared" si="423"/>
        <v>0</v>
      </c>
      <c r="AL241" s="993">
        <f t="shared" si="423"/>
        <v>0</v>
      </c>
      <c r="AM241" s="601">
        <f t="shared" si="423"/>
        <v>3.9971507203754436E-4</v>
      </c>
      <c r="AN241" s="601">
        <f t="shared" si="423"/>
        <v>1.3216948844495193E-2</v>
      </c>
      <c r="AO241" s="601">
        <f t="shared" si="423"/>
        <v>6.0805361228805997E-2</v>
      </c>
      <c r="AP241" s="993">
        <f t="shared" si="423"/>
        <v>6.5757044837738268E-2</v>
      </c>
      <c r="AQ241" s="601">
        <f t="shared" si="423"/>
        <v>5.8609730081348364E-5</v>
      </c>
      <c r="AR241" s="601">
        <f t="shared" si="423"/>
        <v>8.5565990122122834E-2</v>
      </c>
      <c r="AS241" s="601">
        <f t="shared" si="423"/>
        <v>1.4111385732881235E-2</v>
      </c>
      <c r="AT241" s="993">
        <f t="shared" si="423"/>
        <v>1.8530106785203133E-2</v>
      </c>
      <c r="AU241" s="601">
        <f t="shared" si="423"/>
        <v>3.1333933487815012E-2</v>
      </c>
      <c r="AV241" s="601">
        <f t="shared" si="423"/>
        <v>1.7322998605877309E-2</v>
      </c>
      <c r="AW241" s="601">
        <f t="shared" si="423"/>
        <v>1.5149101536462949E-2</v>
      </c>
      <c r="AX241" s="693">
        <v>0.05</v>
      </c>
      <c r="AZ241" s="702">
        <f>AZ242/AZ240</f>
        <v>2.4301606619273827E-2</v>
      </c>
    </row>
    <row r="242" spans="1:80" s="397" customFormat="1" ht="15">
      <c r="A242" s="517" t="s">
        <v>504</v>
      </c>
      <c r="B242" s="503"/>
      <c r="C242" s="509"/>
      <c r="D242" s="656"/>
      <c r="E242" s="656">
        <f>E241*E240</f>
        <v>6.4059746717129</v>
      </c>
      <c r="F242" s="656">
        <f>F241*F240</f>
        <v>0.52642228198763574</v>
      </c>
      <c r="G242" s="656">
        <f>G241*G240</f>
        <v>0.77470839936222013</v>
      </c>
      <c r="H242" s="656">
        <f>H241*H240</f>
        <v>0.48198788502375434</v>
      </c>
      <c r="I242" s="656">
        <f t="shared" ref="I242:R242" si="424">I241*I240</f>
        <v>8.1752234813948721E-2</v>
      </c>
      <c r="J242" s="656">
        <f t="shared" si="424"/>
        <v>5.7943222485204691E-2</v>
      </c>
      <c r="K242" s="656">
        <f t="shared" si="424"/>
        <v>1.2629527708061365</v>
      </c>
      <c r="L242" s="656">
        <f t="shared" si="424"/>
        <v>26.848703531389848</v>
      </c>
      <c r="M242" s="684">
        <f t="shared" si="424"/>
        <v>58.672344689974437</v>
      </c>
      <c r="N242" s="656">
        <f t="shared" si="424"/>
        <v>42.009250637198889</v>
      </c>
      <c r="O242" s="656">
        <f t="shared" si="424"/>
        <v>80.936116087414661</v>
      </c>
      <c r="P242" s="656">
        <f t="shared" si="424"/>
        <v>101.03651185137943</v>
      </c>
      <c r="Q242" s="656">
        <f>Q241*Q240</f>
        <v>121.3375002454147</v>
      </c>
      <c r="R242" s="656">
        <f t="shared" si="424"/>
        <v>146.10778431034171</v>
      </c>
      <c r="S242" s="656">
        <f>S241*S240</f>
        <v>175.88995340992284</v>
      </c>
      <c r="T242" s="656"/>
      <c r="U242" s="656"/>
      <c r="V242" s="656"/>
      <c r="W242" s="656"/>
      <c r="X242" s="608"/>
      <c r="Y242" s="43"/>
      <c r="AA242" s="656">
        <f t="shared" ref="AA242:AH242" si="425">AA241*AA240</f>
        <v>0</v>
      </c>
      <c r="AB242" s="656">
        <f t="shared" si="425"/>
        <v>6.0758691829721897E-3</v>
      </c>
      <c r="AC242" s="656">
        <f t="shared" si="425"/>
        <v>3.7190508234220154E-2</v>
      </c>
      <c r="AD242" s="1001">
        <f t="shared" si="425"/>
        <v>8.9381082502173825</v>
      </c>
      <c r="AE242" s="656">
        <f t="shared" si="425"/>
        <v>1.9249091070732544E-2</v>
      </c>
      <c r="AF242" s="656">
        <f t="shared" si="425"/>
        <v>1.9563829489714083E-2</v>
      </c>
      <c r="AG242" s="656">
        <f t="shared" si="425"/>
        <v>1.5564222889327298E-2</v>
      </c>
      <c r="AH242" s="1001">
        <f t="shared" si="425"/>
        <v>1.5711057675964386E-2</v>
      </c>
      <c r="AI242" s="656">
        <f t="shared" ref="AI242:AX242" si="426">AI241*AI240/4</f>
        <v>4.9047340633942742E-3</v>
      </c>
      <c r="AJ242" s="656">
        <f t="shared" si="426"/>
        <v>5.5334240959211741E-3</v>
      </c>
      <c r="AK242" s="656">
        <f t="shared" si="426"/>
        <v>0</v>
      </c>
      <c r="AL242" s="1001">
        <f t="shared" si="426"/>
        <v>0</v>
      </c>
      <c r="AM242" s="656">
        <f t="shared" si="426"/>
        <v>8.7743078262385032E-2</v>
      </c>
      <c r="AN242" s="656">
        <f t="shared" si="426"/>
        <v>2.7221211209711451</v>
      </c>
      <c r="AO242" s="656">
        <f t="shared" si="426"/>
        <v>15.578992621010087</v>
      </c>
      <c r="AP242" s="1001">
        <f t="shared" si="426"/>
        <v>9.3622740553011994</v>
      </c>
      <c r="AQ242" s="656">
        <f t="shared" si="426"/>
        <v>2.1895601296289854E-2</v>
      </c>
      <c r="AR242" s="656">
        <f t="shared" si="426"/>
        <v>11.486230386173272</v>
      </c>
      <c r="AS242" s="656">
        <f t="shared" si="426"/>
        <v>0.55073477314219199</v>
      </c>
      <c r="AT242" s="1001">
        <f t="shared" si="426"/>
        <v>4.5718262143905362</v>
      </c>
      <c r="AU242" s="656">
        <f t="shared" si="426"/>
        <v>6.4844303992547161</v>
      </c>
      <c r="AV242" s="656">
        <f t="shared" si="426"/>
        <v>0.55793538881614368</v>
      </c>
      <c r="AW242" s="656">
        <f t="shared" si="426"/>
        <v>3.6485941404420785</v>
      </c>
      <c r="AX242" s="684">
        <f t="shared" si="426"/>
        <v>19.527250000000002</v>
      </c>
      <c r="AZ242" s="417">
        <f>SUM(AU242:AX242)</f>
        <v>30.218209928512941</v>
      </c>
      <c r="BI242" s="468"/>
      <c r="BM242" s="468"/>
      <c r="BQ242" s="468"/>
      <c r="BU242" s="468"/>
      <c r="BY242" s="468"/>
      <c r="CB242" s="468"/>
    </row>
    <row r="243" spans="1:80" ht="15">
      <c r="C243" s="92"/>
      <c r="D243" s="657"/>
      <c r="E243" s="657"/>
      <c r="F243" s="657"/>
      <c r="G243" s="657"/>
      <c r="H243" s="486"/>
      <c r="I243" s="486"/>
      <c r="J243" s="486"/>
      <c r="K243" s="486"/>
      <c r="L243" s="486"/>
      <c r="M243" s="658"/>
      <c r="N243" s="486"/>
      <c r="O243" s="486"/>
      <c r="P243" s="486"/>
      <c r="Q243" s="486"/>
      <c r="R243" s="486"/>
      <c r="S243" s="486"/>
      <c r="T243" s="486"/>
      <c r="U243" s="486"/>
      <c r="V243" s="486"/>
      <c r="W243" s="486"/>
      <c r="AA243" s="486"/>
      <c r="AB243" s="486"/>
      <c r="AC243" s="486"/>
      <c r="AD243" s="984"/>
      <c r="AE243" s="486"/>
      <c r="AF243" s="486"/>
      <c r="AG243" s="486"/>
      <c r="AH243" s="984"/>
      <c r="AI243" s="486"/>
      <c r="AJ243" s="486"/>
      <c r="AK243" s="486"/>
      <c r="AL243" s="984"/>
      <c r="AM243" s="486"/>
      <c r="AN243" s="486"/>
      <c r="AO243" s="486"/>
      <c r="AP243" s="984"/>
      <c r="AQ243" s="486"/>
      <c r="AR243" s="486"/>
      <c r="AS243" s="486"/>
      <c r="AT243" s="984"/>
      <c r="AU243" s="486"/>
      <c r="AV243" s="486"/>
      <c r="AW243" s="486"/>
      <c r="AX243" s="658"/>
    </row>
    <row r="244" spans="1:80" ht="15">
      <c r="A244" s="1128" t="s">
        <v>643</v>
      </c>
      <c r="C244" s="90">
        <f t="shared" ref="C244:H244" si="427">C235+C245</f>
        <v>0</v>
      </c>
      <c r="D244" s="486">
        <f t="shared" si="427"/>
        <v>-60.507672020999934</v>
      </c>
      <c r="E244" s="486">
        <f t="shared" si="427"/>
        <v>-80.808038652000107</v>
      </c>
      <c r="F244" s="486">
        <f t="shared" si="427"/>
        <v>211.86636994200012</v>
      </c>
      <c r="G244" s="486">
        <f t="shared" si="427"/>
        <v>113.16109016599994</v>
      </c>
      <c r="H244" s="486">
        <f t="shared" si="427"/>
        <v>-244.27831525999994</v>
      </c>
      <c r="I244" s="486">
        <f t="shared" ref="I244:S244" si="428">I235+I245</f>
        <v>-144.67553307299988</v>
      </c>
      <c r="J244" s="486">
        <f t="shared" si="428"/>
        <v>347.68970088899977</v>
      </c>
      <c r="K244" s="486">
        <f t="shared" si="428"/>
        <v>868.70689035999976</v>
      </c>
      <c r="L244" s="486">
        <f t="shared" si="428"/>
        <v>1006.7053071820023</v>
      </c>
      <c r="M244" s="658">
        <f t="shared" si="428"/>
        <v>30.185332055997833</v>
      </c>
      <c r="N244" s="486">
        <f t="shared" si="428"/>
        <v>1511.9872082308507</v>
      </c>
      <c r="O244" s="486">
        <f t="shared" si="428"/>
        <v>2018.1292746103829</v>
      </c>
      <c r="P244" s="486">
        <f t="shared" si="428"/>
        <v>2380.2211672807421</v>
      </c>
      <c r="Q244" s="486">
        <f t="shared" si="428"/>
        <v>3014.4529299032502</v>
      </c>
      <c r="R244" s="486">
        <f t="shared" si="428"/>
        <v>3743.3366954028779</v>
      </c>
      <c r="S244" s="486">
        <f t="shared" si="428"/>
        <v>4558.4856485704413</v>
      </c>
      <c r="T244" s="625"/>
      <c r="U244" s="625"/>
      <c r="V244" s="625"/>
      <c r="W244" s="625"/>
      <c r="X244" s="1364"/>
      <c r="AA244" s="625">
        <f t="shared" ref="AA244:AH244" si="429">AA235+AA245</f>
        <v>-446.53696694699988</v>
      </c>
      <c r="AB244" s="625">
        <f t="shared" si="429"/>
        <v>167.7012203159999</v>
      </c>
      <c r="AC244" s="625">
        <f t="shared" si="429"/>
        <v>-97.892779761999947</v>
      </c>
      <c r="AD244" s="1002">
        <f t="shared" si="429"/>
        <v>-121.00172430400011</v>
      </c>
      <c r="AE244" s="625">
        <f t="shared" si="429"/>
        <v>124.35368695400024</v>
      </c>
      <c r="AF244" s="625">
        <f t="shared" si="429"/>
        <v>-64.174689192000102</v>
      </c>
      <c r="AG244" s="625">
        <f t="shared" si="429"/>
        <v>409.28722800100019</v>
      </c>
      <c r="AH244" s="1002">
        <f t="shared" si="429"/>
        <v>104.9819337859999</v>
      </c>
      <c r="AI244" s="625">
        <f t="shared" ref="AI244:AX244" si="430">AI235+AI245</f>
        <v>200.80291284300009</v>
      </c>
      <c r="AJ244" s="625">
        <f t="shared" si="430"/>
        <v>248.33875166599984</v>
      </c>
      <c r="AK244" s="625">
        <f t="shared" si="430"/>
        <v>267.16542314199995</v>
      </c>
      <c r="AL244" s="1002">
        <f t="shared" si="430"/>
        <v>722.5004761649999</v>
      </c>
      <c r="AM244" s="625">
        <f t="shared" si="430"/>
        <v>777.64502276400026</v>
      </c>
      <c r="AN244" s="625">
        <f t="shared" si="430"/>
        <v>1088.6087057879995</v>
      </c>
      <c r="AO244" s="625">
        <f t="shared" si="430"/>
        <v>114.16244800900017</v>
      </c>
      <c r="AP244" s="1002">
        <f t="shared" si="430"/>
        <v>1444.7851541210002</v>
      </c>
      <c r="AQ244" s="625">
        <f t="shared" si="430"/>
        <v>-324.7333822449998</v>
      </c>
      <c r="AR244" s="625">
        <f t="shared" si="430"/>
        <v>891.60982493000074</v>
      </c>
      <c r="AS244" s="625">
        <f t="shared" si="430"/>
        <v>-141.5963549890005</v>
      </c>
      <c r="AT244" s="1002">
        <f t="shared" si="430"/>
        <v>1284.6228717620002</v>
      </c>
      <c r="AU244" s="625">
        <f t="shared" si="430"/>
        <v>291.28241998999965</v>
      </c>
      <c r="AV244" s="625">
        <f t="shared" si="430"/>
        <v>594.94149759800007</v>
      </c>
      <c r="AW244" s="625">
        <f t="shared" si="430"/>
        <v>1660.820717088</v>
      </c>
      <c r="AX244" s="688">
        <f t="shared" si="430"/>
        <v>1637.1246511087129</v>
      </c>
    </row>
    <row r="245" spans="1:80" ht="15">
      <c r="A245" s="1128" t="s">
        <v>644</v>
      </c>
      <c r="C245" s="90">
        <f t="shared" ref="C245:H245" si="431">C233-C225</f>
        <v>0</v>
      </c>
      <c r="D245" s="486">
        <f t="shared" si="431"/>
        <v>-81.273926719999935</v>
      </c>
      <c r="E245" s="486">
        <f t="shared" si="431"/>
        <v>-232.29996845700012</v>
      </c>
      <c r="F245" s="486">
        <f t="shared" si="431"/>
        <v>143.59934996900012</v>
      </c>
      <c r="G245" s="486">
        <f t="shared" si="431"/>
        <v>81.492242091999941</v>
      </c>
      <c r="H245" s="486">
        <f t="shared" si="431"/>
        <v>-282.00145458899993</v>
      </c>
      <c r="I245" s="486">
        <f t="shared" ref="I245:S245" si="432">I233-I225</f>
        <v>-178.7726311429999</v>
      </c>
      <c r="J245" s="486">
        <f t="shared" si="432"/>
        <v>276.42554620799979</v>
      </c>
      <c r="K245" s="486">
        <f t="shared" si="432"/>
        <v>737.64959923499976</v>
      </c>
      <c r="L245" s="486">
        <f t="shared" si="432"/>
        <v>128.64906762000237</v>
      </c>
      <c r="M245" s="658">
        <f t="shared" si="432"/>
        <v>-1464.1468387900022</v>
      </c>
      <c r="N245" s="486">
        <f t="shared" si="432"/>
        <v>684.20343805385085</v>
      </c>
      <c r="O245" s="486">
        <f t="shared" si="432"/>
        <v>376.81582227214977</v>
      </c>
      <c r="P245" s="486">
        <f t="shared" si="432"/>
        <v>269.7772888821699</v>
      </c>
      <c r="Q245" s="486">
        <f t="shared" si="432"/>
        <v>401.51915058374311</v>
      </c>
      <c r="R245" s="486">
        <f t="shared" si="432"/>
        <v>496.49704406195087</v>
      </c>
      <c r="S245" s="486">
        <f t="shared" si="432"/>
        <v>649.82001723882263</v>
      </c>
      <c r="T245" s="625"/>
      <c r="U245" s="625"/>
      <c r="V245" s="625"/>
      <c r="W245" s="625"/>
      <c r="X245" s="1364"/>
      <c r="AA245" s="625">
        <f t="shared" ref="AA245:AH245" si="433">AA233-AA225</f>
        <v>-446.53696694699988</v>
      </c>
      <c r="AB245" s="625">
        <f t="shared" si="433"/>
        <v>142.54997345699991</v>
      </c>
      <c r="AC245" s="625">
        <f t="shared" si="433"/>
        <v>-212.28125390800008</v>
      </c>
      <c r="AD245" s="1002">
        <f t="shared" si="433"/>
        <v>-160.11450540400011</v>
      </c>
      <c r="AE245" s="625">
        <f t="shared" si="433"/>
        <v>53.089532273000238</v>
      </c>
      <c r="AF245" s="625">
        <f t="shared" si="433"/>
        <v>-161.4896133960001</v>
      </c>
      <c r="AG245" s="625">
        <f t="shared" si="433"/>
        <v>348.97895407300018</v>
      </c>
      <c r="AH245" s="1002">
        <f t="shared" si="433"/>
        <v>35.829525360999902</v>
      </c>
      <c r="AI245" s="625">
        <f t="shared" ref="AI245:AX245" si="434">AI233-AI225</f>
        <v>69.762769615000082</v>
      </c>
      <c r="AJ245" s="625">
        <f t="shared" si="434"/>
        <v>156.85332012599983</v>
      </c>
      <c r="AK245" s="625">
        <f t="shared" si="434"/>
        <v>0.69941854899995803</v>
      </c>
      <c r="AL245" s="1002">
        <f t="shared" si="434"/>
        <v>510.35123884199987</v>
      </c>
      <c r="AM245" s="625">
        <f t="shared" si="434"/>
        <v>-100.41121679799967</v>
      </c>
      <c r="AN245" s="625">
        <f t="shared" si="434"/>
        <v>264.78131476199957</v>
      </c>
      <c r="AO245" s="625">
        <f t="shared" si="434"/>
        <v>-910.68090831199993</v>
      </c>
      <c r="AP245" s="1002">
        <f t="shared" si="434"/>
        <v>875.2781710500002</v>
      </c>
      <c r="AQ245" s="625">
        <f t="shared" si="434"/>
        <v>-1819.0655530909999</v>
      </c>
      <c r="AR245" s="625">
        <f t="shared" si="434"/>
        <v>354.65674954200068</v>
      </c>
      <c r="AS245" s="625">
        <f t="shared" si="434"/>
        <v>-297.70711081900049</v>
      </c>
      <c r="AT245" s="1002">
        <f t="shared" si="434"/>
        <v>297.72597637200022</v>
      </c>
      <c r="AU245" s="625">
        <f t="shared" si="434"/>
        <v>-536.5013501870003</v>
      </c>
      <c r="AV245" s="625">
        <f t="shared" si="434"/>
        <v>466.11036356400007</v>
      </c>
      <c r="AW245" s="625">
        <f t="shared" si="434"/>
        <v>697.43839856300008</v>
      </c>
      <c r="AX245" s="688">
        <f t="shared" si="434"/>
        <v>74.944651108712719</v>
      </c>
    </row>
    <row r="246" spans="1:80" ht="15">
      <c r="A246" s="1128" t="s">
        <v>645</v>
      </c>
      <c r="B246" s="43"/>
      <c r="C246" s="90">
        <f t="shared" ref="C246:S246" si="435">C189</f>
        <v>0</v>
      </c>
      <c r="D246" s="486">
        <f t="shared" si="435"/>
        <v>241.67538224800001</v>
      </c>
      <c r="E246" s="486">
        <f t="shared" si="435"/>
        <v>453.98326474100003</v>
      </c>
      <c r="F246" s="486">
        <f t="shared" si="435"/>
        <v>603.10450639099997</v>
      </c>
      <c r="G246" s="486">
        <f t="shared" si="435"/>
        <v>422.90698452300001</v>
      </c>
      <c r="H246" s="486">
        <f t="shared" si="435"/>
        <v>342.56903368600001</v>
      </c>
      <c r="I246" s="486">
        <f t="shared" si="435"/>
        <v>620.94444701600003</v>
      </c>
      <c r="J246" s="486">
        <f t="shared" si="435"/>
        <v>836.88413476999995</v>
      </c>
      <c r="K246" s="486">
        <f t="shared" si="435"/>
        <v>620.25172500600002</v>
      </c>
      <c r="L246" s="486">
        <f t="shared" si="435"/>
        <v>629.601074208</v>
      </c>
      <c r="M246" s="658">
        <f t="shared" si="435"/>
        <v>1117.227937872</v>
      </c>
      <c r="N246" s="486">
        <f t="shared" si="435"/>
        <v>1914.8263759930001</v>
      </c>
      <c r="O246" s="486">
        <f t="shared" si="435"/>
        <v>2044.1526201003826</v>
      </c>
      <c r="P246" s="486">
        <f t="shared" si="435"/>
        <v>2136.4672238885714</v>
      </c>
      <c r="Q246" s="486">
        <f t="shared" si="435"/>
        <v>2369.1798359273362</v>
      </c>
      <c r="R246" s="486">
        <f t="shared" si="435"/>
        <v>2601.5665573650131</v>
      </c>
      <c r="S246" s="486">
        <f t="shared" si="435"/>
        <v>2766.895493293754</v>
      </c>
      <c r="T246" s="625"/>
      <c r="U246" s="625"/>
      <c r="V246" s="625"/>
      <c r="W246" s="625"/>
      <c r="X246" s="486"/>
      <c r="AA246" s="625">
        <f t="shared" ref="AA246:AH246" si="436">AA189</f>
        <v>0</v>
      </c>
      <c r="AB246" s="625">
        <f t="shared" si="436"/>
        <v>560.92544109300002</v>
      </c>
      <c r="AC246" s="625">
        <f t="shared" si="436"/>
        <v>501.17501431900001</v>
      </c>
      <c r="AD246" s="1002">
        <f t="shared" si="436"/>
        <v>644.61825578499997</v>
      </c>
      <c r="AE246" s="625">
        <f t="shared" si="436"/>
        <v>836.88413476999995</v>
      </c>
      <c r="AF246" s="625">
        <f t="shared" si="436"/>
        <v>809.84537202000001</v>
      </c>
      <c r="AG246" s="625">
        <f t="shared" si="436"/>
        <v>934.32833514000004</v>
      </c>
      <c r="AH246" s="1002">
        <f t="shared" si="436"/>
        <v>594.19351556399999</v>
      </c>
      <c r="AI246" s="625">
        <f t="shared" ref="AI246:AX246" si="437">AI189</f>
        <v>620.25172500600002</v>
      </c>
      <c r="AJ246" s="625">
        <f t="shared" si="437"/>
        <v>510.93424370299999</v>
      </c>
      <c r="AK246" s="625">
        <f t="shared" si="437"/>
        <v>529.06149662999997</v>
      </c>
      <c r="AL246" s="1002">
        <f t="shared" si="437"/>
        <v>474.04531081099998</v>
      </c>
      <c r="AM246" s="625">
        <f t="shared" si="437"/>
        <v>629.601074208</v>
      </c>
      <c r="AN246" s="625">
        <f t="shared" si="437"/>
        <v>675.78344246999995</v>
      </c>
      <c r="AO246" s="625">
        <f t="shared" si="437"/>
        <v>612.01809300299999</v>
      </c>
      <c r="AP246" s="1002">
        <f t="shared" si="437"/>
        <v>1067.3626280650001</v>
      </c>
      <c r="AQ246" s="625">
        <f t="shared" si="437"/>
        <v>1117.227937872</v>
      </c>
      <c r="AR246" s="625">
        <f t="shared" si="437"/>
        <v>1978.9143955049999</v>
      </c>
      <c r="AS246" s="625">
        <f t="shared" si="437"/>
        <v>1243.4153264050001</v>
      </c>
      <c r="AT246" s="1002">
        <f t="shared" si="437"/>
        <v>2372.42427864</v>
      </c>
      <c r="AU246" s="625">
        <f t="shared" si="437"/>
        <v>1914.7463759930001</v>
      </c>
      <c r="AV246" s="625">
        <f t="shared" si="437"/>
        <v>1752.303244014</v>
      </c>
      <c r="AW246" s="625">
        <f t="shared" si="437"/>
        <v>2120.7407170880001</v>
      </c>
      <c r="AX246" s="688">
        <f t="shared" si="437"/>
        <v>2022.13</v>
      </c>
    </row>
    <row r="247" spans="1:80" ht="15">
      <c r="A247" s="1128" t="s">
        <v>646</v>
      </c>
      <c r="C247" s="90">
        <f t="shared" ref="C247:H247" si="438">C225</f>
        <v>0</v>
      </c>
      <c r="D247" s="486">
        <f t="shared" si="438"/>
        <v>212.30788249300002</v>
      </c>
      <c r="E247" s="486">
        <f t="shared" si="438"/>
        <v>149.12124164999994</v>
      </c>
      <c r="F247" s="486">
        <f t="shared" si="438"/>
        <v>-180.19752186799997</v>
      </c>
      <c r="G247" s="486">
        <f t="shared" si="438"/>
        <v>-80.337950836999994</v>
      </c>
      <c r="H247" s="486">
        <f t="shared" si="438"/>
        <v>278.37541333000001</v>
      </c>
      <c r="I247" s="486">
        <f t="shared" ref="I247:S247" si="439">I225</f>
        <v>215.93968775399992</v>
      </c>
      <c r="J247" s="486">
        <f t="shared" si="439"/>
        <v>-216.63240976399993</v>
      </c>
      <c r="K247" s="486">
        <f t="shared" si="439"/>
        <v>9.3493492019999849</v>
      </c>
      <c r="L247" s="486">
        <f t="shared" si="439"/>
        <v>487.62686366399998</v>
      </c>
      <c r="M247" s="658">
        <f t="shared" si="439"/>
        <v>797.59843812100007</v>
      </c>
      <c r="N247" s="486">
        <f t="shared" si="439"/>
        <v>129.32624410738254</v>
      </c>
      <c r="O247" s="486">
        <f t="shared" si="439"/>
        <v>92.314603788188833</v>
      </c>
      <c r="P247" s="486">
        <f t="shared" si="439"/>
        <v>232.71261203876475</v>
      </c>
      <c r="Q247" s="486">
        <f t="shared" si="439"/>
        <v>232.3867214376769</v>
      </c>
      <c r="R247" s="486">
        <f t="shared" si="439"/>
        <v>165.32893592874098</v>
      </c>
      <c r="S247" s="486">
        <f t="shared" si="439"/>
        <v>218.92351447355304</v>
      </c>
      <c r="T247" s="625"/>
      <c r="U247" s="625"/>
      <c r="V247" s="625"/>
      <c r="W247" s="625"/>
      <c r="X247" s="486"/>
      <c r="AA247" s="625">
        <f t="shared" ref="AA247:AH247" si="440">AA225</f>
        <v>560.92544109300002</v>
      </c>
      <c r="AB247" s="625">
        <f t="shared" si="440"/>
        <v>-59.750426774000005</v>
      </c>
      <c r="AC247" s="625">
        <f t="shared" si="440"/>
        <v>143.44324146599996</v>
      </c>
      <c r="AD247" s="1002">
        <f t="shared" si="440"/>
        <v>192.26587898499997</v>
      </c>
      <c r="AE247" s="625">
        <f t="shared" si="440"/>
        <v>-27.038762749999933</v>
      </c>
      <c r="AF247" s="625">
        <f t="shared" si="440"/>
        <v>124.48296312000002</v>
      </c>
      <c r="AG247" s="625">
        <f t="shared" si="440"/>
        <v>-340.13481957600004</v>
      </c>
      <c r="AH247" s="1002">
        <f t="shared" si="440"/>
        <v>26.05820944200002</v>
      </c>
      <c r="AI247" s="625">
        <f t="shared" ref="AI247:AX247" si="441">AI225</f>
        <v>-109.31748130300002</v>
      </c>
      <c r="AJ247" s="625">
        <f t="shared" si="441"/>
        <v>18.127252926999972</v>
      </c>
      <c r="AK247" s="625">
        <f t="shared" si="441"/>
        <v>-55.016185818999986</v>
      </c>
      <c r="AL247" s="1002">
        <f t="shared" si="441"/>
        <v>155.55576339700002</v>
      </c>
      <c r="AM247" s="625">
        <f t="shared" si="441"/>
        <v>46.182368261999954</v>
      </c>
      <c r="AN247" s="625">
        <f t="shared" si="441"/>
        <v>-63.765349466999965</v>
      </c>
      <c r="AO247" s="625">
        <f t="shared" si="441"/>
        <v>455.34453506200009</v>
      </c>
      <c r="AP247" s="1002">
        <f t="shared" si="441"/>
        <v>49.865309806999903</v>
      </c>
      <c r="AQ247" s="625">
        <f t="shared" si="441"/>
        <v>861.68645763299992</v>
      </c>
      <c r="AR247" s="625">
        <f t="shared" si="441"/>
        <v>-735.49906909999982</v>
      </c>
      <c r="AS247" s="625">
        <f t="shared" si="441"/>
        <v>1129.0089522349999</v>
      </c>
      <c r="AT247" s="1002">
        <f t="shared" si="441"/>
        <v>-457.67790264699988</v>
      </c>
      <c r="AU247" s="625">
        <f t="shared" si="441"/>
        <v>-162.4431319790001</v>
      </c>
      <c r="AV247" s="625">
        <f t="shared" si="441"/>
        <v>368.43747307400008</v>
      </c>
      <c r="AW247" s="625">
        <f t="shared" si="441"/>
        <v>-98.610717088000001</v>
      </c>
      <c r="AX247" s="688">
        <f t="shared" si="441"/>
        <v>22.022620100382483</v>
      </c>
    </row>
    <row r="248" spans="1:80" ht="15">
      <c r="A248" s="1128" t="s">
        <v>647</v>
      </c>
      <c r="C248" s="90">
        <f t="shared" ref="C248:H248" si="442">SUM(C246:C247)</f>
        <v>0</v>
      </c>
      <c r="D248" s="486">
        <f t="shared" si="442"/>
        <v>453.98326474100003</v>
      </c>
      <c r="E248" s="486">
        <f t="shared" si="442"/>
        <v>603.10450639099997</v>
      </c>
      <c r="F248" s="486">
        <f t="shared" si="442"/>
        <v>422.90698452300001</v>
      </c>
      <c r="G248" s="486">
        <f t="shared" si="442"/>
        <v>342.56903368600001</v>
      </c>
      <c r="H248" s="486">
        <f t="shared" si="442"/>
        <v>620.94444701600003</v>
      </c>
      <c r="I248" s="486">
        <f t="shared" ref="I248:S248" si="443">SUM(I246:I247)</f>
        <v>836.88413476999995</v>
      </c>
      <c r="J248" s="486">
        <f t="shared" si="443"/>
        <v>620.25172500600002</v>
      </c>
      <c r="K248" s="486">
        <f t="shared" si="443"/>
        <v>629.601074208</v>
      </c>
      <c r="L248" s="486">
        <f t="shared" si="443"/>
        <v>1117.227937872</v>
      </c>
      <c r="M248" s="658">
        <f t="shared" si="443"/>
        <v>1914.8263759930001</v>
      </c>
      <c r="N248" s="486">
        <f t="shared" si="443"/>
        <v>2044.1526201003826</v>
      </c>
      <c r="O248" s="486">
        <f t="shared" si="443"/>
        <v>2136.4672238885714</v>
      </c>
      <c r="P248" s="486">
        <f t="shared" si="443"/>
        <v>2369.1798359273362</v>
      </c>
      <c r="Q248" s="486">
        <f t="shared" si="443"/>
        <v>2601.5665573650131</v>
      </c>
      <c r="R248" s="486">
        <f t="shared" si="443"/>
        <v>2766.895493293754</v>
      </c>
      <c r="S248" s="486">
        <f t="shared" si="443"/>
        <v>2985.8190077673071</v>
      </c>
      <c r="T248" s="625"/>
      <c r="U248" s="625"/>
      <c r="V248" s="625"/>
      <c r="W248" s="625"/>
      <c r="X248" s="486"/>
      <c r="AA248" s="625">
        <f t="shared" ref="AA248:AH248" si="444">SUM(AA246:AA247)</f>
        <v>560.92544109300002</v>
      </c>
      <c r="AB248" s="625">
        <f t="shared" si="444"/>
        <v>501.17501431900001</v>
      </c>
      <c r="AC248" s="625">
        <f t="shared" si="444"/>
        <v>644.61825578499997</v>
      </c>
      <c r="AD248" s="1002">
        <f t="shared" si="444"/>
        <v>836.88413476999995</v>
      </c>
      <c r="AE248" s="625">
        <f t="shared" si="444"/>
        <v>809.84537202000001</v>
      </c>
      <c r="AF248" s="625">
        <f t="shared" si="444"/>
        <v>934.32833514000004</v>
      </c>
      <c r="AG248" s="625">
        <f t="shared" si="444"/>
        <v>594.19351556399999</v>
      </c>
      <c r="AH248" s="1002">
        <f t="shared" si="444"/>
        <v>620.25172500600002</v>
      </c>
      <c r="AI248" s="625">
        <f t="shared" ref="AI248:AX248" si="445">SUM(AI246:AI247)</f>
        <v>510.93424370299999</v>
      </c>
      <c r="AJ248" s="625">
        <f t="shared" si="445"/>
        <v>529.06149662999997</v>
      </c>
      <c r="AK248" s="625">
        <f t="shared" si="445"/>
        <v>474.04531081099998</v>
      </c>
      <c r="AL248" s="1002">
        <f t="shared" si="445"/>
        <v>629.601074208</v>
      </c>
      <c r="AM248" s="625">
        <f t="shared" si="445"/>
        <v>675.78344246999995</v>
      </c>
      <c r="AN248" s="625">
        <f t="shared" si="445"/>
        <v>612.01809300299999</v>
      </c>
      <c r="AO248" s="625">
        <f t="shared" si="445"/>
        <v>1067.3626280650001</v>
      </c>
      <c r="AP248" s="1002">
        <f t="shared" si="445"/>
        <v>1117.227937872</v>
      </c>
      <c r="AQ248" s="625">
        <f t="shared" si="445"/>
        <v>1978.9143955049999</v>
      </c>
      <c r="AR248" s="625">
        <f t="shared" si="445"/>
        <v>1243.4153264050001</v>
      </c>
      <c r="AS248" s="625">
        <f t="shared" si="445"/>
        <v>2372.42427864</v>
      </c>
      <c r="AT248" s="1002">
        <f t="shared" si="445"/>
        <v>1914.7463759930001</v>
      </c>
      <c r="AU248" s="625">
        <f t="shared" si="445"/>
        <v>1752.303244014</v>
      </c>
      <c r="AV248" s="625">
        <f t="shared" si="445"/>
        <v>2120.7407170880001</v>
      </c>
      <c r="AW248" s="625">
        <f t="shared" si="445"/>
        <v>2022.13</v>
      </c>
      <c r="AX248" s="688">
        <f t="shared" si="445"/>
        <v>2044.1526201003826</v>
      </c>
    </row>
  </sheetData>
  <mergeCells count="5">
    <mergeCell ref="X13:X15"/>
    <mergeCell ref="X17:X19"/>
    <mergeCell ref="X76:X77"/>
    <mergeCell ref="X195:X197"/>
    <mergeCell ref="U1:W1"/>
  </mergeCells>
  <hyperlinks>
    <hyperlink ref="X228" r:id="rId1" xr:uid="{FE358934-2F57-4D71-B732-C52F8FD89C76}"/>
  </hyperlinks>
  <printOptions headings="1"/>
  <pageMargins left="0.7" right="0.7" top="0.75" bottom="0.75" header="0.3" footer="0.3"/>
  <pageSetup orientation="portrait" r:id="rId2"/>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3E954-C48D-49D0-8620-3CBAABDA9C0C}">
  <sheetPr>
    <tabColor theme="5" tint="0.39997558519241921"/>
  </sheetPr>
  <dimension ref="A1:CF314"/>
  <sheetViews>
    <sheetView showGridLines="0" zoomScaleNormal="100" workbookViewId="0">
      <pane xSplit="3" ySplit="1" topLeftCell="M2" activePane="bottomRight" state="frozen"/>
      <selection pane="bottomRight" activeCell="N171" sqref="N170:N171"/>
      <selection pane="bottomLeft" activeCell="A2" sqref="A2"/>
      <selection pane="topRight" activeCell="D1" sqref="D1"/>
    </sheetView>
  </sheetViews>
  <sheetFormatPr defaultColWidth="8.85546875" defaultRowHeight="15" outlineLevelRow="1" outlineLevelCol="1"/>
  <cols>
    <col min="1" max="1" width="29.42578125" style="1128" customWidth="1"/>
    <col min="2" max="3" width="8" style="303" customWidth="1"/>
    <col min="4" max="6" width="8" style="303" hidden="1" customWidth="1"/>
    <col min="7" max="8" width="10.140625" style="303" hidden="1" customWidth="1"/>
    <col min="9" max="12" width="10.140625" style="43" customWidth="1"/>
    <col min="13" max="13" width="10.140625" style="1129" customWidth="1"/>
    <col min="14" max="14" width="10.5703125" style="43" customWidth="1"/>
    <col min="15" max="15" width="10.42578125" style="43" customWidth="1"/>
    <col min="16" max="20" width="10.5703125" style="43" customWidth="1"/>
    <col min="21" max="21" width="11.85546875" style="402" customWidth="1"/>
    <col min="22" max="22" width="16.85546875" style="402" bestFit="1" customWidth="1"/>
    <col min="23" max="24" width="11.85546875" style="402" customWidth="1"/>
    <col min="25" max="25" width="13.140625" style="402" customWidth="1"/>
    <col min="26" max="26" width="13" style="43" customWidth="1"/>
    <col min="27" max="27" width="8.5703125" style="43" customWidth="1"/>
    <col min="28" max="29" width="14.5703125" style="43" customWidth="1"/>
    <col min="30" max="32" width="10.42578125" style="43" customWidth="1" outlineLevel="1"/>
    <col min="33" max="33" width="10.42578125" style="1130" customWidth="1" outlineLevel="1"/>
    <col min="34" max="36" width="10.42578125" style="43" customWidth="1" outlineLevel="1"/>
    <col min="37" max="37" width="10.42578125" style="1130" customWidth="1" outlineLevel="1"/>
    <col min="38" max="40" width="10.42578125" style="43" customWidth="1" outlineLevel="1"/>
    <col min="41" max="41" width="10.42578125" style="1130" customWidth="1" outlineLevel="1"/>
    <col min="42" max="44" width="10.42578125" style="43" customWidth="1" outlineLevel="1"/>
    <col min="45" max="45" width="10.42578125" style="1130" customWidth="1" outlineLevel="1"/>
    <col min="46" max="48" width="10.42578125" style="43" customWidth="1"/>
    <col min="49" max="49" width="10.42578125" style="1130" customWidth="1"/>
    <col min="50" max="57" width="10.42578125" style="43" customWidth="1"/>
    <col min="58" max="58" width="9.42578125" style="43" bestFit="1" customWidth="1"/>
    <col min="59" max="60" width="8.85546875" style="43"/>
    <col min="61" max="63" width="11.85546875" style="43" customWidth="1"/>
    <col min="64" max="64" width="11.85546875" style="1130" customWidth="1"/>
    <col min="65" max="67" width="11.85546875" style="43" customWidth="1"/>
    <col min="68" max="68" width="11.85546875" style="1130" customWidth="1"/>
    <col min="69" max="71" width="11.85546875" style="43" customWidth="1"/>
    <col min="72" max="72" width="11.85546875" style="1130" customWidth="1"/>
    <col min="73" max="75" width="11.85546875" style="43" customWidth="1"/>
    <col min="76" max="76" width="11.85546875" style="1130" customWidth="1"/>
    <col min="77" max="79" width="11.85546875" style="43" customWidth="1"/>
    <col min="80" max="80" width="11.85546875" style="1130" customWidth="1"/>
    <col min="81" max="82" width="11.85546875" style="43" customWidth="1"/>
    <col min="83" max="16384" width="8.85546875" style="43"/>
  </cols>
  <sheetData>
    <row r="1" spans="1:84" s="945" customFormat="1">
      <c r="A1" s="1124"/>
      <c r="D1" s="945" t="str">
        <f>'A. FS'!D1</f>
        <v>2013A</v>
      </c>
      <c r="E1" s="945" t="str">
        <f>'A. FS'!E1</f>
        <v>2014A</v>
      </c>
      <c r="F1" s="945" t="str">
        <f>'A. FS'!F1</f>
        <v>2015A</v>
      </c>
      <c r="G1" s="945" t="str">
        <f>'A. FS'!G1</f>
        <v>2016A</v>
      </c>
      <c r="H1" s="945" t="str">
        <f>'A. FS'!H1</f>
        <v>2017A</v>
      </c>
      <c r="I1" s="945" t="str">
        <f>'A. FS'!I1</f>
        <v>2018A</v>
      </c>
      <c r="J1" s="945" t="str">
        <f>'A. FS'!J1</f>
        <v>2019A</v>
      </c>
      <c r="K1" s="945" t="str">
        <f>'A. FS'!K1</f>
        <v>2020A</v>
      </c>
      <c r="L1" s="945" t="str">
        <f>'A. FS'!L1</f>
        <v>2021A</v>
      </c>
      <c r="M1" s="1125" t="str">
        <f>'A. FS'!M1</f>
        <v>2022A</v>
      </c>
      <c r="N1" s="945" t="str">
        <f>'A. FS'!N1</f>
        <v>2023E</v>
      </c>
      <c r="O1" s="945" t="str">
        <f>'A. FS'!O1</f>
        <v>2024E</v>
      </c>
      <c r="P1" s="945" t="str">
        <f>'A. FS'!P1</f>
        <v>2025E</v>
      </c>
      <c r="Q1" s="945" t="str">
        <f>'A. FS'!Q1</f>
        <v>2026E</v>
      </c>
      <c r="R1" s="945" t="str">
        <f>'A. FS'!R1</f>
        <v>2027E</v>
      </c>
      <c r="S1" s="945" t="str">
        <f>'A. FS'!S1</f>
        <v>2028E</v>
      </c>
      <c r="U1" s="1552" t="s">
        <v>648</v>
      </c>
      <c r="V1" s="1552"/>
      <c r="W1" s="1552"/>
      <c r="X1" s="448"/>
      <c r="Y1" s="448"/>
      <c r="AD1" s="945" t="s">
        <v>446</v>
      </c>
      <c r="AE1" s="945" t="s">
        <v>447</v>
      </c>
      <c r="AF1" s="945" t="s">
        <v>448</v>
      </c>
      <c r="AG1" s="1127" t="s">
        <v>449</v>
      </c>
      <c r="AH1" s="945" t="s">
        <v>450</v>
      </c>
      <c r="AI1" s="945" t="s">
        <v>451</v>
      </c>
      <c r="AJ1" s="945" t="s">
        <v>452</v>
      </c>
      <c r="AK1" s="1127" t="s">
        <v>453</v>
      </c>
      <c r="AL1" s="945" t="s">
        <v>454</v>
      </c>
      <c r="AM1" s="945" t="s">
        <v>455</v>
      </c>
      <c r="AN1" s="945" t="s">
        <v>456</v>
      </c>
      <c r="AO1" s="1127" t="s">
        <v>457</v>
      </c>
      <c r="AP1" s="945" t="s">
        <v>458</v>
      </c>
      <c r="AQ1" s="945" t="s">
        <v>459</v>
      </c>
      <c r="AR1" s="945" t="s">
        <v>460</v>
      </c>
      <c r="AS1" s="1127" t="s">
        <v>461</v>
      </c>
      <c r="AT1" s="945" t="s">
        <v>462</v>
      </c>
      <c r="AU1" s="945" t="s">
        <v>463</v>
      </c>
      <c r="AV1" s="945" t="s">
        <v>464</v>
      </c>
      <c r="AW1" s="1127" t="s">
        <v>465</v>
      </c>
      <c r="AX1" s="945" t="s">
        <v>466</v>
      </c>
      <c r="AY1" s="945" t="s">
        <v>467</v>
      </c>
      <c r="AZ1" s="945" t="s">
        <v>649</v>
      </c>
      <c r="BA1" s="945" t="s">
        <v>650</v>
      </c>
      <c r="BH1" s="945" t="s">
        <v>286</v>
      </c>
      <c r="BI1" s="945" t="s">
        <v>446</v>
      </c>
      <c r="BJ1" s="945" t="s">
        <v>447</v>
      </c>
      <c r="BK1" s="945" t="s">
        <v>448</v>
      </c>
      <c r="BL1" s="1127" t="s">
        <v>449</v>
      </c>
      <c r="BM1" s="945" t="s">
        <v>450</v>
      </c>
      <c r="BN1" s="945" t="s">
        <v>451</v>
      </c>
      <c r="BO1" s="945" t="s">
        <v>452</v>
      </c>
      <c r="BP1" s="1127" t="s">
        <v>453</v>
      </c>
      <c r="BQ1" s="945" t="s">
        <v>454</v>
      </c>
      <c r="BR1" s="945" t="s">
        <v>455</v>
      </c>
      <c r="BS1" s="945" t="s">
        <v>456</v>
      </c>
      <c r="BT1" s="1127" t="s">
        <v>457</v>
      </c>
      <c r="BU1" s="945" t="s">
        <v>458</v>
      </c>
      <c r="BV1" s="945" t="s">
        <v>459</v>
      </c>
      <c r="BW1" s="945" t="s">
        <v>460</v>
      </c>
      <c r="BX1" s="1127" t="s">
        <v>461</v>
      </c>
      <c r="BY1" s="945" t="s">
        <v>462</v>
      </c>
      <c r="BZ1" s="945" t="s">
        <v>463</v>
      </c>
      <c r="CA1" s="945" t="s">
        <v>464</v>
      </c>
      <c r="CB1" s="1127" t="s">
        <v>465</v>
      </c>
      <c r="CC1" s="945" t="s">
        <v>466</v>
      </c>
      <c r="CD1" s="945" t="s">
        <v>467</v>
      </c>
      <c r="CF1" s="1127"/>
    </row>
    <row r="2" spans="1:84">
      <c r="M2" s="674">
        <f>(M5/K5)^(1/2)-1</f>
        <v>0.29975786238862212</v>
      </c>
      <c r="U2" s="401"/>
      <c r="V2" s="401" t="s">
        <v>651</v>
      </c>
      <c r="W2" s="401"/>
      <c r="X2" s="587"/>
      <c r="Z2" s="302"/>
      <c r="AA2" s="302"/>
      <c r="AB2" s="302"/>
      <c r="AZ2" s="1131"/>
      <c r="BC2" s="427" t="s">
        <v>73</v>
      </c>
      <c r="BE2" s="1131"/>
    </row>
    <row r="3" spans="1:84" s="397" customFormat="1">
      <c r="A3" s="864" t="s">
        <v>652</v>
      </c>
      <c r="B3" s="403"/>
      <c r="C3" s="403"/>
      <c r="D3" s="403"/>
      <c r="E3" s="404">
        <f t="shared" ref="E3:S3" si="0">E15+E16</f>
        <v>0</v>
      </c>
      <c r="F3" s="404">
        <f t="shared" si="0"/>
        <v>0</v>
      </c>
      <c r="G3" s="404">
        <f t="shared" si="0"/>
        <v>3800</v>
      </c>
      <c r="H3" s="404">
        <f t="shared" si="0"/>
        <v>3820</v>
      </c>
      <c r="I3" s="404">
        <f t="shared" si="0"/>
        <v>5944</v>
      </c>
      <c r="J3" s="404">
        <f t="shared" si="0"/>
        <v>8492</v>
      </c>
      <c r="K3" s="404">
        <f t="shared" si="0"/>
        <v>12535</v>
      </c>
      <c r="L3" s="404">
        <f t="shared" si="0"/>
        <v>20971</v>
      </c>
      <c r="M3" s="838">
        <f t="shared" si="0"/>
        <v>22084.941277369202</v>
      </c>
      <c r="N3" s="404">
        <f t="shared" si="0"/>
        <v>20110.628236709381</v>
      </c>
      <c r="O3" s="404">
        <f>O15+O16</f>
        <v>22950.392951999493</v>
      </c>
      <c r="P3" s="597">
        <f t="shared" si="0"/>
        <v>25996.134851328941</v>
      </c>
      <c r="Q3" s="597">
        <f t="shared" si="0"/>
        <v>28880.512300807575</v>
      </c>
      <c r="R3" s="597">
        <f t="shared" si="0"/>
        <v>32058.410812200782</v>
      </c>
      <c r="S3" s="597">
        <f t="shared" si="0"/>
        <v>35560.360121561112</v>
      </c>
      <c r="T3" s="807"/>
      <c r="U3" s="542">
        <f>(S3/O3)^0.25-1</f>
        <v>0.11569119627698266</v>
      </c>
      <c r="V3" s="406">
        <v>0.11</v>
      </c>
      <c r="W3" s="406"/>
      <c r="X3" s="222"/>
      <c r="AA3" s="406"/>
      <c r="AD3" s="407">
        <f t="shared" ref="AD3:BA3" si="1">SUM(AD4:AD12)</f>
        <v>1265</v>
      </c>
      <c r="AE3" s="407">
        <f t="shared" si="1"/>
        <v>1377</v>
      </c>
      <c r="AF3" s="407">
        <f t="shared" si="1"/>
        <v>1742</v>
      </c>
      <c r="AG3" s="407">
        <f t="shared" si="1"/>
        <v>1560</v>
      </c>
      <c r="AH3" s="407">
        <f t="shared" si="1"/>
        <v>1371</v>
      </c>
      <c r="AI3" s="407">
        <f t="shared" si="1"/>
        <v>2006</v>
      </c>
      <c r="AJ3" s="407">
        <f t="shared" si="1"/>
        <v>2615</v>
      </c>
      <c r="AK3" s="407">
        <f t="shared" si="1"/>
        <v>2500</v>
      </c>
      <c r="AL3" s="407">
        <f t="shared" si="1"/>
        <v>2311</v>
      </c>
      <c r="AM3" s="407">
        <f t="shared" si="1"/>
        <v>2583</v>
      </c>
      <c r="AN3" s="407">
        <f t="shared" si="1"/>
        <v>3624</v>
      </c>
      <c r="AO3" s="407">
        <f t="shared" si="1"/>
        <v>4017</v>
      </c>
      <c r="AP3" s="407">
        <f t="shared" si="1"/>
        <v>5007</v>
      </c>
      <c r="AQ3" s="407">
        <f t="shared" si="1"/>
        <v>4218</v>
      </c>
      <c r="AR3" s="407">
        <f t="shared" si="1"/>
        <v>3825</v>
      </c>
      <c r="AS3" s="407">
        <f t="shared" si="1"/>
        <v>7922</v>
      </c>
      <c r="AT3" s="407">
        <f t="shared" si="1"/>
        <v>7009</v>
      </c>
      <c r="AU3" s="407">
        <f t="shared" si="1"/>
        <v>4910</v>
      </c>
      <c r="AV3" s="407">
        <f t="shared" si="1"/>
        <v>6065</v>
      </c>
      <c r="AW3" s="407">
        <f t="shared" si="1"/>
        <v>4075</v>
      </c>
      <c r="AX3" s="407">
        <f t="shared" si="1"/>
        <v>3960</v>
      </c>
      <c r="AY3" s="407">
        <f t="shared" si="1"/>
        <v>4596</v>
      </c>
      <c r="AZ3" s="407">
        <f t="shared" si="1"/>
        <v>5413</v>
      </c>
      <c r="BA3" s="407">
        <f t="shared" si="1"/>
        <v>6050</v>
      </c>
      <c r="BB3" s="407"/>
      <c r="BC3" s="594">
        <f>SUM(BC4:BC12)</f>
        <v>6141.6282367093845</v>
      </c>
      <c r="BD3" s="407"/>
      <c r="BE3" s="407">
        <f>SUM(BE4:BE12)</f>
        <v>20019</v>
      </c>
      <c r="BF3" s="408">
        <f>BE3/SUM(AT3:AW3)-1</f>
        <v>-9.2479260165918675E-2</v>
      </c>
      <c r="BI3" s="409"/>
      <c r="BJ3" s="409"/>
      <c r="BK3" s="409"/>
      <c r="BL3" s="409">
        <f t="shared" ref="BL3:CD3" si="2">SUM(BL4:BL12)</f>
        <v>5944</v>
      </c>
      <c r="BM3" s="409">
        <f t="shared" si="2"/>
        <v>6050</v>
      </c>
      <c r="BN3" s="409">
        <f t="shared" si="2"/>
        <v>6679</v>
      </c>
      <c r="BO3" s="409">
        <f t="shared" si="2"/>
        <v>7552</v>
      </c>
      <c r="BP3" s="409">
        <f t="shared" si="2"/>
        <v>8492</v>
      </c>
      <c r="BQ3" s="409">
        <f t="shared" si="2"/>
        <v>9432</v>
      </c>
      <c r="BR3" s="409">
        <f t="shared" si="2"/>
        <v>10009</v>
      </c>
      <c r="BS3" s="409">
        <f t="shared" si="2"/>
        <v>11018</v>
      </c>
      <c r="BT3" s="409">
        <f t="shared" si="2"/>
        <v>12535</v>
      </c>
      <c r="BU3" s="409">
        <f t="shared" si="2"/>
        <v>15231</v>
      </c>
      <c r="BV3" s="409">
        <f t="shared" si="2"/>
        <v>16866</v>
      </c>
      <c r="BW3" s="409">
        <f t="shared" si="2"/>
        <v>17067</v>
      </c>
      <c r="BX3" s="409">
        <f t="shared" si="2"/>
        <v>20972</v>
      </c>
      <c r="BY3" s="409">
        <f t="shared" si="2"/>
        <v>22974</v>
      </c>
      <c r="BZ3" s="409">
        <f t="shared" si="2"/>
        <v>23666</v>
      </c>
      <c r="CA3" s="409">
        <f t="shared" si="2"/>
        <v>25906</v>
      </c>
      <c r="CB3" s="409">
        <f t="shared" si="2"/>
        <v>22059</v>
      </c>
      <c r="CC3" s="409">
        <f t="shared" si="2"/>
        <v>19010</v>
      </c>
      <c r="CD3" s="409">
        <f t="shared" si="2"/>
        <v>18696</v>
      </c>
    </row>
    <row r="4" spans="1:84">
      <c r="A4" s="511"/>
      <c r="B4" s="410"/>
      <c r="C4" s="410"/>
      <c r="D4" s="410"/>
      <c r="E4" s="410"/>
      <c r="F4" s="410"/>
      <c r="G4" s="410"/>
      <c r="H4" s="410"/>
      <c r="I4" s="90"/>
      <c r="J4" s="90"/>
      <c r="K4" s="90"/>
      <c r="L4" s="408"/>
      <c r="M4" s="674"/>
      <c r="N4" s="415"/>
      <c r="O4" s="57"/>
      <c r="P4" s="57"/>
      <c r="Q4" s="415"/>
      <c r="R4" s="415"/>
      <c r="S4" s="415"/>
      <c r="T4" s="57"/>
      <c r="U4" s="542"/>
      <c r="V4" s="406"/>
      <c r="W4" s="406"/>
      <c r="X4" s="222"/>
      <c r="AX4" s="411" t="s">
        <v>653</v>
      </c>
      <c r="AY4" s="411" t="s">
        <v>654</v>
      </c>
      <c r="AZ4" s="411" t="s">
        <v>655</v>
      </c>
      <c r="BA4" s="593" t="s">
        <v>656</v>
      </c>
      <c r="BB4" s="592"/>
      <c r="BC4" s="411"/>
      <c r="BD4" s="412"/>
      <c r="BE4" s="413"/>
      <c r="BF4" s="408"/>
    </row>
    <row r="5" spans="1:84">
      <c r="A5" s="1128" t="s">
        <v>63</v>
      </c>
      <c r="G5" s="92">
        <v>1072</v>
      </c>
      <c r="H5" s="92">
        <v>752</v>
      </c>
      <c r="I5" s="90">
        <f t="shared" ref="I5:S5" si="3">I118</f>
        <v>2355.0000000000005</v>
      </c>
      <c r="J5" s="90">
        <f t="shared" si="3"/>
        <v>3896</v>
      </c>
      <c r="K5" s="90">
        <f t="shared" si="3"/>
        <v>6384</v>
      </c>
      <c r="L5" s="90">
        <f t="shared" si="3"/>
        <v>9857</v>
      </c>
      <c r="M5" s="658">
        <f t="shared" si="3"/>
        <v>10784.9412773692</v>
      </c>
      <c r="N5" s="90">
        <f>N118</f>
        <v>8959.6573902906985</v>
      </c>
      <c r="O5" s="90">
        <f t="shared" si="3"/>
        <v>10198.569412308958</v>
      </c>
      <c r="P5" s="486">
        <f t="shared" si="3"/>
        <v>11561.070858302031</v>
      </c>
      <c r="Q5" s="486">
        <f t="shared" si="3"/>
        <v>12556.008934714393</v>
      </c>
      <c r="R5" s="486">
        <f t="shared" si="3"/>
        <v>13620.738804027367</v>
      </c>
      <c r="S5" s="486">
        <f t="shared" si="3"/>
        <v>14760.943300648731</v>
      </c>
      <c r="T5" s="601"/>
      <c r="U5" s="928">
        <f>(S5/O5)^0.25-1</f>
        <v>9.6841095827439272E-2</v>
      </c>
      <c r="V5" s="543">
        <v>0.08</v>
      </c>
      <c r="W5" s="543"/>
      <c r="X5" s="222"/>
      <c r="Z5" s="42"/>
      <c r="AA5" s="57"/>
      <c r="AB5" s="57"/>
      <c r="AC5" s="57"/>
      <c r="AD5" s="1132">
        <v>556</v>
      </c>
      <c r="AE5" s="1132">
        <v>648</v>
      </c>
      <c r="AF5" s="1132">
        <v>564</v>
      </c>
      <c r="AG5" s="1133">
        <v>587</v>
      </c>
      <c r="AH5" s="1132">
        <v>584</v>
      </c>
      <c r="AI5" s="1132">
        <v>967</v>
      </c>
      <c r="AJ5" s="1134">
        <v>1015</v>
      </c>
      <c r="AK5" s="1135">
        <v>1330</v>
      </c>
      <c r="AL5" s="1134">
        <v>1142</v>
      </c>
      <c r="AM5" s="1134">
        <v>1146</v>
      </c>
      <c r="AN5" s="1134">
        <v>1868</v>
      </c>
      <c r="AO5" s="1135">
        <v>2228</v>
      </c>
      <c r="AP5" s="1134">
        <v>2833</v>
      </c>
      <c r="AQ5" s="1134">
        <v>2146</v>
      </c>
      <c r="AR5" s="1134">
        <v>1381</v>
      </c>
      <c r="AS5" s="1135">
        <v>3497</v>
      </c>
      <c r="AT5" s="1134">
        <v>3880</v>
      </c>
      <c r="AU5" s="1134">
        <v>2703</v>
      </c>
      <c r="AV5" s="1134">
        <v>2399</v>
      </c>
      <c r="AW5" s="1135">
        <v>1777</v>
      </c>
      <c r="AX5" s="1134">
        <v>1899</v>
      </c>
      <c r="AY5" s="1134">
        <v>2190</v>
      </c>
      <c r="AZ5" s="1136">
        <v>1774</v>
      </c>
      <c r="BA5" s="1137">
        <v>2870</v>
      </c>
      <c r="BB5" s="1138"/>
      <c r="BC5" s="1139">
        <f>N5-SUM(AX5:AZ5)</f>
        <v>3096.6573902906985</v>
      </c>
      <c r="BD5" s="412"/>
      <c r="BE5" s="415">
        <f>SUM(AX5:BA5)</f>
        <v>8733</v>
      </c>
      <c r="BF5" s="408">
        <f>BE5/SUM(AT5:AW5)-1</f>
        <v>-0.18830746351891436</v>
      </c>
      <c r="BG5" s="43">
        <v>8733</v>
      </c>
      <c r="BI5" s="1132"/>
      <c r="BJ5" s="1132"/>
      <c r="BK5" s="1132"/>
      <c r="BL5" s="1133">
        <f t="shared" ref="BL5:BU12" si="4">SUM(AD5:AG5)</f>
        <v>2355</v>
      </c>
      <c r="BM5" s="1132">
        <f t="shared" si="4"/>
        <v>2383</v>
      </c>
      <c r="BN5" s="1132">
        <f t="shared" si="4"/>
        <v>2702</v>
      </c>
      <c r="BO5" s="1134">
        <f t="shared" si="4"/>
        <v>3153</v>
      </c>
      <c r="BP5" s="1135">
        <f t="shared" si="4"/>
        <v>3896</v>
      </c>
      <c r="BQ5" s="1134">
        <f t="shared" si="4"/>
        <v>4454</v>
      </c>
      <c r="BR5" s="1134">
        <f t="shared" si="4"/>
        <v>4633</v>
      </c>
      <c r="BS5" s="1134">
        <f t="shared" si="4"/>
        <v>5486</v>
      </c>
      <c r="BT5" s="1135">
        <f t="shared" si="4"/>
        <v>6384</v>
      </c>
      <c r="BU5" s="1134">
        <f t="shared" si="4"/>
        <v>8075</v>
      </c>
      <c r="BV5" s="1134">
        <f t="shared" ref="BV5:CD12" si="5">SUM(AN5:AQ5)</f>
        <v>9075</v>
      </c>
      <c r="BW5" s="1134">
        <f t="shared" si="5"/>
        <v>8588</v>
      </c>
      <c r="BX5" s="1135">
        <f t="shared" si="5"/>
        <v>9857</v>
      </c>
      <c r="BY5" s="1134">
        <f t="shared" si="5"/>
        <v>10904</v>
      </c>
      <c r="BZ5" s="1134">
        <f t="shared" si="5"/>
        <v>11461</v>
      </c>
      <c r="CA5" s="1134">
        <f t="shared" si="5"/>
        <v>12479</v>
      </c>
      <c r="CB5" s="1135">
        <f t="shared" si="5"/>
        <v>10759</v>
      </c>
      <c r="CC5" s="1134">
        <f t="shared" si="5"/>
        <v>8778</v>
      </c>
      <c r="CD5" s="1134">
        <f t="shared" si="5"/>
        <v>8265</v>
      </c>
    </row>
    <row r="6" spans="1:84" s="427" customFormat="1" hidden="1" outlineLevel="1">
      <c r="A6" s="865" t="s">
        <v>64</v>
      </c>
      <c r="B6" s="431"/>
      <c r="C6" s="431"/>
      <c r="D6" s="431"/>
      <c r="E6" s="431"/>
      <c r="F6" s="431"/>
      <c r="G6" s="745"/>
      <c r="H6" s="745"/>
      <c r="I6" s="430">
        <f>'C. S&amp;L'!C5</f>
        <v>2200.0000000000005</v>
      </c>
      <c r="J6" s="430">
        <f>'C. S&amp;L'!D5</f>
        <v>3700</v>
      </c>
      <c r="K6" s="430">
        <f>'C. S&amp;L'!E5</f>
        <v>5400</v>
      </c>
      <c r="L6" s="430">
        <f>'C. S&amp;L'!F5</f>
        <v>7200</v>
      </c>
      <c r="M6" s="839">
        <f>'C. S&amp;L'!G5</f>
        <v>6900</v>
      </c>
      <c r="N6" s="430">
        <f>'C. S&amp;L'!H5</f>
        <v>4871.458471290699</v>
      </c>
      <c r="O6" s="430">
        <f>'C. S&amp;L'!I5</f>
        <v>5402.1573388627703</v>
      </c>
      <c r="P6" s="602">
        <f>'C. S&amp;L'!J5</f>
        <v>5886.515609952291</v>
      </c>
      <c r="Q6" s="602">
        <f>'C. S&amp;L'!K5</f>
        <v>5953.3485907451468</v>
      </c>
      <c r="R6" s="602">
        <f>'C. S&amp;L'!L5</f>
        <v>5994.7467921596462</v>
      </c>
      <c r="S6" s="602">
        <f>'C. S&amp;L'!M5</f>
        <v>6016.4678895003162</v>
      </c>
      <c r="T6" s="746"/>
      <c r="U6" s="929">
        <f>(S6/O6)^0.25-1</f>
        <v>2.7291260760947011E-2</v>
      </c>
      <c r="V6" s="747"/>
      <c r="W6" s="747"/>
      <c r="X6" s="748"/>
      <c r="Y6" s="447"/>
      <c r="Z6" s="749"/>
      <c r="AA6" s="428"/>
      <c r="AB6" s="428"/>
      <c r="AC6" s="428"/>
      <c r="AD6" s="1140"/>
      <c r="AE6" s="1140"/>
      <c r="AF6" s="1140"/>
      <c r="AG6" s="1141"/>
      <c r="AH6" s="1140"/>
      <c r="AI6" s="1140"/>
      <c r="AJ6" s="1142"/>
      <c r="AK6" s="1143"/>
      <c r="AL6" s="1142"/>
      <c r="AM6" s="1142"/>
      <c r="AN6" s="1142"/>
      <c r="AO6" s="1143"/>
      <c r="AP6" s="1142"/>
      <c r="AQ6" s="1142"/>
      <c r="AR6" s="1142"/>
      <c r="AS6" s="1143"/>
      <c r="AT6" s="1142"/>
      <c r="AU6" s="1142"/>
      <c r="AV6" s="1142"/>
      <c r="AW6" s="1143"/>
      <c r="AX6" s="1142"/>
      <c r="AY6" s="1142"/>
      <c r="AZ6" s="1139"/>
      <c r="BA6" s="1144"/>
      <c r="BB6" s="1145"/>
      <c r="BC6" s="1139"/>
      <c r="BD6" s="412"/>
      <c r="BE6" s="471"/>
      <c r="BF6" s="94"/>
      <c r="BI6" s="1140"/>
      <c r="BJ6" s="1140"/>
      <c r="BK6" s="1140"/>
      <c r="BL6" s="1141"/>
      <c r="BM6" s="1140"/>
      <c r="BN6" s="1140"/>
      <c r="BO6" s="1142"/>
      <c r="BP6" s="1143"/>
      <c r="BQ6" s="1142"/>
      <c r="BR6" s="1142"/>
      <c r="BS6" s="1142"/>
      <c r="BT6" s="1143"/>
      <c r="BU6" s="1142"/>
      <c r="BV6" s="1142"/>
      <c r="BW6" s="1142"/>
      <c r="BX6" s="1143"/>
      <c r="BY6" s="1142"/>
      <c r="BZ6" s="1142"/>
      <c r="CA6" s="1142"/>
      <c r="CB6" s="1143"/>
      <c r="CC6" s="1142"/>
      <c r="CD6" s="1142"/>
    </row>
    <row r="7" spans="1:84" s="427" customFormat="1" hidden="1" outlineLevel="1">
      <c r="A7" s="865" t="s">
        <v>65</v>
      </c>
      <c r="B7" s="431"/>
      <c r="C7" s="431"/>
      <c r="D7" s="431"/>
      <c r="E7" s="431"/>
      <c r="F7" s="431"/>
      <c r="G7" s="745"/>
      <c r="H7" s="745"/>
      <c r="I7" s="430">
        <f>'C. S&amp;L'!C7</f>
        <v>0</v>
      </c>
      <c r="J7" s="430">
        <f>'C. S&amp;L'!D7</f>
        <v>0</v>
      </c>
      <c r="K7" s="430">
        <f>'C. S&amp;L'!E7</f>
        <v>900</v>
      </c>
      <c r="L7" s="430">
        <f>'C. S&amp;L'!F7</f>
        <v>2600.348306002099</v>
      </c>
      <c r="M7" s="839">
        <f>'C. S&amp;L'!G7</f>
        <v>3825.9412773692002</v>
      </c>
      <c r="N7" s="430">
        <f>'C. S&amp;L'!H7</f>
        <v>3999.6989189999999</v>
      </c>
      <c r="O7" s="430">
        <f>'C. S&amp;L'!I7</f>
        <v>4619.4120734461876</v>
      </c>
      <c r="P7" s="602">
        <f>'C. S&amp;L'!J7</f>
        <v>5444.45524834974</v>
      </c>
      <c r="Q7" s="602">
        <f>'C. S&amp;L'!K7</f>
        <v>6303.530343969247</v>
      </c>
      <c r="R7" s="602">
        <f>'C. S&amp;L'!L7</f>
        <v>7237.1230118677204</v>
      </c>
      <c r="S7" s="602">
        <f>'C. S&amp;L'!M7</f>
        <v>8238.9457111484153</v>
      </c>
      <c r="T7" s="746"/>
      <c r="U7" s="929">
        <f>(S7/O7)^0.25-1</f>
        <v>0.15563645670815851</v>
      </c>
      <c r="V7" s="747"/>
      <c r="W7" s="747"/>
      <c r="X7" s="748"/>
      <c r="Y7" s="447"/>
      <c r="Z7" s="749"/>
      <c r="AA7" s="428"/>
      <c r="AB7" s="428"/>
      <c r="AC7" s="428"/>
      <c r="AD7" s="1140"/>
      <c r="AE7" s="1140"/>
      <c r="AF7" s="1140"/>
      <c r="AG7" s="1141"/>
      <c r="AH7" s="1140"/>
      <c r="AI7" s="1140"/>
      <c r="AJ7" s="1142"/>
      <c r="AK7" s="1143"/>
      <c r="AL7" s="1142"/>
      <c r="AM7" s="1142"/>
      <c r="AN7" s="1142"/>
      <c r="AO7" s="1143"/>
      <c r="AP7" s="1142"/>
      <c r="AQ7" s="1142"/>
      <c r="AR7" s="1142"/>
      <c r="AS7" s="1143"/>
      <c r="AT7" s="1142"/>
      <c r="AU7" s="1142"/>
      <c r="AV7" s="1142"/>
      <c r="AW7" s="1143"/>
      <c r="AX7" s="1142"/>
      <c r="AY7" s="1142"/>
      <c r="AZ7" s="1146"/>
      <c r="BA7" s="1144"/>
      <c r="BB7" s="1145"/>
      <c r="BC7" s="1139"/>
      <c r="BD7" s="412"/>
      <c r="BE7" s="471"/>
      <c r="BF7" s="94"/>
      <c r="BI7" s="1140"/>
      <c r="BJ7" s="1140"/>
      <c r="BK7" s="1140"/>
      <c r="BL7" s="1141"/>
      <c r="BM7" s="1140"/>
      <c r="BN7" s="1140"/>
      <c r="BO7" s="1142"/>
      <c r="BP7" s="1143"/>
      <c r="BQ7" s="1142"/>
      <c r="BR7" s="1142"/>
      <c r="BS7" s="1142"/>
      <c r="BT7" s="1143"/>
      <c r="BU7" s="1142"/>
      <c r="BV7" s="1142"/>
      <c r="BW7" s="1142"/>
      <c r="BX7" s="1143"/>
      <c r="BY7" s="1142"/>
      <c r="BZ7" s="1142"/>
      <c r="CA7" s="1142"/>
      <c r="CB7" s="1143"/>
      <c r="CC7" s="1142"/>
      <c r="CD7" s="1142"/>
    </row>
    <row r="8" spans="1:84" s="427" customFormat="1" hidden="1" outlineLevel="1">
      <c r="A8" s="865" t="s">
        <v>66</v>
      </c>
      <c r="B8" s="431"/>
      <c r="C8" s="431"/>
      <c r="D8" s="431"/>
      <c r="E8" s="431"/>
      <c r="F8" s="431"/>
      <c r="G8" s="745"/>
      <c r="H8" s="745"/>
      <c r="I8" s="430">
        <f>'C. S&amp;L'!C9</f>
        <v>155</v>
      </c>
      <c r="J8" s="430">
        <f>'C. S&amp;L'!D9</f>
        <v>196</v>
      </c>
      <c r="K8" s="430">
        <f>'C. S&amp;L'!E9</f>
        <v>84</v>
      </c>
      <c r="L8" s="430">
        <f>'C. S&amp;L'!F9</f>
        <v>56.65169399790102</v>
      </c>
      <c r="M8" s="839">
        <f>'C. S&amp;L'!G9</f>
        <v>59</v>
      </c>
      <c r="N8" s="430">
        <f>'C. S&amp;L'!H9</f>
        <v>88.5</v>
      </c>
      <c r="O8" s="430">
        <f>'C. S&amp;L'!I9</f>
        <v>177</v>
      </c>
      <c r="P8" s="602">
        <f>'C. S&amp;L'!J9</f>
        <v>230.1</v>
      </c>
      <c r="Q8" s="602">
        <f>'C. S&amp;L'!K9</f>
        <v>299.13</v>
      </c>
      <c r="R8" s="602">
        <f>'C. S&amp;L'!L9</f>
        <v>388.86900000000003</v>
      </c>
      <c r="S8" s="602">
        <f>'C. S&amp;L'!M9</f>
        <v>505.52970000000005</v>
      </c>
      <c r="T8" s="746"/>
      <c r="U8" s="929">
        <f t="shared" ref="U8:U12" si="6">(S8/O8)^0.25-1</f>
        <v>0.30000000000000004</v>
      </c>
      <c r="V8" s="747"/>
      <c r="W8" s="747"/>
      <c r="X8" s="748"/>
      <c r="Y8" s="447"/>
      <c r="Z8" s="749"/>
      <c r="AA8" s="428"/>
      <c r="AB8" s="428"/>
      <c r="AC8" s="428"/>
      <c r="AD8" s="1140"/>
      <c r="AE8" s="1140"/>
      <c r="AF8" s="1140"/>
      <c r="AG8" s="1141"/>
      <c r="AH8" s="1140"/>
      <c r="AI8" s="1140"/>
      <c r="AJ8" s="1142"/>
      <c r="AK8" s="1143"/>
      <c r="AL8" s="1142"/>
      <c r="AM8" s="1142"/>
      <c r="AN8" s="1142"/>
      <c r="AO8" s="1143"/>
      <c r="AP8" s="1142"/>
      <c r="AQ8" s="1142"/>
      <c r="AR8" s="1142"/>
      <c r="AS8" s="1143"/>
      <c r="AT8" s="1142"/>
      <c r="AU8" s="1142"/>
      <c r="AV8" s="1142"/>
      <c r="AW8" s="1143"/>
      <c r="AX8" s="1142"/>
      <c r="AY8" s="1142"/>
      <c r="AZ8" s="1139"/>
      <c r="BA8" s="1144"/>
      <c r="BB8" s="1145"/>
      <c r="BC8" s="1139"/>
      <c r="BD8" s="412"/>
      <c r="BE8" s="471"/>
      <c r="BF8" s="94"/>
      <c r="BI8" s="1140"/>
      <c r="BJ8" s="1140"/>
      <c r="BK8" s="1140"/>
      <c r="BL8" s="1141"/>
      <c r="BM8" s="1140"/>
      <c r="BN8" s="1140"/>
      <c r="BO8" s="1142"/>
      <c r="BP8" s="1143"/>
      <c r="BQ8" s="1142"/>
      <c r="BR8" s="1142"/>
      <c r="BS8" s="1142"/>
      <c r="BT8" s="1143"/>
      <c r="BU8" s="1142"/>
      <c r="BV8" s="1142"/>
      <c r="BW8" s="1142"/>
      <c r="BX8" s="1143"/>
      <c r="BY8" s="1142"/>
      <c r="BZ8" s="1142"/>
      <c r="CA8" s="1142"/>
      <c r="CB8" s="1143"/>
      <c r="CC8" s="1142"/>
      <c r="CD8" s="1142"/>
    </row>
    <row r="9" spans="1:84" collapsed="1">
      <c r="A9" s="1128" t="s">
        <v>101</v>
      </c>
      <c r="G9" s="92">
        <v>2168</v>
      </c>
      <c r="H9" s="92">
        <v>2266</v>
      </c>
      <c r="I9" s="90">
        <f>'C. S&amp;L'!C145</f>
        <v>2402</v>
      </c>
      <c r="J9" s="90">
        <f>'C. S&amp;L'!D145</f>
        <v>2974</v>
      </c>
      <c r="K9" s="90">
        <f>'C. S&amp;L'!E145</f>
        <v>4350</v>
      </c>
      <c r="L9" s="90">
        <f>'C. S&amp;L'!F145</f>
        <v>7899</v>
      </c>
      <c r="M9" s="658">
        <f>'C. S&amp;L'!G145</f>
        <v>7027</v>
      </c>
      <c r="N9" s="90">
        <f>'C. S&amp;L'!H145</f>
        <v>6629.7129714186849</v>
      </c>
      <c r="O9" s="90">
        <f>'C. S&amp;L'!I145</f>
        <v>7332.6300834405311</v>
      </c>
      <c r="P9" s="486">
        <f>'C. S&amp;L'!J145</f>
        <v>7790.086705917538</v>
      </c>
      <c r="Q9" s="486">
        <f>'C. S&amp;L'!K145</f>
        <v>8273.2491699050315</v>
      </c>
      <c r="R9" s="486">
        <f>'C. S&amp;L'!L145</f>
        <v>8782.705104566985</v>
      </c>
      <c r="S9" s="486">
        <f>'C. S&amp;L'!M145</f>
        <v>9319.0348721715236</v>
      </c>
      <c r="T9" s="486"/>
      <c r="U9" s="928">
        <f>(S9/O9)^0.25-1</f>
        <v>6.1763496420909503E-2</v>
      </c>
      <c r="V9" s="543">
        <v>0.12</v>
      </c>
      <c r="W9" s="543"/>
      <c r="X9" s="222" t="str">
        <f>IFERROR(IF((W9/R9)^(1/8)-1&lt;0,"",(W9/R9)^(1/8)-1),"")</f>
        <v/>
      </c>
      <c r="AA9" s="57"/>
      <c r="AB9" s="57"/>
      <c r="AC9" s="57"/>
      <c r="AD9" s="1132">
        <v>463</v>
      </c>
      <c r="AE9" s="1132">
        <v>449</v>
      </c>
      <c r="AF9" s="1132">
        <v>855</v>
      </c>
      <c r="AG9" s="1133">
        <v>635</v>
      </c>
      <c r="AH9" s="1132">
        <v>467</v>
      </c>
      <c r="AI9" s="1132">
        <v>654</v>
      </c>
      <c r="AJ9" s="1134">
        <v>1129</v>
      </c>
      <c r="AK9" s="1133">
        <v>724</v>
      </c>
      <c r="AL9" s="1132">
        <v>791</v>
      </c>
      <c r="AM9" s="1134">
        <v>1080</v>
      </c>
      <c r="AN9" s="1134">
        <v>1280</v>
      </c>
      <c r="AO9" s="1135">
        <v>1199</v>
      </c>
      <c r="AP9" s="1134">
        <v>1375</v>
      </c>
      <c r="AQ9" s="1134">
        <v>1330</v>
      </c>
      <c r="AR9" s="1134">
        <v>1854</v>
      </c>
      <c r="AS9" s="1135">
        <v>3340</v>
      </c>
      <c r="AT9" s="1134">
        <v>2252</v>
      </c>
      <c r="AU9" s="1134">
        <v>1130</v>
      </c>
      <c r="AV9" s="1134">
        <v>2457</v>
      </c>
      <c r="AW9" s="1135">
        <v>1188</v>
      </c>
      <c r="AX9" s="1134">
        <v>1094</v>
      </c>
      <c r="AY9" s="1134">
        <v>1342</v>
      </c>
      <c r="AZ9" s="1136">
        <v>2398</v>
      </c>
      <c r="BA9" s="1137">
        <v>1500</v>
      </c>
      <c r="BB9" s="1136"/>
      <c r="BC9" s="1139">
        <f>N9-SUM(AX9:AZ9)</f>
        <v>1795.7129714186849</v>
      </c>
      <c r="BD9" s="412"/>
      <c r="BE9" s="415">
        <f>SUM(AX9:BA9)</f>
        <v>6334</v>
      </c>
      <c r="BF9" s="408">
        <f>BE9/SUM(AT9:AW9)-1</f>
        <v>-9.8619610075423414E-2</v>
      </c>
      <c r="BG9" s="43">
        <v>5000</v>
      </c>
      <c r="BI9" s="1132"/>
      <c r="BJ9" s="1132"/>
      <c r="BK9" s="1132"/>
      <c r="BL9" s="1133">
        <f t="shared" si="4"/>
        <v>2402</v>
      </c>
      <c r="BM9" s="1132">
        <f t="shared" si="4"/>
        <v>2406</v>
      </c>
      <c r="BN9" s="1132">
        <f t="shared" si="4"/>
        <v>2611</v>
      </c>
      <c r="BO9" s="1134">
        <f t="shared" si="4"/>
        <v>2885</v>
      </c>
      <c r="BP9" s="1133">
        <f t="shared" si="4"/>
        <v>2974</v>
      </c>
      <c r="BQ9" s="1132">
        <f t="shared" si="4"/>
        <v>3298</v>
      </c>
      <c r="BR9" s="1134">
        <f t="shared" si="4"/>
        <v>3724</v>
      </c>
      <c r="BS9" s="1134">
        <f t="shared" si="4"/>
        <v>3875</v>
      </c>
      <c r="BT9" s="1135">
        <f t="shared" si="4"/>
        <v>4350</v>
      </c>
      <c r="BU9" s="1134">
        <f t="shared" si="4"/>
        <v>4934</v>
      </c>
      <c r="BV9" s="1134">
        <f t="shared" si="5"/>
        <v>5184</v>
      </c>
      <c r="BW9" s="1134">
        <f t="shared" si="5"/>
        <v>5758</v>
      </c>
      <c r="BX9" s="1135">
        <f t="shared" si="5"/>
        <v>7899</v>
      </c>
      <c r="BY9" s="1134">
        <f t="shared" si="5"/>
        <v>8776</v>
      </c>
      <c r="BZ9" s="1134">
        <f t="shared" si="5"/>
        <v>8576</v>
      </c>
      <c r="CA9" s="1134">
        <f t="shared" si="5"/>
        <v>9179</v>
      </c>
      <c r="CB9" s="1135">
        <f t="shared" si="5"/>
        <v>7027</v>
      </c>
      <c r="CC9" s="1134">
        <f t="shared" si="5"/>
        <v>5869</v>
      </c>
      <c r="CD9" s="1134">
        <f t="shared" si="5"/>
        <v>6081</v>
      </c>
    </row>
    <row r="10" spans="1:84">
      <c r="A10" s="1128" t="s">
        <v>657</v>
      </c>
      <c r="G10" s="92">
        <v>560</v>
      </c>
      <c r="H10" s="92">
        <v>752</v>
      </c>
      <c r="I10" s="415">
        <f t="shared" ref="I10:R10" si="7">I144</f>
        <v>1111</v>
      </c>
      <c r="J10" s="415">
        <f t="shared" si="7"/>
        <v>1367</v>
      </c>
      <c r="K10" s="415">
        <f t="shared" si="7"/>
        <v>1536</v>
      </c>
      <c r="L10" s="415">
        <f t="shared" si="7"/>
        <v>2616</v>
      </c>
      <c r="M10" s="1147">
        <f t="shared" si="7"/>
        <v>3320</v>
      </c>
      <c r="N10" s="415">
        <f>N144</f>
        <v>3147.36</v>
      </c>
      <c r="O10" s="415">
        <f t="shared" si="7"/>
        <v>3584.2719999999999</v>
      </c>
      <c r="P10" s="415">
        <f t="shared" si="7"/>
        <v>4273.0225999999993</v>
      </c>
      <c r="Q10" s="415">
        <f t="shared" si="7"/>
        <v>5063.7464466666661</v>
      </c>
      <c r="R10" s="415">
        <f t="shared" si="7"/>
        <v>5972.7720654444438</v>
      </c>
      <c r="S10" s="415">
        <f>S144</f>
        <v>7025.7686224055569</v>
      </c>
      <c r="T10" s="57"/>
      <c r="U10" s="928">
        <f>(S10/O10)^0.25-1</f>
        <v>0.1832410302209484</v>
      </c>
      <c r="V10" s="543">
        <v>0.1</v>
      </c>
      <c r="W10" s="543"/>
      <c r="X10" s="222" t="str">
        <f>IFERROR(IF((W10/R10)^(1/8)-1&lt;0,"",(W10/R10)^(1/8)-1),"")</f>
        <v/>
      </c>
      <c r="AA10" s="57"/>
      <c r="AB10" s="57"/>
      <c r="AC10" s="57"/>
      <c r="AD10" s="1132">
        <v>224</v>
      </c>
      <c r="AE10" s="1132">
        <v>260</v>
      </c>
      <c r="AF10" s="1132">
        <v>313</v>
      </c>
      <c r="AG10" s="1133">
        <v>314</v>
      </c>
      <c r="AH10" s="1132">
        <v>267</v>
      </c>
      <c r="AI10" s="1132">
        <v>322</v>
      </c>
      <c r="AJ10" s="1132">
        <v>405</v>
      </c>
      <c r="AK10" s="1133">
        <v>373</v>
      </c>
      <c r="AL10" s="1132">
        <v>315</v>
      </c>
      <c r="AM10" s="1132">
        <v>298</v>
      </c>
      <c r="AN10" s="1132">
        <v>414</v>
      </c>
      <c r="AO10" s="1133">
        <v>509</v>
      </c>
      <c r="AP10" s="1132">
        <v>718</v>
      </c>
      <c r="AQ10" s="1132">
        <v>663</v>
      </c>
      <c r="AR10" s="1132">
        <v>440</v>
      </c>
      <c r="AS10" s="1133">
        <v>923</v>
      </c>
      <c r="AT10" s="1132">
        <v>742</v>
      </c>
      <c r="AU10" s="1132">
        <v>876</v>
      </c>
      <c r="AV10" s="1132">
        <v>908</v>
      </c>
      <c r="AW10" s="1133">
        <v>794</v>
      </c>
      <c r="AX10" s="1132">
        <v>682</v>
      </c>
      <c r="AY10" s="1132">
        <v>728</v>
      </c>
      <c r="AZ10" s="1136">
        <v>907</v>
      </c>
      <c r="BA10" s="1137">
        <v>1200</v>
      </c>
      <c r="BB10" s="1136"/>
      <c r="BC10" s="1139">
        <f>N10-SUM(AX10:AZ10)</f>
        <v>830.36000000000013</v>
      </c>
      <c r="BD10" s="412"/>
      <c r="BE10" s="415">
        <f>SUM(AX10:BA10)</f>
        <v>3517</v>
      </c>
      <c r="BF10" s="408">
        <f>BE10/SUM(AT10:AW10)-1</f>
        <v>5.9337349397590389E-2</v>
      </c>
      <c r="BG10" s="43">
        <v>4000</v>
      </c>
      <c r="BI10" s="1132"/>
      <c r="BJ10" s="1132"/>
      <c r="BK10" s="1132"/>
      <c r="BL10" s="1133">
        <f t="shared" si="4"/>
        <v>1111</v>
      </c>
      <c r="BM10" s="1132">
        <f t="shared" si="4"/>
        <v>1154</v>
      </c>
      <c r="BN10" s="1132">
        <f t="shared" si="4"/>
        <v>1216</v>
      </c>
      <c r="BO10" s="1132">
        <f t="shared" si="4"/>
        <v>1308</v>
      </c>
      <c r="BP10" s="1133">
        <f t="shared" si="4"/>
        <v>1367</v>
      </c>
      <c r="BQ10" s="1132">
        <f t="shared" si="4"/>
        <v>1415</v>
      </c>
      <c r="BR10" s="1132">
        <f t="shared" si="4"/>
        <v>1391</v>
      </c>
      <c r="BS10" s="1132">
        <f t="shared" si="4"/>
        <v>1400</v>
      </c>
      <c r="BT10" s="1133">
        <f t="shared" si="4"/>
        <v>1536</v>
      </c>
      <c r="BU10" s="1132">
        <f t="shared" si="4"/>
        <v>1939</v>
      </c>
      <c r="BV10" s="1132">
        <f t="shared" si="5"/>
        <v>2304</v>
      </c>
      <c r="BW10" s="1132">
        <f t="shared" si="5"/>
        <v>2330</v>
      </c>
      <c r="BX10" s="1133">
        <f t="shared" si="5"/>
        <v>2744</v>
      </c>
      <c r="BY10" s="1132">
        <f t="shared" si="5"/>
        <v>2768</v>
      </c>
      <c r="BZ10" s="1132">
        <f t="shared" si="5"/>
        <v>2981</v>
      </c>
      <c r="CA10" s="1132">
        <f t="shared" si="5"/>
        <v>3449</v>
      </c>
      <c r="CB10" s="1133">
        <f t="shared" si="5"/>
        <v>3320</v>
      </c>
      <c r="CC10" s="1132">
        <f t="shared" si="5"/>
        <v>3260</v>
      </c>
      <c r="CD10" s="1132">
        <f t="shared" si="5"/>
        <v>3112</v>
      </c>
    </row>
    <row r="11" spans="1:84">
      <c r="A11" s="1128" t="s">
        <v>69</v>
      </c>
      <c r="G11" s="92">
        <v>0</v>
      </c>
      <c r="H11" s="92">
        <v>0</v>
      </c>
      <c r="I11" s="415">
        <f t="shared" ref="I11:S11" si="8">I169</f>
        <v>0</v>
      </c>
      <c r="J11" s="415">
        <f t="shared" si="8"/>
        <v>0</v>
      </c>
      <c r="K11" s="415">
        <f t="shared" si="8"/>
        <v>0</v>
      </c>
      <c r="L11" s="415">
        <f t="shared" si="8"/>
        <v>223</v>
      </c>
      <c r="M11" s="1147">
        <f t="shared" si="8"/>
        <v>556</v>
      </c>
      <c r="N11" s="415">
        <f t="shared" si="8"/>
        <v>716.32600000000002</v>
      </c>
      <c r="O11" s="415">
        <f t="shared" si="8"/>
        <v>914.08879999999999</v>
      </c>
      <c r="P11" s="415">
        <f t="shared" si="8"/>
        <v>1135.0329000000002</v>
      </c>
      <c r="Q11" s="415">
        <f t="shared" si="8"/>
        <v>1376.2638024999999</v>
      </c>
      <c r="R11" s="415">
        <f t="shared" si="8"/>
        <v>1633.7188994687499</v>
      </c>
      <c r="S11" s="415">
        <f t="shared" si="8"/>
        <v>1902.4397174351564</v>
      </c>
      <c r="T11" s="415"/>
      <c r="U11" s="928">
        <f>(S11/O11)^0.25-1</f>
        <v>0.20110404376550295</v>
      </c>
      <c r="V11" s="543">
        <v>0.4</v>
      </c>
      <c r="W11" s="543"/>
      <c r="X11" s="222" t="str">
        <f>IFERROR(IF((W11/R11)^(1/8)-1&lt;0,"",(W11/R11)^(1/8)-1),"")</f>
        <v/>
      </c>
      <c r="AA11" s="57"/>
      <c r="AB11" s="57"/>
      <c r="AC11" s="57"/>
      <c r="AD11" s="1132">
        <v>0</v>
      </c>
      <c r="AE11" s="1132">
        <v>0</v>
      </c>
      <c r="AF11" s="1132">
        <v>0</v>
      </c>
      <c r="AG11" s="1133">
        <v>0</v>
      </c>
      <c r="AH11" s="1132">
        <v>0</v>
      </c>
      <c r="AI11" s="1132">
        <v>0</v>
      </c>
      <c r="AJ11" s="1132">
        <v>0</v>
      </c>
      <c r="AK11" s="1133">
        <v>0</v>
      </c>
      <c r="AL11" s="1132">
        <v>0</v>
      </c>
      <c r="AM11" s="1132">
        <v>0</v>
      </c>
      <c r="AN11" s="1132">
        <v>0</v>
      </c>
      <c r="AO11" s="1133">
        <v>0</v>
      </c>
      <c r="AP11" s="1132">
        <v>0</v>
      </c>
      <c r="AQ11" s="1132">
        <v>0</v>
      </c>
      <c r="AR11" s="1132">
        <v>27</v>
      </c>
      <c r="AS11" s="1133">
        <v>69</v>
      </c>
      <c r="AT11" s="1132">
        <v>64</v>
      </c>
      <c r="AU11" s="1132">
        <v>108</v>
      </c>
      <c r="AV11" s="1132">
        <v>205</v>
      </c>
      <c r="AW11" s="1133">
        <v>179</v>
      </c>
      <c r="AX11" s="1132">
        <v>165</v>
      </c>
      <c r="AY11" s="1132">
        <v>166</v>
      </c>
      <c r="AZ11" s="1136">
        <v>163</v>
      </c>
      <c r="BA11" s="1137">
        <v>230</v>
      </c>
      <c r="BB11" s="1136"/>
      <c r="BC11" s="1139">
        <f>N11-SUM(AX11:AZ11)</f>
        <v>222.32600000000002</v>
      </c>
      <c r="BD11" s="412"/>
      <c r="BE11" s="415">
        <f>SUM(AX11:BA11)</f>
        <v>724</v>
      </c>
      <c r="BF11" s="408">
        <f>BE11/SUM(AT11:AW11)-1</f>
        <v>0.30215827338129486</v>
      </c>
      <c r="BH11" s="1148"/>
      <c r="BI11" s="1132"/>
      <c r="BJ11" s="1132"/>
      <c r="BK11" s="1132"/>
      <c r="BL11" s="1133">
        <f t="shared" si="4"/>
        <v>0</v>
      </c>
      <c r="BM11" s="1132">
        <f t="shared" si="4"/>
        <v>0</v>
      </c>
      <c r="BN11" s="1132">
        <f t="shared" si="4"/>
        <v>0</v>
      </c>
      <c r="BO11" s="1132">
        <f t="shared" si="4"/>
        <v>0</v>
      </c>
      <c r="BP11" s="1133">
        <f t="shared" si="4"/>
        <v>0</v>
      </c>
      <c r="BQ11" s="1132">
        <f t="shared" si="4"/>
        <v>0</v>
      </c>
      <c r="BR11" s="1132">
        <f t="shared" si="4"/>
        <v>0</v>
      </c>
      <c r="BS11" s="1132">
        <f t="shared" si="4"/>
        <v>0</v>
      </c>
      <c r="BT11" s="1133">
        <f t="shared" si="4"/>
        <v>0</v>
      </c>
      <c r="BU11" s="1132">
        <f t="shared" si="4"/>
        <v>0</v>
      </c>
      <c r="BV11" s="1132">
        <f t="shared" si="5"/>
        <v>0</v>
      </c>
      <c r="BW11" s="1132">
        <f t="shared" si="5"/>
        <v>27</v>
      </c>
      <c r="BX11" s="1133">
        <f t="shared" si="5"/>
        <v>96</v>
      </c>
      <c r="BY11" s="1132">
        <f t="shared" si="5"/>
        <v>160</v>
      </c>
      <c r="BZ11" s="1132">
        <f t="shared" si="5"/>
        <v>268</v>
      </c>
      <c r="CA11" s="1132">
        <f t="shared" si="5"/>
        <v>446</v>
      </c>
      <c r="CB11" s="1133">
        <f t="shared" si="5"/>
        <v>556</v>
      </c>
      <c r="CC11" s="1132">
        <f t="shared" si="5"/>
        <v>657</v>
      </c>
      <c r="CD11" s="1132">
        <f t="shared" si="5"/>
        <v>715</v>
      </c>
    </row>
    <row r="12" spans="1:84">
      <c r="A12" s="1128" t="s">
        <v>658</v>
      </c>
      <c r="G12" s="92">
        <v>0</v>
      </c>
      <c r="H12" s="92">
        <v>50</v>
      </c>
      <c r="I12" s="415">
        <f>I193+I208</f>
        <v>76</v>
      </c>
      <c r="J12" s="415">
        <f t="shared" ref="J12:S12" si="9">J193+J208</f>
        <v>255</v>
      </c>
      <c r="K12" s="415">
        <f t="shared" si="9"/>
        <v>265</v>
      </c>
      <c r="L12" s="415">
        <f t="shared" si="9"/>
        <v>376</v>
      </c>
      <c r="M12" s="1149">
        <f t="shared" si="9"/>
        <v>397</v>
      </c>
      <c r="N12" s="415">
        <f t="shared" si="9"/>
        <v>657.57187500000009</v>
      </c>
      <c r="O12" s="415">
        <f t="shared" si="9"/>
        <v>920.83265625000001</v>
      </c>
      <c r="P12" s="415">
        <f t="shared" si="9"/>
        <v>1236.9217871093751</v>
      </c>
      <c r="Q12" s="415">
        <f t="shared" si="9"/>
        <v>1611.2439470214845</v>
      </c>
      <c r="R12" s="415">
        <f t="shared" si="9"/>
        <v>2048.4759386932374</v>
      </c>
      <c r="S12" s="415">
        <f t="shared" si="9"/>
        <v>2552.1736089001461</v>
      </c>
      <c r="T12" s="57"/>
      <c r="U12" s="928">
        <f t="shared" si="6"/>
        <v>0.2902752751697717</v>
      </c>
      <c r="V12" s="543">
        <v>0.2</v>
      </c>
      <c r="W12" s="543"/>
      <c r="X12" s="222" t="str">
        <f>IFERROR(IF((W12/R12)^(1/8)-1&lt;0,"",(W12/R12)^(1/8)-1),"")</f>
        <v/>
      </c>
      <c r="AA12" s="57"/>
      <c r="AB12" s="57"/>
      <c r="AC12" s="57"/>
      <c r="AD12" s="1132">
        <v>22</v>
      </c>
      <c r="AE12" s="1132">
        <v>20</v>
      </c>
      <c r="AF12" s="1132">
        <v>10</v>
      </c>
      <c r="AG12" s="1133">
        <v>24</v>
      </c>
      <c r="AH12" s="1132">
        <v>53</v>
      </c>
      <c r="AI12" s="1132">
        <v>63</v>
      </c>
      <c r="AJ12" s="1132">
        <v>66</v>
      </c>
      <c r="AK12" s="1133">
        <v>73</v>
      </c>
      <c r="AL12" s="1132">
        <v>63</v>
      </c>
      <c r="AM12" s="1132">
        <v>59</v>
      </c>
      <c r="AN12" s="1132">
        <v>62</v>
      </c>
      <c r="AO12" s="1133">
        <v>81</v>
      </c>
      <c r="AP12" s="1132">
        <v>81</v>
      </c>
      <c r="AQ12" s="1132">
        <v>79</v>
      </c>
      <c r="AR12" s="1132">
        <v>123</v>
      </c>
      <c r="AS12" s="1133">
        <v>93</v>
      </c>
      <c r="AT12" s="1132">
        <v>71</v>
      </c>
      <c r="AU12" s="1132">
        <v>93</v>
      </c>
      <c r="AV12" s="1132">
        <v>96</v>
      </c>
      <c r="AW12" s="1133">
        <v>137</v>
      </c>
      <c r="AX12" s="1132">
        <v>120</v>
      </c>
      <c r="AY12" s="1132">
        <v>170</v>
      </c>
      <c r="AZ12" s="1136">
        <v>171</v>
      </c>
      <c r="BA12" s="1137">
        <v>250</v>
      </c>
      <c r="BB12" s="1136"/>
      <c r="BC12" s="1139">
        <f>N12-SUM(AX12:AZ12)</f>
        <v>196.57187500000009</v>
      </c>
      <c r="BD12" s="412"/>
      <c r="BE12" s="415">
        <f>SUM(AX12:BA12)</f>
        <v>711</v>
      </c>
      <c r="BF12" s="408">
        <f>BE12/SUM(AT12:AW12)-1</f>
        <v>0.79093198992443314</v>
      </c>
      <c r="BG12" s="43">
        <v>15000</v>
      </c>
      <c r="BH12" s="1148"/>
      <c r="BI12" s="1132"/>
      <c r="BJ12" s="1132"/>
      <c r="BK12" s="1132"/>
      <c r="BL12" s="1133">
        <f t="shared" si="4"/>
        <v>76</v>
      </c>
      <c r="BM12" s="1132">
        <f t="shared" si="4"/>
        <v>107</v>
      </c>
      <c r="BN12" s="1132">
        <f t="shared" si="4"/>
        <v>150</v>
      </c>
      <c r="BO12" s="1132">
        <f t="shared" si="4"/>
        <v>206</v>
      </c>
      <c r="BP12" s="1133">
        <f t="shared" si="4"/>
        <v>255</v>
      </c>
      <c r="BQ12" s="1132">
        <f t="shared" si="4"/>
        <v>265</v>
      </c>
      <c r="BR12" s="1132">
        <f t="shared" si="4"/>
        <v>261</v>
      </c>
      <c r="BS12" s="1132">
        <f t="shared" si="4"/>
        <v>257</v>
      </c>
      <c r="BT12" s="1133">
        <f t="shared" si="4"/>
        <v>265</v>
      </c>
      <c r="BU12" s="1132">
        <f t="shared" si="4"/>
        <v>283</v>
      </c>
      <c r="BV12" s="1132">
        <f t="shared" si="5"/>
        <v>303</v>
      </c>
      <c r="BW12" s="1132">
        <f t="shared" si="5"/>
        <v>364</v>
      </c>
      <c r="BX12" s="1133">
        <f t="shared" si="5"/>
        <v>376</v>
      </c>
      <c r="BY12" s="1132">
        <f t="shared" si="5"/>
        <v>366</v>
      </c>
      <c r="BZ12" s="1132">
        <f t="shared" si="5"/>
        <v>380</v>
      </c>
      <c r="CA12" s="1132">
        <f t="shared" si="5"/>
        <v>353</v>
      </c>
      <c r="CB12" s="1133">
        <f t="shared" si="5"/>
        <v>397</v>
      </c>
      <c r="CC12" s="1132">
        <f t="shared" si="5"/>
        <v>446</v>
      </c>
      <c r="CD12" s="1132">
        <f t="shared" si="5"/>
        <v>523</v>
      </c>
    </row>
    <row r="13" spans="1:84">
      <c r="G13" s="92"/>
      <c r="H13" s="92"/>
      <c r="I13" s="415"/>
      <c r="J13" s="415"/>
      <c r="K13" s="415"/>
      <c r="L13" s="415"/>
      <c r="M13" s="1149"/>
      <c r="N13" s="415"/>
      <c r="T13" s="415"/>
      <c r="U13" s="537"/>
      <c r="V13" s="543"/>
      <c r="W13" s="57"/>
      <c r="X13" s="222" t="str">
        <f>IFERROR(IF((W13/#REF!)^(1/8)-1&lt;0,"",(W13/#REF!)^(1/8)-1),"")</f>
        <v/>
      </c>
      <c r="AA13" s="57"/>
      <c r="AB13" s="57"/>
      <c r="AC13" s="57"/>
      <c r="AD13" s="1132"/>
      <c r="AE13" s="1132"/>
      <c r="AF13" s="1132"/>
      <c r="AG13" s="1133"/>
      <c r="AH13" s="1132"/>
      <c r="AI13" s="1132"/>
      <c r="AJ13" s="1132"/>
      <c r="AK13" s="1133"/>
      <c r="AL13" s="1132"/>
      <c r="AM13" s="1132"/>
      <c r="AN13" s="1132"/>
      <c r="AO13" s="1133"/>
      <c r="AP13" s="1132"/>
      <c r="AQ13" s="1132"/>
      <c r="AR13" s="1132"/>
      <c r="AS13" s="1133"/>
      <c r="AT13" s="1132"/>
      <c r="AU13" s="1132"/>
      <c r="AV13" s="1132"/>
      <c r="AW13" s="1133"/>
      <c r="AX13" s="1132"/>
      <c r="AY13" s="1132"/>
      <c r="AZ13" s="1136"/>
      <c r="BA13" s="1132"/>
      <c r="BB13" s="1132"/>
      <c r="BC13" s="1136"/>
      <c r="BD13" s="412"/>
      <c r="BE13" s="415"/>
      <c r="BF13" s="408"/>
      <c r="BH13" s="1148"/>
      <c r="BI13" s="1132"/>
      <c r="BJ13" s="1132"/>
      <c r="BK13" s="1132"/>
      <c r="BL13" s="1133"/>
      <c r="BM13" s="1132"/>
      <c r="BN13" s="1132"/>
      <c r="BO13" s="1132"/>
      <c r="BP13" s="1133"/>
      <c r="BQ13" s="1132"/>
      <c r="BR13" s="1132"/>
      <c r="BS13" s="1132"/>
      <c r="BT13" s="1133"/>
      <c r="BU13" s="1132"/>
      <c r="BV13" s="1132"/>
      <c r="BW13" s="1132"/>
      <c r="BX13" s="1133"/>
      <c r="BY13" s="1132"/>
      <c r="BZ13" s="1132"/>
      <c r="CA13" s="1132"/>
      <c r="CB13" s="1133"/>
      <c r="CC13" s="1132"/>
      <c r="CD13" s="1132"/>
    </row>
    <row r="14" spans="1:84" s="536" customFormat="1">
      <c r="A14" s="518" t="s">
        <v>659</v>
      </c>
      <c r="I14" s="1018">
        <f t="shared" ref="I14:S14" si="10">SUM(I5,I9)</f>
        <v>4757</v>
      </c>
      <c r="J14" s="1018">
        <f t="shared" si="10"/>
        <v>6870</v>
      </c>
      <c r="K14" s="1018">
        <f t="shared" si="10"/>
        <v>10734</v>
      </c>
      <c r="L14" s="1018">
        <f t="shared" si="10"/>
        <v>17756</v>
      </c>
      <c r="M14" s="1116">
        <f t="shared" si="10"/>
        <v>17811.941277369202</v>
      </c>
      <c r="N14" s="1018">
        <f>SUM(N5,N9)</f>
        <v>15589.370361709383</v>
      </c>
      <c r="O14" s="1018">
        <f t="shared" si="10"/>
        <v>17531.19949574949</v>
      </c>
      <c r="P14" s="1018">
        <f t="shared" si="10"/>
        <v>19351.157564219568</v>
      </c>
      <c r="Q14" s="1018">
        <f t="shared" si="10"/>
        <v>20829.258104619425</v>
      </c>
      <c r="R14" s="1018">
        <f t="shared" si="10"/>
        <v>22403.443908594352</v>
      </c>
      <c r="S14" s="1018">
        <f t="shared" si="10"/>
        <v>24079.978172820254</v>
      </c>
      <c r="U14" s="408">
        <f>(S14/O14)^0.25-1</f>
        <v>8.2582778830916803E-2</v>
      </c>
      <c r="V14" s="537"/>
      <c r="W14" s="537"/>
      <c r="X14" s="222"/>
      <c r="Y14" s="465"/>
      <c r="AG14" s="538"/>
      <c r="AK14" s="538"/>
      <c r="AO14" s="538"/>
      <c r="AS14" s="538"/>
      <c r="AW14" s="538"/>
      <c r="AX14" s="566"/>
      <c r="AY14" s="566"/>
      <c r="AZ14" s="566"/>
      <c r="BA14" s="566"/>
      <c r="BB14" s="539"/>
      <c r="BC14" s="540"/>
      <c r="BD14" s="412"/>
      <c r="BE14" s="540"/>
      <c r="BF14" s="541"/>
      <c r="BG14" s="542"/>
      <c r="BL14" s="538"/>
      <c r="BP14" s="538"/>
      <c r="BT14" s="538"/>
      <c r="BX14" s="538"/>
      <c r="CB14" s="538"/>
    </row>
    <row r="15" spans="1:84" s="397" customFormat="1">
      <c r="A15" s="518" t="s">
        <v>437</v>
      </c>
      <c r="B15" s="459"/>
      <c r="C15" s="459"/>
      <c r="D15" s="459"/>
      <c r="E15" s="461">
        <f>SUM(E5:E9)</f>
        <v>0</v>
      </c>
      <c r="F15" s="461">
        <f>SUM(F5:F9)</f>
        <v>0</v>
      </c>
      <c r="G15" s="461">
        <f t="shared" ref="G15:S15" si="11">SUM(G5,G9,G10)</f>
        <v>3800</v>
      </c>
      <c r="H15" s="461">
        <f t="shared" si="11"/>
        <v>3770</v>
      </c>
      <c r="I15" s="461">
        <f t="shared" si="11"/>
        <v>5868</v>
      </c>
      <c r="J15" s="461">
        <f t="shared" si="11"/>
        <v>8237</v>
      </c>
      <c r="K15" s="461">
        <f t="shared" si="11"/>
        <v>12270</v>
      </c>
      <c r="L15" s="461">
        <f t="shared" si="11"/>
        <v>20372</v>
      </c>
      <c r="M15" s="840">
        <f t="shared" si="11"/>
        <v>21131.941277369202</v>
      </c>
      <c r="N15" s="461">
        <f>SUM(N5,N9,N10)</f>
        <v>18736.730361709382</v>
      </c>
      <c r="O15" s="461">
        <f t="shared" si="11"/>
        <v>21115.471495749491</v>
      </c>
      <c r="P15" s="598">
        <f t="shared" si="11"/>
        <v>23624.180164219568</v>
      </c>
      <c r="Q15" s="598">
        <f t="shared" si="11"/>
        <v>25893.004551286089</v>
      </c>
      <c r="R15" s="598">
        <f t="shared" si="11"/>
        <v>28376.215974038794</v>
      </c>
      <c r="S15" s="598">
        <f t="shared" si="11"/>
        <v>31105.746795225812</v>
      </c>
      <c r="T15" s="598"/>
      <c r="U15" s="408">
        <f>(S15/O15)^0.25-1</f>
        <v>0.10169140761056372</v>
      </c>
      <c r="V15" s="406"/>
      <c r="W15" s="537"/>
      <c r="X15" s="222"/>
      <c r="Y15" s="401"/>
      <c r="AA15" s="406"/>
      <c r="AB15" s="406"/>
      <c r="AC15" s="406"/>
      <c r="AD15" s="1150"/>
      <c r="AE15" s="1150"/>
      <c r="AF15" s="1150"/>
      <c r="AG15" s="1151"/>
      <c r="AH15" s="1150"/>
      <c r="AI15" s="1150"/>
      <c r="AJ15" s="1152"/>
      <c r="AK15" s="1151"/>
      <c r="AL15" s="1150"/>
      <c r="AM15" s="1152"/>
      <c r="AN15" s="1152"/>
      <c r="AO15" s="1153"/>
      <c r="AP15" s="1152"/>
      <c r="AQ15" s="1152"/>
      <c r="AR15" s="1152"/>
      <c r="AS15" s="1153"/>
      <c r="AT15" s="1152"/>
      <c r="AU15" s="1152"/>
      <c r="AV15" s="1152"/>
      <c r="AW15" s="1153"/>
      <c r="AX15" s="1152"/>
      <c r="AY15" s="1152"/>
      <c r="AZ15" s="1154"/>
      <c r="BA15" s="566"/>
      <c r="BB15" s="1152"/>
      <c r="BC15" s="1154"/>
      <c r="BD15" s="412"/>
      <c r="BE15" s="1155"/>
      <c r="BF15" s="417"/>
      <c r="BG15" s="445"/>
      <c r="BI15" s="1150"/>
      <c r="BJ15" s="1150"/>
      <c r="BK15" s="1150"/>
      <c r="BL15" s="1151"/>
      <c r="BM15" s="1150"/>
      <c r="BN15" s="1150"/>
      <c r="BO15" s="1152"/>
      <c r="BP15" s="1151"/>
      <c r="BQ15" s="1150"/>
      <c r="BR15" s="1152"/>
      <c r="BS15" s="1152"/>
      <c r="BT15" s="1153"/>
      <c r="BU15" s="1152"/>
      <c r="BV15" s="1152"/>
      <c r="BW15" s="1152"/>
      <c r="BX15" s="1153"/>
      <c r="BY15" s="1152"/>
      <c r="BZ15" s="1152"/>
      <c r="CA15" s="1152"/>
      <c r="CB15" s="1153"/>
      <c r="CC15" s="1152"/>
      <c r="CD15" s="1152"/>
    </row>
    <row r="16" spans="1:84">
      <c r="A16" s="518" t="s">
        <v>660</v>
      </c>
      <c r="B16" s="410"/>
      <c r="C16" s="410"/>
      <c r="D16" s="410"/>
      <c r="E16" s="461">
        <f>SUM(E10:E12)</f>
        <v>0</v>
      </c>
      <c r="F16" s="461">
        <f>SUM(F10:F12)</f>
        <v>0</v>
      </c>
      <c r="G16" s="461">
        <f t="shared" ref="G16:S16" si="12">SUM(G11:G12)</f>
        <v>0</v>
      </c>
      <c r="H16" s="461">
        <f t="shared" si="12"/>
        <v>50</v>
      </c>
      <c r="I16" s="461">
        <f t="shared" si="12"/>
        <v>76</v>
      </c>
      <c r="J16" s="461">
        <f t="shared" si="12"/>
        <v>255</v>
      </c>
      <c r="K16" s="461">
        <f t="shared" si="12"/>
        <v>265</v>
      </c>
      <c r="L16" s="461">
        <f t="shared" si="12"/>
        <v>599</v>
      </c>
      <c r="M16" s="840">
        <f t="shared" si="12"/>
        <v>953</v>
      </c>
      <c r="N16" s="461">
        <f t="shared" si="12"/>
        <v>1373.8978750000001</v>
      </c>
      <c r="O16" s="461">
        <f>SUM(O11:O12)</f>
        <v>1834.9214562500001</v>
      </c>
      <c r="P16" s="598">
        <f t="shared" si="12"/>
        <v>2371.9546871093753</v>
      </c>
      <c r="Q16" s="598">
        <f t="shared" si="12"/>
        <v>2987.5077495214846</v>
      </c>
      <c r="R16" s="598">
        <f t="shared" si="12"/>
        <v>3682.1948381619873</v>
      </c>
      <c r="S16" s="598">
        <f t="shared" si="12"/>
        <v>4454.6133263353022</v>
      </c>
      <c r="T16" s="598"/>
      <c r="U16" s="408">
        <f>(S16/O16)^0.25-1</f>
        <v>0.24824010849088918</v>
      </c>
      <c r="V16" s="418"/>
      <c r="W16" s="418"/>
      <c r="X16" s="222"/>
      <c r="AW16" s="419"/>
      <c r="AX16" s="408"/>
      <c r="AY16" s="408"/>
      <c r="AZ16" s="408"/>
      <c r="BA16" s="408"/>
      <c r="BD16" s="412"/>
    </row>
    <row r="17" spans="1:82">
      <c r="G17" s="43"/>
      <c r="H17" s="43"/>
      <c r="R17" s="417"/>
      <c r="S17" s="417"/>
      <c r="T17" s="417"/>
      <c r="U17" s="418"/>
      <c r="V17" s="418"/>
      <c r="W17" s="418"/>
      <c r="X17" s="222"/>
      <c r="AV17" s="408">
        <f>SUM(AT3:AV3)</f>
        <v>17984</v>
      </c>
      <c r="AW17" s="419"/>
      <c r="AX17" s="408"/>
      <c r="AY17" s="408"/>
      <c r="AZ17" s="408">
        <f>SUM(AX3:AZ3)</f>
        <v>13969</v>
      </c>
      <c r="BA17" s="408">
        <f>AZ17/AV17-1</f>
        <v>-0.22325400355871883</v>
      </c>
    </row>
    <row r="18" spans="1:82" s="397" customFormat="1">
      <c r="A18" s="866" t="s">
        <v>661</v>
      </c>
      <c r="B18" s="420"/>
      <c r="C18" s="420"/>
      <c r="D18" s="420"/>
      <c r="E18" s="420"/>
      <c r="F18" s="420"/>
      <c r="G18" s="421" t="str">
        <f t="shared" ref="G18:S18" si="13">IFERROR(G3/F3-1,"")</f>
        <v/>
      </c>
      <c r="H18" s="421">
        <f t="shared" si="13"/>
        <v>5.2631578947368585E-3</v>
      </c>
      <c r="I18" s="421">
        <f t="shared" si="13"/>
        <v>0.55602094240837707</v>
      </c>
      <c r="J18" s="421">
        <f t="shared" si="13"/>
        <v>0.42866756393001348</v>
      </c>
      <c r="K18" s="421">
        <f t="shared" si="13"/>
        <v>0.47609514837494116</v>
      </c>
      <c r="L18" s="421">
        <f t="shared" si="13"/>
        <v>0.67299561228560023</v>
      </c>
      <c r="M18" s="845">
        <f t="shared" si="13"/>
        <v>5.3118176404043815E-2</v>
      </c>
      <c r="N18" s="853">
        <f t="shared" si="13"/>
        <v>-8.9396345494607732E-2</v>
      </c>
      <c r="O18" s="853">
        <f t="shared" si="13"/>
        <v>0.14120716080398155</v>
      </c>
      <c r="P18" s="423">
        <f t="shared" si="13"/>
        <v>0.13270979306104191</v>
      </c>
      <c r="Q18" s="423">
        <f t="shared" si="13"/>
        <v>0.11095408859718159</v>
      </c>
      <c r="R18" s="423">
        <f t="shared" si="13"/>
        <v>0.1100360851737503</v>
      </c>
      <c r="S18" s="424">
        <f t="shared" si="13"/>
        <v>0.10923652235523673</v>
      </c>
      <c r="T18" s="435"/>
      <c r="U18" s="410"/>
      <c r="V18" s="410"/>
      <c r="W18" s="520"/>
      <c r="X18" s="222"/>
      <c r="AD18" s="409"/>
      <c r="AE18" s="409"/>
      <c r="AF18" s="409"/>
      <c r="AG18" s="425"/>
      <c r="AH18" s="421">
        <f t="shared" ref="AH18:AZ18" si="14">AH3/AD3-1</f>
        <v>8.3794466403162016E-2</v>
      </c>
      <c r="AI18" s="421">
        <f t="shared" si="14"/>
        <v>0.45679012345679015</v>
      </c>
      <c r="AJ18" s="421">
        <f t="shared" si="14"/>
        <v>0.50114810562571765</v>
      </c>
      <c r="AK18" s="422">
        <f t="shared" si="14"/>
        <v>0.60256410256410264</v>
      </c>
      <c r="AL18" s="421">
        <f t="shared" si="14"/>
        <v>0.68563092633114509</v>
      </c>
      <c r="AM18" s="421">
        <f t="shared" si="14"/>
        <v>0.28763708873379867</v>
      </c>
      <c r="AN18" s="421">
        <f t="shared" si="14"/>
        <v>0.38585086042065009</v>
      </c>
      <c r="AO18" s="422">
        <f t="shared" si="14"/>
        <v>0.60680000000000001</v>
      </c>
      <c r="AP18" s="421">
        <f t="shared" si="14"/>
        <v>1.1665945478147988</v>
      </c>
      <c r="AQ18" s="421">
        <f t="shared" si="14"/>
        <v>0.63298490127758411</v>
      </c>
      <c r="AR18" s="421">
        <f t="shared" si="14"/>
        <v>5.5463576158940375E-2</v>
      </c>
      <c r="AS18" s="422">
        <f t="shared" si="14"/>
        <v>0.97211849639034109</v>
      </c>
      <c r="AT18" s="421">
        <f t="shared" si="14"/>
        <v>0.39984022368683836</v>
      </c>
      <c r="AU18" s="421">
        <f t="shared" si="14"/>
        <v>0.16405879563774306</v>
      </c>
      <c r="AV18" s="421">
        <f t="shared" si="14"/>
        <v>0.58562091503267966</v>
      </c>
      <c r="AW18" s="422">
        <f t="shared" si="14"/>
        <v>-0.48560969452158542</v>
      </c>
      <c r="AX18" s="421">
        <f t="shared" si="14"/>
        <v>-0.43501212726494509</v>
      </c>
      <c r="AY18" s="421">
        <f t="shared" si="14"/>
        <v>-6.3951120162932806E-2</v>
      </c>
      <c r="AZ18" s="421">
        <f t="shared" si="14"/>
        <v>-0.10750206100577087</v>
      </c>
      <c r="BA18" s="421">
        <f>BC3/AW3-1</f>
        <v>0.50714803354831517</v>
      </c>
      <c r="BB18" s="421"/>
      <c r="BC18" s="590"/>
      <c r="BD18" s="590"/>
      <c r="BE18" s="421"/>
      <c r="BI18" s="409"/>
      <c r="BJ18" s="409"/>
      <c r="BK18" s="409"/>
      <c r="BL18" s="425"/>
      <c r="BM18" s="421" t="str">
        <f t="shared" ref="BM18:BV20" si="15">IFERROR(BM3/BI3-1,"")</f>
        <v/>
      </c>
      <c r="BN18" s="421" t="str">
        <f t="shared" si="15"/>
        <v/>
      </c>
      <c r="BO18" s="421" t="str">
        <f t="shared" si="15"/>
        <v/>
      </c>
      <c r="BP18" s="422">
        <f t="shared" si="15"/>
        <v>0.42866756393001348</v>
      </c>
      <c r="BQ18" s="421">
        <f t="shared" si="15"/>
        <v>0.55900826446280982</v>
      </c>
      <c r="BR18" s="421">
        <f t="shared" si="15"/>
        <v>0.49857763138194344</v>
      </c>
      <c r="BS18" s="421">
        <f t="shared" si="15"/>
        <v>0.45895127118644075</v>
      </c>
      <c r="BT18" s="422">
        <f t="shared" si="15"/>
        <v>0.47609514837494116</v>
      </c>
      <c r="BU18" s="421">
        <f t="shared" si="15"/>
        <v>0.61482188295165385</v>
      </c>
      <c r="BV18" s="421">
        <f t="shared" si="15"/>
        <v>0.68508342491757412</v>
      </c>
      <c r="BW18" s="421">
        <f t="shared" ref="BW18:CD20" si="16">IFERROR(BW3/BS3-1,"")</f>
        <v>0.54901070974768551</v>
      </c>
      <c r="BX18" s="422">
        <f t="shared" si="16"/>
        <v>0.67307538891104901</v>
      </c>
      <c r="BY18" s="421">
        <f t="shared" si="16"/>
        <v>0.50837108528658659</v>
      </c>
      <c r="BZ18" s="421">
        <f t="shared" si="16"/>
        <v>0.40317799122494957</v>
      </c>
      <c r="CA18" s="421">
        <f t="shared" si="16"/>
        <v>0.51790004101482401</v>
      </c>
      <c r="CB18" s="422">
        <f t="shared" si="16"/>
        <v>5.1831012778943419E-2</v>
      </c>
      <c r="CC18" s="421">
        <f t="shared" si="16"/>
        <v>-0.17254287455384343</v>
      </c>
      <c r="CD18" s="421">
        <f t="shared" si="16"/>
        <v>-0.21000591565959603</v>
      </c>
    </row>
    <row r="19" spans="1:82" outlineLevel="1">
      <c r="A19" s="867"/>
      <c r="B19" s="426"/>
      <c r="C19" s="426"/>
      <c r="D19" s="426"/>
      <c r="E19" s="426"/>
      <c r="F19" s="426"/>
      <c r="G19" s="427"/>
      <c r="H19" s="427"/>
      <c r="I19" s="427"/>
      <c r="J19" s="427"/>
      <c r="K19" s="427"/>
      <c r="L19" s="427"/>
      <c r="M19" s="670"/>
      <c r="N19" s="427"/>
      <c r="O19" s="471"/>
      <c r="P19" s="471"/>
      <c r="Q19" s="427"/>
      <c r="R19" s="427"/>
      <c r="S19" s="427"/>
      <c r="T19" s="427"/>
      <c r="U19" s="303" t="s">
        <v>170</v>
      </c>
      <c r="V19" s="303"/>
      <c r="W19" s="520"/>
      <c r="X19" s="222"/>
      <c r="AH19" s="428"/>
      <c r="AI19" s="428"/>
      <c r="AJ19" s="428"/>
      <c r="AK19" s="429"/>
      <c r="AL19" s="428"/>
      <c r="AM19" s="428"/>
      <c r="AN19" s="428"/>
      <c r="AO19" s="429"/>
      <c r="AP19" s="428"/>
      <c r="AQ19" s="428"/>
      <c r="AR19" s="428"/>
      <c r="AS19" s="429"/>
      <c r="AT19" s="428"/>
      <c r="AU19" s="428"/>
      <c r="AV19" s="428"/>
      <c r="AW19" s="429"/>
      <c r="AX19" s="428"/>
      <c r="AY19" s="428"/>
      <c r="AZ19" s="428"/>
      <c r="BA19" s="428"/>
      <c r="BB19" s="428"/>
      <c r="BE19" s="428"/>
      <c r="BM19" s="428" t="str">
        <f t="shared" si="15"/>
        <v/>
      </c>
      <c r="BN19" s="428" t="str">
        <f t="shared" si="15"/>
        <v/>
      </c>
      <c r="BO19" s="428" t="str">
        <f t="shared" si="15"/>
        <v/>
      </c>
      <c r="BP19" s="429" t="str">
        <f t="shared" si="15"/>
        <v/>
      </c>
      <c r="BQ19" s="428" t="str">
        <f t="shared" si="15"/>
        <v/>
      </c>
      <c r="BR19" s="428" t="str">
        <f t="shared" si="15"/>
        <v/>
      </c>
      <c r="BS19" s="428" t="str">
        <f t="shared" si="15"/>
        <v/>
      </c>
      <c r="BT19" s="429" t="str">
        <f t="shared" si="15"/>
        <v/>
      </c>
      <c r="BU19" s="428" t="str">
        <f t="shared" si="15"/>
        <v/>
      </c>
      <c r="BV19" s="428" t="str">
        <f t="shared" si="15"/>
        <v/>
      </c>
      <c r="BW19" s="428" t="str">
        <f t="shared" si="16"/>
        <v/>
      </c>
      <c r="BX19" s="429" t="str">
        <f t="shared" si="16"/>
        <v/>
      </c>
      <c r="BY19" s="428" t="str">
        <f t="shared" si="16"/>
        <v/>
      </c>
      <c r="BZ19" s="428" t="str">
        <f t="shared" si="16"/>
        <v/>
      </c>
      <c r="CA19" s="428" t="str">
        <f t="shared" si="16"/>
        <v/>
      </c>
      <c r="CB19" s="429" t="str">
        <f t="shared" si="16"/>
        <v/>
      </c>
      <c r="CC19" s="428" t="str">
        <f t="shared" si="16"/>
        <v/>
      </c>
      <c r="CD19" s="428" t="str">
        <f t="shared" si="16"/>
        <v/>
      </c>
    </row>
    <row r="20" spans="1:82" s="755" customFormat="1" outlineLevel="1">
      <c r="A20" s="868" t="s">
        <v>63</v>
      </c>
      <c r="B20" s="750"/>
      <c r="C20" s="750"/>
      <c r="D20" s="750"/>
      <c r="E20" s="750"/>
      <c r="F20" s="750"/>
      <c r="G20" s="543" t="str">
        <f t="shared" ref="G20:S20" si="17">IFERROR(G5/F5-1,"")</f>
        <v/>
      </c>
      <c r="H20" s="543">
        <f t="shared" si="17"/>
        <v>-0.29850746268656714</v>
      </c>
      <c r="I20" s="543">
        <f t="shared" si="17"/>
        <v>2.1316489361702136</v>
      </c>
      <c r="J20" s="543">
        <f t="shared" si="17"/>
        <v>0.65435244161358774</v>
      </c>
      <c r="K20" s="543">
        <f t="shared" si="17"/>
        <v>0.6386036960985626</v>
      </c>
      <c r="L20" s="543">
        <f t="shared" si="17"/>
        <v>0.54401629072681712</v>
      </c>
      <c r="M20" s="841">
        <f t="shared" si="17"/>
        <v>9.4140334520564029E-2</v>
      </c>
      <c r="N20" s="408">
        <f t="shared" si="17"/>
        <v>-0.16924374830937872</v>
      </c>
      <c r="O20" s="408">
        <f t="shared" si="17"/>
        <v>0.13827671841122302</v>
      </c>
      <c r="P20" s="1016">
        <f t="shared" si="17"/>
        <v>0.13359731065306368</v>
      </c>
      <c r="Q20" s="1016">
        <f t="shared" si="17"/>
        <v>8.6059335558686056E-2</v>
      </c>
      <c r="R20" s="1016">
        <f t="shared" si="17"/>
        <v>8.4798431957884945E-2</v>
      </c>
      <c r="S20" s="1016">
        <f t="shared" si="17"/>
        <v>8.3710914145437521E-2</v>
      </c>
      <c r="T20" s="752"/>
      <c r="U20" s="1069"/>
      <c r="V20" s="750"/>
      <c r="W20" s="750"/>
      <c r="X20" s="754"/>
      <c r="Y20" s="753"/>
      <c r="AG20" s="758"/>
      <c r="AH20" s="543">
        <f t="shared" ref="AH20:AZ20" si="18">AH5/AD5-1</f>
        <v>5.0359712230215736E-2</v>
      </c>
      <c r="AI20" s="543">
        <f t="shared" si="18"/>
        <v>0.49228395061728403</v>
      </c>
      <c r="AJ20" s="543">
        <f t="shared" si="18"/>
        <v>0.79964539007092195</v>
      </c>
      <c r="AK20" s="751">
        <f t="shared" si="18"/>
        <v>1.2657580919931859</v>
      </c>
      <c r="AL20" s="543">
        <f t="shared" si="18"/>
        <v>0.95547945205479445</v>
      </c>
      <c r="AM20" s="543">
        <f t="shared" si="18"/>
        <v>0.18510858324715618</v>
      </c>
      <c r="AN20" s="543">
        <f t="shared" si="18"/>
        <v>0.8403940886699508</v>
      </c>
      <c r="AO20" s="751">
        <f t="shared" si="18"/>
        <v>0.675187969924812</v>
      </c>
      <c r="AP20" s="543">
        <f t="shared" si="18"/>
        <v>1.4807355516637477</v>
      </c>
      <c r="AQ20" s="543">
        <f t="shared" si="18"/>
        <v>0.87260034904013972</v>
      </c>
      <c r="AR20" s="543">
        <f t="shared" si="18"/>
        <v>-0.26070663811563166</v>
      </c>
      <c r="AS20" s="751">
        <f t="shared" si="18"/>
        <v>0.56956912028725304</v>
      </c>
      <c r="AT20" s="543">
        <f t="shared" si="18"/>
        <v>0.36957289092834444</v>
      </c>
      <c r="AU20" s="543">
        <f t="shared" si="18"/>
        <v>0.25955265610438016</v>
      </c>
      <c r="AV20" s="543">
        <f t="shared" si="18"/>
        <v>0.73714699493120928</v>
      </c>
      <c r="AW20" s="751">
        <f t="shared" si="18"/>
        <v>-0.49185015727766657</v>
      </c>
      <c r="AX20" s="543">
        <f t="shared" si="18"/>
        <v>-0.51056701030927831</v>
      </c>
      <c r="AY20" s="543">
        <f t="shared" si="18"/>
        <v>-0.18978912319644836</v>
      </c>
      <c r="AZ20" s="543">
        <f t="shared" si="18"/>
        <v>-0.26052521884118385</v>
      </c>
      <c r="BA20" s="543">
        <f>BC5/AW5-1</f>
        <v>0.74263218361885119</v>
      </c>
      <c r="BB20" s="543"/>
      <c r="BC20" s="759"/>
      <c r="BD20" s="759"/>
      <c r="BE20" s="543"/>
      <c r="BL20" s="758"/>
      <c r="BM20" s="543" t="str">
        <f t="shared" si="15"/>
        <v/>
      </c>
      <c r="BN20" s="543" t="str">
        <f t="shared" si="15"/>
        <v/>
      </c>
      <c r="BO20" s="543" t="str">
        <f t="shared" si="15"/>
        <v/>
      </c>
      <c r="BP20" s="751">
        <f t="shared" si="15"/>
        <v>0.65435244161358819</v>
      </c>
      <c r="BQ20" s="543">
        <f t="shared" si="15"/>
        <v>0.86907259756609312</v>
      </c>
      <c r="BR20" s="543">
        <f t="shared" si="15"/>
        <v>0.71465581051073279</v>
      </c>
      <c r="BS20" s="543">
        <f t="shared" si="15"/>
        <v>0.73993022518236606</v>
      </c>
      <c r="BT20" s="751">
        <f t="shared" si="15"/>
        <v>0.6386036960985626</v>
      </c>
      <c r="BU20" s="543">
        <f t="shared" si="15"/>
        <v>0.81297709923664119</v>
      </c>
      <c r="BV20" s="543">
        <f t="shared" si="15"/>
        <v>0.95877401251888617</v>
      </c>
      <c r="BW20" s="543">
        <f t="shared" si="16"/>
        <v>0.56543930003645637</v>
      </c>
      <c r="BX20" s="751">
        <f t="shared" si="16"/>
        <v>0.54401629072681712</v>
      </c>
      <c r="BY20" s="543">
        <f t="shared" si="16"/>
        <v>0.35034055727554181</v>
      </c>
      <c r="BZ20" s="543">
        <f t="shared" si="16"/>
        <v>0.26292011019283756</v>
      </c>
      <c r="CA20" s="543">
        <f t="shared" si="16"/>
        <v>0.45307405682347457</v>
      </c>
      <c r="CB20" s="751">
        <f t="shared" si="16"/>
        <v>9.1508572588008485E-2</v>
      </c>
      <c r="CC20" s="543">
        <f t="shared" si="16"/>
        <v>-0.19497432134996329</v>
      </c>
      <c r="CD20" s="543">
        <f t="shared" si="16"/>
        <v>-0.27885873832998864</v>
      </c>
    </row>
    <row r="21" spans="1:82" s="755" customFormat="1" outlineLevel="1">
      <c r="A21" s="865" t="s">
        <v>64</v>
      </c>
      <c r="B21" s="750"/>
      <c r="C21" s="750"/>
      <c r="D21" s="750"/>
      <c r="E21" s="750"/>
      <c r="F21" s="750"/>
      <c r="G21" s="543"/>
      <c r="H21" s="543" t="s">
        <v>104</v>
      </c>
      <c r="I21" s="543" t="s">
        <v>104</v>
      </c>
      <c r="J21" s="543">
        <f t="shared" ref="J21:S21" si="19">IFERROR(J6/I6-1,"")</f>
        <v>0.68181818181818143</v>
      </c>
      <c r="K21" s="543">
        <f t="shared" si="19"/>
        <v>0.45945945945945943</v>
      </c>
      <c r="L21" s="543">
        <f t="shared" si="19"/>
        <v>0.33333333333333326</v>
      </c>
      <c r="M21" s="841">
        <f t="shared" si="19"/>
        <v>-4.166666666666663E-2</v>
      </c>
      <c r="N21" s="408">
        <f t="shared" si="19"/>
        <v>-0.29399152589989874</v>
      </c>
      <c r="O21" s="408">
        <f t="shared" si="19"/>
        <v>0.10894044785553958</v>
      </c>
      <c r="P21" s="1016">
        <f t="shared" si="19"/>
        <v>8.9660156250000123E-2</v>
      </c>
      <c r="Q21" s="1016">
        <f t="shared" si="19"/>
        <v>1.1353572337404749E-2</v>
      </c>
      <c r="R21" s="1016">
        <f t="shared" si="19"/>
        <v>6.9537674106394665E-3</v>
      </c>
      <c r="S21" s="1016">
        <f t="shared" si="19"/>
        <v>3.6233552631577126E-3</v>
      </c>
      <c r="T21" s="752"/>
      <c r="U21" s="750"/>
      <c r="V21" s="750">
        <f>(S5/N5)^(0.2)-1</f>
        <v>0.10500575993241856</v>
      </c>
      <c r="W21" s="750"/>
      <c r="X21" s="754"/>
      <c r="Y21" s="753"/>
      <c r="AG21" s="758"/>
      <c r="AH21" s="543"/>
      <c r="AI21" s="543"/>
      <c r="AJ21" s="543"/>
      <c r="AK21" s="751"/>
      <c r="AL21" s="543"/>
      <c r="AM21" s="543"/>
      <c r="AN21" s="543"/>
      <c r="AO21" s="751"/>
      <c r="AP21" s="543"/>
      <c r="AQ21" s="543"/>
      <c r="AR21" s="543"/>
      <c r="AS21" s="751"/>
      <c r="AT21" s="543"/>
      <c r="AU21" s="543"/>
      <c r="AV21" s="543"/>
      <c r="AW21" s="751"/>
      <c r="AX21" s="543"/>
      <c r="AY21" s="543"/>
      <c r="AZ21" s="543"/>
      <c r="BA21" s="543"/>
      <c r="BB21" s="543"/>
      <c r="BC21" s="759"/>
      <c r="BD21" s="759"/>
      <c r="BE21" s="543"/>
      <c r="BL21" s="758"/>
      <c r="BM21" s="543"/>
      <c r="BN21" s="543"/>
      <c r="BO21" s="543"/>
      <c r="BP21" s="751"/>
      <c r="BQ21" s="543"/>
      <c r="BR21" s="543"/>
      <c r="BS21" s="543"/>
      <c r="BT21" s="751"/>
      <c r="BU21" s="543"/>
      <c r="BV21" s="543"/>
      <c r="BW21" s="543"/>
      <c r="BX21" s="751"/>
      <c r="BY21" s="543"/>
      <c r="BZ21" s="543"/>
      <c r="CA21" s="543"/>
      <c r="CB21" s="751"/>
      <c r="CC21" s="543"/>
      <c r="CD21" s="543"/>
    </row>
    <row r="22" spans="1:82" s="755" customFormat="1" outlineLevel="1">
      <c r="A22" s="865" t="s">
        <v>65</v>
      </c>
      <c r="B22" s="750"/>
      <c r="C22" s="750"/>
      <c r="D22" s="750"/>
      <c r="E22" s="750"/>
      <c r="F22" s="750"/>
      <c r="G22" s="543"/>
      <c r="H22" s="543" t="s">
        <v>104</v>
      </c>
      <c r="I22" s="543" t="s">
        <v>104</v>
      </c>
      <c r="J22" s="543" t="s">
        <v>104</v>
      </c>
      <c r="K22" s="543" t="s">
        <v>104</v>
      </c>
      <c r="L22" s="543">
        <f t="shared" ref="L22:S25" si="20">IFERROR(L7/K7-1,"")</f>
        <v>1.8892758955578879</v>
      </c>
      <c r="M22" s="841">
        <f t="shared" si="20"/>
        <v>0.47131877238837561</v>
      </c>
      <c r="N22" s="408">
        <f t="shared" si="20"/>
        <v>4.5415658274368331E-2</v>
      </c>
      <c r="O22" s="408">
        <f t="shared" si="20"/>
        <v>0.15493995098039215</v>
      </c>
      <c r="P22" s="1016">
        <f t="shared" si="20"/>
        <v>0.17860350230414745</v>
      </c>
      <c r="Q22" s="1016">
        <f t="shared" si="20"/>
        <v>0.15778899016203685</v>
      </c>
      <c r="R22" s="1016">
        <f t="shared" si="20"/>
        <v>0.14810631772268157</v>
      </c>
      <c r="S22" s="1016">
        <f t="shared" si="20"/>
        <v>0.13842830882352919</v>
      </c>
      <c r="T22" s="752"/>
      <c r="U22" s="1070"/>
      <c r="V22" s="750"/>
      <c r="W22" s="750"/>
      <c r="X22" s="754"/>
      <c r="Y22" s="753"/>
      <c r="AG22" s="758"/>
      <c r="AH22" s="543"/>
      <c r="AI22" s="543"/>
      <c r="AJ22" s="543"/>
      <c r="AK22" s="751"/>
      <c r="AL22" s="543"/>
      <c r="AM22" s="543"/>
      <c r="AN22" s="543"/>
      <c r="AO22" s="751"/>
      <c r="AP22" s="543"/>
      <c r="AQ22" s="543"/>
      <c r="AR22" s="543"/>
      <c r="AS22" s="751"/>
      <c r="AT22" s="543"/>
      <c r="AU22" s="543"/>
      <c r="AV22" s="543"/>
      <c r="AW22" s="751"/>
      <c r="AX22" s="543"/>
      <c r="AY22" s="543"/>
      <c r="AZ22" s="543"/>
      <c r="BA22" s="543"/>
      <c r="BB22" s="543"/>
      <c r="BC22" s="759"/>
      <c r="BD22" s="759"/>
      <c r="BE22" s="543"/>
      <c r="BL22" s="758"/>
      <c r="BM22" s="543"/>
      <c r="BN22" s="543"/>
      <c r="BO22" s="543"/>
      <c r="BP22" s="751"/>
      <c r="BQ22" s="543"/>
      <c r="BR22" s="543"/>
      <c r="BS22" s="543"/>
      <c r="BT22" s="751"/>
      <c r="BU22" s="543"/>
      <c r="BV22" s="543"/>
      <c r="BW22" s="543"/>
      <c r="BX22" s="751"/>
      <c r="BY22" s="543"/>
      <c r="BZ22" s="543"/>
      <c r="CA22" s="543"/>
      <c r="CB22" s="751"/>
      <c r="CC22" s="543"/>
      <c r="CD22" s="543"/>
    </row>
    <row r="23" spans="1:82" s="755" customFormat="1" outlineLevel="1">
      <c r="A23" s="865" t="s">
        <v>66</v>
      </c>
      <c r="B23" s="750"/>
      <c r="C23" s="750"/>
      <c r="D23" s="750"/>
      <c r="E23" s="750"/>
      <c r="F23" s="750"/>
      <c r="G23" s="543"/>
      <c r="H23" s="543" t="str">
        <f t="shared" ref="H23:K25" si="21">IFERROR(H8/G8-1,"")</f>
        <v/>
      </c>
      <c r="I23" s="543" t="str">
        <f t="shared" si="21"/>
        <v/>
      </c>
      <c r="J23" s="543">
        <f t="shared" si="21"/>
        <v>0.26451612903225796</v>
      </c>
      <c r="K23" s="543">
        <f t="shared" si="21"/>
        <v>-0.5714285714285714</v>
      </c>
      <c r="L23" s="543">
        <f t="shared" si="20"/>
        <v>-0.32557507145355924</v>
      </c>
      <c r="M23" s="841">
        <f t="shared" si="20"/>
        <v>4.1451646656602836E-2</v>
      </c>
      <c r="N23" s="408">
        <f t="shared" si="20"/>
        <v>0.5</v>
      </c>
      <c r="O23" s="408">
        <f t="shared" si="20"/>
        <v>1</v>
      </c>
      <c r="P23" s="1016">
        <f t="shared" si="20"/>
        <v>0.30000000000000004</v>
      </c>
      <c r="Q23" s="1016">
        <f t="shared" si="20"/>
        <v>0.30000000000000004</v>
      </c>
      <c r="R23" s="1016">
        <f t="shared" si="20"/>
        <v>0.30000000000000004</v>
      </c>
      <c r="S23" s="1016">
        <f t="shared" si="20"/>
        <v>0.30000000000000004</v>
      </c>
      <c r="T23" s="752"/>
      <c r="U23" s="1070"/>
      <c r="V23" s="750"/>
      <c r="W23" s="750"/>
      <c r="X23" s="754"/>
      <c r="Y23" s="753"/>
      <c r="AG23" s="758"/>
      <c r="AH23" s="543"/>
      <c r="AI23" s="543"/>
      <c r="AJ23" s="543"/>
      <c r="AK23" s="751"/>
      <c r="AL23" s="543"/>
      <c r="AM23" s="543"/>
      <c r="AN23" s="543"/>
      <c r="AO23" s="751"/>
      <c r="AP23" s="543"/>
      <c r="AQ23" s="543"/>
      <c r="AR23" s="543"/>
      <c r="AS23" s="751"/>
      <c r="AT23" s="543"/>
      <c r="AU23" s="543"/>
      <c r="AV23" s="543"/>
      <c r="AW23" s="751"/>
      <c r="AX23" s="543"/>
      <c r="AY23" s="543"/>
      <c r="AZ23" s="543"/>
      <c r="BA23" s="543"/>
      <c r="BB23" s="543"/>
      <c r="BC23" s="759"/>
      <c r="BD23" s="759"/>
      <c r="BE23" s="543"/>
      <c r="BL23" s="758"/>
      <c r="BM23" s="543"/>
      <c r="BN23" s="543"/>
      <c r="BO23" s="543"/>
      <c r="BP23" s="751"/>
      <c r="BQ23" s="543"/>
      <c r="BR23" s="543"/>
      <c r="BS23" s="543"/>
      <c r="BT23" s="751"/>
      <c r="BU23" s="543"/>
      <c r="BV23" s="543"/>
      <c r="BW23" s="543"/>
      <c r="BX23" s="751"/>
      <c r="BY23" s="543"/>
      <c r="BZ23" s="543"/>
      <c r="CA23" s="543"/>
      <c r="CB23" s="751"/>
      <c r="CC23" s="543"/>
      <c r="CD23" s="543"/>
    </row>
    <row r="24" spans="1:82" s="755" customFormat="1" outlineLevel="1">
      <c r="A24" s="868" t="s">
        <v>67</v>
      </c>
      <c r="B24" s="750"/>
      <c r="C24" s="750"/>
      <c r="D24" s="750"/>
      <c r="E24" s="750"/>
      <c r="F24" s="750"/>
      <c r="G24" s="543" t="str">
        <f>IFERROR(G9/F9-1,"")</f>
        <v/>
      </c>
      <c r="H24" s="543">
        <f t="shared" si="21"/>
        <v>4.5202952029520294E-2</v>
      </c>
      <c r="I24" s="543">
        <f t="shared" si="21"/>
        <v>6.0017652250661913E-2</v>
      </c>
      <c r="J24" s="543">
        <f t="shared" si="21"/>
        <v>0.23813488759367196</v>
      </c>
      <c r="K24" s="543">
        <f t="shared" si="21"/>
        <v>0.46267652992602559</v>
      </c>
      <c r="L24" s="543">
        <f t="shared" si="20"/>
        <v>0.81586206896551716</v>
      </c>
      <c r="M24" s="841">
        <f t="shared" si="20"/>
        <v>-0.11039372072414233</v>
      </c>
      <c r="N24" s="408">
        <f t="shared" si="20"/>
        <v>-5.6537217672024354E-2</v>
      </c>
      <c r="O24" s="408">
        <f t="shared" si="20"/>
        <v>0.10602527063421707</v>
      </c>
      <c r="P24" s="1016">
        <f t="shared" si="20"/>
        <v>6.2386431235648132E-2</v>
      </c>
      <c r="Q24" s="1016">
        <f t="shared" si="20"/>
        <v>6.2022732509571687E-2</v>
      </c>
      <c r="R24" s="1016">
        <f t="shared" si="20"/>
        <v>6.1578700725606339E-2</v>
      </c>
      <c r="S24" s="1016">
        <f t="shared" si="20"/>
        <v>6.1066580423569938E-2</v>
      </c>
      <c r="T24" s="752"/>
      <c r="U24" s="750"/>
      <c r="V24" s="750"/>
      <c r="W24" s="750"/>
      <c r="X24" s="754"/>
      <c r="Y24" s="753"/>
      <c r="AG24" s="758"/>
      <c r="AH24" s="543">
        <f t="shared" ref="AH24:AQ25" si="22">AH9/AD9-1</f>
        <v>8.6393088552916275E-3</v>
      </c>
      <c r="AI24" s="543">
        <f t="shared" si="22"/>
        <v>0.45657015590200456</v>
      </c>
      <c r="AJ24" s="543">
        <f t="shared" si="22"/>
        <v>0.3204678362573099</v>
      </c>
      <c r="AK24" s="751">
        <f t="shared" si="22"/>
        <v>0.14015748031496056</v>
      </c>
      <c r="AL24" s="543">
        <f t="shared" si="22"/>
        <v>0.69379014989293353</v>
      </c>
      <c r="AM24" s="543">
        <f t="shared" si="22"/>
        <v>0.65137614678899092</v>
      </c>
      <c r="AN24" s="543">
        <f t="shared" si="22"/>
        <v>0.13374667847652799</v>
      </c>
      <c r="AO24" s="751">
        <f t="shared" si="22"/>
        <v>0.65607734806629825</v>
      </c>
      <c r="AP24" s="543">
        <f t="shared" si="22"/>
        <v>0.73830594184576492</v>
      </c>
      <c r="AQ24" s="543">
        <f t="shared" si="22"/>
        <v>0.2314814814814814</v>
      </c>
      <c r="AR24" s="543">
        <f t="shared" ref="AR24:AZ25" si="23">AR9/AN9-1</f>
        <v>0.44843750000000004</v>
      </c>
      <c r="AS24" s="751">
        <f t="shared" si="23"/>
        <v>1.7856547122602167</v>
      </c>
      <c r="AT24" s="543">
        <f t="shared" si="23"/>
        <v>0.63781818181818184</v>
      </c>
      <c r="AU24" s="543">
        <f t="shared" si="23"/>
        <v>-0.15037593984962405</v>
      </c>
      <c r="AV24" s="543">
        <f t="shared" si="23"/>
        <v>0.32524271844660202</v>
      </c>
      <c r="AW24" s="751">
        <f t="shared" si="23"/>
        <v>-0.64431137724550891</v>
      </c>
      <c r="AX24" s="543">
        <f t="shared" si="23"/>
        <v>-0.51420959147424505</v>
      </c>
      <c r="AY24" s="543">
        <f t="shared" si="23"/>
        <v>0.18761061946902657</v>
      </c>
      <c r="AZ24" s="543">
        <f t="shared" si="23"/>
        <v>-2.4013024013023965E-2</v>
      </c>
      <c r="BA24" s="543">
        <f>BC9/AW9-1</f>
        <v>0.51154290523458323</v>
      </c>
      <c r="BB24" s="543"/>
      <c r="BC24" s="759"/>
      <c r="BD24" s="759"/>
      <c r="BE24" s="543"/>
      <c r="BL24" s="758"/>
      <c r="BM24" s="543" t="str">
        <f t="shared" ref="BM24:BV25" si="24">IFERROR(BM9/BI9-1,"")</f>
        <v/>
      </c>
      <c r="BN24" s="543" t="str">
        <f t="shared" si="24"/>
        <v/>
      </c>
      <c r="BO24" s="543" t="str">
        <f t="shared" si="24"/>
        <v/>
      </c>
      <c r="BP24" s="751">
        <f t="shared" si="24"/>
        <v>0.23813488759367196</v>
      </c>
      <c r="BQ24" s="543">
        <f t="shared" si="24"/>
        <v>0.37073981712385695</v>
      </c>
      <c r="BR24" s="543">
        <f t="shared" si="24"/>
        <v>0.42627345844504028</v>
      </c>
      <c r="BS24" s="543">
        <f t="shared" si="24"/>
        <v>0.34315424610051992</v>
      </c>
      <c r="BT24" s="751">
        <f t="shared" si="24"/>
        <v>0.46267652992602559</v>
      </c>
      <c r="BU24" s="543">
        <f t="shared" si="24"/>
        <v>0.49605821710127351</v>
      </c>
      <c r="BV24" s="543">
        <f t="shared" si="24"/>
        <v>0.39205155746509135</v>
      </c>
      <c r="BW24" s="543">
        <f t="shared" ref="BW24:CD25" si="25">IFERROR(BW9/BS9-1,"")</f>
        <v>0.48593548387096774</v>
      </c>
      <c r="BX24" s="751">
        <f t="shared" si="25"/>
        <v>0.81586206896551716</v>
      </c>
      <c r="BY24" s="543">
        <f t="shared" si="25"/>
        <v>0.77867855695176336</v>
      </c>
      <c r="BZ24" s="543">
        <f t="shared" si="25"/>
        <v>0.65432098765432101</v>
      </c>
      <c r="CA24" s="543">
        <f t="shared" si="25"/>
        <v>0.59412990621743655</v>
      </c>
      <c r="CB24" s="751">
        <f t="shared" si="25"/>
        <v>-0.11039372072414233</v>
      </c>
      <c r="CC24" s="543">
        <f t="shared" si="25"/>
        <v>-0.33124430264357341</v>
      </c>
      <c r="CD24" s="543">
        <f t="shared" si="25"/>
        <v>-0.29092817164179108</v>
      </c>
    </row>
    <row r="25" spans="1:82" s="755" customFormat="1" outlineLevel="1">
      <c r="A25" s="868" t="s">
        <v>68</v>
      </c>
      <c r="B25" s="750"/>
      <c r="C25" s="750"/>
      <c r="D25" s="750"/>
      <c r="E25" s="750"/>
      <c r="F25" s="750"/>
      <c r="G25" s="543" t="str">
        <f>IFERROR(G10/F10-1,"")</f>
        <v/>
      </c>
      <c r="H25" s="543">
        <f t="shared" si="21"/>
        <v>0.34285714285714275</v>
      </c>
      <c r="I25" s="543">
        <f t="shared" si="21"/>
        <v>0.47739361702127669</v>
      </c>
      <c r="J25" s="543">
        <f t="shared" si="21"/>
        <v>0.23042304230423039</v>
      </c>
      <c r="K25" s="543">
        <f t="shared" si="21"/>
        <v>0.12362838332114112</v>
      </c>
      <c r="L25" s="543">
        <f t="shared" si="20"/>
        <v>0.703125</v>
      </c>
      <c r="M25" s="841">
        <f t="shared" si="20"/>
        <v>0.26911314984709489</v>
      </c>
      <c r="N25" s="408">
        <f t="shared" si="20"/>
        <v>-5.1999999999999935E-2</v>
      </c>
      <c r="O25" s="408">
        <f t="shared" si="20"/>
        <v>0.13881856540084381</v>
      </c>
      <c r="P25" s="1016">
        <f t="shared" si="20"/>
        <v>0.19215913301222654</v>
      </c>
      <c r="Q25" s="1016">
        <f t="shared" si="20"/>
        <v>0.18505023742834092</v>
      </c>
      <c r="R25" s="1016">
        <f t="shared" si="20"/>
        <v>0.17951641701494858</v>
      </c>
      <c r="S25" s="1016">
        <f t="shared" si="20"/>
        <v>0.17629947123769196</v>
      </c>
      <c r="T25" s="752"/>
      <c r="U25" s="753"/>
      <c r="V25" s="753"/>
      <c r="W25" s="753"/>
      <c r="X25" s="754"/>
      <c r="Y25" s="753"/>
      <c r="AG25" s="758"/>
      <c r="AH25" s="543">
        <f t="shared" si="22"/>
        <v>0.19196428571428581</v>
      </c>
      <c r="AI25" s="543">
        <f t="shared" si="22"/>
        <v>0.2384615384615385</v>
      </c>
      <c r="AJ25" s="543">
        <f t="shared" si="22"/>
        <v>0.29392971246006394</v>
      </c>
      <c r="AK25" s="751">
        <f t="shared" si="22"/>
        <v>0.18789808917197459</v>
      </c>
      <c r="AL25" s="543">
        <f t="shared" si="22"/>
        <v>0.1797752808988764</v>
      </c>
      <c r="AM25" s="543">
        <f t="shared" si="22"/>
        <v>-7.4534161490683259E-2</v>
      </c>
      <c r="AN25" s="543">
        <f t="shared" si="22"/>
        <v>2.2222222222222143E-2</v>
      </c>
      <c r="AO25" s="751">
        <f t="shared" si="22"/>
        <v>0.36461126005361932</v>
      </c>
      <c r="AP25" s="543">
        <f t="shared" si="22"/>
        <v>1.2793650793650793</v>
      </c>
      <c r="AQ25" s="543">
        <f t="shared" si="22"/>
        <v>1.2248322147651005</v>
      </c>
      <c r="AR25" s="543">
        <f t="shared" si="23"/>
        <v>6.2801932367149815E-2</v>
      </c>
      <c r="AS25" s="751">
        <f t="shared" si="23"/>
        <v>0.81335952848722992</v>
      </c>
      <c r="AT25" s="543">
        <f t="shared" si="23"/>
        <v>3.3426183844011081E-2</v>
      </c>
      <c r="AU25" s="543">
        <f t="shared" si="23"/>
        <v>0.32126696832579182</v>
      </c>
      <c r="AV25" s="543">
        <f t="shared" si="23"/>
        <v>1.0636363636363635</v>
      </c>
      <c r="AW25" s="751">
        <f t="shared" si="23"/>
        <v>-0.13976164680390035</v>
      </c>
      <c r="AX25" s="543">
        <f t="shared" si="23"/>
        <v>-8.0862533692722338E-2</v>
      </c>
      <c r="AY25" s="543">
        <f t="shared" si="23"/>
        <v>-0.16894977168949776</v>
      </c>
      <c r="AZ25" s="543">
        <f t="shared" si="23"/>
        <v>-1.1013215859030367E-3</v>
      </c>
      <c r="BA25" s="543">
        <f>BC10/AW10-1</f>
        <v>4.5793450881612241E-2</v>
      </c>
      <c r="BB25" s="543"/>
      <c r="BC25" s="759"/>
      <c r="BD25" s="759"/>
      <c r="BE25" s="543"/>
      <c r="BL25" s="758"/>
      <c r="BM25" s="543" t="str">
        <f t="shared" si="24"/>
        <v/>
      </c>
      <c r="BN25" s="543" t="str">
        <f t="shared" si="24"/>
        <v/>
      </c>
      <c r="BO25" s="543" t="str">
        <f t="shared" si="24"/>
        <v/>
      </c>
      <c r="BP25" s="751">
        <f t="shared" si="24"/>
        <v>0.23042304230423039</v>
      </c>
      <c r="BQ25" s="543">
        <f t="shared" si="24"/>
        <v>0.22616984402079732</v>
      </c>
      <c r="BR25" s="543">
        <f t="shared" si="24"/>
        <v>0.14391447368421062</v>
      </c>
      <c r="BS25" s="543">
        <f t="shared" si="24"/>
        <v>7.0336391437308965E-2</v>
      </c>
      <c r="BT25" s="751">
        <f t="shared" si="24"/>
        <v>0.12362838332114112</v>
      </c>
      <c r="BU25" s="543">
        <f t="shared" si="24"/>
        <v>0.37031802120141344</v>
      </c>
      <c r="BV25" s="543">
        <f t="shared" si="24"/>
        <v>0.65636232925952553</v>
      </c>
      <c r="BW25" s="543">
        <f t="shared" si="25"/>
        <v>0.66428571428571437</v>
      </c>
      <c r="BX25" s="751">
        <f t="shared" si="25"/>
        <v>0.78645833333333326</v>
      </c>
      <c r="BY25" s="543">
        <f t="shared" si="25"/>
        <v>0.4275399690562145</v>
      </c>
      <c r="BZ25" s="543">
        <f t="shared" si="25"/>
        <v>0.29383680555555558</v>
      </c>
      <c r="CA25" s="543">
        <f t="shared" si="25"/>
        <v>0.48025751072961365</v>
      </c>
      <c r="CB25" s="751">
        <f t="shared" si="25"/>
        <v>0.20991253644314867</v>
      </c>
      <c r="CC25" s="543">
        <f t="shared" si="25"/>
        <v>0.17774566473988429</v>
      </c>
      <c r="CD25" s="543">
        <f t="shared" si="25"/>
        <v>4.3944984904394468E-2</v>
      </c>
    </row>
    <row r="26" spans="1:82" s="755" customFormat="1" outlineLevel="1">
      <c r="A26" s="868" t="s">
        <v>69</v>
      </c>
      <c r="B26" s="750"/>
      <c r="C26" s="750"/>
      <c r="D26" s="750"/>
      <c r="E26" s="750"/>
      <c r="F26" s="750"/>
      <c r="G26" s="543" t="str">
        <f>IFERROR(G11/F11-1,"")</f>
        <v/>
      </c>
      <c r="H26" s="543" t="s">
        <v>104</v>
      </c>
      <c r="I26" s="543" t="s">
        <v>104</v>
      </c>
      <c r="J26" s="543" t="s">
        <v>104</v>
      </c>
      <c r="K26" s="543" t="s">
        <v>104</v>
      </c>
      <c r="L26" s="543" t="s">
        <v>104</v>
      </c>
      <c r="M26" s="841">
        <f t="shared" ref="M26:S26" si="26">IFERROR(M11/L11-1,"")</f>
        <v>1.493273542600897</v>
      </c>
      <c r="N26" s="408">
        <f t="shared" si="26"/>
        <v>0.2883561151079137</v>
      </c>
      <c r="O26" s="408">
        <f t="shared" si="26"/>
        <v>0.27607932701032767</v>
      </c>
      <c r="P26" s="1016">
        <f t="shared" si="26"/>
        <v>0.2417096675946584</v>
      </c>
      <c r="Q26" s="1016">
        <f t="shared" si="26"/>
        <v>0.21253207946659503</v>
      </c>
      <c r="R26" s="1016">
        <f t="shared" si="26"/>
        <v>0.1870681307617621</v>
      </c>
      <c r="S26" s="1016">
        <f t="shared" si="26"/>
        <v>0.16448412150571845</v>
      </c>
      <c r="T26" s="752"/>
      <c r="U26" s="753"/>
      <c r="V26" s="753"/>
      <c r="W26" s="753"/>
      <c r="X26" s="754"/>
      <c r="Y26" s="753"/>
      <c r="AG26" s="758"/>
      <c r="AH26" s="543" t="str">
        <f t="shared" ref="AH26:AY26" si="27">IFERROR(AH11/AD11-1,"")</f>
        <v/>
      </c>
      <c r="AI26" s="543" t="str">
        <f t="shared" si="27"/>
        <v/>
      </c>
      <c r="AJ26" s="543" t="str">
        <f t="shared" si="27"/>
        <v/>
      </c>
      <c r="AK26" s="751" t="str">
        <f t="shared" si="27"/>
        <v/>
      </c>
      <c r="AL26" s="543" t="str">
        <f t="shared" si="27"/>
        <v/>
      </c>
      <c r="AM26" s="543" t="str">
        <f t="shared" si="27"/>
        <v/>
      </c>
      <c r="AN26" s="543" t="str">
        <f t="shared" si="27"/>
        <v/>
      </c>
      <c r="AO26" s="751" t="str">
        <f t="shared" si="27"/>
        <v/>
      </c>
      <c r="AP26" s="543" t="str">
        <f t="shared" si="27"/>
        <v/>
      </c>
      <c r="AQ26" s="543" t="str">
        <f t="shared" si="27"/>
        <v/>
      </c>
      <c r="AR26" s="543" t="str">
        <f t="shared" si="27"/>
        <v/>
      </c>
      <c r="AS26" s="751" t="str">
        <f t="shared" si="27"/>
        <v/>
      </c>
      <c r="AT26" s="543" t="str">
        <f t="shared" si="27"/>
        <v/>
      </c>
      <c r="AU26" s="543" t="str">
        <f t="shared" si="27"/>
        <v/>
      </c>
      <c r="AV26" s="543">
        <f t="shared" si="27"/>
        <v>6.5925925925925926</v>
      </c>
      <c r="AW26" s="751">
        <f t="shared" si="27"/>
        <v>1.5942028985507246</v>
      </c>
      <c r="AX26" s="543">
        <f t="shared" si="27"/>
        <v>1.578125</v>
      </c>
      <c r="AY26" s="543">
        <f t="shared" si="27"/>
        <v>0.53703703703703698</v>
      </c>
      <c r="AZ26" s="543">
        <f>IFERROR(AZ11/AV11-1,"")</f>
        <v>-0.20487804878048776</v>
      </c>
      <c r="BA26" s="543">
        <f>IFERROR(BC11/AW11-1,"")</f>
        <v>0.24204469273743023</v>
      </c>
      <c r="BB26" s="543"/>
      <c r="BC26" s="759"/>
      <c r="BD26" s="759"/>
      <c r="BE26" s="543"/>
      <c r="BL26" s="758"/>
      <c r="BM26" s="543" t="str">
        <f t="shared" ref="BM26:BV26" si="28">IFERROR(BM11/BI11-1,"")</f>
        <v/>
      </c>
      <c r="BN26" s="543" t="str">
        <f t="shared" si="28"/>
        <v/>
      </c>
      <c r="BO26" s="543" t="str">
        <f t="shared" si="28"/>
        <v/>
      </c>
      <c r="BP26" s="751" t="str">
        <f t="shared" si="28"/>
        <v/>
      </c>
      <c r="BQ26" s="543" t="str">
        <f t="shared" si="28"/>
        <v/>
      </c>
      <c r="BR26" s="543" t="str">
        <f t="shared" si="28"/>
        <v/>
      </c>
      <c r="BS26" s="543" t="str">
        <f t="shared" si="28"/>
        <v/>
      </c>
      <c r="BT26" s="751" t="str">
        <f t="shared" si="28"/>
        <v/>
      </c>
      <c r="BU26" s="543" t="str">
        <f t="shared" si="28"/>
        <v/>
      </c>
      <c r="BV26" s="543" t="str">
        <f t="shared" si="28"/>
        <v/>
      </c>
      <c r="BW26" s="543" t="str">
        <f t="shared" ref="BW26:CD26" si="29">IFERROR(BW11/BS11-1,"")</f>
        <v/>
      </c>
      <c r="BX26" s="751" t="str">
        <f t="shared" si="29"/>
        <v/>
      </c>
      <c r="BY26" s="543" t="str">
        <f t="shared" si="29"/>
        <v/>
      </c>
      <c r="BZ26" s="543" t="str">
        <f t="shared" si="29"/>
        <v/>
      </c>
      <c r="CA26" s="543">
        <f t="shared" si="29"/>
        <v>15.518518518518519</v>
      </c>
      <c r="CB26" s="751">
        <f t="shared" si="29"/>
        <v>4.791666666666667</v>
      </c>
      <c r="CC26" s="543">
        <f t="shared" si="29"/>
        <v>3.1062500000000002</v>
      </c>
      <c r="CD26" s="543">
        <f t="shared" si="29"/>
        <v>1.6679104477611939</v>
      </c>
    </row>
    <row r="27" spans="1:82" s="755" customFormat="1" outlineLevel="1">
      <c r="A27" s="868" t="s">
        <v>70</v>
      </c>
      <c r="B27" s="750"/>
      <c r="C27" s="750"/>
      <c r="D27" s="750"/>
      <c r="E27" s="750"/>
      <c r="F27" s="750"/>
      <c r="G27" s="543" t="str">
        <f>IFERROR(G12/F12-1,"")</f>
        <v/>
      </c>
      <c r="H27" s="543" t="str">
        <f t="shared" ref="H27:I27" si="30">IFERROR(H12/G12-1,"")</f>
        <v/>
      </c>
      <c r="I27" s="543">
        <f t="shared" si="30"/>
        <v>0.52</v>
      </c>
      <c r="J27" s="543">
        <f t="shared" ref="J27:S27" si="31">IFERROR(J12/I12-1,"")</f>
        <v>2.3552631578947367</v>
      </c>
      <c r="K27" s="543">
        <f t="shared" si="31"/>
        <v>3.9215686274509887E-2</v>
      </c>
      <c r="L27" s="543">
        <f t="shared" si="31"/>
        <v>0.41886792452830179</v>
      </c>
      <c r="M27" s="841">
        <f t="shared" si="31"/>
        <v>5.5851063829787329E-2</v>
      </c>
      <c r="N27" s="408">
        <f t="shared" si="31"/>
        <v>0.6563523299748113</v>
      </c>
      <c r="O27" s="408">
        <f t="shared" si="31"/>
        <v>0.40035286066637177</v>
      </c>
      <c r="P27" s="1016">
        <f t="shared" si="31"/>
        <v>0.34326446690826207</v>
      </c>
      <c r="Q27" s="1016">
        <f t="shared" si="31"/>
        <v>0.30262395230896666</v>
      </c>
      <c r="R27" s="1016">
        <f t="shared" si="31"/>
        <v>0.27136300029552429</v>
      </c>
      <c r="S27" s="1016">
        <f t="shared" si="31"/>
        <v>0.24588898541235849</v>
      </c>
      <c r="T27" s="752"/>
      <c r="U27" s="753"/>
      <c r="V27" s="753"/>
      <c r="W27" s="753"/>
      <c r="X27" s="754"/>
      <c r="Y27" s="753"/>
      <c r="AG27" s="758"/>
      <c r="AH27" s="543">
        <f t="shared" ref="AH27:AZ27" si="32">AH12/AD12-1</f>
        <v>1.4090909090909092</v>
      </c>
      <c r="AI27" s="543">
        <f t="shared" si="32"/>
        <v>2.15</v>
      </c>
      <c r="AJ27" s="543">
        <f t="shared" si="32"/>
        <v>5.6</v>
      </c>
      <c r="AK27" s="751">
        <f t="shared" si="32"/>
        <v>2.0416666666666665</v>
      </c>
      <c r="AL27" s="543">
        <f t="shared" si="32"/>
        <v>0.18867924528301883</v>
      </c>
      <c r="AM27" s="543">
        <f t="shared" si="32"/>
        <v>-6.3492063492063489E-2</v>
      </c>
      <c r="AN27" s="543">
        <f t="shared" si="32"/>
        <v>-6.0606060606060552E-2</v>
      </c>
      <c r="AO27" s="751">
        <f t="shared" si="32"/>
        <v>0.1095890410958904</v>
      </c>
      <c r="AP27" s="543">
        <f t="shared" si="32"/>
        <v>0.28571428571428581</v>
      </c>
      <c r="AQ27" s="543">
        <f t="shared" si="32"/>
        <v>0.33898305084745761</v>
      </c>
      <c r="AR27" s="543">
        <f t="shared" si="32"/>
        <v>0.9838709677419355</v>
      </c>
      <c r="AS27" s="751">
        <f t="shared" si="32"/>
        <v>0.14814814814814814</v>
      </c>
      <c r="AT27" s="543">
        <f t="shared" si="32"/>
        <v>-0.12345679012345678</v>
      </c>
      <c r="AU27" s="543">
        <f t="shared" si="32"/>
        <v>0.17721518987341778</v>
      </c>
      <c r="AV27" s="543">
        <f t="shared" si="32"/>
        <v>-0.21951219512195119</v>
      </c>
      <c r="AW27" s="751">
        <f t="shared" si="32"/>
        <v>0.4731182795698925</v>
      </c>
      <c r="AX27" s="543">
        <f t="shared" si="32"/>
        <v>0.6901408450704225</v>
      </c>
      <c r="AY27" s="543">
        <f t="shared" si="32"/>
        <v>0.82795698924731176</v>
      </c>
      <c r="AZ27" s="543">
        <f t="shared" si="32"/>
        <v>0.78125</v>
      </c>
      <c r="BA27" s="543">
        <f>BC12/AW12-1</f>
        <v>0.4348312043795628</v>
      </c>
      <c r="BB27" s="543"/>
      <c r="BC27" s="759"/>
      <c r="BD27" s="759"/>
      <c r="BE27" s="543"/>
      <c r="BL27" s="758"/>
      <c r="BM27" s="543" t="str">
        <f>IFERROR(BM12/BI12-1,"")</f>
        <v/>
      </c>
      <c r="BN27" s="543" t="str">
        <f>IFERROR(BN12/BJ12-1,"")</f>
        <v/>
      </c>
      <c r="BO27" s="543" t="str">
        <f>IFERROR(BO12/BK12-1,"")</f>
        <v/>
      </c>
      <c r="BP27" s="751">
        <f>IFERROR(BP12/BL12-1,"")</f>
        <v>2.3552631578947367</v>
      </c>
      <c r="BQ27" s="543">
        <f t="shared" ref="BQ27:CD27" si="33">BQ12/BM12-1</f>
        <v>1.4766355140186915</v>
      </c>
      <c r="BR27" s="543">
        <f t="shared" si="33"/>
        <v>0.74</v>
      </c>
      <c r="BS27" s="543">
        <f t="shared" si="33"/>
        <v>0.24757281553398047</v>
      </c>
      <c r="BT27" s="751">
        <f t="shared" si="33"/>
        <v>3.9215686274509887E-2</v>
      </c>
      <c r="BU27" s="543">
        <f t="shared" si="33"/>
        <v>6.7924528301886777E-2</v>
      </c>
      <c r="BV27" s="543">
        <f t="shared" si="33"/>
        <v>0.16091954022988508</v>
      </c>
      <c r="BW27" s="543">
        <f t="shared" si="33"/>
        <v>0.41634241245136194</v>
      </c>
      <c r="BX27" s="751">
        <f t="shared" si="33"/>
        <v>0.41886792452830179</v>
      </c>
      <c r="BY27" s="543">
        <f t="shared" si="33"/>
        <v>0.29328621908127217</v>
      </c>
      <c r="BZ27" s="543">
        <f t="shared" si="33"/>
        <v>0.2541254125412542</v>
      </c>
      <c r="CA27" s="543">
        <f t="shared" si="33"/>
        <v>-3.0219780219780223E-2</v>
      </c>
      <c r="CB27" s="751">
        <f t="shared" si="33"/>
        <v>5.5851063829787329E-2</v>
      </c>
      <c r="CC27" s="543">
        <f t="shared" si="33"/>
        <v>0.21857923497267762</v>
      </c>
      <c r="CD27" s="543">
        <f t="shared" si="33"/>
        <v>0.37631578947368416</v>
      </c>
    </row>
    <row r="28" spans="1:82" s="755" customFormat="1" outlineLevel="1">
      <c r="A28" s="868"/>
      <c r="B28" s="750"/>
      <c r="C28" s="750"/>
      <c r="D28" s="750"/>
      <c r="E28" s="750"/>
      <c r="F28" s="750"/>
      <c r="M28" s="842"/>
      <c r="N28" s="43"/>
      <c r="O28" s="43"/>
      <c r="T28" s="752"/>
      <c r="U28" s="753"/>
      <c r="V28" s="753"/>
      <c r="W28" s="753"/>
      <c r="X28" s="754" t="str">
        <f t="shared" ref="X28:X32" si="34">IFERROR(IF((W28/R28)^(1/8)-1&lt;0,"",(W28/R28)^(1/8)-1),"")</f>
        <v/>
      </c>
      <c r="Y28" s="753"/>
      <c r="AG28" s="758"/>
      <c r="AH28" s="543"/>
      <c r="AI28" s="543"/>
      <c r="AJ28" s="543"/>
      <c r="AK28" s="751"/>
      <c r="AL28" s="543"/>
      <c r="AM28" s="543"/>
      <c r="AN28" s="543"/>
      <c r="AO28" s="751"/>
      <c r="AP28" s="543"/>
      <c r="AQ28" s="543"/>
      <c r="AR28" s="543"/>
      <c r="AS28" s="751"/>
      <c r="AT28" s="543"/>
      <c r="AU28" s="543"/>
      <c r="AV28" s="543"/>
      <c r="AW28" s="751"/>
      <c r="AX28" s="543"/>
      <c r="AY28" s="543"/>
      <c r="AZ28" s="543"/>
      <c r="BA28" s="543"/>
      <c r="BB28" s="543"/>
      <c r="BC28" s="543"/>
      <c r="BD28" s="543"/>
      <c r="BE28" s="543"/>
      <c r="BL28" s="758"/>
      <c r="BM28" s="543"/>
      <c r="BN28" s="543"/>
      <c r="BO28" s="543"/>
      <c r="BP28" s="751"/>
      <c r="BQ28" s="543"/>
      <c r="BR28" s="543"/>
      <c r="BS28" s="543"/>
      <c r="BT28" s="751"/>
      <c r="BU28" s="543"/>
      <c r="BV28" s="543"/>
      <c r="BW28" s="543"/>
      <c r="BX28" s="751"/>
      <c r="BY28" s="543"/>
      <c r="BZ28" s="543"/>
      <c r="CA28" s="543"/>
      <c r="CB28" s="751"/>
      <c r="CC28" s="543"/>
      <c r="CD28" s="543"/>
    </row>
    <row r="29" spans="1:82" s="755" customFormat="1" outlineLevel="1">
      <c r="A29" s="518" t="s">
        <v>437</v>
      </c>
      <c r="B29" s="459"/>
      <c r="C29" s="459"/>
      <c r="D29" s="459"/>
      <c r="E29" s="459"/>
      <c r="F29" s="459"/>
      <c r="G29" s="537" t="str">
        <f t="shared" ref="G29:S29" si="35">IFERROR(G15/F15-1,"")</f>
        <v/>
      </c>
      <c r="H29" s="537">
        <f t="shared" si="35"/>
        <v>-7.8947368421052877E-3</v>
      </c>
      <c r="I29" s="537">
        <f t="shared" si="35"/>
        <v>0.55649867374005302</v>
      </c>
      <c r="J29" s="537">
        <f t="shared" si="35"/>
        <v>0.40371506475800945</v>
      </c>
      <c r="K29" s="537">
        <f t="shared" si="35"/>
        <v>0.48962000728420541</v>
      </c>
      <c r="L29" s="537">
        <f t="shared" si="35"/>
        <v>0.66030969845150778</v>
      </c>
      <c r="M29" s="843">
        <f t="shared" si="35"/>
        <v>3.7303223903848437E-2</v>
      </c>
      <c r="N29" s="537">
        <f t="shared" si="35"/>
        <v>-0.11334552203327009</v>
      </c>
      <c r="O29" s="537">
        <f t="shared" si="35"/>
        <v>0.12695604238940938</v>
      </c>
      <c r="P29" s="757">
        <f t="shared" si="35"/>
        <v>0.11880902915073799</v>
      </c>
      <c r="Q29" s="757">
        <f t="shared" si="35"/>
        <v>9.6038227413402844E-2</v>
      </c>
      <c r="R29" s="757">
        <f t="shared" si="35"/>
        <v>9.5902791730261505E-2</v>
      </c>
      <c r="S29" s="757">
        <f t="shared" si="35"/>
        <v>9.6190796675788226E-2</v>
      </c>
      <c r="T29" s="757"/>
      <c r="U29" s="750"/>
      <c r="V29" s="750"/>
      <c r="W29" s="750"/>
      <c r="X29" s="754" t="str">
        <f t="shared" si="34"/>
        <v/>
      </c>
      <c r="Y29" s="753"/>
      <c r="AG29" s="758"/>
      <c r="AH29" s="543"/>
      <c r="AI29" s="543"/>
      <c r="AJ29" s="543"/>
      <c r="AK29" s="751"/>
      <c r="AL29" s="543"/>
      <c r="AM29" s="543"/>
      <c r="AN29" s="543"/>
      <c r="AO29" s="751"/>
      <c r="AP29" s="543"/>
      <c r="AQ29" s="543"/>
      <c r="AR29" s="543"/>
      <c r="AS29" s="751"/>
      <c r="AT29" s="543"/>
      <c r="AU29" s="543"/>
      <c r="AV29" s="543"/>
      <c r="AW29" s="751"/>
      <c r="AX29" s="543"/>
      <c r="AY29" s="543"/>
      <c r="AZ29" s="543"/>
      <c r="BA29" s="543"/>
      <c r="BB29" s="543"/>
      <c r="BC29" s="759"/>
      <c r="BD29" s="759"/>
      <c r="BE29" s="543"/>
      <c r="BL29" s="758"/>
      <c r="BM29" s="543"/>
      <c r="BN29" s="543"/>
      <c r="BO29" s="543"/>
      <c r="BP29" s="751"/>
      <c r="BQ29" s="543"/>
      <c r="BR29" s="543"/>
      <c r="BS29" s="543"/>
      <c r="BT29" s="751"/>
      <c r="BU29" s="543"/>
      <c r="BV29" s="543"/>
      <c r="BW29" s="543"/>
      <c r="BX29" s="751"/>
      <c r="BY29" s="543"/>
      <c r="BZ29" s="543"/>
      <c r="CA29" s="543"/>
      <c r="CB29" s="751"/>
      <c r="CC29" s="543"/>
      <c r="CD29" s="543"/>
    </row>
    <row r="30" spans="1:82" s="537" customFormat="1" outlineLevel="1">
      <c r="A30" s="869" t="s">
        <v>660</v>
      </c>
      <c r="G30" s="537" t="str">
        <f t="shared" ref="G30:S30" si="36">IFERROR(G16/F16-1,"")</f>
        <v/>
      </c>
      <c r="H30" s="537" t="str">
        <f t="shared" si="36"/>
        <v/>
      </c>
      <c r="I30" s="537">
        <f t="shared" si="36"/>
        <v>0.52</v>
      </c>
      <c r="J30" s="537">
        <f t="shared" si="36"/>
        <v>2.3552631578947367</v>
      </c>
      <c r="K30" s="537">
        <f t="shared" si="36"/>
        <v>3.9215686274509887E-2</v>
      </c>
      <c r="L30" s="537">
        <f t="shared" si="36"/>
        <v>1.2603773584905662</v>
      </c>
      <c r="M30" s="843">
        <f t="shared" si="36"/>
        <v>0.59098497495826385</v>
      </c>
      <c r="N30" s="537">
        <f>IFERROR(N16/M16-1,"")</f>
        <v>0.44165569254984272</v>
      </c>
      <c r="O30" s="537">
        <f>IFERROR(O16/N16-1,"")</f>
        <v>0.33555884293801674</v>
      </c>
      <c r="P30" s="757">
        <f t="shared" si="36"/>
        <v>0.29267368858223586</v>
      </c>
      <c r="Q30" s="757">
        <f t="shared" si="36"/>
        <v>0.25951299396965455</v>
      </c>
      <c r="R30" s="757">
        <f t="shared" si="36"/>
        <v>0.23253063987926792</v>
      </c>
      <c r="S30" s="757">
        <f t="shared" si="36"/>
        <v>0.20977121584334113</v>
      </c>
      <c r="T30" s="757"/>
      <c r="X30" s="754" t="str">
        <f t="shared" si="34"/>
        <v/>
      </c>
    </row>
    <row r="31" spans="1:82" s="406" customFormat="1">
      <c r="A31" s="870"/>
      <c r="G31" s="544"/>
      <c r="H31" s="544"/>
      <c r="I31" s="544"/>
      <c r="J31" s="544"/>
      <c r="K31" s="544"/>
      <c r="L31" s="544"/>
      <c r="M31" s="844"/>
      <c r="N31" s="544"/>
      <c r="O31" s="544"/>
      <c r="P31" s="545"/>
      <c r="Q31" s="545"/>
      <c r="R31" s="545"/>
      <c r="S31" s="545"/>
      <c r="T31" s="545"/>
      <c r="U31" s="1541">
        <f>'A. FCFF'!P30</f>
        <v>55.585220074041914</v>
      </c>
      <c r="X31" s="222" t="str">
        <f t="shared" si="34"/>
        <v/>
      </c>
    </row>
    <row r="32" spans="1:82" s="397" customFormat="1">
      <c r="A32" s="866" t="s">
        <v>662</v>
      </c>
      <c r="B32" s="420"/>
      <c r="C32" s="420"/>
      <c r="D32" s="420"/>
      <c r="E32" s="420"/>
      <c r="F32" s="420"/>
      <c r="G32" s="421">
        <f t="shared" ref="G32:S32" si="37">SUM(G34:G41)-SUM(G35:G37)</f>
        <v>1</v>
      </c>
      <c r="H32" s="421">
        <f t="shared" si="37"/>
        <v>1</v>
      </c>
      <c r="I32" s="421">
        <f t="shared" si="37"/>
        <v>0.99999999999999978</v>
      </c>
      <c r="J32" s="421">
        <f t="shared" si="37"/>
        <v>0.99999999999999989</v>
      </c>
      <c r="K32" s="421">
        <f t="shared" si="37"/>
        <v>1</v>
      </c>
      <c r="L32" s="421">
        <f t="shared" si="37"/>
        <v>1.0000000000000002</v>
      </c>
      <c r="M32" s="845">
        <f t="shared" si="37"/>
        <v>1.0000000000000002</v>
      </c>
      <c r="N32" s="421">
        <f t="shared" si="37"/>
        <v>1</v>
      </c>
      <c r="O32" s="421">
        <f t="shared" si="37"/>
        <v>0.99999999999999978</v>
      </c>
      <c r="P32" s="424">
        <f t="shared" si="37"/>
        <v>1</v>
      </c>
      <c r="Q32" s="424">
        <f t="shared" si="37"/>
        <v>1</v>
      </c>
      <c r="R32" s="424">
        <f t="shared" si="37"/>
        <v>1</v>
      </c>
      <c r="S32" s="424">
        <f t="shared" si="37"/>
        <v>0.99999999999999978</v>
      </c>
      <c r="T32" s="435"/>
      <c r="U32" s="401"/>
      <c r="V32" s="401"/>
      <c r="W32" s="401"/>
      <c r="X32" s="222" t="str">
        <f t="shared" si="34"/>
        <v/>
      </c>
      <c r="AD32" s="424">
        <f t="shared" ref="AD32:AY32" si="38">AD3/AD$3</f>
        <v>1</v>
      </c>
      <c r="AE32" s="424">
        <f t="shared" si="38"/>
        <v>1</v>
      </c>
      <c r="AF32" s="424">
        <f t="shared" si="38"/>
        <v>1</v>
      </c>
      <c r="AG32" s="422">
        <f t="shared" si="38"/>
        <v>1</v>
      </c>
      <c r="AH32" s="421">
        <f t="shared" si="38"/>
        <v>1</v>
      </c>
      <c r="AI32" s="421">
        <f t="shared" si="38"/>
        <v>1</v>
      </c>
      <c r="AJ32" s="421">
        <f t="shared" si="38"/>
        <v>1</v>
      </c>
      <c r="AK32" s="422">
        <f t="shared" si="38"/>
        <v>1</v>
      </c>
      <c r="AL32" s="421">
        <f t="shared" si="38"/>
        <v>1</v>
      </c>
      <c r="AM32" s="421">
        <f t="shared" si="38"/>
        <v>1</v>
      </c>
      <c r="AN32" s="421">
        <f t="shared" si="38"/>
        <v>1</v>
      </c>
      <c r="AO32" s="422">
        <f t="shared" si="38"/>
        <v>1</v>
      </c>
      <c r="AP32" s="421">
        <f t="shared" si="38"/>
        <v>1</v>
      </c>
      <c r="AQ32" s="421">
        <f t="shared" si="38"/>
        <v>1</v>
      </c>
      <c r="AR32" s="421">
        <f t="shared" si="38"/>
        <v>1</v>
      </c>
      <c r="AS32" s="422">
        <f t="shared" si="38"/>
        <v>1</v>
      </c>
      <c r="AT32" s="421">
        <f t="shared" si="38"/>
        <v>1</v>
      </c>
      <c r="AU32" s="421">
        <f t="shared" si="38"/>
        <v>1</v>
      </c>
      <c r="AV32" s="421">
        <f t="shared" si="38"/>
        <v>1</v>
      </c>
      <c r="AW32" s="422">
        <f t="shared" si="38"/>
        <v>1</v>
      </c>
      <c r="AX32" s="421">
        <f t="shared" si="38"/>
        <v>1</v>
      </c>
      <c r="AY32" s="421">
        <f t="shared" si="38"/>
        <v>1</v>
      </c>
      <c r="AZ32" s="421">
        <f>SUM(AZ34:AZ41)</f>
        <v>1</v>
      </c>
      <c r="BA32" s="421">
        <f>SUM(BA34:BA41)</f>
        <v>0.99999999999999989</v>
      </c>
      <c r="BB32" s="421"/>
      <c r="BC32" s="421"/>
      <c r="BD32" s="421"/>
      <c r="BE32" s="421"/>
      <c r="BI32" s="424" t="str">
        <f t="shared" ref="BI32:BK34" si="39">IFERROR(BI3/BI$3,"")</f>
        <v/>
      </c>
      <c r="BJ32" s="424" t="str">
        <f t="shared" si="39"/>
        <v/>
      </c>
      <c r="BK32" s="424" t="str">
        <f t="shared" si="39"/>
        <v/>
      </c>
      <c r="BL32" s="422">
        <f t="shared" ref="BL32:CD32" si="40">BL3/BL$3</f>
        <v>1</v>
      </c>
      <c r="BM32" s="421">
        <f t="shared" si="40"/>
        <v>1</v>
      </c>
      <c r="BN32" s="421">
        <f t="shared" si="40"/>
        <v>1</v>
      </c>
      <c r="BO32" s="421">
        <f t="shared" si="40"/>
        <v>1</v>
      </c>
      <c r="BP32" s="422">
        <f t="shared" si="40"/>
        <v>1</v>
      </c>
      <c r="BQ32" s="421">
        <f t="shared" si="40"/>
        <v>1</v>
      </c>
      <c r="BR32" s="421">
        <f t="shared" si="40"/>
        <v>1</v>
      </c>
      <c r="BS32" s="421">
        <f t="shared" si="40"/>
        <v>1</v>
      </c>
      <c r="BT32" s="422">
        <f t="shared" si="40"/>
        <v>1</v>
      </c>
      <c r="BU32" s="421">
        <f t="shared" si="40"/>
        <v>1</v>
      </c>
      <c r="BV32" s="421">
        <f t="shared" si="40"/>
        <v>1</v>
      </c>
      <c r="BW32" s="421">
        <f t="shared" si="40"/>
        <v>1</v>
      </c>
      <c r="BX32" s="422">
        <f t="shared" si="40"/>
        <v>1</v>
      </c>
      <c r="BY32" s="421">
        <f t="shared" si="40"/>
        <v>1</v>
      </c>
      <c r="BZ32" s="421">
        <f t="shared" si="40"/>
        <v>1</v>
      </c>
      <c r="CA32" s="421">
        <f t="shared" si="40"/>
        <v>1</v>
      </c>
      <c r="CB32" s="422">
        <f t="shared" si="40"/>
        <v>1</v>
      </c>
      <c r="CC32" s="421">
        <f t="shared" si="40"/>
        <v>1</v>
      </c>
      <c r="CD32" s="421">
        <f t="shared" si="40"/>
        <v>1</v>
      </c>
    </row>
    <row r="33" spans="1:82" outlineLevel="1">
      <c r="A33" s="867"/>
      <c r="B33" s="426"/>
      <c r="C33" s="426"/>
      <c r="D33" s="426"/>
      <c r="E33" s="426"/>
      <c r="F33" s="426"/>
      <c r="G33" s="433"/>
      <c r="H33" s="433"/>
      <c r="I33" s="433"/>
      <c r="J33" s="433"/>
      <c r="K33" s="433"/>
      <c r="L33" s="433"/>
      <c r="M33" s="846"/>
      <c r="N33" s="433"/>
      <c r="O33" s="433"/>
      <c r="P33" s="435"/>
      <c r="Q33" s="435"/>
      <c r="R33" s="435"/>
      <c r="S33" s="435"/>
      <c r="T33" s="435"/>
      <c r="X33" s="222"/>
      <c r="AD33" s="435"/>
      <c r="AE33" s="435"/>
      <c r="AF33" s="435"/>
      <c r="AG33" s="434"/>
      <c r="AH33" s="433"/>
      <c r="AI33" s="433"/>
      <c r="AJ33" s="433"/>
      <c r="AK33" s="434"/>
      <c r="AL33" s="433"/>
      <c r="AM33" s="433"/>
      <c r="AN33" s="433"/>
      <c r="AO33" s="434"/>
      <c r="AP33" s="433"/>
      <c r="AQ33" s="433"/>
      <c r="AR33" s="433"/>
      <c r="AS33" s="434"/>
      <c r="AT33" s="433"/>
      <c r="AU33" s="433"/>
      <c r="AV33" s="433"/>
      <c r="AW33" s="434"/>
      <c r="AX33" s="433"/>
      <c r="AY33" s="433"/>
      <c r="AZ33" s="433"/>
      <c r="BA33" s="433"/>
      <c r="BB33" s="433"/>
      <c r="BC33" s="433"/>
      <c r="BD33" s="433"/>
      <c r="BE33" s="433"/>
      <c r="BI33" s="435" t="str">
        <f t="shared" si="39"/>
        <v/>
      </c>
      <c r="BJ33" s="435" t="str">
        <f t="shared" si="39"/>
        <v/>
      </c>
      <c r="BK33" s="435" t="str">
        <f t="shared" si="39"/>
        <v/>
      </c>
      <c r="BL33" s="434"/>
      <c r="BM33" s="433"/>
      <c r="BN33" s="433"/>
      <c r="BO33" s="433"/>
      <c r="BP33" s="434"/>
      <c r="BQ33" s="433"/>
      <c r="BR33" s="433"/>
      <c r="BS33" s="433"/>
      <c r="BT33" s="434"/>
      <c r="BU33" s="433"/>
      <c r="BV33" s="433"/>
      <c r="BW33" s="433"/>
      <c r="BX33" s="434"/>
      <c r="BY33" s="433"/>
      <c r="BZ33" s="433"/>
      <c r="CA33" s="433"/>
      <c r="CB33" s="434"/>
      <c r="CC33" s="433"/>
      <c r="CD33" s="433"/>
    </row>
    <row r="34" spans="1:82" s="755" customFormat="1" outlineLevel="1">
      <c r="A34" s="868" t="s">
        <v>63</v>
      </c>
      <c r="B34" s="750"/>
      <c r="C34" s="750"/>
      <c r="D34" s="750"/>
      <c r="E34" s="750"/>
      <c r="F34" s="750"/>
      <c r="G34" s="543">
        <f t="shared" ref="G34:S34" si="41">G5/G$3</f>
        <v>0.28210526315789475</v>
      </c>
      <c r="H34" s="543">
        <f t="shared" si="41"/>
        <v>0.19685863874345549</v>
      </c>
      <c r="I34" s="543">
        <f t="shared" si="41"/>
        <v>0.39619784656796775</v>
      </c>
      <c r="J34" s="543">
        <f t="shared" si="41"/>
        <v>0.4587847385774847</v>
      </c>
      <c r="K34" s="543">
        <f t="shared" si="41"/>
        <v>0.50929397686477862</v>
      </c>
      <c r="L34" s="543">
        <f t="shared" si="41"/>
        <v>0.47003004148586142</v>
      </c>
      <c r="M34" s="841">
        <f t="shared" si="41"/>
        <v>0.48833914212942486</v>
      </c>
      <c r="N34" s="57">
        <f t="shared" si="41"/>
        <v>0.44551852308303275</v>
      </c>
      <c r="O34" s="57">
        <f t="shared" si="41"/>
        <v>0.4443745008479445</v>
      </c>
      <c r="P34" s="752">
        <f t="shared" si="41"/>
        <v>0.44472268375354351</v>
      </c>
      <c r="Q34" s="752">
        <f t="shared" si="41"/>
        <v>0.43475714017591349</v>
      </c>
      <c r="R34" s="752">
        <f t="shared" si="41"/>
        <v>0.42487255166259175</v>
      </c>
      <c r="S34" s="752">
        <f t="shared" si="41"/>
        <v>0.41509543914035929</v>
      </c>
      <c r="T34" s="752"/>
      <c r="U34" s="232"/>
      <c r="V34" s="232"/>
      <c r="W34" s="232"/>
      <c r="X34" s="232"/>
      <c r="Y34" s="232"/>
      <c r="AD34" s="752">
        <f t="shared" ref="AD34:AZ34" si="42">AD5/AD$3</f>
        <v>0.43952569169960476</v>
      </c>
      <c r="AE34" s="752">
        <f t="shared" si="42"/>
        <v>0.47058823529411764</v>
      </c>
      <c r="AF34" s="752">
        <f t="shared" si="42"/>
        <v>0.3237657864523536</v>
      </c>
      <c r="AG34" s="751">
        <f t="shared" si="42"/>
        <v>0.37628205128205128</v>
      </c>
      <c r="AH34" s="543">
        <f t="shared" si="42"/>
        <v>0.42596644784828591</v>
      </c>
      <c r="AI34" s="543">
        <f t="shared" si="42"/>
        <v>0.48205383848454636</v>
      </c>
      <c r="AJ34" s="543">
        <f t="shared" si="42"/>
        <v>0.3881453154875717</v>
      </c>
      <c r="AK34" s="751">
        <f t="shared" si="42"/>
        <v>0.53200000000000003</v>
      </c>
      <c r="AL34" s="543">
        <f t="shared" si="42"/>
        <v>0.49415837299870186</v>
      </c>
      <c r="AM34" s="543">
        <f t="shared" si="42"/>
        <v>0.44367015098722418</v>
      </c>
      <c r="AN34" s="543">
        <f t="shared" si="42"/>
        <v>0.51545253863134655</v>
      </c>
      <c r="AO34" s="751">
        <f t="shared" si="42"/>
        <v>0.55464276823500125</v>
      </c>
      <c r="AP34" s="543">
        <f t="shared" si="42"/>
        <v>0.56580786898342317</v>
      </c>
      <c r="AQ34" s="543">
        <f t="shared" si="42"/>
        <v>0.50877192982456143</v>
      </c>
      <c r="AR34" s="543">
        <f t="shared" si="42"/>
        <v>0.36104575163398694</v>
      </c>
      <c r="AS34" s="751">
        <f t="shared" si="42"/>
        <v>0.44142893208785661</v>
      </c>
      <c r="AT34" s="543">
        <f t="shared" si="42"/>
        <v>0.5535739763161649</v>
      </c>
      <c r="AU34" s="543">
        <f t="shared" si="42"/>
        <v>0.55050916496945013</v>
      </c>
      <c r="AV34" s="543">
        <f t="shared" si="42"/>
        <v>0.3955482275350371</v>
      </c>
      <c r="AW34" s="751">
        <f t="shared" si="42"/>
        <v>0.43607361963190183</v>
      </c>
      <c r="AX34" s="543">
        <f t="shared" si="42"/>
        <v>0.47954545454545455</v>
      </c>
      <c r="AY34" s="543">
        <f t="shared" si="42"/>
        <v>0.47650130548302871</v>
      </c>
      <c r="AZ34" s="543">
        <f t="shared" si="42"/>
        <v>0.32772953999630516</v>
      </c>
      <c r="BA34" s="543">
        <f>BC5/BC$3</f>
        <v>0.50420788607515143</v>
      </c>
      <c r="BD34" s="543"/>
      <c r="BE34" s="543"/>
      <c r="BI34" s="752" t="str">
        <f t="shared" si="39"/>
        <v/>
      </c>
      <c r="BJ34" s="752" t="str">
        <f t="shared" si="39"/>
        <v/>
      </c>
      <c r="BK34" s="752" t="str">
        <f t="shared" si="39"/>
        <v/>
      </c>
      <c r="BL34" s="751">
        <f t="shared" ref="BL34:CD34" si="43">BL5/BL$3</f>
        <v>0.39619784656796769</v>
      </c>
      <c r="BM34" s="543">
        <f t="shared" si="43"/>
        <v>0.39388429752066118</v>
      </c>
      <c r="BN34" s="543">
        <f t="shared" si="43"/>
        <v>0.4045515795777811</v>
      </c>
      <c r="BO34" s="543">
        <f t="shared" si="43"/>
        <v>0.4175052966101695</v>
      </c>
      <c r="BP34" s="751">
        <f t="shared" si="43"/>
        <v>0.4587847385774847</v>
      </c>
      <c r="BQ34" s="543">
        <f t="shared" si="43"/>
        <v>0.47222222222222221</v>
      </c>
      <c r="BR34" s="543">
        <f t="shared" si="43"/>
        <v>0.46288340493555802</v>
      </c>
      <c r="BS34" s="543">
        <f t="shared" si="43"/>
        <v>0.49791250680704302</v>
      </c>
      <c r="BT34" s="751">
        <f t="shared" si="43"/>
        <v>0.50929397686477862</v>
      </c>
      <c r="BU34" s="543">
        <f t="shared" si="43"/>
        <v>0.53016873481714921</v>
      </c>
      <c r="BV34" s="543">
        <f t="shared" si="43"/>
        <v>0.53806474564212026</v>
      </c>
      <c r="BW34" s="543">
        <f t="shared" si="43"/>
        <v>0.50319329700591786</v>
      </c>
      <c r="BX34" s="751">
        <f t="shared" si="43"/>
        <v>0.47000762921991224</v>
      </c>
      <c r="BY34" s="543">
        <f t="shared" si="43"/>
        <v>0.47462348742056237</v>
      </c>
      <c r="BZ34" s="543">
        <f t="shared" si="43"/>
        <v>0.48428124735908051</v>
      </c>
      <c r="CA34" s="543">
        <f t="shared" si="43"/>
        <v>0.48170308036748244</v>
      </c>
      <c r="CB34" s="751">
        <f t="shared" si="43"/>
        <v>0.48773743143388187</v>
      </c>
      <c r="CC34" s="543">
        <f t="shared" si="43"/>
        <v>0.46175697001578114</v>
      </c>
      <c r="CD34" s="543">
        <f t="shared" si="43"/>
        <v>0.44207317073170732</v>
      </c>
    </row>
    <row r="35" spans="1:82" outlineLevel="1">
      <c r="A35" s="865" t="s">
        <v>64</v>
      </c>
      <c r="B35" s="431"/>
      <c r="C35" s="431"/>
      <c r="D35" s="431"/>
      <c r="E35" s="431"/>
      <c r="F35" s="431"/>
      <c r="G35" s="428"/>
      <c r="H35" s="428"/>
      <c r="I35" s="428">
        <f t="shared" ref="I35:S35" si="44">I6/I$3</f>
        <v>0.37012113055181706</v>
      </c>
      <c r="J35" s="428">
        <f t="shared" si="44"/>
        <v>0.43570419218087614</v>
      </c>
      <c r="K35" s="428">
        <f t="shared" si="44"/>
        <v>0.43079377742321501</v>
      </c>
      <c r="L35" s="428">
        <f t="shared" si="44"/>
        <v>0.34333126698774497</v>
      </c>
      <c r="M35" s="664">
        <f t="shared" si="44"/>
        <v>0.31243008135459893</v>
      </c>
      <c r="N35" s="428">
        <f t="shared" si="44"/>
        <v>0.24223303289941356</v>
      </c>
      <c r="O35" s="428">
        <f t="shared" si="44"/>
        <v>0.2353840890725194</v>
      </c>
      <c r="P35" s="432">
        <f t="shared" si="44"/>
        <v>0.22643810872720443</v>
      </c>
      <c r="Q35" s="432">
        <f t="shared" si="44"/>
        <v>0.20613722252353106</v>
      </c>
      <c r="R35" s="432">
        <f t="shared" si="44"/>
        <v>0.18699450909394943</v>
      </c>
      <c r="S35" s="432">
        <f t="shared" si="44"/>
        <v>0.1691902969748719</v>
      </c>
      <c r="T35" s="432"/>
      <c r="U35" s="1161"/>
      <c r="X35" s="222"/>
      <c r="AD35" s="432"/>
      <c r="AE35" s="432"/>
      <c r="AF35" s="432"/>
      <c r="AG35" s="429"/>
      <c r="AH35" s="428"/>
      <c r="AI35" s="428"/>
      <c r="AJ35" s="428"/>
      <c r="AK35" s="429"/>
      <c r="AL35" s="428"/>
      <c r="AM35" s="428"/>
      <c r="AN35" s="428"/>
      <c r="AO35" s="429"/>
      <c r="AP35" s="428"/>
      <c r="AQ35" s="428"/>
      <c r="AR35" s="428"/>
      <c r="AS35" s="429"/>
      <c r="AT35" s="428"/>
      <c r="AU35" s="428"/>
      <c r="AV35" s="428"/>
      <c r="AW35" s="429"/>
      <c r="AX35" s="428"/>
      <c r="AY35" s="428"/>
      <c r="AZ35" s="428"/>
      <c r="BA35" s="428"/>
      <c r="BD35" s="428"/>
      <c r="BE35" s="428"/>
      <c r="BI35" s="432"/>
      <c r="BJ35" s="432"/>
      <c r="BK35" s="432"/>
      <c r="BL35" s="429"/>
      <c r="BM35" s="428"/>
      <c r="BN35" s="428"/>
      <c r="BO35" s="428"/>
      <c r="BP35" s="429"/>
      <c r="BQ35" s="428"/>
      <c r="BR35" s="428"/>
      <c r="BS35" s="428"/>
      <c r="BT35" s="429"/>
      <c r="BU35" s="428"/>
      <c r="BV35" s="428"/>
      <c r="BW35" s="428"/>
      <c r="BX35" s="429"/>
      <c r="BY35" s="428"/>
      <c r="BZ35" s="428"/>
      <c r="CA35" s="428"/>
      <c r="CB35" s="429"/>
      <c r="CC35" s="428"/>
      <c r="CD35" s="428"/>
    </row>
    <row r="36" spans="1:82" outlineLevel="1">
      <c r="A36" s="865" t="s">
        <v>65</v>
      </c>
      <c r="B36" s="431"/>
      <c r="C36" s="431"/>
      <c r="D36" s="431"/>
      <c r="E36" s="431"/>
      <c r="F36" s="431"/>
      <c r="G36" s="428"/>
      <c r="H36" s="428"/>
      <c r="I36" s="428">
        <f t="shared" ref="I36:S36" si="45">I7/I$3</f>
        <v>0</v>
      </c>
      <c r="J36" s="428">
        <f t="shared" si="45"/>
        <v>0</v>
      </c>
      <c r="K36" s="428">
        <f t="shared" si="45"/>
        <v>7.1798962903869168E-2</v>
      </c>
      <c r="L36" s="428">
        <f t="shared" si="45"/>
        <v>0.12399734423738014</v>
      </c>
      <c r="M36" s="664">
        <f t="shared" si="45"/>
        <v>0.17323755718063441</v>
      </c>
      <c r="N36" s="428">
        <f t="shared" si="45"/>
        <v>0.19888483203617979</v>
      </c>
      <c r="O36" s="428">
        <f t="shared" si="45"/>
        <v>0.20127812552524219</v>
      </c>
      <c r="P36" s="432">
        <f t="shared" si="45"/>
        <v>0.20943325919358413</v>
      </c>
      <c r="Q36" s="432">
        <f t="shared" si="45"/>
        <v>0.21826241440298078</v>
      </c>
      <c r="R36" s="432">
        <f t="shared" si="45"/>
        <v>0.22574802769429289</v>
      </c>
      <c r="S36" s="432">
        <f t="shared" si="45"/>
        <v>0.23168904035234844</v>
      </c>
      <c r="T36" s="432"/>
      <c r="X36" s="222"/>
      <c r="AD36" s="432"/>
      <c r="AE36" s="432"/>
      <c r="AF36" s="432"/>
      <c r="AG36" s="429"/>
      <c r="AH36" s="428"/>
      <c r="AI36" s="428"/>
      <c r="AJ36" s="428"/>
      <c r="AK36" s="429"/>
      <c r="AL36" s="428"/>
      <c r="AM36" s="428"/>
      <c r="AN36" s="428"/>
      <c r="AO36" s="429"/>
      <c r="AP36" s="428"/>
      <c r="AQ36" s="428"/>
      <c r="AR36" s="428"/>
      <c r="AS36" s="429"/>
      <c r="AT36" s="428"/>
      <c r="AU36" s="428"/>
      <c r="AV36" s="428"/>
      <c r="AW36" s="429"/>
      <c r="AX36" s="428"/>
      <c r="AY36" s="428"/>
      <c r="AZ36" s="428"/>
      <c r="BA36" s="428"/>
      <c r="BD36" s="428"/>
      <c r="BE36" s="428"/>
      <c r="BI36" s="432"/>
      <c r="BJ36" s="432"/>
      <c r="BK36" s="432"/>
      <c r="BL36" s="429"/>
      <c r="BM36" s="428"/>
      <c r="BN36" s="428"/>
      <c r="BO36" s="428"/>
      <c r="BP36" s="429"/>
      <c r="BQ36" s="428"/>
      <c r="BR36" s="428"/>
      <c r="BS36" s="428"/>
      <c r="BT36" s="429"/>
      <c r="BU36" s="428"/>
      <c r="BV36" s="428"/>
      <c r="BW36" s="428"/>
      <c r="BX36" s="429"/>
      <c r="BY36" s="428"/>
      <c r="BZ36" s="428"/>
      <c r="CA36" s="428"/>
      <c r="CB36" s="429"/>
      <c r="CC36" s="428"/>
      <c r="CD36" s="428"/>
    </row>
    <row r="37" spans="1:82" outlineLevel="1">
      <c r="A37" s="865" t="s">
        <v>66</v>
      </c>
      <c r="B37" s="431"/>
      <c r="C37" s="431"/>
      <c r="D37" s="431"/>
      <c r="E37" s="431"/>
      <c r="F37" s="431"/>
      <c r="G37" s="428"/>
      <c r="H37" s="428"/>
      <c r="I37" s="428">
        <f t="shared" ref="I37:S37" si="46">I8/I$3</f>
        <v>2.607671601615074E-2</v>
      </c>
      <c r="J37" s="428">
        <f t="shared" si="46"/>
        <v>2.3080546396608573E-2</v>
      </c>
      <c r="K37" s="428">
        <f t="shared" si="46"/>
        <v>6.7012365376944551E-3</v>
      </c>
      <c r="L37" s="428">
        <f t="shared" si="46"/>
        <v>2.7014302607363035E-3</v>
      </c>
      <c r="M37" s="664">
        <f t="shared" si="46"/>
        <v>2.6715035941914981E-3</v>
      </c>
      <c r="N37" s="428">
        <f t="shared" si="46"/>
        <v>4.4006581474394001E-3</v>
      </c>
      <c r="O37" s="428">
        <f t="shared" si="46"/>
        <v>7.7122862501828905E-3</v>
      </c>
      <c r="P37" s="428">
        <f t="shared" si="46"/>
        <v>8.851315832754926E-3</v>
      </c>
      <c r="Q37" s="428">
        <f t="shared" si="46"/>
        <v>1.0357503249401693E-2</v>
      </c>
      <c r="R37" s="428">
        <f t="shared" si="46"/>
        <v>1.2130014874349428E-2</v>
      </c>
      <c r="S37" s="428">
        <f t="shared" si="46"/>
        <v>1.4216101813138982E-2</v>
      </c>
      <c r="T37" s="432"/>
      <c r="X37" s="222"/>
      <c r="AD37" s="432"/>
      <c r="AE37" s="432"/>
      <c r="AF37" s="432"/>
      <c r="AG37" s="429"/>
      <c r="AH37" s="428"/>
      <c r="AI37" s="428"/>
      <c r="AJ37" s="428"/>
      <c r="AK37" s="429"/>
      <c r="AL37" s="428"/>
      <c r="AM37" s="428"/>
      <c r="AN37" s="428"/>
      <c r="AO37" s="429"/>
      <c r="AP37" s="428"/>
      <c r="AQ37" s="428"/>
      <c r="AR37" s="428"/>
      <c r="AS37" s="429"/>
      <c r="AT37" s="428"/>
      <c r="AU37" s="428"/>
      <c r="AV37" s="428"/>
      <c r="AW37" s="429"/>
      <c r="AX37" s="428"/>
      <c r="AY37" s="428"/>
      <c r="AZ37" s="428"/>
      <c r="BA37" s="428"/>
      <c r="BD37" s="428"/>
      <c r="BE37" s="428"/>
      <c r="BI37" s="432"/>
      <c r="BJ37" s="432"/>
      <c r="BK37" s="432"/>
      <c r="BL37" s="429"/>
      <c r="BM37" s="428"/>
      <c r="BN37" s="428"/>
      <c r="BO37" s="428"/>
      <c r="BP37" s="429"/>
      <c r="BQ37" s="428"/>
      <c r="BR37" s="428"/>
      <c r="BS37" s="428"/>
      <c r="BT37" s="429"/>
      <c r="BU37" s="428"/>
      <c r="BV37" s="428"/>
      <c r="BW37" s="428"/>
      <c r="BX37" s="429"/>
      <c r="BY37" s="428"/>
      <c r="BZ37" s="428"/>
      <c r="CA37" s="428"/>
      <c r="CB37" s="429"/>
      <c r="CC37" s="428"/>
      <c r="CD37" s="428"/>
    </row>
    <row r="38" spans="1:82" outlineLevel="1">
      <c r="A38" s="1128" t="s">
        <v>67</v>
      </c>
      <c r="G38" s="57">
        <f>G9/G$3</f>
        <v>0.57052631578947366</v>
      </c>
      <c r="H38" s="57">
        <f>H9/H$3</f>
        <v>0.59319371727748693</v>
      </c>
      <c r="I38" s="57">
        <f t="shared" ref="I38:S38" si="47">I9/I$3</f>
        <v>0.40410497981157467</v>
      </c>
      <c r="J38" s="57">
        <f t="shared" si="47"/>
        <v>0.3502119642016015</v>
      </c>
      <c r="K38" s="57">
        <f t="shared" si="47"/>
        <v>0.34702832070203432</v>
      </c>
      <c r="L38" s="57">
        <f t="shared" si="47"/>
        <v>0.3766630108244719</v>
      </c>
      <c r="M38" s="674">
        <f t="shared" si="47"/>
        <v>0.31818060604040099</v>
      </c>
      <c r="N38" s="57">
        <f t="shared" si="47"/>
        <v>0.32966215144472671</v>
      </c>
      <c r="O38" s="57">
        <f t="shared" si="47"/>
        <v>0.3194991083061911</v>
      </c>
      <c r="P38" s="601">
        <f t="shared" si="47"/>
        <v>0.29966326726910725</v>
      </c>
      <c r="Q38" s="601">
        <f t="shared" si="47"/>
        <v>0.2864647650198951</v>
      </c>
      <c r="R38" s="601">
        <f t="shared" si="47"/>
        <v>0.27395946592662868</v>
      </c>
      <c r="S38" s="601">
        <f t="shared" si="47"/>
        <v>0.26206244369615272</v>
      </c>
      <c r="T38" s="601"/>
      <c r="X38" s="222" t="str">
        <f t="shared" ref="X38:X45" si="48">IFERROR(IF((W38/R38)^(1/8)-1&lt;0,"",(W38/R38)^(1/8)-1),"")</f>
        <v/>
      </c>
      <c r="AD38" s="601">
        <f t="shared" ref="AD38:AZ38" si="49">AD9/AD$3</f>
        <v>0.36600790513833992</v>
      </c>
      <c r="AE38" s="601">
        <f t="shared" si="49"/>
        <v>0.32607116920842411</v>
      </c>
      <c r="AF38" s="601">
        <f t="shared" si="49"/>
        <v>0.49081515499425948</v>
      </c>
      <c r="AG38" s="993">
        <f t="shared" si="49"/>
        <v>0.40705128205128205</v>
      </c>
      <c r="AH38" s="57">
        <f t="shared" si="49"/>
        <v>0.34062727935813275</v>
      </c>
      <c r="AI38" s="57">
        <f t="shared" si="49"/>
        <v>0.32602193419740777</v>
      </c>
      <c r="AJ38" s="57">
        <f t="shared" si="49"/>
        <v>0.43173996175908219</v>
      </c>
      <c r="AK38" s="993">
        <f t="shared" si="49"/>
        <v>0.28960000000000002</v>
      </c>
      <c r="AL38" s="57">
        <f t="shared" si="49"/>
        <v>0.34227607096495022</v>
      </c>
      <c r="AM38" s="57">
        <f t="shared" si="49"/>
        <v>0.41811846689895471</v>
      </c>
      <c r="AN38" s="57">
        <f t="shared" si="49"/>
        <v>0.35320088300220753</v>
      </c>
      <c r="AO38" s="993">
        <f t="shared" si="49"/>
        <v>0.29848145382125962</v>
      </c>
      <c r="AP38" s="57">
        <f t="shared" si="49"/>
        <v>0.27461553824645496</v>
      </c>
      <c r="AQ38" s="57">
        <f t="shared" si="49"/>
        <v>0.31531531531531531</v>
      </c>
      <c r="AR38" s="57">
        <f t="shared" si="49"/>
        <v>0.48470588235294115</v>
      </c>
      <c r="AS38" s="993">
        <f t="shared" si="49"/>
        <v>0.42161070436758397</v>
      </c>
      <c r="AT38" s="57">
        <f t="shared" si="49"/>
        <v>0.32130118419175346</v>
      </c>
      <c r="AU38" s="57">
        <f t="shared" si="49"/>
        <v>0.23014256619144602</v>
      </c>
      <c r="AV38" s="57">
        <f t="shared" si="49"/>
        <v>0.40511129431162407</v>
      </c>
      <c r="AW38" s="993">
        <f t="shared" si="49"/>
        <v>0.29153374233128837</v>
      </c>
      <c r="AX38" s="57">
        <f t="shared" si="49"/>
        <v>0.27626262626262627</v>
      </c>
      <c r="AY38" s="57">
        <f t="shared" si="49"/>
        <v>0.2919930374238468</v>
      </c>
      <c r="AZ38" s="57">
        <f t="shared" si="49"/>
        <v>0.44300757435802696</v>
      </c>
      <c r="BA38" s="57">
        <f>BC9/BC$3</f>
        <v>0.29238386014403367</v>
      </c>
      <c r="BD38" s="57"/>
      <c r="BE38" s="57"/>
      <c r="BI38" s="601" t="str">
        <f t="shared" ref="BI38:BK39" si="50">IFERROR(BI9/BI$3,"")</f>
        <v/>
      </c>
      <c r="BJ38" s="601" t="str">
        <f t="shared" si="50"/>
        <v/>
      </c>
      <c r="BK38" s="601" t="str">
        <f t="shared" si="50"/>
        <v/>
      </c>
      <c r="BL38" s="993">
        <f t="shared" ref="BL38:CD38" si="51">BL9/BL$3</f>
        <v>0.40410497981157467</v>
      </c>
      <c r="BM38" s="57">
        <f t="shared" si="51"/>
        <v>0.39768595041322313</v>
      </c>
      <c r="BN38" s="57">
        <f t="shared" si="51"/>
        <v>0.39092678544692322</v>
      </c>
      <c r="BO38" s="57">
        <f t="shared" si="51"/>
        <v>0.38201800847457629</v>
      </c>
      <c r="BP38" s="993">
        <f t="shared" si="51"/>
        <v>0.3502119642016015</v>
      </c>
      <c r="BQ38" s="57">
        <f t="shared" si="51"/>
        <v>0.34966072943172177</v>
      </c>
      <c r="BR38" s="57">
        <f t="shared" si="51"/>
        <v>0.37206514137276453</v>
      </c>
      <c r="BS38" s="57">
        <f t="shared" si="51"/>
        <v>0.35169722272644766</v>
      </c>
      <c r="BT38" s="993">
        <f t="shared" si="51"/>
        <v>0.34702832070203432</v>
      </c>
      <c r="BU38" s="57">
        <f t="shared" si="51"/>
        <v>0.32394458669818132</v>
      </c>
      <c r="BV38" s="57">
        <f t="shared" si="51"/>
        <v>0.30736392742796159</v>
      </c>
      <c r="BW38" s="57">
        <f t="shared" si="51"/>
        <v>0.33737622312064219</v>
      </c>
      <c r="BX38" s="993">
        <f t="shared" si="51"/>
        <v>0.37664505054358194</v>
      </c>
      <c r="BY38" s="57">
        <f t="shared" si="51"/>
        <v>0.3819970401323235</v>
      </c>
      <c r="BZ38" s="57">
        <f t="shared" si="51"/>
        <v>0.36237640496915408</v>
      </c>
      <c r="CA38" s="57">
        <f t="shared" si="51"/>
        <v>0.35431946267273989</v>
      </c>
      <c r="CB38" s="993">
        <f t="shared" si="51"/>
        <v>0.31855478489505418</v>
      </c>
      <c r="CC38" s="57">
        <f t="shared" si="51"/>
        <v>0.30873224618621781</v>
      </c>
      <c r="CD38" s="57">
        <f t="shared" si="51"/>
        <v>0.32525673940949934</v>
      </c>
    </row>
    <row r="39" spans="1:82" outlineLevel="1">
      <c r="A39" s="1128" t="s">
        <v>68</v>
      </c>
      <c r="G39" s="57">
        <f>G10/G$3</f>
        <v>0.14736842105263157</v>
      </c>
      <c r="H39" s="57">
        <f>H10/H$3</f>
        <v>0.19685863874345549</v>
      </c>
      <c r="I39" s="57">
        <f t="shared" ref="I39:S39" si="52">I10/I$3</f>
        <v>0.18691117092866757</v>
      </c>
      <c r="J39" s="57">
        <f t="shared" si="52"/>
        <v>0.16097503532736693</v>
      </c>
      <c r="K39" s="57">
        <f t="shared" si="52"/>
        <v>0.12253689668927005</v>
      </c>
      <c r="L39" s="57">
        <f t="shared" si="52"/>
        <v>0.12474369367221401</v>
      </c>
      <c r="M39" s="674">
        <f t="shared" si="52"/>
        <v>0.15032867682569109</v>
      </c>
      <c r="N39" s="57">
        <f t="shared" si="52"/>
        <v>0.15650232120819063</v>
      </c>
      <c r="O39" s="57">
        <f t="shared" si="52"/>
        <v>0.15617475515545495</v>
      </c>
      <c r="P39" s="601">
        <f t="shared" si="52"/>
        <v>0.16437145846631732</v>
      </c>
      <c r="Q39" s="601">
        <f t="shared" si="52"/>
        <v>0.17533437059304072</v>
      </c>
      <c r="R39" s="601">
        <f t="shared" si="52"/>
        <v>0.18630905007840651</v>
      </c>
      <c r="S39" s="601">
        <f t="shared" si="52"/>
        <v>0.19757304477199775</v>
      </c>
      <c r="T39" s="601"/>
      <c r="X39" s="222" t="str">
        <f t="shared" si="48"/>
        <v/>
      </c>
      <c r="AD39" s="601">
        <f t="shared" ref="AD39:AZ39" si="53">AD10/AD$3</f>
        <v>0.17707509881422925</v>
      </c>
      <c r="AE39" s="601">
        <f t="shared" si="53"/>
        <v>0.18881626724763981</v>
      </c>
      <c r="AF39" s="601">
        <f t="shared" si="53"/>
        <v>0.17967853042479909</v>
      </c>
      <c r="AG39" s="993">
        <f t="shared" si="53"/>
        <v>0.20128205128205129</v>
      </c>
      <c r="AH39" s="57">
        <f t="shared" si="53"/>
        <v>0.19474835886214442</v>
      </c>
      <c r="AI39" s="57">
        <f t="shared" si="53"/>
        <v>0.16051844466600199</v>
      </c>
      <c r="AJ39" s="57">
        <f t="shared" si="53"/>
        <v>0.15487571701720843</v>
      </c>
      <c r="AK39" s="993">
        <f t="shared" si="53"/>
        <v>0.1492</v>
      </c>
      <c r="AL39" s="57">
        <f t="shared" si="53"/>
        <v>0.13630463003028992</v>
      </c>
      <c r="AM39" s="57">
        <f t="shared" si="53"/>
        <v>0.11536972512582269</v>
      </c>
      <c r="AN39" s="57">
        <f t="shared" si="53"/>
        <v>0.11423841059602649</v>
      </c>
      <c r="AO39" s="993">
        <f t="shared" si="53"/>
        <v>0.12671147622603934</v>
      </c>
      <c r="AP39" s="57">
        <f t="shared" si="53"/>
        <v>0.14339924106251248</v>
      </c>
      <c r="AQ39" s="57">
        <f t="shared" si="53"/>
        <v>0.15718349928876243</v>
      </c>
      <c r="AR39" s="57">
        <f t="shared" si="53"/>
        <v>0.11503267973856209</v>
      </c>
      <c r="AS39" s="993">
        <f t="shared" si="53"/>
        <v>0.11651098207523353</v>
      </c>
      <c r="AT39" s="57">
        <f t="shared" si="53"/>
        <v>0.10586388928520474</v>
      </c>
      <c r="AU39" s="57">
        <f t="shared" si="53"/>
        <v>0.17841140529531568</v>
      </c>
      <c r="AV39" s="57">
        <f t="shared" si="53"/>
        <v>0.14971145919208573</v>
      </c>
      <c r="AW39" s="993">
        <f t="shared" si="53"/>
        <v>0.19484662576687117</v>
      </c>
      <c r="AX39" s="57">
        <f t="shared" si="53"/>
        <v>0.17222222222222222</v>
      </c>
      <c r="AY39" s="57">
        <f t="shared" si="53"/>
        <v>0.15839860748476936</v>
      </c>
      <c r="AZ39" s="57">
        <f t="shared" si="53"/>
        <v>0.16755957879179753</v>
      </c>
      <c r="BA39" s="57">
        <f>BC10/BC$3</f>
        <v>0.13520193147426612</v>
      </c>
      <c r="BD39" s="57"/>
      <c r="BE39" s="57"/>
      <c r="BI39" s="601" t="str">
        <f t="shared" si="50"/>
        <v/>
      </c>
      <c r="BJ39" s="601" t="str">
        <f t="shared" si="50"/>
        <v/>
      </c>
      <c r="BK39" s="601" t="str">
        <f t="shared" si="50"/>
        <v/>
      </c>
      <c r="BL39" s="993">
        <f t="shared" ref="BL39:CD39" si="54">BL10/BL$3</f>
        <v>0.18691117092866757</v>
      </c>
      <c r="BM39" s="57">
        <f t="shared" si="54"/>
        <v>0.19074380165289256</v>
      </c>
      <c r="BN39" s="57">
        <f t="shared" si="54"/>
        <v>0.1820631831112442</v>
      </c>
      <c r="BO39" s="57">
        <f t="shared" si="54"/>
        <v>0.17319915254237289</v>
      </c>
      <c r="BP39" s="993">
        <f t="shared" si="54"/>
        <v>0.16097503532736693</v>
      </c>
      <c r="BQ39" s="57">
        <f t="shared" si="54"/>
        <v>0.15002120441051739</v>
      </c>
      <c r="BR39" s="57">
        <f t="shared" si="54"/>
        <v>0.13897492256968727</v>
      </c>
      <c r="BS39" s="57">
        <f t="shared" si="54"/>
        <v>0.12706480304955528</v>
      </c>
      <c r="BT39" s="993">
        <f t="shared" si="54"/>
        <v>0.12253689668927005</v>
      </c>
      <c r="BU39" s="57">
        <f t="shared" si="54"/>
        <v>0.12730615192699102</v>
      </c>
      <c r="BV39" s="57">
        <f t="shared" si="54"/>
        <v>0.13660618996798293</v>
      </c>
      <c r="BW39" s="57">
        <f t="shared" si="54"/>
        <v>0.13652077107868987</v>
      </c>
      <c r="BX39" s="993">
        <f t="shared" si="54"/>
        <v>0.13084112149532709</v>
      </c>
      <c r="BY39" s="57">
        <f t="shared" si="54"/>
        <v>0.12048402542004004</v>
      </c>
      <c r="BZ39" s="57">
        <f t="shared" si="54"/>
        <v>0.12596129468435729</v>
      </c>
      <c r="CA39" s="57">
        <f t="shared" si="54"/>
        <v>0.13313518103914151</v>
      </c>
      <c r="CB39" s="993">
        <f t="shared" si="54"/>
        <v>0.15050546262296569</v>
      </c>
      <c r="CC39" s="57">
        <f t="shared" si="54"/>
        <v>0.17148869016307206</v>
      </c>
      <c r="CD39" s="57">
        <f t="shared" si="54"/>
        <v>0.16645271715875054</v>
      </c>
    </row>
    <row r="40" spans="1:82" outlineLevel="1">
      <c r="A40" s="1128" t="s">
        <v>69</v>
      </c>
      <c r="G40" s="57">
        <f t="shared" ref="G40:I41" si="55">G11/G$3</f>
        <v>0</v>
      </c>
      <c r="H40" s="57">
        <f t="shared" si="55"/>
        <v>0</v>
      </c>
      <c r="I40" s="57">
        <f t="shared" si="55"/>
        <v>0</v>
      </c>
      <c r="J40" s="57">
        <f t="shared" ref="J40:S40" si="56">J11/J$3</f>
        <v>0</v>
      </c>
      <c r="K40" s="57">
        <f t="shared" si="56"/>
        <v>0</v>
      </c>
      <c r="L40" s="57">
        <f t="shared" si="56"/>
        <v>1.0633732296981545E-2</v>
      </c>
      <c r="M40" s="674">
        <f t="shared" si="56"/>
        <v>2.5175525396109712E-2</v>
      </c>
      <c r="N40" s="57">
        <f t="shared" si="56"/>
        <v>3.5619275120030235E-2</v>
      </c>
      <c r="O40" s="57">
        <f t="shared" si="56"/>
        <v>3.9828895388057499E-2</v>
      </c>
      <c r="P40" s="601">
        <f t="shared" si="56"/>
        <v>4.3661602253227905E-2</v>
      </c>
      <c r="Q40" s="601">
        <f t="shared" si="56"/>
        <v>4.765371847166007E-2</v>
      </c>
      <c r="R40" s="601">
        <f t="shared" si="56"/>
        <v>5.0960695121137746E-2</v>
      </c>
      <c r="S40" s="601">
        <f t="shared" si="56"/>
        <v>5.3498887832737693E-2</v>
      </c>
      <c r="T40" s="601"/>
      <c r="X40" s="222" t="str">
        <f t="shared" si="48"/>
        <v/>
      </c>
      <c r="AD40" s="601">
        <f t="shared" ref="AD40:AZ40" si="57">AD11/AD$3</f>
        <v>0</v>
      </c>
      <c r="AE40" s="601">
        <f t="shared" si="57"/>
        <v>0</v>
      </c>
      <c r="AF40" s="601">
        <f t="shared" si="57"/>
        <v>0</v>
      </c>
      <c r="AG40" s="993">
        <f t="shared" si="57"/>
        <v>0</v>
      </c>
      <c r="AH40" s="57">
        <f t="shared" si="57"/>
        <v>0</v>
      </c>
      <c r="AI40" s="57">
        <f t="shared" si="57"/>
        <v>0</v>
      </c>
      <c r="AJ40" s="57">
        <f t="shared" si="57"/>
        <v>0</v>
      </c>
      <c r="AK40" s="993">
        <f t="shared" si="57"/>
        <v>0</v>
      </c>
      <c r="AL40" s="57">
        <f t="shared" si="57"/>
        <v>0</v>
      </c>
      <c r="AM40" s="57">
        <f t="shared" si="57"/>
        <v>0</v>
      </c>
      <c r="AN40" s="57">
        <f t="shared" si="57"/>
        <v>0</v>
      </c>
      <c r="AO40" s="993">
        <f t="shared" si="57"/>
        <v>0</v>
      </c>
      <c r="AP40" s="57">
        <f t="shared" si="57"/>
        <v>0</v>
      </c>
      <c r="AQ40" s="57">
        <f t="shared" si="57"/>
        <v>0</v>
      </c>
      <c r="AR40" s="57">
        <f t="shared" si="57"/>
        <v>7.058823529411765E-3</v>
      </c>
      <c r="AS40" s="993">
        <f t="shared" si="57"/>
        <v>8.7099217369351178E-3</v>
      </c>
      <c r="AT40" s="57">
        <f t="shared" si="57"/>
        <v>9.1311171351119991E-3</v>
      </c>
      <c r="AU40" s="57">
        <f t="shared" si="57"/>
        <v>2.1995926680244398E-2</v>
      </c>
      <c r="AV40" s="57">
        <f t="shared" si="57"/>
        <v>3.3800494641384994E-2</v>
      </c>
      <c r="AW40" s="993">
        <f t="shared" si="57"/>
        <v>4.3926380368098157E-2</v>
      </c>
      <c r="AX40" s="57">
        <f t="shared" si="57"/>
        <v>4.1666666666666664E-2</v>
      </c>
      <c r="AY40" s="57">
        <f t="shared" si="57"/>
        <v>3.6118363794604001E-2</v>
      </c>
      <c r="AZ40" s="57">
        <f t="shared" si="57"/>
        <v>3.0112691668206171E-2</v>
      </c>
      <c r="BA40" s="57">
        <f>BC11/BC$3</f>
        <v>3.6199846592980985E-2</v>
      </c>
      <c r="BD40" s="57"/>
      <c r="BE40" s="57"/>
      <c r="BI40" s="601" t="str">
        <f t="shared" ref="BI40:BK41" si="58">IFERROR(BI11/BI$3,"")</f>
        <v/>
      </c>
      <c r="BJ40" s="601" t="str">
        <f t="shared" si="58"/>
        <v/>
      </c>
      <c r="BK40" s="601" t="str">
        <f t="shared" si="58"/>
        <v/>
      </c>
      <c r="BL40" s="993">
        <f t="shared" ref="BL40:CD40" si="59">BL11/BL$3</f>
        <v>0</v>
      </c>
      <c r="BM40" s="57">
        <f t="shared" si="59"/>
        <v>0</v>
      </c>
      <c r="BN40" s="57">
        <f t="shared" si="59"/>
        <v>0</v>
      </c>
      <c r="BO40" s="57">
        <f t="shared" si="59"/>
        <v>0</v>
      </c>
      <c r="BP40" s="993">
        <f t="shared" si="59"/>
        <v>0</v>
      </c>
      <c r="BQ40" s="57">
        <f t="shared" si="59"/>
        <v>0</v>
      </c>
      <c r="BR40" s="57">
        <f t="shared" si="59"/>
        <v>0</v>
      </c>
      <c r="BS40" s="57">
        <f t="shared" si="59"/>
        <v>0</v>
      </c>
      <c r="BT40" s="993">
        <f t="shared" si="59"/>
        <v>0</v>
      </c>
      <c r="BU40" s="57">
        <f t="shared" si="59"/>
        <v>0</v>
      </c>
      <c r="BV40" s="57">
        <f t="shared" si="59"/>
        <v>0</v>
      </c>
      <c r="BW40" s="57">
        <f t="shared" si="59"/>
        <v>1.5820003515556336E-3</v>
      </c>
      <c r="BX40" s="993">
        <f t="shared" si="59"/>
        <v>4.5775319473583828E-3</v>
      </c>
      <c r="BY40" s="57">
        <f t="shared" si="59"/>
        <v>6.964394532950292E-3</v>
      </c>
      <c r="BZ40" s="57">
        <f t="shared" si="59"/>
        <v>1.1324262655286065E-2</v>
      </c>
      <c r="CA40" s="57">
        <f t="shared" si="59"/>
        <v>1.7216088936925809E-2</v>
      </c>
      <c r="CB40" s="993">
        <f t="shared" si="59"/>
        <v>2.5205131692279795E-2</v>
      </c>
      <c r="CC40" s="57">
        <f t="shared" si="59"/>
        <v>3.4560757496054709E-2</v>
      </c>
      <c r="CD40" s="57">
        <f t="shared" si="59"/>
        <v>3.8243474540008558E-2</v>
      </c>
    </row>
    <row r="41" spans="1:82" outlineLevel="1">
      <c r="A41" s="1128" t="s">
        <v>70</v>
      </c>
      <c r="G41" s="57">
        <f t="shared" si="55"/>
        <v>0</v>
      </c>
      <c r="H41" s="57">
        <f t="shared" si="55"/>
        <v>1.3089005235602094E-2</v>
      </c>
      <c r="I41" s="57">
        <f t="shared" si="55"/>
        <v>1.278600269179004E-2</v>
      </c>
      <c r="J41" s="57">
        <f t="shared" ref="J41:S41" si="60">J12/J$3</f>
        <v>3.0028261893546869E-2</v>
      </c>
      <c r="K41" s="57">
        <f t="shared" si="60"/>
        <v>2.1140805743917031E-2</v>
      </c>
      <c r="L41" s="57">
        <f t="shared" si="60"/>
        <v>1.7929521720471128E-2</v>
      </c>
      <c r="M41" s="674">
        <f t="shared" si="60"/>
        <v>1.7976049608373301E-2</v>
      </c>
      <c r="N41" s="57">
        <f t="shared" si="60"/>
        <v>3.2697729144019812E-2</v>
      </c>
      <c r="O41" s="57">
        <f t="shared" si="60"/>
        <v>4.0122740302351766E-2</v>
      </c>
      <c r="P41" s="601">
        <f t="shared" si="60"/>
        <v>4.758098825780413E-2</v>
      </c>
      <c r="Q41" s="601">
        <f t="shared" si="60"/>
        <v>5.5790005739490632E-2</v>
      </c>
      <c r="R41" s="601">
        <f t="shared" si="60"/>
        <v>6.3898237211235345E-2</v>
      </c>
      <c r="S41" s="601">
        <f t="shared" si="60"/>
        <v>7.1770184558752573E-2</v>
      </c>
      <c r="T41" s="601"/>
      <c r="X41" s="222" t="str">
        <f t="shared" si="48"/>
        <v/>
      </c>
      <c r="AD41" s="601">
        <f t="shared" ref="AD41:AZ41" si="61">AD12/AD$3</f>
        <v>1.7391304347826087E-2</v>
      </c>
      <c r="AE41" s="601">
        <f t="shared" si="61"/>
        <v>1.4524328249818447E-2</v>
      </c>
      <c r="AF41" s="601">
        <f t="shared" si="61"/>
        <v>5.7405281285878304E-3</v>
      </c>
      <c r="AG41" s="993">
        <f t="shared" si="61"/>
        <v>1.5384615384615385E-2</v>
      </c>
      <c r="AH41" s="57">
        <f t="shared" si="61"/>
        <v>3.8657913931436909E-2</v>
      </c>
      <c r="AI41" s="57">
        <f t="shared" si="61"/>
        <v>3.140578265204387E-2</v>
      </c>
      <c r="AJ41" s="57">
        <f t="shared" si="61"/>
        <v>2.5239005736137667E-2</v>
      </c>
      <c r="AK41" s="993">
        <f t="shared" si="61"/>
        <v>2.92E-2</v>
      </c>
      <c r="AL41" s="57">
        <f t="shared" si="61"/>
        <v>2.7260926006057985E-2</v>
      </c>
      <c r="AM41" s="57">
        <f t="shared" si="61"/>
        <v>2.2841656987998452E-2</v>
      </c>
      <c r="AN41" s="57">
        <f t="shared" si="61"/>
        <v>1.7108167770419427E-2</v>
      </c>
      <c r="AO41" s="993">
        <f t="shared" si="61"/>
        <v>2.0164301717699777E-2</v>
      </c>
      <c r="AP41" s="57">
        <f t="shared" si="61"/>
        <v>1.6177351707609346E-2</v>
      </c>
      <c r="AQ41" s="57">
        <f t="shared" si="61"/>
        <v>1.8729255571360834E-2</v>
      </c>
      <c r="AR41" s="57">
        <f t="shared" si="61"/>
        <v>3.215686274509804E-2</v>
      </c>
      <c r="AS41" s="993">
        <f t="shared" si="61"/>
        <v>1.173945973239081E-2</v>
      </c>
      <c r="AT41" s="57">
        <f t="shared" si="61"/>
        <v>1.0129833071764873E-2</v>
      </c>
      <c r="AU41" s="57">
        <f t="shared" si="61"/>
        <v>1.8940936863543787E-2</v>
      </c>
      <c r="AV41" s="57">
        <f t="shared" si="61"/>
        <v>1.5828524319868097E-2</v>
      </c>
      <c r="AW41" s="993">
        <f t="shared" si="61"/>
        <v>3.3619631901840488E-2</v>
      </c>
      <c r="AX41" s="57">
        <f t="shared" si="61"/>
        <v>3.0303030303030304E-2</v>
      </c>
      <c r="AY41" s="57">
        <f t="shared" si="61"/>
        <v>3.6988685813751088E-2</v>
      </c>
      <c r="AZ41" s="57">
        <f t="shared" si="61"/>
        <v>3.1590615185664139E-2</v>
      </c>
      <c r="BA41" s="57">
        <f>BC12/BC$3</f>
        <v>3.2006475713567628E-2</v>
      </c>
      <c r="BD41" s="57"/>
      <c r="BE41" s="57"/>
      <c r="BI41" s="601" t="str">
        <f t="shared" si="58"/>
        <v/>
      </c>
      <c r="BJ41" s="601" t="str">
        <f t="shared" si="58"/>
        <v/>
      </c>
      <c r="BK41" s="601" t="str">
        <f t="shared" si="58"/>
        <v/>
      </c>
      <c r="BL41" s="993">
        <f t="shared" ref="BL41:CD41" si="62">BL12/BL$3</f>
        <v>1.278600269179004E-2</v>
      </c>
      <c r="BM41" s="57">
        <f t="shared" si="62"/>
        <v>1.7685950413223142E-2</v>
      </c>
      <c r="BN41" s="57">
        <f t="shared" si="62"/>
        <v>2.2458451864051505E-2</v>
      </c>
      <c r="BO41" s="57">
        <f t="shared" si="62"/>
        <v>2.7277542372881356E-2</v>
      </c>
      <c r="BP41" s="993">
        <f t="shared" si="62"/>
        <v>3.0028261893546869E-2</v>
      </c>
      <c r="BQ41" s="57">
        <f t="shared" si="62"/>
        <v>2.8095843935538593E-2</v>
      </c>
      <c r="BR41" s="57">
        <f t="shared" si="62"/>
        <v>2.607653112199021E-2</v>
      </c>
      <c r="BS41" s="57">
        <f t="shared" si="62"/>
        <v>2.3325467416954074E-2</v>
      </c>
      <c r="BT41" s="993">
        <f t="shared" si="62"/>
        <v>2.1140805743917031E-2</v>
      </c>
      <c r="BU41" s="57">
        <f t="shared" si="62"/>
        <v>1.8580526557678417E-2</v>
      </c>
      <c r="BV41" s="57">
        <f t="shared" si="62"/>
        <v>1.7965136961935253E-2</v>
      </c>
      <c r="BW41" s="57">
        <f t="shared" si="62"/>
        <v>2.1327708443194468E-2</v>
      </c>
      <c r="BX41" s="993">
        <f t="shared" si="62"/>
        <v>1.7928666793820332E-2</v>
      </c>
      <c r="BY41" s="57">
        <f t="shared" si="62"/>
        <v>1.5931052494123792E-2</v>
      </c>
      <c r="BZ41" s="57">
        <f t="shared" si="62"/>
        <v>1.6056790332122033E-2</v>
      </c>
      <c r="CA41" s="57">
        <f t="shared" si="62"/>
        <v>1.3626186983710337E-2</v>
      </c>
      <c r="CB41" s="993">
        <f t="shared" si="62"/>
        <v>1.7997189355818486E-2</v>
      </c>
      <c r="CC41" s="57">
        <f t="shared" si="62"/>
        <v>2.3461336138874276E-2</v>
      </c>
      <c r="CD41" s="57">
        <f t="shared" si="62"/>
        <v>2.7973898160034233E-2</v>
      </c>
    </row>
    <row r="42" spans="1:82" outlineLevel="1">
      <c r="I42" s="303"/>
      <c r="J42" s="303"/>
      <c r="K42" s="303"/>
      <c r="L42" s="303"/>
      <c r="M42" s="1156"/>
      <c r="N42" s="303"/>
      <c r="Q42" s="1157"/>
      <c r="X42" s="222" t="str">
        <f t="shared" si="48"/>
        <v/>
      </c>
      <c r="AB42" s="1150"/>
      <c r="AC42" s="1150"/>
      <c r="AD42" s="1152"/>
      <c r="AE42" s="1152"/>
      <c r="AF42" s="1152"/>
      <c r="AG42" s="1153"/>
      <c r="AH42" s="1152"/>
      <c r="AI42" s="1152"/>
      <c r="AJ42" s="1152"/>
      <c r="AK42" s="1153"/>
      <c r="AL42" s="1152"/>
      <c r="AM42" s="1152"/>
      <c r="AN42" s="1152"/>
      <c r="AO42" s="1153"/>
      <c r="AP42" s="1152"/>
      <c r="AQ42" s="1152"/>
      <c r="AR42" s="1152"/>
      <c r="AS42" s="1153"/>
      <c r="AT42" s="1152"/>
      <c r="AU42" s="1152"/>
      <c r="AV42" s="1152"/>
      <c r="AW42" s="1153"/>
      <c r="AX42" s="1152"/>
      <c r="AY42" s="1152"/>
      <c r="AZ42" s="1152"/>
      <c r="BA42" s="1152"/>
      <c r="BB42" s="1152"/>
      <c r="BC42" s="1152"/>
      <c r="BD42" s="1152"/>
      <c r="BE42" s="1152"/>
      <c r="BF42" s="1134"/>
      <c r="BG42" s="1132"/>
      <c r="BH42" s="1132"/>
      <c r="BI42" s="1152"/>
      <c r="BJ42" s="1152"/>
      <c r="BK42" s="1152"/>
      <c r="BL42" s="1153"/>
      <c r="BM42" s="1152"/>
      <c r="BN42" s="1152"/>
      <c r="BO42" s="1152"/>
      <c r="BP42" s="1153"/>
      <c r="BQ42" s="1152"/>
      <c r="BR42" s="1152"/>
      <c r="BS42" s="1152"/>
      <c r="BT42" s="1153"/>
      <c r="BU42" s="1152"/>
      <c r="BV42" s="1152"/>
      <c r="BW42" s="1152"/>
      <c r="BX42" s="1153"/>
      <c r="BY42" s="1152"/>
      <c r="BZ42" s="1152"/>
      <c r="CA42" s="1152"/>
      <c r="CB42" s="1153"/>
      <c r="CC42" s="1152"/>
      <c r="CD42" s="1152"/>
    </row>
    <row r="43" spans="1:82" outlineLevel="1">
      <c r="A43" s="511" t="s">
        <v>437</v>
      </c>
      <c r="B43" s="410"/>
      <c r="C43" s="410"/>
      <c r="D43" s="410"/>
      <c r="E43" s="410"/>
      <c r="F43" s="410"/>
      <c r="G43" s="406">
        <f>SUM(G34,G38,G39)</f>
        <v>1</v>
      </c>
      <c r="H43" s="406">
        <f t="shared" ref="H43:S43" si="63">SUM(H34,H38,H39)</f>
        <v>0.98691099476439792</v>
      </c>
      <c r="I43" s="406">
        <f t="shared" si="63"/>
        <v>0.98721399730821002</v>
      </c>
      <c r="J43" s="406">
        <f t="shared" si="63"/>
        <v>0.9699717381064531</v>
      </c>
      <c r="K43" s="406">
        <f t="shared" si="63"/>
        <v>0.97885919425608303</v>
      </c>
      <c r="L43" s="406">
        <f t="shared" si="63"/>
        <v>0.97143674598254737</v>
      </c>
      <c r="M43" s="679">
        <f t="shared" si="63"/>
        <v>0.95684842499551692</v>
      </c>
      <c r="N43" s="406">
        <f t="shared" si="63"/>
        <v>0.93168299573595004</v>
      </c>
      <c r="O43" s="406">
        <f t="shared" si="63"/>
        <v>0.92004836430959058</v>
      </c>
      <c r="P43" s="617">
        <f t="shared" si="63"/>
        <v>0.90875740948896799</v>
      </c>
      <c r="Q43" s="617">
        <f t="shared" si="63"/>
        <v>0.89655627578884933</v>
      </c>
      <c r="R43" s="617">
        <f t="shared" si="63"/>
        <v>0.8851410676676269</v>
      </c>
      <c r="S43" s="617">
        <f t="shared" si="63"/>
        <v>0.87473092760850979</v>
      </c>
      <c r="T43" s="617"/>
      <c r="X43" s="222" t="str">
        <f t="shared" si="48"/>
        <v/>
      </c>
      <c r="AD43" s="617"/>
      <c r="AE43" s="617"/>
      <c r="AF43" s="617"/>
      <c r="AG43" s="756"/>
      <c r="AH43" s="406"/>
      <c r="AI43" s="406"/>
      <c r="AJ43" s="406"/>
      <c r="AK43" s="756"/>
      <c r="AL43" s="406"/>
      <c r="AM43" s="406"/>
      <c r="AN43" s="406"/>
      <c r="AO43" s="756"/>
      <c r="AP43" s="406"/>
      <c r="AQ43" s="406"/>
      <c r="AR43" s="406"/>
      <c r="AS43" s="756"/>
      <c r="AT43" s="406"/>
      <c r="AU43" s="406"/>
      <c r="AV43" s="406"/>
      <c r="AW43" s="756"/>
      <c r="AX43" s="617">
        <f>SUM(AX34:AX38)</f>
        <v>0.75580808080808082</v>
      </c>
      <c r="AY43" s="617">
        <f>SUM(AY34:AY38)</f>
        <v>0.76849434290687557</v>
      </c>
      <c r="AZ43" s="617">
        <f>SUM(AZ34:AZ38)</f>
        <v>0.77073711435433212</v>
      </c>
      <c r="BA43" s="617">
        <f>SUM(BA34:BA38)</f>
        <v>0.79659174621918516</v>
      </c>
      <c r="BB43" s="406"/>
      <c r="BC43" s="406"/>
      <c r="BD43" s="406"/>
      <c r="BE43" s="406"/>
      <c r="BI43" s="617"/>
      <c r="BJ43" s="617"/>
      <c r="BK43" s="617"/>
      <c r="BL43" s="756"/>
      <c r="BM43" s="406"/>
      <c r="BN43" s="406"/>
      <c r="BO43" s="406"/>
      <c r="BP43" s="756"/>
      <c r="BQ43" s="406"/>
      <c r="BR43" s="406"/>
      <c r="BS43" s="406"/>
      <c r="BT43" s="756"/>
      <c r="BU43" s="406"/>
      <c r="BV43" s="406"/>
      <c r="BW43" s="406"/>
      <c r="BX43" s="756"/>
      <c r="BY43" s="406"/>
      <c r="BZ43" s="406"/>
      <c r="CA43" s="406"/>
      <c r="CB43" s="756"/>
      <c r="CC43" s="406"/>
      <c r="CD43" s="406"/>
    </row>
    <row r="44" spans="1:82" outlineLevel="1">
      <c r="A44" s="518" t="s">
        <v>660</v>
      </c>
      <c r="G44" s="537">
        <f>SUM(G40:G41)</f>
        <v>0</v>
      </c>
      <c r="H44" s="537">
        <f t="shared" ref="H44:S44" si="64">SUM(H40:H41)</f>
        <v>1.3089005235602094E-2</v>
      </c>
      <c r="I44" s="537">
        <f t="shared" si="64"/>
        <v>1.278600269179004E-2</v>
      </c>
      <c r="J44" s="537">
        <f t="shared" si="64"/>
        <v>3.0028261893546869E-2</v>
      </c>
      <c r="K44" s="537">
        <f t="shared" si="64"/>
        <v>2.1140805743917031E-2</v>
      </c>
      <c r="L44" s="537">
        <f t="shared" si="64"/>
        <v>2.8563254017452674E-2</v>
      </c>
      <c r="M44" s="843">
        <f t="shared" si="64"/>
        <v>4.3151575004483009E-2</v>
      </c>
      <c r="N44" s="537">
        <f t="shared" si="64"/>
        <v>6.8317004264050046E-2</v>
      </c>
      <c r="O44" s="537">
        <f t="shared" si="64"/>
        <v>7.9951635690409265E-2</v>
      </c>
      <c r="P44" s="757">
        <f t="shared" si="64"/>
        <v>9.1242590511032035E-2</v>
      </c>
      <c r="Q44" s="757">
        <f t="shared" si="64"/>
        <v>0.10344372421115069</v>
      </c>
      <c r="R44" s="757">
        <f t="shared" si="64"/>
        <v>0.1148589323323731</v>
      </c>
      <c r="S44" s="757">
        <f t="shared" si="64"/>
        <v>0.12526907239149027</v>
      </c>
      <c r="T44" s="757"/>
      <c r="X44" s="222" t="str">
        <f t="shared" si="48"/>
        <v/>
      </c>
      <c r="AD44" s="601"/>
      <c r="AE44" s="601"/>
      <c r="AF44" s="601"/>
      <c r="AG44" s="993"/>
      <c r="AH44" s="57"/>
      <c r="AI44" s="57"/>
      <c r="AJ44" s="57"/>
      <c r="AK44" s="993"/>
      <c r="AL44" s="57"/>
      <c r="AM44" s="57"/>
      <c r="AN44" s="57"/>
      <c r="AO44" s="993"/>
      <c r="AP44" s="57"/>
      <c r="AQ44" s="57"/>
      <c r="AR44" s="57"/>
      <c r="AS44" s="993"/>
      <c r="AT44" s="57"/>
      <c r="AU44" s="57"/>
      <c r="AV44" s="57"/>
      <c r="AW44" s="993"/>
      <c r="AX44" s="757">
        <f>SUM(AX39:AX41)</f>
        <v>0.24419191919191918</v>
      </c>
      <c r="AY44" s="757">
        <f>SUM(AY39:AY41)</f>
        <v>0.23150565709312446</v>
      </c>
      <c r="AZ44" s="757">
        <f>SUM(AZ39:AZ41)</f>
        <v>0.22926288564566785</v>
      </c>
      <c r="BA44" s="757">
        <f>SUM(BA39:BA41)</f>
        <v>0.20340825378081473</v>
      </c>
      <c r="BD44" s="57"/>
      <c r="BE44" s="57"/>
      <c r="BI44" s="601"/>
      <c r="BJ44" s="601"/>
      <c r="BK44" s="601"/>
      <c r="BL44" s="993"/>
      <c r="BM44" s="57"/>
      <c r="BN44" s="57"/>
      <c r="BO44" s="57"/>
      <c r="BP44" s="993"/>
      <c r="BQ44" s="57"/>
      <c r="BR44" s="57"/>
      <c r="BS44" s="57"/>
      <c r="BT44" s="993"/>
      <c r="BU44" s="57"/>
      <c r="BV44" s="57"/>
      <c r="BW44" s="57"/>
      <c r="BX44" s="993"/>
      <c r="BY44" s="57"/>
      <c r="BZ44" s="57"/>
      <c r="CA44" s="57"/>
      <c r="CB44" s="993"/>
      <c r="CC44" s="57"/>
      <c r="CD44" s="57"/>
    </row>
    <row r="45" spans="1:82">
      <c r="A45" s="871"/>
      <c r="B45" s="431"/>
      <c r="C45" s="431"/>
      <c r="D45" s="431"/>
      <c r="E45" s="431"/>
      <c r="F45" s="431"/>
      <c r="G45" s="431"/>
      <c r="H45" s="431"/>
      <c r="I45" s="544"/>
      <c r="J45" s="544"/>
      <c r="K45" s="544"/>
      <c r="L45" s="544"/>
      <c r="M45" s="844"/>
      <c r="N45" s="544"/>
      <c r="O45" s="544"/>
      <c r="P45" s="545"/>
      <c r="Q45" s="545"/>
      <c r="R45" s="545"/>
      <c r="S45" s="545"/>
      <c r="T45" s="545"/>
      <c r="X45" s="222" t="str">
        <f t="shared" si="48"/>
        <v/>
      </c>
      <c r="AD45" s="432"/>
      <c r="AE45" s="432"/>
      <c r="AF45" s="432"/>
      <c r="AG45" s="429"/>
      <c r="AH45" s="428"/>
      <c r="AI45" s="428"/>
      <c r="AJ45" s="428"/>
      <c r="AK45" s="429"/>
      <c r="AL45" s="428"/>
      <c r="AM45" s="428"/>
      <c r="AN45" s="428"/>
      <c r="AO45" s="429"/>
      <c r="AP45" s="428"/>
      <c r="AQ45" s="428"/>
      <c r="AR45" s="428"/>
      <c r="AS45" s="429"/>
      <c r="AT45" s="428"/>
      <c r="AU45" s="428"/>
      <c r="AV45" s="428"/>
      <c r="AW45" s="429"/>
      <c r="AX45" s="428"/>
      <c r="AY45" s="428"/>
      <c r="AZ45" s="428"/>
      <c r="BA45" s="428"/>
      <c r="BD45" s="428"/>
      <c r="BE45" s="428"/>
      <c r="BI45" s="432"/>
      <c r="BJ45" s="432"/>
      <c r="BK45" s="432"/>
      <c r="BL45" s="429"/>
      <c r="BM45" s="428"/>
      <c r="BN45" s="428"/>
      <c r="BO45" s="428"/>
      <c r="BP45" s="429"/>
      <c r="BQ45" s="428"/>
      <c r="BR45" s="428"/>
      <c r="BS45" s="428"/>
      <c r="BT45" s="429"/>
      <c r="BU45" s="428"/>
      <c r="BV45" s="428"/>
      <c r="BW45" s="428"/>
      <c r="BX45" s="429"/>
      <c r="BY45" s="428"/>
      <c r="BZ45" s="428"/>
      <c r="CA45" s="428"/>
      <c r="CB45" s="429"/>
      <c r="CC45" s="428"/>
      <c r="CD45" s="428"/>
    </row>
    <row r="46" spans="1:82">
      <c r="A46" s="864" t="s">
        <v>481</v>
      </c>
      <c r="B46" s="403"/>
      <c r="C46" s="403"/>
      <c r="D46" s="403"/>
      <c r="E46" s="403"/>
      <c r="F46" s="403"/>
      <c r="G46" s="404">
        <f>'A. FS'!G13</f>
        <v>240.761657262</v>
      </c>
      <c r="H46" s="404">
        <f>'A. FS'!H13</f>
        <v>274.750336398</v>
      </c>
      <c r="I46" s="404">
        <f>'A. FS'!I13</f>
        <v>368.90628119199999</v>
      </c>
      <c r="J46" s="404">
        <f>'A. FS'!J13</f>
        <v>548.12643127599995</v>
      </c>
      <c r="K46" s="404">
        <f>'A. FS'!K13</f>
        <v>802.78231671100002</v>
      </c>
      <c r="L46" s="404">
        <f>'A. FS'!L13</f>
        <v>1507.9941685030001</v>
      </c>
      <c r="M46" s="838">
        <f>'A. FS'!M13</f>
        <v>1663.0963934710001</v>
      </c>
      <c r="N46" s="404">
        <f>SUM(N47:N55)-N48</f>
        <v>1429.5495030654592</v>
      </c>
      <c r="O46" s="404">
        <f t="shared" ref="O46:S46" si="65">SUM(O47:O55)-O48</f>
        <v>1602.1694637780852</v>
      </c>
      <c r="P46" s="597">
        <f t="shared" si="65"/>
        <v>1815.8780523896958</v>
      </c>
      <c r="Q46" s="597">
        <f t="shared" si="65"/>
        <v>2026.7288580765332</v>
      </c>
      <c r="R46" s="597">
        <f t="shared" si="65"/>
        <v>2281.9378617523166</v>
      </c>
      <c r="S46" s="597">
        <f t="shared" si="65"/>
        <v>2565.9378044806458</v>
      </c>
      <c r="T46" s="807"/>
      <c r="U46" s="537"/>
      <c r="V46" s="406"/>
      <c r="W46" s="406"/>
      <c r="X46" s="222" t="str">
        <f>IFERROR(IF((W46/R46)^(1/8)-1&lt;0,"",(W46/R46)^(1/8)-1),"")</f>
        <v/>
      </c>
      <c r="AB46" s="1132"/>
      <c r="AC46" s="1132"/>
      <c r="AD46" s="437"/>
      <c r="AE46" s="437"/>
      <c r="AF46" s="437"/>
      <c r="AG46" s="438"/>
      <c r="AH46" s="439"/>
      <c r="AI46" s="439"/>
      <c r="AJ46" s="439"/>
      <c r="AK46" s="438"/>
      <c r="AL46" s="439"/>
      <c r="AM46" s="439"/>
      <c r="AN46" s="439"/>
      <c r="AO46" s="438"/>
      <c r="AP46" s="439"/>
      <c r="AQ46" s="439"/>
      <c r="AR46" s="439"/>
      <c r="AS46" s="438"/>
      <c r="AT46" s="439" t="s">
        <v>481</v>
      </c>
      <c r="AU46" s="439"/>
      <c r="AV46" s="439"/>
      <c r="AW46" s="438"/>
      <c r="AX46" s="440">
        <v>260.73360993100005</v>
      </c>
      <c r="AY46" s="440">
        <v>392.97647730999961</v>
      </c>
      <c r="AZ46" s="440">
        <f>AZ3*AZ57</f>
        <v>409.6175186450734</v>
      </c>
      <c r="BA46" s="440">
        <f>BC3*BA57</f>
        <v>464.75494527275367</v>
      </c>
      <c r="BB46" s="439"/>
      <c r="BC46" s="440">
        <f>SUM(AX46:AY46)</f>
        <v>653.71008724099966</v>
      </c>
      <c r="BD46" s="440">
        <f>SUM(AZ46:BA46)</f>
        <v>874.37246391782708</v>
      </c>
      <c r="BE46" s="439"/>
      <c r="BF46" s="1132"/>
      <c r="BG46" s="1158"/>
      <c r="BH46" s="1158"/>
      <c r="BI46" s="1132"/>
      <c r="BJ46" s="1132"/>
      <c r="BK46" s="1132"/>
      <c r="BL46" s="1133"/>
      <c r="BM46" s="1132"/>
      <c r="BN46" s="1132"/>
      <c r="BO46" s="1132"/>
      <c r="BP46" s="1133"/>
      <c r="BQ46" s="1132"/>
      <c r="BR46" s="1132"/>
      <c r="BS46" s="1132"/>
      <c r="BT46" s="1133"/>
      <c r="BU46" s="1132"/>
      <c r="BV46" s="1132"/>
      <c r="BW46" s="1132"/>
      <c r="BX46" s="1133"/>
      <c r="BY46" s="1132"/>
      <c r="BZ46" s="1132"/>
      <c r="CA46" s="1132"/>
      <c r="CB46" s="1133"/>
      <c r="CC46" s="1132"/>
      <c r="CD46" s="1132"/>
    </row>
    <row r="47" spans="1:82">
      <c r="I47" s="415"/>
      <c r="J47" s="415"/>
      <c r="K47" s="415"/>
      <c r="L47" s="415"/>
      <c r="M47" s="1147"/>
      <c r="N47" s="415"/>
      <c r="O47" s="415"/>
      <c r="P47" s="415"/>
      <c r="Q47" s="1159"/>
      <c r="R47" s="415"/>
      <c r="S47" s="415"/>
      <c r="T47" s="415"/>
      <c r="U47" s="406"/>
      <c r="V47" s="406"/>
      <c r="W47" s="406"/>
      <c r="X47" s="222" t="str">
        <f>IFERROR(IF((W47/R47)^(1/8)-1&lt;0,"",(W47/R47)^(1/8)-1),"")</f>
        <v/>
      </c>
      <c r="AB47" s="1132"/>
      <c r="AC47" s="1132"/>
      <c r="AD47" s="1132"/>
      <c r="AE47" s="1132"/>
      <c r="AF47" s="1132"/>
      <c r="AG47" s="1133"/>
      <c r="AH47" s="1132"/>
      <c r="AI47" s="1132"/>
      <c r="AJ47" s="1132"/>
      <c r="AK47" s="1133"/>
      <c r="AL47" s="1132"/>
      <c r="AM47" s="1132"/>
      <c r="AN47" s="1132"/>
      <c r="AO47" s="1133"/>
      <c r="AP47" s="1132"/>
      <c r="AQ47" s="1132"/>
      <c r="AR47" s="1132"/>
      <c r="AS47" s="1133"/>
      <c r="AT47" s="1132"/>
      <c r="AU47" s="1132"/>
      <c r="AV47" s="1132"/>
      <c r="AW47" s="1133"/>
      <c r="AX47" s="1160"/>
      <c r="AY47" s="1160"/>
      <c r="AZ47" s="1132"/>
      <c r="BA47" s="1132"/>
      <c r="BB47" s="1132"/>
      <c r="BC47" s="1132"/>
      <c r="BD47" s="1132"/>
      <c r="BE47" s="1132"/>
      <c r="BF47" s="1132"/>
      <c r="BG47" s="1158"/>
      <c r="BH47" s="1158"/>
      <c r="BI47" s="1132"/>
      <c r="BJ47" s="1132"/>
      <c r="BK47" s="1132"/>
      <c r="BL47" s="1133"/>
      <c r="BM47" s="1132"/>
      <c r="BN47" s="1132"/>
      <c r="BO47" s="1132"/>
      <c r="BP47" s="1133"/>
      <c r="BQ47" s="1132"/>
      <c r="BR47" s="1132"/>
      <c r="BS47" s="1132"/>
      <c r="BT47" s="1133"/>
      <c r="BU47" s="1132"/>
      <c r="BV47" s="1132"/>
      <c r="BW47" s="1132"/>
      <c r="BX47" s="1133"/>
      <c r="BY47" s="1132"/>
      <c r="BZ47" s="1132"/>
      <c r="CA47" s="1132"/>
      <c r="CB47" s="1133"/>
      <c r="CC47" s="1132"/>
      <c r="CD47" s="1132"/>
    </row>
    <row r="48" spans="1:82">
      <c r="A48" s="1128" t="s">
        <v>63</v>
      </c>
      <c r="G48" s="415">
        <f t="shared" ref="G48:S48" si="66">G5*G59</f>
        <v>61.816696744996634</v>
      </c>
      <c r="H48" s="415">
        <f t="shared" si="66"/>
        <v>42.987951447982709</v>
      </c>
      <c r="I48" s="415">
        <f t="shared" si="66"/>
        <v>135.80067242021184</v>
      </c>
      <c r="J48" s="415">
        <f t="shared" si="66"/>
        <v>224.66217399114447</v>
      </c>
      <c r="K48" s="415">
        <f t="shared" si="66"/>
        <v>368.13226867542767</v>
      </c>
      <c r="L48" s="415">
        <f t="shared" si="66"/>
        <v>617.6872199770819</v>
      </c>
      <c r="M48" s="1147">
        <f t="shared" si="66"/>
        <v>680.15047800574928</v>
      </c>
      <c r="N48" s="415">
        <f t="shared" si="66"/>
        <v>539.42470296973261</v>
      </c>
      <c r="O48" s="415">
        <f t="shared" si="66"/>
        <v>574.27837762013485</v>
      </c>
      <c r="P48" s="415">
        <f t="shared" si="66"/>
        <v>643.43046920081713</v>
      </c>
      <c r="Q48" s="415">
        <f t="shared" si="66"/>
        <v>690.41055981719023</v>
      </c>
      <c r="R48" s="415">
        <f t="shared" si="66"/>
        <v>748.20071380916681</v>
      </c>
      <c r="S48" s="415">
        <f t="shared" si="66"/>
        <v>810.24736645091355</v>
      </c>
      <c r="T48" s="415"/>
      <c r="U48" s="537"/>
      <c r="V48" s="537"/>
      <c r="W48" s="406"/>
      <c r="X48" s="222" t="str">
        <f>IFERROR(IF((W48/R48)^(1/8)-1&lt;0,"",(W48/R48)^(1/8)-1),"")</f>
        <v/>
      </c>
      <c r="AB48" s="1132"/>
      <c r="AC48" s="1132"/>
      <c r="AD48" s="1132"/>
      <c r="AE48" s="1132"/>
      <c r="AF48" s="1132"/>
      <c r="AG48" s="1133"/>
      <c r="AH48" s="1132"/>
      <c r="AI48" s="1132"/>
      <c r="AJ48" s="1132"/>
      <c r="AK48" s="1133"/>
      <c r="AL48" s="1132"/>
      <c r="AM48" s="1132"/>
      <c r="AN48" s="1132"/>
      <c r="AO48" s="1133"/>
      <c r="AP48" s="1132"/>
      <c r="AQ48" s="1132"/>
      <c r="AR48" s="1132"/>
      <c r="AS48" s="1133"/>
      <c r="AT48" s="303" t="s">
        <v>663</v>
      </c>
      <c r="AU48" s="303"/>
      <c r="AV48" s="303"/>
      <c r="AW48" s="1133"/>
      <c r="AX48" s="92"/>
      <c r="AY48" s="92"/>
      <c r="AZ48" s="1132"/>
      <c r="BA48" s="1132"/>
      <c r="BB48" s="1132"/>
      <c r="BC48" s="1132"/>
      <c r="BD48" s="1132"/>
      <c r="BE48" s="1132"/>
      <c r="BF48" s="1132"/>
      <c r="BG48" s="1148"/>
      <c r="BH48" s="1148"/>
      <c r="BI48" s="1132"/>
      <c r="BJ48" s="1132"/>
      <c r="BK48" s="1132"/>
      <c r="BL48" s="1133"/>
      <c r="BM48" s="1132"/>
      <c r="BN48" s="1132"/>
      <c r="BO48" s="1132"/>
      <c r="BP48" s="1133"/>
      <c r="BQ48" s="1132"/>
      <c r="BR48" s="1132"/>
      <c r="BS48" s="1132"/>
      <c r="BT48" s="1133"/>
      <c r="BU48" s="1132"/>
      <c r="BV48" s="1132"/>
      <c r="BW48" s="1132"/>
      <c r="BX48" s="1133"/>
      <c r="BY48" s="1132"/>
      <c r="BZ48" s="1132"/>
      <c r="CA48" s="1132"/>
      <c r="CB48" s="1133"/>
      <c r="CC48" s="1132"/>
      <c r="CD48" s="1132"/>
    </row>
    <row r="49" spans="1:82">
      <c r="A49" s="865" t="s">
        <v>64</v>
      </c>
      <c r="G49" s="415"/>
      <c r="H49" s="415"/>
      <c r="I49" s="415">
        <f t="shared" ref="I49:M51" si="67">I60*I6</f>
        <v>127.60000000000004</v>
      </c>
      <c r="J49" s="415">
        <f t="shared" si="67"/>
        <v>214.60000000000002</v>
      </c>
      <c r="K49" s="415">
        <f t="shared" si="67"/>
        <v>313.2</v>
      </c>
      <c r="L49" s="415">
        <f t="shared" si="67"/>
        <v>457.2</v>
      </c>
      <c r="M49" s="1147">
        <f t="shared" si="67"/>
        <v>441.6</v>
      </c>
      <c r="N49" s="415">
        <f t="shared" ref="N49:S55" si="68">N6*N60</f>
        <v>297.15896674873261</v>
      </c>
      <c r="O49" s="415">
        <f t="shared" si="68"/>
        <v>313.32512565404068</v>
      </c>
      <c r="P49" s="415">
        <f t="shared" si="68"/>
        <v>336.70869288927105</v>
      </c>
      <c r="Q49" s="415">
        <f t="shared" si="68"/>
        <v>335.76886051802626</v>
      </c>
      <c r="R49" s="415">
        <f t="shared" si="68"/>
        <v>338.10371907780404</v>
      </c>
      <c r="S49" s="415">
        <f t="shared" si="68"/>
        <v>339.32878896781784</v>
      </c>
      <c r="T49" s="415"/>
      <c r="U49" s="537"/>
      <c r="V49" s="537"/>
      <c r="W49" s="406"/>
      <c r="X49" s="222"/>
      <c r="AB49" s="1132"/>
      <c r="AC49" s="1132"/>
      <c r="AD49" s="1132"/>
      <c r="AE49" s="1132"/>
      <c r="AF49" s="1132"/>
      <c r="AG49" s="1133"/>
      <c r="AH49" s="1132"/>
      <c r="AI49" s="1132"/>
      <c r="AJ49" s="1132"/>
      <c r="AK49" s="1133"/>
      <c r="AL49" s="1132"/>
      <c r="AM49" s="1132"/>
      <c r="AN49" s="1132"/>
      <c r="AO49" s="1133"/>
      <c r="AP49" s="1132"/>
      <c r="AQ49" s="1132"/>
      <c r="AR49" s="1132"/>
      <c r="AS49" s="1133"/>
      <c r="AT49" s="303"/>
      <c r="AU49" s="303"/>
      <c r="AV49" s="303"/>
      <c r="AW49" s="1133"/>
      <c r="AX49" s="92"/>
      <c r="AY49" s="92"/>
      <c r="AZ49" s="1132"/>
      <c r="BA49" s="1132"/>
      <c r="BB49" s="1132"/>
      <c r="BC49" s="1132"/>
      <c r="BD49" s="1132"/>
      <c r="BE49" s="1132"/>
      <c r="BF49" s="1132"/>
      <c r="BG49" s="1148"/>
      <c r="BH49" s="1148"/>
      <c r="BI49" s="1132"/>
      <c r="BJ49" s="1132"/>
      <c r="BK49" s="1132"/>
      <c r="BL49" s="1133"/>
      <c r="BM49" s="1132"/>
      <c r="BN49" s="1132"/>
      <c r="BO49" s="1132"/>
      <c r="BP49" s="1133"/>
      <c r="BQ49" s="1132"/>
      <c r="BR49" s="1132"/>
      <c r="BS49" s="1132"/>
      <c r="BT49" s="1133"/>
      <c r="BU49" s="1132"/>
      <c r="BV49" s="1132"/>
      <c r="BW49" s="1132"/>
      <c r="BX49" s="1133"/>
      <c r="BY49" s="1132"/>
      <c r="BZ49" s="1132"/>
      <c r="CA49" s="1132"/>
      <c r="CB49" s="1133"/>
      <c r="CC49" s="1132"/>
      <c r="CD49" s="1132"/>
    </row>
    <row r="50" spans="1:82">
      <c r="A50" s="865" t="s">
        <v>65</v>
      </c>
      <c r="G50" s="415"/>
      <c r="H50" s="415"/>
      <c r="I50" s="415">
        <f t="shared" si="67"/>
        <v>0</v>
      </c>
      <c r="J50" s="415">
        <f t="shared" si="67"/>
        <v>0</v>
      </c>
      <c r="K50" s="415">
        <f t="shared" si="67"/>
        <v>48.6</v>
      </c>
      <c r="L50" s="415">
        <f t="shared" si="67"/>
        <v>154.72072420712487</v>
      </c>
      <c r="M50" s="1147">
        <f t="shared" si="67"/>
        <v>231.0868531530997</v>
      </c>
      <c r="N50" s="415">
        <f t="shared" si="68"/>
        <v>235.98223622099999</v>
      </c>
      <c r="O50" s="415">
        <f t="shared" si="68"/>
        <v>249.44825196609412</v>
      </c>
      <c r="P50" s="415">
        <f t="shared" si="68"/>
        <v>291.82280131154607</v>
      </c>
      <c r="Q50" s="415">
        <f t="shared" si="68"/>
        <v>335.34781429916399</v>
      </c>
      <c r="R50" s="415">
        <f t="shared" si="68"/>
        <v>385.01494423136273</v>
      </c>
      <c r="S50" s="415">
        <f t="shared" si="68"/>
        <v>438.31191183309573</v>
      </c>
      <c r="T50" s="415"/>
      <c r="U50" s="537"/>
      <c r="V50" s="537"/>
      <c r="W50" s="406"/>
      <c r="X50" s="222"/>
      <c r="AB50" s="1132"/>
      <c r="AC50" s="1132"/>
      <c r="AD50" s="1132"/>
      <c r="AE50" s="1132"/>
      <c r="AF50" s="1132"/>
      <c r="AG50" s="1133"/>
      <c r="AH50" s="1132"/>
      <c r="AI50" s="1132"/>
      <c r="AJ50" s="1132"/>
      <c r="AK50" s="1133"/>
      <c r="AL50" s="1132"/>
      <c r="AM50" s="1132"/>
      <c r="AN50" s="1132"/>
      <c r="AO50" s="1133"/>
      <c r="AP50" s="1132"/>
      <c r="AQ50" s="1132"/>
      <c r="AR50" s="1132"/>
      <c r="AS50" s="1133"/>
      <c r="AT50" s="303"/>
      <c r="AU50" s="303"/>
      <c r="AV50" s="303"/>
      <c r="AW50" s="1133"/>
      <c r="AX50" s="92"/>
      <c r="AY50" s="92"/>
      <c r="AZ50" s="1132"/>
      <c r="BA50" s="1132"/>
      <c r="BB50" s="1132"/>
      <c r="BC50" s="1132"/>
      <c r="BD50" s="1132"/>
      <c r="BE50" s="1132"/>
      <c r="BF50" s="1132"/>
      <c r="BG50" s="1148"/>
      <c r="BH50" s="1148"/>
      <c r="BI50" s="1132"/>
      <c r="BJ50" s="1132"/>
      <c r="BK50" s="1132"/>
      <c r="BL50" s="1133"/>
      <c r="BM50" s="1132"/>
      <c r="BN50" s="1132"/>
      <c r="BO50" s="1132"/>
      <c r="BP50" s="1133"/>
      <c r="BQ50" s="1132"/>
      <c r="BR50" s="1132"/>
      <c r="BS50" s="1132"/>
      <c r="BT50" s="1133"/>
      <c r="BU50" s="1132"/>
      <c r="BV50" s="1132"/>
      <c r="BW50" s="1132"/>
      <c r="BX50" s="1133"/>
      <c r="BY50" s="1132"/>
      <c r="BZ50" s="1132"/>
      <c r="CA50" s="1132"/>
      <c r="CB50" s="1133"/>
      <c r="CC50" s="1132"/>
      <c r="CD50" s="1132"/>
    </row>
    <row r="51" spans="1:82">
      <c r="A51" s="865" t="s">
        <v>66</v>
      </c>
      <c r="G51" s="415"/>
      <c r="H51" s="415"/>
      <c r="I51" s="415">
        <f t="shared" si="67"/>
        <v>10.075000000000001</v>
      </c>
      <c r="J51" s="415">
        <f t="shared" si="67"/>
        <v>12.74</v>
      </c>
      <c r="K51" s="415">
        <f t="shared" si="67"/>
        <v>5.46</v>
      </c>
      <c r="L51" s="415">
        <f t="shared" si="67"/>
        <v>4.2488770498425765</v>
      </c>
      <c r="M51" s="1147">
        <f t="shared" si="67"/>
        <v>4.4249999999999998</v>
      </c>
      <c r="N51" s="415">
        <f t="shared" si="68"/>
        <v>6.2834999999999992</v>
      </c>
      <c r="O51" s="415">
        <f t="shared" si="68"/>
        <v>11.505000000000001</v>
      </c>
      <c r="P51" s="415">
        <f t="shared" si="68"/>
        <v>14.898975</v>
      </c>
      <c r="Q51" s="415">
        <f t="shared" si="68"/>
        <v>19.293885</v>
      </c>
      <c r="R51" s="415">
        <f t="shared" si="68"/>
        <v>25.082050500000001</v>
      </c>
      <c r="S51" s="415">
        <f t="shared" si="68"/>
        <v>32.606665650000004</v>
      </c>
      <c r="T51" s="415"/>
      <c r="U51" s="537"/>
      <c r="V51" s="537"/>
      <c r="W51" s="406"/>
      <c r="X51" s="222"/>
      <c r="AB51" s="1132"/>
      <c r="AC51" s="1132"/>
      <c r="AD51" s="1132"/>
      <c r="AE51" s="1132"/>
      <c r="AF51" s="1132"/>
      <c r="AG51" s="1133"/>
      <c r="AH51" s="1132"/>
      <c r="AI51" s="1132"/>
      <c r="AJ51" s="1132"/>
      <c r="AK51" s="1133"/>
      <c r="AL51" s="1132"/>
      <c r="AM51" s="1132"/>
      <c r="AN51" s="1132"/>
      <c r="AO51" s="1133"/>
      <c r="AP51" s="1132"/>
      <c r="AQ51" s="1132"/>
      <c r="AR51" s="1132"/>
      <c r="AS51" s="1133"/>
      <c r="AT51" s="303"/>
      <c r="AU51" s="303"/>
      <c r="AV51" s="303"/>
      <c r="AW51" s="1133"/>
      <c r="AX51" s="92"/>
      <c r="AY51" s="92"/>
      <c r="AZ51" s="1132"/>
      <c r="BA51" s="1132"/>
      <c r="BB51" s="1132"/>
      <c r="BC51" s="1132"/>
      <c r="BD51" s="1132"/>
      <c r="BE51" s="1132"/>
      <c r="BF51" s="1132"/>
      <c r="BG51" s="1148"/>
      <c r="BH51" s="1148"/>
      <c r="BI51" s="1132"/>
      <c r="BJ51" s="1132"/>
      <c r="BK51" s="1132"/>
      <c r="BL51" s="1133"/>
      <c r="BM51" s="1132"/>
      <c r="BN51" s="1132"/>
      <c r="BO51" s="1132"/>
      <c r="BP51" s="1133"/>
      <c r="BQ51" s="1132"/>
      <c r="BR51" s="1132"/>
      <c r="BS51" s="1132"/>
      <c r="BT51" s="1133"/>
      <c r="BU51" s="1132"/>
      <c r="BV51" s="1132"/>
      <c r="BW51" s="1132"/>
      <c r="BX51" s="1133"/>
      <c r="BY51" s="1132"/>
      <c r="BZ51" s="1132"/>
      <c r="CA51" s="1132"/>
      <c r="CB51" s="1133"/>
      <c r="CC51" s="1132"/>
      <c r="CD51" s="1132"/>
    </row>
    <row r="52" spans="1:82">
      <c r="A52" s="1128" t="s">
        <v>67</v>
      </c>
      <c r="G52" s="415">
        <f t="shared" ref="G52:M53" si="69">G9*G63</f>
        <v>146.69734938660699</v>
      </c>
      <c r="H52" s="415">
        <f t="shared" si="69"/>
        <v>151.06250263378755</v>
      </c>
      <c r="I52" s="415">
        <f t="shared" si="69"/>
        <v>162.53091938497693</v>
      </c>
      <c r="J52" s="415">
        <f t="shared" si="69"/>
        <v>201.23520160321456</v>
      </c>
      <c r="K52" s="415">
        <f t="shared" si="69"/>
        <v>294.34200637995406</v>
      </c>
      <c r="L52" s="415">
        <f t="shared" si="69"/>
        <v>613.47448468856476</v>
      </c>
      <c r="M52" s="1147">
        <f t="shared" si="69"/>
        <v>524.66975375446839</v>
      </c>
      <c r="N52" s="415">
        <f t="shared" si="68"/>
        <v>470.70962097072658</v>
      </c>
      <c r="O52" s="415">
        <f t="shared" si="68"/>
        <v>515.33724226420054</v>
      </c>
      <c r="P52" s="415">
        <f t="shared" si="68"/>
        <v>536.26956883536332</v>
      </c>
      <c r="Q52" s="415">
        <f t="shared" si="68"/>
        <v>557.61699405159914</v>
      </c>
      <c r="R52" s="415">
        <f t="shared" si="68"/>
        <v>591.95432404781479</v>
      </c>
      <c r="S52" s="415">
        <f t="shared" si="68"/>
        <v>628.10295038436072</v>
      </c>
      <c r="T52" s="415"/>
      <c r="U52" s="537"/>
      <c r="V52" s="406"/>
      <c r="W52" s="406"/>
      <c r="X52" s="222" t="str">
        <f t="shared" ref="X52:X59" si="70">IFERROR(IF((W52/R52)^(1/8)-1&lt;0,"",(W52/R52)^(1/8)-1),"")</f>
        <v/>
      </c>
      <c r="AB52" s="1132"/>
      <c r="AC52" s="1132"/>
      <c r="AD52" s="1132"/>
      <c r="AE52" s="1132"/>
      <c r="AF52" s="1132"/>
      <c r="AG52" s="1133"/>
      <c r="AH52" s="1132"/>
      <c r="AI52" s="1132"/>
      <c r="AJ52" s="1132"/>
      <c r="AK52" s="1133"/>
      <c r="AL52" s="1132"/>
      <c r="AM52" s="1132"/>
      <c r="AN52" s="1132"/>
      <c r="AO52" s="1133"/>
      <c r="AP52" s="1132"/>
      <c r="AQ52" s="1132"/>
      <c r="AR52" s="1132"/>
      <c r="AS52" s="1133"/>
      <c r="AT52" s="303" t="s">
        <v>67</v>
      </c>
      <c r="AU52" s="303"/>
      <c r="AV52" s="303"/>
      <c r="AW52" s="1133"/>
      <c r="AX52" s="92"/>
      <c r="AY52" s="92"/>
      <c r="AZ52" s="1132"/>
      <c r="BA52" s="1132"/>
      <c r="BB52" s="1132"/>
      <c r="BC52" s="1132"/>
      <c r="BD52" s="1132"/>
      <c r="BE52" s="1132"/>
      <c r="BF52" s="1132"/>
      <c r="BG52" s="1148"/>
      <c r="BH52" s="1148"/>
      <c r="BI52" s="1132"/>
      <c r="BJ52" s="1132"/>
      <c r="BK52" s="1132"/>
      <c r="BL52" s="1133"/>
      <c r="BM52" s="1132"/>
      <c r="BN52" s="1132"/>
      <c r="BO52" s="1132"/>
      <c r="BP52" s="1133"/>
      <c r="BQ52" s="1132"/>
      <c r="BR52" s="1132"/>
      <c r="BS52" s="1132"/>
      <c r="BT52" s="1133"/>
      <c r="BU52" s="1132"/>
      <c r="BV52" s="1132"/>
      <c r="BW52" s="1132"/>
      <c r="BX52" s="1133"/>
      <c r="BY52" s="1132"/>
      <c r="BZ52" s="1132"/>
      <c r="CA52" s="1132"/>
      <c r="CB52" s="1133"/>
      <c r="CC52" s="1132"/>
      <c r="CD52" s="1132"/>
    </row>
    <row r="53" spans="1:82">
      <c r="A53" s="1128" t="s">
        <v>68</v>
      </c>
      <c r="G53" s="415">
        <f t="shared" si="69"/>
        <v>43.492307069603278</v>
      </c>
      <c r="H53" s="415">
        <f t="shared" si="69"/>
        <v>58.403955207752972</v>
      </c>
      <c r="I53" s="415">
        <f t="shared" si="69"/>
        <v>87.39663063273079</v>
      </c>
      <c r="J53" s="415">
        <f t="shared" si="69"/>
        <v>107.53482815026372</v>
      </c>
      <c r="K53" s="415">
        <f t="shared" si="69"/>
        <v>122.36518510519755</v>
      </c>
      <c r="L53" s="415">
        <f t="shared" si="69"/>
        <v>208.4032058822896</v>
      </c>
      <c r="M53" s="1147">
        <f t="shared" si="69"/>
        <v>269.26804905550512</v>
      </c>
      <c r="N53" s="415">
        <f t="shared" si="68"/>
        <v>254.93616000000003</v>
      </c>
      <c r="O53" s="415">
        <f t="shared" si="68"/>
        <v>290.326032</v>
      </c>
      <c r="P53" s="415">
        <f t="shared" si="68"/>
        <v>346.11483059999995</v>
      </c>
      <c r="Q53" s="415">
        <f t="shared" si="68"/>
        <v>410.16346217999995</v>
      </c>
      <c r="R53" s="415">
        <f t="shared" si="68"/>
        <v>483.79453730099999</v>
      </c>
      <c r="S53" s="415">
        <f t="shared" si="68"/>
        <v>569.08725841485011</v>
      </c>
      <c r="T53" s="415"/>
      <c r="U53" s="537"/>
      <c r="V53" s="406"/>
      <c r="W53" s="406"/>
      <c r="X53" s="222" t="str">
        <f t="shared" si="70"/>
        <v/>
      </c>
      <c r="AB53" s="1132"/>
      <c r="AC53" s="1132"/>
      <c r="AD53" s="1132"/>
      <c r="AE53" s="1132"/>
      <c r="AF53" s="1132"/>
      <c r="AG53" s="1133"/>
      <c r="AH53" s="1132"/>
      <c r="AI53" s="1132"/>
      <c r="AJ53" s="1132"/>
      <c r="AK53" s="1133"/>
      <c r="AL53" s="1132"/>
      <c r="AM53" s="1132"/>
      <c r="AN53" s="1132"/>
      <c r="AO53" s="1133"/>
      <c r="AP53" s="1132"/>
      <c r="AQ53" s="1132"/>
      <c r="AR53" s="1132"/>
      <c r="AS53" s="1133"/>
      <c r="AT53" s="303" t="s">
        <v>68</v>
      </c>
      <c r="AU53" s="303"/>
      <c r="AV53" s="303"/>
      <c r="AW53" s="1133"/>
      <c r="AX53" s="92"/>
      <c r="AY53" s="92"/>
      <c r="AZ53" s="1132"/>
      <c r="BA53" s="1132"/>
      <c r="BB53" s="1132"/>
      <c r="BC53" s="1132"/>
      <c r="BD53" s="1132"/>
      <c r="BE53" s="1132"/>
      <c r="BF53" s="1132"/>
      <c r="BG53" s="1148"/>
      <c r="BH53" s="1148"/>
      <c r="BI53" s="1132"/>
      <c r="BJ53" s="1132"/>
      <c r="BK53" s="1132"/>
      <c r="BL53" s="1133"/>
      <c r="BM53" s="1132"/>
      <c r="BN53" s="1132"/>
      <c r="BO53" s="1132"/>
      <c r="BP53" s="1133"/>
      <c r="BQ53" s="1132"/>
      <c r="BR53" s="1132"/>
      <c r="BS53" s="1132"/>
      <c r="BT53" s="1133"/>
      <c r="BU53" s="1132"/>
      <c r="BV53" s="1132"/>
      <c r="BW53" s="1132"/>
      <c r="BX53" s="1133"/>
      <c r="BY53" s="1132"/>
      <c r="BZ53" s="1132"/>
      <c r="CA53" s="1132"/>
      <c r="CB53" s="1133"/>
      <c r="CC53" s="1132"/>
      <c r="CD53" s="1132"/>
    </row>
    <row r="54" spans="1:82">
      <c r="A54" s="1128" t="s">
        <v>69</v>
      </c>
      <c r="G54" s="415">
        <f>G11*G65</f>
        <v>0</v>
      </c>
      <c r="H54" s="415">
        <f>H11*H65</f>
        <v>0</v>
      </c>
      <c r="I54" s="1161" t="s">
        <v>664</v>
      </c>
      <c r="J54" s="1161" t="s">
        <v>664</v>
      </c>
      <c r="K54" s="1161" t="s">
        <v>664</v>
      </c>
      <c r="L54" s="415">
        <f>L11*L65</f>
        <v>19.549257994119692</v>
      </c>
      <c r="M54" s="1147">
        <f>M11*M65</f>
        <v>54.30164773421771</v>
      </c>
      <c r="N54" s="415">
        <f t="shared" si="68"/>
        <v>65.185665999999998</v>
      </c>
      <c r="O54" s="415">
        <f t="shared" si="68"/>
        <v>83.182080799999994</v>
      </c>
      <c r="P54" s="415">
        <f t="shared" si="68"/>
        <v>103.28799390000002</v>
      </c>
      <c r="Q54" s="415">
        <f t="shared" si="68"/>
        <v>125.24000602749999</v>
      </c>
      <c r="R54" s="415">
        <f t="shared" si="68"/>
        <v>148.66841985165624</v>
      </c>
      <c r="S54" s="415">
        <f t="shared" si="68"/>
        <v>173.12201428659921</v>
      </c>
      <c r="T54" s="415"/>
      <c r="U54" s="537"/>
      <c r="V54" s="406"/>
      <c r="W54" s="406"/>
      <c r="X54" s="222" t="str">
        <f t="shared" si="70"/>
        <v/>
      </c>
      <c r="AB54" s="1132"/>
      <c r="AC54" s="1132"/>
      <c r="AD54" s="1132"/>
      <c r="AE54" s="1132"/>
      <c r="AF54" s="1132"/>
      <c r="AG54" s="1133"/>
      <c r="AH54" s="1132"/>
      <c r="AI54" s="1132"/>
      <c r="AJ54" s="1132"/>
      <c r="AK54" s="1133"/>
      <c r="AL54" s="1132"/>
      <c r="AM54" s="1132"/>
      <c r="AN54" s="1132"/>
      <c r="AO54" s="1133"/>
      <c r="AP54" s="1132"/>
      <c r="AQ54" s="1132"/>
      <c r="AR54" s="1132"/>
      <c r="AS54" s="1133"/>
      <c r="AT54" s="303" t="s">
        <v>69</v>
      </c>
      <c r="AU54" s="303"/>
      <c r="AV54" s="303"/>
      <c r="AW54" s="1133"/>
      <c r="AX54" s="92"/>
      <c r="AY54" s="92"/>
      <c r="AZ54" s="1132"/>
      <c r="BA54" s="1132"/>
      <c r="BB54" s="1132"/>
      <c r="BC54" s="1132"/>
      <c r="BD54" s="1132"/>
      <c r="BE54" s="1132"/>
      <c r="BF54" s="1132"/>
      <c r="BG54" s="1148"/>
      <c r="BH54" s="1148"/>
      <c r="BI54" s="1132"/>
      <c r="BJ54" s="1132"/>
      <c r="BK54" s="1132"/>
      <c r="BL54" s="1133"/>
      <c r="BM54" s="1132"/>
      <c r="BN54" s="1132"/>
      <c r="BO54" s="1132"/>
      <c r="BP54" s="1133"/>
      <c r="BQ54" s="1132"/>
      <c r="BR54" s="1132"/>
      <c r="BS54" s="1132"/>
      <c r="BT54" s="1133"/>
      <c r="BU54" s="1132"/>
      <c r="BV54" s="1132"/>
      <c r="BW54" s="1132"/>
      <c r="BX54" s="1133"/>
      <c r="BY54" s="1132"/>
      <c r="BZ54" s="1132"/>
      <c r="CA54" s="1132"/>
      <c r="CB54" s="1133"/>
      <c r="CC54" s="1132"/>
      <c r="CD54" s="1132"/>
    </row>
    <row r="55" spans="1:82">
      <c r="A55" s="1128" t="s">
        <v>70</v>
      </c>
      <c r="G55" s="415">
        <f>G12*G66</f>
        <v>0</v>
      </c>
      <c r="H55" s="415">
        <f>H12*H66</f>
        <v>5.5</v>
      </c>
      <c r="I55" s="415">
        <f>I12*I66</f>
        <v>8.36</v>
      </c>
      <c r="J55" s="415">
        <f>J12*J66</f>
        <v>30.599999999999998</v>
      </c>
      <c r="K55" s="415">
        <f>K12*K66</f>
        <v>34.450000000000003</v>
      </c>
      <c r="L55" s="415">
        <f>L12*L66</f>
        <v>52.640000000000008</v>
      </c>
      <c r="M55" s="1147">
        <f>M12*M66</f>
        <v>59.55</v>
      </c>
      <c r="N55" s="415">
        <f t="shared" si="68"/>
        <v>99.29335312500001</v>
      </c>
      <c r="O55" s="415">
        <f t="shared" si="68"/>
        <v>139.04573109374999</v>
      </c>
      <c r="P55" s="415">
        <f t="shared" si="68"/>
        <v>186.77518985351563</v>
      </c>
      <c r="Q55" s="415">
        <f t="shared" si="68"/>
        <v>243.29783600024416</v>
      </c>
      <c r="R55" s="415">
        <f t="shared" si="68"/>
        <v>309.31986674267881</v>
      </c>
      <c r="S55" s="415">
        <f t="shared" si="68"/>
        <v>385.37821494392205</v>
      </c>
      <c r="T55" s="415" t="s">
        <v>150</v>
      </c>
      <c r="U55" s="537"/>
      <c r="V55" s="406"/>
      <c r="W55" s="406"/>
      <c r="X55" s="222" t="str">
        <f t="shared" si="70"/>
        <v/>
      </c>
      <c r="AB55" s="1132"/>
      <c r="AC55" s="1132"/>
      <c r="AD55" s="1132"/>
      <c r="AE55" s="1132"/>
      <c r="AF55" s="1132"/>
      <c r="AG55" s="1133"/>
      <c r="AH55" s="1132"/>
      <c r="AI55" s="1132"/>
      <c r="AJ55" s="1132"/>
      <c r="AK55" s="1133"/>
      <c r="AL55" s="1132"/>
      <c r="AM55" s="1132"/>
      <c r="AN55" s="1132"/>
      <c r="AO55" s="1133"/>
      <c r="AP55" s="1132"/>
      <c r="AQ55" s="1132"/>
      <c r="AR55" s="1132"/>
      <c r="AS55" s="1133"/>
      <c r="AT55" s="303" t="s">
        <v>70</v>
      </c>
      <c r="AU55" s="303"/>
      <c r="AV55" s="303"/>
      <c r="AW55" s="1133"/>
      <c r="AX55" s="92"/>
      <c r="AY55" s="92"/>
      <c r="AZ55" s="1132"/>
      <c r="BA55" s="1132"/>
      <c r="BB55" s="1132"/>
      <c r="BC55" s="1132"/>
      <c r="BD55" s="1132"/>
      <c r="BE55" s="1132"/>
      <c r="BF55" s="1132"/>
      <c r="BG55" s="1148"/>
      <c r="BH55" s="1148"/>
      <c r="BI55" s="1132"/>
      <c r="BJ55" s="1132"/>
      <c r="BK55" s="1132"/>
      <c r="BL55" s="1133"/>
      <c r="BM55" s="1132"/>
      <c r="BN55" s="1132"/>
      <c r="BO55" s="1132"/>
      <c r="BP55" s="1133"/>
      <c r="BQ55" s="1132"/>
      <c r="BR55" s="1132"/>
      <c r="BS55" s="1132"/>
      <c r="BT55" s="1133"/>
      <c r="BU55" s="1132"/>
      <c r="BV55" s="1132"/>
      <c r="BW55" s="1132"/>
      <c r="BX55" s="1133"/>
      <c r="BY55" s="1132"/>
      <c r="BZ55" s="1132"/>
      <c r="CA55" s="1132"/>
      <c r="CB55" s="1133"/>
      <c r="CC55" s="1132"/>
      <c r="CD55" s="1132"/>
    </row>
    <row r="56" spans="1:82">
      <c r="A56" s="512"/>
      <c r="B56" s="431"/>
      <c r="C56" s="431"/>
      <c r="D56" s="431"/>
      <c r="E56" s="431"/>
      <c r="F56" s="431"/>
      <c r="G56" s="431"/>
      <c r="H56" s="431"/>
      <c r="M56" s="415"/>
      <c r="N56" s="415"/>
      <c r="O56" s="415"/>
      <c r="P56" s="415"/>
      <c r="Q56" s="415"/>
      <c r="R56" s="415"/>
      <c r="S56" s="415"/>
      <c r="X56" s="222" t="str">
        <f t="shared" si="70"/>
        <v/>
      </c>
      <c r="AB56" s="1132"/>
      <c r="AC56" s="1132"/>
      <c r="AD56" s="1132"/>
      <c r="AE56" s="1132"/>
      <c r="AF56" s="1132"/>
      <c r="AG56" s="1133"/>
      <c r="AH56" s="1132"/>
      <c r="AI56" s="1132"/>
      <c r="AJ56" s="1132"/>
      <c r="AK56" s="1133"/>
      <c r="AL56" s="1132"/>
      <c r="AM56" s="1132"/>
      <c r="AN56" s="1132"/>
      <c r="AO56" s="1133"/>
      <c r="AP56" s="1132"/>
      <c r="AQ56" s="1132"/>
      <c r="AR56" s="1132"/>
      <c r="AS56" s="1133"/>
      <c r="AW56" s="1133"/>
      <c r="AZ56" s="1132"/>
      <c r="BA56" s="1132"/>
      <c r="BB56" s="1132"/>
      <c r="BC56" s="1132"/>
      <c r="BD56" s="1132"/>
      <c r="BE56" s="1132"/>
      <c r="BF56" s="1132"/>
      <c r="BG56" s="1148"/>
      <c r="BH56" s="1148"/>
      <c r="BI56" s="1132"/>
      <c r="BJ56" s="1132"/>
      <c r="BK56" s="1132"/>
      <c r="BL56" s="1133"/>
      <c r="BM56" s="1132"/>
      <c r="BN56" s="1132"/>
      <c r="BO56" s="1132"/>
      <c r="BP56" s="1133"/>
      <c r="BQ56" s="1132"/>
      <c r="BR56" s="1132"/>
      <c r="BS56" s="1132"/>
      <c r="BT56" s="1133"/>
      <c r="BU56" s="1132"/>
      <c r="BV56" s="1132"/>
      <c r="BW56" s="1132"/>
      <c r="BX56" s="1133"/>
      <c r="BY56" s="1132"/>
      <c r="BZ56" s="1132"/>
      <c r="CA56" s="1132"/>
      <c r="CB56" s="1133"/>
      <c r="CC56" s="1132"/>
      <c r="CD56" s="1132"/>
    </row>
    <row r="57" spans="1:82">
      <c r="A57" s="385" t="s">
        <v>56</v>
      </c>
      <c r="B57" s="441"/>
      <c r="C57" s="441"/>
      <c r="D57" s="441"/>
      <c r="E57" s="441"/>
      <c r="F57" s="441"/>
      <c r="G57" s="442">
        <f t="shared" ref="G57:R57" si="71">G46/G3</f>
        <v>6.3358330858421047E-2</v>
      </c>
      <c r="H57" s="442">
        <f t="shared" si="71"/>
        <v>7.1924171831937167E-2</v>
      </c>
      <c r="I57" s="442">
        <f t="shared" si="71"/>
        <v>6.2063640846567965E-2</v>
      </c>
      <c r="J57" s="442">
        <f t="shared" si="71"/>
        <v>6.4546211878944881E-2</v>
      </c>
      <c r="K57" s="442">
        <f t="shared" si="71"/>
        <v>6.4043264197128039E-2</v>
      </c>
      <c r="L57" s="442">
        <f t="shared" si="71"/>
        <v>7.1908548400314728E-2</v>
      </c>
      <c r="M57" s="1527">
        <f t="shared" si="71"/>
        <v>7.5304542248215159E-2</v>
      </c>
      <c r="N57" s="442">
        <f>N46/N3</f>
        <v>7.1084278732575806E-2</v>
      </c>
      <c r="O57" s="442">
        <f t="shared" si="71"/>
        <v>6.9810110316150392E-2</v>
      </c>
      <c r="P57" s="1528">
        <f t="shared" si="71"/>
        <v>6.9851847698692279E-2</v>
      </c>
      <c r="Q57" s="1528">
        <f t="shared" si="71"/>
        <v>7.0176347184113502E-2</v>
      </c>
      <c r="R57" s="1528">
        <f t="shared" si="71"/>
        <v>7.1180629480356444E-2</v>
      </c>
      <c r="S57" s="1528">
        <f>S46/S3</f>
        <v>7.2157250255878463E-2</v>
      </c>
      <c r="T57" s="599"/>
      <c r="X57" s="222" t="str">
        <f t="shared" si="70"/>
        <v/>
      </c>
      <c r="Y57" s="1596" t="s">
        <v>665</v>
      </c>
      <c r="AB57" s="1132"/>
      <c r="AC57" s="1132"/>
      <c r="AD57" s="1132"/>
      <c r="AE57" s="1132"/>
      <c r="AF57" s="1132"/>
      <c r="AG57" s="1133"/>
      <c r="AH57" s="1132"/>
      <c r="AI57" s="1132"/>
      <c r="AJ57" s="1132"/>
      <c r="AK57" s="1133"/>
      <c r="AL57" s="1132"/>
      <c r="AM57" s="1132"/>
      <c r="AN57" s="1132"/>
      <c r="AO57" s="1133"/>
      <c r="AP57" s="1132"/>
      <c r="AQ57" s="1132"/>
      <c r="AR57" s="1132"/>
      <c r="AS57" s="1133"/>
      <c r="AT57" s="441" t="s">
        <v>56</v>
      </c>
      <c r="AU57" s="441"/>
      <c r="AV57" s="441"/>
      <c r="AW57" s="1162"/>
      <c r="AX57" s="443">
        <f>AX46/AX3</f>
        <v>6.5841820689646474E-2</v>
      </c>
      <c r="AY57" s="443">
        <f>AY46/AY3</f>
        <v>8.5504020302436812E-2</v>
      </c>
      <c r="AZ57" s="444">
        <f>AVERAGE(AX57:AY57)</f>
        <v>7.5672920496041643E-2</v>
      </c>
      <c r="BA57" s="444">
        <f>AZ57</f>
        <v>7.5672920496041643E-2</v>
      </c>
      <c r="BB57" s="441"/>
      <c r="BC57" s="443" t="e">
        <f>BC46/#REF!</f>
        <v>#REF!</v>
      </c>
      <c r="BD57" s="444" t="e">
        <f>BD46/BD3</f>
        <v>#DIV/0!</v>
      </c>
      <c r="BE57" s="441"/>
      <c r="BF57" s="1132"/>
      <c r="BG57" s="1148"/>
      <c r="BH57" s="1148"/>
      <c r="BI57" s="1132"/>
      <c r="BJ57" s="1132"/>
      <c r="BK57" s="1132"/>
      <c r="BL57" s="1133"/>
      <c r="BM57" s="1132"/>
      <c r="BN57" s="1132"/>
      <c r="BO57" s="1132"/>
      <c r="BP57" s="1133"/>
      <c r="BQ57" s="1132"/>
      <c r="BR57" s="1132"/>
      <c r="BS57" s="1132"/>
      <c r="BT57" s="1133"/>
      <c r="BU57" s="1132"/>
      <c r="BV57" s="1132"/>
      <c r="BW57" s="1132"/>
      <c r="BX57" s="1133"/>
      <c r="BY57" s="1132"/>
      <c r="BZ57" s="1132"/>
      <c r="CA57" s="1132"/>
      <c r="CB57" s="1133"/>
      <c r="CC57" s="1132"/>
      <c r="CD57" s="1132"/>
    </row>
    <row r="58" spans="1:82" hidden="1" outlineLevel="1">
      <c r="A58" s="511"/>
      <c r="B58" s="410"/>
      <c r="C58" s="410"/>
      <c r="D58" s="410"/>
      <c r="E58" s="410"/>
      <c r="F58" s="410"/>
      <c r="G58" s="410"/>
      <c r="H58" s="410"/>
      <c r="I58" s="445"/>
      <c r="J58" s="445"/>
      <c r="K58" s="445"/>
      <c r="L58" s="445"/>
      <c r="M58" s="445"/>
      <c r="N58" s="445"/>
      <c r="O58" s="445"/>
      <c r="P58" s="445"/>
      <c r="Q58" s="445"/>
      <c r="R58" s="445"/>
      <c r="S58" s="445"/>
      <c r="T58" s="599"/>
      <c r="X58" s="222" t="str">
        <f t="shared" si="70"/>
        <v/>
      </c>
      <c r="Y58" s="1596"/>
      <c r="AB58" s="1132"/>
      <c r="AC58" s="1132"/>
      <c r="AD58" s="1132"/>
      <c r="AE58" s="1132"/>
      <c r="AF58" s="1132"/>
      <c r="AG58" s="1133"/>
      <c r="AH58" s="1132"/>
      <c r="AI58" s="1132"/>
      <c r="AJ58" s="1132"/>
      <c r="AK58" s="1133"/>
      <c r="AL58" s="1132"/>
      <c r="AM58" s="1132"/>
      <c r="AN58" s="1132"/>
      <c r="AO58" s="1133"/>
      <c r="AP58" s="1132"/>
      <c r="AQ58" s="1132"/>
      <c r="AR58" s="1132"/>
      <c r="AS58" s="1133"/>
      <c r="AT58" s="410"/>
      <c r="AU58" s="410"/>
      <c r="AV58" s="410"/>
      <c r="AW58" s="1133"/>
      <c r="AX58" s="410"/>
      <c r="AY58" s="1132"/>
      <c r="AZ58" s="1132"/>
      <c r="BA58" s="1132"/>
      <c r="BB58" s="1132"/>
      <c r="BC58" s="1132"/>
      <c r="BD58" s="1132"/>
      <c r="BE58" s="1132"/>
      <c r="BF58" s="1132"/>
      <c r="BG58" s="1148"/>
      <c r="BH58" s="1148"/>
      <c r="BI58" s="1132"/>
      <c r="BJ58" s="1132"/>
      <c r="BK58" s="1132"/>
      <c r="BL58" s="1133"/>
      <c r="BM58" s="1132"/>
      <c r="BN58" s="1132"/>
      <c r="BO58" s="1132"/>
      <c r="BP58" s="1133"/>
      <c r="BQ58" s="1132"/>
      <c r="BR58" s="1132"/>
      <c r="BS58" s="1132"/>
      <c r="BT58" s="1133"/>
      <c r="BU58" s="1132"/>
      <c r="BV58" s="1132"/>
      <c r="BW58" s="1132"/>
      <c r="BX58" s="1133"/>
      <c r="BY58" s="1132"/>
      <c r="BZ58" s="1132"/>
      <c r="CA58" s="1132"/>
      <c r="CB58" s="1133"/>
      <c r="CC58" s="1132"/>
      <c r="CD58" s="1132"/>
    </row>
    <row r="59" spans="1:82" hidden="1" outlineLevel="1">
      <c r="A59" s="1128" t="s">
        <v>63</v>
      </c>
      <c r="G59" s="501">
        <f t="shared" ref="G59:M59" si="72">G251</f>
        <v>5.7664829053168498E-2</v>
      </c>
      <c r="H59" s="501">
        <f t="shared" si="72"/>
        <v>5.7164829053168498E-2</v>
      </c>
      <c r="I59" s="501">
        <f t="shared" si="72"/>
        <v>5.7664829053168498E-2</v>
      </c>
      <c r="J59" s="501">
        <f t="shared" si="72"/>
        <v>5.7664829053168498E-2</v>
      </c>
      <c r="K59" s="501">
        <f t="shared" si="72"/>
        <v>5.7664829053168498E-2</v>
      </c>
      <c r="L59" s="501">
        <f t="shared" si="72"/>
        <v>6.2664829053168503E-2</v>
      </c>
      <c r="M59" s="1163">
        <f t="shared" si="72"/>
        <v>6.30648290531685E-2</v>
      </c>
      <c r="N59" s="796">
        <f t="shared" ref="N59:S59" si="73">SUM(N49:N51)/N5</f>
        <v>6.0205952021590729E-2</v>
      </c>
      <c r="O59" s="796">
        <f t="shared" si="73"/>
        <v>5.6309699370876577E-2</v>
      </c>
      <c r="P59" s="796">
        <f t="shared" si="73"/>
        <v>5.5654919607967653E-2</v>
      </c>
      <c r="Q59" s="796">
        <f t="shared" si="73"/>
        <v>5.4986466114114368E-2</v>
      </c>
      <c r="R59" s="796">
        <f t="shared" si="73"/>
        <v>5.4930993433920008E-2</v>
      </c>
      <c r="S59" s="796">
        <f t="shared" si="73"/>
        <v>5.4891299962875943E-2</v>
      </c>
      <c r="T59" s="796"/>
      <c r="X59" s="222" t="str">
        <f t="shared" si="70"/>
        <v/>
      </c>
      <c r="Y59" s="1596"/>
      <c r="AB59" s="1132"/>
      <c r="AC59" s="1132"/>
      <c r="AD59" s="1132"/>
      <c r="AE59" s="1132"/>
      <c r="AF59" s="1132"/>
      <c r="AG59" s="1133"/>
      <c r="AH59" s="1132"/>
      <c r="AI59" s="1132"/>
      <c r="AJ59" s="1132"/>
      <c r="AK59" s="1133"/>
      <c r="AL59" s="1132"/>
      <c r="AM59" s="1132"/>
      <c r="AN59" s="1132"/>
      <c r="AO59" s="1133"/>
      <c r="AP59" s="1132"/>
      <c r="AQ59" s="1132"/>
      <c r="AR59" s="1132"/>
      <c r="AS59" s="1133"/>
      <c r="AT59" s="303" t="s">
        <v>663</v>
      </c>
      <c r="AU59" s="303"/>
      <c r="AV59" s="303"/>
      <c r="AW59" s="1133"/>
      <c r="AX59" s="446"/>
      <c r="AY59" s="446"/>
      <c r="AZ59" s="1132"/>
      <c r="BA59" s="1132"/>
      <c r="BB59" s="1132"/>
      <c r="BC59" s="1132"/>
      <c r="BD59" s="1132"/>
      <c r="BE59" s="1132"/>
      <c r="BF59" s="1132"/>
      <c r="BG59" s="1148"/>
      <c r="BH59" s="1148"/>
      <c r="BI59" s="1132"/>
      <c r="BJ59" s="1132"/>
      <c r="BK59" s="1132"/>
      <c r="BL59" s="1133"/>
      <c r="BM59" s="1132"/>
      <c r="BN59" s="1132"/>
      <c r="BO59" s="1132"/>
      <c r="BP59" s="1133"/>
      <c r="BQ59" s="1132"/>
      <c r="BR59" s="1132"/>
      <c r="BS59" s="1132"/>
      <c r="BT59" s="1133"/>
      <c r="BU59" s="1132"/>
      <c r="BV59" s="1132"/>
      <c r="BW59" s="1132"/>
      <c r="BX59" s="1133"/>
      <c r="BY59" s="1132"/>
      <c r="BZ59" s="1132"/>
      <c r="CA59" s="1132"/>
      <c r="CB59" s="1133"/>
      <c r="CC59" s="1132"/>
      <c r="CD59" s="1132"/>
    </row>
    <row r="60" spans="1:82" s="427" customFormat="1" hidden="1" outlineLevel="1">
      <c r="A60" s="865" t="s">
        <v>64</v>
      </c>
      <c r="B60" s="431"/>
      <c r="C60" s="431"/>
      <c r="D60" s="431"/>
      <c r="E60" s="431"/>
      <c r="F60" s="431"/>
      <c r="G60" s="627">
        <f t="shared" ref="G60:M60" si="74">G291</f>
        <v>5.8000000000000003E-2</v>
      </c>
      <c r="H60" s="627">
        <f t="shared" si="74"/>
        <v>5.8000000000000003E-2</v>
      </c>
      <c r="I60" s="627">
        <f t="shared" si="74"/>
        <v>5.8000000000000003E-2</v>
      </c>
      <c r="J60" s="627">
        <f t="shared" si="74"/>
        <v>5.8000000000000003E-2</v>
      </c>
      <c r="K60" s="627">
        <f t="shared" si="74"/>
        <v>5.8000000000000003E-2</v>
      </c>
      <c r="L60" s="627">
        <f t="shared" si="74"/>
        <v>6.3500000000000001E-2</v>
      </c>
      <c r="M60" s="854">
        <f t="shared" si="74"/>
        <v>6.4000000000000001E-2</v>
      </c>
      <c r="N60" s="822">
        <v>6.0999999999999999E-2</v>
      </c>
      <c r="O60" s="939">
        <v>5.8000000000000003E-2</v>
      </c>
      <c r="P60" s="1117">
        <f>AVERAGE(O60,Q60)</f>
        <v>5.7200000000000001E-2</v>
      </c>
      <c r="Q60" s="1117">
        <v>5.6399999999999999E-2</v>
      </c>
      <c r="R60" s="1117">
        <f>Q60</f>
        <v>5.6399999999999999E-2</v>
      </c>
      <c r="S60" s="822">
        <f>R60</f>
        <v>5.6399999999999999E-2</v>
      </c>
      <c r="T60" s="924"/>
      <c r="U60" s="447"/>
      <c r="V60" s="447"/>
      <c r="W60" s="447"/>
      <c r="X60" s="748"/>
      <c r="Y60" s="1597"/>
      <c r="AB60" s="1140"/>
      <c r="AC60" s="1140"/>
      <c r="AD60" s="1140"/>
      <c r="AE60" s="1140"/>
      <c r="AF60" s="1140"/>
      <c r="AG60" s="1141"/>
      <c r="AH60" s="1140"/>
      <c r="AI60" s="1140"/>
      <c r="AJ60" s="1140"/>
      <c r="AK60" s="1141"/>
      <c r="AL60" s="1140"/>
      <c r="AM60" s="1140"/>
      <c r="AN60" s="1140"/>
      <c r="AO60" s="1141"/>
      <c r="AP60" s="1140"/>
      <c r="AQ60" s="1140"/>
      <c r="AR60" s="1140"/>
      <c r="AS60" s="1141"/>
      <c r="AT60" s="431"/>
      <c r="AU60" s="431"/>
      <c r="AV60" s="431"/>
      <c r="AW60" s="1141"/>
      <c r="AX60" s="820"/>
      <c r="AY60" s="820"/>
      <c r="AZ60" s="1140"/>
      <c r="BA60" s="1140"/>
      <c r="BB60" s="1140"/>
      <c r="BC60" s="1140"/>
      <c r="BD60" s="1140"/>
      <c r="BE60" s="1140"/>
      <c r="BF60" s="1140"/>
      <c r="BG60" s="1164"/>
      <c r="BH60" s="1164"/>
      <c r="BI60" s="1140"/>
      <c r="BJ60" s="1140"/>
      <c r="BK60" s="1140"/>
      <c r="BL60" s="1141"/>
      <c r="BM60" s="1140"/>
      <c r="BN60" s="1140"/>
      <c r="BO60" s="1140"/>
      <c r="BP60" s="1141"/>
      <c r="BQ60" s="1140"/>
      <c r="BR60" s="1140"/>
      <c r="BS60" s="1140"/>
      <c r="BT60" s="1141"/>
      <c r="BU60" s="1140"/>
      <c r="BV60" s="1140"/>
      <c r="BW60" s="1140"/>
      <c r="BX60" s="1141"/>
      <c r="BY60" s="1140"/>
      <c r="BZ60" s="1140"/>
      <c r="CA60" s="1140"/>
      <c r="CB60" s="1141"/>
      <c r="CC60" s="1140"/>
      <c r="CD60" s="1140"/>
    </row>
    <row r="61" spans="1:82" s="427" customFormat="1" hidden="1" outlineLevel="1">
      <c r="A61" s="865" t="s">
        <v>65</v>
      </c>
      <c r="B61" s="431"/>
      <c r="C61" s="431"/>
      <c r="D61" s="431"/>
      <c r="E61" s="431"/>
      <c r="F61" s="431"/>
      <c r="G61" s="627">
        <f t="shared" ref="G61:M61" si="75">G290</f>
        <v>5.3999999999999999E-2</v>
      </c>
      <c r="H61" s="627">
        <f t="shared" si="75"/>
        <v>5.3499999999999999E-2</v>
      </c>
      <c r="I61" s="627"/>
      <c r="J61" s="627"/>
      <c r="K61" s="627">
        <f t="shared" si="75"/>
        <v>5.3999999999999999E-2</v>
      </c>
      <c r="L61" s="627">
        <f t="shared" si="75"/>
        <v>5.9499999999999997E-2</v>
      </c>
      <c r="M61" s="854">
        <f t="shared" si="75"/>
        <v>6.0400000000000002E-2</v>
      </c>
      <c r="N61" s="822">
        <v>5.8999999999999997E-2</v>
      </c>
      <c r="O61" s="939">
        <v>5.3999999999999999E-2</v>
      </c>
      <c r="P61" s="1117">
        <f t="shared" ref="P61:P62" si="76">AVERAGE(O61,Q61)</f>
        <v>5.3600000000000002E-2</v>
      </c>
      <c r="Q61" s="1117">
        <v>5.3200000000000004E-2</v>
      </c>
      <c r="R61" s="1117">
        <f t="shared" ref="R61" si="77">Q61</f>
        <v>5.3200000000000004E-2</v>
      </c>
      <c r="S61" s="822">
        <f t="shared" ref="S61:S62" si="78">R61</f>
        <v>5.3200000000000004E-2</v>
      </c>
      <c r="T61" s="924"/>
      <c r="U61" s="447"/>
      <c r="V61" s="447"/>
      <c r="W61" s="447"/>
      <c r="X61" s="748"/>
      <c r="Y61" s="1597"/>
      <c r="AB61" s="1140"/>
      <c r="AC61" s="1140"/>
      <c r="AD61" s="1140"/>
      <c r="AE61" s="1140"/>
      <c r="AF61" s="1140"/>
      <c r="AG61" s="1141"/>
      <c r="AH61" s="1140"/>
      <c r="AI61" s="1140"/>
      <c r="AJ61" s="1140"/>
      <c r="AK61" s="1141"/>
      <c r="AL61" s="1140"/>
      <c r="AM61" s="1140"/>
      <c r="AN61" s="1140"/>
      <c r="AO61" s="1141"/>
      <c r="AP61" s="1140"/>
      <c r="AQ61" s="1140"/>
      <c r="AR61" s="1140"/>
      <c r="AS61" s="1141"/>
      <c r="AT61" s="431"/>
      <c r="AU61" s="431"/>
      <c r="AV61" s="431"/>
      <c r="AW61" s="1141"/>
      <c r="AX61" s="820"/>
      <c r="AY61" s="820"/>
      <c r="AZ61" s="1140"/>
      <c r="BA61" s="1140"/>
      <c r="BB61" s="1140"/>
      <c r="BC61" s="1140"/>
      <c r="BD61" s="1140"/>
      <c r="BE61" s="1140"/>
      <c r="BF61" s="1140"/>
      <c r="BG61" s="1164"/>
      <c r="BH61" s="1164"/>
      <c r="BI61" s="1140"/>
      <c r="BJ61" s="1140"/>
      <c r="BK61" s="1140"/>
      <c r="BL61" s="1141"/>
      <c r="BM61" s="1140"/>
      <c r="BN61" s="1140"/>
      <c r="BO61" s="1140"/>
      <c r="BP61" s="1141"/>
      <c r="BQ61" s="1140"/>
      <c r="BR61" s="1140"/>
      <c r="BS61" s="1140"/>
      <c r="BT61" s="1141"/>
      <c r="BU61" s="1140"/>
      <c r="BV61" s="1140"/>
      <c r="BW61" s="1140"/>
      <c r="BX61" s="1141"/>
      <c r="BY61" s="1140"/>
      <c r="BZ61" s="1140"/>
      <c r="CA61" s="1140"/>
      <c r="CB61" s="1141"/>
      <c r="CC61" s="1140"/>
      <c r="CD61" s="1140"/>
    </row>
    <row r="62" spans="1:82" s="427" customFormat="1" hidden="1" outlineLevel="1">
      <c r="A62" s="865" t="s">
        <v>66</v>
      </c>
      <c r="B62" s="431"/>
      <c r="C62" s="431"/>
      <c r="D62" s="431"/>
      <c r="E62" s="431"/>
      <c r="F62" s="431"/>
      <c r="G62" s="627">
        <f t="shared" ref="G62:M62" si="79">G292</f>
        <v>6.5000000000000002E-2</v>
      </c>
      <c r="H62" s="627">
        <f t="shared" si="79"/>
        <v>6.5000000000000002E-2</v>
      </c>
      <c r="I62" s="627">
        <f t="shared" si="79"/>
        <v>6.5000000000000002E-2</v>
      </c>
      <c r="J62" s="627">
        <f t="shared" si="79"/>
        <v>6.5000000000000002E-2</v>
      </c>
      <c r="K62" s="627">
        <f>K292</f>
        <v>6.5000000000000002E-2</v>
      </c>
      <c r="L62" s="627">
        <f t="shared" si="79"/>
        <v>7.4999999999999997E-2</v>
      </c>
      <c r="M62" s="854">
        <f t="shared" si="79"/>
        <v>7.4999999999999997E-2</v>
      </c>
      <c r="N62" s="822">
        <v>7.0999999999999994E-2</v>
      </c>
      <c r="O62" s="939">
        <v>6.5000000000000002E-2</v>
      </c>
      <c r="P62" s="1117">
        <f t="shared" si="76"/>
        <v>6.4750000000000002E-2</v>
      </c>
      <c r="Q62" s="1117">
        <v>6.4500000000000002E-2</v>
      </c>
      <c r="R62" s="1117">
        <f t="shared" ref="R62" si="80">Q62</f>
        <v>6.4500000000000002E-2</v>
      </c>
      <c r="S62" s="822">
        <f t="shared" si="78"/>
        <v>6.4500000000000002E-2</v>
      </c>
      <c r="T62" s="924"/>
      <c r="U62" s="447"/>
      <c r="V62" s="447"/>
      <c r="W62" s="447"/>
      <c r="X62" s="748"/>
      <c r="Y62" s="1597"/>
      <c r="AB62" s="1140"/>
      <c r="AC62" s="1140"/>
      <c r="AD62" s="1140"/>
      <c r="AE62" s="1140"/>
      <c r="AF62" s="1140"/>
      <c r="AG62" s="1141"/>
      <c r="AH62" s="1140"/>
      <c r="AI62" s="1140"/>
      <c r="AJ62" s="1140"/>
      <c r="AK62" s="1141"/>
      <c r="AL62" s="1140"/>
      <c r="AM62" s="1140"/>
      <c r="AN62" s="1140"/>
      <c r="AO62" s="1141"/>
      <c r="AP62" s="1140"/>
      <c r="AQ62" s="1140"/>
      <c r="AR62" s="1140"/>
      <c r="AS62" s="1141"/>
      <c r="AT62" s="431"/>
      <c r="AU62" s="431"/>
      <c r="AV62" s="431"/>
      <c r="AW62" s="1141"/>
      <c r="AX62" s="820"/>
      <c r="AY62" s="820"/>
      <c r="AZ62" s="1140"/>
      <c r="BA62" s="1140"/>
      <c r="BB62" s="1140"/>
      <c r="BC62" s="1140"/>
      <c r="BD62" s="1140"/>
      <c r="BE62" s="1140"/>
      <c r="BF62" s="1140"/>
      <c r="BG62" s="1164"/>
      <c r="BH62" s="1164"/>
      <c r="BI62" s="1140"/>
      <c r="BJ62" s="1140"/>
      <c r="BK62" s="1140"/>
      <c r="BL62" s="1141"/>
      <c r="BM62" s="1140"/>
      <c r="BN62" s="1140"/>
      <c r="BO62" s="1140"/>
      <c r="BP62" s="1141"/>
      <c r="BQ62" s="1140"/>
      <c r="BR62" s="1140"/>
      <c r="BS62" s="1140"/>
      <c r="BT62" s="1141"/>
      <c r="BU62" s="1140"/>
      <c r="BV62" s="1140"/>
      <c r="BW62" s="1140"/>
      <c r="BX62" s="1141"/>
      <c r="BY62" s="1140"/>
      <c r="BZ62" s="1140"/>
      <c r="CA62" s="1140"/>
      <c r="CB62" s="1141"/>
      <c r="CC62" s="1140"/>
      <c r="CD62" s="1140"/>
    </row>
    <row r="63" spans="1:82" hidden="1" outlineLevel="1">
      <c r="A63" s="1128" t="s">
        <v>67</v>
      </c>
      <c r="G63" s="501">
        <f t="shared" ref="G63:M64" si="81">G252</f>
        <v>6.7664829052863001E-2</v>
      </c>
      <c r="H63" s="501">
        <f t="shared" si="81"/>
        <v>6.6664829052863001E-2</v>
      </c>
      <c r="I63" s="501">
        <f t="shared" si="81"/>
        <v>6.7664829052863001E-2</v>
      </c>
      <c r="J63" s="501">
        <f t="shared" si="81"/>
        <v>6.7664829052863001E-2</v>
      </c>
      <c r="K63" s="501">
        <f t="shared" si="81"/>
        <v>6.7664829052863001E-2</v>
      </c>
      <c r="L63" s="501">
        <f t="shared" si="81"/>
        <v>7.7664829052862996E-2</v>
      </c>
      <c r="M63" s="1163">
        <f t="shared" si="81"/>
        <v>7.4664829052863008E-2</v>
      </c>
      <c r="N63" s="586">
        <v>7.0999999999999994E-2</v>
      </c>
      <c r="O63" s="1117">
        <f>N63-($N63-$S63)/5</f>
        <v>7.0279999999999995E-2</v>
      </c>
      <c r="P63" s="1117">
        <f>AVERAGE(O63,Q63)</f>
        <v>6.8839999999999998E-2</v>
      </c>
      <c r="Q63" s="1117">
        <v>6.7400000000000002E-2</v>
      </c>
      <c r="R63" s="1117">
        <f>Q63</f>
        <v>6.7400000000000002E-2</v>
      </c>
      <c r="S63" s="586">
        <f>R63</f>
        <v>6.7400000000000002E-2</v>
      </c>
      <c r="T63" s="796"/>
      <c r="X63" s="222" t="str">
        <f t="shared" ref="X63:X70" si="82">IFERROR(IF((W63/R63)^(1/8)-1&lt;0,"",(W63/R63)^(1/8)-1),"")</f>
        <v/>
      </c>
      <c r="Y63" s="1596"/>
      <c r="AB63" s="1132"/>
      <c r="AC63" s="1132"/>
      <c r="AD63" s="1132"/>
      <c r="AE63" s="1132"/>
      <c r="AF63" s="1132"/>
      <c r="AG63" s="1133"/>
      <c r="AH63" s="1132"/>
      <c r="AI63" s="1132"/>
      <c r="AJ63" s="1132"/>
      <c r="AK63" s="1133"/>
      <c r="AL63" s="1132"/>
      <c r="AM63" s="1132"/>
      <c r="AN63" s="1132"/>
      <c r="AO63" s="1133"/>
      <c r="AP63" s="1132"/>
      <c r="AQ63" s="1132"/>
      <c r="AR63" s="1132"/>
      <c r="AS63" s="1133"/>
      <c r="AT63" s="303" t="s">
        <v>67</v>
      </c>
      <c r="AU63" s="303"/>
      <c r="AV63" s="303"/>
      <c r="AW63" s="1133"/>
      <c r="AX63" s="446"/>
      <c r="AY63" s="446"/>
      <c r="AZ63" s="1132"/>
      <c r="BA63" s="1132"/>
      <c r="BB63" s="1132"/>
      <c r="BC63" s="1132"/>
      <c r="BD63" s="1132"/>
      <c r="BE63" s="1132"/>
      <c r="BF63" s="1132"/>
      <c r="BG63" s="1148"/>
      <c r="BH63" s="1148"/>
      <c r="BI63" s="1132"/>
      <c r="BJ63" s="1132"/>
      <c r="BK63" s="1132"/>
      <c r="BL63" s="1133"/>
      <c r="BM63" s="1132"/>
      <c r="BN63" s="1132"/>
      <c r="BO63" s="1132"/>
      <c r="BP63" s="1133"/>
      <c r="BQ63" s="1132"/>
      <c r="BR63" s="1132"/>
      <c r="BS63" s="1132"/>
      <c r="BT63" s="1133"/>
      <c r="BU63" s="1132"/>
      <c r="BV63" s="1132"/>
      <c r="BW63" s="1132"/>
      <c r="BX63" s="1133"/>
      <c r="BY63" s="1132"/>
      <c r="BZ63" s="1132"/>
      <c r="CA63" s="1132"/>
      <c r="CB63" s="1133"/>
      <c r="CC63" s="1132"/>
      <c r="CD63" s="1132"/>
    </row>
    <row r="64" spans="1:82" hidden="1" outlineLevel="1">
      <c r="A64" s="1128" t="s">
        <v>68</v>
      </c>
      <c r="G64" s="501">
        <f t="shared" si="81"/>
        <v>7.7664834052862994E-2</v>
      </c>
      <c r="H64" s="501">
        <f t="shared" si="81"/>
        <v>7.7664834052862994E-2</v>
      </c>
      <c r="I64" s="501">
        <f t="shared" si="81"/>
        <v>7.8664834052862995E-2</v>
      </c>
      <c r="J64" s="501">
        <f t="shared" si="81"/>
        <v>7.8664834052862995E-2</v>
      </c>
      <c r="K64" s="501">
        <f t="shared" si="81"/>
        <v>7.9664834052862996E-2</v>
      </c>
      <c r="L64" s="501">
        <f t="shared" si="81"/>
        <v>7.9664834052862996E-2</v>
      </c>
      <c r="M64" s="1163">
        <f t="shared" si="81"/>
        <v>8.1104834052862992E-2</v>
      </c>
      <c r="N64" s="586">
        <v>8.1000000000000003E-2</v>
      </c>
      <c r="O64" s="1117">
        <f>N64</f>
        <v>8.1000000000000003E-2</v>
      </c>
      <c r="P64" s="1117">
        <f t="shared" ref="P64:R64" si="83">O64</f>
        <v>8.1000000000000003E-2</v>
      </c>
      <c r="Q64" s="1117">
        <f t="shared" si="83"/>
        <v>8.1000000000000003E-2</v>
      </c>
      <c r="R64" s="1117">
        <f t="shared" si="83"/>
        <v>8.1000000000000003E-2</v>
      </c>
      <c r="S64" s="586">
        <f>N64</f>
        <v>8.1000000000000003E-2</v>
      </c>
      <c r="T64" s="796"/>
      <c r="X64" s="222" t="str">
        <f t="shared" si="82"/>
        <v/>
      </c>
      <c r="Y64" s="1596"/>
      <c r="AB64" s="1132"/>
      <c r="AC64" s="1132"/>
      <c r="AD64" s="1132"/>
      <c r="AE64" s="1132"/>
      <c r="AF64" s="1132"/>
      <c r="AG64" s="1133"/>
      <c r="AH64" s="1132"/>
      <c r="AI64" s="1132"/>
      <c r="AJ64" s="1132"/>
      <c r="AK64" s="1133"/>
      <c r="AL64" s="1132"/>
      <c r="AM64" s="1132"/>
      <c r="AN64" s="1132"/>
      <c r="AO64" s="1133"/>
      <c r="AP64" s="1132"/>
      <c r="AQ64" s="1132"/>
      <c r="AR64" s="1132"/>
      <c r="AS64" s="1133"/>
      <c r="AT64" s="303" t="s">
        <v>68</v>
      </c>
      <c r="AU64" s="303"/>
      <c r="AV64" s="303"/>
      <c r="AW64" s="1133"/>
      <c r="AX64" s="446"/>
      <c r="AY64" s="446"/>
      <c r="AZ64" s="1132"/>
      <c r="BA64" s="1132"/>
      <c r="BB64" s="1132"/>
      <c r="BC64" s="1132"/>
      <c r="BD64" s="1132"/>
      <c r="BE64" s="1132"/>
      <c r="BF64" s="1132"/>
      <c r="BG64" s="1148"/>
      <c r="BH64" s="1148"/>
      <c r="BI64" s="1132"/>
      <c r="BJ64" s="1132"/>
      <c r="BK64" s="1132"/>
      <c r="BL64" s="1133"/>
      <c r="BM64" s="1132"/>
      <c r="BN64" s="1132"/>
      <c r="BO64" s="1132"/>
      <c r="BP64" s="1133"/>
      <c r="BQ64" s="1132"/>
      <c r="BR64" s="1132"/>
      <c r="BS64" s="1132"/>
      <c r="BT64" s="1133"/>
      <c r="BU64" s="1132"/>
      <c r="BV64" s="1132"/>
      <c r="BW64" s="1132"/>
      <c r="BX64" s="1133"/>
      <c r="BY64" s="1132"/>
      <c r="BZ64" s="1132"/>
      <c r="CA64" s="1132"/>
      <c r="CB64" s="1133"/>
      <c r="CC64" s="1132"/>
      <c r="CD64" s="1132"/>
    </row>
    <row r="65" spans="1:82" hidden="1" outlineLevel="1">
      <c r="A65" s="1128" t="s">
        <v>69</v>
      </c>
      <c r="G65" s="501"/>
      <c r="H65" s="501"/>
      <c r="I65" s="501" t="s">
        <v>104</v>
      </c>
      <c r="J65" s="501" t="s">
        <v>104</v>
      </c>
      <c r="K65" s="501" t="s">
        <v>104</v>
      </c>
      <c r="L65" s="501">
        <f>L254</f>
        <v>8.7664834054348398E-2</v>
      </c>
      <c r="M65" s="1163">
        <f>M254</f>
        <v>9.7664834054348393E-2</v>
      </c>
      <c r="N65" s="586">
        <v>9.0999999999999998E-2</v>
      </c>
      <c r="O65" s="1117">
        <f t="shared" ref="O65:R65" si="84">N65</f>
        <v>9.0999999999999998E-2</v>
      </c>
      <c r="P65" s="1117">
        <f t="shared" si="84"/>
        <v>9.0999999999999998E-2</v>
      </c>
      <c r="Q65" s="1117">
        <f t="shared" si="84"/>
        <v>9.0999999999999998E-2</v>
      </c>
      <c r="R65" s="1117">
        <f t="shared" si="84"/>
        <v>9.0999999999999998E-2</v>
      </c>
      <c r="S65" s="586">
        <f t="shared" ref="S65:S66" si="85">N65</f>
        <v>9.0999999999999998E-2</v>
      </c>
      <c r="T65" s="796"/>
      <c r="X65" s="222" t="str">
        <f t="shared" si="82"/>
        <v/>
      </c>
      <c r="Y65" s="1596"/>
      <c r="AB65" s="1132"/>
      <c r="AC65" s="1132"/>
      <c r="AD65" s="1132"/>
      <c r="AE65" s="1132"/>
      <c r="AF65" s="1132"/>
      <c r="AG65" s="1133"/>
      <c r="AH65" s="1132"/>
      <c r="AI65" s="1132"/>
      <c r="AJ65" s="1132"/>
      <c r="AK65" s="1133"/>
      <c r="AL65" s="1132"/>
      <c r="AM65" s="1132"/>
      <c r="AN65" s="1132"/>
      <c r="AO65" s="1133"/>
      <c r="AP65" s="1132"/>
      <c r="AQ65" s="1132"/>
      <c r="AR65" s="1132"/>
      <c r="AS65" s="1133"/>
      <c r="AT65" s="303" t="s">
        <v>69</v>
      </c>
      <c r="AU65" s="303"/>
      <c r="AV65" s="303"/>
      <c r="AW65" s="1133"/>
      <c r="AX65" s="446"/>
      <c r="AY65" s="446"/>
      <c r="AZ65" s="1132"/>
      <c r="BA65" s="1132"/>
      <c r="BB65" s="1132"/>
      <c r="BC65" s="1132"/>
      <c r="BD65" s="1132"/>
      <c r="BE65" s="1132"/>
      <c r="BF65" s="1132"/>
      <c r="BG65" s="1148"/>
      <c r="BH65" s="1148"/>
      <c r="BI65" s="1132"/>
      <c r="BJ65" s="1132"/>
      <c r="BK65" s="1132"/>
      <c r="BL65" s="1133"/>
      <c r="BM65" s="1132"/>
      <c r="BN65" s="1132"/>
      <c r="BO65" s="1132"/>
      <c r="BP65" s="1133"/>
      <c r="BQ65" s="1132"/>
      <c r="BR65" s="1132"/>
      <c r="BS65" s="1132"/>
      <c r="BT65" s="1133"/>
      <c r="BU65" s="1132"/>
      <c r="BV65" s="1132"/>
      <c r="BW65" s="1132"/>
      <c r="BX65" s="1133"/>
      <c r="BY65" s="1132"/>
      <c r="BZ65" s="1132"/>
      <c r="CA65" s="1132"/>
      <c r="CB65" s="1133"/>
      <c r="CC65" s="1132"/>
      <c r="CD65" s="1132"/>
    </row>
    <row r="66" spans="1:82" hidden="1" outlineLevel="1">
      <c r="A66" s="1128" t="s">
        <v>70</v>
      </c>
      <c r="G66" s="501">
        <f>G255</f>
        <v>0.11</v>
      </c>
      <c r="H66" s="501">
        <f>H255</f>
        <v>0.11</v>
      </c>
      <c r="I66" s="501">
        <f>I255</f>
        <v>0.11</v>
      </c>
      <c r="J66" s="501">
        <f>J255</f>
        <v>0.12</v>
      </c>
      <c r="K66" s="501">
        <f>K255</f>
        <v>0.13</v>
      </c>
      <c r="L66" s="501">
        <f>L255</f>
        <v>0.14000000000000001</v>
      </c>
      <c r="M66" s="1163">
        <f>M255</f>
        <v>0.15</v>
      </c>
      <c r="N66" s="586">
        <v>0.151</v>
      </c>
      <c r="O66" s="1117">
        <f t="shared" ref="O66:R66" si="86">N66</f>
        <v>0.151</v>
      </c>
      <c r="P66" s="1117">
        <f t="shared" si="86"/>
        <v>0.151</v>
      </c>
      <c r="Q66" s="1117">
        <f t="shared" si="86"/>
        <v>0.151</v>
      </c>
      <c r="R66" s="1117">
        <f t="shared" si="86"/>
        <v>0.151</v>
      </c>
      <c r="S66" s="586">
        <f t="shared" si="85"/>
        <v>0.151</v>
      </c>
      <c r="T66" s="796"/>
      <c r="U66" s="463"/>
      <c r="X66" s="222" t="str">
        <f t="shared" si="82"/>
        <v/>
      </c>
      <c r="Y66" s="1596"/>
      <c r="AB66" s="1132"/>
      <c r="AC66" s="1132"/>
      <c r="AD66" s="1132"/>
      <c r="AE66" s="1132"/>
      <c r="AF66" s="1132"/>
      <c r="AG66" s="1133"/>
      <c r="AH66" s="1132"/>
      <c r="AI66" s="1132"/>
      <c r="AJ66" s="1132"/>
      <c r="AK66" s="1133"/>
      <c r="AL66" s="1132"/>
      <c r="AM66" s="1132"/>
      <c r="AN66" s="1132"/>
      <c r="AO66" s="1133"/>
      <c r="AP66" s="1132"/>
      <c r="AQ66" s="1132"/>
      <c r="AR66" s="1132"/>
      <c r="AS66" s="1133"/>
      <c r="AT66" s="303" t="s">
        <v>70</v>
      </c>
      <c r="AU66" s="303"/>
      <c r="AV66" s="303"/>
      <c r="AW66" s="1133"/>
      <c r="AX66" s="446"/>
      <c r="AY66" s="446"/>
      <c r="AZ66" s="1132"/>
      <c r="BA66" s="1132"/>
      <c r="BB66" s="1132"/>
      <c r="BC66" s="1132"/>
      <c r="BD66" s="1132"/>
      <c r="BE66" s="1132"/>
      <c r="BF66" s="1132"/>
      <c r="BG66" s="1148"/>
      <c r="BH66" s="1148"/>
      <c r="BI66" s="1132"/>
      <c r="BJ66" s="1132"/>
      <c r="BK66" s="1132"/>
      <c r="BL66" s="1133"/>
      <c r="BM66" s="1132"/>
      <c r="BN66" s="1132"/>
      <c r="BO66" s="1132"/>
      <c r="BP66" s="1133"/>
      <c r="BQ66" s="1132"/>
      <c r="BR66" s="1132"/>
      <c r="BS66" s="1132"/>
      <c r="BT66" s="1133"/>
      <c r="BU66" s="1132"/>
      <c r="BV66" s="1132"/>
      <c r="BW66" s="1132"/>
      <c r="BX66" s="1133"/>
      <c r="BY66" s="1132"/>
      <c r="BZ66" s="1132"/>
      <c r="CA66" s="1132"/>
      <c r="CB66" s="1133"/>
      <c r="CC66" s="1132"/>
      <c r="CD66" s="1132"/>
    </row>
    <row r="67" spans="1:82" collapsed="1">
      <c r="Q67" s="1157"/>
      <c r="U67" s="303"/>
      <c r="X67" s="222" t="str">
        <f t="shared" si="82"/>
        <v/>
      </c>
      <c r="AB67" s="1132"/>
      <c r="AC67" s="1132"/>
      <c r="AD67" s="1132"/>
      <c r="AE67" s="1132"/>
      <c r="AF67" s="1132"/>
      <c r="AG67" s="1133"/>
      <c r="AH67" s="1132"/>
      <c r="AI67" s="1132"/>
      <c r="AJ67" s="1132"/>
      <c r="AK67" s="1133"/>
      <c r="AL67" s="1132"/>
      <c r="AM67" s="1132"/>
      <c r="AN67" s="1132"/>
      <c r="AO67" s="1133"/>
      <c r="AP67" s="1132"/>
      <c r="AQ67" s="1132"/>
      <c r="AR67" s="1132"/>
      <c r="AS67" s="1133"/>
      <c r="AT67" s="303"/>
      <c r="AU67" s="303"/>
      <c r="AV67" s="303"/>
      <c r="AW67" s="1133"/>
      <c r="AX67" s="303"/>
      <c r="AY67" s="1132"/>
      <c r="AZ67" s="1132"/>
      <c r="BA67" s="1132"/>
      <c r="BB67" s="1132"/>
      <c r="BC67" s="1132"/>
      <c r="BD67" s="1132"/>
      <c r="BE67" s="1132"/>
      <c r="BF67" s="1132"/>
      <c r="BG67" s="1148"/>
      <c r="BH67" s="1148"/>
      <c r="BI67" s="1132"/>
      <c r="BJ67" s="1132"/>
      <c r="BK67" s="1132"/>
      <c r="BL67" s="1133"/>
      <c r="BM67" s="1132"/>
      <c r="BN67" s="1132"/>
      <c r="BO67" s="1132"/>
      <c r="BP67" s="1133"/>
      <c r="BQ67" s="1132"/>
      <c r="BR67" s="1132"/>
      <c r="BS67" s="1132"/>
      <c r="BT67" s="1133"/>
      <c r="BU67" s="1132"/>
      <c r="BV67" s="1132"/>
      <c r="BW67" s="1132"/>
      <c r="BX67" s="1133"/>
      <c r="BY67" s="1132"/>
      <c r="BZ67" s="1132"/>
      <c r="CA67" s="1132"/>
      <c r="CB67" s="1133"/>
      <c r="CC67" s="1132"/>
      <c r="CD67" s="1132"/>
    </row>
    <row r="68" spans="1:82" s="427" customFormat="1">
      <c r="A68" s="866" t="s">
        <v>666</v>
      </c>
      <c r="B68" s="420"/>
      <c r="C68" s="420"/>
      <c r="D68" s="420"/>
      <c r="E68" s="420"/>
      <c r="F68" s="420"/>
      <c r="G68" s="420"/>
      <c r="H68" s="420"/>
      <c r="I68" s="421"/>
      <c r="J68" s="421">
        <f t="shared" ref="J68:S68" si="87">J46/I46-1</f>
        <v>0.48581485114568568</v>
      </c>
      <c r="K68" s="421">
        <f t="shared" si="87"/>
        <v>0.46459333267724201</v>
      </c>
      <c r="L68" s="421">
        <f t="shared" si="87"/>
        <v>0.87845962362655627</v>
      </c>
      <c r="M68" s="845">
        <f t="shared" si="87"/>
        <v>0.10285333206690805</v>
      </c>
      <c r="N68" s="421">
        <f t="shared" si="87"/>
        <v>-0.14042895608601003</v>
      </c>
      <c r="O68" s="421">
        <f t="shared" si="87"/>
        <v>0.12075129986227662</v>
      </c>
      <c r="P68" s="424">
        <f t="shared" si="87"/>
        <v>0.1333870064578957</v>
      </c>
      <c r="Q68" s="424">
        <f t="shared" si="87"/>
        <v>0.11611506918614811</v>
      </c>
      <c r="R68" s="424">
        <f t="shared" si="87"/>
        <v>0.12592163113421573</v>
      </c>
      <c r="S68" s="424">
        <f t="shared" si="87"/>
        <v>0.12445559867710143</v>
      </c>
      <c r="T68" s="435"/>
      <c r="U68" s="447"/>
      <c r="V68" s="447"/>
      <c r="W68" s="447"/>
      <c r="X68" s="222" t="str">
        <f t="shared" si="82"/>
        <v/>
      </c>
      <c r="AB68" s="1140"/>
      <c r="AC68" s="1140"/>
      <c r="AD68" s="1140"/>
      <c r="AE68" s="1140"/>
      <c r="AF68" s="1140"/>
      <c r="AG68" s="1141"/>
      <c r="AH68" s="1140"/>
      <c r="AI68" s="1140"/>
      <c r="AJ68" s="1140"/>
      <c r="AK68" s="1141"/>
      <c r="AL68" s="1140"/>
      <c r="AM68" s="1140"/>
      <c r="AN68" s="1140"/>
      <c r="AO68" s="1141"/>
      <c r="AP68" s="1140"/>
      <c r="AQ68" s="1140"/>
      <c r="AR68" s="1140"/>
      <c r="AS68" s="1141"/>
      <c r="AT68" s="420"/>
      <c r="AU68" s="420"/>
      <c r="AV68" s="420"/>
      <c r="AW68" s="1165"/>
      <c r="AX68" s="420"/>
      <c r="AY68" s="420"/>
      <c r="AZ68" s="420"/>
      <c r="BA68" s="420"/>
      <c r="BB68" s="420"/>
      <c r="BC68" s="420"/>
      <c r="BD68" s="420"/>
      <c r="BE68" s="420"/>
      <c r="BF68" s="1140"/>
      <c r="BG68" s="1164"/>
      <c r="BH68" s="1164"/>
      <c r="BI68" s="1140"/>
      <c r="BJ68" s="1140"/>
      <c r="BK68" s="1140"/>
      <c r="BL68" s="1141"/>
      <c r="BM68" s="1140"/>
      <c r="BN68" s="1140"/>
      <c r="BO68" s="1140"/>
      <c r="BP68" s="1141"/>
      <c r="BQ68" s="1140"/>
      <c r="BR68" s="1140"/>
      <c r="BS68" s="1140"/>
      <c r="BT68" s="1141"/>
      <c r="BU68" s="1140"/>
      <c r="BV68" s="1140"/>
      <c r="BW68" s="1140"/>
      <c r="BX68" s="1141"/>
      <c r="BY68" s="1140"/>
      <c r="BZ68" s="1140"/>
      <c r="CA68" s="1140"/>
      <c r="CB68" s="1141"/>
      <c r="CC68" s="1140"/>
      <c r="CD68" s="1140"/>
    </row>
    <row r="69" spans="1:82" s="427" customFormat="1" hidden="1" outlineLevel="1">
      <c r="A69" s="867"/>
      <c r="B69" s="426"/>
      <c r="C69" s="426"/>
      <c r="D69" s="426"/>
      <c r="E69" s="426"/>
      <c r="F69" s="426"/>
      <c r="G69" s="426"/>
      <c r="H69" s="426"/>
      <c r="I69" s="433"/>
      <c r="J69" s="433"/>
      <c r="K69" s="433"/>
      <c r="L69" s="433"/>
      <c r="M69" s="846"/>
      <c r="N69" s="433"/>
      <c r="O69" s="433"/>
      <c r="P69" s="435"/>
      <c r="Q69" s="435"/>
      <c r="R69" s="435"/>
      <c r="S69" s="435"/>
      <c r="T69" s="435"/>
      <c r="U69" s="447"/>
      <c r="V69" s="447"/>
      <c r="W69" s="447"/>
      <c r="X69" s="222" t="str">
        <f t="shared" si="82"/>
        <v/>
      </c>
      <c r="AB69" s="1140"/>
      <c r="AC69" s="1140"/>
      <c r="AD69" s="1140"/>
      <c r="AE69" s="1140"/>
      <c r="AF69" s="1140"/>
      <c r="AG69" s="1141"/>
      <c r="AH69" s="1140"/>
      <c r="AI69" s="1140"/>
      <c r="AJ69" s="1140"/>
      <c r="AK69" s="1141"/>
      <c r="AL69" s="1140"/>
      <c r="AM69" s="1140"/>
      <c r="AN69" s="1140"/>
      <c r="AO69" s="1141"/>
      <c r="AP69" s="1140"/>
      <c r="AQ69" s="1140"/>
      <c r="AR69" s="1140"/>
      <c r="AS69" s="1141"/>
      <c r="AT69" s="1140"/>
      <c r="AU69" s="1140"/>
      <c r="AV69" s="426"/>
      <c r="AW69" s="1141"/>
      <c r="AX69" s="426"/>
      <c r="AY69" s="1140"/>
      <c r="AZ69" s="1140"/>
      <c r="BA69" s="1140"/>
      <c r="BB69" s="1140"/>
      <c r="BC69" s="1140"/>
      <c r="BD69" s="1140"/>
      <c r="BE69" s="1140"/>
      <c r="BF69" s="1140"/>
      <c r="BG69" s="1164"/>
      <c r="BH69" s="1164"/>
      <c r="BI69" s="1140"/>
      <c r="BJ69" s="1140"/>
      <c r="BK69" s="1140"/>
      <c r="BL69" s="1141"/>
      <c r="BM69" s="1140"/>
      <c r="BN69" s="1140"/>
      <c r="BO69" s="1140"/>
      <c r="BP69" s="1141"/>
      <c r="BQ69" s="1140"/>
      <c r="BR69" s="1140"/>
      <c r="BS69" s="1140"/>
      <c r="BT69" s="1141"/>
      <c r="BU69" s="1140"/>
      <c r="BV69" s="1140"/>
      <c r="BW69" s="1140"/>
      <c r="BX69" s="1141"/>
      <c r="BY69" s="1140"/>
      <c r="BZ69" s="1140"/>
      <c r="CA69" s="1140"/>
      <c r="CB69" s="1141"/>
      <c r="CC69" s="1140"/>
      <c r="CD69" s="1140"/>
    </row>
    <row r="70" spans="1:82" hidden="1" outlineLevel="1">
      <c r="A70" s="512" t="s">
        <v>63</v>
      </c>
      <c r="B70" s="431"/>
      <c r="C70" s="431"/>
      <c r="D70" s="431"/>
      <c r="E70" s="431"/>
      <c r="F70" s="431"/>
      <c r="G70" s="431"/>
      <c r="H70" s="431"/>
      <c r="I70" s="427"/>
      <c r="J70" s="428">
        <f t="shared" ref="J70:L73" si="88">IFERROR(J48/I48-1,"")</f>
        <v>0.65435244161358774</v>
      </c>
      <c r="K70" s="428">
        <f t="shared" si="88"/>
        <v>0.6386036960985626</v>
      </c>
      <c r="L70" s="428">
        <f t="shared" si="88"/>
        <v>0.67789480177756478</v>
      </c>
      <c r="M70" s="664">
        <f t="shared" ref="M70:S70" si="89">IFERROR(M48/L48-1,"")</f>
        <v>0.10112441379471138</v>
      </c>
      <c r="N70" s="428">
        <f t="shared" si="89"/>
        <v>-0.20690388316514152</v>
      </c>
      <c r="O70" s="428">
        <f t="shared" si="89"/>
        <v>6.4612678022567094E-2</v>
      </c>
      <c r="P70" s="432">
        <f t="shared" si="89"/>
        <v>0.12041562816147677</v>
      </c>
      <c r="Q70" s="432">
        <f t="shared" si="89"/>
        <v>7.3015023169054283E-2</v>
      </c>
      <c r="R70" s="432">
        <f t="shared" si="89"/>
        <v>8.3704041269702545E-2</v>
      </c>
      <c r="S70" s="432">
        <f t="shared" si="89"/>
        <v>8.2927818026075961E-2</v>
      </c>
      <c r="T70" s="432"/>
      <c r="X70" s="222" t="str">
        <f t="shared" si="82"/>
        <v/>
      </c>
      <c r="AB70" s="1132"/>
      <c r="AC70" s="1132"/>
      <c r="AD70" s="1132"/>
      <c r="AE70" s="1132"/>
      <c r="AF70" s="1132"/>
      <c r="AG70" s="1133"/>
      <c r="AH70" s="1132"/>
      <c r="AI70" s="1132"/>
      <c r="AJ70" s="1132"/>
      <c r="AK70" s="1133"/>
      <c r="AL70" s="1132"/>
      <c r="AM70" s="1132"/>
      <c r="AN70" s="1132"/>
      <c r="AO70" s="1133"/>
      <c r="AP70" s="1132"/>
      <c r="AQ70" s="1132"/>
      <c r="AR70" s="1132"/>
      <c r="AS70" s="1133"/>
      <c r="AT70" s="1132"/>
      <c r="AU70" s="1132"/>
      <c r="AV70" s="431"/>
      <c r="AW70" s="1133"/>
      <c r="AX70" s="431"/>
      <c r="AY70" s="1132"/>
      <c r="AZ70" s="1132"/>
      <c r="BA70" s="1132"/>
      <c r="BB70" s="1132"/>
      <c r="BC70" s="1132"/>
      <c r="BD70" s="1132"/>
      <c r="BE70" s="1132"/>
      <c r="BF70" s="1132"/>
      <c r="BG70" s="1148"/>
      <c r="BH70" s="1148"/>
      <c r="BI70" s="1132"/>
      <c r="BJ70" s="1132"/>
      <c r="BK70" s="1132"/>
      <c r="BL70" s="1133"/>
      <c r="BM70" s="1132"/>
      <c r="BN70" s="1132"/>
      <c r="BO70" s="1132"/>
      <c r="BP70" s="1133"/>
      <c r="BQ70" s="1132"/>
      <c r="BR70" s="1132"/>
      <c r="BS70" s="1132"/>
      <c r="BT70" s="1133"/>
      <c r="BU70" s="1132"/>
      <c r="BV70" s="1132"/>
      <c r="BW70" s="1132"/>
      <c r="BX70" s="1133"/>
      <c r="BY70" s="1132"/>
      <c r="BZ70" s="1132"/>
      <c r="CA70" s="1132"/>
      <c r="CB70" s="1133"/>
      <c r="CC70" s="1132"/>
      <c r="CD70" s="1132"/>
    </row>
    <row r="71" spans="1:82" hidden="1" outlineLevel="1">
      <c r="A71" s="865" t="s">
        <v>64</v>
      </c>
      <c r="B71" s="431"/>
      <c r="C71" s="431"/>
      <c r="D71" s="431"/>
      <c r="E71" s="431"/>
      <c r="F71" s="431"/>
      <c r="G71" s="431"/>
      <c r="H71" s="431"/>
      <c r="I71" s="427"/>
      <c r="J71" s="428">
        <f t="shared" si="88"/>
        <v>0.68181818181818143</v>
      </c>
      <c r="K71" s="428">
        <f t="shared" si="88"/>
        <v>0.45945945945945921</v>
      </c>
      <c r="L71" s="428">
        <f t="shared" si="88"/>
        <v>0.45977011494252884</v>
      </c>
      <c r="M71" s="664">
        <f t="shared" ref="M71:S73" si="90">IFERROR(M49/L49-1,"")</f>
        <v>-3.4120734908136385E-2</v>
      </c>
      <c r="N71" s="428">
        <f t="shared" si="90"/>
        <v>-0.32708567312334103</v>
      </c>
      <c r="O71" s="428">
        <f t="shared" si="90"/>
        <v>5.440239304297223E-2</v>
      </c>
      <c r="P71" s="432">
        <f t="shared" si="90"/>
        <v>7.463036099137943E-2</v>
      </c>
      <c r="Q71" s="432">
        <f t="shared" si="90"/>
        <v>-2.7912328701114042E-3</v>
      </c>
      <c r="R71" s="432">
        <f t="shared" si="90"/>
        <v>6.9537674106394665E-3</v>
      </c>
      <c r="S71" s="432">
        <f t="shared" si="90"/>
        <v>3.6233552631579347E-3</v>
      </c>
      <c r="T71" s="432"/>
      <c r="X71" s="222"/>
      <c r="AB71" s="1132"/>
      <c r="AC71" s="1132"/>
      <c r="AD71" s="1132"/>
      <c r="AE71" s="1132"/>
      <c r="AF71" s="1132"/>
      <c r="AG71" s="1133"/>
      <c r="AH71" s="1132"/>
      <c r="AI71" s="1132"/>
      <c r="AJ71" s="1132"/>
      <c r="AK71" s="1133"/>
      <c r="AL71" s="1132"/>
      <c r="AM71" s="1132"/>
      <c r="AN71" s="1132"/>
      <c r="AO71" s="1133"/>
      <c r="AP71" s="1132"/>
      <c r="AQ71" s="1132"/>
      <c r="AR71" s="1132"/>
      <c r="AS71" s="1133"/>
      <c r="AT71" s="1132"/>
      <c r="AU71" s="1132"/>
      <c r="AV71" s="431"/>
      <c r="AW71" s="1133"/>
      <c r="AX71" s="431"/>
      <c r="AY71" s="1132"/>
      <c r="AZ71" s="1132"/>
      <c r="BA71" s="1132"/>
      <c r="BB71" s="1132"/>
      <c r="BC71" s="1132"/>
      <c r="BD71" s="1132"/>
      <c r="BE71" s="1132"/>
      <c r="BF71" s="1132"/>
      <c r="BG71" s="1148"/>
      <c r="BH71" s="1148"/>
      <c r="BI71" s="1132"/>
      <c r="BJ71" s="1132"/>
      <c r="BK71" s="1132"/>
      <c r="BL71" s="1133"/>
      <c r="BM71" s="1132"/>
      <c r="BN71" s="1132"/>
      <c r="BO71" s="1132"/>
      <c r="BP71" s="1133"/>
      <c r="BQ71" s="1132"/>
      <c r="BR71" s="1132"/>
      <c r="BS71" s="1132"/>
      <c r="BT71" s="1133"/>
      <c r="BU71" s="1132"/>
      <c r="BV71" s="1132"/>
      <c r="BW71" s="1132"/>
      <c r="BX71" s="1133"/>
      <c r="BY71" s="1132"/>
      <c r="BZ71" s="1132"/>
      <c r="CA71" s="1132"/>
      <c r="CB71" s="1133"/>
      <c r="CC71" s="1132"/>
      <c r="CD71" s="1132"/>
    </row>
    <row r="72" spans="1:82" hidden="1" outlineLevel="1">
      <c r="A72" s="865" t="s">
        <v>65</v>
      </c>
      <c r="B72" s="431"/>
      <c r="C72" s="431"/>
      <c r="D72" s="431"/>
      <c r="E72" s="431"/>
      <c r="F72" s="431"/>
      <c r="G72" s="431"/>
      <c r="H72" s="431"/>
      <c r="I72" s="427"/>
      <c r="J72" s="428" t="str">
        <f t="shared" si="88"/>
        <v/>
      </c>
      <c r="K72" s="428" t="str">
        <f t="shared" si="88"/>
        <v/>
      </c>
      <c r="L72" s="428">
        <f t="shared" si="88"/>
        <v>2.1835539960313759</v>
      </c>
      <c r="M72" s="664">
        <f t="shared" si="90"/>
        <v>0.49357401432366199</v>
      </c>
      <c r="N72" s="428">
        <f t="shared" si="90"/>
        <v>2.1184169506419437E-2</v>
      </c>
      <c r="O72" s="428">
        <f t="shared" si="90"/>
        <v>5.706368394815553E-2</v>
      </c>
      <c r="P72" s="432">
        <f t="shared" si="90"/>
        <v>0.16987310599078342</v>
      </c>
      <c r="Q72" s="432">
        <f t="shared" si="90"/>
        <v>0.1491487738175441</v>
      </c>
      <c r="R72" s="432">
        <f t="shared" si="90"/>
        <v>0.14810631772268135</v>
      </c>
      <c r="S72" s="432">
        <f t="shared" si="90"/>
        <v>0.13842830882352941</v>
      </c>
      <c r="T72" s="432"/>
      <c r="X72" s="222"/>
      <c r="AB72" s="1132"/>
      <c r="AC72" s="1132"/>
      <c r="AD72" s="1132"/>
      <c r="AE72" s="1132"/>
      <c r="AF72" s="1132"/>
      <c r="AG72" s="1133"/>
      <c r="AH72" s="1132"/>
      <c r="AI72" s="1132"/>
      <c r="AJ72" s="1132"/>
      <c r="AK72" s="1133"/>
      <c r="AL72" s="1132"/>
      <c r="AM72" s="1132"/>
      <c r="AN72" s="1132"/>
      <c r="AO72" s="1133"/>
      <c r="AP72" s="1132"/>
      <c r="AQ72" s="1132"/>
      <c r="AR72" s="1132"/>
      <c r="AS72" s="1133"/>
      <c r="AT72" s="1132"/>
      <c r="AU72" s="1132"/>
      <c r="AV72" s="431"/>
      <c r="AW72" s="1133"/>
      <c r="AX72" s="431"/>
      <c r="AY72" s="1132"/>
      <c r="AZ72" s="1132"/>
      <c r="BA72" s="1132"/>
      <c r="BB72" s="1132"/>
      <c r="BC72" s="1132"/>
      <c r="BD72" s="1132"/>
      <c r="BE72" s="1132"/>
      <c r="BF72" s="1132"/>
      <c r="BG72" s="1148"/>
      <c r="BH72" s="1148"/>
      <c r="BI72" s="1132"/>
      <c r="BJ72" s="1132"/>
      <c r="BK72" s="1132"/>
      <c r="BL72" s="1133"/>
      <c r="BM72" s="1132"/>
      <c r="BN72" s="1132"/>
      <c r="BO72" s="1132"/>
      <c r="BP72" s="1133"/>
      <c r="BQ72" s="1132"/>
      <c r="BR72" s="1132"/>
      <c r="BS72" s="1132"/>
      <c r="BT72" s="1133"/>
      <c r="BU72" s="1132"/>
      <c r="BV72" s="1132"/>
      <c r="BW72" s="1132"/>
      <c r="BX72" s="1133"/>
      <c r="BY72" s="1132"/>
      <c r="BZ72" s="1132"/>
      <c r="CA72" s="1132"/>
      <c r="CB72" s="1133"/>
      <c r="CC72" s="1132"/>
      <c r="CD72" s="1132"/>
    </row>
    <row r="73" spans="1:82" hidden="1" outlineLevel="1">
      <c r="A73" s="865" t="s">
        <v>66</v>
      </c>
      <c r="B73" s="431"/>
      <c r="C73" s="431"/>
      <c r="D73" s="431"/>
      <c r="E73" s="431"/>
      <c r="F73" s="431"/>
      <c r="G73" s="431"/>
      <c r="H73" s="431"/>
      <c r="I73" s="427"/>
      <c r="J73" s="428">
        <f t="shared" si="88"/>
        <v>0.26451612903225796</v>
      </c>
      <c r="K73" s="428">
        <f t="shared" si="88"/>
        <v>-0.5714285714285714</v>
      </c>
      <c r="L73" s="428">
        <f t="shared" si="88"/>
        <v>-0.22181739013872226</v>
      </c>
      <c r="M73" s="664">
        <f t="shared" si="90"/>
        <v>4.1451646656602836E-2</v>
      </c>
      <c r="N73" s="428">
        <f t="shared" si="90"/>
        <v>0.41999999999999993</v>
      </c>
      <c r="O73" s="428">
        <f t="shared" si="90"/>
        <v>0.83098591549295819</v>
      </c>
      <c r="P73" s="432">
        <f t="shared" si="90"/>
        <v>0.29499999999999993</v>
      </c>
      <c r="Q73" s="432">
        <f t="shared" si="90"/>
        <v>0.29498069498069501</v>
      </c>
      <c r="R73" s="432">
        <f t="shared" si="90"/>
        <v>0.30000000000000004</v>
      </c>
      <c r="S73" s="432">
        <f t="shared" si="90"/>
        <v>0.30000000000000004</v>
      </c>
      <c r="T73" s="432"/>
      <c r="AD73" s="1132"/>
      <c r="AE73" s="1132"/>
      <c r="AF73" s="1132"/>
      <c r="AG73" s="1133"/>
      <c r="AH73" s="1132"/>
      <c r="AI73" s="1132"/>
      <c r="AJ73" s="1132"/>
      <c r="AK73" s="1133"/>
      <c r="AL73" s="1132"/>
      <c r="AM73" s="1132"/>
      <c r="AN73" s="1132"/>
      <c r="AO73" s="1133"/>
      <c r="AP73" s="1132"/>
      <c r="AQ73" s="1132"/>
      <c r="AR73" s="1132"/>
      <c r="AS73" s="1133"/>
      <c r="AT73" s="1132"/>
      <c r="AU73" s="1132"/>
      <c r="AV73" s="431"/>
      <c r="AW73" s="1133"/>
      <c r="AX73" s="431"/>
      <c r="AY73" s="1132"/>
      <c r="AZ73" s="1132"/>
      <c r="BA73" s="1132"/>
      <c r="BB73" s="1132"/>
      <c r="BC73" s="1132"/>
      <c r="BD73" s="1132"/>
      <c r="BE73" s="1132"/>
      <c r="BF73" s="1132"/>
      <c r="BG73" s="1148"/>
      <c r="BH73" s="1148"/>
      <c r="BI73" s="1132"/>
      <c r="BJ73" s="1132"/>
      <c r="BK73" s="1132"/>
      <c r="BL73" s="1133"/>
      <c r="BM73" s="1132"/>
      <c r="BN73" s="1132"/>
      <c r="BO73" s="1132"/>
      <c r="BP73" s="1133"/>
      <c r="BQ73" s="1132"/>
      <c r="BR73" s="1132"/>
      <c r="BS73" s="1132"/>
      <c r="BT73" s="1133"/>
      <c r="BU73" s="1132"/>
      <c r="BV73" s="1132"/>
      <c r="BW73" s="1132"/>
      <c r="BX73" s="1133"/>
      <c r="BY73" s="1132"/>
      <c r="BZ73" s="1132"/>
      <c r="CA73" s="1132"/>
      <c r="CB73" s="1133"/>
      <c r="CC73" s="1132"/>
      <c r="CD73" s="1132"/>
    </row>
    <row r="74" spans="1:82" hidden="1" outlineLevel="1">
      <c r="A74" s="512" t="s">
        <v>67</v>
      </c>
      <c r="B74" s="431"/>
      <c r="C74" s="431"/>
      <c r="D74" s="431"/>
      <c r="E74" s="431"/>
      <c r="F74" s="431"/>
      <c r="G74" s="431"/>
      <c r="H74" s="431"/>
      <c r="I74" s="428" t="str">
        <f>IFERROR(I57/#REF!-1,"")</f>
        <v/>
      </c>
      <c r="J74" s="428">
        <f t="shared" ref="J74:S74" si="91">IFERROR(J52/I52-1,"")</f>
        <v>0.23813488759367196</v>
      </c>
      <c r="K74" s="428">
        <f t="shared" si="91"/>
        <v>0.46267652992602559</v>
      </c>
      <c r="L74" s="428">
        <f t="shared" si="91"/>
        <v>1.0842233571536357</v>
      </c>
      <c r="M74" s="664">
        <f t="shared" si="91"/>
        <v>-0.14475700807537062</v>
      </c>
      <c r="N74" s="428">
        <f t="shared" si="91"/>
        <v>-0.10284589953510781</v>
      </c>
      <c r="O74" s="428">
        <f t="shared" si="91"/>
        <v>9.4809239720743621E-2</v>
      </c>
      <c r="P74" s="432">
        <f t="shared" si="91"/>
        <v>4.0618695592800291E-2</v>
      </c>
      <c r="Q74" s="432">
        <f t="shared" si="91"/>
        <v>3.9807265705187778E-2</v>
      </c>
      <c r="R74" s="432">
        <f t="shared" si="91"/>
        <v>6.1578700725606339E-2</v>
      </c>
      <c r="S74" s="432">
        <f t="shared" si="91"/>
        <v>6.106658042357016E-2</v>
      </c>
      <c r="T74" s="432"/>
      <c r="AD74" s="1132"/>
      <c r="AE74" s="1132"/>
      <c r="AF74" s="1132"/>
      <c r="AG74" s="1133"/>
      <c r="AH74" s="1132"/>
      <c r="AI74" s="1132"/>
      <c r="AJ74" s="1132"/>
      <c r="AK74" s="1133"/>
      <c r="AL74" s="1132"/>
      <c r="AM74" s="1132"/>
      <c r="AN74" s="1132"/>
      <c r="AO74" s="1133"/>
      <c r="AP74" s="1132"/>
      <c r="AQ74" s="1132"/>
      <c r="AR74" s="1132"/>
      <c r="AS74" s="1133"/>
      <c r="AT74" s="1132"/>
      <c r="AU74" s="1132"/>
      <c r="AV74" s="431"/>
      <c r="AW74" s="1133"/>
      <c r="AX74" s="431"/>
      <c r="AY74" s="1132"/>
      <c r="AZ74" s="1132"/>
      <c r="BA74" s="1132"/>
      <c r="BB74" s="1132"/>
      <c r="BC74" s="1132"/>
      <c r="BD74" s="1132"/>
      <c r="BE74" s="1132"/>
      <c r="BF74" s="1132"/>
      <c r="BG74" s="1148"/>
      <c r="BH74" s="1148"/>
      <c r="BI74" s="1132"/>
      <c r="BJ74" s="1132"/>
      <c r="BK74" s="1132"/>
      <c r="BL74" s="1133"/>
      <c r="BM74" s="1132"/>
      <c r="BN74" s="1132"/>
      <c r="BO74" s="1132"/>
      <c r="BP74" s="1133"/>
      <c r="BQ74" s="1132"/>
      <c r="BR74" s="1132"/>
      <c r="BS74" s="1132"/>
      <c r="BT74" s="1133"/>
      <c r="BU74" s="1132"/>
      <c r="BV74" s="1132"/>
      <c r="BW74" s="1132"/>
      <c r="BX74" s="1133"/>
      <c r="BY74" s="1132"/>
      <c r="BZ74" s="1132"/>
      <c r="CA74" s="1132"/>
      <c r="CB74" s="1133"/>
      <c r="CC74" s="1132"/>
      <c r="CD74" s="1132"/>
    </row>
    <row r="75" spans="1:82" hidden="1" outlineLevel="1">
      <c r="A75" s="512" t="s">
        <v>68</v>
      </c>
      <c r="B75" s="431"/>
      <c r="C75" s="431"/>
      <c r="D75" s="431"/>
      <c r="E75" s="431"/>
      <c r="F75" s="431"/>
      <c r="G75" s="431"/>
      <c r="H75" s="431"/>
      <c r="I75" s="428" t="str">
        <f>IFERROR(I59/#REF!-1,"")</f>
        <v/>
      </c>
      <c r="J75" s="428">
        <f t="shared" ref="J75:S75" si="92">IFERROR(J53/I53-1,"")</f>
        <v>0.23042304230423039</v>
      </c>
      <c r="K75" s="428">
        <f t="shared" si="92"/>
        <v>0.13791212772675521</v>
      </c>
      <c r="L75" s="428">
        <f t="shared" si="92"/>
        <v>0.703125</v>
      </c>
      <c r="M75" s="664">
        <f t="shared" si="92"/>
        <v>0.29205329599196861</v>
      </c>
      <c r="N75" s="428">
        <f t="shared" si="92"/>
        <v>-5.3225360772569119E-2</v>
      </c>
      <c r="O75" s="428">
        <f t="shared" si="92"/>
        <v>0.13881856540084381</v>
      </c>
      <c r="P75" s="432">
        <f t="shared" si="92"/>
        <v>0.19215913301222654</v>
      </c>
      <c r="Q75" s="432">
        <f t="shared" si="92"/>
        <v>0.18505023742834092</v>
      </c>
      <c r="R75" s="432">
        <f t="shared" si="92"/>
        <v>0.1795164170149488</v>
      </c>
      <c r="S75" s="432">
        <f t="shared" si="92"/>
        <v>0.17629947123769196</v>
      </c>
      <c r="T75" s="432"/>
      <c r="AD75" s="1132"/>
      <c r="AE75" s="1132"/>
      <c r="AF75" s="1132"/>
      <c r="AG75" s="1133"/>
      <c r="AH75" s="1132"/>
      <c r="AI75" s="1132"/>
      <c r="AJ75" s="1132"/>
      <c r="AK75" s="1133"/>
      <c r="AL75" s="1132"/>
      <c r="AM75" s="1132"/>
      <c r="AN75" s="1132"/>
      <c r="AO75" s="1133"/>
      <c r="AP75" s="1132"/>
      <c r="AQ75" s="1132"/>
      <c r="AR75" s="1132"/>
      <c r="AS75" s="1133"/>
      <c r="AT75" s="1132"/>
      <c r="AU75" s="1132"/>
      <c r="AV75" s="431"/>
      <c r="AW75" s="1133"/>
      <c r="AX75" s="431"/>
      <c r="AY75" s="1132"/>
      <c r="AZ75" s="1132"/>
      <c r="BA75" s="1132"/>
      <c r="BB75" s="1132"/>
      <c r="BC75" s="1132"/>
      <c r="BD75" s="1132"/>
      <c r="BE75" s="1132"/>
      <c r="BF75" s="1132"/>
      <c r="BG75" s="1148"/>
      <c r="BH75" s="1148"/>
      <c r="BI75" s="1132"/>
      <c r="BJ75" s="1132"/>
      <c r="BK75" s="1132"/>
      <c r="BL75" s="1133"/>
      <c r="BM75" s="1132"/>
      <c r="BN75" s="1132"/>
      <c r="BO75" s="1132"/>
      <c r="BP75" s="1133"/>
      <c r="BQ75" s="1132"/>
      <c r="BR75" s="1132"/>
      <c r="BS75" s="1132"/>
      <c r="BT75" s="1133"/>
      <c r="BU75" s="1132"/>
      <c r="BV75" s="1132"/>
      <c r="BW75" s="1132"/>
      <c r="BX75" s="1133"/>
      <c r="BY75" s="1132"/>
      <c r="BZ75" s="1132"/>
      <c r="CA75" s="1132"/>
      <c r="CB75" s="1133"/>
      <c r="CC75" s="1132"/>
      <c r="CD75" s="1132"/>
    </row>
    <row r="76" spans="1:82" hidden="1" outlineLevel="1">
      <c r="A76" s="512" t="s">
        <v>69</v>
      </c>
      <c r="B76" s="431"/>
      <c r="C76" s="431"/>
      <c r="D76" s="431"/>
      <c r="E76" s="431"/>
      <c r="F76" s="431"/>
      <c r="G76" s="431"/>
      <c r="H76" s="431"/>
      <c r="I76" s="428" t="str">
        <f>IFERROR(#REF!/#REF!-1,"")</f>
        <v/>
      </c>
      <c r="J76" s="428" t="str">
        <f t="shared" ref="J76:S76" si="93">IFERROR(J54/I54-1,"")</f>
        <v/>
      </c>
      <c r="K76" s="428" t="str">
        <f t="shared" si="93"/>
        <v/>
      </c>
      <c r="L76" s="428" t="str">
        <f t="shared" si="93"/>
        <v/>
      </c>
      <c r="M76" s="664">
        <f t="shared" si="93"/>
        <v>1.7776833141468256</v>
      </c>
      <c r="N76" s="428">
        <f t="shared" si="93"/>
        <v>0.2004362430962443</v>
      </c>
      <c r="O76" s="428">
        <f t="shared" si="93"/>
        <v>0.27607932701032767</v>
      </c>
      <c r="P76" s="432">
        <f t="shared" si="93"/>
        <v>0.2417096675946584</v>
      </c>
      <c r="Q76" s="432">
        <f t="shared" si="93"/>
        <v>0.2125320794665948</v>
      </c>
      <c r="R76" s="432">
        <f t="shared" si="93"/>
        <v>0.1870681307617621</v>
      </c>
      <c r="S76" s="432">
        <f t="shared" si="93"/>
        <v>0.16448412150571823</v>
      </c>
      <c r="T76" s="432"/>
      <c r="AD76" s="1132"/>
      <c r="AE76" s="1132"/>
      <c r="AF76" s="1132"/>
      <c r="AG76" s="1133"/>
      <c r="AH76" s="1132"/>
      <c r="AI76" s="1132"/>
      <c r="AJ76" s="1132"/>
      <c r="AK76" s="1133"/>
      <c r="AL76" s="1132"/>
      <c r="AM76" s="1132"/>
      <c r="AN76" s="1132"/>
      <c r="AO76" s="1133"/>
      <c r="AP76" s="1132"/>
      <c r="AQ76" s="1132"/>
      <c r="AR76" s="1132"/>
      <c r="AS76" s="1133"/>
      <c r="AT76" s="1132"/>
      <c r="AU76" s="1132"/>
      <c r="AV76" s="431"/>
      <c r="AW76" s="1133"/>
      <c r="AX76" s="431"/>
      <c r="AY76" s="1132"/>
      <c r="AZ76" s="1132"/>
      <c r="BA76" s="1132"/>
      <c r="BB76" s="1132"/>
      <c r="BC76" s="1132"/>
      <c r="BD76" s="1132"/>
      <c r="BE76" s="1132"/>
      <c r="BF76" s="1132"/>
      <c r="BG76" s="1148"/>
      <c r="BH76" s="1148"/>
      <c r="BI76" s="1132"/>
      <c r="BJ76" s="1132"/>
      <c r="BK76" s="1132"/>
      <c r="BL76" s="1133"/>
      <c r="BM76" s="1132"/>
      <c r="BN76" s="1132"/>
      <c r="BO76" s="1132"/>
      <c r="BP76" s="1133"/>
      <c r="BQ76" s="1132"/>
      <c r="BR76" s="1132"/>
      <c r="BS76" s="1132"/>
      <c r="BT76" s="1133"/>
      <c r="BU76" s="1132"/>
      <c r="BV76" s="1132"/>
      <c r="BW76" s="1132"/>
      <c r="BX76" s="1133"/>
      <c r="BY76" s="1132"/>
      <c r="BZ76" s="1132"/>
      <c r="CA76" s="1132"/>
      <c r="CB76" s="1133"/>
      <c r="CC76" s="1132"/>
      <c r="CD76" s="1132"/>
    </row>
    <row r="77" spans="1:82" hidden="1" outlineLevel="1">
      <c r="A77" s="512" t="s">
        <v>70</v>
      </c>
      <c r="B77" s="431"/>
      <c r="C77" s="431"/>
      <c r="D77" s="431"/>
      <c r="E77" s="431"/>
      <c r="F77" s="431"/>
      <c r="G77" s="431"/>
      <c r="H77" s="431"/>
      <c r="I77" s="428" t="str">
        <f>IFERROR('D. OE&amp;IE'!I36/#REF!-1,"")</f>
        <v/>
      </c>
      <c r="J77" s="428">
        <f t="shared" ref="J77:S77" si="94">IFERROR(J55/I55-1,"")</f>
        <v>2.660287081339713</v>
      </c>
      <c r="K77" s="428">
        <f t="shared" si="94"/>
        <v>0.12581699346405251</v>
      </c>
      <c r="L77" s="428">
        <f t="shared" si="94"/>
        <v>0.52801161103047911</v>
      </c>
      <c r="M77" s="664">
        <f t="shared" si="94"/>
        <v>0.13126899696048611</v>
      </c>
      <c r="N77" s="428">
        <f t="shared" si="94"/>
        <v>0.6673946788413101</v>
      </c>
      <c r="O77" s="428">
        <f t="shared" si="94"/>
        <v>0.40035286066637177</v>
      </c>
      <c r="P77" s="432">
        <f t="shared" si="94"/>
        <v>0.34326446690826184</v>
      </c>
      <c r="Q77" s="432">
        <f t="shared" si="94"/>
        <v>0.30262395230896688</v>
      </c>
      <c r="R77" s="432">
        <f t="shared" si="94"/>
        <v>0.27136300029552429</v>
      </c>
      <c r="S77" s="432">
        <f t="shared" si="94"/>
        <v>0.24588898541235849</v>
      </c>
      <c r="T77" s="432"/>
      <c r="AD77" s="1132"/>
      <c r="AE77" s="1132"/>
      <c r="AF77" s="1132"/>
      <c r="AG77" s="1133"/>
      <c r="AH77" s="1132"/>
      <c r="AI77" s="1132"/>
      <c r="AJ77" s="1132"/>
      <c r="AK77" s="1133"/>
      <c r="AL77" s="1132"/>
      <c r="AM77" s="1132"/>
      <c r="AN77" s="1132"/>
      <c r="AO77" s="1133"/>
      <c r="AP77" s="1132"/>
      <c r="AQ77" s="1132"/>
      <c r="AR77" s="1132"/>
      <c r="AS77" s="1133"/>
      <c r="AT77" s="1132"/>
      <c r="AU77" s="1132"/>
      <c r="AV77" s="431"/>
      <c r="AW77" s="1133"/>
      <c r="AX77" s="431"/>
      <c r="AY77" s="1132"/>
      <c r="AZ77" s="1132"/>
      <c r="BA77" s="1132"/>
      <c r="BB77" s="1132"/>
      <c r="BC77" s="1132"/>
      <c r="BD77" s="1132"/>
      <c r="BE77" s="1132"/>
      <c r="BF77" s="1132"/>
      <c r="BG77" s="1148"/>
      <c r="BH77" s="1148"/>
      <c r="BI77" s="1132"/>
      <c r="BJ77" s="1132"/>
      <c r="BK77" s="1132"/>
      <c r="BL77" s="1133"/>
      <c r="BM77" s="1132"/>
      <c r="BN77" s="1132"/>
      <c r="BO77" s="1132"/>
      <c r="BP77" s="1133"/>
      <c r="BQ77" s="1132"/>
      <c r="BR77" s="1132"/>
      <c r="BS77" s="1132"/>
      <c r="BT77" s="1133"/>
      <c r="BU77" s="1132"/>
      <c r="BV77" s="1132"/>
      <c r="BW77" s="1132"/>
      <c r="BX77" s="1133"/>
      <c r="BY77" s="1132"/>
      <c r="BZ77" s="1132"/>
      <c r="CA77" s="1132"/>
      <c r="CB77" s="1133"/>
      <c r="CC77" s="1132"/>
      <c r="CD77" s="1132"/>
    </row>
    <row r="78" spans="1:82" collapsed="1">
      <c r="A78" s="1166"/>
      <c r="B78" s="43"/>
      <c r="C78" s="43"/>
      <c r="D78" s="43"/>
      <c r="E78" s="43"/>
      <c r="F78" s="43"/>
      <c r="G78" s="43"/>
      <c r="H78" s="43"/>
      <c r="I78" s="428" t="str">
        <f>IFERROR(I201/#REF!-1,"")</f>
        <v/>
      </c>
      <c r="J78" s="428" t="str">
        <f t="shared" ref="J78:S78" si="95">IFERROR(J56/I56-1,"")</f>
        <v/>
      </c>
      <c r="K78" s="428" t="str">
        <f t="shared" si="95"/>
        <v/>
      </c>
      <c r="L78" s="428" t="str">
        <f t="shared" si="95"/>
        <v/>
      </c>
      <c r="M78" s="664" t="str">
        <f t="shared" si="95"/>
        <v/>
      </c>
      <c r="N78" s="428" t="str">
        <f t="shared" si="95"/>
        <v/>
      </c>
      <c r="O78" s="428" t="str">
        <f t="shared" si="95"/>
        <v/>
      </c>
      <c r="P78" s="432" t="str">
        <f t="shared" si="95"/>
        <v/>
      </c>
      <c r="Q78" s="432" t="str">
        <f t="shared" si="95"/>
        <v/>
      </c>
      <c r="R78" s="432" t="str">
        <f t="shared" si="95"/>
        <v/>
      </c>
      <c r="S78" s="432" t="str">
        <f t="shared" si="95"/>
        <v/>
      </c>
      <c r="T78" s="432"/>
      <c r="AD78" s="1132"/>
      <c r="AE78" s="1132"/>
      <c r="AF78" s="1132"/>
      <c r="AG78" s="1133"/>
      <c r="AH78" s="1132"/>
      <c r="AI78" s="1132"/>
      <c r="AJ78" s="1132"/>
      <c r="AK78" s="1133"/>
      <c r="AL78" s="1132"/>
      <c r="AM78" s="1132"/>
      <c r="AN78" s="1132"/>
      <c r="AO78" s="1133"/>
      <c r="AP78" s="1132"/>
      <c r="AQ78" s="1132"/>
      <c r="AR78" s="1132"/>
      <c r="AS78" s="1133"/>
      <c r="AT78" s="1132"/>
      <c r="AU78" s="1132"/>
      <c r="AV78" s="1132"/>
      <c r="AW78" s="1133"/>
      <c r="AX78" s="1132"/>
      <c r="AY78" s="1132"/>
      <c r="AZ78" s="1132"/>
      <c r="BA78" s="1132"/>
      <c r="BB78" s="1132"/>
      <c r="BC78" s="1132"/>
      <c r="BD78" s="1132"/>
      <c r="BE78" s="1132"/>
      <c r="BF78" s="1132"/>
      <c r="BG78" s="1148"/>
      <c r="BH78" s="1148"/>
      <c r="BI78" s="1132"/>
      <c r="BJ78" s="1132"/>
      <c r="BK78" s="1132"/>
      <c r="BL78" s="1133"/>
      <c r="BM78" s="1132"/>
      <c r="BN78" s="1132"/>
      <c r="BO78" s="1132"/>
      <c r="BP78" s="1133"/>
      <c r="BQ78" s="1132"/>
      <c r="BR78" s="1132"/>
      <c r="BS78" s="1132"/>
      <c r="BT78" s="1133"/>
      <c r="BU78" s="1132"/>
      <c r="BV78" s="1132"/>
      <c r="BW78" s="1132"/>
      <c r="BX78" s="1133"/>
      <c r="BY78" s="1132"/>
      <c r="BZ78" s="1132"/>
      <c r="CA78" s="1132"/>
      <c r="CB78" s="1133"/>
      <c r="CC78" s="1132"/>
      <c r="CD78" s="1132"/>
    </row>
    <row r="79" spans="1:82">
      <c r="A79" s="1166"/>
      <c r="B79" s="43"/>
      <c r="C79" s="43"/>
      <c r="D79" s="43"/>
      <c r="E79" s="43"/>
      <c r="F79" s="43"/>
      <c r="G79" s="43"/>
      <c r="H79" s="43"/>
      <c r="I79" s="428"/>
      <c r="J79" s="428"/>
      <c r="K79" s="428"/>
      <c r="L79" s="428"/>
      <c r="M79" s="664"/>
      <c r="N79" s="428"/>
      <c r="O79" s="428"/>
      <c r="P79" s="432"/>
      <c r="Q79" s="432"/>
      <c r="R79" s="432"/>
      <c r="S79" s="432"/>
      <c r="T79" s="432"/>
      <c r="AD79" s="1132"/>
      <c r="AE79" s="1132"/>
      <c r="AF79" s="1132"/>
      <c r="AG79" s="1133"/>
      <c r="AH79" s="1132"/>
      <c r="AI79" s="1132"/>
      <c r="AJ79" s="1132"/>
      <c r="AK79" s="1133"/>
      <c r="AL79" s="1132"/>
      <c r="AM79" s="1132"/>
      <c r="AN79" s="1132"/>
      <c r="AO79" s="1133"/>
      <c r="AP79" s="1132"/>
      <c r="AQ79" s="1132"/>
      <c r="AR79" s="1132"/>
      <c r="AS79" s="1133"/>
      <c r="AT79" s="1132"/>
      <c r="AU79" s="1132"/>
      <c r="AV79" s="1132"/>
      <c r="AW79" s="1133"/>
      <c r="AX79" s="1132"/>
      <c r="AY79" s="1132"/>
      <c r="AZ79" s="1132"/>
      <c r="BA79" s="1132"/>
      <c r="BB79" s="1132"/>
      <c r="BC79" s="1132"/>
      <c r="BD79" s="1132"/>
      <c r="BE79" s="1132"/>
      <c r="BF79" s="1132"/>
      <c r="BG79" s="1148"/>
      <c r="BH79" s="1148"/>
      <c r="BI79" s="1132"/>
      <c r="BJ79" s="1132"/>
      <c r="BK79" s="1132"/>
      <c r="BL79" s="1133"/>
      <c r="BM79" s="1132"/>
      <c r="BN79" s="1132"/>
      <c r="BO79" s="1132"/>
      <c r="BP79" s="1133"/>
      <c r="BQ79" s="1132"/>
      <c r="BR79" s="1132"/>
      <c r="BS79" s="1132"/>
      <c r="BT79" s="1133"/>
      <c r="BU79" s="1132"/>
      <c r="BV79" s="1132"/>
      <c r="BW79" s="1132"/>
      <c r="BX79" s="1133"/>
      <c r="BY79" s="1132"/>
      <c r="BZ79" s="1132"/>
      <c r="CA79" s="1132"/>
      <c r="CB79" s="1133"/>
      <c r="CC79" s="1132"/>
      <c r="CD79" s="1132"/>
    </row>
    <row r="80" spans="1:82">
      <c r="A80" s="864" t="s">
        <v>478</v>
      </c>
      <c r="B80" s="403"/>
      <c r="C80" s="403"/>
      <c r="D80" s="403"/>
      <c r="E80" s="403"/>
      <c r="F80" s="403"/>
      <c r="G80" s="404">
        <f>'A. FS'!G47</f>
        <v>4.8307385055426965E-3</v>
      </c>
      <c r="H80" s="404">
        <f>'A. FS'!H47</f>
        <v>6.2705525951179154E-3</v>
      </c>
      <c r="I80" s="404">
        <f t="shared" ref="I80:S80" si="96">I3-I46</f>
        <v>5575.0937188079997</v>
      </c>
      <c r="J80" s="404">
        <f t="shared" si="96"/>
        <v>7943.8735687240005</v>
      </c>
      <c r="K80" s="404">
        <f t="shared" si="96"/>
        <v>11732.217683289</v>
      </c>
      <c r="L80" s="404">
        <f t="shared" si="96"/>
        <v>19463.005831497001</v>
      </c>
      <c r="M80" s="838">
        <f t="shared" si="96"/>
        <v>20421.8448838982</v>
      </c>
      <c r="N80" s="404">
        <f t="shared" si="96"/>
        <v>18681.078733643921</v>
      </c>
      <c r="O80" s="404">
        <f t="shared" si="96"/>
        <v>21348.223488221407</v>
      </c>
      <c r="P80" s="597">
        <f t="shared" si="96"/>
        <v>24180.256798939245</v>
      </c>
      <c r="Q80" s="597">
        <f t="shared" si="96"/>
        <v>26853.783442731041</v>
      </c>
      <c r="R80" s="597">
        <f t="shared" si="96"/>
        <v>29776.472950448464</v>
      </c>
      <c r="S80" s="597">
        <f t="shared" si="96"/>
        <v>32994.422317080469</v>
      </c>
      <c r="T80" s="807"/>
      <c r="U80" s="537"/>
      <c r="V80" s="406"/>
      <c r="W80" s="406"/>
      <c r="X80" s="222" t="str">
        <f>IFERROR(IF((W80/R80)^(1/8)-1&lt;0,"",(W80/R80)^(1/8)-1),"")</f>
        <v/>
      </c>
      <c r="AB80" s="1132"/>
      <c r="AC80" s="1132"/>
      <c r="AD80" s="437"/>
      <c r="AE80" s="437"/>
      <c r="AF80" s="437"/>
      <c r="AG80" s="438"/>
      <c r="AH80" s="439"/>
      <c r="AI80" s="439"/>
      <c r="AJ80" s="439"/>
      <c r="AK80" s="438"/>
      <c r="AL80" s="439"/>
      <c r="AM80" s="439"/>
      <c r="AN80" s="439"/>
      <c r="AO80" s="438"/>
      <c r="AP80" s="439"/>
      <c r="AQ80" s="439"/>
      <c r="AR80" s="439"/>
      <c r="AS80" s="438"/>
      <c r="AT80" s="439" t="s">
        <v>481</v>
      </c>
      <c r="AU80" s="439"/>
      <c r="AV80" s="439"/>
      <c r="AW80" s="438"/>
      <c r="AX80" s="440">
        <v>260.73360993100005</v>
      </c>
      <c r="AY80" s="440">
        <v>392.97647730999961</v>
      </c>
      <c r="AZ80" s="440">
        <f>AZ37*AZ111</f>
        <v>0</v>
      </c>
      <c r="BA80" s="440">
        <f>BC37*BA111</f>
        <v>0</v>
      </c>
      <c r="BB80" s="439"/>
      <c r="BC80" s="440">
        <f>SUM(AX80:AY80)</f>
        <v>653.71008724099966</v>
      </c>
      <c r="BD80" s="440">
        <f>SUM(AZ80:BA80)</f>
        <v>0</v>
      </c>
      <c r="BE80" s="439"/>
      <c r="BF80" s="1132"/>
      <c r="BG80" s="1158"/>
      <c r="BH80" s="1158"/>
      <c r="BI80" s="1132"/>
      <c r="BJ80" s="1132"/>
      <c r="BK80" s="1132"/>
      <c r="BL80" s="1133"/>
      <c r="BM80" s="1132"/>
      <c r="BN80" s="1132"/>
      <c r="BO80" s="1132"/>
      <c r="BP80" s="1133"/>
      <c r="BQ80" s="1132"/>
      <c r="BR80" s="1132"/>
      <c r="BS80" s="1132"/>
      <c r="BT80" s="1133"/>
      <c r="BU80" s="1132"/>
      <c r="BV80" s="1132"/>
      <c r="BW80" s="1132"/>
      <c r="BX80" s="1133"/>
      <c r="BY80" s="1132"/>
      <c r="BZ80" s="1132"/>
      <c r="CA80" s="1132"/>
      <c r="CB80" s="1133"/>
      <c r="CC80" s="1132"/>
      <c r="CD80" s="1132"/>
    </row>
    <row r="81" spans="1:82">
      <c r="A81" s="1166"/>
      <c r="B81" s="43"/>
      <c r="C81" s="43"/>
      <c r="D81" s="43"/>
      <c r="E81" s="43"/>
      <c r="F81" s="43"/>
      <c r="G81" s="43"/>
      <c r="H81" s="43"/>
      <c r="I81" s="90"/>
      <c r="J81" s="90"/>
      <c r="K81" s="90"/>
      <c r="L81" s="90"/>
      <c r="M81" s="658"/>
      <c r="N81" s="90"/>
      <c r="O81" s="90"/>
      <c r="P81" s="486"/>
      <c r="Q81" s="486"/>
      <c r="R81" s="486"/>
      <c r="S81" s="486"/>
      <c r="T81" s="432"/>
      <c r="AD81" s="1132"/>
      <c r="AE81" s="1132"/>
      <c r="AF81" s="1132"/>
      <c r="AG81" s="1133"/>
      <c r="AH81" s="1132"/>
      <c r="AI81" s="1132"/>
      <c r="AJ81" s="1132"/>
      <c r="AK81" s="1133"/>
      <c r="AL81" s="1132"/>
      <c r="AM81" s="1132"/>
      <c r="AN81" s="1132"/>
      <c r="AO81" s="1133"/>
      <c r="AP81" s="1132"/>
      <c r="AQ81" s="1132"/>
      <c r="AR81" s="1132"/>
      <c r="AS81" s="1133"/>
      <c r="AT81" s="1132"/>
      <c r="AU81" s="1132"/>
      <c r="AV81" s="1132"/>
      <c r="AW81" s="1133"/>
      <c r="AX81" s="1132"/>
      <c r="AY81" s="1132"/>
      <c r="AZ81" s="1132"/>
      <c r="BA81" s="1132"/>
      <c r="BB81" s="1132"/>
      <c r="BC81" s="1132"/>
      <c r="BD81" s="1132"/>
      <c r="BE81" s="1132"/>
      <c r="BF81" s="1132"/>
      <c r="BG81" s="1148"/>
      <c r="BH81" s="1148"/>
      <c r="BI81" s="1132"/>
      <c r="BJ81" s="1132"/>
      <c r="BK81" s="1132"/>
      <c r="BL81" s="1133"/>
      <c r="BM81" s="1132"/>
      <c r="BN81" s="1132"/>
      <c r="BO81" s="1132"/>
      <c r="BP81" s="1133"/>
      <c r="BQ81" s="1132"/>
      <c r="BR81" s="1132"/>
      <c r="BS81" s="1132"/>
      <c r="BT81" s="1133"/>
      <c r="BU81" s="1132"/>
      <c r="BV81" s="1132"/>
      <c r="BW81" s="1132"/>
      <c r="BX81" s="1133"/>
      <c r="BY81" s="1132"/>
      <c r="BZ81" s="1132"/>
      <c r="CA81" s="1132"/>
      <c r="CB81" s="1133"/>
      <c r="CC81" s="1132"/>
      <c r="CD81" s="1132"/>
    </row>
    <row r="82" spans="1:82">
      <c r="A82" s="1166" t="str">
        <f>A48</f>
        <v>Smartphone</v>
      </c>
      <c r="B82" s="43"/>
      <c r="C82" s="43"/>
      <c r="D82" s="43"/>
      <c r="E82" s="43"/>
      <c r="F82" s="43"/>
      <c r="G82" s="43"/>
      <c r="H82" s="43"/>
      <c r="I82" s="90">
        <f t="shared" ref="I82:S82" si="97">I5-I48</f>
        <v>2219.1993275797886</v>
      </c>
      <c r="J82" s="90">
        <f t="shared" si="97"/>
        <v>3671.3378260088557</v>
      </c>
      <c r="K82" s="90">
        <f t="shared" si="97"/>
        <v>6015.8677313245726</v>
      </c>
      <c r="L82" s="90">
        <f t="shared" si="97"/>
        <v>9239.3127800229177</v>
      </c>
      <c r="M82" s="658">
        <f t="shared" si="97"/>
        <v>10104.790799363451</v>
      </c>
      <c r="N82" s="90">
        <f t="shared" si="97"/>
        <v>8420.2326873209659</v>
      </c>
      <c r="O82" s="90">
        <f t="shared" si="97"/>
        <v>9624.2910346888239</v>
      </c>
      <c r="P82" s="486">
        <f t="shared" si="97"/>
        <v>10917.640389101214</v>
      </c>
      <c r="Q82" s="486">
        <f t="shared" si="97"/>
        <v>11865.598374897203</v>
      </c>
      <c r="R82" s="486">
        <f t="shared" si="97"/>
        <v>12872.538090218201</v>
      </c>
      <c r="S82" s="486">
        <f t="shared" si="97"/>
        <v>13950.695934197816</v>
      </c>
      <c r="T82" s="432"/>
      <c r="AD82" s="1132"/>
      <c r="AE82" s="1132"/>
      <c r="AF82" s="1132"/>
      <c r="AG82" s="1133"/>
      <c r="AH82" s="1132"/>
      <c r="AI82" s="1132"/>
      <c r="AJ82" s="1132"/>
      <c r="AK82" s="1133"/>
      <c r="AL82" s="1132"/>
      <c r="AM82" s="1132"/>
      <c r="AN82" s="1132"/>
      <c r="AO82" s="1133"/>
      <c r="AP82" s="1132"/>
      <c r="AQ82" s="1132"/>
      <c r="AR82" s="1132"/>
      <c r="AS82" s="1133"/>
      <c r="AT82" s="1132"/>
      <c r="AU82" s="1132"/>
      <c r="AV82" s="1132"/>
      <c r="AW82" s="1133"/>
      <c r="AX82" s="1132"/>
      <c r="AY82" s="1132"/>
      <c r="AZ82" s="1132"/>
      <c r="BA82" s="1132"/>
      <c r="BB82" s="1132"/>
      <c r="BC82" s="1132"/>
      <c r="BD82" s="1132"/>
      <c r="BE82" s="1132"/>
      <c r="BF82" s="1132"/>
      <c r="BG82" s="1148"/>
      <c r="BH82" s="1148"/>
      <c r="BI82" s="1132"/>
      <c r="BJ82" s="1132"/>
      <c r="BK82" s="1132"/>
      <c r="BL82" s="1133"/>
      <c r="BM82" s="1132"/>
      <c r="BN82" s="1132"/>
      <c r="BO82" s="1132"/>
      <c r="BP82" s="1133"/>
      <c r="BQ82" s="1132"/>
      <c r="BR82" s="1132"/>
      <c r="BS82" s="1132"/>
      <c r="BT82" s="1133"/>
      <c r="BU82" s="1132"/>
      <c r="BV82" s="1132"/>
      <c r="BW82" s="1132"/>
      <c r="BX82" s="1133"/>
      <c r="BY82" s="1132"/>
      <c r="BZ82" s="1132"/>
      <c r="CA82" s="1132"/>
      <c r="CB82" s="1133"/>
      <c r="CC82" s="1132"/>
      <c r="CD82" s="1132"/>
    </row>
    <row r="83" spans="1:82">
      <c r="A83" s="1166" t="str">
        <f t="shared" ref="A83:A89" si="98">A49</f>
        <v>Xiaomi</v>
      </c>
      <c r="B83" s="43"/>
      <c r="C83" s="43"/>
      <c r="D83" s="43"/>
      <c r="E83" s="43"/>
      <c r="F83" s="43"/>
      <c r="G83" s="43"/>
      <c r="H83" s="43"/>
      <c r="I83" s="90">
        <f t="shared" ref="I83:S83" si="99">I6-I49</f>
        <v>2072.4000000000005</v>
      </c>
      <c r="J83" s="90">
        <f t="shared" si="99"/>
        <v>3485.4</v>
      </c>
      <c r="K83" s="90">
        <f t="shared" si="99"/>
        <v>5086.8</v>
      </c>
      <c r="L83" s="90">
        <f t="shared" si="99"/>
        <v>6742.8</v>
      </c>
      <c r="M83" s="658">
        <f t="shared" si="99"/>
        <v>6458.4</v>
      </c>
      <c r="N83" s="90">
        <f t="shared" si="99"/>
        <v>4574.2995045419666</v>
      </c>
      <c r="O83" s="90">
        <f t="shared" si="99"/>
        <v>5088.8322132087296</v>
      </c>
      <c r="P83" s="486">
        <f t="shared" si="99"/>
        <v>5549.8069170630197</v>
      </c>
      <c r="Q83" s="486">
        <f t="shared" si="99"/>
        <v>5617.5797302271203</v>
      </c>
      <c r="R83" s="486">
        <f t="shared" si="99"/>
        <v>5656.643073081842</v>
      </c>
      <c r="S83" s="486">
        <f t="shared" si="99"/>
        <v>5677.1391005324986</v>
      </c>
      <c r="T83" s="432"/>
      <c r="AD83" s="1132"/>
      <c r="AE83" s="1132"/>
      <c r="AF83" s="1132"/>
      <c r="AG83" s="1133"/>
      <c r="AH83" s="1132"/>
      <c r="AI83" s="1132"/>
      <c r="AJ83" s="1132"/>
      <c r="AK83" s="1133"/>
      <c r="AL83" s="1132"/>
      <c r="AM83" s="1132"/>
      <c r="AN83" s="1132"/>
      <c r="AO83" s="1133"/>
      <c r="AP83" s="1132"/>
      <c r="AQ83" s="1132"/>
      <c r="AR83" s="1132"/>
      <c r="AS83" s="1133"/>
      <c r="AT83" s="1132"/>
      <c r="AU83" s="1132"/>
      <c r="AV83" s="1132"/>
      <c r="AW83" s="1133"/>
      <c r="AX83" s="1132"/>
      <c r="AY83" s="1132"/>
      <c r="AZ83" s="1132"/>
      <c r="BA83" s="1132"/>
      <c r="BB83" s="1132"/>
      <c r="BC83" s="1132"/>
      <c r="BD83" s="1132"/>
      <c r="BE83" s="1132"/>
      <c r="BF83" s="1132"/>
      <c r="BG83" s="1148"/>
      <c r="BH83" s="1148"/>
      <c r="BI83" s="1132"/>
      <c r="BJ83" s="1132"/>
      <c r="BK83" s="1132"/>
      <c r="BL83" s="1133"/>
      <c r="BM83" s="1132"/>
      <c r="BN83" s="1132"/>
      <c r="BO83" s="1132"/>
      <c r="BP83" s="1133"/>
      <c r="BQ83" s="1132"/>
      <c r="BR83" s="1132"/>
      <c r="BS83" s="1132"/>
      <c r="BT83" s="1133"/>
      <c r="BU83" s="1132"/>
      <c r="BV83" s="1132"/>
      <c r="BW83" s="1132"/>
      <c r="BX83" s="1133"/>
      <c r="BY83" s="1132"/>
      <c r="BZ83" s="1132"/>
      <c r="CA83" s="1132"/>
      <c r="CB83" s="1133"/>
      <c r="CC83" s="1132"/>
      <c r="CD83" s="1132"/>
    </row>
    <row r="84" spans="1:82">
      <c r="A84" s="1166" t="str">
        <f t="shared" si="98"/>
        <v>Iphone</v>
      </c>
      <c r="B84" s="43"/>
      <c r="C84" s="43"/>
      <c r="D84" s="43"/>
      <c r="E84" s="43"/>
      <c r="F84" s="43"/>
      <c r="G84" s="43"/>
      <c r="H84" s="43"/>
      <c r="I84" s="90">
        <f t="shared" ref="I84:S84" si="100">I7-I50</f>
        <v>0</v>
      </c>
      <c r="J84" s="90">
        <f t="shared" si="100"/>
        <v>0</v>
      </c>
      <c r="K84" s="90">
        <f t="shared" si="100"/>
        <v>851.4</v>
      </c>
      <c r="L84" s="90">
        <f t="shared" si="100"/>
        <v>2445.627581794974</v>
      </c>
      <c r="M84" s="658">
        <f t="shared" si="100"/>
        <v>3594.8544242161006</v>
      </c>
      <c r="N84" s="90">
        <f t="shared" si="100"/>
        <v>3763.7166827789997</v>
      </c>
      <c r="O84" s="90">
        <f t="shared" si="100"/>
        <v>4369.9638214800934</v>
      </c>
      <c r="P84" s="486">
        <f t="shared" si="100"/>
        <v>5152.6324470381942</v>
      </c>
      <c r="Q84" s="486">
        <f t="shared" si="100"/>
        <v>5968.1825296700827</v>
      </c>
      <c r="R84" s="486">
        <f t="shared" si="100"/>
        <v>6852.1080676363581</v>
      </c>
      <c r="S84" s="486">
        <f t="shared" si="100"/>
        <v>7800.6337993153193</v>
      </c>
      <c r="T84" s="432"/>
      <c r="AD84" s="1132"/>
      <c r="AE84" s="1132"/>
      <c r="AF84" s="1132"/>
      <c r="AG84" s="1133"/>
      <c r="AH84" s="1132"/>
      <c r="AI84" s="1132"/>
      <c r="AJ84" s="1132"/>
      <c r="AK84" s="1133"/>
      <c r="AL84" s="1132"/>
      <c r="AM84" s="1132"/>
      <c r="AN84" s="1132"/>
      <c r="AO84" s="1133"/>
      <c r="AP84" s="1132"/>
      <c r="AQ84" s="1132"/>
      <c r="AR84" s="1132"/>
      <c r="AS84" s="1133"/>
      <c r="AT84" s="1132"/>
      <c r="AU84" s="1132"/>
      <c r="AV84" s="1132"/>
      <c r="AW84" s="1133"/>
      <c r="AX84" s="1132"/>
      <c r="AY84" s="1132"/>
      <c r="AZ84" s="1132"/>
      <c r="BA84" s="1132"/>
      <c r="BB84" s="1132"/>
      <c r="BC84" s="1132"/>
      <c r="BD84" s="1132"/>
      <c r="BE84" s="1132"/>
      <c r="BF84" s="1132"/>
      <c r="BG84" s="1148"/>
      <c r="BH84" s="1148"/>
      <c r="BI84" s="1132"/>
      <c r="BJ84" s="1132"/>
      <c r="BK84" s="1132"/>
      <c r="BL84" s="1133"/>
      <c r="BM84" s="1132"/>
      <c r="BN84" s="1132"/>
      <c r="BO84" s="1132"/>
      <c r="BP84" s="1133"/>
      <c r="BQ84" s="1132"/>
      <c r="BR84" s="1132"/>
      <c r="BS84" s="1132"/>
      <c r="BT84" s="1133"/>
      <c r="BU84" s="1132"/>
      <c r="BV84" s="1132"/>
      <c r="BW84" s="1132"/>
      <c r="BX84" s="1133"/>
      <c r="BY84" s="1132"/>
      <c r="BZ84" s="1132"/>
      <c r="CA84" s="1132"/>
      <c r="CB84" s="1133"/>
      <c r="CC84" s="1132"/>
      <c r="CD84" s="1132"/>
    </row>
    <row r="85" spans="1:82">
      <c r="A85" s="1166" t="str">
        <f t="shared" si="98"/>
        <v>Others</v>
      </c>
      <c r="B85" s="43"/>
      <c r="C85" s="43"/>
      <c r="D85" s="43"/>
      <c r="E85" s="43"/>
      <c r="F85" s="43"/>
      <c r="G85" s="43"/>
      <c r="H85" s="43"/>
      <c r="I85" s="90">
        <f t="shared" ref="I85:S85" si="101">I8-I51</f>
        <v>144.92500000000001</v>
      </c>
      <c r="J85" s="90">
        <f t="shared" si="101"/>
        <v>183.26</v>
      </c>
      <c r="K85" s="90">
        <f t="shared" si="101"/>
        <v>78.540000000000006</v>
      </c>
      <c r="L85" s="90">
        <f t="shared" si="101"/>
        <v>52.402816948058444</v>
      </c>
      <c r="M85" s="658">
        <f t="shared" si="101"/>
        <v>54.575000000000003</v>
      </c>
      <c r="N85" s="90">
        <f t="shared" si="101"/>
        <v>82.216499999999996</v>
      </c>
      <c r="O85" s="90">
        <f t="shared" si="101"/>
        <v>165.495</v>
      </c>
      <c r="P85" s="486">
        <f t="shared" si="101"/>
        <v>215.20102499999999</v>
      </c>
      <c r="Q85" s="486">
        <f t="shared" si="101"/>
        <v>279.83611500000001</v>
      </c>
      <c r="R85" s="486">
        <f t="shared" si="101"/>
        <v>363.78694950000005</v>
      </c>
      <c r="S85" s="486">
        <f t="shared" si="101"/>
        <v>472.92303435000002</v>
      </c>
      <c r="T85" s="432"/>
      <c r="X85" s="1072"/>
      <c r="Y85" s="1072"/>
      <c r="Z85" s="1072"/>
      <c r="AA85" s="1072"/>
      <c r="AB85" s="1072"/>
      <c r="AD85" s="1132"/>
      <c r="AE85" s="1132"/>
      <c r="AF85" s="1132"/>
      <c r="AG85" s="1133"/>
      <c r="AH85" s="1132"/>
      <c r="AI85" s="1132"/>
      <c r="AJ85" s="1132"/>
      <c r="AK85" s="1133"/>
      <c r="AL85" s="1132"/>
      <c r="AM85" s="1132"/>
      <c r="AN85" s="1132"/>
      <c r="AO85" s="1133"/>
      <c r="AP85" s="1132"/>
      <c r="AQ85" s="1132"/>
      <c r="AR85" s="1132"/>
      <c r="AS85" s="1133"/>
      <c r="AT85" s="1132"/>
      <c r="AU85" s="1132"/>
      <c r="AV85" s="1132"/>
      <c r="AW85" s="1133"/>
      <c r="AX85" s="1132"/>
      <c r="AY85" s="1132"/>
      <c r="AZ85" s="1132"/>
      <c r="BA85" s="1132"/>
      <c r="BB85" s="1132"/>
      <c r="BC85" s="1132"/>
      <c r="BD85" s="1132"/>
      <c r="BE85" s="1132"/>
      <c r="BF85" s="1132"/>
      <c r="BG85" s="1148"/>
      <c r="BH85" s="1148"/>
      <c r="BI85" s="1132"/>
      <c r="BJ85" s="1132"/>
      <c r="BK85" s="1132"/>
      <c r="BL85" s="1133"/>
      <c r="BM85" s="1132"/>
      <c r="BN85" s="1132"/>
      <c r="BO85" s="1132"/>
      <c r="BP85" s="1133"/>
      <c r="BQ85" s="1132"/>
      <c r="BR85" s="1132"/>
      <c r="BS85" s="1132"/>
      <c r="BT85" s="1133"/>
      <c r="BU85" s="1132"/>
      <c r="BV85" s="1132"/>
      <c r="BW85" s="1132"/>
      <c r="BX85" s="1133"/>
      <c r="BY85" s="1132"/>
      <c r="BZ85" s="1132"/>
      <c r="CA85" s="1132"/>
      <c r="CB85" s="1133"/>
      <c r="CC85" s="1132"/>
      <c r="CD85" s="1132"/>
    </row>
    <row r="86" spans="1:82">
      <c r="A86" s="1166" t="str">
        <f t="shared" si="98"/>
        <v>Laptop &amp; tablet</v>
      </c>
      <c r="B86" s="43"/>
      <c r="C86" s="43"/>
      <c r="D86" s="43"/>
      <c r="E86" s="43"/>
      <c r="F86" s="43"/>
      <c r="G86" s="43"/>
      <c r="H86" s="43"/>
      <c r="I86" s="90">
        <f t="shared" ref="I86:S86" si="102">I9-I52</f>
        <v>2239.4690806150229</v>
      </c>
      <c r="J86" s="90">
        <f t="shared" si="102"/>
        <v>2772.7647983967854</v>
      </c>
      <c r="K86" s="90">
        <f t="shared" si="102"/>
        <v>4055.657993620046</v>
      </c>
      <c r="L86" s="90">
        <f t="shared" si="102"/>
        <v>7285.5255153114349</v>
      </c>
      <c r="M86" s="658">
        <f t="shared" si="102"/>
        <v>6502.3302462455313</v>
      </c>
      <c r="N86" s="90">
        <f t="shared" si="102"/>
        <v>6159.0033504479579</v>
      </c>
      <c r="O86" s="90">
        <f t="shared" si="102"/>
        <v>6817.2928411763305</v>
      </c>
      <c r="P86" s="486">
        <f t="shared" si="102"/>
        <v>7253.8171370821747</v>
      </c>
      <c r="Q86" s="486">
        <f t="shared" si="102"/>
        <v>7715.6321758534323</v>
      </c>
      <c r="R86" s="486">
        <f t="shared" si="102"/>
        <v>8190.7507805191699</v>
      </c>
      <c r="S86" s="486">
        <f t="shared" si="102"/>
        <v>8690.9319217871634</v>
      </c>
      <c r="T86" s="432"/>
      <c r="AD86" s="1132"/>
      <c r="AE86" s="1132"/>
      <c r="AF86" s="1132"/>
      <c r="AG86" s="1133"/>
      <c r="AH86" s="1132"/>
      <c r="AI86" s="1132"/>
      <c r="AJ86" s="1132"/>
      <c r="AK86" s="1133"/>
      <c r="AL86" s="1132"/>
      <c r="AM86" s="1132"/>
      <c r="AN86" s="1132"/>
      <c r="AO86" s="1133"/>
      <c r="AP86" s="1132"/>
      <c r="AQ86" s="1132"/>
      <c r="AR86" s="1132"/>
      <c r="AS86" s="1133"/>
      <c r="AT86" s="1132"/>
      <c r="AU86" s="1132"/>
      <c r="AV86" s="1132"/>
      <c r="AW86" s="1133"/>
      <c r="AX86" s="1132"/>
      <c r="AY86" s="1132"/>
      <c r="AZ86" s="1132"/>
      <c r="BA86" s="1132"/>
      <c r="BB86" s="1132"/>
      <c r="BC86" s="1132"/>
      <c r="BD86" s="1132"/>
      <c r="BE86" s="1132"/>
      <c r="BF86" s="1132"/>
      <c r="BG86" s="1148"/>
      <c r="BH86" s="1148"/>
      <c r="BI86" s="1132"/>
      <c r="BJ86" s="1132"/>
      <c r="BK86" s="1132"/>
      <c r="BL86" s="1133"/>
      <c r="BM86" s="1132"/>
      <c r="BN86" s="1132"/>
      <c r="BO86" s="1132"/>
      <c r="BP86" s="1133"/>
      <c r="BQ86" s="1132"/>
      <c r="BR86" s="1132"/>
      <c r="BS86" s="1132"/>
      <c r="BT86" s="1133"/>
      <c r="BU86" s="1132"/>
      <c r="BV86" s="1132"/>
      <c r="BW86" s="1132"/>
      <c r="BX86" s="1133"/>
      <c r="BY86" s="1132"/>
      <c r="BZ86" s="1132"/>
      <c r="CA86" s="1132"/>
      <c r="CB86" s="1133"/>
      <c r="CC86" s="1132"/>
      <c r="CD86" s="1132"/>
    </row>
    <row r="87" spans="1:82">
      <c r="A87" s="1166" t="str">
        <f t="shared" si="98"/>
        <v>Office equipment</v>
      </c>
      <c r="B87" s="43"/>
      <c r="C87" s="43"/>
      <c r="D87" s="43"/>
      <c r="E87" s="43"/>
      <c r="F87" s="43"/>
      <c r="G87" s="43"/>
      <c r="H87" s="43"/>
      <c r="I87" s="90">
        <f t="shared" ref="I87:S87" si="103">I10-I53</f>
        <v>1023.6033693672692</v>
      </c>
      <c r="J87" s="90">
        <f t="shared" si="103"/>
        <v>1259.4651718497362</v>
      </c>
      <c r="K87" s="90">
        <f t="shared" si="103"/>
        <v>1413.6348148948025</v>
      </c>
      <c r="L87" s="90">
        <f t="shared" si="103"/>
        <v>2407.5967941177105</v>
      </c>
      <c r="M87" s="658">
        <f t="shared" si="103"/>
        <v>3050.7319509444951</v>
      </c>
      <c r="N87" s="90">
        <f t="shared" si="103"/>
        <v>2892.4238399999999</v>
      </c>
      <c r="O87" s="90">
        <f t="shared" si="103"/>
        <v>3293.945968</v>
      </c>
      <c r="P87" s="486">
        <f t="shared" si="103"/>
        <v>3926.9077693999993</v>
      </c>
      <c r="Q87" s="486">
        <f t="shared" si="103"/>
        <v>4653.5829844866657</v>
      </c>
      <c r="R87" s="486">
        <f t="shared" si="103"/>
        <v>5488.977528143444</v>
      </c>
      <c r="S87" s="486">
        <f t="shared" si="103"/>
        <v>6456.6813639907068</v>
      </c>
      <c r="T87" s="432"/>
      <c r="AD87" s="1132"/>
      <c r="AE87" s="1132"/>
      <c r="AF87" s="1132"/>
      <c r="AG87" s="1133"/>
      <c r="AH87" s="1132"/>
      <c r="AI87" s="1132"/>
      <c r="AJ87" s="1132"/>
      <c r="AK87" s="1133"/>
      <c r="AL87" s="1132"/>
      <c r="AM87" s="1132"/>
      <c r="AN87" s="1132"/>
      <c r="AO87" s="1133"/>
      <c r="AP87" s="1132"/>
      <c r="AQ87" s="1132"/>
      <c r="AR87" s="1132"/>
      <c r="AS87" s="1133"/>
      <c r="AT87" s="1132"/>
      <c r="AU87" s="1132"/>
      <c r="AV87" s="1132"/>
      <c r="AW87" s="1133"/>
      <c r="AX87" s="1132"/>
      <c r="AY87" s="1132"/>
      <c r="AZ87" s="1132"/>
      <c r="BA87" s="1132"/>
      <c r="BB87" s="1132"/>
      <c r="BC87" s="1132"/>
      <c r="BD87" s="1132"/>
      <c r="BE87" s="1132"/>
      <c r="BF87" s="1132"/>
      <c r="BG87" s="1148"/>
      <c r="BH87" s="1148"/>
      <c r="BI87" s="1132"/>
      <c r="BJ87" s="1132"/>
      <c r="BK87" s="1132"/>
      <c r="BL87" s="1133"/>
      <c r="BM87" s="1132"/>
      <c r="BN87" s="1132"/>
      <c r="BO87" s="1132"/>
      <c r="BP87" s="1133"/>
      <c r="BQ87" s="1132"/>
      <c r="BR87" s="1132"/>
      <c r="BS87" s="1132"/>
      <c r="BT87" s="1133"/>
      <c r="BU87" s="1132"/>
      <c r="BV87" s="1132"/>
      <c r="BW87" s="1132"/>
      <c r="BX87" s="1133"/>
      <c r="BY87" s="1132"/>
      <c r="BZ87" s="1132"/>
      <c r="CA87" s="1132"/>
      <c r="CB87" s="1133"/>
      <c r="CC87" s="1132"/>
      <c r="CD87" s="1132"/>
    </row>
    <row r="88" spans="1:82">
      <c r="A88" s="1166" t="str">
        <f t="shared" si="98"/>
        <v>Home appliance</v>
      </c>
      <c r="B88" s="43"/>
      <c r="C88" s="43"/>
      <c r="D88" s="43"/>
      <c r="E88" s="43"/>
      <c r="F88" s="43"/>
      <c r="G88" s="43"/>
      <c r="H88" s="43"/>
      <c r="I88" s="90"/>
      <c r="J88" s="90"/>
      <c r="K88" s="90"/>
      <c r="L88" s="90">
        <f t="shared" ref="L88:S89" si="104">L11-L54</f>
        <v>203.4507420058803</v>
      </c>
      <c r="M88" s="658">
        <f t="shared" si="104"/>
        <v>501.69835226578232</v>
      </c>
      <c r="N88" s="90">
        <f t="shared" si="104"/>
        <v>651.14033400000005</v>
      </c>
      <c r="O88" s="90">
        <f t="shared" si="104"/>
        <v>830.9067192</v>
      </c>
      <c r="P88" s="486">
        <f t="shared" si="104"/>
        <v>1031.7449061000002</v>
      </c>
      <c r="Q88" s="486">
        <f t="shared" si="104"/>
        <v>1251.0237964725</v>
      </c>
      <c r="R88" s="486">
        <f t="shared" si="104"/>
        <v>1485.0504796170937</v>
      </c>
      <c r="S88" s="486">
        <f t="shared" si="104"/>
        <v>1729.317703148557</v>
      </c>
      <c r="T88" s="432"/>
      <c r="AD88" s="1132"/>
      <c r="AE88" s="1132"/>
      <c r="AF88" s="1132"/>
      <c r="AG88" s="1133"/>
      <c r="AH88" s="1132"/>
      <c r="AI88" s="1132"/>
      <c r="AJ88" s="1132"/>
      <c r="AK88" s="1133"/>
      <c r="AL88" s="1132"/>
      <c r="AM88" s="1132"/>
      <c r="AN88" s="1132"/>
      <c r="AO88" s="1133"/>
      <c r="AP88" s="1132"/>
      <c r="AQ88" s="1132"/>
      <c r="AR88" s="1132"/>
      <c r="AS88" s="1133"/>
      <c r="AT88" s="1132"/>
      <c r="AU88" s="1132"/>
      <c r="AV88" s="1132"/>
      <c r="AW88" s="1133"/>
      <c r="AX88" s="1132"/>
      <c r="AY88" s="1132"/>
      <c r="AZ88" s="1132"/>
      <c r="BA88" s="1132"/>
      <c r="BB88" s="1132"/>
      <c r="BC88" s="1132"/>
      <c r="BD88" s="1132"/>
      <c r="BE88" s="1132"/>
      <c r="BF88" s="1132"/>
      <c r="BG88" s="1148"/>
      <c r="BH88" s="1148"/>
      <c r="BI88" s="1132"/>
      <c r="BJ88" s="1132"/>
      <c r="BK88" s="1132"/>
      <c r="BL88" s="1133"/>
      <c r="BM88" s="1132"/>
      <c r="BN88" s="1132"/>
      <c r="BO88" s="1132"/>
      <c r="BP88" s="1133"/>
      <c r="BQ88" s="1132"/>
      <c r="BR88" s="1132"/>
      <c r="BS88" s="1132"/>
      <c r="BT88" s="1133"/>
      <c r="BU88" s="1132"/>
      <c r="BV88" s="1132"/>
      <c r="BW88" s="1132"/>
      <c r="BX88" s="1133"/>
      <c r="BY88" s="1132"/>
      <c r="BZ88" s="1132"/>
      <c r="CA88" s="1132"/>
      <c r="CB88" s="1133"/>
      <c r="CC88" s="1132"/>
      <c r="CD88" s="1132"/>
    </row>
    <row r="89" spans="1:82">
      <c r="A89" s="1166" t="str">
        <f t="shared" si="98"/>
        <v>Consumer goods</v>
      </c>
      <c r="B89" s="43"/>
      <c r="C89" s="43"/>
      <c r="D89" s="43"/>
      <c r="E89" s="43"/>
      <c r="F89" s="43"/>
      <c r="G89" s="43"/>
      <c r="H89" s="43"/>
      <c r="I89" s="90">
        <f>I12-I55</f>
        <v>67.64</v>
      </c>
      <c r="J89" s="90">
        <f>J12-J55</f>
        <v>224.4</v>
      </c>
      <c r="K89" s="90">
        <f>K12-K55</f>
        <v>230.55</v>
      </c>
      <c r="L89" s="90">
        <f t="shared" si="104"/>
        <v>323.36</v>
      </c>
      <c r="M89" s="658">
        <f t="shared" si="104"/>
        <v>337.45</v>
      </c>
      <c r="N89" s="90">
        <f t="shared" si="104"/>
        <v>558.27852187500002</v>
      </c>
      <c r="O89" s="90">
        <f t="shared" si="104"/>
        <v>781.78692515625005</v>
      </c>
      <c r="P89" s="486">
        <f t="shared" si="104"/>
        <v>1050.1465972558594</v>
      </c>
      <c r="Q89" s="486">
        <f t="shared" si="104"/>
        <v>1367.9461110212403</v>
      </c>
      <c r="R89" s="486">
        <f t="shared" si="104"/>
        <v>1739.1560719505585</v>
      </c>
      <c r="S89" s="486">
        <f t="shared" si="104"/>
        <v>2166.795393956224</v>
      </c>
      <c r="T89" s="432"/>
      <c r="AD89" s="1132"/>
      <c r="AE89" s="1132"/>
      <c r="AF89" s="1132"/>
      <c r="AG89" s="1133"/>
      <c r="AH89" s="1132"/>
      <c r="AI89" s="1132"/>
      <c r="AJ89" s="1132"/>
      <c r="AK89" s="1133"/>
      <c r="AL89" s="1132"/>
      <c r="AM89" s="1132"/>
      <c r="AN89" s="1132"/>
      <c r="AO89" s="1133"/>
      <c r="AP89" s="1132"/>
      <c r="AQ89" s="1132"/>
      <c r="AR89" s="1132"/>
      <c r="AS89" s="1133"/>
      <c r="AT89" s="1132"/>
      <c r="AU89" s="1132"/>
      <c r="AV89" s="1132"/>
      <c r="AW89" s="1133"/>
      <c r="AX89" s="1132"/>
      <c r="AY89" s="1132"/>
      <c r="AZ89" s="1132"/>
      <c r="BA89" s="1132"/>
      <c r="BB89" s="1132"/>
      <c r="BC89" s="1132"/>
      <c r="BD89" s="1132"/>
      <c r="BE89" s="1132"/>
      <c r="BF89" s="1132"/>
      <c r="BG89" s="1148"/>
      <c r="BH89" s="1148"/>
      <c r="BI89" s="1132"/>
      <c r="BJ89" s="1132"/>
      <c r="BK89" s="1132"/>
      <c r="BL89" s="1133"/>
      <c r="BM89" s="1132"/>
      <c r="BN89" s="1132"/>
      <c r="BO89" s="1132"/>
      <c r="BP89" s="1133"/>
      <c r="BQ89" s="1132"/>
      <c r="BR89" s="1132"/>
      <c r="BS89" s="1132"/>
      <c r="BT89" s="1133"/>
      <c r="BU89" s="1132"/>
      <c r="BV89" s="1132"/>
      <c r="BW89" s="1132"/>
      <c r="BX89" s="1133"/>
      <c r="BY89" s="1132"/>
      <c r="BZ89" s="1132"/>
      <c r="CA89" s="1132"/>
      <c r="CB89" s="1133"/>
      <c r="CC89" s="1132"/>
      <c r="CD89" s="1132"/>
    </row>
    <row r="90" spans="1:82">
      <c r="A90" s="1166"/>
      <c r="B90" s="43"/>
      <c r="C90" s="43"/>
      <c r="D90" s="43"/>
      <c r="E90" s="43"/>
      <c r="F90" s="43"/>
      <c r="G90" s="43"/>
      <c r="H90" s="43"/>
      <c r="I90" s="90"/>
      <c r="J90" s="90"/>
      <c r="K90" s="90"/>
      <c r="L90" s="90"/>
      <c r="M90" s="658"/>
      <c r="N90" s="90"/>
      <c r="O90" s="90"/>
      <c r="P90" s="486"/>
      <c r="Q90" s="486"/>
      <c r="R90" s="486"/>
      <c r="S90" s="486"/>
      <c r="T90" s="432"/>
      <c r="AD90" s="1132"/>
      <c r="AE90" s="1132"/>
      <c r="AF90" s="1132"/>
      <c r="AG90" s="1133"/>
      <c r="AH90" s="1132"/>
      <c r="AI90" s="1132"/>
      <c r="AJ90" s="1132"/>
      <c r="AK90" s="1133"/>
      <c r="AL90" s="1132"/>
      <c r="AM90" s="1132"/>
      <c r="AN90" s="1132"/>
      <c r="AO90" s="1133"/>
      <c r="AP90" s="1132"/>
      <c r="AQ90" s="1132"/>
      <c r="AR90" s="1132"/>
      <c r="AS90" s="1133"/>
      <c r="AT90" s="1132"/>
      <c r="AU90" s="1132"/>
      <c r="AV90" s="1132"/>
      <c r="AW90" s="1133"/>
      <c r="AX90" s="1132"/>
      <c r="AY90" s="1132"/>
      <c r="AZ90" s="1132"/>
      <c r="BA90" s="1132"/>
      <c r="BB90" s="1132"/>
      <c r="BC90" s="1132"/>
      <c r="BD90" s="1132"/>
      <c r="BE90" s="1132"/>
      <c r="BF90" s="1132"/>
      <c r="BG90" s="1148"/>
      <c r="BH90" s="1148"/>
      <c r="BI90" s="1132"/>
      <c r="BJ90" s="1132"/>
      <c r="BK90" s="1132"/>
      <c r="BL90" s="1133"/>
      <c r="BM90" s="1132"/>
      <c r="BN90" s="1132"/>
      <c r="BO90" s="1132"/>
      <c r="BP90" s="1133"/>
      <c r="BQ90" s="1132"/>
      <c r="BR90" s="1132"/>
      <c r="BS90" s="1132"/>
      <c r="BT90" s="1133"/>
      <c r="BU90" s="1132"/>
      <c r="BV90" s="1132"/>
      <c r="BW90" s="1132"/>
      <c r="BX90" s="1133"/>
      <c r="BY90" s="1132"/>
      <c r="BZ90" s="1132"/>
      <c r="CA90" s="1132"/>
      <c r="CB90" s="1133"/>
      <c r="CC90" s="1132"/>
      <c r="CD90" s="1132"/>
    </row>
    <row r="91" spans="1:82" ht="17.25" customHeight="1">
      <c r="A91" s="864" t="s">
        <v>667</v>
      </c>
      <c r="B91" s="403"/>
      <c r="C91" s="403"/>
      <c r="D91" s="403"/>
      <c r="E91" s="403"/>
      <c r="F91" s="403"/>
      <c r="G91" s="404">
        <f>'A. FS'!G58</f>
        <v>80.043248828000017</v>
      </c>
      <c r="H91" s="404">
        <f>'A. FS'!H58</f>
        <v>93.746213735999987</v>
      </c>
      <c r="I91" s="404">
        <f>'A. FS'!E145</f>
        <v>44.45001479458481</v>
      </c>
      <c r="J91" s="404">
        <f>'A. FS'!F145</f>
        <v>64.936378643082961</v>
      </c>
      <c r="K91" s="404">
        <f>'A. FS'!G145</f>
        <v>70.955544276848272</v>
      </c>
      <c r="L91" s="404">
        <f>'A. FS'!H145</f>
        <v>82.203418944392084</v>
      </c>
      <c r="M91" s="838">
        <f>'A. FS'!I145</f>
        <v>72.011043131037496</v>
      </c>
      <c r="N91" s="404">
        <f>'A. FS'!J145</f>
        <v>63.618517842796642</v>
      </c>
      <c r="O91" s="404">
        <f>O102/O80*365</f>
        <v>54.530960966237934</v>
      </c>
      <c r="P91" s="597">
        <f>P102/P80*365</f>
        <v>53.367083304419793</v>
      </c>
      <c r="Q91" s="597">
        <f>Q102/Q80*365</f>
        <v>51.303439228151028</v>
      </c>
      <c r="R91" s="597">
        <f>R102/R80*365</f>
        <v>49.104109023716681</v>
      </c>
      <c r="S91" s="597">
        <f>S102/S80*365</f>
        <v>46.598255767254457</v>
      </c>
      <c r="T91" s="807"/>
      <c r="U91" s="1074"/>
      <c r="V91" s="1074"/>
      <c r="W91" s="1074"/>
      <c r="X91" s="1075" t="str">
        <f>IFERROR(IF((W91/R91)^(1/8)-1&lt;0,"",(W91/R91)^(1/8)-1),"")</f>
        <v/>
      </c>
      <c r="AB91" s="1132"/>
      <c r="AC91" s="1132"/>
      <c r="AD91" s="437"/>
      <c r="AE91" s="437"/>
      <c r="AF91" s="437"/>
      <c r="AG91" s="438"/>
      <c r="AH91" s="439"/>
      <c r="AI91" s="439"/>
      <c r="AJ91" s="439"/>
      <c r="AK91" s="438"/>
      <c r="AL91" s="439"/>
      <c r="AM91" s="439"/>
      <c r="AN91" s="439"/>
      <c r="AO91" s="438"/>
      <c r="AP91" s="439"/>
      <c r="AQ91" s="439"/>
      <c r="AR91" s="439"/>
      <c r="AS91" s="438"/>
      <c r="AT91" s="439" t="s">
        <v>481</v>
      </c>
      <c r="AU91" s="439"/>
      <c r="AV91" s="439"/>
      <c r="AW91" s="438"/>
      <c r="AX91" s="440">
        <v>260.73360993100005</v>
      </c>
      <c r="AY91" s="440">
        <v>392.97647730999961</v>
      </c>
      <c r="AZ91" s="440">
        <f>AZ47*AZ122</f>
        <v>0</v>
      </c>
      <c r="BA91" s="440">
        <f>BC47*BA122</f>
        <v>0</v>
      </c>
      <c r="BB91" s="439"/>
      <c r="BC91" s="440">
        <f>SUM(AX91:AY91)</f>
        <v>653.71008724099966</v>
      </c>
      <c r="BD91" s="440">
        <f>SUM(AZ91:BA91)</f>
        <v>0</v>
      </c>
      <c r="BE91" s="439"/>
      <c r="BF91" s="1132"/>
      <c r="BG91" s="1158"/>
      <c r="BH91" s="1158"/>
      <c r="BI91" s="1132"/>
      <c r="BJ91" s="1132"/>
      <c r="BK91" s="1132"/>
      <c r="BL91" s="1133"/>
      <c r="BM91" s="1132"/>
      <c r="BN91" s="1132"/>
      <c r="BO91" s="1132"/>
      <c r="BP91" s="1133"/>
      <c r="BQ91" s="1132"/>
      <c r="BR91" s="1132"/>
      <c r="BS91" s="1132"/>
      <c r="BT91" s="1133"/>
      <c r="BU91" s="1132"/>
      <c r="BV91" s="1132"/>
      <c r="BW91" s="1132"/>
      <c r="BX91" s="1133"/>
      <c r="BY91" s="1132"/>
      <c r="BZ91" s="1132"/>
      <c r="CA91" s="1132"/>
      <c r="CB91" s="1133"/>
      <c r="CC91" s="1132"/>
      <c r="CD91" s="1132"/>
    </row>
    <row r="92" spans="1:82" s="476" customFormat="1">
      <c r="A92" s="1062" t="s">
        <v>668</v>
      </c>
      <c r="I92" s="703"/>
      <c r="J92" s="703"/>
      <c r="K92" s="703"/>
      <c r="L92" s="703"/>
      <c r="M92" s="1063"/>
      <c r="N92" s="703"/>
      <c r="O92" s="1064">
        <f>'A. FS'!O145</f>
        <v>54.530960966237934</v>
      </c>
      <c r="P92" s="1064">
        <f>'A. FS'!P145</f>
        <v>53.367083304419793</v>
      </c>
      <c r="Q92" s="1064">
        <f>'A. FS'!Q145</f>
        <v>51.303439228151028</v>
      </c>
      <c r="R92" s="1064">
        <f>'A. FS'!R145</f>
        <v>49.104109023716681</v>
      </c>
      <c r="S92" s="1064">
        <f>'A. FS'!S145</f>
        <v>46.598255767254457</v>
      </c>
      <c r="T92" s="1065"/>
      <c r="U92" s="1066"/>
      <c r="V92" s="1066"/>
      <c r="W92" s="1066"/>
      <c r="X92" s="1066"/>
      <c r="Y92" s="1066"/>
      <c r="AD92" s="1167"/>
      <c r="AE92" s="1167"/>
      <c r="AF92" s="1167"/>
      <c r="AG92" s="1168"/>
      <c r="AH92" s="1167"/>
      <c r="AI92" s="1167"/>
      <c r="AJ92" s="1167"/>
      <c r="AK92" s="1168"/>
      <c r="AL92" s="1167"/>
      <c r="AM92" s="1167"/>
      <c r="AN92" s="1167"/>
      <c r="AO92" s="1168"/>
      <c r="AP92" s="1167"/>
      <c r="AQ92" s="1167"/>
      <c r="AR92" s="1167"/>
      <c r="AS92" s="1168"/>
      <c r="AT92" s="1167"/>
      <c r="AU92" s="1167"/>
      <c r="AV92" s="1167"/>
      <c r="AW92" s="1168"/>
      <c r="AX92" s="1167"/>
      <c r="AY92" s="1167"/>
      <c r="AZ92" s="1167"/>
      <c r="BA92" s="1167"/>
      <c r="BB92" s="1167"/>
      <c r="BC92" s="1167"/>
      <c r="BD92" s="1167"/>
      <c r="BE92" s="1167"/>
      <c r="BF92" s="1167"/>
      <c r="BG92" s="1169"/>
      <c r="BH92" s="1169"/>
      <c r="BI92" s="1167"/>
      <c r="BJ92" s="1167"/>
      <c r="BK92" s="1167"/>
      <c r="BL92" s="1168"/>
      <c r="BM92" s="1167"/>
      <c r="BN92" s="1167"/>
      <c r="BO92" s="1167"/>
      <c r="BP92" s="1168"/>
      <c r="BQ92" s="1167"/>
      <c r="BR92" s="1167"/>
      <c r="BS92" s="1167"/>
      <c r="BT92" s="1168"/>
      <c r="BU92" s="1167"/>
      <c r="BV92" s="1167"/>
      <c r="BW92" s="1167"/>
      <c r="BX92" s="1168"/>
      <c r="BY92" s="1167"/>
      <c r="BZ92" s="1167"/>
      <c r="CA92" s="1167"/>
      <c r="CB92" s="1168"/>
      <c r="CC92" s="1167"/>
      <c r="CD92" s="1167"/>
    </row>
    <row r="93" spans="1:82">
      <c r="A93" s="1166" t="str">
        <f t="shared" ref="A93:A100" si="105">A82</f>
        <v>Smartphone</v>
      </c>
      <c r="B93" s="43"/>
      <c r="C93" s="43"/>
      <c r="D93" s="43"/>
      <c r="E93" s="43"/>
      <c r="F93" s="43"/>
      <c r="G93" s="43"/>
      <c r="H93" s="43"/>
      <c r="I93" s="90"/>
      <c r="J93" s="90"/>
      <c r="K93" s="90"/>
      <c r="L93" s="90"/>
      <c r="M93" s="658"/>
      <c r="N93" s="90"/>
      <c r="O93" s="90"/>
      <c r="P93" s="90"/>
      <c r="Q93" s="90"/>
      <c r="R93" s="90"/>
      <c r="S93" s="90"/>
      <c r="T93" s="432"/>
      <c r="U93" s="1066"/>
      <c r="V93" s="1066"/>
      <c r="W93" s="1066"/>
      <c r="X93" s="1066"/>
      <c r="AD93" s="1132"/>
      <c r="AE93" s="1132"/>
      <c r="AF93" s="1132"/>
      <c r="AG93" s="1133"/>
      <c r="AH93" s="1132"/>
      <c r="AI93" s="1132"/>
      <c r="AJ93" s="1132"/>
      <c r="AK93" s="1133"/>
      <c r="AL93" s="1132"/>
      <c r="AM93" s="1132"/>
      <c r="AN93" s="1132"/>
      <c r="AO93" s="1133"/>
      <c r="AP93" s="1132"/>
      <c r="AQ93" s="1132"/>
      <c r="AR93" s="1132"/>
      <c r="AS93" s="1133"/>
      <c r="AT93" s="1132"/>
      <c r="AU93" s="1132"/>
      <c r="AV93" s="1132"/>
      <c r="AW93" s="1133"/>
      <c r="AX93" s="1132"/>
      <c r="AY93" s="1132"/>
      <c r="AZ93" s="1132"/>
      <c r="BA93" s="1132"/>
      <c r="BB93" s="1132"/>
      <c r="BC93" s="1132"/>
      <c r="BD93" s="1132"/>
      <c r="BE93" s="1132"/>
      <c r="BF93" s="1132"/>
      <c r="BG93" s="1148"/>
      <c r="BH93" s="1148"/>
      <c r="BI93" s="1132"/>
      <c r="BJ93" s="1132"/>
      <c r="BK93" s="1132"/>
      <c r="BL93" s="1133"/>
      <c r="BM93" s="1132"/>
      <c r="BN93" s="1132"/>
      <c r="BO93" s="1132"/>
      <c r="BP93" s="1133"/>
      <c r="BQ93" s="1132"/>
      <c r="BR93" s="1132"/>
      <c r="BS93" s="1132"/>
      <c r="BT93" s="1133"/>
      <c r="BU93" s="1132"/>
      <c r="BV93" s="1132"/>
      <c r="BW93" s="1132"/>
      <c r="BX93" s="1133"/>
      <c r="BY93" s="1132"/>
      <c r="BZ93" s="1132"/>
      <c r="CA93" s="1132"/>
      <c r="CB93" s="1133"/>
      <c r="CC93" s="1132"/>
      <c r="CD93" s="1132"/>
    </row>
    <row r="94" spans="1:82">
      <c r="A94" s="1166" t="str">
        <f t="shared" si="105"/>
        <v>Xiaomi</v>
      </c>
      <c r="B94" s="43"/>
      <c r="C94" s="43"/>
      <c r="D94" s="43"/>
      <c r="E94" s="43"/>
      <c r="F94" s="43"/>
      <c r="G94" s="43"/>
      <c r="H94" s="43"/>
      <c r="I94" s="90"/>
      <c r="J94" s="90"/>
      <c r="K94" s="90"/>
      <c r="L94" s="90"/>
      <c r="M94" s="1170" t="s">
        <v>669</v>
      </c>
      <c r="N94" s="90">
        <v>34.886079977562098</v>
      </c>
      <c r="O94" s="772">
        <v>34.5</v>
      </c>
      <c r="P94" s="705">
        <v>35</v>
      </c>
      <c r="Q94" s="705">
        <f t="shared" ref="Q94" si="106">P94-($O94-$S94)/4</f>
        <v>33.950000000000003</v>
      </c>
      <c r="R94" s="705">
        <v>32.5</v>
      </c>
      <c r="S94" s="705">
        <v>30.3</v>
      </c>
      <c r="T94" s="432"/>
      <c r="U94" s="1521">
        <f>'A. FCFF'!P28</f>
        <v>57.985153306869343</v>
      </c>
      <c r="V94" s="1522">
        <f>'A. FCFF'!Q28</f>
        <v>0.12592530692950188</v>
      </c>
      <c r="W94" s="1522">
        <f>'A. FCFF'!R28</f>
        <v>0</v>
      </c>
      <c r="X94" s="1066"/>
      <c r="AD94" s="1132"/>
      <c r="AE94" s="1132"/>
      <c r="AF94" s="1132"/>
      <c r="AG94" s="1133"/>
      <c r="AH94" s="1132"/>
      <c r="AI94" s="1132"/>
      <c r="AJ94" s="1132"/>
      <c r="AK94" s="1133"/>
      <c r="AL94" s="1132"/>
      <c r="AM94" s="1132"/>
      <c r="AN94" s="1132"/>
      <c r="AO94" s="1133"/>
      <c r="AP94" s="1132"/>
      <c r="AQ94" s="1132"/>
      <c r="AR94" s="1132"/>
      <c r="AS94" s="1133"/>
      <c r="AT94" s="1132"/>
      <c r="AU94" s="1132"/>
      <c r="AV94" s="1132"/>
      <c r="AW94" s="1133"/>
      <c r="AX94" s="1132"/>
      <c r="AY94" s="1132"/>
      <c r="AZ94" s="1132"/>
      <c r="BA94" s="1132"/>
      <c r="BB94" s="1132"/>
      <c r="BC94" s="1132"/>
      <c r="BD94" s="1132"/>
      <c r="BE94" s="1132"/>
      <c r="BF94" s="1132"/>
      <c r="BG94" s="1148"/>
      <c r="BH94" s="1148"/>
      <c r="BI94" s="1132"/>
      <c r="BJ94" s="1132"/>
      <c r="BK94" s="1132"/>
      <c r="BL94" s="1133"/>
      <c r="BM94" s="1132"/>
      <c r="BN94" s="1132"/>
      <c r="BO94" s="1132"/>
      <c r="BP94" s="1133"/>
      <c r="BQ94" s="1132"/>
      <c r="BR94" s="1132"/>
      <c r="BS94" s="1132"/>
      <c r="BT94" s="1133"/>
      <c r="BU94" s="1132"/>
      <c r="BV94" s="1132"/>
      <c r="BW94" s="1132"/>
      <c r="BX94" s="1133"/>
      <c r="BY94" s="1132"/>
      <c r="BZ94" s="1132"/>
      <c r="CA94" s="1132"/>
      <c r="CB94" s="1133"/>
      <c r="CC94" s="1132"/>
      <c r="CD94" s="1132"/>
    </row>
    <row r="95" spans="1:82">
      <c r="A95" s="1166" t="str">
        <f t="shared" si="105"/>
        <v>Iphone</v>
      </c>
      <c r="B95" s="43"/>
      <c r="C95" s="43"/>
      <c r="D95" s="43"/>
      <c r="E95" s="43"/>
      <c r="F95" s="43"/>
      <c r="G95" s="43"/>
      <c r="H95" s="43"/>
      <c r="I95" s="90"/>
      <c r="J95" s="90"/>
      <c r="K95" s="90"/>
      <c r="L95" s="90"/>
      <c r="M95" s="1170" t="s">
        <v>670</v>
      </c>
      <c r="N95" s="90">
        <v>30.063912286476601</v>
      </c>
      <c r="O95" s="772">
        <f>O94*0.8</f>
        <v>27.6</v>
      </c>
      <c r="P95" s="705">
        <v>27</v>
      </c>
      <c r="Q95" s="705">
        <f t="shared" ref="Q95:R95" si="107">P95-($O95-$S95)/4</f>
        <v>26.16</v>
      </c>
      <c r="R95" s="705">
        <f t="shared" si="107"/>
        <v>25.32</v>
      </c>
      <c r="S95" s="705">
        <f>S94*0.8</f>
        <v>24.240000000000002</v>
      </c>
      <c r="T95" s="432"/>
      <c r="U95" s="1521">
        <f>'A. FCFF'!P29</f>
        <v>48.385420375559605</v>
      </c>
      <c r="V95" s="1522">
        <f>'A. FCFF'!Q29</f>
        <v>-6.0477274260978597E-2</v>
      </c>
      <c r="W95" s="1522">
        <f>'A. FCFF'!R29</f>
        <v>0</v>
      </c>
      <c r="X95" s="1066"/>
      <c r="AD95" s="1132"/>
      <c r="AE95" s="1132"/>
      <c r="AF95" s="1132"/>
      <c r="AG95" s="1133"/>
      <c r="AH95" s="1132"/>
      <c r="AI95" s="1132"/>
      <c r="AJ95" s="1132"/>
      <c r="AK95" s="1133"/>
      <c r="AL95" s="1132"/>
      <c r="AM95" s="1132"/>
      <c r="AN95" s="1132"/>
      <c r="AO95" s="1133"/>
      <c r="AP95" s="1132"/>
      <c r="AQ95" s="1132"/>
      <c r="AR95" s="1132"/>
      <c r="AS95" s="1133"/>
      <c r="AT95" s="1132"/>
      <c r="AU95" s="1132"/>
      <c r="AV95" s="1132"/>
      <c r="AW95" s="1133"/>
      <c r="AX95" s="1132"/>
      <c r="AY95" s="1132"/>
      <c r="AZ95" s="1132"/>
      <c r="BA95" s="1132"/>
      <c r="BB95" s="1132"/>
      <c r="BC95" s="1132"/>
      <c r="BD95" s="1132"/>
      <c r="BE95" s="1132"/>
      <c r="BF95" s="1132"/>
      <c r="BG95" s="1148"/>
      <c r="BH95" s="1148"/>
      <c r="BI95" s="1132"/>
      <c r="BJ95" s="1132"/>
      <c r="BK95" s="1132"/>
      <c r="BL95" s="1133"/>
      <c r="BM95" s="1132"/>
      <c r="BN95" s="1132"/>
      <c r="BO95" s="1132"/>
      <c r="BP95" s="1133"/>
      <c r="BQ95" s="1132"/>
      <c r="BR95" s="1132"/>
      <c r="BS95" s="1132"/>
      <c r="BT95" s="1133"/>
      <c r="BU95" s="1132"/>
      <c r="BV95" s="1132"/>
      <c r="BW95" s="1132"/>
      <c r="BX95" s="1133"/>
      <c r="BY95" s="1132"/>
      <c r="BZ95" s="1132"/>
      <c r="CA95" s="1132"/>
      <c r="CB95" s="1133"/>
      <c r="CC95" s="1132"/>
      <c r="CD95" s="1132"/>
    </row>
    <row r="96" spans="1:82">
      <c r="A96" s="1166" t="str">
        <f t="shared" si="105"/>
        <v>Others</v>
      </c>
      <c r="B96" s="43"/>
      <c r="C96" s="43"/>
      <c r="D96" s="43"/>
      <c r="E96" s="43"/>
      <c r="F96" s="43"/>
      <c r="G96" s="43"/>
      <c r="H96" s="43"/>
      <c r="I96" s="90"/>
      <c r="J96" s="90"/>
      <c r="K96" s="90"/>
      <c r="L96" s="90"/>
      <c r="M96" s="658"/>
      <c r="N96" s="90"/>
      <c r="O96" s="772">
        <f>O94</f>
        <v>34.5</v>
      </c>
      <c r="P96" s="1171">
        <f t="shared" ref="P96:R96" si="108">O96-($O96-$S96)/4</f>
        <v>33.450000000000003</v>
      </c>
      <c r="Q96" s="1171">
        <f t="shared" si="108"/>
        <v>32.400000000000006</v>
      </c>
      <c r="R96" s="1171">
        <f t="shared" si="108"/>
        <v>31.350000000000005</v>
      </c>
      <c r="S96" s="705">
        <f>S94</f>
        <v>30.3</v>
      </c>
      <c r="T96" s="432"/>
      <c r="U96" s="1522">
        <f>'A. FCFF'!P30</f>
        <v>55.585220074041914</v>
      </c>
      <c r="V96" s="1522"/>
      <c r="W96" s="1522">
        <f>'A. FCFF'!R30</f>
        <v>0</v>
      </c>
      <c r="X96" s="1066"/>
      <c r="AD96" s="1132"/>
      <c r="AE96" s="1132"/>
      <c r="AF96" s="1132"/>
      <c r="AG96" s="1133"/>
      <c r="AH96" s="1132"/>
      <c r="AI96" s="1132"/>
      <c r="AJ96" s="1132"/>
      <c r="AK96" s="1133"/>
      <c r="AL96" s="1132"/>
      <c r="AM96" s="1132"/>
      <c r="AN96" s="1132"/>
      <c r="AO96" s="1133"/>
      <c r="AP96" s="1132"/>
      <c r="AQ96" s="1132"/>
      <c r="AR96" s="1132"/>
      <c r="AS96" s="1133"/>
      <c r="AT96" s="1132"/>
      <c r="AU96" s="1132"/>
      <c r="AV96" s="1132"/>
      <c r="AW96" s="1133"/>
      <c r="AX96" s="1132"/>
      <c r="AY96" s="1132"/>
      <c r="AZ96" s="1132"/>
      <c r="BA96" s="1132"/>
      <c r="BB96" s="1132"/>
      <c r="BC96" s="1132"/>
      <c r="BD96" s="1132"/>
      <c r="BE96" s="1132"/>
      <c r="BF96" s="1132"/>
      <c r="BG96" s="1148"/>
      <c r="BH96" s="1148"/>
      <c r="BI96" s="1132"/>
      <c r="BJ96" s="1132"/>
      <c r="BK96" s="1132"/>
      <c r="BL96" s="1133"/>
      <c r="BM96" s="1132"/>
      <c r="BN96" s="1132"/>
      <c r="BO96" s="1132"/>
      <c r="BP96" s="1133"/>
      <c r="BQ96" s="1132"/>
      <c r="BR96" s="1132"/>
      <c r="BS96" s="1132"/>
      <c r="BT96" s="1133"/>
      <c r="BU96" s="1132"/>
      <c r="BV96" s="1132"/>
      <c r="BW96" s="1132"/>
      <c r="BX96" s="1133"/>
      <c r="BY96" s="1132"/>
      <c r="BZ96" s="1132"/>
      <c r="CA96" s="1132"/>
      <c r="CB96" s="1133"/>
      <c r="CC96" s="1132"/>
      <c r="CD96" s="1132"/>
    </row>
    <row r="97" spans="1:82">
      <c r="A97" s="1166" t="str">
        <f t="shared" si="105"/>
        <v>Laptop &amp; tablet</v>
      </c>
      <c r="B97" s="43"/>
      <c r="C97" s="43"/>
      <c r="D97" s="43"/>
      <c r="E97" s="43"/>
      <c r="F97" s="43"/>
      <c r="G97" s="43"/>
      <c r="H97" s="43"/>
      <c r="I97" s="90"/>
      <c r="J97" s="90"/>
      <c r="K97" s="90"/>
      <c r="L97" s="90"/>
      <c r="M97" s="658"/>
      <c r="N97" s="90"/>
      <c r="O97" s="772">
        <f>O94*1.2</f>
        <v>41.4</v>
      </c>
      <c r="P97" s="1171">
        <f t="shared" ref="P97:R97" si="109">O97-($O97-$S97)/4</f>
        <v>40.14</v>
      </c>
      <c r="Q97" s="1171">
        <f t="shared" si="109"/>
        <v>38.880000000000003</v>
      </c>
      <c r="R97" s="1171">
        <f t="shared" si="109"/>
        <v>37.620000000000005</v>
      </c>
      <c r="S97" s="705">
        <f>S94*1.2</f>
        <v>36.36</v>
      </c>
      <c r="T97" s="432"/>
      <c r="U97" s="1522">
        <f>'A. FCFF'!P31</f>
        <v>51.5</v>
      </c>
      <c r="V97" s="1522">
        <f>'A. FCFF'!Q31</f>
        <v>55.620000000000005</v>
      </c>
      <c r="W97" s="1522">
        <f>'A. FCFF'!R31</f>
        <v>0</v>
      </c>
      <c r="X97" s="1066"/>
      <c r="AD97" s="1132"/>
      <c r="AE97" s="1132"/>
      <c r="AF97" s="1132"/>
      <c r="AG97" s="1133"/>
      <c r="AH97" s="1132"/>
      <c r="AI97" s="1132"/>
      <c r="AJ97" s="1132"/>
      <c r="AK97" s="1133"/>
      <c r="AL97" s="1132"/>
      <c r="AM97" s="1132"/>
      <c r="AN97" s="1132"/>
      <c r="AO97" s="1133"/>
      <c r="AP97" s="1132"/>
      <c r="AQ97" s="1132"/>
      <c r="AR97" s="1132"/>
      <c r="AS97" s="1133"/>
      <c r="AT97" s="1132"/>
      <c r="AU97" s="1132"/>
      <c r="AV97" s="1132"/>
      <c r="AW97" s="1133"/>
      <c r="AX97" s="1132"/>
      <c r="AY97" s="1132"/>
      <c r="AZ97" s="1132"/>
      <c r="BA97" s="1132"/>
      <c r="BB97" s="1132"/>
      <c r="BC97" s="1132"/>
      <c r="BD97" s="1132"/>
      <c r="BE97" s="1132"/>
      <c r="BF97" s="1132"/>
      <c r="BG97" s="1148"/>
      <c r="BH97" s="1148"/>
      <c r="BI97" s="1132"/>
      <c r="BJ97" s="1132"/>
      <c r="BK97" s="1132"/>
      <c r="BL97" s="1133"/>
      <c r="BM97" s="1132"/>
      <c r="BN97" s="1132"/>
      <c r="BO97" s="1132"/>
      <c r="BP97" s="1133"/>
      <c r="BQ97" s="1132"/>
      <c r="BR97" s="1132"/>
      <c r="BS97" s="1132"/>
      <c r="BT97" s="1133"/>
      <c r="BU97" s="1132"/>
      <c r="BV97" s="1132"/>
      <c r="BW97" s="1132"/>
      <c r="BX97" s="1133"/>
      <c r="BY97" s="1132"/>
      <c r="BZ97" s="1132"/>
      <c r="CA97" s="1132"/>
      <c r="CB97" s="1133"/>
      <c r="CC97" s="1132"/>
      <c r="CD97" s="1132"/>
    </row>
    <row r="98" spans="1:82">
      <c r="A98" s="1166" t="str">
        <f t="shared" si="105"/>
        <v>Office equipment</v>
      </c>
      <c r="B98" s="43"/>
      <c r="C98" s="43"/>
      <c r="D98" s="43"/>
      <c r="E98" s="43"/>
      <c r="F98" s="43"/>
      <c r="G98" s="43"/>
      <c r="H98" s="43"/>
      <c r="I98" s="90"/>
      <c r="J98" s="90"/>
      <c r="K98" s="90"/>
      <c r="L98" s="90"/>
      <c r="M98" s="658"/>
      <c r="N98" s="90"/>
      <c r="O98" s="772">
        <f>O94*1.4</f>
        <v>48.3</v>
      </c>
      <c r="P98" s="1171">
        <f t="shared" ref="P98:R98" si="110">O98-($O98-$S98)/4</f>
        <v>46.83</v>
      </c>
      <c r="Q98" s="1171">
        <f t="shared" si="110"/>
        <v>45.36</v>
      </c>
      <c r="R98" s="1171">
        <f t="shared" si="110"/>
        <v>43.89</v>
      </c>
      <c r="S98" s="705">
        <f>S94*1.4</f>
        <v>42.42</v>
      </c>
      <c r="T98" s="432"/>
      <c r="U98" s="1523">
        <f>'A. FCFF'!P32</f>
        <v>7.9324661631881899E-2</v>
      </c>
      <c r="V98" s="1522">
        <f>'A. FCFF'!Q32</f>
        <v>0</v>
      </c>
      <c r="W98" s="1522">
        <f>'A. FCFF'!R32</f>
        <v>0</v>
      </c>
      <c r="X98" s="1066"/>
      <c r="AD98" s="1132"/>
      <c r="AE98" s="1132"/>
      <c r="AF98" s="1132"/>
      <c r="AG98" s="1133"/>
      <c r="AH98" s="1132"/>
      <c r="AI98" s="1132"/>
      <c r="AJ98" s="1132"/>
      <c r="AK98" s="1133"/>
      <c r="AL98" s="1132"/>
      <c r="AM98" s="1132"/>
      <c r="AN98" s="1132"/>
      <c r="AO98" s="1133"/>
      <c r="AP98" s="1132"/>
      <c r="AQ98" s="1132"/>
      <c r="AR98" s="1132"/>
      <c r="AS98" s="1133"/>
      <c r="AT98" s="1132"/>
      <c r="AU98" s="1132"/>
      <c r="AV98" s="1132"/>
      <c r="AW98" s="1133"/>
      <c r="AX98" s="1132"/>
      <c r="AY98" s="1132"/>
      <c r="AZ98" s="1132"/>
      <c r="BA98" s="1132"/>
      <c r="BB98" s="1132"/>
      <c r="BC98" s="1132"/>
      <c r="BD98" s="1132"/>
      <c r="BE98" s="1132"/>
      <c r="BF98" s="1132"/>
      <c r="BG98" s="1148"/>
      <c r="BH98" s="1148"/>
      <c r="BI98" s="1132"/>
      <c r="BJ98" s="1132"/>
      <c r="BK98" s="1132"/>
      <c r="BL98" s="1133"/>
      <c r="BM98" s="1132"/>
      <c r="BN98" s="1132"/>
      <c r="BO98" s="1132"/>
      <c r="BP98" s="1133"/>
      <c r="BQ98" s="1132"/>
      <c r="BR98" s="1132"/>
      <c r="BS98" s="1132"/>
      <c r="BT98" s="1133"/>
      <c r="BU98" s="1132"/>
      <c r="BV98" s="1132"/>
      <c r="BW98" s="1132"/>
      <c r="BX98" s="1133"/>
      <c r="BY98" s="1132"/>
      <c r="BZ98" s="1132"/>
      <c r="CA98" s="1132"/>
      <c r="CB98" s="1133"/>
      <c r="CC98" s="1132"/>
      <c r="CD98" s="1132"/>
    </row>
    <row r="99" spans="1:82">
      <c r="A99" s="1166" t="str">
        <f t="shared" si="105"/>
        <v>Home appliance</v>
      </c>
      <c r="B99" s="43"/>
      <c r="C99" s="43"/>
      <c r="D99" s="43"/>
      <c r="E99" s="43"/>
      <c r="F99" s="43"/>
      <c r="G99" s="43"/>
      <c r="H99" s="43"/>
      <c r="I99" s="90"/>
      <c r="J99" s="90"/>
      <c r="K99" s="90"/>
      <c r="L99" s="90"/>
      <c r="M99" s="658"/>
      <c r="N99" s="90"/>
      <c r="O99" s="772">
        <f>O94*1.6</f>
        <v>55.2</v>
      </c>
      <c r="P99" s="1171">
        <f t="shared" ref="P99:R99" si="111">O99-($O99-$S99)/4</f>
        <v>53.52</v>
      </c>
      <c r="Q99" s="1171">
        <f t="shared" si="111"/>
        <v>51.84</v>
      </c>
      <c r="R99" s="1171">
        <f t="shared" si="111"/>
        <v>50.160000000000004</v>
      </c>
      <c r="S99" s="705">
        <f>S94*1.6</f>
        <v>48.480000000000004</v>
      </c>
      <c r="T99" s="432"/>
      <c r="U99" s="1522"/>
      <c r="V99" s="1524"/>
      <c r="W99" s="1524"/>
      <c r="X99" s="1066"/>
      <c r="AD99" s="1132"/>
      <c r="AE99" s="1132"/>
      <c r="AF99" s="1132"/>
      <c r="AG99" s="1133"/>
      <c r="AH99" s="1132"/>
      <c r="AI99" s="1132"/>
      <c r="AJ99" s="1132"/>
      <c r="AK99" s="1133"/>
      <c r="AL99" s="1132"/>
      <c r="AM99" s="1132"/>
      <c r="AN99" s="1132"/>
      <c r="AO99" s="1133"/>
      <c r="AP99" s="1132"/>
      <c r="AQ99" s="1132"/>
      <c r="AR99" s="1132"/>
      <c r="AS99" s="1133"/>
      <c r="AT99" s="1132"/>
      <c r="AU99" s="1132"/>
      <c r="AV99" s="1132"/>
      <c r="AW99" s="1133"/>
      <c r="AX99" s="1132"/>
      <c r="AY99" s="1132"/>
      <c r="AZ99" s="1132"/>
      <c r="BA99" s="1132"/>
      <c r="BB99" s="1132"/>
      <c r="BC99" s="1132"/>
      <c r="BD99" s="1132"/>
      <c r="BE99" s="1132"/>
      <c r="BF99" s="1132"/>
      <c r="BG99" s="1148"/>
      <c r="BH99" s="1148"/>
      <c r="BI99" s="1132"/>
      <c r="BJ99" s="1132"/>
      <c r="BK99" s="1132"/>
      <c r="BL99" s="1133"/>
      <c r="BM99" s="1132"/>
      <c r="BN99" s="1132"/>
      <c r="BO99" s="1132"/>
      <c r="BP99" s="1133"/>
      <c r="BQ99" s="1132"/>
      <c r="BR99" s="1132"/>
      <c r="BS99" s="1132"/>
      <c r="BT99" s="1133"/>
      <c r="BU99" s="1132"/>
      <c r="BV99" s="1132"/>
      <c r="BW99" s="1132"/>
      <c r="BX99" s="1133"/>
      <c r="BY99" s="1132"/>
      <c r="BZ99" s="1132"/>
      <c r="CA99" s="1132"/>
      <c r="CB99" s="1133"/>
      <c r="CC99" s="1132"/>
      <c r="CD99" s="1132"/>
    </row>
    <row r="100" spans="1:82">
      <c r="A100" s="1166" t="str">
        <f t="shared" si="105"/>
        <v>Consumer goods</v>
      </c>
      <c r="B100" s="43"/>
      <c r="C100" s="43"/>
      <c r="D100" s="43"/>
      <c r="E100" s="43"/>
      <c r="F100" s="43"/>
      <c r="G100" s="43"/>
      <c r="H100" s="43"/>
      <c r="I100" s="90"/>
      <c r="J100" s="428"/>
      <c r="K100" s="428"/>
      <c r="L100" s="428"/>
      <c r="M100" s="658"/>
      <c r="N100" s="90"/>
      <c r="O100" s="772">
        <f>O94*0.8</f>
        <v>27.6</v>
      </c>
      <c r="P100" s="1171">
        <f t="shared" ref="P100:R100" si="112">O100-($O100-$S100)/4</f>
        <v>26.76</v>
      </c>
      <c r="Q100" s="1171">
        <f t="shared" si="112"/>
        <v>25.92</v>
      </c>
      <c r="R100" s="1171">
        <f t="shared" si="112"/>
        <v>25.080000000000002</v>
      </c>
      <c r="S100" s="705">
        <f>S94*0.8</f>
        <v>24.240000000000002</v>
      </c>
      <c r="T100" s="432"/>
      <c r="AD100" s="1132"/>
      <c r="AE100" s="1132"/>
      <c r="AF100" s="1132"/>
      <c r="AG100" s="1133"/>
      <c r="AH100" s="1132"/>
      <c r="AI100" s="1132"/>
      <c r="AJ100" s="1132"/>
      <c r="AK100" s="1133"/>
      <c r="AL100" s="1132"/>
      <c r="AM100" s="1132"/>
      <c r="AN100" s="1132"/>
      <c r="AO100" s="1133"/>
      <c r="AP100" s="1132"/>
      <c r="AQ100" s="1132"/>
      <c r="AR100" s="1132"/>
      <c r="AS100" s="1133"/>
      <c r="AT100" s="1132"/>
      <c r="AU100" s="1132"/>
      <c r="AV100" s="1132"/>
      <c r="AW100" s="1133"/>
      <c r="AX100" s="1132"/>
      <c r="AY100" s="1132"/>
      <c r="AZ100" s="1132"/>
      <c r="BA100" s="1132"/>
      <c r="BB100" s="1132"/>
      <c r="BC100" s="1132"/>
      <c r="BD100" s="1132"/>
      <c r="BE100" s="1132"/>
      <c r="BF100" s="1132"/>
      <c r="BG100" s="1148"/>
      <c r="BH100" s="1148"/>
      <c r="BI100" s="1132"/>
      <c r="BJ100" s="1132"/>
      <c r="BK100" s="1132"/>
      <c r="BL100" s="1133"/>
      <c r="BM100" s="1132"/>
      <c r="BN100" s="1132"/>
      <c r="BO100" s="1132"/>
      <c r="BP100" s="1133"/>
      <c r="BQ100" s="1132"/>
      <c r="BR100" s="1132"/>
      <c r="BS100" s="1132"/>
      <c r="BT100" s="1133"/>
      <c r="BU100" s="1132"/>
      <c r="BV100" s="1132"/>
      <c r="BW100" s="1132"/>
      <c r="BX100" s="1133"/>
      <c r="BY100" s="1132"/>
      <c r="BZ100" s="1132"/>
      <c r="CA100" s="1132"/>
      <c r="CB100" s="1133"/>
      <c r="CC100" s="1132"/>
      <c r="CD100" s="1132"/>
    </row>
    <row r="101" spans="1:82">
      <c r="A101" s="1166"/>
      <c r="B101" s="43"/>
      <c r="C101" s="43"/>
      <c r="D101" s="43"/>
      <c r="E101" s="43"/>
      <c r="F101" s="43"/>
      <c r="G101" s="43"/>
      <c r="H101" s="43"/>
      <c r="I101" s="90"/>
      <c r="J101" s="90"/>
      <c r="K101" s="90"/>
      <c r="L101" s="90"/>
      <c r="M101" s="658"/>
      <c r="N101" s="90"/>
      <c r="O101" s="90"/>
      <c r="P101" s="486"/>
      <c r="Q101" s="486"/>
      <c r="R101" s="486"/>
      <c r="S101" s="486"/>
      <c r="T101" s="432"/>
      <c r="AD101" s="1132"/>
      <c r="AE101" s="1132"/>
      <c r="AF101" s="1132"/>
      <c r="AG101" s="1133"/>
      <c r="AH101" s="1132"/>
      <c r="AI101" s="1132"/>
      <c r="AJ101" s="1132"/>
      <c r="AK101" s="1133"/>
      <c r="AL101" s="1132"/>
      <c r="AM101" s="1132"/>
      <c r="AN101" s="1132"/>
      <c r="AO101" s="1133"/>
      <c r="AP101" s="1132"/>
      <c r="AQ101" s="1132"/>
      <c r="AR101" s="1132"/>
      <c r="AS101" s="1133"/>
      <c r="AT101" s="1132"/>
      <c r="AU101" s="1132"/>
      <c r="AV101" s="1132"/>
      <c r="AW101" s="1133"/>
      <c r="AX101" s="1132"/>
      <c r="AY101" s="1132"/>
      <c r="AZ101" s="1132"/>
      <c r="BA101" s="1132"/>
      <c r="BB101" s="1132"/>
      <c r="BC101" s="1132"/>
      <c r="BD101" s="1132"/>
      <c r="BE101" s="1132"/>
      <c r="BF101" s="1132"/>
      <c r="BG101" s="1148"/>
      <c r="BH101" s="1148"/>
      <c r="BI101" s="1132"/>
      <c r="BJ101" s="1132"/>
      <c r="BK101" s="1132"/>
      <c r="BL101" s="1133"/>
      <c r="BM101" s="1132"/>
      <c r="BN101" s="1132"/>
      <c r="BO101" s="1132"/>
      <c r="BP101" s="1133"/>
      <c r="BQ101" s="1132"/>
      <c r="BR101" s="1132"/>
      <c r="BS101" s="1132"/>
      <c r="BT101" s="1133"/>
      <c r="BU101" s="1132"/>
      <c r="BV101" s="1132"/>
      <c r="BW101" s="1132"/>
      <c r="BX101" s="1133"/>
      <c r="BY101" s="1132"/>
      <c r="BZ101" s="1132"/>
      <c r="CA101" s="1132"/>
      <c r="CB101" s="1133"/>
      <c r="CC101" s="1132"/>
      <c r="CD101" s="1132"/>
    </row>
    <row r="102" spans="1:82" ht="17.25" customHeight="1">
      <c r="A102" s="864" t="s">
        <v>671</v>
      </c>
      <c r="B102" s="403"/>
      <c r="C102" s="403"/>
      <c r="D102" s="403"/>
      <c r="E102" s="403"/>
      <c r="F102" s="403"/>
      <c r="G102" s="404">
        <f>'A. FS'!G69</f>
        <v>-17.556078789000001</v>
      </c>
      <c r="H102" s="404">
        <f>'A. FS'!H69</f>
        <v>-21.121319405000001</v>
      </c>
      <c r="I102" s="404"/>
      <c r="J102" s="404"/>
      <c r="K102" s="404"/>
      <c r="L102" s="404"/>
      <c r="M102" s="838"/>
      <c r="N102" s="404"/>
      <c r="O102" s="404">
        <f>SUM(O105:O111)</f>
        <v>3189.4223061225352</v>
      </c>
      <c r="P102" s="404">
        <f t="shared" ref="P102:S102" si="113">SUM(P105:P111)</f>
        <v>3535.424051811654</v>
      </c>
      <c r="Q102" s="404">
        <f t="shared" si="113"/>
        <v>3774.4971147947399</v>
      </c>
      <c r="R102" s="404">
        <f t="shared" si="113"/>
        <v>4005.8826687686901</v>
      </c>
      <c r="S102" s="404">
        <f t="shared" si="113"/>
        <v>4212.2809041756827</v>
      </c>
      <c r="T102" s="807"/>
      <c r="U102" s="537"/>
      <c r="V102" s="406"/>
      <c r="W102" s="406"/>
      <c r="X102" s="222" t="str">
        <f>IFERROR(IF((W102/R102)^(1/8)-1&lt;0,"",(W102/R102)^(1/8)-1),"")</f>
        <v/>
      </c>
      <c r="AB102" s="1132"/>
      <c r="AC102" s="1132"/>
      <c r="AD102" s="437"/>
      <c r="AE102" s="437"/>
      <c r="AF102" s="437"/>
      <c r="AG102" s="438"/>
      <c r="AH102" s="439"/>
      <c r="AI102" s="439"/>
      <c r="AJ102" s="439"/>
      <c r="AK102" s="438"/>
      <c r="AL102" s="439"/>
      <c r="AM102" s="439"/>
      <c r="AN102" s="439"/>
      <c r="AO102" s="438"/>
      <c r="AP102" s="439"/>
      <c r="AQ102" s="439"/>
      <c r="AR102" s="439"/>
      <c r="AS102" s="438"/>
      <c r="AT102" s="439" t="s">
        <v>481</v>
      </c>
      <c r="AU102" s="439"/>
      <c r="AV102" s="439"/>
      <c r="AW102" s="438"/>
      <c r="AX102" s="440">
        <v>260.73360993100005</v>
      </c>
      <c r="AY102" s="440">
        <v>392.97647730999961</v>
      </c>
      <c r="AZ102" s="440">
        <f>AZ58*AZ133</f>
        <v>0</v>
      </c>
      <c r="BA102" s="440">
        <f>BC58*BA133</f>
        <v>0</v>
      </c>
      <c r="BB102" s="439"/>
      <c r="BC102" s="440">
        <f>SUM(AX102:AY102)</f>
        <v>653.71008724099966</v>
      </c>
      <c r="BD102" s="440">
        <f>SUM(AZ102:BA102)</f>
        <v>0</v>
      </c>
      <c r="BE102" s="439"/>
      <c r="BF102" s="1132"/>
      <c r="BG102" s="1158"/>
      <c r="BH102" s="1158"/>
      <c r="BI102" s="1132"/>
      <c r="BJ102" s="1132"/>
      <c r="BK102" s="1132"/>
      <c r="BL102" s="1133"/>
      <c r="BM102" s="1132"/>
      <c r="BN102" s="1132"/>
      <c r="BO102" s="1132"/>
      <c r="BP102" s="1133"/>
      <c r="BQ102" s="1132"/>
      <c r="BR102" s="1132"/>
      <c r="BS102" s="1132"/>
      <c r="BT102" s="1133"/>
      <c r="BU102" s="1132"/>
      <c r="BV102" s="1132"/>
      <c r="BW102" s="1132"/>
      <c r="BX102" s="1133"/>
      <c r="BY102" s="1132"/>
      <c r="BZ102" s="1132"/>
      <c r="CA102" s="1132"/>
      <c r="CB102" s="1133"/>
      <c r="CC102" s="1132"/>
      <c r="CD102" s="1132"/>
    </row>
    <row r="103" spans="1:82">
      <c r="A103" s="1166"/>
      <c r="B103" s="43"/>
      <c r="C103" s="43"/>
      <c r="D103" s="43"/>
      <c r="E103" s="43"/>
      <c r="F103" s="43"/>
      <c r="G103" s="43"/>
      <c r="H103" s="43"/>
      <c r="I103" s="90"/>
      <c r="J103" s="90"/>
      <c r="K103" s="90"/>
      <c r="L103" s="90"/>
      <c r="M103" s="658"/>
      <c r="N103" s="90"/>
      <c r="O103" s="90"/>
      <c r="P103" s="486"/>
      <c r="Q103" s="486"/>
      <c r="R103" s="486"/>
      <c r="S103" s="486"/>
      <c r="T103" s="432"/>
      <c r="AD103" s="1132"/>
      <c r="AE103" s="1132"/>
      <c r="AF103" s="1132"/>
      <c r="AG103" s="1133"/>
      <c r="AH103" s="1132"/>
      <c r="AI103" s="1132"/>
      <c r="AJ103" s="1132"/>
      <c r="AK103" s="1133"/>
      <c r="AL103" s="1132"/>
      <c r="AM103" s="1132"/>
      <c r="AN103" s="1132"/>
      <c r="AO103" s="1133"/>
      <c r="AP103" s="1132"/>
      <c r="AQ103" s="1132"/>
      <c r="AR103" s="1132"/>
      <c r="AS103" s="1133"/>
      <c r="AT103" s="1132"/>
      <c r="AU103" s="1132"/>
      <c r="AV103" s="1132"/>
      <c r="AW103" s="1133"/>
      <c r="AX103" s="1132"/>
      <c r="AY103" s="1132"/>
      <c r="AZ103" s="1132"/>
      <c r="BA103" s="1132"/>
      <c r="BB103" s="1132"/>
      <c r="BC103" s="1132"/>
      <c r="BD103" s="1132"/>
      <c r="BE103" s="1132"/>
      <c r="BF103" s="1132"/>
      <c r="BG103" s="1148"/>
      <c r="BH103" s="1148"/>
      <c r="BI103" s="1132"/>
      <c r="BJ103" s="1132"/>
      <c r="BK103" s="1132"/>
      <c r="BL103" s="1133"/>
      <c r="BM103" s="1132"/>
      <c r="BN103" s="1132"/>
      <c r="BO103" s="1132"/>
      <c r="BP103" s="1133"/>
      <c r="BQ103" s="1132"/>
      <c r="BR103" s="1132"/>
      <c r="BS103" s="1132"/>
      <c r="BT103" s="1133"/>
      <c r="BU103" s="1132"/>
      <c r="BV103" s="1132"/>
      <c r="BW103" s="1132"/>
      <c r="BX103" s="1133"/>
      <c r="BY103" s="1132"/>
      <c r="BZ103" s="1132"/>
      <c r="CA103" s="1132"/>
      <c r="CB103" s="1133"/>
      <c r="CC103" s="1132"/>
      <c r="CD103" s="1132"/>
    </row>
    <row r="104" spans="1:82">
      <c r="A104" s="1166" t="str">
        <f>A93</f>
        <v>Smartphone</v>
      </c>
      <c r="B104" s="43"/>
      <c r="C104" s="43"/>
      <c r="D104" s="43"/>
      <c r="E104" s="43"/>
      <c r="F104" s="43"/>
      <c r="G104" s="43"/>
      <c r="H104" s="43"/>
      <c r="I104" s="90"/>
      <c r="J104" s="90"/>
      <c r="K104" s="90"/>
      <c r="L104" s="90"/>
      <c r="M104" s="658"/>
      <c r="N104" s="90"/>
      <c r="O104" s="90">
        <f>SUM(O105:O107)</f>
        <v>1707.5440044449003</v>
      </c>
      <c r="P104" s="90">
        <f t="shared" ref="P104:S104" si="114">SUM(P105:P107)</f>
        <v>1929.6376869388264</v>
      </c>
      <c r="Q104" s="90">
        <f t="shared" si="114"/>
        <v>2036.0604507720884</v>
      </c>
      <c r="R104" s="90">
        <f t="shared" si="114"/>
        <v>2127.11583140527</v>
      </c>
      <c r="S104" s="90">
        <f t="shared" si="114"/>
        <v>2182.6825828009751</v>
      </c>
      <c r="T104" s="432"/>
      <c r="AD104" s="1132"/>
      <c r="AE104" s="1132"/>
      <c r="AF104" s="1132"/>
      <c r="AG104" s="1133"/>
      <c r="AH104" s="1132"/>
      <c r="AI104" s="1132"/>
      <c r="AJ104" s="1132"/>
      <c r="AK104" s="1133"/>
      <c r="AL104" s="1132"/>
      <c r="AM104" s="1132"/>
      <c r="AN104" s="1132"/>
      <c r="AO104" s="1133"/>
      <c r="AP104" s="1132"/>
      <c r="AQ104" s="1132"/>
      <c r="AR104" s="1132"/>
      <c r="AS104" s="1133"/>
      <c r="AT104" s="1132"/>
      <c r="AU104" s="1132"/>
      <c r="AV104" s="1132"/>
      <c r="AW104" s="1133"/>
      <c r="AX104" s="1132"/>
      <c r="AY104" s="1132"/>
      <c r="AZ104" s="1132"/>
      <c r="BA104" s="1132"/>
      <c r="BB104" s="1132"/>
      <c r="BC104" s="1132"/>
      <c r="BD104" s="1132"/>
      <c r="BE104" s="1132"/>
      <c r="BF104" s="1132"/>
      <c r="BG104" s="1148"/>
      <c r="BH104" s="1148"/>
      <c r="BI104" s="1132"/>
      <c r="BJ104" s="1132"/>
      <c r="BK104" s="1132"/>
      <c r="BL104" s="1133"/>
      <c r="BM104" s="1132"/>
      <c r="BN104" s="1132"/>
      <c r="BO104" s="1132"/>
      <c r="BP104" s="1133"/>
      <c r="BQ104" s="1132"/>
      <c r="BR104" s="1132"/>
      <c r="BS104" s="1132"/>
      <c r="BT104" s="1133"/>
      <c r="BU104" s="1132"/>
      <c r="BV104" s="1132"/>
      <c r="BW104" s="1132"/>
      <c r="BX104" s="1133"/>
      <c r="BY104" s="1132"/>
      <c r="BZ104" s="1132"/>
      <c r="CA104" s="1132"/>
      <c r="CB104" s="1133"/>
      <c r="CC104" s="1132"/>
      <c r="CD104" s="1132"/>
    </row>
    <row r="105" spans="1:82">
      <c r="A105" s="1166" t="str">
        <f t="shared" ref="A105:A111" si="115">A94</f>
        <v>Xiaomi</v>
      </c>
      <c r="B105" s="43"/>
      <c r="C105" s="43"/>
      <c r="D105" s="43"/>
      <c r="E105" s="43"/>
      <c r="F105" s="43"/>
      <c r="G105" s="43"/>
      <c r="H105" s="43"/>
      <c r="I105" s="90"/>
      <c r="J105" s="90"/>
      <c r="K105" s="90"/>
      <c r="L105" s="90"/>
      <c r="M105" s="658"/>
      <c r="N105" s="90"/>
      <c r="O105" s="90">
        <f t="shared" ref="O105:S111" si="116">O94*O82/365</f>
        <v>909.69326218291621</v>
      </c>
      <c r="P105" s="90">
        <f t="shared" si="116"/>
        <v>1046.8970236124451</v>
      </c>
      <c r="Q105" s="90">
        <f t="shared" si="116"/>
        <v>1103.6631913089318</v>
      </c>
      <c r="R105" s="90">
        <f t="shared" si="116"/>
        <v>1146.1848984440865</v>
      </c>
      <c r="S105" s="90">
        <f t="shared" si="116"/>
        <v>1158.0988679621751</v>
      </c>
      <c r="T105" s="432"/>
      <c r="AD105" s="1132"/>
      <c r="AE105" s="1132"/>
      <c r="AF105" s="1132"/>
      <c r="AG105" s="1133"/>
      <c r="AH105" s="1132"/>
      <c r="AI105" s="1132"/>
      <c r="AJ105" s="1132"/>
      <c r="AK105" s="1133"/>
      <c r="AL105" s="1132"/>
      <c r="AM105" s="1132"/>
      <c r="AN105" s="1132"/>
      <c r="AO105" s="1133"/>
      <c r="AP105" s="1132"/>
      <c r="AQ105" s="1132"/>
      <c r="AR105" s="1132"/>
      <c r="AS105" s="1133"/>
      <c r="AT105" s="1132"/>
      <c r="AU105" s="1132"/>
      <c r="AV105" s="1132"/>
      <c r="AW105" s="1133"/>
      <c r="AX105" s="1132"/>
      <c r="AY105" s="1132"/>
      <c r="AZ105" s="1132"/>
      <c r="BA105" s="1132"/>
      <c r="BB105" s="1132"/>
      <c r="BC105" s="1132"/>
      <c r="BD105" s="1132"/>
      <c r="BE105" s="1132"/>
      <c r="BF105" s="1132"/>
      <c r="BG105" s="1148"/>
      <c r="BH105" s="1148"/>
      <c r="BI105" s="1132"/>
      <c r="BJ105" s="1132"/>
      <c r="BK105" s="1132"/>
      <c r="BL105" s="1133"/>
      <c r="BM105" s="1132"/>
      <c r="BN105" s="1132"/>
      <c r="BO105" s="1132"/>
      <c r="BP105" s="1133"/>
      <c r="BQ105" s="1132"/>
      <c r="BR105" s="1132"/>
      <c r="BS105" s="1132"/>
      <c r="BT105" s="1133"/>
      <c r="BU105" s="1132"/>
      <c r="BV105" s="1132"/>
      <c r="BW105" s="1132"/>
      <c r="BX105" s="1133"/>
      <c r="BY105" s="1132"/>
      <c r="BZ105" s="1132"/>
      <c r="CA105" s="1132"/>
      <c r="CB105" s="1133"/>
      <c r="CC105" s="1132"/>
      <c r="CD105" s="1132"/>
    </row>
    <row r="106" spans="1:82">
      <c r="A106" s="1166" t="str">
        <f t="shared" si="115"/>
        <v>Iphone</v>
      </c>
      <c r="B106" s="43"/>
      <c r="C106" s="43"/>
      <c r="D106" s="43"/>
      <c r="E106" s="43"/>
      <c r="F106" s="43"/>
      <c r="G106" s="43"/>
      <c r="H106" s="43"/>
      <c r="I106" s="90"/>
      <c r="J106" s="90"/>
      <c r="K106" s="90"/>
      <c r="L106" s="90"/>
      <c r="M106" s="658"/>
      <c r="N106" s="90"/>
      <c r="O106" s="90">
        <f t="shared" si="116"/>
        <v>384.79936735496148</v>
      </c>
      <c r="P106" s="90">
        <f t="shared" si="116"/>
        <v>410.53366235808642</v>
      </c>
      <c r="Q106" s="90">
        <f t="shared" si="116"/>
        <v>402.61886504860672</v>
      </c>
      <c r="R106" s="90">
        <f t="shared" si="116"/>
        <v>392.40055509707457</v>
      </c>
      <c r="S106" s="90">
        <f t="shared" si="116"/>
        <v>377.02425149837745</v>
      </c>
      <c r="T106" s="432"/>
      <c r="AD106" s="1132"/>
      <c r="AE106" s="1132"/>
      <c r="AF106" s="1132"/>
      <c r="AG106" s="1133"/>
      <c r="AH106" s="1132"/>
      <c r="AI106" s="1132"/>
      <c r="AJ106" s="1132"/>
      <c r="AK106" s="1133"/>
      <c r="AL106" s="1132"/>
      <c r="AM106" s="1132"/>
      <c r="AN106" s="1132"/>
      <c r="AO106" s="1133"/>
      <c r="AP106" s="1132"/>
      <c r="AQ106" s="1132"/>
      <c r="AR106" s="1132"/>
      <c r="AS106" s="1133"/>
      <c r="AT106" s="1132"/>
      <c r="AU106" s="1132"/>
      <c r="AV106" s="1132"/>
      <c r="AW106" s="1133"/>
      <c r="AX106" s="1132"/>
      <c r="AY106" s="1132"/>
      <c r="AZ106" s="1132"/>
      <c r="BA106" s="1132"/>
      <c r="BB106" s="1132"/>
      <c r="BC106" s="1132"/>
      <c r="BD106" s="1132"/>
      <c r="BE106" s="1132"/>
      <c r="BF106" s="1132"/>
      <c r="BG106" s="1148"/>
      <c r="BH106" s="1148"/>
      <c r="BI106" s="1132"/>
      <c r="BJ106" s="1132"/>
      <c r="BK106" s="1132"/>
      <c r="BL106" s="1133"/>
      <c r="BM106" s="1132"/>
      <c r="BN106" s="1132"/>
      <c r="BO106" s="1132"/>
      <c r="BP106" s="1133"/>
      <c r="BQ106" s="1132"/>
      <c r="BR106" s="1132"/>
      <c r="BS106" s="1132"/>
      <c r="BT106" s="1133"/>
      <c r="BU106" s="1132"/>
      <c r="BV106" s="1132"/>
      <c r="BW106" s="1132"/>
      <c r="BX106" s="1133"/>
      <c r="BY106" s="1132"/>
      <c r="BZ106" s="1132"/>
      <c r="CA106" s="1132"/>
      <c r="CB106" s="1133"/>
      <c r="CC106" s="1132"/>
      <c r="CD106" s="1132"/>
    </row>
    <row r="107" spans="1:82">
      <c r="A107" s="1166" t="str">
        <f t="shared" si="115"/>
        <v>Others</v>
      </c>
      <c r="B107" s="43"/>
      <c r="C107" s="43"/>
      <c r="D107" s="43"/>
      <c r="E107" s="43"/>
      <c r="F107" s="43"/>
      <c r="G107" s="43"/>
      <c r="H107" s="43"/>
      <c r="I107" s="90"/>
      <c r="J107" s="90"/>
      <c r="K107" s="90"/>
      <c r="L107" s="90"/>
      <c r="M107" s="658"/>
      <c r="N107" s="90"/>
      <c r="O107" s="90">
        <f t="shared" si="116"/>
        <v>413.05137490702253</v>
      </c>
      <c r="P107" s="90">
        <f t="shared" si="116"/>
        <v>472.20700096829478</v>
      </c>
      <c r="Q107" s="90">
        <f t="shared" si="116"/>
        <v>529.77839441454989</v>
      </c>
      <c r="R107" s="90">
        <f t="shared" si="116"/>
        <v>588.53037786410914</v>
      </c>
      <c r="S107" s="90">
        <f t="shared" si="116"/>
        <v>647.55946334042233</v>
      </c>
      <c r="T107" s="432"/>
      <c r="AD107" s="1132"/>
      <c r="AE107" s="1132"/>
      <c r="AF107" s="1132"/>
      <c r="AG107" s="1133"/>
      <c r="AH107" s="1132"/>
      <c r="AI107" s="1132"/>
      <c r="AJ107" s="1132"/>
      <c r="AK107" s="1133"/>
      <c r="AL107" s="1132"/>
      <c r="AM107" s="1132"/>
      <c r="AN107" s="1132"/>
      <c r="AO107" s="1133"/>
      <c r="AP107" s="1132"/>
      <c r="AQ107" s="1132"/>
      <c r="AR107" s="1132"/>
      <c r="AS107" s="1133"/>
      <c r="AT107" s="1132"/>
      <c r="AU107" s="1132"/>
      <c r="AV107" s="1132"/>
      <c r="AW107" s="1133"/>
      <c r="AX107" s="1132"/>
      <c r="AY107" s="1132"/>
      <c r="AZ107" s="1132"/>
      <c r="BA107" s="1132"/>
      <c r="BB107" s="1132"/>
      <c r="BC107" s="1132"/>
      <c r="BD107" s="1132"/>
      <c r="BE107" s="1132"/>
      <c r="BF107" s="1132"/>
      <c r="BG107" s="1148"/>
      <c r="BH107" s="1148"/>
      <c r="BI107" s="1132"/>
      <c r="BJ107" s="1132"/>
      <c r="BK107" s="1132"/>
      <c r="BL107" s="1133"/>
      <c r="BM107" s="1132"/>
      <c r="BN107" s="1132"/>
      <c r="BO107" s="1132"/>
      <c r="BP107" s="1133"/>
      <c r="BQ107" s="1132"/>
      <c r="BR107" s="1132"/>
      <c r="BS107" s="1132"/>
      <c r="BT107" s="1133"/>
      <c r="BU107" s="1132"/>
      <c r="BV107" s="1132"/>
      <c r="BW107" s="1132"/>
      <c r="BX107" s="1133"/>
      <c r="BY107" s="1132"/>
      <c r="BZ107" s="1132"/>
      <c r="CA107" s="1132"/>
      <c r="CB107" s="1133"/>
      <c r="CC107" s="1132"/>
      <c r="CD107" s="1132"/>
    </row>
    <row r="108" spans="1:82">
      <c r="A108" s="1166" t="str">
        <f t="shared" si="115"/>
        <v>Laptop &amp; tablet</v>
      </c>
      <c r="B108" s="43"/>
      <c r="C108" s="43"/>
      <c r="D108" s="43"/>
      <c r="E108" s="43"/>
      <c r="F108" s="43"/>
      <c r="G108" s="43"/>
      <c r="H108" s="43"/>
      <c r="I108" s="90"/>
      <c r="J108" s="90"/>
      <c r="K108" s="90"/>
      <c r="L108" s="90"/>
      <c r="M108" s="658"/>
      <c r="N108" s="90"/>
      <c r="O108" s="90">
        <f t="shared" si="116"/>
        <v>18.771213698630138</v>
      </c>
      <c r="P108" s="90">
        <f t="shared" si="116"/>
        <v>23.666216831506848</v>
      </c>
      <c r="Q108" s="90">
        <f t="shared" si="116"/>
        <v>29.808296304657535</v>
      </c>
      <c r="R108" s="90">
        <f t="shared" si="116"/>
        <v>37.494972712849325</v>
      </c>
      <c r="S108" s="90">
        <f t="shared" si="116"/>
        <v>47.110908298536984</v>
      </c>
      <c r="T108" s="432"/>
      <c r="AD108" s="1132"/>
      <c r="AE108" s="1132"/>
      <c r="AF108" s="1132"/>
      <c r="AG108" s="1133"/>
      <c r="AH108" s="1132"/>
      <c r="AI108" s="1132"/>
      <c r="AJ108" s="1132"/>
      <c r="AK108" s="1133"/>
      <c r="AL108" s="1132"/>
      <c r="AM108" s="1132"/>
      <c r="AN108" s="1132"/>
      <c r="AO108" s="1133"/>
      <c r="AP108" s="1132"/>
      <c r="AQ108" s="1132"/>
      <c r="AR108" s="1132"/>
      <c r="AS108" s="1133"/>
      <c r="AT108" s="1132"/>
      <c r="AU108" s="1132"/>
      <c r="AV108" s="1132"/>
      <c r="AW108" s="1133"/>
      <c r="AX108" s="1132"/>
      <c r="AY108" s="1132"/>
      <c r="AZ108" s="1132"/>
      <c r="BA108" s="1132"/>
      <c r="BB108" s="1132"/>
      <c r="BC108" s="1132"/>
      <c r="BD108" s="1132"/>
      <c r="BE108" s="1132"/>
      <c r="BF108" s="1132"/>
      <c r="BG108" s="1148"/>
      <c r="BH108" s="1148"/>
      <c r="BI108" s="1132"/>
      <c r="BJ108" s="1132"/>
      <c r="BK108" s="1132"/>
      <c r="BL108" s="1133"/>
      <c r="BM108" s="1132"/>
      <c r="BN108" s="1132"/>
      <c r="BO108" s="1132"/>
      <c r="BP108" s="1133"/>
      <c r="BQ108" s="1132"/>
      <c r="BR108" s="1132"/>
      <c r="BS108" s="1132"/>
      <c r="BT108" s="1133"/>
      <c r="BU108" s="1132"/>
      <c r="BV108" s="1132"/>
      <c r="BW108" s="1132"/>
      <c r="BX108" s="1133"/>
      <c r="BY108" s="1132"/>
      <c r="BZ108" s="1132"/>
      <c r="CA108" s="1132"/>
      <c r="CB108" s="1133"/>
      <c r="CC108" s="1132"/>
      <c r="CD108" s="1132"/>
    </row>
    <row r="109" spans="1:82">
      <c r="A109" s="1166" t="str">
        <f t="shared" si="115"/>
        <v>Office equipment</v>
      </c>
      <c r="B109" s="43"/>
      <c r="C109" s="43"/>
      <c r="D109" s="43"/>
      <c r="E109" s="43"/>
      <c r="F109" s="43"/>
      <c r="G109" s="43"/>
      <c r="H109" s="43"/>
      <c r="I109" s="90"/>
      <c r="J109" s="90"/>
      <c r="K109" s="90"/>
      <c r="L109" s="90"/>
      <c r="M109" s="658"/>
      <c r="N109" s="90"/>
      <c r="O109" s="90">
        <f t="shared" si="116"/>
        <v>902.12395679127883</v>
      </c>
      <c r="P109" s="90">
        <f t="shared" si="116"/>
        <v>930.67467542344718</v>
      </c>
      <c r="Q109" s="90">
        <f t="shared" si="116"/>
        <v>958.85226163482662</v>
      </c>
      <c r="R109" s="90">
        <f t="shared" si="116"/>
        <v>984.90973084105849</v>
      </c>
      <c r="S109" s="90">
        <f t="shared" si="116"/>
        <v>1010.0529647183876</v>
      </c>
      <c r="T109" s="432"/>
      <c r="AD109" s="1132"/>
      <c r="AE109" s="1132"/>
      <c r="AF109" s="1132"/>
      <c r="AG109" s="1133"/>
      <c r="AH109" s="1132"/>
      <c r="AI109" s="1132"/>
      <c r="AJ109" s="1132"/>
      <c r="AK109" s="1133"/>
      <c r="AL109" s="1132"/>
      <c r="AM109" s="1132"/>
      <c r="AN109" s="1132"/>
      <c r="AO109" s="1133"/>
      <c r="AP109" s="1132"/>
      <c r="AQ109" s="1132"/>
      <c r="AR109" s="1132"/>
      <c r="AS109" s="1133"/>
      <c r="AT109" s="1132"/>
      <c r="AU109" s="1132"/>
      <c r="AV109" s="1132"/>
      <c r="AW109" s="1133"/>
      <c r="AX109" s="1132"/>
      <c r="AY109" s="1132"/>
      <c r="AZ109" s="1132"/>
      <c r="BA109" s="1132"/>
      <c r="BB109" s="1132"/>
      <c r="BC109" s="1132"/>
      <c r="BD109" s="1132"/>
      <c r="BE109" s="1132"/>
      <c r="BF109" s="1132"/>
      <c r="BG109" s="1148"/>
      <c r="BH109" s="1148"/>
      <c r="BI109" s="1132"/>
      <c r="BJ109" s="1132"/>
      <c r="BK109" s="1132"/>
      <c r="BL109" s="1133"/>
      <c r="BM109" s="1132"/>
      <c r="BN109" s="1132"/>
      <c r="BO109" s="1132"/>
      <c r="BP109" s="1133"/>
      <c r="BQ109" s="1132"/>
      <c r="BR109" s="1132"/>
      <c r="BS109" s="1132"/>
      <c r="BT109" s="1133"/>
      <c r="BU109" s="1132"/>
      <c r="BV109" s="1132"/>
      <c r="BW109" s="1132"/>
      <c r="BX109" s="1133"/>
      <c r="BY109" s="1132"/>
      <c r="BZ109" s="1132"/>
      <c r="CA109" s="1132"/>
      <c r="CB109" s="1133"/>
      <c r="CC109" s="1132"/>
      <c r="CD109" s="1132"/>
    </row>
    <row r="110" spans="1:82">
      <c r="A110" s="1166" t="str">
        <f t="shared" si="115"/>
        <v>Home appliance</v>
      </c>
      <c r="B110" s="43"/>
      <c r="C110" s="43"/>
      <c r="D110" s="43"/>
      <c r="E110" s="43"/>
      <c r="F110" s="43"/>
      <c r="G110" s="43"/>
      <c r="H110" s="43"/>
      <c r="I110" s="90"/>
      <c r="J110" s="90"/>
      <c r="K110" s="90"/>
      <c r="L110" s="90"/>
      <c r="M110" s="658"/>
      <c r="N110" s="90"/>
      <c r="O110" s="90">
        <f t="shared" si="116"/>
        <v>498.15292447561649</v>
      </c>
      <c r="P110" s="90">
        <f t="shared" si="116"/>
        <v>575.80302415969311</v>
      </c>
      <c r="Q110" s="90">
        <f t="shared" si="116"/>
        <v>660.93627922133908</v>
      </c>
      <c r="R110" s="90">
        <f t="shared" si="116"/>
        <v>754.32085701828817</v>
      </c>
      <c r="S110" s="90">
        <f t="shared" si="116"/>
        <v>857.58880144183422</v>
      </c>
      <c r="T110" s="432"/>
      <c r="AD110" s="1132"/>
      <c r="AE110" s="1132"/>
      <c r="AF110" s="1132"/>
      <c r="AG110" s="1133"/>
      <c r="AH110" s="1132"/>
      <c r="AI110" s="1132"/>
      <c r="AJ110" s="1132"/>
      <c r="AK110" s="1133"/>
      <c r="AL110" s="1132"/>
      <c r="AM110" s="1132"/>
      <c r="AN110" s="1132"/>
      <c r="AO110" s="1133"/>
      <c r="AP110" s="1132"/>
      <c r="AQ110" s="1132"/>
      <c r="AR110" s="1132"/>
      <c r="AS110" s="1133"/>
      <c r="AT110" s="1132"/>
      <c r="AU110" s="1132"/>
      <c r="AV110" s="1132"/>
      <c r="AW110" s="1133"/>
      <c r="AX110" s="1132"/>
      <c r="AY110" s="1132"/>
      <c r="AZ110" s="1132"/>
      <c r="BA110" s="1132"/>
      <c r="BB110" s="1132"/>
      <c r="BC110" s="1132"/>
      <c r="BD110" s="1132"/>
      <c r="BE110" s="1132"/>
      <c r="BF110" s="1132"/>
      <c r="BG110" s="1148"/>
      <c r="BH110" s="1148"/>
      <c r="BI110" s="1132"/>
      <c r="BJ110" s="1132"/>
      <c r="BK110" s="1132"/>
      <c r="BL110" s="1133"/>
      <c r="BM110" s="1132"/>
      <c r="BN110" s="1132"/>
      <c r="BO110" s="1132"/>
      <c r="BP110" s="1133"/>
      <c r="BQ110" s="1132"/>
      <c r="BR110" s="1132"/>
      <c r="BS110" s="1132"/>
      <c r="BT110" s="1133"/>
      <c r="BU110" s="1132"/>
      <c r="BV110" s="1132"/>
      <c r="BW110" s="1132"/>
      <c r="BX110" s="1133"/>
      <c r="BY110" s="1132"/>
      <c r="BZ110" s="1132"/>
      <c r="CA110" s="1132"/>
      <c r="CB110" s="1133"/>
      <c r="CC110" s="1132"/>
      <c r="CD110" s="1132"/>
    </row>
    <row r="111" spans="1:82">
      <c r="A111" s="1166" t="str">
        <f t="shared" si="115"/>
        <v>Consumer goods</v>
      </c>
      <c r="B111" s="43"/>
      <c r="C111" s="43"/>
      <c r="D111" s="43"/>
      <c r="E111" s="43"/>
      <c r="F111" s="43"/>
      <c r="G111" s="43"/>
      <c r="H111" s="43"/>
      <c r="I111" s="428"/>
      <c r="J111" s="428"/>
      <c r="K111" s="428"/>
      <c r="L111" s="428"/>
      <c r="M111" s="664"/>
      <c r="N111" s="428"/>
      <c r="O111" s="90">
        <f t="shared" si="116"/>
        <v>62.830206712109593</v>
      </c>
      <c r="P111" s="90">
        <f t="shared" si="116"/>
        <v>75.642448458180851</v>
      </c>
      <c r="Q111" s="90">
        <f t="shared" si="116"/>
        <v>88.839826861827945</v>
      </c>
      <c r="R111" s="90">
        <f t="shared" si="116"/>
        <v>102.04127679122386</v>
      </c>
      <c r="S111" s="90">
        <f t="shared" si="116"/>
        <v>114.84564691594802</v>
      </c>
      <c r="T111" s="432"/>
      <c r="AD111" s="1132"/>
      <c r="AE111" s="1132"/>
      <c r="AF111" s="1132"/>
      <c r="AG111" s="1133"/>
      <c r="AH111" s="1132"/>
      <c r="AI111" s="1132"/>
      <c r="AJ111" s="1132"/>
      <c r="AK111" s="1133"/>
      <c r="AL111" s="1132"/>
      <c r="AM111" s="1132"/>
      <c r="AN111" s="1132"/>
      <c r="AO111" s="1133"/>
      <c r="AP111" s="1132"/>
      <c r="AQ111" s="1132"/>
      <c r="AR111" s="1132"/>
      <c r="AS111" s="1133"/>
      <c r="AT111" s="1132"/>
      <c r="AU111" s="1132"/>
      <c r="AV111" s="1132"/>
      <c r="AW111" s="1133"/>
      <c r="AX111" s="1132"/>
      <c r="AY111" s="1132"/>
      <c r="AZ111" s="1132"/>
      <c r="BA111" s="1132"/>
      <c r="BB111" s="1132"/>
      <c r="BC111" s="1132"/>
      <c r="BD111" s="1132"/>
      <c r="BE111" s="1132"/>
      <c r="BF111" s="1132"/>
      <c r="BG111" s="1148"/>
      <c r="BH111" s="1148"/>
      <c r="BI111" s="1132"/>
      <c r="BJ111" s="1132"/>
      <c r="BK111" s="1132"/>
      <c r="BL111" s="1133"/>
      <c r="BM111" s="1132"/>
      <c r="BN111" s="1132"/>
      <c r="BO111" s="1132"/>
      <c r="BP111" s="1133"/>
      <c r="BQ111" s="1132"/>
      <c r="BR111" s="1132"/>
      <c r="BS111" s="1132"/>
      <c r="BT111" s="1133"/>
      <c r="BU111" s="1132"/>
      <c r="BV111" s="1132"/>
      <c r="BW111" s="1132"/>
      <c r="BX111" s="1133"/>
      <c r="BY111" s="1132"/>
      <c r="BZ111" s="1132"/>
      <c r="CA111" s="1132"/>
      <c r="CB111" s="1133"/>
      <c r="CC111" s="1132"/>
      <c r="CD111" s="1132"/>
    </row>
    <row r="112" spans="1:82">
      <c r="A112" s="1166"/>
      <c r="B112" s="43"/>
      <c r="C112" s="43"/>
      <c r="D112" s="43"/>
      <c r="E112" s="43"/>
      <c r="F112" s="43"/>
      <c r="G112" s="43"/>
      <c r="H112" s="43"/>
      <c r="I112" s="428"/>
      <c r="J112" s="428"/>
      <c r="K112" s="428"/>
      <c r="L112" s="428"/>
      <c r="M112" s="664"/>
      <c r="N112" s="428"/>
      <c r="O112" s="428"/>
      <c r="P112" s="432"/>
      <c r="Q112" s="432"/>
      <c r="R112" s="432"/>
      <c r="S112" s="432"/>
      <c r="T112" s="432"/>
      <c r="AD112" s="1132"/>
      <c r="AE112" s="1132"/>
      <c r="AF112" s="1132"/>
      <c r="AG112" s="1133"/>
      <c r="AH112" s="1132"/>
      <c r="AI112" s="1132"/>
      <c r="AJ112" s="1132"/>
      <c r="AK112" s="1133"/>
      <c r="AL112" s="1132"/>
      <c r="AM112" s="1132"/>
      <c r="AN112" s="1132"/>
      <c r="AO112" s="1133"/>
      <c r="AP112" s="1132"/>
      <c r="AQ112" s="1132"/>
      <c r="AR112" s="1132"/>
      <c r="AS112" s="1133"/>
      <c r="AT112" s="1132"/>
      <c r="AU112" s="1132"/>
      <c r="AV112" s="1132"/>
      <c r="AW112" s="1133"/>
      <c r="AX112" s="1132"/>
      <c r="AY112" s="1132"/>
      <c r="AZ112" s="1132"/>
      <c r="BA112" s="1132"/>
      <c r="BB112" s="1132"/>
      <c r="BC112" s="1132"/>
      <c r="BD112" s="1132"/>
      <c r="BE112" s="1132"/>
      <c r="BF112" s="1132"/>
      <c r="BG112" s="1148"/>
      <c r="BH112" s="1148"/>
      <c r="BI112" s="1132"/>
      <c r="BJ112" s="1132"/>
      <c r="BK112" s="1132"/>
      <c r="BL112" s="1133"/>
      <c r="BM112" s="1132"/>
      <c r="BN112" s="1132"/>
      <c r="BO112" s="1132"/>
      <c r="BP112" s="1133"/>
      <c r="BQ112" s="1132"/>
      <c r="BR112" s="1132"/>
      <c r="BS112" s="1132"/>
      <c r="BT112" s="1133"/>
      <c r="BU112" s="1132"/>
      <c r="BV112" s="1132"/>
      <c r="BW112" s="1132"/>
      <c r="BX112" s="1133"/>
      <c r="BY112" s="1132"/>
      <c r="BZ112" s="1132"/>
      <c r="CA112" s="1132"/>
      <c r="CB112" s="1133"/>
      <c r="CC112" s="1132"/>
      <c r="CD112" s="1132"/>
    </row>
    <row r="113" spans="1:84">
      <c r="A113" s="1060" t="s">
        <v>73</v>
      </c>
      <c r="B113" s="43"/>
      <c r="C113" s="43"/>
      <c r="D113" s="43"/>
      <c r="E113" s="43"/>
      <c r="F113" s="43"/>
      <c r="G113" s="43"/>
      <c r="H113" s="43"/>
      <c r="I113" s="428"/>
      <c r="J113" s="428"/>
      <c r="K113" s="428"/>
      <c r="L113" s="428"/>
      <c r="M113" s="664"/>
      <c r="N113" s="428"/>
      <c r="O113" s="1061">
        <f>O102-'A. FS'!O105</f>
        <v>0</v>
      </c>
      <c r="P113" s="1061">
        <f>P102-'A. FS'!P105</f>
        <v>0</v>
      </c>
      <c r="Q113" s="1061">
        <f>Q102-'A. FS'!Q105</f>
        <v>0</v>
      </c>
      <c r="R113" s="1061">
        <f>R102-'A. FS'!R105</f>
        <v>0</v>
      </c>
      <c r="S113" s="1061">
        <f>S102-'A. FS'!S105</f>
        <v>0</v>
      </c>
      <c r="T113" s="432"/>
      <c r="AD113" s="1132"/>
      <c r="AE113" s="1132"/>
      <c r="AF113" s="1132"/>
      <c r="AG113" s="1133"/>
      <c r="AH113" s="1132"/>
      <c r="AI113" s="1132"/>
      <c r="AJ113" s="1132"/>
      <c r="AK113" s="1133"/>
      <c r="AL113" s="1132"/>
      <c r="AM113" s="1132"/>
      <c r="AN113" s="1132"/>
      <c r="AO113" s="1133"/>
      <c r="AP113" s="1132"/>
      <c r="AQ113" s="1132"/>
      <c r="AR113" s="1132"/>
      <c r="AS113" s="1133"/>
      <c r="AT113" s="1132"/>
      <c r="AU113" s="1132"/>
      <c r="AV113" s="1132"/>
      <c r="AW113" s="1133"/>
      <c r="AX113" s="1132"/>
      <c r="AY113" s="1132"/>
      <c r="AZ113" s="1132"/>
      <c r="BA113" s="1132"/>
      <c r="BB113" s="1132"/>
      <c r="BC113" s="1132"/>
      <c r="BD113" s="1132"/>
      <c r="BE113" s="1132"/>
      <c r="BF113" s="1132"/>
      <c r="BG113" s="1148"/>
      <c r="BH113" s="1148"/>
      <c r="BI113" s="1132"/>
      <c r="BJ113" s="1132"/>
      <c r="BK113" s="1132"/>
      <c r="BL113" s="1133"/>
      <c r="BM113" s="1132"/>
      <c r="BN113" s="1132"/>
      <c r="BO113" s="1132"/>
      <c r="BP113" s="1133"/>
      <c r="BQ113" s="1132"/>
      <c r="BR113" s="1132"/>
      <c r="BS113" s="1132"/>
      <c r="BT113" s="1133"/>
      <c r="BU113" s="1132"/>
      <c r="BV113" s="1132"/>
      <c r="BW113" s="1132"/>
      <c r="BX113" s="1133"/>
      <c r="BY113" s="1132"/>
      <c r="BZ113" s="1132"/>
      <c r="CA113" s="1132"/>
      <c r="CB113" s="1133"/>
      <c r="CC113" s="1132"/>
      <c r="CD113" s="1132"/>
    </row>
    <row r="114" spans="1:84">
      <c r="A114" s="1166"/>
      <c r="B114" s="43"/>
      <c r="C114" s="43"/>
      <c r="D114" s="43"/>
      <c r="E114" s="43"/>
      <c r="F114" s="43"/>
      <c r="G114" s="43"/>
      <c r="H114" s="43"/>
      <c r="I114" s="428"/>
      <c r="J114" s="428"/>
      <c r="K114" s="428"/>
      <c r="L114" s="428"/>
      <c r="M114" s="664"/>
      <c r="N114" s="428"/>
      <c r="O114" s="428"/>
      <c r="P114" s="432"/>
      <c r="Q114" s="432"/>
      <c r="R114" s="432"/>
      <c r="S114" s="432"/>
      <c r="T114" s="432"/>
      <c r="AD114" s="1132"/>
      <c r="AE114" s="1132"/>
      <c r="AF114" s="1132"/>
      <c r="AG114" s="1133"/>
      <c r="AH114" s="1132"/>
      <c r="AI114" s="1132"/>
      <c r="AJ114" s="1132"/>
      <c r="AK114" s="1133"/>
      <c r="AL114" s="1132"/>
      <c r="AM114" s="1132"/>
      <c r="AN114" s="1132"/>
      <c r="AO114" s="1133"/>
      <c r="AP114" s="1132"/>
      <c r="AQ114" s="1132"/>
      <c r="AR114" s="1132"/>
      <c r="AS114" s="1133"/>
      <c r="AT114" s="1132"/>
      <c r="AU114" s="1132"/>
      <c r="AV114" s="1132"/>
      <c r="AW114" s="1133"/>
      <c r="AX114" s="1132"/>
      <c r="AY114" s="1132"/>
      <c r="AZ114" s="1132"/>
      <c r="BA114" s="1132"/>
      <c r="BB114" s="1132"/>
      <c r="BC114" s="1132"/>
      <c r="BD114" s="1132"/>
      <c r="BE114" s="1132"/>
      <c r="BF114" s="1132"/>
      <c r="BG114" s="1148"/>
      <c r="BH114" s="1148"/>
      <c r="BI114" s="1132"/>
      <c r="BJ114" s="1132"/>
      <c r="BK114" s="1132"/>
      <c r="BL114" s="1133"/>
      <c r="BM114" s="1132"/>
      <c r="BN114" s="1132"/>
      <c r="BO114" s="1132"/>
      <c r="BP114" s="1133"/>
      <c r="BQ114" s="1132"/>
      <c r="BR114" s="1132"/>
      <c r="BS114" s="1132"/>
      <c r="BT114" s="1133"/>
      <c r="BU114" s="1132"/>
      <c r="BV114" s="1132"/>
      <c r="BW114" s="1132"/>
      <c r="BX114" s="1133"/>
      <c r="BY114" s="1132"/>
      <c r="BZ114" s="1132"/>
      <c r="CA114" s="1132"/>
      <c r="CB114" s="1133"/>
      <c r="CC114" s="1132"/>
      <c r="CD114" s="1132"/>
    </row>
    <row r="115" spans="1:84">
      <c r="A115" s="1166"/>
      <c r="B115" s="43"/>
      <c r="C115" s="43"/>
      <c r="D115" s="43"/>
      <c r="E115" s="43"/>
      <c r="F115" s="43"/>
      <c r="G115" s="43"/>
      <c r="H115" s="43"/>
      <c r="I115" s="428"/>
      <c r="J115" s="428"/>
      <c r="K115" s="428"/>
      <c r="L115" s="428"/>
      <c r="M115" s="664"/>
      <c r="N115" s="428"/>
      <c r="O115" s="428"/>
      <c r="P115" s="432"/>
      <c r="Q115" s="432"/>
      <c r="R115" s="432"/>
      <c r="S115" s="432"/>
      <c r="T115" s="432"/>
      <c r="AD115" s="1132"/>
      <c r="AE115" s="1132"/>
      <c r="AF115" s="1132"/>
      <c r="AG115" s="1133"/>
      <c r="AH115" s="1132"/>
      <c r="AI115" s="1132"/>
      <c r="AJ115" s="1132"/>
      <c r="AK115" s="1133"/>
      <c r="AL115" s="1132"/>
      <c r="AM115" s="1132"/>
      <c r="AN115" s="1132"/>
      <c r="AO115" s="1133"/>
      <c r="AP115" s="1132"/>
      <c r="AQ115" s="1132"/>
      <c r="AR115" s="1132"/>
      <c r="AS115" s="1133"/>
      <c r="AT115" s="1132"/>
      <c r="AU115" s="1132"/>
      <c r="AV115" s="1132"/>
      <c r="AW115" s="1133"/>
      <c r="AX115" s="1132"/>
      <c r="AY115" s="1132"/>
      <c r="AZ115" s="1132"/>
      <c r="BA115" s="1132"/>
      <c r="BB115" s="1132"/>
      <c r="BC115" s="1132"/>
      <c r="BD115" s="1132"/>
      <c r="BE115" s="1132"/>
      <c r="BF115" s="1132"/>
      <c r="BG115" s="1148"/>
      <c r="BH115" s="1148"/>
      <c r="BI115" s="1132"/>
      <c r="BJ115" s="1132"/>
      <c r="BK115" s="1132"/>
      <c r="BL115" s="1133"/>
      <c r="BM115" s="1132"/>
      <c r="BN115" s="1132"/>
      <c r="BO115" s="1132"/>
      <c r="BP115" s="1133"/>
      <c r="BQ115" s="1132"/>
      <c r="BR115" s="1132"/>
      <c r="BS115" s="1132"/>
      <c r="BT115" s="1133"/>
      <c r="BU115" s="1132"/>
      <c r="BV115" s="1132"/>
      <c r="BW115" s="1132"/>
      <c r="BX115" s="1133"/>
      <c r="BY115" s="1132"/>
      <c r="BZ115" s="1132"/>
      <c r="CA115" s="1132"/>
      <c r="CB115" s="1133"/>
      <c r="CC115" s="1132"/>
      <c r="CD115" s="1132"/>
    </row>
    <row r="116" spans="1:84" s="397" customFormat="1">
      <c r="A116" s="864" t="s">
        <v>672</v>
      </c>
      <c r="B116" s="403"/>
      <c r="C116" s="403"/>
      <c r="D116" s="403"/>
      <c r="E116" s="403"/>
      <c r="F116" s="403"/>
      <c r="G116" s="403"/>
      <c r="H116" s="403"/>
      <c r="I116" s="404"/>
      <c r="J116" s="404"/>
      <c r="K116" s="404"/>
      <c r="L116" s="404"/>
      <c r="M116" s="838"/>
      <c r="N116" s="448"/>
      <c r="O116" s="448"/>
      <c r="P116" s="448"/>
      <c r="Q116" s="448"/>
      <c r="R116" s="448"/>
      <c r="S116" s="448"/>
      <c r="T116" s="883"/>
      <c r="U116" s="401"/>
      <c r="AD116" s="1120"/>
      <c r="AE116" s="1120"/>
      <c r="AF116" s="1120"/>
      <c r="AG116" s="1121"/>
      <c r="AH116" s="1120"/>
      <c r="AI116" s="1120"/>
      <c r="AJ116" s="1120"/>
      <c r="AK116" s="1121"/>
      <c r="AL116" s="1120"/>
      <c r="AM116" s="1120"/>
      <c r="AN116" s="1120"/>
      <c r="AO116" s="1121"/>
      <c r="AP116" s="1120"/>
      <c r="AQ116" s="1120"/>
      <c r="AR116" s="1120"/>
      <c r="AS116" s="1121"/>
      <c r="AT116" s="1120"/>
      <c r="AU116" s="1120"/>
      <c r="AV116" s="1120"/>
      <c r="AW116" s="1121"/>
      <c r="AX116" s="1120"/>
      <c r="AY116" s="1120"/>
      <c r="AZ116" s="1120"/>
      <c r="BA116" s="1120"/>
      <c r="BB116" s="1120"/>
      <c r="BC116" s="1120"/>
      <c r="BD116" s="1120"/>
      <c r="BE116" s="1120"/>
      <c r="BF116" s="1120"/>
      <c r="BG116" s="1120"/>
      <c r="BH116" s="1120"/>
      <c r="BI116" s="1120"/>
      <c r="BJ116" s="1120"/>
      <c r="BK116" s="1120"/>
      <c r="BL116" s="1121"/>
      <c r="BM116" s="1120"/>
      <c r="BN116" s="1120"/>
      <c r="BO116" s="1120"/>
      <c r="BP116" s="1121"/>
      <c r="BQ116" s="1120"/>
      <c r="BR116" s="1120"/>
      <c r="BS116" s="1120"/>
      <c r="BT116" s="1121"/>
      <c r="BU116" s="1120"/>
      <c r="BV116" s="1120"/>
      <c r="BW116" s="1120"/>
      <c r="BX116" s="1121"/>
      <c r="BY116" s="1120"/>
      <c r="BZ116" s="1120"/>
      <c r="CA116" s="1120"/>
      <c r="CB116" s="1121"/>
      <c r="CC116" s="1120"/>
      <c r="CD116" s="1120"/>
      <c r="CE116" s="1120"/>
      <c r="CF116" s="1120"/>
    </row>
    <row r="117" spans="1:84" outlineLevel="1">
      <c r="AD117" s="1152"/>
      <c r="AE117" s="1152"/>
      <c r="AF117" s="1152"/>
      <c r="AG117" s="1153"/>
      <c r="AH117" s="1152"/>
      <c r="AI117" s="1152"/>
      <c r="AJ117" s="1152"/>
      <c r="AK117" s="1153"/>
      <c r="AL117" s="1152"/>
      <c r="AM117" s="1152"/>
      <c r="AN117" s="1152"/>
      <c r="AO117" s="1153"/>
      <c r="AP117" s="1152"/>
      <c r="AQ117" s="1152"/>
      <c r="AR117" s="1152"/>
      <c r="AS117" s="1153"/>
      <c r="AT117" s="1152"/>
      <c r="AU117" s="1152"/>
      <c r="AV117" s="1152"/>
      <c r="AW117" s="1153"/>
      <c r="AX117" s="1152"/>
      <c r="AY117" s="1152"/>
      <c r="AZ117" s="1152"/>
      <c r="BA117" s="1152"/>
      <c r="BB117" s="1152"/>
      <c r="BC117" s="1152"/>
      <c r="BD117" s="1152"/>
      <c r="BE117" s="1152"/>
      <c r="BF117" s="1134"/>
      <c r="BG117" s="1148"/>
      <c r="BH117" s="1148"/>
      <c r="BI117" s="1152"/>
      <c r="BJ117" s="1152"/>
      <c r="BK117" s="1152"/>
      <c r="BL117" s="1153"/>
      <c r="BM117" s="1152"/>
      <c r="BN117" s="1152"/>
      <c r="BO117" s="1152"/>
      <c r="BP117" s="1153"/>
      <c r="BQ117" s="1152"/>
      <c r="BR117" s="1152"/>
      <c r="BS117" s="1152"/>
      <c r="BT117" s="1153"/>
      <c r="BU117" s="1152"/>
      <c r="BV117" s="1152"/>
      <c r="BW117" s="1152"/>
      <c r="BX117" s="1153"/>
      <c r="BY117" s="1152"/>
      <c r="BZ117" s="1152"/>
      <c r="CA117" s="1152"/>
      <c r="CB117" s="1153"/>
      <c r="CC117" s="1152"/>
      <c r="CD117" s="1152"/>
    </row>
    <row r="118" spans="1:84" outlineLevel="1">
      <c r="A118" s="385" t="s">
        <v>673</v>
      </c>
      <c r="B118" s="441"/>
      <c r="C118" s="441"/>
      <c r="D118" s="441"/>
      <c r="E118" s="441"/>
      <c r="F118" s="441"/>
      <c r="G118" s="441"/>
      <c r="H118" s="441"/>
      <c r="I118" s="449">
        <f t="shared" ref="I118:S118" si="117">SUM(I119:I121)</f>
        <v>2355.0000000000005</v>
      </c>
      <c r="J118" s="449">
        <f t="shared" si="117"/>
        <v>3896</v>
      </c>
      <c r="K118" s="449">
        <v>6384</v>
      </c>
      <c r="L118" s="449">
        <f t="shared" si="117"/>
        <v>9857</v>
      </c>
      <c r="M118" s="847">
        <f t="shared" si="117"/>
        <v>10784.9412773692</v>
      </c>
      <c r="N118" s="449">
        <f t="shared" si="117"/>
        <v>8959.6573902906985</v>
      </c>
      <c r="O118" s="449">
        <f t="shared" si="117"/>
        <v>10198.569412308958</v>
      </c>
      <c r="P118" s="600">
        <f t="shared" si="117"/>
        <v>11561.070858302031</v>
      </c>
      <c r="Q118" s="600">
        <f t="shared" si="117"/>
        <v>12556.008934714393</v>
      </c>
      <c r="R118" s="600">
        <f t="shared" si="117"/>
        <v>13620.738804027367</v>
      </c>
      <c r="S118" s="600">
        <f t="shared" si="117"/>
        <v>14760.943300648731</v>
      </c>
      <c r="T118" s="925"/>
      <c r="U118" s="406"/>
      <c r="AD118" s="1134"/>
      <c r="AE118" s="1152"/>
      <c r="AF118" s="1152"/>
      <c r="AG118" s="1153"/>
      <c r="AH118" s="1152"/>
      <c r="AI118" s="1152"/>
      <c r="AJ118" s="1152"/>
      <c r="AK118" s="1153"/>
      <c r="AL118" s="1152"/>
      <c r="AM118" s="1152"/>
      <c r="AN118" s="1152"/>
      <c r="AO118" s="1153"/>
      <c r="AP118" s="1152"/>
      <c r="AQ118" s="1152"/>
      <c r="AR118" s="1152"/>
      <c r="AS118" s="1153"/>
      <c r="AT118" s="1152"/>
      <c r="AU118" s="1152"/>
      <c r="AV118" s="1152"/>
      <c r="AW118" s="1153"/>
      <c r="AX118" s="1152"/>
      <c r="AY118" s="1152"/>
      <c r="AZ118" s="1152"/>
      <c r="BA118" s="1152"/>
      <c r="BB118" s="1152"/>
      <c r="BC118" s="1152"/>
      <c r="BD118" s="1152"/>
      <c r="BE118" s="1152"/>
      <c r="BF118" s="1134"/>
      <c r="BG118" s="1148"/>
      <c r="BH118" s="1148"/>
      <c r="BI118" s="1152"/>
      <c r="BJ118" s="1152"/>
      <c r="BK118" s="1152"/>
      <c r="BL118" s="1153"/>
      <c r="BM118" s="1152"/>
      <c r="BN118" s="1152"/>
      <c r="BO118" s="1152"/>
      <c r="BP118" s="1153"/>
      <c r="BQ118" s="1152"/>
      <c r="BR118" s="1152"/>
      <c r="BS118" s="1152"/>
      <c r="BT118" s="1153"/>
      <c r="BU118" s="1152"/>
      <c r="BV118" s="1152"/>
      <c r="BW118" s="1152"/>
      <c r="BX118" s="1153"/>
      <c r="BY118" s="1152"/>
      <c r="BZ118" s="1152"/>
      <c r="CA118" s="1152"/>
      <c r="CB118" s="1153"/>
      <c r="CC118" s="1152"/>
      <c r="CD118" s="1152"/>
    </row>
    <row r="119" spans="1:84" outlineLevel="1">
      <c r="A119" s="1128" t="s">
        <v>64</v>
      </c>
      <c r="I119" s="90">
        <v>2200.0000000000005</v>
      </c>
      <c r="J119" s="90">
        <v>3700</v>
      </c>
      <c r="K119" s="90">
        <v>5400</v>
      </c>
      <c r="L119" s="1071">
        <v>7200</v>
      </c>
      <c r="M119" s="1071">
        <v>6900</v>
      </c>
      <c r="N119" s="90">
        <f>'C. S&amp;L'!H5</f>
        <v>4871.458471290699</v>
      </c>
      <c r="O119" s="90">
        <f>'C. S&amp;L'!I5</f>
        <v>5402.1573388627703</v>
      </c>
      <c r="P119" s="486">
        <f>'C. S&amp;L'!J5</f>
        <v>5886.515609952291</v>
      </c>
      <c r="Q119" s="486">
        <f>'C. S&amp;L'!K5</f>
        <v>5953.3485907451468</v>
      </c>
      <c r="R119" s="486">
        <f>'C. S&amp;L'!L5</f>
        <v>5994.7467921596462</v>
      </c>
      <c r="S119" s="486">
        <f>'C. S&amp;L'!M5</f>
        <v>6016.4678895003162</v>
      </c>
      <c r="T119" s="486"/>
      <c r="U119" s="406"/>
      <c r="AD119" s="1132"/>
      <c r="AE119" s="1132"/>
      <c r="AF119" s="1132"/>
      <c r="AG119" s="1133"/>
      <c r="AH119" s="1132"/>
      <c r="AI119" s="1132"/>
      <c r="AJ119" s="1132"/>
      <c r="AK119" s="1133"/>
      <c r="AL119" s="1132"/>
      <c r="AM119" s="1132"/>
      <c r="AN119" s="1132"/>
      <c r="AO119" s="1133"/>
      <c r="AP119" s="1132"/>
      <c r="AQ119" s="1132"/>
      <c r="AR119" s="1132"/>
      <c r="AS119" s="1133"/>
      <c r="AT119" s="1132"/>
      <c r="AU119" s="1132"/>
      <c r="AV119" s="1132"/>
      <c r="AW119" s="1133"/>
      <c r="AX119" s="1132"/>
      <c r="AY119" s="1132"/>
      <c r="AZ119" s="1132"/>
      <c r="BA119" s="1132"/>
      <c r="BB119" s="1132"/>
      <c r="BC119" s="1132"/>
      <c r="BD119" s="1132"/>
      <c r="BE119" s="1132"/>
      <c r="BF119" s="1132"/>
      <c r="BG119" s="1132"/>
      <c r="BH119" s="1132"/>
      <c r="BI119" s="1132"/>
      <c r="BJ119" s="1132"/>
      <c r="BK119" s="1132"/>
      <c r="BL119" s="1133"/>
      <c r="BM119" s="1132"/>
      <c r="BN119" s="1132"/>
      <c r="BO119" s="1132"/>
      <c r="BP119" s="1133"/>
      <c r="BQ119" s="1132"/>
      <c r="BR119" s="1132"/>
      <c r="BS119" s="1132"/>
      <c r="BT119" s="1133"/>
      <c r="BU119" s="1132"/>
      <c r="BV119" s="1132"/>
      <c r="BW119" s="1132"/>
      <c r="BX119" s="1133"/>
      <c r="BY119" s="1132"/>
      <c r="BZ119" s="1132"/>
      <c r="CA119" s="1132"/>
      <c r="CB119" s="1133"/>
      <c r="CC119" s="1132"/>
      <c r="CD119" s="1132"/>
    </row>
    <row r="120" spans="1:84" outlineLevel="1">
      <c r="A120" s="1128" t="s">
        <v>674</v>
      </c>
      <c r="K120" s="1071">
        <v>900</v>
      </c>
      <c r="L120" s="90">
        <v>2600.348306002099</v>
      </c>
      <c r="M120" s="658">
        <v>3825.9412773692002</v>
      </c>
      <c r="N120" s="90">
        <f>'C. S&amp;L'!H7</f>
        <v>3999.6989189999999</v>
      </c>
      <c r="O120" s="90">
        <f>'C. S&amp;L'!I7</f>
        <v>4619.4120734461876</v>
      </c>
      <c r="P120" s="486">
        <f>'C. S&amp;L'!J7</f>
        <v>5444.45524834974</v>
      </c>
      <c r="Q120" s="486">
        <f>'C. S&amp;L'!K7</f>
        <v>6303.530343969247</v>
      </c>
      <c r="R120" s="486">
        <f>'C. S&amp;L'!L7</f>
        <v>7237.1230118677204</v>
      </c>
      <c r="S120" s="486">
        <f>'C. S&amp;L'!M7</f>
        <v>8238.9457111484153</v>
      </c>
      <c r="T120" s="486"/>
      <c r="U120" s="406"/>
      <c r="AD120" s="1150"/>
      <c r="AE120" s="1150"/>
      <c r="AF120" s="1150"/>
      <c r="AG120" s="1151"/>
      <c r="AH120" s="1150"/>
      <c r="AI120" s="1132"/>
      <c r="AJ120" s="1132"/>
      <c r="AK120" s="1133"/>
      <c r="AL120" s="1172"/>
      <c r="AM120" s="1172"/>
      <c r="AN120" s="1172"/>
      <c r="AO120" s="1173"/>
      <c r="AP120" s="1172"/>
      <c r="AQ120" s="1132"/>
      <c r="AR120" s="1132"/>
      <c r="AS120" s="1133"/>
      <c r="AT120" s="1132"/>
      <c r="AU120" s="1132"/>
      <c r="AV120" s="1132"/>
      <c r="AW120" s="1133"/>
      <c r="AX120" s="1132"/>
      <c r="AY120" s="1132"/>
      <c r="AZ120" s="1132"/>
      <c r="BA120" s="1132"/>
      <c r="BB120" s="1132"/>
      <c r="BC120" s="1132"/>
      <c r="BD120" s="1132"/>
      <c r="BE120" s="1132"/>
      <c r="BF120" s="1132"/>
      <c r="BG120" s="1132"/>
      <c r="BH120" s="1132"/>
      <c r="BI120" s="1150"/>
      <c r="BJ120" s="1150"/>
      <c r="BK120" s="1150"/>
      <c r="BL120" s="1151"/>
      <c r="BM120" s="1150"/>
      <c r="BN120" s="1132"/>
      <c r="BO120" s="1132"/>
      <c r="BP120" s="1133"/>
      <c r="BQ120" s="1172"/>
      <c r="BR120" s="1172"/>
      <c r="BS120" s="1172"/>
      <c r="BT120" s="1173"/>
      <c r="BU120" s="1172"/>
      <c r="BV120" s="1132"/>
      <c r="BW120" s="1132"/>
      <c r="BX120" s="1133"/>
      <c r="BY120" s="1132"/>
      <c r="BZ120" s="1132"/>
      <c r="CA120" s="1132"/>
      <c r="CB120" s="1133"/>
      <c r="CC120" s="1132"/>
      <c r="CD120" s="1132"/>
    </row>
    <row r="121" spans="1:84" outlineLevel="1">
      <c r="A121" s="1128" t="s">
        <v>66</v>
      </c>
      <c r="I121" s="415">
        <v>155</v>
      </c>
      <c r="J121" s="415">
        <v>196</v>
      </c>
      <c r="K121" s="415">
        <v>84</v>
      </c>
      <c r="L121" s="415">
        <v>56.65169399790102</v>
      </c>
      <c r="M121" s="1147">
        <v>59</v>
      </c>
      <c r="N121" s="90">
        <f>'C. S&amp;L'!H9</f>
        <v>88.5</v>
      </c>
      <c r="O121" s="90">
        <f>'C. S&amp;L'!I9</f>
        <v>177</v>
      </c>
      <c r="P121" s="486">
        <f>'C. S&amp;L'!J9</f>
        <v>230.1</v>
      </c>
      <c r="Q121" s="486">
        <f>'C. S&amp;L'!K9</f>
        <v>299.13</v>
      </c>
      <c r="R121" s="486">
        <f>'C. S&amp;L'!L9</f>
        <v>388.86900000000003</v>
      </c>
      <c r="S121" s="486">
        <f>'C. S&amp;L'!M9</f>
        <v>505.52970000000005</v>
      </c>
      <c r="T121" s="486"/>
      <c r="U121" s="406"/>
      <c r="AD121" s="1134"/>
      <c r="AE121" s="1134"/>
      <c r="AF121" s="1134"/>
      <c r="AG121" s="1135"/>
      <c r="AH121" s="1134"/>
      <c r="AI121" s="1174"/>
      <c r="AJ121" s="1132"/>
      <c r="AK121" s="1133"/>
      <c r="AL121" s="1175"/>
      <c r="AM121" s="1175"/>
      <c r="AN121" s="1175"/>
      <c r="AO121" s="1176"/>
      <c r="AP121" s="1175"/>
      <c r="AQ121" s="1132"/>
      <c r="AR121" s="1132"/>
      <c r="AS121" s="1133"/>
      <c r="AT121" s="1132"/>
      <c r="AU121" s="1132"/>
      <c r="AV121" s="1132"/>
      <c r="AW121" s="1133"/>
      <c r="AX121" s="1132"/>
      <c r="AY121" s="1132"/>
      <c r="AZ121" s="1132"/>
      <c r="BA121" s="1132"/>
      <c r="BB121" s="1132"/>
      <c r="BC121" s="1132"/>
      <c r="BD121" s="1132"/>
      <c r="BE121" s="1132"/>
      <c r="BF121" s="1132"/>
      <c r="BG121" s="1132"/>
      <c r="BH121" s="1132"/>
      <c r="BI121" s="1134"/>
      <c r="BJ121" s="1134"/>
      <c r="BK121" s="1134"/>
      <c r="BL121" s="1135"/>
      <c r="BM121" s="1134"/>
      <c r="BN121" s="1174"/>
      <c r="BO121" s="1132"/>
      <c r="BP121" s="1133"/>
      <c r="BQ121" s="1175"/>
      <c r="BR121" s="1175"/>
      <c r="BS121" s="1175"/>
      <c r="BT121" s="1176"/>
      <c r="BU121" s="1175"/>
      <c r="BV121" s="1132"/>
      <c r="BW121" s="1132"/>
      <c r="BX121" s="1133"/>
      <c r="BY121" s="1132"/>
      <c r="BZ121" s="1132"/>
      <c r="CA121" s="1132"/>
      <c r="CB121" s="1133"/>
      <c r="CC121" s="1132"/>
      <c r="CD121" s="1132"/>
    </row>
    <row r="122" spans="1:84" outlineLevel="1">
      <c r="I122" s="415"/>
      <c r="J122" s="450"/>
      <c r="K122" s="415"/>
      <c r="L122" s="415"/>
      <c r="M122" s="1147"/>
      <c r="AD122" s="1134"/>
      <c r="AE122" s="1134"/>
      <c r="AF122" s="1134"/>
      <c r="AG122" s="1135"/>
      <c r="AH122" s="1134"/>
      <c r="AI122" s="1174"/>
      <c r="AJ122" s="1132"/>
      <c r="AK122" s="1133"/>
      <c r="AL122" s="1175"/>
      <c r="AM122" s="1175"/>
      <c r="AN122" s="1175"/>
      <c r="AO122" s="1176"/>
      <c r="AP122" s="1175"/>
      <c r="AQ122" s="1132"/>
      <c r="AR122" s="1132"/>
      <c r="AS122" s="1133"/>
      <c r="AT122" s="1132"/>
      <c r="AU122" s="1132"/>
      <c r="AV122" s="1132"/>
      <c r="AW122" s="1133"/>
      <c r="AX122" s="1132"/>
      <c r="AY122" s="1132"/>
      <c r="AZ122" s="1132"/>
      <c r="BA122" s="1132"/>
      <c r="BB122" s="1132"/>
      <c r="BC122" s="1132"/>
      <c r="BD122" s="1132"/>
      <c r="BE122" s="1132"/>
      <c r="BF122" s="1132"/>
      <c r="BG122" s="1132"/>
      <c r="BH122" s="1132"/>
      <c r="BI122" s="1134"/>
      <c r="BJ122" s="1134"/>
      <c r="BK122" s="1134"/>
      <c r="BL122" s="1135"/>
      <c r="BM122" s="1134"/>
      <c r="BN122" s="1174"/>
      <c r="BO122" s="1132"/>
      <c r="BP122" s="1133"/>
      <c r="BQ122" s="1175"/>
      <c r="BR122" s="1175"/>
      <c r="BS122" s="1175"/>
      <c r="BT122" s="1176"/>
      <c r="BU122" s="1175"/>
      <c r="BV122" s="1132"/>
      <c r="BW122" s="1132"/>
      <c r="BX122" s="1133"/>
      <c r="BY122" s="1132"/>
      <c r="BZ122" s="1132"/>
      <c r="CA122" s="1132"/>
      <c r="CB122" s="1133"/>
      <c r="CC122" s="1132"/>
      <c r="CD122" s="1132"/>
    </row>
    <row r="123" spans="1:84" outlineLevel="1">
      <c r="A123" s="866" t="s">
        <v>132</v>
      </c>
      <c r="B123" s="420"/>
      <c r="C123" s="420"/>
      <c r="D123" s="420"/>
      <c r="E123" s="420"/>
      <c r="F123" s="420"/>
      <c r="G123" s="420"/>
      <c r="H123" s="420"/>
      <c r="I123" s="421" t="str">
        <f>IFERROR(I118/A118-1,"")</f>
        <v/>
      </c>
      <c r="J123" s="421">
        <f t="shared" ref="J123:S123" si="118">IFERROR(J118/I118-1,"")</f>
        <v>0.65435244161358774</v>
      </c>
      <c r="K123" s="421">
        <f t="shared" si="118"/>
        <v>0.6386036960985626</v>
      </c>
      <c r="L123" s="421">
        <f t="shared" si="118"/>
        <v>0.54401629072681712</v>
      </c>
      <c r="M123" s="845">
        <f t="shared" si="118"/>
        <v>9.4140334520564029E-2</v>
      </c>
      <c r="N123" s="421">
        <f t="shared" si="118"/>
        <v>-0.16924374830937872</v>
      </c>
      <c r="O123" s="421">
        <f t="shared" si="118"/>
        <v>0.13827671841122302</v>
      </c>
      <c r="P123" s="424">
        <f t="shared" si="118"/>
        <v>0.13359731065306368</v>
      </c>
      <c r="Q123" s="424">
        <f t="shared" si="118"/>
        <v>8.6059335558686056E-2</v>
      </c>
      <c r="R123" s="424">
        <f t="shared" si="118"/>
        <v>8.4798431957884945E-2</v>
      </c>
      <c r="S123" s="424">
        <f t="shared" si="118"/>
        <v>8.3710914145437521E-2</v>
      </c>
      <c r="T123" s="435"/>
      <c r="AD123" s="1134"/>
      <c r="AE123" s="1134"/>
      <c r="AF123" s="1134"/>
      <c r="AG123" s="1135"/>
      <c r="AH123" s="1134"/>
      <c r="AI123" s="1174"/>
      <c r="AJ123" s="1132"/>
      <c r="AK123" s="1133"/>
      <c r="AL123" s="1175"/>
      <c r="AM123" s="1175"/>
      <c r="AN123" s="1175"/>
      <c r="AO123" s="1176"/>
      <c r="AP123" s="1175"/>
      <c r="AQ123" s="1132"/>
      <c r="AR123" s="1132"/>
      <c r="AS123" s="1133"/>
      <c r="AT123" s="1132"/>
      <c r="AU123" s="1132"/>
      <c r="AV123" s="1132"/>
      <c r="AW123" s="1133"/>
      <c r="AX123" s="1132"/>
      <c r="AY123" s="1132"/>
      <c r="AZ123" s="1132"/>
      <c r="BA123" s="1132"/>
      <c r="BB123" s="1132"/>
      <c r="BC123" s="1132"/>
      <c r="BD123" s="1132"/>
      <c r="BE123" s="1132"/>
      <c r="BF123" s="1132"/>
      <c r="BG123" s="1132"/>
      <c r="BH123" s="1132"/>
      <c r="BI123" s="1134"/>
      <c r="BJ123" s="1134"/>
      <c r="BK123" s="1134"/>
      <c r="BL123" s="1135"/>
      <c r="BM123" s="1134"/>
      <c r="BN123" s="1174"/>
      <c r="BO123" s="1132"/>
      <c r="BP123" s="1133"/>
      <c r="BQ123" s="1175"/>
      <c r="BR123" s="1175"/>
      <c r="BS123" s="1175"/>
      <c r="BT123" s="1176"/>
      <c r="BU123" s="1175"/>
      <c r="BV123" s="1132"/>
      <c r="BW123" s="1132"/>
      <c r="BX123" s="1133"/>
      <c r="BY123" s="1132"/>
      <c r="BZ123" s="1132"/>
      <c r="CA123" s="1132"/>
      <c r="CB123" s="1133"/>
      <c r="CC123" s="1132"/>
      <c r="CD123" s="1132"/>
    </row>
    <row r="124" spans="1:84" outlineLevel="1">
      <c r="A124" s="1128" t="s">
        <v>64</v>
      </c>
      <c r="I124" s="428" t="str">
        <f>IFERROR(I119/A119-1,"")</f>
        <v/>
      </c>
      <c r="J124" s="428">
        <f t="shared" ref="J124:S124" si="119">IFERROR(J119/I119-1,"")</f>
        <v>0.68181818181818143</v>
      </c>
      <c r="K124" s="428">
        <f t="shared" si="119"/>
        <v>0.45945945945945943</v>
      </c>
      <c r="L124" s="428">
        <f t="shared" si="119"/>
        <v>0.33333333333333326</v>
      </c>
      <c r="M124" s="664">
        <f t="shared" si="119"/>
        <v>-4.166666666666663E-2</v>
      </c>
      <c r="N124" s="428">
        <f t="shared" si="119"/>
        <v>-0.29399152589989874</v>
      </c>
      <c r="O124" s="428">
        <f t="shared" si="119"/>
        <v>0.10894044785553958</v>
      </c>
      <c r="P124" s="432">
        <f t="shared" si="119"/>
        <v>8.9660156250000123E-2</v>
      </c>
      <c r="Q124" s="432">
        <f t="shared" si="119"/>
        <v>1.1353572337404749E-2</v>
      </c>
      <c r="R124" s="432">
        <f t="shared" si="119"/>
        <v>6.9537674106394665E-3</v>
      </c>
      <c r="S124" s="432">
        <f t="shared" si="119"/>
        <v>3.6233552631577126E-3</v>
      </c>
      <c r="T124" s="432"/>
      <c r="AD124" s="1134"/>
      <c r="AE124" s="1134"/>
      <c r="AF124" s="1134"/>
      <c r="AG124" s="1135"/>
      <c r="AH124" s="1134"/>
      <c r="AI124" s="1174"/>
      <c r="AJ124" s="1132"/>
      <c r="AK124" s="1133"/>
      <c r="AL124" s="1175"/>
      <c r="AM124" s="1175"/>
      <c r="AN124" s="1175"/>
      <c r="AO124" s="1176"/>
      <c r="AP124" s="1175"/>
      <c r="AQ124" s="1132"/>
      <c r="AR124" s="1132"/>
      <c r="AS124" s="1133"/>
      <c r="AT124" s="1132"/>
      <c r="AU124" s="1132"/>
      <c r="AV124" s="1132"/>
      <c r="AW124" s="1133"/>
      <c r="AX124" s="1132"/>
      <c r="AY124" s="1132"/>
      <c r="AZ124" s="1132"/>
      <c r="BA124" s="1132"/>
      <c r="BB124" s="1132"/>
      <c r="BC124" s="1132"/>
      <c r="BD124" s="1132"/>
      <c r="BE124" s="1132"/>
      <c r="BF124" s="1132"/>
      <c r="BG124" s="1132"/>
      <c r="BH124" s="1132"/>
      <c r="BI124" s="1134"/>
      <c r="BJ124" s="1134"/>
      <c r="BK124" s="1134"/>
      <c r="BL124" s="1135"/>
      <c r="BM124" s="1134"/>
      <c r="BN124" s="1174"/>
      <c r="BO124" s="1132"/>
      <c r="BP124" s="1133"/>
      <c r="BQ124" s="1175"/>
      <c r="BR124" s="1175"/>
      <c r="BS124" s="1175"/>
      <c r="BT124" s="1176"/>
      <c r="BU124" s="1175"/>
      <c r="BV124" s="1132"/>
      <c r="BW124" s="1132"/>
      <c r="BX124" s="1133"/>
      <c r="BY124" s="1132"/>
      <c r="BZ124" s="1132"/>
      <c r="CA124" s="1132"/>
      <c r="CB124" s="1133"/>
      <c r="CC124" s="1132"/>
      <c r="CD124" s="1132"/>
    </row>
    <row r="125" spans="1:84" outlineLevel="1">
      <c r="A125" s="1128" t="s">
        <v>674</v>
      </c>
      <c r="I125" s="428" t="str">
        <f>IFERROR(I120/A120-1,"")</f>
        <v/>
      </c>
      <c r="J125" s="428" t="str">
        <f t="shared" ref="J125:S125" si="120">IFERROR(J120/I120-1,"")</f>
        <v/>
      </c>
      <c r="K125" s="428" t="str">
        <f t="shared" si="120"/>
        <v/>
      </c>
      <c r="L125" s="428">
        <f t="shared" si="120"/>
        <v>1.8892758955578879</v>
      </c>
      <c r="M125" s="664">
        <f t="shared" si="120"/>
        <v>0.47131877238837561</v>
      </c>
      <c r="N125" s="428">
        <f t="shared" si="120"/>
        <v>4.5415658274368331E-2</v>
      </c>
      <c r="O125" s="428">
        <f t="shared" si="120"/>
        <v>0.15493995098039215</v>
      </c>
      <c r="P125" s="432">
        <f t="shared" si="120"/>
        <v>0.17860350230414745</v>
      </c>
      <c r="Q125" s="432">
        <f t="shared" si="120"/>
        <v>0.15778899016203685</v>
      </c>
      <c r="R125" s="432">
        <f t="shared" si="120"/>
        <v>0.14810631772268157</v>
      </c>
      <c r="S125" s="432">
        <f t="shared" si="120"/>
        <v>0.13842830882352919</v>
      </c>
      <c r="T125" s="432"/>
      <c r="AE125" s="1134"/>
      <c r="AF125" s="1134"/>
      <c r="AG125" s="1135"/>
      <c r="AH125" s="1134"/>
      <c r="AI125" s="1174"/>
      <c r="AJ125" s="1132"/>
      <c r="AK125" s="1133"/>
      <c r="AL125" s="1175"/>
      <c r="AM125" s="1175"/>
      <c r="AN125" s="1175"/>
      <c r="AO125" s="1176"/>
      <c r="AP125" s="1175"/>
      <c r="AQ125" s="1132"/>
      <c r="AR125" s="1132"/>
      <c r="AS125" s="1133"/>
      <c r="AT125" s="1132"/>
      <c r="AU125" s="1132"/>
      <c r="AV125" s="1132"/>
      <c r="AW125" s="1133"/>
      <c r="AX125" s="1132"/>
      <c r="AY125" s="1132"/>
      <c r="AZ125" s="1132"/>
      <c r="BA125" s="1132"/>
      <c r="BB125" s="1132"/>
      <c r="BC125" s="1132"/>
      <c r="BD125" s="1132"/>
      <c r="BE125" s="1132"/>
      <c r="BF125" s="1132"/>
      <c r="BG125" s="1132"/>
      <c r="BH125" s="1132"/>
      <c r="BI125" s="1134"/>
      <c r="BJ125" s="1134"/>
      <c r="BK125" s="1134"/>
      <c r="BL125" s="1135"/>
      <c r="BM125" s="1134"/>
      <c r="BN125" s="1174"/>
      <c r="BO125" s="1132"/>
      <c r="BP125" s="1133"/>
      <c r="BQ125" s="1175"/>
      <c r="BR125" s="1175"/>
      <c r="BS125" s="1175"/>
      <c r="BT125" s="1176"/>
      <c r="BU125" s="1175"/>
      <c r="BV125" s="1132"/>
      <c r="BW125" s="1132"/>
      <c r="BX125" s="1133"/>
      <c r="BY125" s="1132"/>
      <c r="BZ125" s="1132"/>
      <c r="CA125" s="1132"/>
      <c r="CB125" s="1133"/>
      <c r="CC125" s="1132"/>
      <c r="CD125" s="1132"/>
    </row>
    <row r="126" spans="1:84" outlineLevel="1">
      <c r="A126" s="1128" t="s">
        <v>66</v>
      </c>
      <c r="I126" s="428" t="str">
        <f>IFERROR(I121/A121-1,"")</f>
        <v/>
      </c>
      <c r="J126" s="428">
        <f t="shared" ref="J126:S126" si="121">IFERROR(J121/I121-1,"")</f>
        <v>0.26451612903225796</v>
      </c>
      <c r="K126" s="428">
        <f t="shared" si="121"/>
        <v>-0.5714285714285714</v>
      </c>
      <c r="L126" s="428">
        <f t="shared" si="121"/>
        <v>-0.32557507145355924</v>
      </c>
      <c r="M126" s="664">
        <f t="shared" si="121"/>
        <v>4.1451646656602836E-2</v>
      </c>
      <c r="N126" s="428">
        <f t="shared" si="121"/>
        <v>0.5</v>
      </c>
      <c r="O126" s="428">
        <f t="shared" si="121"/>
        <v>1</v>
      </c>
      <c r="P126" s="432">
        <f t="shared" si="121"/>
        <v>0.30000000000000004</v>
      </c>
      <c r="Q126" s="432">
        <f t="shared" si="121"/>
        <v>0.30000000000000004</v>
      </c>
      <c r="R126" s="432">
        <f t="shared" si="121"/>
        <v>0.30000000000000004</v>
      </c>
      <c r="S126" s="432">
        <f t="shared" si="121"/>
        <v>0.30000000000000004</v>
      </c>
      <c r="T126" s="432"/>
      <c r="AD126" s="1134"/>
      <c r="AE126" s="1134"/>
      <c r="AF126" s="1134"/>
      <c r="AG126" s="1135"/>
      <c r="AH126" s="1134"/>
      <c r="AI126" s="1174"/>
      <c r="AJ126" s="1132"/>
      <c r="AK126" s="1133"/>
      <c r="AL126" s="1175"/>
      <c r="AM126" s="1175"/>
      <c r="AN126" s="1175"/>
      <c r="AO126" s="1176"/>
      <c r="AP126" s="1175"/>
      <c r="AQ126" s="1132"/>
      <c r="AR126" s="1132"/>
      <c r="AS126" s="1133"/>
      <c r="AT126" s="1132"/>
      <c r="AU126" s="1132"/>
      <c r="AV126" s="1132"/>
      <c r="AW126" s="1133"/>
      <c r="AX126" s="1132"/>
      <c r="AY126" s="1132"/>
      <c r="AZ126" s="1132"/>
      <c r="BA126" s="1132"/>
      <c r="BB126" s="1132"/>
      <c r="BC126" s="1132"/>
      <c r="BD126" s="1132"/>
      <c r="BE126" s="1132"/>
      <c r="BF126" s="1132"/>
      <c r="BG126" s="1132"/>
      <c r="BH126" s="1132"/>
      <c r="BI126" s="1134"/>
      <c r="BJ126" s="1134"/>
      <c r="BK126" s="1134"/>
      <c r="BL126" s="1135"/>
      <c r="BM126" s="1134"/>
      <c r="BN126" s="1174"/>
      <c r="BO126" s="1132"/>
      <c r="BP126" s="1133"/>
      <c r="BQ126" s="1175"/>
      <c r="BR126" s="1175"/>
      <c r="BS126" s="1175"/>
      <c r="BT126" s="1176"/>
      <c r="BU126" s="1175"/>
      <c r="BV126" s="1132"/>
      <c r="BW126" s="1132"/>
      <c r="BX126" s="1133"/>
      <c r="BY126" s="1132"/>
      <c r="BZ126" s="1132"/>
      <c r="CA126" s="1132"/>
      <c r="CB126" s="1133"/>
      <c r="CC126" s="1132"/>
      <c r="CD126" s="1132"/>
    </row>
    <row r="127" spans="1:84" outlineLevel="1">
      <c r="I127" s="415"/>
      <c r="J127" s="415"/>
      <c r="K127" s="415"/>
      <c r="L127" s="415"/>
      <c r="M127" s="1147"/>
      <c r="AD127" s="1134"/>
      <c r="AE127" s="1134"/>
      <c r="AF127" s="1134"/>
      <c r="AG127" s="1135"/>
      <c r="AH127" s="1134"/>
      <c r="AI127" s="1174"/>
      <c r="AJ127" s="1132"/>
      <c r="AK127" s="1133"/>
      <c r="AL127" s="1175"/>
      <c r="AM127" s="1175"/>
      <c r="AN127" s="1175"/>
      <c r="AO127" s="1176"/>
      <c r="AP127" s="1175"/>
      <c r="AQ127" s="1132"/>
      <c r="AR127" s="1132"/>
      <c r="AS127" s="1133"/>
      <c r="AT127" s="1132"/>
      <c r="AU127" s="1132"/>
      <c r="AV127" s="1132"/>
      <c r="AW127" s="1133"/>
      <c r="AX127" s="1132"/>
      <c r="AY127" s="1132"/>
      <c r="AZ127" s="1132"/>
      <c r="BA127" s="1132"/>
      <c r="BB127" s="1132"/>
      <c r="BC127" s="1132"/>
      <c r="BD127" s="1132"/>
      <c r="BE127" s="1132"/>
      <c r="BF127" s="1132"/>
      <c r="BG127" s="1132"/>
      <c r="BH127" s="1132"/>
      <c r="BI127" s="1134"/>
      <c r="BJ127" s="1134"/>
      <c r="BK127" s="1134"/>
      <c r="BL127" s="1135"/>
      <c r="BM127" s="1134"/>
      <c r="BN127" s="1174"/>
      <c r="BO127" s="1132"/>
      <c r="BP127" s="1133"/>
      <c r="BQ127" s="1175"/>
      <c r="BR127" s="1175"/>
      <c r="BS127" s="1175"/>
      <c r="BT127" s="1176"/>
      <c r="BU127" s="1175"/>
      <c r="BV127" s="1132"/>
      <c r="BW127" s="1132"/>
      <c r="BX127" s="1133"/>
      <c r="BY127" s="1132"/>
      <c r="BZ127" s="1132"/>
      <c r="CA127" s="1132"/>
      <c r="CB127" s="1133"/>
      <c r="CC127" s="1132"/>
      <c r="CD127" s="1132"/>
    </row>
    <row r="128" spans="1:84" outlineLevel="1">
      <c r="A128" s="866" t="s">
        <v>675</v>
      </c>
      <c r="B128" s="420"/>
      <c r="C128" s="420"/>
      <c r="D128" s="420"/>
      <c r="E128" s="420"/>
      <c r="F128" s="420"/>
      <c r="G128" s="420"/>
      <c r="H128" s="420"/>
      <c r="I128" s="421">
        <f t="shared" ref="I128:S128" si="122">I118/I$118</f>
        <v>1</v>
      </c>
      <c r="J128" s="421">
        <f t="shared" si="122"/>
        <v>1</v>
      </c>
      <c r="K128" s="421">
        <f t="shared" si="122"/>
        <v>1</v>
      </c>
      <c r="L128" s="421">
        <f t="shared" si="122"/>
        <v>1</v>
      </c>
      <c r="M128" s="845">
        <f t="shared" si="122"/>
        <v>1</v>
      </c>
      <c r="N128" s="421">
        <f t="shared" si="122"/>
        <v>1</v>
      </c>
      <c r="O128" s="421">
        <f t="shared" si="122"/>
        <v>1</v>
      </c>
      <c r="P128" s="424">
        <f t="shared" si="122"/>
        <v>1</v>
      </c>
      <c r="Q128" s="424">
        <f t="shared" si="122"/>
        <v>1</v>
      </c>
      <c r="R128" s="424">
        <f t="shared" si="122"/>
        <v>1</v>
      </c>
      <c r="S128" s="424">
        <f t="shared" si="122"/>
        <v>1</v>
      </c>
      <c r="T128" s="435"/>
      <c r="AD128" s="1134"/>
      <c r="AE128" s="1134"/>
      <c r="AF128" s="1134"/>
      <c r="AG128" s="1135"/>
      <c r="AH128" s="1134"/>
      <c r="AI128" s="1174"/>
      <c r="AJ128" s="1132"/>
      <c r="AK128" s="1133"/>
      <c r="AL128" s="1175"/>
      <c r="AM128" s="1175"/>
      <c r="AN128" s="1175"/>
      <c r="AO128" s="1176"/>
      <c r="AP128" s="1175"/>
      <c r="AQ128" s="1132"/>
      <c r="AR128" s="1132"/>
      <c r="AS128" s="1133"/>
      <c r="AT128" s="1132"/>
      <c r="AU128" s="1132"/>
      <c r="AV128" s="1132"/>
      <c r="AW128" s="1133"/>
      <c r="AX128" s="1132"/>
      <c r="AY128" s="1132"/>
      <c r="AZ128" s="1132"/>
      <c r="BA128" s="1132"/>
      <c r="BB128" s="1132"/>
      <c r="BC128" s="1132"/>
      <c r="BD128" s="1132"/>
      <c r="BE128" s="1132"/>
      <c r="BF128" s="1132"/>
      <c r="BG128" s="1132"/>
      <c r="BH128" s="1132"/>
      <c r="BI128" s="1134"/>
      <c r="BJ128" s="1134"/>
      <c r="BK128" s="1134"/>
      <c r="BL128" s="1135"/>
      <c r="BM128" s="1134"/>
      <c r="BN128" s="1174"/>
      <c r="BO128" s="1132"/>
      <c r="BP128" s="1133"/>
      <c r="BQ128" s="1175"/>
      <c r="BR128" s="1175"/>
      <c r="BS128" s="1175"/>
      <c r="BT128" s="1176"/>
      <c r="BU128" s="1175"/>
      <c r="BV128" s="1132"/>
      <c r="BW128" s="1132"/>
      <c r="BX128" s="1133"/>
      <c r="BY128" s="1132"/>
      <c r="BZ128" s="1132"/>
      <c r="CA128" s="1132"/>
      <c r="CB128" s="1133"/>
      <c r="CC128" s="1132"/>
      <c r="CD128" s="1132"/>
    </row>
    <row r="129" spans="1:82" outlineLevel="1">
      <c r="A129" s="1128" t="s">
        <v>64</v>
      </c>
      <c r="I129" s="428">
        <f t="shared" ref="I129:S129" si="123">I119/I$118</f>
        <v>0.93418259023354566</v>
      </c>
      <c r="J129" s="428">
        <f t="shared" si="123"/>
        <v>0.94969199178644759</v>
      </c>
      <c r="K129" s="428">
        <f t="shared" si="123"/>
        <v>0.84586466165413532</v>
      </c>
      <c r="L129" s="428">
        <f t="shared" si="123"/>
        <v>0.73044536877346045</v>
      </c>
      <c r="M129" s="664">
        <f t="shared" si="123"/>
        <v>0.63978095221331943</v>
      </c>
      <c r="N129" s="428">
        <f t="shared" si="123"/>
        <v>0.5437103517562788</v>
      </c>
      <c r="O129" s="428">
        <f t="shared" si="123"/>
        <v>0.52969756055616446</v>
      </c>
      <c r="P129" s="432">
        <f t="shared" si="123"/>
        <v>0.50916698652747816</v>
      </c>
      <c r="Q129" s="432">
        <f t="shared" si="123"/>
        <v>0.47414338598354666</v>
      </c>
      <c r="R129" s="432">
        <f t="shared" si="123"/>
        <v>0.44011906243933885</v>
      </c>
      <c r="S129" s="432">
        <f t="shared" si="123"/>
        <v>0.40759372669874677</v>
      </c>
      <c r="T129" s="432"/>
      <c r="AD129" s="1134"/>
      <c r="AE129" s="1134"/>
      <c r="AF129" s="1134"/>
      <c r="AG129" s="1135"/>
      <c r="AH129" s="1134"/>
      <c r="AI129" s="1174"/>
      <c r="AJ129" s="1132"/>
      <c r="AK129" s="1133"/>
      <c r="AL129" s="1175"/>
      <c r="AM129" s="1175"/>
      <c r="AN129" s="1175"/>
      <c r="AO129" s="1176"/>
      <c r="AP129" s="1175"/>
      <c r="AQ129" s="1132"/>
      <c r="AR129" s="1132"/>
      <c r="AS129" s="1133"/>
      <c r="AT129" s="1132"/>
      <c r="AU129" s="1132"/>
      <c r="AV129" s="1132"/>
      <c r="AW129" s="1133"/>
      <c r="AX129" s="1132"/>
      <c r="AY129" s="1132"/>
      <c r="AZ129" s="1132"/>
      <c r="BA129" s="1132"/>
      <c r="BB129" s="1132"/>
      <c r="BC129" s="1132"/>
      <c r="BD129" s="1132"/>
      <c r="BE129" s="1132"/>
      <c r="BF129" s="1132"/>
      <c r="BG129" s="1132"/>
      <c r="BH129" s="1132"/>
      <c r="BI129" s="1134"/>
      <c r="BJ129" s="1134"/>
      <c r="BK129" s="1134"/>
      <c r="BL129" s="1135"/>
      <c r="BM129" s="1134"/>
      <c r="BN129" s="1174"/>
      <c r="BO129" s="1132"/>
      <c r="BP129" s="1133"/>
      <c r="BQ129" s="1175"/>
      <c r="BR129" s="1175"/>
      <c r="BS129" s="1175"/>
      <c r="BT129" s="1176"/>
      <c r="BU129" s="1175"/>
      <c r="BV129" s="1132"/>
      <c r="BW129" s="1132"/>
      <c r="BX129" s="1133"/>
      <c r="BY129" s="1132"/>
      <c r="BZ129" s="1132"/>
      <c r="CA129" s="1132"/>
      <c r="CB129" s="1133"/>
      <c r="CC129" s="1132"/>
      <c r="CD129" s="1132"/>
    </row>
    <row r="130" spans="1:82" outlineLevel="1">
      <c r="A130" s="1128" t="s">
        <v>674</v>
      </c>
      <c r="I130" s="428">
        <f t="shared" ref="I130:S130" si="124">I120/I$118</f>
        <v>0</v>
      </c>
      <c r="J130" s="428">
        <f t="shared" si="124"/>
        <v>0</v>
      </c>
      <c r="K130" s="428">
        <f t="shared" si="124"/>
        <v>0.14097744360902256</v>
      </c>
      <c r="L130" s="428">
        <f t="shared" si="124"/>
        <v>0.26380727462738146</v>
      </c>
      <c r="M130" s="664">
        <f t="shared" si="124"/>
        <v>0.35474845703587105</v>
      </c>
      <c r="N130" s="428">
        <f t="shared" si="124"/>
        <v>0.44641203840387345</v>
      </c>
      <c r="O130" s="428">
        <f t="shared" si="124"/>
        <v>0.4529470641118431</v>
      </c>
      <c r="P130" s="432">
        <f t="shared" si="124"/>
        <v>0.47093001289236663</v>
      </c>
      <c r="Q130" s="432">
        <f t="shared" si="124"/>
        <v>0.50203296101052286</v>
      </c>
      <c r="R130" s="432">
        <f t="shared" si="124"/>
        <v>0.53133116463020746</v>
      </c>
      <c r="S130" s="432">
        <f t="shared" si="124"/>
        <v>0.5581584823773641</v>
      </c>
      <c r="T130" s="432"/>
      <c r="AD130" s="1134"/>
      <c r="AE130" s="1134"/>
      <c r="AF130" s="1134"/>
      <c r="AG130" s="1135"/>
      <c r="AH130" s="1134"/>
      <c r="AI130" s="1174"/>
      <c r="AJ130" s="1132"/>
      <c r="AK130" s="1133"/>
      <c r="AL130" s="1175"/>
      <c r="AM130" s="1175"/>
      <c r="AN130" s="1175"/>
      <c r="AO130" s="1176"/>
      <c r="AP130" s="1175"/>
      <c r="AQ130" s="1132"/>
      <c r="AR130" s="1132"/>
      <c r="AS130" s="1133"/>
      <c r="AT130" s="1132"/>
      <c r="AU130" s="1132"/>
      <c r="AV130" s="1132"/>
      <c r="AW130" s="1133"/>
      <c r="AX130" s="1132"/>
      <c r="AY130" s="1132"/>
      <c r="AZ130" s="1132"/>
      <c r="BA130" s="1132"/>
      <c r="BB130" s="1132"/>
      <c r="BC130" s="1132"/>
      <c r="BD130" s="1132"/>
      <c r="BE130" s="1132"/>
      <c r="BF130" s="1132"/>
      <c r="BG130" s="1132"/>
      <c r="BH130" s="1132"/>
      <c r="BI130" s="1134"/>
      <c r="BJ130" s="1134"/>
      <c r="BK130" s="1134"/>
      <c r="BL130" s="1135"/>
      <c r="BM130" s="1134"/>
      <c r="BN130" s="1174"/>
      <c r="BO130" s="1132"/>
      <c r="BP130" s="1133"/>
      <c r="BQ130" s="1175"/>
      <c r="BR130" s="1175"/>
      <c r="BS130" s="1175"/>
      <c r="BT130" s="1176"/>
      <c r="BU130" s="1175"/>
      <c r="BV130" s="1132"/>
      <c r="BW130" s="1132"/>
      <c r="BX130" s="1133"/>
      <c r="BY130" s="1132"/>
      <c r="BZ130" s="1132"/>
      <c r="CA130" s="1132"/>
      <c r="CB130" s="1133"/>
      <c r="CC130" s="1132"/>
      <c r="CD130" s="1132"/>
    </row>
    <row r="131" spans="1:82" outlineLevel="1">
      <c r="A131" s="1128" t="s">
        <v>66</v>
      </c>
      <c r="I131" s="428">
        <f t="shared" ref="I131:S131" si="125">I121/I$118</f>
        <v>6.5817409766454338E-2</v>
      </c>
      <c r="J131" s="428">
        <f t="shared" si="125"/>
        <v>5.0308008213552365E-2</v>
      </c>
      <c r="K131" s="428">
        <f t="shared" si="125"/>
        <v>1.3157894736842105E-2</v>
      </c>
      <c r="L131" s="428">
        <f t="shared" si="125"/>
        <v>5.747356599158062E-3</v>
      </c>
      <c r="M131" s="664">
        <f t="shared" si="125"/>
        <v>5.470590750809543E-3</v>
      </c>
      <c r="N131" s="428">
        <f t="shared" si="125"/>
        <v>9.8776098398477476E-3</v>
      </c>
      <c r="O131" s="428">
        <f t="shared" si="125"/>
        <v>1.7355375331992488E-2</v>
      </c>
      <c r="P131" s="432">
        <f t="shared" si="125"/>
        <v>1.990300058015514E-2</v>
      </c>
      <c r="Q131" s="432">
        <f t="shared" si="125"/>
        <v>2.3823653005930596E-2</v>
      </c>
      <c r="R131" s="432">
        <f t="shared" si="125"/>
        <v>2.8549772930453642E-2</v>
      </c>
      <c r="S131" s="432">
        <f t="shared" si="125"/>
        <v>3.424779092388916E-2</v>
      </c>
      <c r="T131" s="432"/>
      <c r="AD131" s="1134"/>
      <c r="AE131" s="1134"/>
      <c r="AF131" s="1134"/>
      <c r="AG131" s="1135"/>
      <c r="AH131" s="1134"/>
      <c r="AI131" s="1174"/>
      <c r="AJ131" s="1132"/>
      <c r="AK131" s="1133"/>
      <c r="AL131" s="1175"/>
      <c r="AM131" s="1175"/>
      <c r="AN131" s="1175"/>
      <c r="AO131" s="1176"/>
      <c r="AP131" s="1175"/>
      <c r="AQ131" s="1132"/>
      <c r="AR131" s="1132"/>
      <c r="AS131" s="1133"/>
      <c r="AT131" s="1132"/>
      <c r="AU131" s="1132"/>
      <c r="AV131" s="1132"/>
      <c r="AW131" s="1133"/>
      <c r="AX131" s="1132"/>
      <c r="AY131" s="1132"/>
      <c r="AZ131" s="1132"/>
      <c r="BA131" s="1132"/>
      <c r="BB131" s="1132"/>
      <c r="BC131" s="1132"/>
      <c r="BD131" s="1132"/>
      <c r="BE131" s="1132"/>
      <c r="BF131" s="1132"/>
      <c r="BG131" s="1132"/>
      <c r="BH131" s="1132"/>
      <c r="BI131" s="1134"/>
      <c r="BJ131" s="1134"/>
      <c r="BK131" s="1134"/>
      <c r="BL131" s="1135"/>
      <c r="BM131" s="1134"/>
      <c r="BN131" s="1174"/>
      <c r="BO131" s="1132"/>
      <c r="BP131" s="1133"/>
      <c r="BQ131" s="1175"/>
      <c r="BR131" s="1175"/>
      <c r="BS131" s="1175"/>
      <c r="BT131" s="1176"/>
      <c r="BU131" s="1175"/>
      <c r="BV131" s="1132"/>
      <c r="BW131" s="1132"/>
      <c r="BX131" s="1133"/>
      <c r="BY131" s="1132"/>
      <c r="BZ131" s="1132"/>
      <c r="CA131" s="1132"/>
      <c r="CB131" s="1133"/>
      <c r="CC131" s="1132"/>
      <c r="CD131" s="1132"/>
    </row>
    <row r="132" spans="1:82">
      <c r="I132" s="428"/>
      <c r="J132" s="428"/>
      <c r="K132" s="428"/>
      <c r="L132" s="428"/>
      <c r="M132" s="664"/>
      <c r="N132" s="428"/>
      <c r="O132" s="428"/>
      <c r="P132" s="432"/>
      <c r="Q132" s="432"/>
      <c r="R132" s="432"/>
      <c r="S132" s="432"/>
      <c r="T132" s="432"/>
      <c r="AD132" s="1134"/>
      <c r="AE132" s="1134"/>
      <c r="AF132" s="1134"/>
      <c r="AG132" s="1135"/>
      <c r="AH132" s="1134"/>
      <c r="AI132" s="1174"/>
      <c r="AJ132" s="1132"/>
      <c r="AK132" s="1133"/>
      <c r="AL132" s="1175"/>
      <c r="AM132" s="1175"/>
      <c r="AN132" s="1175"/>
      <c r="AO132" s="1176"/>
      <c r="AP132" s="1175"/>
      <c r="AQ132" s="1132"/>
      <c r="AR132" s="1132"/>
      <c r="AS132" s="1133"/>
      <c r="AT132" s="1132"/>
      <c r="AU132" s="1132"/>
      <c r="AV132" s="1132"/>
      <c r="AW132" s="1133"/>
      <c r="AX132" s="1132"/>
      <c r="AY132" s="1132"/>
      <c r="AZ132" s="1132"/>
      <c r="BA132" s="1132"/>
      <c r="BB132" s="1132"/>
      <c r="BC132" s="1132"/>
      <c r="BD132" s="1132"/>
      <c r="BE132" s="1132"/>
      <c r="BF132" s="1132"/>
      <c r="BG132" s="1132"/>
      <c r="BH132" s="1132"/>
      <c r="BI132" s="1134"/>
      <c r="BJ132" s="1134"/>
      <c r="BK132" s="1134"/>
      <c r="BL132" s="1135"/>
      <c r="BM132" s="1134"/>
      <c r="BN132" s="1174"/>
      <c r="BO132" s="1132"/>
      <c r="BP132" s="1133"/>
      <c r="BQ132" s="1175"/>
      <c r="BR132" s="1175"/>
      <c r="BS132" s="1175"/>
      <c r="BT132" s="1176"/>
      <c r="BU132" s="1175"/>
      <c r="BV132" s="1132"/>
      <c r="BW132" s="1132"/>
      <c r="BX132" s="1133"/>
      <c r="BY132" s="1132"/>
      <c r="BZ132" s="1132"/>
      <c r="CA132" s="1132"/>
      <c r="CB132" s="1133"/>
      <c r="CC132" s="1132"/>
      <c r="CD132" s="1132"/>
    </row>
    <row r="133" spans="1:82">
      <c r="AD133" s="1150"/>
      <c r="AE133" s="1174"/>
      <c r="AF133" s="1174"/>
      <c r="AG133" s="1177"/>
      <c r="AH133" s="1174"/>
      <c r="AI133" s="1178"/>
      <c r="AJ133" s="1132"/>
      <c r="AK133" s="1133"/>
      <c r="AL133" s="1132"/>
      <c r="AM133" s="1132"/>
      <c r="AN133" s="1132"/>
      <c r="AO133" s="1133"/>
      <c r="AP133" s="1132"/>
      <c r="AQ133" s="1132"/>
      <c r="AR133" s="1132"/>
      <c r="AS133" s="1133"/>
      <c r="AT133" s="1132"/>
      <c r="AU133" s="1132"/>
      <c r="AV133" s="1132"/>
      <c r="AW133" s="1133"/>
      <c r="AX133" s="1132"/>
      <c r="AY133" s="1132"/>
      <c r="AZ133" s="1132"/>
      <c r="BA133" s="1132"/>
      <c r="BB133" s="1132"/>
      <c r="BC133" s="1132"/>
      <c r="BD133" s="1132"/>
      <c r="BE133" s="1132"/>
      <c r="BF133" s="1132"/>
      <c r="BG133" s="1132"/>
      <c r="BH133" s="1132"/>
      <c r="BI133" s="1150"/>
      <c r="BJ133" s="1174"/>
      <c r="BK133" s="1174"/>
      <c r="BL133" s="1177"/>
      <c r="BM133" s="1174"/>
      <c r="BN133" s="1178"/>
      <c r="BO133" s="1132"/>
      <c r="BP133" s="1133"/>
      <c r="BQ133" s="1132"/>
      <c r="BR133" s="1132"/>
      <c r="BS133" s="1132"/>
      <c r="BT133" s="1133"/>
      <c r="BU133" s="1132"/>
      <c r="BV133" s="1132"/>
      <c r="BW133" s="1132"/>
      <c r="BX133" s="1133"/>
      <c r="BY133" s="1132"/>
      <c r="BZ133" s="1132"/>
      <c r="CA133" s="1132"/>
      <c r="CB133" s="1133"/>
      <c r="CC133" s="1132"/>
      <c r="CD133" s="1132"/>
    </row>
    <row r="134" spans="1:82">
      <c r="A134" s="864" t="s">
        <v>676</v>
      </c>
      <c r="B134" s="403"/>
      <c r="C134" s="403"/>
      <c r="D134" s="403"/>
      <c r="E134" s="403"/>
      <c r="F134" s="403"/>
      <c r="G134" s="403"/>
      <c r="H134" s="403"/>
      <c r="I134" s="404"/>
      <c r="J134" s="404"/>
      <c r="K134" s="404"/>
      <c r="L134" s="404"/>
      <c r="M134" s="838"/>
      <c r="N134" s="448"/>
      <c r="O134" s="448"/>
      <c r="P134" s="448"/>
      <c r="Q134" s="448"/>
      <c r="R134" s="448"/>
      <c r="S134" s="448"/>
      <c r="T134" s="883"/>
      <c r="U134" s="401"/>
      <c r="AD134" s="1150"/>
      <c r="AE134" s="1174"/>
      <c r="AF134" s="1174"/>
      <c r="AG134" s="1177"/>
      <c r="AH134" s="1174"/>
      <c r="AI134" s="1178"/>
      <c r="AJ134" s="1132"/>
      <c r="AK134" s="1133"/>
      <c r="AL134" s="1132"/>
      <c r="AM134" s="1132"/>
      <c r="AN134" s="1132"/>
      <c r="AO134" s="1133"/>
      <c r="AP134" s="1132"/>
      <c r="AQ134" s="1132"/>
      <c r="AR134" s="1132"/>
      <c r="AS134" s="1133"/>
      <c r="AT134" s="1132"/>
      <c r="AU134" s="1132"/>
      <c r="AV134" s="1132"/>
      <c r="AW134" s="1133"/>
      <c r="AX134" s="1132"/>
      <c r="AY134" s="1132"/>
      <c r="AZ134" s="1132"/>
      <c r="BA134" s="1132"/>
      <c r="BB134" s="1132"/>
      <c r="BC134" s="1132"/>
      <c r="BD134" s="1132"/>
      <c r="BE134" s="1132"/>
      <c r="BF134" s="1132"/>
      <c r="BG134" s="1132"/>
      <c r="BH134" s="1132"/>
      <c r="BI134" s="1150"/>
      <c r="BJ134" s="1174"/>
      <c r="BK134" s="1174"/>
      <c r="BL134" s="1177"/>
      <c r="BM134" s="1174"/>
      <c r="BN134" s="1178"/>
      <c r="BO134" s="1132"/>
      <c r="BP134" s="1133"/>
      <c r="BQ134" s="1132"/>
      <c r="BR134" s="1132"/>
      <c r="BS134" s="1132"/>
      <c r="BT134" s="1133"/>
      <c r="BU134" s="1132"/>
      <c r="BV134" s="1132"/>
      <c r="BW134" s="1132"/>
      <c r="BX134" s="1133"/>
      <c r="BY134" s="1132"/>
      <c r="BZ134" s="1132"/>
      <c r="CA134" s="1132"/>
      <c r="CB134" s="1133"/>
      <c r="CC134" s="1132"/>
      <c r="CD134" s="1132"/>
    </row>
    <row r="135" spans="1:82" outlineLevel="1">
      <c r="A135" s="512"/>
      <c r="B135" s="431"/>
      <c r="C135" s="431"/>
      <c r="D135" s="431"/>
      <c r="E135" s="431"/>
      <c r="F135" s="431"/>
      <c r="G135" s="431"/>
      <c r="H135" s="431"/>
      <c r="L135" s="408"/>
      <c r="AD135" s="1150"/>
      <c r="AE135" s="1174"/>
      <c r="AF135" s="1174"/>
      <c r="AG135" s="1177"/>
      <c r="AH135" s="1174"/>
      <c r="AI135" s="1178"/>
      <c r="AJ135" s="1132"/>
      <c r="AK135" s="1133"/>
      <c r="AL135" s="1132"/>
      <c r="AM135" s="1132"/>
      <c r="AN135" s="1132"/>
      <c r="AO135" s="1133"/>
      <c r="AP135" s="1132"/>
      <c r="AQ135" s="1132"/>
      <c r="AR135" s="1132"/>
      <c r="AS135" s="1133"/>
      <c r="AT135" s="1132"/>
      <c r="AU135" s="1132"/>
      <c r="AV135" s="1132"/>
      <c r="AW135" s="1133"/>
      <c r="AX135" s="1132"/>
      <c r="AY135" s="1132"/>
      <c r="AZ135" s="1132"/>
      <c r="BA135" s="1132"/>
      <c r="BB135" s="1132"/>
      <c r="BC135" s="1132"/>
      <c r="BD135" s="1132"/>
      <c r="BE135" s="1132"/>
      <c r="BF135" s="1132"/>
      <c r="BG135" s="1132"/>
      <c r="BH135" s="1132"/>
      <c r="BI135" s="1150"/>
      <c r="BJ135" s="1174"/>
      <c r="BK135" s="1174"/>
      <c r="BL135" s="1177"/>
      <c r="BM135" s="1174"/>
      <c r="BN135" s="1178"/>
      <c r="BO135" s="1132"/>
      <c r="BP135" s="1133"/>
      <c r="BQ135" s="1132"/>
      <c r="BR135" s="1132"/>
      <c r="BS135" s="1132"/>
      <c r="BT135" s="1133"/>
      <c r="BU135" s="1132"/>
      <c r="BV135" s="1132"/>
      <c r="BW135" s="1132"/>
      <c r="BX135" s="1133"/>
      <c r="BY135" s="1132"/>
      <c r="BZ135" s="1132"/>
      <c r="CA135" s="1132"/>
      <c r="CB135" s="1133"/>
      <c r="CC135" s="1132"/>
      <c r="CD135" s="1132"/>
    </row>
    <row r="136" spans="1:82" outlineLevel="1">
      <c r="A136" s="1128" t="s">
        <v>673</v>
      </c>
      <c r="I136" s="43">
        <f>'C. S&amp;L'!C145</f>
        <v>2402</v>
      </c>
      <c r="J136" s="90">
        <f>'C. S&amp;L'!D145</f>
        <v>2974</v>
      </c>
      <c r="K136" s="90">
        <f>'C. S&amp;L'!E145</f>
        <v>4350</v>
      </c>
      <c r="L136" s="90">
        <f>'C. S&amp;L'!F145</f>
        <v>7899</v>
      </c>
      <c r="M136" s="658">
        <f>'C. S&amp;L'!G145</f>
        <v>7027</v>
      </c>
      <c r="N136" s="90">
        <f>'C. S&amp;L'!H145</f>
        <v>6629.7129714186849</v>
      </c>
      <c r="O136" s="90">
        <f>'C. S&amp;L'!I145</f>
        <v>7332.6300834405311</v>
      </c>
      <c r="P136" s="486">
        <f>'C. S&amp;L'!J145</f>
        <v>7790.086705917538</v>
      </c>
      <c r="Q136" s="486">
        <f>'C. S&amp;L'!K145</f>
        <v>8273.2491699050315</v>
      </c>
      <c r="R136" s="486">
        <f>'C. S&amp;L'!L145</f>
        <v>8782.705104566985</v>
      </c>
      <c r="S136" s="486">
        <f>'C. S&amp;L'!M145</f>
        <v>9319.0348721715236</v>
      </c>
      <c r="T136" s="486"/>
      <c r="U136" s="406"/>
    </row>
    <row r="137" spans="1:82" s="427" customFormat="1" outlineLevel="1">
      <c r="A137" s="512" t="s">
        <v>132</v>
      </c>
      <c r="B137" s="431"/>
      <c r="C137" s="431"/>
      <c r="D137" s="431"/>
      <c r="E137" s="431"/>
      <c r="F137" s="431"/>
      <c r="G137" s="431"/>
      <c r="H137" s="431"/>
      <c r="J137" s="428">
        <f t="shared" ref="J137:S137" si="126">J136/I136-1</f>
        <v>0.23813488759367196</v>
      </c>
      <c r="K137" s="428">
        <f t="shared" si="126"/>
        <v>0.46267652992602559</v>
      </c>
      <c r="L137" s="428">
        <f t="shared" si="126"/>
        <v>0.81586206896551716</v>
      </c>
      <c r="M137" s="664">
        <f t="shared" si="126"/>
        <v>-0.11039372072414233</v>
      </c>
      <c r="N137" s="428">
        <f t="shared" si="126"/>
        <v>-5.6537217672024354E-2</v>
      </c>
      <c r="O137" s="428">
        <f t="shared" si="126"/>
        <v>0.10602527063421707</v>
      </c>
      <c r="P137" s="432">
        <f t="shared" si="126"/>
        <v>6.2386431235648132E-2</v>
      </c>
      <c r="Q137" s="432">
        <f t="shared" si="126"/>
        <v>6.2022732509571687E-2</v>
      </c>
      <c r="R137" s="432">
        <f t="shared" si="126"/>
        <v>6.1578700725606339E-2</v>
      </c>
      <c r="S137" s="432">
        <f t="shared" si="126"/>
        <v>6.1066580423569938E-2</v>
      </c>
      <c r="T137" s="432"/>
      <c r="U137" s="447"/>
      <c r="AG137" s="419"/>
      <c r="AK137" s="419"/>
      <c r="AO137" s="419"/>
      <c r="AS137" s="419"/>
      <c r="AW137" s="419"/>
      <c r="BL137" s="419"/>
      <c r="BP137" s="419"/>
      <c r="BT137" s="419"/>
      <c r="BX137" s="419"/>
      <c r="CB137" s="419"/>
    </row>
    <row r="138" spans="1:82" s="427" customFormat="1" outlineLevel="1">
      <c r="A138" s="512"/>
      <c r="B138" s="431"/>
      <c r="C138" s="431"/>
      <c r="D138" s="431"/>
      <c r="E138" s="431"/>
      <c r="F138" s="431"/>
      <c r="G138" s="431"/>
      <c r="H138" s="431"/>
      <c r="J138" s="428"/>
      <c r="K138" s="428"/>
      <c r="L138" s="428"/>
      <c r="M138" s="664"/>
      <c r="N138" s="428"/>
      <c r="O138" s="428"/>
      <c r="P138" s="432"/>
      <c r="Q138" s="432"/>
      <c r="R138" s="432"/>
      <c r="S138" s="432"/>
      <c r="T138" s="432"/>
      <c r="U138" s="447"/>
      <c r="AG138" s="419"/>
      <c r="AK138" s="419"/>
      <c r="AO138" s="419"/>
      <c r="AS138" s="419"/>
      <c r="AW138" s="419"/>
      <c r="BL138" s="419"/>
      <c r="BP138" s="419"/>
      <c r="BT138" s="419"/>
      <c r="BX138" s="419"/>
      <c r="CB138" s="419"/>
    </row>
    <row r="139" spans="1:82" outlineLevel="1">
      <c r="A139" s="1128" t="s">
        <v>677</v>
      </c>
      <c r="I139" s="1179">
        <f>'C. S&amp;L'!C166</f>
        <v>0</v>
      </c>
      <c r="J139" s="1179">
        <f>'C. S&amp;L'!D166</f>
        <v>0</v>
      </c>
      <c r="K139" s="57">
        <f>'C. S&amp;L'!E166</f>
        <v>0</v>
      </c>
      <c r="L139" s="57">
        <f>'C. S&amp;L'!F166</f>
        <v>0.41</v>
      </c>
      <c r="M139" s="674">
        <f>'C. S&amp;L'!G166</f>
        <v>0.4</v>
      </c>
      <c r="N139" s="57">
        <f>'C. S&amp;L'!H166</f>
        <v>0.4</v>
      </c>
      <c r="O139" s="57">
        <f>'C. S&amp;L'!I166</f>
        <v>0.4</v>
      </c>
      <c r="P139" s="601">
        <f>'C. S&amp;L'!J166</f>
        <v>0.4</v>
      </c>
      <c r="Q139" s="601">
        <f>'C. S&amp;L'!K166</f>
        <v>0.4</v>
      </c>
      <c r="R139" s="601">
        <f>'C. S&amp;L'!L166</f>
        <v>0.4</v>
      </c>
      <c r="S139" s="601">
        <f>'C. S&amp;L'!M166</f>
        <v>0.4</v>
      </c>
      <c r="T139" s="601"/>
    </row>
    <row r="140" spans="1:82">
      <c r="U140" s="447"/>
      <c r="AD140" s="1152"/>
      <c r="AE140" s="1152"/>
      <c r="AF140" s="1152"/>
      <c r="AG140" s="1153"/>
      <c r="AH140" s="1152"/>
      <c r="AI140" s="1174"/>
      <c r="AJ140" s="1132"/>
      <c r="AK140" s="1133"/>
      <c r="AL140" s="1132"/>
      <c r="AM140" s="1150"/>
      <c r="AN140" s="1150"/>
      <c r="AO140" s="1151"/>
      <c r="AP140" s="1150"/>
      <c r="AQ140" s="1150"/>
      <c r="AR140" s="1132"/>
      <c r="AS140" s="1133"/>
      <c r="AT140" s="1132"/>
      <c r="AU140" s="1132"/>
      <c r="AV140" s="1132"/>
      <c r="AW140" s="1133"/>
      <c r="AX140" s="1132"/>
      <c r="AY140" s="1132"/>
      <c r="AZ140" s="1132"/>
      <c r="BA140" s="1132"/>
      <c r="BB140" s="1132"/>
      <c r="BC140" s="1132"/>
      <c r="BD140" s="1132"/>
      <c r="BE140" s="1132"/>
      <c r="BF140" s="1132"/>
      <c r="BG140" s="1132"/>
      <c r="BH140" s="1132"/>
      <c r="BI140" s="1152"/>
      <c r="BJ140" s="1152"/>
      <c r="BK140" s="1152"/>
      <c r="BL140" s="1153"/>
      <c r="BM140" s="1152"/>
      <c r="BN140" s="1174"/>
      <c r="BO140" s="1132"/>
      <c r="BP140" s="1133"/>
      <c r="BQ140" s="1132"/>
      <c r="BR140" s="1150"/>
      <c r="BS140" s="1150"/>
      <c r="BT140" s="1151"/>
      <c r="BU140" s="1150"/>
      <c r="BV140" s="1150"/>
      <c r="BW140" s="1132"/>
      <c r="BX140" s="1133"/>
      <c r="BY140" s="1132"/>
      <c r="BZ140" s="1132"/>
      <c r="CA140" s="1132"/>
      <c r="CB140" s="1133"/>
      <c r="CC140" s="1132"/>
      <c r="CD140" s="1132"/>
    </row>
    <row r="141" spans="1:82">
      <c r="U141" s="447"/>
      <c r="AD141" s="1152"/>
      <c r="AE141" s="1152"/>
      <c r="AF141" s="1152"/>
      <c r="AG141" s="1153"/>
      <c r="AH141" s="1152"/>
      <c r="AI141" s="1174"/>
      <c r="AJ141" s="1132"/>
      <c r="AK141" s="1133"/>
      <c r="AL141" s="1132"/>
      <c r="AM141" s="1150"/>
      <c r="AN141" s="1150"/>
      <c r="AO141" s="1151"/>
      <c r="AP141" s="1150"/>
      <c r="AQ141" s="1150"/>
      <c r="AR141" s="1132"/>
      <c r="AS141" s="1133"/>
      <c r="AT141" s="1132"/>
      <c r="AU141" s="1132"/>
      <c r="AV141" s="1132"/>
      <c r="AW141" s="1133"/>
      <c r="AX141" s="1132"/>
      <c r="AY141" s="1132"/>
      <c r="AZ141" s="1132"/>
      <c r="BA141" s="1132"/>
      <c r="BB141" s="1132"/>
      <c r="BC141" s="1132"/>
      <c r="BD141" s="1132"/>
      <c r="BE141" s="1132"/>
      <c r="BF141" s="1132"/>
      <c r="BG141" s="1132"/>
      <c r="BH141" s="1132"/>
      <c r="BI141" s="1152"/>
      <c r="BJ141" s="1152"/>
      <c r="BK141" s="1152"/>
      <c r="BL141" s="1153"/>
      <c r="BM141" s="1152"/>
      <c r="BN141" s="1174"/>
      <c r="BO141" s="1132"/>
      <c r="BP141" s="1133"/>
      <c r="BQ141" s="1132"/>
      <c r="BR141" s="1150"/>
      <c r="BS141" s="1150"/>
      <c r="BT141" s="1151"/>
      <c r="BU141" s="1150"/>
      <c r="BV141" s="1150"/>
      <c r="BW141" s="1132"/>
      <c r="BX141" s="1133"/>
      <c r="BY141" s="1132"/>
      <c r="BZ141" s="1132"/>
      <c r="CA141" s="1132"/>
      <c r="CB141" s="1133"/>
      <c r="CC141" s="1132"/>
      <c r="CD141" s="1132"/>
    </row>
    <row r="142" spans="1:82">
      <c r="A142" s="864" t="s">
        <v>678</v>
      </c>
      <c r="B142" s="403"/>
      <c r="C142" s="403"/>
      <c r="D142" s="403"/>
      <c r="E142" s="403"/>
      <c r="F142" s="403"/>
      <c r="G142" s="403"/>
      <c r="H142" s="403"/>
      <c r="I142" s="404"/>
      <c r="J142" s="404"/>
      <c r="K142" s="404"/>
      <c r="L142" s="404"/>
      <c r="M142" s="838"/>
      <c r="N142" s="448"/>
      <c r="O142" s="448"/>
      <c r="P142" s="448"/>
      <c r="Q142" s="448"/>
      <c r="R142" s="448"/>
      <c r="S142" s="448"/>
      <c r="T142" s="883"/>
      <c r="U142" s="447"/>
      <c r="AD142" s="1132"/>
      <c r="AE142" s="1132"/>
      <c r="AF142" s="1132"/>
      <c r="AG142" s="1133"/>
      <c r="AH142" s="1132"/>
      <c r="AI142" s="1132"/>
      <c r="AJ142" s="1132"/>
      <c r="AK142" s="1133"/>
      <c r="AL142" s="1132"/>
      <c r="AM142" s="1132"/>
      <c r="AN142" s="1132"/>
      <c r="AO142" s="1133"/>
      <c r="AP142" s="1132"/>
      <c r="AQ142" s="1132"/>
      <c r="AR142" s="1132"/>
      <c r="AS142" s="1133"/>
      <c r="AT142" s="1132"/>
      <c r="AU142" s="1132"/>
      <c r="AV142" s="1132"/>
      <c r="AW142" s="1133"/>
      <c r="AX142" s="1132"/>
      <c r="AY142" s="1132"/>
      <c r="AZ142" s="1132"/>
      <c r="BA142" s="1132"/>
      <c r="BB142" s="1132"/>
      <c r="BC142" s="1132"/>
      <c r="BD142" s="1132"/>
      <c r="BE142" s="1132"/>
      <c r="BF142" s="1132"/>
      <c r="BG142" s="1132"/>
      <c r="BH142" s="1132"/>
      <c r="BI142" s="1132"/>
      <c r="BJ142" s="1132"/>
      <c r="BK142" s="1132"/>
      <c r="BL142" s="1133"/>
      <c r="BM142" s="1132"/>
      <c r="BN142" s="1132"/>
      <c r="BO142" s="1132"/>
      <c r="BP142" s="1133"/>
      <c r="BQ142" s="1132"/>
      <c r="BR142" s="1132"/>
      <c r="BS142" s="1132"/>
      <c r="BT142" s="1133"/>
      <c r="BU142" s="1132"/>
      <c r="BV142" s="1132"/>
      <c r="BW142" s="1132"/>
      <c r="BX142" s="1133"/>
      <c r="BY142" s="1132"/>
      <c r="BZ142" s="1132"/>
      <c r="CA142" s="1132"/>
      <c r="CB142" s="1133"/>
      <c r="CC142" s="1132"/>
      <c r="CD142" s="1132"/>
    </row>
    <row r="143" spans="1:82" outlineLevel="1">
      <c r="A143" s="512"/>
      <c r="B143" s="431"/>
      <c r="C143" s="431"/>
      <c r="D143" s="431"/>
      <c r="E143" s="431"/>
      <c r="F143" s="431"/>
      <c r="G143" s="431"/>
      <c r="H143" s="431"/>
      <c r="L143" s="408"/>
      <c r="U143" s="447"/>
      <c r="AD143" s="1150"/>
      <c r="AE143" s="1174"/>
      <c r="AF143" s="1174"/>
      <c r="AG143" s="1177"/>
      <c r="AH143" s="1174"/>
      <c r="AI143" s="1178"/>
      <c r="AJ143" s="1132"/>
      <c r="AK143" s="1133"/>
      <c r="AL143" s="1132"/>
      <c r="AM143" s="1132"/>
      <c r="AN143" s="1132"/>
      <c r="AO143" s="1133"/>
      <c r="AP143" s="1132"/>
      <c r="AQ143" s="1132"/>
      <c r="AR143" s="1132"/>
      <c r="AS143" s="1133"/>
      <c r="AT143" s="1132"/>
      <c r="AU143" s="1132"/>
      <c r="AV143" s="1132"/>
      <c r="AW143" s="1133"/>
      <c r="AX143" s="1132"/>
      <c r="AY143" s="1132"/>
      <c r="AZ143" s="1132"/>
      <c r="BA143" s="1132"/>
      <c r="BB143" s="1132"/>
      <c r="BC143" s="1132"/>
      <c r="BD143" s="1132"/>
      <c r="BE143" s="1132"/>
      <c r="BF143" s="1132"/>
      <c r="BG143" s="1132"/>
      <c r="BH143" s="1132"/>
      <c r="BI143" s="1150"/>
      <c r="BJ143" s="1174"/>
      <c r="BK143" s="1174"/>
      <c r="BL143" s="1177"/>
      <c r="BM143" s="1174"/>
      <c r="BN143" s="1178"/>
      <c r="BO143" s="1132"/>
      <c r="BP143" s="1133"/>
      <c r="BQ143" s="1132"/>
      <c r="BR143" s="1132"/>
      <c r="BS143" s="1132"/>
      <c r="BT143" s="1133"/>
      <c r="BU143" s="1132"/>
      <c r="BV143" s="1132"/>
      <c r="BW143" s="1132"/>
      <c r="BX143" s="1133"/>
      <c r="BY143" s="1132"/>
      <c r="BZ143" s="1132"/>
      <c r="CA143" s="1132"/>
      <c r="CB143" s="1133"/>
      <c r="CC143" s="1132"/>
      <c r="CD143" s="1132"/>
    </row>
    <row r="144" spans="1:82" outlineLevel="1">
      <c r="A144" s="385" t="s">
        <v>673</v>
      </c>
      <c r="B144" s="441"/>
      <c r="C144" s="441"/>
      <c r="D144" s="441"/>
      <c r="E144" s="441"/>
      <c r="F144" s="441"/>
      <c r="G144" s="441"/>
      <c r="H144" s="441"/>
      <c r="I144" s="451">
        <f>SUM(AD10:AG10)</f>
        <v>1111</v>
      </c>
      <c r="J144" s="451">
        <f>SUM(AH10:AK10)</f>
        <v>1367</v>
      </c>
      <c r="K144" s="451">
        <f>SUM(AL10:AO10)</f>
        <v>1536</v>
      </c>
      <c r="L144" s="451">
        <v>2616</v>
      </c>
      <c r="M144" s="848">
        <f>SUM(AT10:AW10)</f>
        <v>3320</v>
      </c>
      <c r="N144" s="451">
        <f>'D. OE&amp;IE'!N6</f>
        <v>3147.36</v>
      </c>
      <c r="O144" s="451">
        <f>'D. OE&amp;IE'!O6</f>
        <v>3584.2719999999999</v>
      </c>
      <c r="P144" s="451">
        <f>'D. OE&amp;IE'!P6</f>
        <v>4273.0225999999993</v>
      </c>
      <c r="Q144" s="451">
        <f>'D. OE&amp;IE'!Q6</f>
        <v>5063.7464466666661</v>
      </c>
      <c r="R144" s="451">
        <f>'D. OE&amp;IE'!R6</f>
        <v>5972.7720654444438</v>
      </c>
      <c r="S144" s="451">
        <f>'D. OE&amp;IE'!S6</f>
        <v>7025.7686224055569</v>
      </c>
      <c r="T144" s="926"/>
      <c r="U144" s="537"/>
      <c r="AD144" s="1150"/>
      <c r="AE144" s="1174"/>
      <c r="AF144" s="1174"/>
      <c r="AG144" s="1177"/>
      <c r="AH144" s="1174"/>
      <c r="AI144" s="1178"/>
      <c r="AJ144" s="1132"/>
      <c r="AK144" s="1133"/>
      <c r="AL144" s="1132"/>
      <c r="AM144" s="1132"/>
      <c r="AN144" s="1132"/>
      <c r="AO144" s="1133"/>
      <c r="AP144" s="1132"/>
      <c r="AQ144" s="1132"/>
      <c r="AR144" s="1132"/>
      <c r="AS144" s="1133"/>
      <c r="AT144" s="1132"/>
      <c r="AU144" s="1132"/>
      <c r="AV144" s="1132"/>
      <c r="AW144" s="1133"/>
      <c r="AX144" s="1132"/>
      <c r="AY144" s="1132"/>
      <c r="AZ144" s="1132"/>
      <c r="BA144" s="1132"/>
      <c r="BB144" s="1132"/>
      <c r="BC144" s="1132"/>
      <c r="BD144" s="1132"/>
      <c r="BE144" s="1132"/>
      <c r="BF144" s="1132"/>
      <c r="BG144" s="1132"/>
      <c r="BH144" s="1132"/>
      <c r="BI144" s="1150"/>
      <c r="BJ144" s="1174"/>
      <c r="BK144" s="1174"/>
      <c r="BL144" s="1177"/>
      <c r="BM144" s="1174"/>
      <c r="BN144" s="1178"/>
      <c r="BO144" s="1132"/>
      <c r="BP144" s="1133"/>
      <c r="BQ144" s="1132"/>
      <c r="BR144" s="1132"/>
      <c r="BS144" s="1132"/>
      <c r="BT144" s="1133"/>
      <c r="BU144" s="1132"/>
      <c r="BV144" s="1132"/>
      <c r="BW144" s="1132"/>
      <c r="BX144" s="1133"/>
      <c r="BY144" s="1132"/>
      <c r="BZ144" s="1132"/>
      <c r="CA144" s="1132"/>
      <c r="CB144" s="1133"/>
      <c r="CC144" s="1132"/>
      <c r="CD144" s="1132"/>
    </row>
    <row r="145" spans="1:82" outlineLevel="1">
      <c r="A145" s="1128" t="s">
        <v>679</v>
      </c>
      <c r="J145" s="90">
        <f>$J$144*J160</f>
        <v>861.21</v>
      </c>
      <c r="K145" s="90">
        <f>$K$144*K160</f>
        <v>768</v>
      </c>
      <c r="L145" s="90">
        <f>$L$144*L160</f>
        <v>1281.8399999999999</v>
      </c>
      <c r="M145" s="658">
        <f>$M$144*M160</f>
        <v>1527.2</v>
      </c>
      <c r="N145" s="90">
        <f>'D. OE&amp;IE'!N7</f>
        <v>1450.84</v>
      </c>
      <c r="O145" s="90">
        <f>'D. OE&amp;IE'!O7</f>
        <v>1595.924</v>
      </c>
      <c r="P145" s="486">
        <f>'D. OE&amp;IE'!P7</f>
        <v>1835.3125999999997</v>
      </c>
      <c r="Q145" s="486">
        <f>'D. OE&amp;IE'!Q7</f>
        <v>2080.0209466666665</v>
      </c>
      <c r="R145" s="486">
        <f>'D. OE&amp;IE'!R7</f>
        <v>2322.6900571111109</v>
      </c>
      <c r="S145" s="486">
        <f>'D. OE&amp;IE'!S7</f>
        <v>2554.9590628222222</v>
      </c>
      <c r="T145" s="486"/>
      <c r="U145" s="537"/>
      <c r="AD145" s="1132"/>
      <c r="AE145" s="1132"/>
      <c r="AF145" s="1132"/>
      <c r="AG145" s="1133"/>
      <c r="AH145" s="1132"/>
      <c r="AI145" s="1132"/>
      <c r="AJ145" s="1132"/>
      <c r="AK145" s="1133"/>
      <c r="AL145" s="1132"/>
      <c r="AM145" s="1132"/>
      <c r="AN145" s="1132"/>
      <c r="AO145" s="1133"/>
      <c r="AP145" s="1132"/>
      <c r="AQ145" s="1132"/>
      <c r="AR145" s="1132"/>
      <c r="AS145" s="1133"/>
      <c r="AT145" s="1132"/>
      <c r="AU145" s="1132"/>
      <c r="AV145" s="1132"/>
      <c r="AW145" s="1133"/>
      <c r="AX145" s="1132"/>
      <c r="AY145" s="1132"/>
      <c r="AZ145" s="1132"/>
      <c r="BA145" s="1132"/>
      <c r="BB145" s="1132"/>
      <c r="BC145" s="1132"/>
      <c r="BD145" s="1132"/>
      <c r="BE145" s="1132"/>
      <c r="BF145" s="1132"/>
      <c r="BG145" s="1132"/>
      <c r="BH145" s="1132"/>
      <c r="BI145" s="1132"/>
      <c r="BJ145" s="1132"/>
      <c r="BK145" s="1132"/>
      <c r="BL145" s="1133"/>
      <c r="BM145" s="1132"/>
      <c r="BN145" s="1132"/>
      <c r="BO145" s="1132"/>
      <c r="BP145" s="1133"/>
      <c r="BQ145" s="1132"/>
      <c r="BR145" s="1132"/>
      <c r="BS145" s="1132"/>
      <c r="BT145" s="1133"/>
      <c r="BU145" s="1132"/>
      <c r="BV145" s="1132"/>
      <c r="BW145" s="1132"/>
      <c r="BX145" s="1133"/>
      <c r="BY145" s="1132"/>
      <c r="BZ145" s="1132"/>
      <c r="CA145" s="1132"/>
      <c r="CB145" s="1133"/>
      <c r="CC145" s="1132"/>
      <c r="CD145" s="1132"/>
    </row>
    <row r="146" spans="1:82" outlineLevel="1">
      <c r="A146" s="1128" t="s">
        <v>680</v>
      </c>
      <c r="J146" s="90">
        <f>$J$144*J161</f>
        <v>205.04999999999998</v>
      </c>
      <c r="K146" s="90">
        <f>$K$144*K161</f>
        <v>491.52</v>
      </c>
      <c r="L146" s="90">
        <f>$L$144*L161</f>
        <v>810.96</v>
      </c>
      <c r="M146" s="658">
        <f>$M$144*M161</f>
        <v>830</v>
      </c>
      <c r="N146" s="90">
        <f>'D. OE&amp;IE'!N8</f>
        <v>747</v>
      </c>
      <c r="O146" s="90">
        <f>'D. OE&amp;IE'!O8</f>
        <v>896.4</v>
      </c>
      <c r="P146" s="486">
        <f>'D. OE&amp;IE'!P8</f>
        <v>1120.5</v>
      </c>
      <c r="Q146" s="486">
        <f>'D. OE&amp;IE'!Q8</f>
        <v>1419.3</v>
      </c>
      <c r="R146" s="486">
        <f>'D. OE&amp;IE'!R8</f>
        <v>1821.4349999999997</v>
      </c>
      <c r="S146" s="486">
        <f>'D. OE&amp;IE'!S8</f>
        <v>2367.8654999999999</v>
      </c>
      <c r="T146" s="486"/>
      <c r="U146" s="537"/>
      <c r="AD146" s="1132"/>
      <c r="AE146" s="1132"/>
      <c r="AF146" s="1132"/>
      <c r="AG146" s="1133"/>
      <c r="AH146" s="1132"/>
      <c r="AI146" s="1132"/>
      <c r="AJ146" s="1132"/>
      <c r="AK146" s="1133"/>
      <c r="AL146" s="1132"/>
      <c r="AM146" s="1132"/>
      <c r="AN146" s="1132"/>
      <c r="AO146" s="1133"/>
      <c r="AP146" s="1132"/>
      <c r="AQ146" s="1132"/>
      <c r="AR146" s="1132"/>
      <c r="AS146" s="1133"/>
      <c r="AT146" s="1132"/>
      <c r="AU146" s="1132"/>
      <c r="AV146" s="1132"/>
      <c r="AW146" s="1133"/>
      <c r="AX146" s="1132"/>
      <c r="AY146" s="1132"/>
      <c r="AZ146" s="1132"/>
      <c r="BA146" s="1132"/>
      <c r="BB146" s="1132"/>
      <c r="BC146" s="1132"/>
      <c r="BD146" s="1132"/>
      <c r="BE146" s="1132"/>
      <c r="BF146" s="1132"/>
      <c r="BG146" s="1132"/>
      <c r="BH146" s="1132"/>
      <c r="BI146" s="1132"/>
      <c r="BJ146" s="1132"/>
      <c r="BK146" s="1132"/>
      <c r="BL146" s="1133"/>
      <c r="BM146" s="1132"/>
      <c r="BN146" s="1132"/>
      <c r="BO146" s="1132"/>
      <c r="BP146" s="1133"/>
      <c r="BQ146" s="1132"/>
      <c r="BR146" s="1132"/>
      <c r="BS146" s="1132"/>
      <c r="BT146" s="1133"/>
      <c r="BU146" s="1132"/>
      <c r="BV146" s="1132"/>
      <c r="BW146" s="1132"/>
      <c r="BX146" s="1133"/>
      <c r="BY146" s="1132"/>
      <c r="BZ146" s="1132"/>
      <c r="CA146" s="1132"/>
      <c r="CB146" s="1133"/>
      <c r="CC146" s="1132"/>
      <c r="CD146" s="1132"/>
    </row>
    <row r="147" spans="1:82" outlineLevel="1">
      <c r="A147" s="1128" t="s">
        <v>681</v>
      </c>
      <c r="J147" s="90">
        <f>$J$144*J162</f>
        <v>136.70000000000002</v>
      </c>
      <c r="K147" s="90">
        <f>$K$144*K162</f>
        <v>92.16</v>
      </c>
      <c r="L147" s="90">
        <f>$L$144*L162</f>
        <v>156.96</v>
      </c>
      <c r="M147" s="658">
        <f>$M$144*M162</f>
        <v>99.6</v>
      </c>
      <c r="N147" s="90">
        <f>'D. OE&amp;IE'!N9</f>
        <v>89.64</v>
      </c>
      <c r="O147" s="90">
        <f>'D. OE&amp;IE'!O9</f>
        <v>103.086</v>
      </c>
      <c r="P147" s="486">
        <f>'D. OE&amp;IE'!P9</f>
        <v>128.85749999999999</v>
      </c>
      <c r="Q147" s="486">
        <f>'D. OE&amp;IE'!Q9</f>
        <v>156.776625</v>
      </c>
      <c r="R147" s="486">
        <f>'D. OE&amp;IE'!R9</f>
        <v>185.51900624999999</v>
      </c>
      <c r="S147" s="486">
        <f>'D. OE&amp;IE'!S9</f>
        <v>213.34685718749998</v>
      </c>
      <c r="T147" s="486"/>
      <c r="U147" s="537"/>
      <c r="AD147" s="1132"/>
      <c r="AE147" s="1132"/>
      <c r="AF147" s="1132"/>
      <c r="AG147" s="1133"/>
      <c r="AH147" s="1132"/>
      <c r="AI147" s="1132"/>
      <c r="AJ147" s="1132"/>
      <c r="AK147" s="1133"/>
      <c r="AL147" s="1132"/>
      <c r="AM147" s="1132"/>
      <c r="AN147" s="1132"/>
      <c r="AO147" s="1133"/>
      <c r="AP147" s="1132"/>
      <c r="AQ147" s="1132"/>
      <c r="AR147" s="1132"/>
      <c r="AS147" s="1133"/>
      <c r="AT147" s="1132"/>
      <c r="AU147" s="1132"/>
      <c r="AV147" s="1132"/>
      <c r="AW147" s="1133"/>
      <c r="AX147" s="1132"/>
      <c r="AY147" s="1132"/>
      <c r="AZ147" s="1132"/>
      <c r="BA147" s="1132"/>
      <c r="BB147" s="1132"/>
      <c r="BC147" s="1132"/>
      <c r="BD147" s="1132"/>
      <c r="BE147" s="1132"/>
      <c r="BF147" s="1132"/>
      <c r="BG147" s="1132"/>
      <c r="BH147" s="1132"/>
      <c r="BI147" s="1132"/>
      <c r="BJ147" s="1132"/>
      <c r="BK147" s="1132"/>
      <c r="BL147" s="1133"/>
      <c r="BM147" s="1132"/>
      <c r="BN147" s="1132"/>
      <c r="BO147" s="1132"/>
      <c r="BP147" s="1133"/>
      <c r="BQ147" s="1132"/>
      <c r="BR147" s="1132"/>
      <c r="BS147" s="1132"/>
      <c r="BT147" s="1133"/>
      <c r="BU147" s="1132"/>
      <c r="BV147" s="1132"/>
      <c r="BW147" s="1132"/>
      <c r="BX147" s="1133"/>
      <c r="BY147" s="1132"/>
      <c r="BZ147" s="1132"/>
      <c r="CA147" s="1132"/>
      <c r="CB147" s="1133"/>
      <c r="CC147" s="1132"/>
      <c r="CD147" s="1132"/>
    </row>
    <row r="148" spans="1:82" outlineLevel="1">
      <c r="A148" s="1128" t="s">
        <v>682</v>
      </c>
      <c r="J148" s="90">
        <f>$J$144*J163</f>
        <v>27.34</v>
      </c>
      <c r="K148" s="90">
        <f>$K$144*K163</f>
        <v>30.72</v>
      </c>
      <c r="L148" s="90">
        <f>$L$144*L163</f>
        <v>52.32</v>
      </c>
      <c r="M148" s="658">
        <f>$M$144*M163</f>
        <v>33.200000000000003</v>
      </c>
      <c r="N148" s="90">
        <f>'D. OE&amp;IE'!N10</f>
        <v>29.880000000000003</v>
      </c>
      <c r="O148" s="90">
        <f>'D. OE&amp;IE'!O10</f>
        <v>34.362000000000002</v>
      </c>
      <c r="P148" s="486">
        <f>'D. OE&amp;IE'!P10</f>
        <v>42.952500000000001</v>
      </c>
      <c r="Q148" s="486">
        <f>'D. OE&amp;IE'!Q10</f>
        <v>52.258875000000003</v>
      </c>
      <c r="R148" s="486">
        <f>'D. OE&amp;IE'!R10</f>
        <v>61.839668750000001</v>
      </c>
      <c r="S148" s="486">
        <f>'D. OE&amp;IE'!S10</f>
        <v>71.115619062500002</v>
      </c>
      <c r="T148" s="486"/>
      <c r="U148" s="537"/>
      <c r="AD148" s="1132"/>
      <c r="AE148" s="1132"/>
      <c r="AF148" s="1132"/>
      <c r="AG148" s="1133"/>
      <c r="AH148" s="1132"/>
      <c r="AI148" s="1132"/>
      <c r="AJ148" s="1132"/>
      <c r="AK148" s="1133"/>
      <c r="AL148" s="1132"/>
      <c r="AM148" s="1132"/>
      <c r="AN148" s="1132"/>
      <c r="AO148" s="1133"/>
      <c r="AP148" s="1132"/>
      <c r="AQ148" s="1132"/>
      <c r="AR148" s="1132"/>
      <c r="AS148" s="1133"/>
      <c r="AT148" s="1132"/>
      <c r="AU148" s="1132"/>
      <c r="AV148" s="1132"/>
      <c r="AW148" s="1133"/>
      <c r="AX148" s="1132"/>
      <c r="AY148" s="1132"/>
      <c r="AZ148" s="1132"/>
      <c r="BA148" s="1132"/>
      <c r="BB148" s="1132"/>
      <c r="BC148" s="1132"/>
      <c r="BD148" s="1132"/>
      <c r="BE148" s="1132"/>
      <c r="BF148" s="1132"/>
      <c r="BG148" s="1132"/>
      <c r="BH148" s="1132"/>
      <c r="BI148" s="1132"/>
      <c r="BJ148" s="1132"/>
      <c r="BK148" s="1132"/>
      <c r="BL148" s="1133"/>
      <c r="BM148" s="1132"/>
      <c r="BN148" s="1132"/>
      <c r="BO148" s="1132"/>
      <c r="BP148" s="1133"/>
      <c r="BQ148" s="1132"/>
      <c r="BR148" s="1132"/>
      <c r="BS148" s="1132"/>
      <c r="BT148" s="1133"/>
      <c r="BU148" s="1132"/>
      <c r="BV148" s="1132"/>
      <c r="BW148" s="1132"/>
      <c r="BX148" s="1133"/>
      <c r="BY148" s="1132"/>
      <c r="BZ148" s="1132"/>
      <c r="CA148" s="1132"/>
      <c r="CB148" s="1133"/>
      <c r="CC148" s="1132"/>
      <c r="CD148" s="1132"/>
    </row>
    <row r="149" spans="1:82" outlineLevel="1">
      <c r="A149" s="1128" t="s">
        <v>683</v>
      </c>
      <c r="J149" s="90">
        <f>$J$144*J164</f>
        <v>136.70000000000002</v>
      </c>
      <c r="K149" s="90">
        <f>$K$144*K164</f>
        <v>153.60000000000002</v>
      </c>
      <c r="L149" s="90">
        <f>$L$144*L164</f>
        <v>313.92</v>
      </c>
      <c r="M149" s="658">
        <f>$M$144*M164</f>
        <v>830</v>
      </c>
      <c r="N149" s="90">
        <f>'D. OE&amp;IE'!N11</f>
        <v>830</v>
      </c>
      <c r="O149" s="90">
        <f>'D. OE&amp;IE'!O11</f>
        <v>954.49999999999989</v>
      </c>
      <c r="P149" s="486">
        <f>'D. OE&amp;IE'!P11</f>
        <v>1145.3999999999999</v>
      </c>
      <c r="Q149" s="486">
        <f>'D. OE&amp;IE'!Q11</f>
        <v>1355.3899999999999</v>
      </c>
      <c r="R149" s="486">
        <f>'D. OE&amp;IE'!R11</f>
        <v>1581.2883333333332</v>
      </c>
      <c r="S149" s="486">
        <f>'D. OE&amp;IE'!S11</f>
        <v>1818.481583333333</v>
      </c>
      <c r="T149" s="486"/>
      <c r="U149" s="537"/>
      <c r="AD149" s="1132"/>
      <c r="AE149" s="1132"/>
      <c r="AF149" s="1132"/>
      <c r="AG149" s="1133"/>
      <c r="AH149" s="1132"/>
      <c r="AI149" s="1132"/>
      <c r="AJ149" s="1132"/>
      <c r="AK149" s="1133"/>
      <c r="AL149" s="1132"/>
      <c r="AM149" s="1132"/>
      <c r="AN149" s="1132"/>
      <c r="AO149" s="1133"/>
      <c r="AP149" s="1132"/>
      <c r="AQ149" s="1132"/>
      <c r="AR149" s="1132"/>
      <c r="AS149" s="1133"/>
      <c r="AT149" s="1132"/>
      <c r="AU149" s="1132"/>
      <c r="AV149" s="1132"/>
      <c r="AW149" s="1133"/>
      <c r="AX149" s="1132"/>
      <c r="AY149" s="1132"/>
      <c r="AZ149" s="1132"/>
      <c r="BA149" s="1132"/>
      <c r="BB149" s="1132"/>
      <c r="BC149" s="1132"/>
      <c r="BD149" s="1132"/>
      <c r="BE149" s="1132"/>
      <c r="BF149" s="1132"/>
      <c r="BG149" s="1132"/>
      <c r="BH149" s="1132"/>
      <c r="BI149" s="1132"/>
      <c r="BJ149" s="1132"/>
      <c r="BK149" s="1132"/>
      <c r="BL149" s="1133"/>
      <c r="BM149" s="1132"/>
      <c r="BN149" s="1132"/>
      <c r="BO149" s="1132"/>
      <c r="BP149" s="1133"/>
      <c r="BQ149" s="1132"/>
      <c r="BR149" s="1132"/>
      <c r="BS149" s="1132"/>
      <c r="BT149" s="1133"/>
      <c r="BU149" s="1132"/>
      <c r="BV149" s="1132"/>
      <c r="BW149" s="1132"/>
      <c r="BX149" s="1133"/>
      <c r="BY149" s="1132"/>
      <c r="BZ149" s="1132"/>
      <c r="CA149" s="1132"/>
      <c r="CB149" s="1133"/>
      <c r="CC149" s="1132"/>
      <c r="CD149" s="1132"/>
    </row>
    <row r="150" spans="1:82" s="427" customFormat="1" outlineLevel="1">
      <c r="A150" s="512" t="str">
        <f>'D. OE&amp;IE'!A16</f>
        <v>Achison</v>
      </c>
      <c r="B150" s="431"/>
      <c r="C150" s="431"/>
      <c r="D150" s="431"/>
      <c r="E150" s="431"/>
      <c r="F150" s="431"/>
      <c r="G150" s="431"/>
      <c r="H150" s="431"/>
      <c r="J150" s="430">
        <f>'D. OE&amp;IE'!J16</f>
        <v>0</v>
      </c>
      <c r="K150" s="430">
        <f>'D. OE&amp;IE'!K16</f>
        <v>0</v>
      </c>
      <c r="L150" s="430">
        <f>'D. OE&amp;IE'!L16</f>
        <v>0</v>
      </c>
      <c r="M150" s="839">
        <f>'D. OE&amp;IE'!M16</f>
        <v>0</v>
      </c>
      <c r="N150" s="430">
        <f>'D. OE&amp;IE'!N16</f>
        <v>700</v>
      </c>
      <c r="O150" s="430">
        <f>'D. OE&amp;IE'!O16</f>
        <v>817.41077839011371</v>
      </c>
      <c r="P150" s="602">
        <f>'D. OE&amp;IE'!P16</f>
        <v>964.1857834101969</v>
      </c>
      <c r="Q150" s="602">
        <f>'D. OE&amp;IE'!Q16</f>
        <v>1133.8634549244973</v>
      </c>
      <c r="R150" s="602">
        <f>'D. OE&amp;IE'!R16</f>
        <v>1330.4837885121813</v>
      </c>
      <c r="S150" s="602">
        <f>'D. OE&amp;IE'!S16</f>
        <v>1551.4859261537458</v>
      </c>
      <c r="T150" s="602"/>
      <c r="U150" s="537"/>
      <c r="AD150" s="1140"/>
      <c r="AE150" s="1140"/>
      <c r="AF150" s="1140"/>
      <c r="AG150" s="1141"/>
      <c r="AH150" s="1140"/>
      <c r="AI150" s="1140"/>
      <c r="AJ150" s="1140"/>
      <c r="AK150" s="1141"/>
      <c r="AL150" s="1140"/>
      <c r="AM150" s="1140"/>
      <c r="AN150" s="1140"/>
      <c r="AO150" s="1141"/>
      <c r="AP150" s="1140"/>
      <c r="AQ150" s="1140"/>
      <c r="AR150" s="1140"/>
      <c r="AS150" s="1141"/>
      <c r="AT150" s="1140"/>
      <c r="AU150" s="1140"/>
      <c r="AV150" s="1140"/>
      <c r="AW150" s="1141"/>
      <c r="AX150" s="1140"/>
      <c r="AY150" s="1140"/>
      <c r="AZ150" s="1140"/>
      <c r="BA150" s="1140"/>
      <c r="BB150" s="1140"/>
      <c r="BC150" s="1140"/>
      <c r="BD150" s="1140"/>
      <c r="BE150" s="1140"/>
      <c r="BF150" s="1140"/>
      <c r="BG150" s="1140"/>
      <c r="BH150" s="1140"/>
      <c r="BI150" s="1140"/>
      <c r="BJ150" s="1140"/>
      <c r="BK150" s="1140"/>
      <c r="BL150" s="1141"/>
      <c r="BM150" s="1140"/>
      <c r="BN150" s="1140"/>
      <c r="BO150" s="1140"/>
      <c r="BP150" s="1141"/>
      <c r="BQ150" s="1140"/>
      <c r="BR150" s="1140"/>
      <c r="BS150" s="1140"/>
      <c r="BT150" s="1141"/>
      <c r="BU150" s="1140"/>
      <c r="BV150" s="1140"/>
      <c r="BW150" s="1140"/>
      <c r="BX150" s="1141"/>
      <c r="BY150" s="1140"/>
      <c r="BZ150" s="1140"/>
      <c r="CA150" s="1140"/>
      <c r="CB150" s="1141"/>
      <c r="CC150" s="1140"/>
      <c r="CD150" s="1140"/>
    </row>
    <row r="151" spans="1:82" outlineLevel="1">
      <c r="J151" s="1179"/>
      <c r="K151" s="1179"/>
      <c r="L151" s="1179"/>
      <c r="M151" s="1180"/>
      <c r="N151" s="603"/>
      <c r="AD151" s="1132"/>
      <c r="AE151" s="1132"/>
      <c r="AF151" s="1132"/>
      <c r="AG151" s="1133"/>
      <c r="AH151" s="1132"/>
      <c r="AI151" s="1132"/>
      <c r="AJ151" s="1132"/>
      <c r="AK151" s="1133"/>
      <c r="AL151" s="1132"/>
      <c r="AM151" s="1132"/>
      <c r="AN151" s="1132"/>
      <c r="AO151" s="1133"/>
      <c r="AP151" s="1132"/>
      <c r="AQ151" s="1132"/>
      <c r="AR151" s="1132"/>
      <c r="AS151" s="1133"/>
      <c r="AT151" s="1132"/>
      <c r="AU151" s="1132"/>
      <c r="AV151" s="1132"/>
      <c r="AW151" s="1133"/>
      <c r="AX151" s="1132"/>
      <c r="AY151" s="1132"/>
      <c r="AZ151" s="1132"/>
      <c r="BA151" s="1132"/>
      <c r="BB151" s="1132"/>
      <c r="BC151" s="1132"/>
      <c r="BD151" s="1132"/>
      <c r="BE151" s="1132"/>
      <c r="BF151" s="1132"/>
      <c r="BG151" s="1132"/>
      <c r="BH151" s="1132"/>
      <c r="BI151" s="1132"/>
      <c r="BJ151" s="1132"/>
      <c r="BK151" s="1132"/>
      <c r="BL151" s="1133"/>
      <c r="BM151" s="1132"/>
      <c r="BN151" s="1132"/>
      <c r="BO151" s="1132"/>
      <c r="BP151" s="1133"/>
      <c r="BQ151" s="1132"/>
      <c r="BR151" s="1132"/>
      <c r="BS151" s="1132"/>
      <c r="BT151" s="1133"/>
      <c r="BU151" s="1132"/>
      <c r="BV151" s="1132"/>
      <c r="BW151" s="1132"/>
      <c r="BX151" s="1133"/>
      <c r="BY151" s="1132"/>
      <c r="BZ151" s="1132"/>
      <c r="CA151" s="1132"/>
      <c r="CB151" s="1133"/>
      <c r="CC151" s="1132"/>
      <c r="CD151" s="1132"/>
    </row>
    <row r="152" spans="1:82" outlineLevel="1">
      <c r="A152" s="866" t="s">
        <v>684</v>
      </c>
      <c r="B152" s="420"/>
      <c r="C152" s="420"/>
      <c r="D152" s="420"/>
      <c r="E152" s="420"/>
      <c r="F152" s="420"/>
      <c r="G152" s="420"/>
      <c r="H152" s="420"/>
      <c r="I152" s="421" t="str">
        <f>IFERROR(I146/A146-1,"")</f>
        <v/>
      </c>
      <c r="J152" s="421">
        <f t="shared" ref="J152:S152" si="127">J144/I144-1</f>
        <v>0.23042304230423039</v>
      </c>
      <c r="K152" s="421">
        <f t="shared" si="127"/>
        <v>0.12362838332114112</v>
      </c>
      <c r="L152" s="421">
        <f t="shared" si="127"/>
        <v>0.703125</v>
      </c>
      <c r="M152" s="845">
        <f t="shared" si="127"/>
        <v>0.26911314984709489</v>
      </c>
      <c r="N152" s="421">
        <f t="shared" si="127"/>
        <v>-5.1999999999999935E-2</v>
      </c>
      <c r="O152" s="421">
        <f t="shared" si="127"/>
        <v>0.13881856540084381</v>
      </c>
      <c r="P152" s="424">
        <f t="shared" si="127"/>
        <v>0.19215913301222654</v>
      </c>
      <c r="Q152" s="424">
        <f t="shared" si="127"/>
        <v>0.18505023742834092</v>
      </c>
      <c r="R152" s="424">
        <f t="shared" si="127"/>
        <v>0.17951641701494858</v>
      </c>
      <c r="S152" s="424">
        <f t="shared" si="127"/>
        <v>0.17629947123769196</v>
      </c>
      <c r="T152" s="435"/>
    </row>
    <row r="153" spans="1:82" outlineLevel="1">
      <c r="A153" s="1128" t="s">
        <v>679</v>
      </c>
      <c r="K153" s="1179">
        <f t="shared" ref="K153:S153" si="128">K145/J145-1</f>
        <v>-0.1082314418086181</v>
      </c>
      <c r="L153" s="1179">
        <f t="shared" si="128"/>
        <v>0.66906249999999989</v>
      </c>
      <c r="M153" s="1180">
        <f t="shared" si="128"/>
        <v>0.1914123447544156</v>
      </c>
      <c r="N153" s="1179">
        <f t="shared" si="128"/>
        <v>-5.0000000000000044E-2</v>
      </c>
      <c r="O153" s="1179">
        <f t="shared" si="128"/>
        <v>0.10000000000000009</v>
      </c>
      <c r="P153" s="1179">
        <f t="shared" si="128"/>
        <v>0.14999999999999991</v>
      </c>
      <c r="Q153" s="1179">
        <f t="shared" si="128"/>
        <v>0.13333333333333353</v>
      </c>
      <c r="R153" s="1179">
        <f t="shared" si="128"/>
        <v>0.1166666666666667</v>
      </c>
      <c r="S153" s="1179">
        <f t="shared" si="128"/>
        <v>0.10000000000000009</v>
      </c>
      <c r="T153" s="1179"/>
      <c r="U153" s="452"/>
    </row>
    <row r="154" spans="1:82" outlineLevel="1">
      <c r="A154" s="1128" t="s">
        <v>680</v>
      </c>
      <c r="K154" s="1179">
        <f t="shared" ref="K154:S154" si="129">K146/J146-1</f>
        <v>1.3970738844184347</v>
      </c>
      <c r="L154" s="1179">
        <f t="shared" si="129"/>
        <v>0.64990234375000022</v>
      </c>
      <c r="M154" s="1180">
        <f t="shared" si="129"/>
        <v>2.3478346650882775E-2</v>
      </c>
      <c r="N154" s="1179">
        <f t="shared" si="129"/>
        <v>-9.9999999999999978E-2</v>
      </c>
      <c r="O154" s="1179">
        <f t="shared" si="129"/>
        <v>0.19999999999999996</v>
      </c>
      <c r="P154" s="1179">
        <f t="shared" si="129"/>
        <v>0.25</v>
      </c>
      <c r="Q154" s="1179">
        <f t="shared" si="129"/>
        <v>0.26666666666666661</v>
      </c>
      <c r="R154" s="1179">
        <f t="shared" si="129"/>
        <v>0.28333333333333321</v>
      </c>
      <c r="S154" s="1179">
        <f t="shared" si="129"/>
        <v>0.30000000000000004</v>
      </c>
      <c r="T154" s="1179"/>
      <c r="U154" s="452"/>
    </row>
    <row r="155" spans="1:82" outlineLevel="1">
      <c r="A155" s="1128" t="s">
        <v>681</v>
      </c>
      <c r="K155" s="1179">
        <f t="shared" ref="K155:S155" si="130">K147/J147-1</f>
        <v>-0.32582297000731542</v>
      </c>
      <c r="L155" s="1179">
        <f t="shared" si="130"/>
        <v>0.70312500000000022</v>
      </c>
      <c r="M155" s="1180">
        <f t="shared" si="130"/>
        <v>-0.36544342507645267</v>
      </c>
      <c r="N155" s="1179">
        <f t="shared" si="130"/>
        <v>-9.9999999999999978E-2</v>
      </c>
      <c r="O155" s="1179">
        <f t="shared" si="130"/>
        <v>0.14999999999999991</v>
      </c>
      <c r="P155" s="1179">
        <f t="shared" si="130"/>
        <v>0.25</v>
      </c>
      <c r="Q155" s="1179">
        <f t="shared" si="130"/>
        <v>0.21666666666666679</v>
      </c>
      <c r="R155" s="1179">
        <f t="shared" si="130"/>
        <v>0.18333333333333335</v>
      </c>
      <c r="S155" s="1179">
        <f t="shared" si="130"/>
        <v>0.14999999999999991</v>
      </c>
      <c r="T155" s="1179"/>
      <c r="U155" s="452"/>
    </row>
    <row r="156" spans="1:82" outlineLevel="1">
      <c r="A156" s="1128" t="s">
        <v>682</v>
      </c>
      <c r="K156" s="1179">
        <f t="shared" ref="K156:S156" si="131">K148/J148-1</f>
        <v>0.12362838332114112</v>
      </c>
      <c r="L156" s="1179">
        <f t="shared" si="131"/>
        <v>0.703125</v>
      </c>
      <c r="M156" s="1180">
        <f t="shared" si="131"/>
        <v>-0.36544342507645255</v>
      </c>
      <c r="N156" s="1179">
        <f t="shared" si="131"/>
        <v>-9.9999999999999978E-2</v>
      </c>
      <c r="O156" s="1179">
        <f t="shared" si="131"/>
        <v>0.14999999999999991</v>
      </c>
      <c r="P156" s="1179">
        <f t="shared" si="131"/>
        <v>0.25</v>
      </c>
      <c r="Q156" s="1179">
        <f t="shared" si="131"/>
        <v>0.21666666666666679</v>
      </c>
      <c r="R156" s="1179">
        <f t="shared" si="131"/>
        <v>0.18333333333333335</v>
      </c>
      <c r="S156" s="1179">
        <f t="shared" si="131"/>
        <v>0.14999999999999991</v>
      </c>
      <c r="T156" s="1179"/>
      <c r="U156" s="452"/>
    </row>
    <row r="157" spans="1:82" outlineLevel="1">
      <c r="A157" s="1128" t="s">
        <v>66</v>
      </c>
      <c r="K157" s="1179">
        <f t="shared" ref="K157:S157" si="132">K149/J149-1</f>
        <v>0.12362838332114112</v>
      </c>
      <c r="L157" s="1179">
        <f t="shared" si="132"/>
        <v>1.0437499999999997</v>
      </c>
      <c r="M157" s="1180">
        <f t="shared" si="132"/>
        <v>1.6439857288481141</v>
      </c>
      <c r="N157" s="1179">
        <f t="shared" si="132"/>
        <v>0</v>
      </c>
      <c r="O157" s="1179">
        <f t="shared" si="132"/>
        <v>0.14999999999999991</v>
      </c>
      <c r="P157" s="1179">
        <f t="shared" si="132"/>
        <v>0.19999999999999996</v>
      </c>
      <c r="Q157" s="1179">
        <f t="shared" si="132"/>
        <v>0.18333333333333335</v>
      </c>
      <c r="R157" s="1179">
        <f t="shared" si="132"/>
        <v>0.16666666666666674</v>
      </c>
      <c r="S157" s="1179">
        <f t="shared" si="132"/>
        <v>0.14999999999999991</v>
      </c>
      <c r="T157" s="1179"/>
      <c r="U157" s="452"/>
    </row>
    <row r="158" spans="1:82" outlineLevel="1">
      <c r="M158" s="1180"/>
      <c r="U158" s="452"/>
      <c r="AD158" s="1132"/>
      <c r="AE158" s="1132"/>
      <c r="AF158" s="1132"/>
      <c r="AG158" s="1133"/>
      <c r="AH158" s="1132"/>
      <c r="AI158" s="1132"/>
      <c r="AJ158" s="1132"/>
      <c r="AK158" s="1133"/>
      <c r="AL158" s="1132"/>
      <c r="AM158" s="1132"/>
      <c r="AN158" s="1132"/>
      <c r="AO158" s="1133"/>
      <c r="AP158" s="1132"/>
      <c r="AQ158" s="1132"/>
      <c r="AR158" s="1132"/>
      <c r="AS158" s="1133"/>
      <c r="AT158" s="1132"/>
      <c r="AU158" s="1132"/>
      <c r="AV158" s="1132"/>
      <c r="AW158" s="1133"/>
      <c r="AX158" s="1132"/>
      <c r="AY158" s="1132"/>
      <c r="AZ158" s="1132"/>
      <c r="BA158" s="1132"/>
      <c r="BB158" s="1132"/>
      <c r="BC158" s="1132"/>
      <c r="BD158" s="1132"/>
      <c r="BE158" s="1132"/>
      <c r="BF158" s="1132"/>
      <c r="BG158" s="1132"/>
      <c r="BH158" s="1132"/>
      <c r="BI158" s="1132"/>
      <c r="BJ158" s="1132"/>
      <c r="BK158" s="1132"/>
      <c r="BL158" s="1133"/>
      <c r="BM158" s="1132"/>
      <c r="BN158" s="1132"/>
      <c r="BO158" s="1132"/>
      <c r="BP158" s="1133"/>
      <c r="BQ158" s="1132"/>
      <c r="BR158" s="1132"/>
      <c r="BS158" s="1132"/>
      <c r="BT158" s="1133"/>
      <c r="BU158" s="1132"/>
      <c r="BV158" s="1132"/>
      <c r="BW158" s="1132"/>
      <c r="BX158" s="1133"/>
      <c r="BY158" s="1132"/>
      <c r="BZ158" s="1132"/>
      <c r="CA158" s="1132"/>
      <c r="CB158" s="1133"/>
      <c r="CC158" s="1132"/>
      <c r="CD158" s="1132"/>
    </row>
    <row r="159" spans="1:82" outlineLevel="1">
      <c r="A159" s="866" t="s">
        <v>675</v>
      </c>
      <c r="B159" s="420"/>
      <c r="C159" s="420"/>
      <c r="D159" s="420"/>
      <c r="E159" s="420"/>
      <c r="F159" s="420"/>
      <c r="G159" s="420"/>
      <c r="H159" s="420"/>
      <c r="I159" s="421"/>
      <c r="J159" s="424">
        <f t="shared" ref="J159:S159" si="133">SUM(J160:J164)</f>
        <v>1</v>
      </c>
      <c r="K159" s="424">
        <f t="shared" si="133"/>
        <v>1.0000000000000002</v>
      </c>
      <c r="L159" s="424">
        <f t="shared" si="133"/>
        <v>1</v>
      </c>
      <c r="M159" s="845">
        <f t="shared" si="133"/>
        <v>1</v>
      </c>
      <c r="N159" s="421">
        <f t="shared" si="133"/>
        <v>1</v>
      </c>
      <c r="O159" s="421">
        <f t="shared" si="133"/>
        <v>1</v>
      </c>
      <c r="P159" s="424">
        <f t="shared" si="133"/>
        <v>1</v>
      </c>
      <c r="Q159" s="424">
        <f t="shared" si="133"/>
        <v>1</v>
      </c>
      <c r="R159" s="424">
        <f t="shared" si="133"/>
        <v>1</v>
      </c>
      <c r="S159" s="424">
        <f t="shared" si="133"/>
        <v>0.99999999999999978</v>
      </c>
      <c r="T159" s="435"/>
      <c r="AD159" s="1132"/>
      <c r="AE159" s="1132"/>
      <c r="AF159" s="1132"/>
      <c r="AG159" s="1133"/>
      <c r="AH159" s="1132"/>
      <c r="AI159" s="1132"/>
      <c r="AJ159" s="1132"/>
      <c r="AK159" s="1133"/>
      <c r="AL159" s="1132"/>
      <c r="AM159" s="1132"/>
      <c r="AN159" s="1132"/>
      <c r="AO159" s="1133"/>
      <c r="AP159" s="1132"/>
      <c r="AQ159" s="1132"/>
      <c r="AR159" s="1132"/>
      <c r="AS159" s="1133"/>
      <c r="AT159" s="1132"/>
      <c r="AU159" s="1132"/>
      <c r="AV159" s="1132"/>
      <c r="AW159" s="1133"/>
      <c r="AX159" s="1132"/>
      <c r="AY159" s="1132"/>
      <c r="AZ159" s="1132"/>
      <c r="BA159" s="1132"/>
      <c r="BB159" s="1132"/>
      <c r="BC159" s="1132"/>
      <c r="BD159" s="1132"/>
      <c r="BE159" s="1132"/>
      <c r="BF159" s="1132"/>
      <c r="BG159" s="1132"/>
      <c r="BH159" s="1132"/>
      <c r="BI159" s="1132"/>
      <c r="BJ159" s="1132"/>
      <c r="BK159" s="1132"/>
      <c r="BL159" s="1133"/>
      <c r="BM159" s="1132"/>
      <c r="BN159" s="1132"/>
      <c r="BO159" s="1132"/>
      <c r="BP159" s="1133"/>
      <c r="BQ159" s="1132"/>
      <c r="BR159" s="1132"/>
      <c r="BS159" s="1132"/>
      <c r="BT159" s="1133"/>
      <c r="BU159" s="1132"/>
      <c r="BV159" s="1132"/>
      <c r="BW159" s="1132"/>
      <c r="BX159" s="1133"/>
      <c r="BY159" s="1132"/>
      <c r="BZ159" s="1132"/>
      <c r="CA159" s="1132"/>
      <c r="CB159" s="1133"/>
      <c r="CC159" s="1132"/>
      <c r="CD159" s="1132"/>
    </row>
    <row r="160" spans="1:82" outlineLevel="1">
      <c r="A160" s="1128" t="s">
        <v>679</v>
      </c>
      <c r="J160" s="1179">
        <v>0.63</v>
      </c>
      <c r="K160" s="1179">
        <v>0.5</v>
      </c>
      <c r="L160" s="1179">
        <v>0.49</v>
      </c>
      <c r="M160" s="1180">
        <v>0.46</v>
      </c>
      <c r="N160" s="1179">
        <f t="shared" ref="N160:S164" si="134">N145/N$144</f>
        <v>0.46097046413502107</v>
      </c>
      <c r="O160" s="1179">
        <f t="shared" si="134"/>
        <v>0.44525750277880699</v>
      </c>
      <c r="P160" s="1179">
        <f t="shared" si="134"/>
        <v>0.42951155933507118</v>
      </c>
      <c r="Q160" s="1179">
        <f t="shared" si="134"/>
        <v>0.4107671994587902</v>
      </c>
      <c r="R160" s="1179">
        <f t="shared" si="134"/>
        <v>0.38887974154397531</v>
      </c>
      <c r="S160" s="1179">
        <f t="shared" si="134"/>
        <v>0.3636554518283337</v>
      </c>
      <c r="T160" s="1179"/>
      <c r="AD160" s="1132"/>
      <c r="AE160" s="1132"/>
      <c r="AF160" s="1132"/>
      <c r="AG160" s="1133"/>
      <c r="AH160" s="1132"/>
      <c r="AI160" s="1132"/>
      <c r="AJ160" s="1132"/>
      <c r="AK160" s="1133"/>
      <c r="AL160" s="1132"/>
      <c r="AM160" s="1132"/>
      <c r="AN160" s="1132"/>
      <c r="AO160" s="1133"/>
      <c r="AP160" s="1132"/>
      <c r="AQ160" s="1132"/>
      <c r="AR160" s="1132"/>
      <c r="AS160" s="1133"/>
      <c r="AT160" s="1132"/>
      <c r="AU160" s="1132"/>
      <c r="AV160" s="1132"/>
      <c r="AW160" s="1133"/>
      <c r="AX160" s="1132"/>
      <c r="AY160" s="1132"/>
      <c r="AZ160" s="1132"/>
      <c r="BA160" s="1132"/>
      <c r="BB160" s="1132"/>
      <c r="BC160" s="1132"/>
      <c r="BD160" s="1132"/>
      <c r="BE160" s="1132"/>
      <c r="BF160" s="1132"/>
      <c r="BG160" s="1132"/>
      <c r="BH160" s="1132"/>
      <c r="BI160" s="1132"/>
      <c r="BJ160" s="1132"/>
      <c r="BK160" s="1132"/>
      <c r="BL160" s="1133"/>
      <c r="BM160" s="1132"/>
      <c r="BN160" s="1132"/>
      <c r="BO160" s="1132"/>
      <c r="BP160" s="1133"/>
      <c r="BQ160" s="1132"/>
      <c r="BR160" s="1132"/>
      <c r="BS160" s="1132"/>
      <c r="BT160" s="1133"/>
      <c r="BU160" s="1132"/>
      <c r="BV160" s="1132"/>
      <c r="BW160" s="1132"/>
      <c r="BX160" s="1133"/>
      <c r="BY160" s="1132"/>
      <c r="BZ160" s="1132"/>
      <c r="CA160" s="1132"/>
      <c r="CB160" s="1133"/>
      <c r="CC160" s="1132"/>
      <c r="CD160" s="1132"/>
    </row>
    <row r="161" spans="1:82" outlineLevel="1">
      <c r="A161" s="1128" t="s">
        <v>680</v>
      </c>
      <c r="J161" s="1179">
        <v>0.15</v>
      </c>
      <c r="K161" s="1179">
        <v>0.32</v>
      </c>
      <c r="L161" s="1179">
        <v>0.31</v>
      </c>
      <c r="M161" s="1180">
        <v>0.25</v>
      </c>
      <c r="N161" s="1179">
        <f t="shared" si="134"/>
        <v>0.23734177215189872</v>
      </c>
      <c r="O161" s="1179">
        <f t="shared" si="134"/>
        <v>0.25009262689885142</v>
      </c>
      <c r="P161" s="1179">
        <f t="shared" si="134"/>
        <v>0.26222655597468641</v>
      </c>
      <c r="Q161" s="1179">
        <f t="shared" si="134"/>
        <v>0.28028654573221939</v>
      </c>
      <c r="R161" s="1179">
        <f t="shared" si="134"/>
        <v>0.30495638876593623</v>
      </c>
      <c r="S161" s="1179">
        <f t="shared" si="134"/>
        <v>0.33702582980725387</v>
      </c>
      <c r="T161" s="1179"/>
      <c r="AD161" s="1175"/>
      <c r="AE161" s="1175"/>
      <c r="AF161" s="1175"/>
      <c r="AG161" s="1176"/>
      <c r="AH161" s="1175"/>
      <c r="AI161" s="1132"/>
      <c r="AJ161" s="1132"/>
      <c r="AK161" s="1133"/>
      <c r="AL161" s="1132"/>
      <c r="AM161" s="1132"/>
      <c r="AN161" s="1132"/>
      <c r="AO161" s="1133"/>
      <c r="AP161" s="1132"/>
      <c r="AQ161" s="1132"/>
      <c r="AR161" s="1132"/>
      <c r="AS161" s="1133"/>
      <c r="AT161" s="1132"/>
      <c r="AU161" s="1132"/>
      <c r="AV161" s="1132"/>
      <c r="AW161" s="1133"/>
      <c r="AX161" s="1132"/>
      <c r="AY161" s="1132"/>
      <c r="AZ161" s="1132"/>
      <c r="BA161" s="1132"/>
      <c r="BB161" s="1132"/>
      <c r="BC161" s="1132"/>
      <c r="BD161" s="1132"/>
      <c r="BE161" s="1132"/>
      <c r="BF161" s="1132"/>
      <c r="BG161" s="1132"/>
      <c r="BH161" s="1132"/>
      <c r="BI161" s="1175"/>
      <c r="BJ161" s="1175"/>
      <c r="BK161" s="1175"/>
      <c r="BL161" s="1176"/>
      <c r="BM161" s="1175"/>
      <c r="BN161" s="1132"/>
      <c r="BO161" s="1132"/>
      <c r="BP161" s="1133"/>
      <c r="BQ161" s="1132"/>
      <c r="BR161" s="1132"/>
      <c r="BS161" s="1132"/>
      <c r="BT161" s="1133"/>
      <c r="BU161" s="1132"/>
      <c r="BV161" s="1132"/>
      <c r="BW161" s="1132"/>
      <c r="BX161" s="1133"/>
      <c r="BY161" s="1132"/>
      <c r="BZ161" s="1132"/>
      <c r="CA161" s="1132"/>
      <c r="CB161" s="1133"/>
      <c r="CC161" s="1132"/>
      <c r="CD161" s="1132"/>
    </row>
    <row r="162" spans="1:82" outlineLevel="1">
      <c r="A162" s="1128" t="s">
        <v>681</v>
      </c>
      <c r="J162" s="1179">
        <v>0.1</v>
      </c>
      <c r="K162" s="1179">
        <v>0.06</v>
      </c>
      <c r="L162" s="1179">
        <v>0.06</v>
      </c>
      <c r="M162" s="1180">
        <v>0.03</v>
      </c>
      <c r="N162" s="1179">
        <f t="shared" si="134"/>
        <v>2.8481012658227847E-2</v>
      </c>
      <c r="O162" s="1179">
        <f t="shared" si="134"/>
        <v>2.8760652093367915E-2</v>
      </c>
      <c r="P162" s="1179">
        <f t="shared" si="134"/>
        <v>3.0156053937088936E-2</v>
      </c>
      <c r="Q162" s="1179">
        <f t="shared" si="134"/>
        <v>3.0960599360815549E-2</v>
      </c>
      <c r="R162" s="1179">
        <f t="shared" si="134"/>
        <v>3.1060787891659686E-2</v>
      </c>
      <c r="S162" s="1179">
        <f t="shared" si="134"/>
        <v>3.0366336931040582E-2</v>
      </c>
      <c r="T162" s="1179"/>
      <c r="X162" s="222" t="str">
        <f>IFERROR(IF((W162/R162)^(1/8)-1&lt;0,"",(W162/R162)^(1/8)-1),"")</f>
        <v/>
      </c>
      <c r="AB162" s="1150"/>
      <c r="AC162" s="1150"/>
      <c r="AD162" s="1175"/>
      <c r="AE162" s="1175"/>
      <c r="AF162" s="1175"/>
      <c r="AG162" s="1176"/>
      <c r="AH162" s="1175"/>
      <c r="AI162" s="1132"/>
      <c r="AJ162" s="1132"/>
      <c r="AK162" s="1133"/>
      <c r="AL162" s="1132"/>
      <c r="AM162" s="1132"/>
      <c r="AN162" s="1132"/>
      <c r="AO162" s="1133"/>
      <c r="AP162" s="1132"/>
      <c r="AQ162" s="1132"/>
      <c r="AR162" s="1132"/>
      <c r="AS162" s="1133"/>
      <c r="AT162" s="1132"/>
      <c r="AU162" s="1132"/>
      <c r="AV162" s="1132"/>
      <c r="AW162" s="1133"/>
      <c r="AX162" s="1132"/>
      <c r="AY162" s="1132"/>
      <c r="AZ162" s="1132"/>
      <c r="BA162" s="1132"/>
      <c r="BB162" s="1132"/>
      <c r="BC162" s="1132"/>
      <c r="BD162" s="1132"/>
      <c r="BE162" s="1132"/>
      <c r="BF162" s="1132"/>
      <c r="BG162" s="1132"/>
      <c r="BH162" s="1132"/>
      <c r="BI162" s="1175"/>
      <c r="BJ162" s="1175"/>
      <c r="BK162" s="1175"/>
      <c r="BL162" s="1176"/>
      <c r="BM162" s="1175"/>
      <c r="BN162" s="1132"/>
      <c r="BO162" s="1132"/>
      <c r="BP162" s="1133"/>
      <c r="BQ162" s="1132"/>
      <c r="BR162" s="1132"/>
      <c r="BS162" s="1132"/>
      <c r="BT162" s="1133"/>
      <c r="BU162" s="1132"/>
      <c r="BV162" s="1132"/>
      <c r="BW162" s="1132"/>
      <c r="BX162" s="1133"/>
      <c r="BY162" s="1132"/>
      <c r="BZ162" s="1132"/>
      <c r="CA162" s="1132"/>
      <c r="CB162" s="1133"/>
      <c r="CC162" s="1132"/>
      <c r="CD162" s="1132"/>
    </row>
    <row r="163" spans="1:82" outlineLevel="1">
      <c r="A163" s="1128" t="s">
        <v>682</v>
      </c>
      <c r="J163" s="1179">
        <v>0.02</v>
      </c>
      <c r="K163" s="1179">
        <v>0.02</v>
      </c>
      <c r="L163" s="1179">
        <v>0.02</v>
      </c>
      <c r="M163" s="1180">
        <v>0.01</v>
      </c>
      <c r="N163" s="1179">
        <f t="shared" si="134"/>
        <v>9.4936708860759497E-3</v>
      </c>
      <c r="O163" s="1179">
        <f t="shared" si="134"/>
        <v>9.5868840311226396E-3</v>
      </c>
      <c r="P163" s="1179">
        <f t="shared" si="134"/>
        <v>1.0052017979029647E-2</v>
      </c>
      <c r="Q163" s="1179">
        <f t="shared" si="134"/>
        <v>1.0320199786938518E-2</v>
      </c>
      <c r="R163" s="1179">
        <f t="shared" si="134"/>
        <v>1.0353595963886563E-2</v>
      </c>
      <c r="S163" s="1179">
        <f t="shared" si="134"/>
        <v>1.0122112310346862E-2</v>
      </c>
      <c r="T163" s="1179"/>
      <c r="X163" s="222" t="str">
        <f>IFERROR(IF((W163/R163)^(1/8)-1&lt;0,"",(W163/R163)^(1/8)-1),"")</f>
        <v/>
      </c>
      <c r="AB163" s="1150"/>
      <c r="AC163" s="1150"/>
      <c r="AD163" s="1175"/>
      <c r="AE163" s="1175"/>
      <c r="AF163" s="1175"/>
      <c r="AG163" s="1176"/>
      <c r="AH163" s="1175"/>
      <c r="AI163" s="1132"/>
      <c r="AJ163" s="1132"/>
      <c r="AK163" s="1133"/>
      <c r="AL163" s="1132"/>
      <c r="AM163" s="1132"/>
      <c r="AN163" s="1132"/>
      <c r="AO163" s="1133"/>
      <c r="AP163" s="1132"/>
      <c r="AQ163" s="1132"/>
      <c r="AR163" s="1132"/>
      <c r="AS163" s="1133"/>
      <c r="AT163" s="1132"/>
      <c r="AU163" s="1132"/>
      <c r="AV163" s="1132"/>
      <c r="AW163" s="1133"/>
      <c r="AX163" s="1132"/>
      <c r="AY163" s="1132"/>
      <c r="AZ163" s="1132"/>
      <c r="BA163" s="1132"/>
      <c r="BB163" s="1132"/>
      <c r="BC163" s="1132"/>
      <c r="BD163" s="1132"/>
      <c r="BE163" s="1132"/>
      <c r="BF163" s="1132"/>
      <c r="BG163" s="1132"/>
      <c r="BH163" s="1132"/>
      <c r="BI163" s="1175"/>
      <c r="BJ163" s="1175"/>
      <c r="BK163" s="1175"/>
      <c r="BL163" s="1176"/>
      <c r="BM163" s="1175"/>
      <c r="BN163" s="1132"/>
      <c r="BO163" s="1132"/>
      <c r="BP163" s="1133"/>
      <c r="BQ163" s="1132"/>
      <c r="BR163" s="1132"/>
      <c r="BS163" s="1132"/>
      <c r="BT163" s="1133"/>
      <c r="BU163" s="1132"/>
      <c r="BV163" s="1132"/>
      <c r="BW163" s="1132"/>
      <c r="BX163" s="1133"/>
      <c r="BY163" s="1132"/>
      <c r="BZ163" s="1132"/>
      <c r="CA163" s="1132"/>
      <c r="CB163" s="1133"/>
      <c r="CC163" s="1132"/>
      <c r="CD163" s="1132"/>
    </row>
    <row r="164" spans="1:82" outlineLevel="1">
      <c r="A164" s="1128" t="s">
        <v>66</v>
      </c>
      <c r="J164" s="1179">
        <v>0.1</v>
      </c>
      <c r="K164" s="1179">
        <v>0.1</v>
      </c>
      <c r="L164" s="1179">
        <v>0.12</v>
      </c>
      <c r="M164" s="1180">
        <v>0.25</v>
      </c>
      <c r="N164" s="1179">
        <f t="shared" si="134"/>
        <v>0.26371308016877637</v>
      </c>
      <c r="O164" s="1179">
        <f t="shared" si="134"/>
        <v>0.26630233419785104</v>
      </c>
      <c r="P164" s="1179">
        <f t="shared" si="134"/>
        <v>0.26805381277412388</v>
      </c>
      <c r="Q164" s="1179">
        <f t="shared" si="134"/>
        <v>0.2676654556612364</v>
      </c>
      <c r="R164" s="1179">
        <f t="shared" si="134"/>
        <v>0.26474948583454222</v>
      </c>
      <c r="S164" s="1179">
        <f t="shared" si="134"/>
        <v>0.2588302691230247</v>
      </c>
      <c r="T164" s="1179"/>
      <c r="X164" s="222" t="str">
        <f>IFERROR(IF((W164/R164)^(1/8)-1&lt;0,"",(W164/R164)^(1/8)-1),"")</f>
        <v/>
      </c>
      <c r="AB164" s="1132"/>
      <c r="AC164" s="1132"/>
      <c r="AD164" s="1132"/>
      <c r="AE164" s="1132"/>
      <c r="AF164" s="1132"/>
      <c r="AG164" s="1133"/>
      <c r="AH164" s="1132"/>
      <c r="AI164" s="1132"/>
      <c r="AJ164" s="1132"/>
      <c r="AK164" s="1133"/>
      <c r="AL164" s="1132"/>
      <c r="AM164" s="1132"/>
      <c r="AN164" s="1132"/>
      <c r="AO164" s="1133"/>
      <c r="AP164" s="1132"/>
      <c r="AQ164" s="1132"/>
      <c r="AR164" s="1132"/>
      <c r="AS164" s="1133"/>
      <c r="AT164" s="1132"/>
      <c r="AU164" s="1132"/>
      <c r="AV164" s="1132"/>
      <c r="AW164" s="1133"/>
      <c r="AX164" s="1132"/>
      <c r="AY164" s="1132"/>
      <c r="AZ164" s="1132"/>
      <c r="BA164" s="1132"/>
      <c r="BB164" s="1132"/>
      <c r="BC164" s="1132"/>
      <c r="BD164" s="1132"/>
      <c r="BE164" s="1132"/>
      <c r="BF164" s="1132"/>
      <c r="BG164" s="1132"/>
      <c r="BH164" s="1132"/>
      <c r="BI164" s="1132"/>
      <c r="BJ164" s="1132"/>
      <c r="BK164" s="1132"/>
      <c r="BL164" s="1133"/>
      <c r="BM164" s="1132"/>
      <c r="BN164" s="1132"/>
      <c r="BO164" s="1132"/>
      <c r="BP164" s="1133"/>
      <c r="BQ164" s="1132"/>
      <c r="BR164" s="1132"/>
      <c r="BS164" s="1132"/>
      <c r="BT164" s="1133"/>
      <c r="BU164" s="1132"/>
      <c r="BV164" s="1132"/>
      <c r="BW164" s="1132"/>
      <c r="BX164" s="1133"/>
      <c r="BY164" s="1132"/>
      <c r="BZ164" s="1132"/>
      <c r="CA164" s="1132"/>
      <c r="CB164" s="1133"/>
      <c r="CC164" s="1132"/>
      <c r="CD164" s="1132"/>
    </row>
    <row r="165" spans="1:82">
      <c r="X165" s="222" t="str">
        <f>IFERROR(IF((W165/R165)^(1/8)-1&lt;0,"",(W165/R165)^(1/8)-1),"")</f>
        <v/>
      </c>
    </row>
    <row r="166" spans="1:82">
      <c r="X166" s="222"/>
    </row>
    <row r="167" spans="1:82">
      <c r="A167" s="864" t="s">
        <v>685</v>
      </c>
      <c r="B167" s="403"/>
      <c r="C167" s="403"/>
      <c r="D167" s="403"/>
      <c r="E167" s="403"/>
      <c r="F167" s="403"/>
      <c r="G167" s="403"/>
      <c r="H167" s="403"/>
      <c r="I167" s="404"/>
      <c r="J167" s="404"/>
      <c r="K167" s="404"/>
      <c r="L167" s="404"/>
      <c r="M167" s="838"/>
      <c r="N167" s="448"/>
      <c r="O167" s="448"/>
      <c r="P167" s="448"/>
      <c r="Q167" s="837"/>
      <c r="R167" s="448"/>
      <c r="S167" s="448"/>
      <c r="T167" s="883"/>
      <c r="X167" s="222" t="str">
        <f t="shared" ref="X167:X187" si="135">IFERROR(IF((W167/R167)^(1/8)-1&lt;0,"",(W167/R167)^(1/8)-1),"")</f>
        <v/>
      </c>
    </row>
    <row r="168" spans="1:82" outlineLevel="1">
      <c r="X168" s="222" t="str">
        <f t="shared" si="135"/>
        <v/>
      </c>
    </row>
    <row r="169" spans="1:82" s="88" customFormat="1" outlineLevel="1">
      <c r="A169" s="872" t="s">
        <v>673</v>
      </c>
      <c r="B169" s="835"/>
      <c r="C169" s="835"/>
      <c r="D169" s="835"/>
      <c r="E169" s="835"/>
      <c r="F169" s="835"/>
      <c r="G169" s="835"/>
      <c r="H169" s="835"/>
      <c r="I169" s="836">
        <f>'E. Non-ICT'!I12</f>
        <v>0</v>
      </c>
      <c r="J169" s="836">
        <f>'E. Non-ICT'!J12</f>
        <v>0</v>
      </c>
      <c r="K169" s="836">
        <f>'E. Non-ICT'!K12</f>
        <v>0</v>
      </c>
      <c r="L169" s="451">
        <f>'E. Non-ICT'!L12</f>
        <v>223</v>
      </c>
      <c r="M169" s="848">
        <f>'E. Non-ICT'!M12</f>
        <v>556</v>
      </c>
      <c r="N169" s="451">
        <f>'E. Non-ICT'!N12</f>
        <v>716.32600000000002</v>
      </c>
      <c r="O169" s="451">
        <f>'E. Non-ICT'!O12</f>
        <v>914.08879999999999</v>
      </c>
      <c r="P169" s="451">
        <f>'E. Non-ICT'!P12</f>
        <v>1135.0329000000002</v>
      </c>
      <c r="Q169" s="451">
        <f>'E. Non-ICT'!Q12</f>
        <v>1376.2638024999999</v>
      </c>
      <c r="R169" s="451">
        <f>'E. Non-ICT'!R12</f>
        <v>1633.7188994687499</v>
      </c>
      <c r="S169" s="451">
        <f>'E. Non-ICT'!S12</f>
        <v>1902.4397174351564</v>
      </c>
      <c r="T169" s="1110"/>
      <c r="U169" s="1110"/>
      <c r="V169" s="1119"/>
      <c r="W169" s="1119"/>
      <c r="X169" s="1118" t="str">
        <f t="shared" si="135"/>
        <v/>
      </c>
      <c r="Y169" s="1181"/>
      <c r="AB169" s="1182"/>
      <c r="AC169" s="1182"/>
      <c r="AD169" s="1183"/>
      <c r="AE169" s="1184"/>
      <c r="AF169" s="1184"/>
      <c r="AG169" s="1185"/>
      <c r="AH169" s="1184"/>
      <c r="AI169" s="1186"/>
      <c r="AJ169" s="1187"/>
      <c r="AK169" s="1188"/>
      <c r="AL169" s="1187"/>
      <c r="AM169" s="1187"/>
      <c r="AN169" s="1187"/>
      <c r="AO169" s="1188"/>
      <c r="AP169" s="1187"/>
      <c r="AQ169" s="1187"/>
      <c r="AR169" s="1187"/>
      <c r="AS169" s="1188"/>
      <c r="AT169" s="1187"/>
      <c r="AU169" s="1187"/>
      <c r="AV169" s="1187"/>
      <c r="AW169" s="1188"/>
      <c r="AX169" s="1187"/>
      <c r="AY169" s="1187"/>
      <c r="AZ169" s="1187"/>
      <c r="BA169" s="1187"/>
      <c r="BB169" s="1187"/>
      <c r="BC169" s="1187"/>
      <c r="BD169" s="1187"/>
      <c r="BE169" s="1187"/>
      <c r="BF169" s="1187"/>
      <c r="BG169" s="1187"/>
      <c r="BH169" s="1187"/>
      <c r="BI169" s="1183"/>
      <c r="BJ169" s="1184"/>
      <c r="BK169" s="1184"/>
      <c r="BL169" s="1185"/>
      <c r="BM169" s="1184"/>
      <c r="BN169" s="1186"/>
      <c r="BO169" s="1187"/>
      <c r="BP169" s="1188"/>
      <c r="BQ169" s="1187"/>
      <c r="BR169" s="1187"/>
      <c r="BS169" s="1187"/>
      <c r="BT169" s="1188"/>
      <c r="BU169" s="1187"/>
      <c r="BV169" s="1187"/>
      <c r="BW169" s="1187"/>
      <c r="BX169" s="1188"/>
      <c r="BY169" s="1187"/>
      <c r="BZ169" s="1187"/>
      <c r="CA169" s="1187"/>
      <c r="CB169" s="1188"/>
      <c r="CC169" s="1187"/>
      <c r="CD169" s="1187"/>
    </row>
    <row r="170" spans="1:82" s="427" customFormat="1" outlineLevel="1">
      <c r="A170" s="1128" t="s">
        <v>686</v>
      </c>
      <c r="B170" s="88"/>
      <c r="C170" s="88"/>
      <c r="D170" s="88"/>
      <c r="E170" s="88"/>
      <c r="F170" s="88"/>
      <c r="G170" s="88"/>
      <c r="H170" s="88"/>
      <c r="I170" s="1189">
        <f>'E. Non-ICT'!I13</f>
        <v>0</v>
      </c>
      <c r="J170" s="1189">
        <f>'E. Non-ICT'!J13</f>
        <v>0</v>
      </c>
      <c r="K170" s="1189">
        <f>'E. Non-ICT'!K13</f>
        <v>0</v>
      </c>
      <c r="L170" s="90">
        <f>'E. Non-ICT'!L13</f>
        <v>218.54</v>
      </c>
      <c r="M170" s="658">
        <f>'E. Non-ICT'!M13</f>
        <v>500.40000000000003</v>
      </c>
      <c r="N170" s="90">
        <f>'E. Non-ICT'!N13</f>
        <v>550.44000000000005</v>
      </c>
      <c r="O170" s="90">
        <f>'E. Non-ICT'!O13</f>
        <v>660.52800000000002</v>
      </c>
      <c r="P170" s="486">
        <f>'E. Non-ICT'!P13</f>
        <v>776.12040000000002</v>
      </c>
      <c r="Q170" s="486">
        <f>'E. Non-ICT'!Q13</f>
        <v>892.53845999999999</v>
      </c>
      <c r="R170" s="486">
        <f>'E. Non-ICT'!R13</f>
        <v>1004.1057675</v>
      </c>
      <c r="S170" s="486">
        <f>'E. Non-ICT'!S13</f>
        <v>1104.51634425</v>
      </c>
      <c r="T170" s="486"/>
      <c r="U170" s="537"/>
      <c r="V170" s="406"/>
      <c r="W170" s="406"/>
      <c r="X170" s="222" t="str">
        <f t="shared" si="135"/>
        <v/>
      </c>
      <c r="AA170" s="454"/>
      <c r="AB170" s="1190"/>
      <c r="AC170" s="1190"/>
      <c r="AD170" s="1191"/>
      <c r="AE170" s="1174"/>
      <c r="AF170" s="1174"/>
      <c r="AG170" s="1177"/>
      <c r="AH170" s="1174"/>
      <c r="AI170" s="1178"/>
      <c r="AJ170" s="1140"/>
      <c r="AK170" s="1141"/>
      <c r="AL170" s="1140"/>
      <c r="AM170" s="1140"/>
      <c r="AN170" s="1140"/>
      <c r="AO170" s="1141"/>
      <c r="AP170" s="1140"/>
      <c r="AQ170" s="1140"/>
      <c r="AR170" s="1140"/>
      <c r="AS170" s="1141"/>
      <c r="AT170" s="1140"/>
      <c r="AU170" s="1140"/>
      <c r="AV170" s="1140"/>
      <c r="AW170" s="1141"/>
      <c r="AX170" s="1140"/>
      <c r="AY170" s="1140"/>
      <c r="AZ170" s="1140"/>
      <c r="BA170" s="1140"/>
      <c r="BB170" s="1140"/>
      <c r="BC170" s="1140"/>
      <c r="BD170" s="1140"/>
      <c r="BE170" s="1140"/>
      <c r="BF170" s="1140"/>
      <c r="BG170" s="1140"/>
      <c r="BH170" s="1140"/>
      <c r="BI170" s="1191"/>
      <c r="BJ170" s="1174"/>
      <c r="BK170" s="1174"/>
      <c r="BL170" s="1177"/>
      <c r="BM170" s="1174"/>
      <c r="BN170" s="1178"/>
      <c r="BO170" s="1140"/>
      <c r="BP170" s="1141"/>
      <c r="BQ170" s="1140"/>
      <c r="BR170" s="1140"/>
      <c r="BS170" s="1140"/>
      <c r="BT170" s="1141"/>
      <c r="BU170" s="1140"/>
      <c r="BV170" s="1140"/>
      <c r="BW170" s="1140"/>
      <c r="BX170" s="1141"/>
      <c r="BY170" s="1140"/>
      <c r="BZ170" s="1140"/>
      <c r="CA170" s="1140"/>
      <c r="CB170" s="1141"/>
      <c r="CC170" s="1140"/>
      <c r="CD170" s="1140"/>
    </row>
    <row r="171" spans="1:82" outlineLevel="1">
      <c r="A171" s="1128" t="s">
        <v>687</v>
      </c>
      <c r="B171" s="88"/>
      <c r="C171" s="88"/>
      <c r="D171" s="88"/>
      <c r="E171" s="88"/>
      <c r="F171" s="88"/>
      <c r="G171" s="88"/>
      <c r="H171" s="88"/>
      <c r="I171" s="1189">
        <f>'E. Non-ICT'!I14</f>
        <v>0</v>
      </c>
      <c r="J171" s="1189">
        <f>'E. Non-ICT'!J14</f>
        <v>0</v>
      </c>
      <c r="K171" s="1189">
        <f>'E. Non-ICT'!K14</f>
        <v>0</v>
      </c>
      <c r="L171" s="90">
        <f>'E. Non-ICT'!L14</f>
        <v>0</v>
      </c>
      <c r="M171" s="658">
        <f>'E. Non-ICT'!M14</f>
        <v>50.04</v>
      </c>
      <c r="N171" s="90">
        <f>'E. Non-ICT'!N14</f>
        <v>60.047999999999995</v>
      </c>
      <c r="O171" s="90">
        <f>'E. Non-ICT'!O14</f>
        <v>69.055199999999985</v>
      </c>
      <c r="P171" s="486">
        <f>'E. Non-ICT'!P14</f>
        <v>77.687099999999987</v>
      </c>
      <c r="Q171" s="486">
        <f>'E. Non-ICT'!Q14</f>
        <v>85.455809999999985</v>
      </c>
      <c r="R171" s="486">
        <f>'E. Non-ICT'!R14</f>
        <v>91.864995749999977</v>
      </c>
      <c r="S171" s="486">
        <f>'E. Non-ICT'!S14</f>
        <v>96.458245537499977</v>
      </c>
      <c r="T171" s="486"/>
      <c r="U171" s="537"/>
      <c r="V171" s="406"/>
      <c r="W171" s="406"/>
      <c r="X171" s="222" t="str">
        <f t="shared" si="135"/>
        <v/>
      </c>
    </row>
    <row r="172" spans="1:82" outlineLevel="1">
      <c r="A172" s="1128" t="s">
        <v>688</v>
      </c>
      <c r="B172" s="88"/>
      <c r="C172" s="88"/>
      <c r="D172" s="88"/>
      <c r="E172" s="88"/>
      <c r="F172" s="88"/>
      <c r="G172" s="88"/>
      <c r="H172" s="88"/>
      <c r="I172" s="1189">
        <f>'E. Non-ICT'!I15</f>
        <v>0</v>
      </c>
      <c r="J172" s="1189">
        <f>'E. Non-ICT'!J15</f>
        <v>0</v>
      </c>
      <c r="K172" s="1189">
        <f>'E. Non-ICT'!K15</f>
        <v>0</v>
      </c>
      <c r="L172" s="90">
        <f>'E. Non-ICT'!L15</f>
        <v>4.46</v>
      </c>
      <c r="M172" s="658">
        <f>'E. Non-ICT'!M15</f>
        <v>5.5600000000000005</v>
      </c>
      <c r="N172" s="90">
        <f>'E. Non-ICT'!N15</f>
        <v>5.838000000000001</v>
      </c>
      <c r="O172" s="90">
        <f>'E. Non-ICT'!O15</f>
        <v>7.0056000000000012</v>
      </c>
      <c r="P172" s="486">
        <f>'E. Non-ICT'!P15</f>
        <v>8.3191500000000005</v>
      </c>
      <c r="Q172" s="486">
        <f>'E. Non-ICT'!Q15</f>
        <v>9.7750012500000008</v>
      </c>
      <c r="R172" s="486">
        <f>'E. Non-ICT'!R15</f>
        <v>11.363438953125002</v>
      </c>
      <c r="S172" s="486">
        <f>'E. Non-ICT'!S15</f>
        <v>13.067954796093751</v>
      </c>
      <c r="T172" s="486"/>
      <c r="U172" s="537"/>
      <c r="V172" s="406"/>
      <c r="W172" s="406"/>
      <c r="X172" s="222" t="str">
        <f>IFERROR(IF((W172/R172)^(1/8)-1&lt;0,"",(W172/R172)^(1/8)-1),"")</f>
        <v/>
      </c>
    </row>
    <row r="173" spans="1:82" outlineLevel="1">
      <c r="A173" s="1128" t="s">
        <v>689</v>
      </c>
      <c r="B173" s="88"/>
      <c r="C173" s="88"/>
      <c r="D173" s="88"/>
      <c r="E173" s="88"/>
      <c r="F173" s="88"/>
      <c r="G173" s="88"/>
      <c r="H173" s="88"/>
      <c r="I173" s="1189">
        <f>'E. Non-ICT'!I16</f>
        <v>0</v>
      </c>
      <c r="J173" s="1189">
        <f>'E. Non-ICT'!J16</f>
        <v>0</v>
      </c>
      <c r="K173" s="1189">
        <f>'E. Non-ICT'!K16</f>
        <v>0</v>
      </c>
      <c r="L173" s="90">
        <f>'E. Non-ICT'!L16</f>
        <v>0</v>
      </c>
      <c r="M173" s="658">
        <f>'E. Non-ICT'!M16</f>
        <v>0</v>
      </c>
      <c r="N173" s="90">
        <f>'E. Non-ICT'!N16</f>
        <v>50</v>
      </c>
      <c r="O173" s="90">
        <f>'E. Non-ICT'!O16</f>
        <v>65</v>
      </c>
      <c r="P173" s="486">
        <f>'E. Non-ICT'!P16</f>
        <v>83.6875</v>
      </c>
      <c r="Q173" s="486">
        <f>'E. Non-ICT'!Q16</f>
        <v>106.70156249999999</v>
      </c>
      <c r="R173" s="486">
        <f>'E. Non-ICT'!R16</f>
        <v>134.71072265625</v>
      </c>
      <c r="S173" s="486">
        <f>'E. Non-ICT'!S16</f>
        <v>168.38840332031251</v>
      </c>
      <c r="T173" s="486"/>
      <c r="U173" s="537"/>
      <c r="V173" s="406"/>
      <c r="W173" s="406"/>
      <c r="X173" s="222" t="str">
        <f t="shared" si="135"/>
        <v/>
      </c>
    </row>
    <row r="174" spans="1:82" outlineLevel="1">
      <c r="A174" s="1128" t="s">
        <v>690</v>
      </c>
      <c r="B174" s="88"/>
      <c r="C174" s="88"/>
      <c r="D174" s="88"/>
      <c r="E174" s="88"/>
      <c r="F174" s="88"/>
      <c r="G174" s="88"/>
      <c r="H174" s="88"/>
      <c r="I174" s="1189">
        <f>'E. Non-ICT'!I17</f>
        <v>50</v>
      </c>
      <c r="J174" s="1189"/>
      <c r="K174" s="1189"/>
      <c r="L174" s="90"/>
      <c r="M174" s="658"/>
      <c r="N174" s="90">
        <f>'E. Non-ICT'!N17</f>
        <v>50</v>
      </c>
      <c r="O174" s="90">
        <f>'E. Non-ICT'!O17</f>
        <v>112.5</v>
      </c>
      <c r="P174" s="486">
        <f>'E. Non-ICT'!P17</f>
        <v>189.21875</v>
      </c>
      <c r="Q174" s="486">
        <f>'E. Non-ICT'!Q17</f>
        <v>281.79296875</v>
      </c>
      <c r="R174" s="486">
        <f>'E. Non-ICT'!R17</f>
        <v>391.67397460937497</v>
      </c>
      <c r="S174" s="486">
        <f>'E. Non-ICT'!S17</f>
        <v>520.00876953124998</v>
      </c>
      <c r="T174" s="486"/>
      <c r="U174" s="537"/>
      <c r="V174" s="406"/>
      <c r="W174" s="406"/>
      <c r="X174" s="222"/>
    </row>
    <row r="175" spans="1:82" outlineLevel="1">
      <c r="A175" s="1166"/>
      <c r="B175" s="88"/>
      <c r="C175" s="88"/>
      <c r="D175" s="88"/>
      <c r="E175" s="88"/>
      <c r="F175" s="88"/>
      <c r="G175" s="88"/>
      <c r="H175" s="88"/>
      <c r="I175" s="274"/>
      <c r="J175" s="274"/>
      <c r="K175" s="274"/>
      <c r="L175" s="274"/>
      <c r="M175" s="1192"/>
      <c r="N175" s="274"/>
      <c r="O175" s="274"/>
      <c r="P175" s="274"/>
      <c r="Q175" s="274"/>
      <c r="R175" s="274"/>
      <c r="S175" s="274"/>
      <c r="T175" s="302"/>
      <c r="U175" s="406"/>
      <c r="V175" s="406"/>
      <c r="W175" s="406"/>
      <c r="X175" s="222" t="str">
        <f t="shared" si="135"/>
        <v/>
      </c>
    </row>
    <row r="176" spans="1:82" outlineLevel="1">
      <c r="A176" s="873" t="s">
        <v>684</v>
      </c>
      <c r="B176" s="455"/>
      <c r="C176" s="455"/>
      <c r="D176" s="455"/>
      <c r="E176" s="455"/>
      <c r="F176" s="455"/>
      <c r="G176" s="455"/>
      <c r="H176" s="455"/>
      <c r="I176" s="456" t="str">
        <f>'E. Non-ICT'!I20</f>
        <v>n/a</v>
      </c>
      <c r="J176" s="456" t="str">
        <f>'E. Non-ICT'!J20</f>
        <v>n/a</v>
      </c>
      <c r="K176" s="456" t="str">
        <f>'E. Non-ICT'!K20</f>
        <v>n/a</v>
      </c>
      <c r="L176" s="456" t="str">
        <f>'E. Non-ICT'!L20</f>
        <v>n/a</v>
      </c>
      <c r="M176" s="845">
        <f>'E. Non-ICT'!M20</f>
        <v>1.493273542600897</v>
      </c>
      <c r="N176" s="421">
        <f>'E. Non-ICT'!N20</f>
        <v>0.2883561151079137</v>
      </c>
      <c r="O176" s="421">
        <f>'E. Non-ICT'!O20</f>
        <v>0.27607932701032767</v>
      </c>
      <c r="P176" s="421">
        <f>'E. Non-ICT'!P20</f>
        <v>0.2417096675946584</v>
      </c>
      <c r="Q176" s="421">
        <f>'E. Non-ICT'!Q20</f>
        <v>0.21253207946659503</v>
      </c>
      <c r="R176" s="421">
        <f>'E. Non-ICT'!R20</f>
        <v>0.1870681307617621</v>
      </c>
      <c r="S176" s="421">
        <f>'E. Non-ICT'!S20</f>
        <v>0.16448412150571845</v>
      </c>
      <c r="T176" s="435"/>
      <c r="X176" s="222" t="str">
        <f t="shared" si="135"/>
        <v/>
      </c>
    </row>
    <row r="177" spans="1:84" outlineLevel="1">
      <c r="A177" s="1128" t="s">
        <v>686</v>
      </c>
      <c r="B177" s="88"/>
      <c r="C177" s="88"/>
      <c r="D177" s="88"/>
      <c r="E177" s="88"/>
      <c r="F177" s="88"/>
      <c r="G177" s="88"/>
      <c r="H177" s="88"/>
      <c r="I177" s="274" t="str">
        <f>'E. Non-ICT'!I21</f>
        <v>n/a</v>
      </c>
      <c r="J177" s="274" t="str">
        <f>'E. Non-ICT'!J21</f>
        <v>n/a</v>
      </c>
      <c r="K177" s="274" t="str">
        <f>'E. Non-ICT'!K21</f>
        <v>n/a</v>
      </c>
      <c r="L177" s="274" t="str">
        <f>'E. Non-ICT'!L21</f>
        <v>n/a</v>
      </c>
      <c r="M177" s="855">
        <f>'E. Non-ICT'!M21</f>
        <v>1.2897410085110281</v>
      </c>
      <c r="N177" s="1108">
        <f>'E. Non-ICT'!N21</f>
        <v>0.1</v>
      </c>
      <c r="O177" s="1108">
        <f>'E. Non-ICT'!O21</f>
        <v>0.2</v>
      </c>
      <c r="P177" s="1108">
        <f>'E. Non-ICT'!P21</f>
        <v>0.17500000000000002</v>
      </c>
      <c r="Q177" s="1108">
        <f>'E. Non-ICT'!Q21</f>
        <v>0.15000000000000002</v>
      </c>
      <c r="R177" s="1108">
        <f>'E. Non-ICT'!R21</f>
        <v>0.12500000000000003</v>
      </c>
      <c r="S177" s="1111">
        <f>'E. Non-ICT'!S21</f>
        <v>0.1</v>
      </c>
      <c r="T177" s="927"/>
      <c r="U177" s="546"/>
      <c r="X177" s="222" t="str">
        <f t="shared" si="135"/>
        <v/>
      </c>
    </row>
    <row r="178" spans="1:84" outlineLevel="1">
      <c r="A178" s="1128" t="s">
        <v>687</v>
      </c>
      <c r="B178" s="88"/>
      <c r="C178" s="88"/>
      <c r="D178" s="88"/>
      <c r="E178" s="88"/>
      <c r="F178" s="88"/>
      <c r="G178" s="88"/>
      <c r="H178" s="88"/>
      <c r="I178" s="274" t="str">
        <f>'E. Non-ICT'!I22</f>
        <v>n/a</v>
      </c>
      <c r="J178" s="274" t="str">
        <f>'E. Non-ICT'!J22</f>
        <v>n/a</v>
      </c>
      <c r="K178" s="274" t="str">
        <f>'E. Non-ICT'!K22</f>
        <v>n/a</v>
      </c>
      <c r="L178" s="274" t="str">
        <f>'E. Non-ICT'!L22</f>
        <v>n/a</v>
      </c>
      <c r="M178" s="855" t="str">
        <f>'E. Non-ICT'!M22</f>
        <v>n/a</v>
      </c>
      <c r="N178" s="1108">
        <f>'E. Non-ICT'!N22</f>
        <v>0.2</v>
      </c>
      <c r="O178" s="1108">
        <f>'E. Non-ICT'!O22</f>
        <v>0.15</v>
      </c>
      <c r="P178" s="1108">
        <f>'E. Non-ICT'!P22</f>
        <v>0.125</v>
      </c>
      <c r="Q178" s="1108">
        <f>'E. Non-ICT'!Q22</f>
        <v>0.1</v>
      </c>
      <c r="R178" s="1108">
        <f>'E. Non-ICT'!R22</f>
        <v>7.5000000000000011E-2</v>
      </c>
      <c r="S178" s="1111">
        <f>'E. Non-ICT'!S22</f>
        <v>0.05</v>
      </c>
      <c r="T178" s="927"/>
      <c r="X178" s="222" t="str">
        <f t="shared" si="135"/>
        <v/>
      </c>
    </row>
    <row r="179" spans="1:84" outlineLevel="1">
      <c r="A179" s="1128" t="s">
        <v>688</v>
      </c>
      <c r="B179" s="88"/>
      <c r="C179" s="88"/>
      <c r="D179" s="88"/>
      <c r="E179" s="88"/>
      <c r="F179" s="88"/>
      <c r="G179" s="88"/>
      <c r="H179" s="88"/>
      <c r="I179" s="274" t="str">
        <f>'E. Non-ICT'!I23</f>
        <v>n/a</v>
      </c>
      <c r="J179" s="274" t="str">
        <f>'E. Non-ICT'!J23</f>
        <v>n/a</v>
      </c>
      <c r="K179" s="274" t="str">
        <f>'E. Non-ICT'!K23</f>
        <v>n/a</v>
      </c>
      <c r="L179" s="274" t="str">
        <f>'E. Non-ICT'!L23</f>
        <v>n/a</v>
      </c>
      <c r="M179" s="855">
        <f>'E. Non-ICT'!M23</f>
        <v>1.2466367713004485</v>
      </c>
      <c r="N179" s="1108">
        <f>'E. Non-ICT'!N23</f>
        <v>0.05</v>
      </c>
      <c r="O179" s="1108">
        <f>'E. Non-ICT'!O23</f>
        <v>0.2</v>
      </c>
      <c r="P179" s="1108">
        <f>'E. Non-ICT'!P23</f>
        <v>0.1875</v>
      </c>
      <c r="Q179" s="1108">
        <f>'E. Non-ICT'!Q23</f>
        <v>0.17499999999999999</v>
      </c>
      <c r="R179" s="1108">
        <f>'E. Non-ICT'!R23</f>
        <v>0.16249999999999998</v>
      </c>
      <c r="S179" s="1111">
        <f>'E. Non-ICT'!S23</f>
        <v>0.15</v>
      </c>
      <c r="T179" s="927"/>
      <c r="X179" s="222" t="str">
        <f>IFERROR(IF((W179/R179)^(1/8)-1&lt;0,"",(W179/R179)^(1/8)-1),"")</f>
        <v/>
      </c>
    </row>
    <row r="180" spans="1:84" outlineLevel="1">
      <c r="A180" s="1128" t="s">
        <v>689</v>
      </c>
      <c r="B180" s="88"/>
      <c r="C180" s="88"/>
      <c r="D180" s="88"/>
      <c r="E180" s="88"/>
      <c r="F180" s="88"/>
      <c r="G180" s="88"/>
      <c r="H180" s="88"/>
      <c r="I180" s="274" t="str">
        <f>'E. Non-ICT'!I24</f>
        <v>n/a</v>
      </c>
      <c r="J180" s="274" t="str">
        <f>'E. Non-ICT'!J24</f>
        <v>n/a</v>
      </c>
      <c r="K180" s="274" t="str">
        <f>'E. Non-ICT'!K24</f>
        <v>n/a</v>
      </c>
      <c r="L180" s="274" t="str">
        <f>'E. Non-ICT'!L24</f>
        <v>n/a</v>
      </c>
      <c r="M180" s="855" t="str">
        <f>'E. Non-ICT'!M24</f>
        <v>n/a</v>
      </c>
      <c r="N180" s="1108" t="str">
        <f>'E. Non-ICT'!N24</f>
        <v>n/a</v>
      </c>
      <c r="O180" s="1108">
        <f>'E. Non-ICT'!O24</f>
        <v>0.3</v>
      </c>
      <c r="P180" s="1108">
        <f>'E. Non-ICT'!P24</f>
        <v>0.28749999999999998</v>
      </c>
      <c r="Q180" s="1108">
        <f>'E. Non-ICT'!Q24</f>
        <v>0.27499999999999997</v>
      </c>
      <c r="R180" s="1108">
        <f>'E. Non-ICT'!R24</f>
        <v>0.26249999999999996</v>
      </c>
      <c r="S180" s="1108">
        <f>'E. Non-ICT'!S24</f>
        <v>0.25</v>
      </c>
      <c r="T180" s="927"/>
      <c r="X180" s="222" t="str">
        <f t="shared" si="135"/>
        <v/>
      </c>
    </row>
    <row r="181" spans="1:84" outlineLevel="1">
      <c r="A181" s="1128" t="s">
        <v>690</v>
      </c>
      <c r="B181" s="88"/>
      <c r="C181" s="88"/>
      <c r="D181" s="88"/>
      <c r="E181" s="88"/>
      <c r="F181" s="88"/>
      <c r="G181" s="88"/>
      <c r="H181" s="88"/>
      <c r="I181" s="274">
        <f>'E. Non-ICT'!I25</f>
        <v>0</v>
      </c>
      <c r="J181" s="274">
        <f>'E. Non-ICT'!J25</f>
        <v>0</v>
      </c>
      <c r="K181" s="274">
        <f>'E. Non-ICT'!K25</f>
        <v>0</v>
      </c>
      <c r="L181" s="274">
        <f>'E. Non-ICT'!L25</f>
        <v>0</v>
      </c>
      <c r="M181" s="855">
        <f>'E. Non-ICT'!M25</f>
        <v>0</v>
      </c>
      <c r="N181" s="1108" t="str">
        <f>'E. Non-ICT'!N25</f>
        <v>n/a</v>
      </c>
      <c r="O181" s="1108">
        <f>'E. Non-ICT'!O25</f>
        <v>0.25</v>
      </c>
      <c r="P181" s="1108">
        <f>'E. Non-ICT'!P25</f>
        <v>0.23749999999999999</v>
      </c>
      <c r="Q181" s="1108">
        <f>'E. Non-ICT'!Q25</f>
        <v>0.22499999999999998</v>
      </c>
      <c r="R181" s="1108">
        <f>'E. Non-ICT'!R25</f>
        <v>0.21249999999999997</v>
      </c>
      <c r="S181" s="1111">
        <f>'E. Non-ICT'!S25</f>
        <v>0.2</v>
      </c>
      <c r="T181" s="927"/>
      <c r="X181" s="222"/>
    </row>
    <row r="182" spans="1:84" outlineLevel="1">
      <c r="A182" s="1166"/>
      <c r="B182" s="88"/>
      <c r="C182" s="88"/>
      <c r="D182" s="88"/>
      <c r="E182" s="88"/>
      <c r="F182" s="88"/>
      <c r="G182" s="88"/>
      <c r="H182" s="88"/>
      <c r="I182" s="274"/>
      <c r="J182" s="274"/>
      <c r="K182" s="274"/>
      <c r="L182" s="274"/>
      <c r="M182" s="1192"/>
      <c r="N182" s="274"/>
      <c r="O182" s="274"/>
      <c r="P182" s="274"/>
      <c r="Q182" s="274"/>
      <c r="R182" s="274"/>
      <c r="S182" s="274"/>
      <c r="T182" s="302"/>
      <c r="X182" s="222" t="str">
        <f t="shared" si="135"/>
        <v/>
      </c>
    </row>
    <row r="183" spans="1:84" s="1194" customFormat="1" outlineLevel="1">
      <c r="A183" s="873" t="s">
        <v>675</v>
      </c>
      <c r="B183" s="835"/>
      <c r="C183" s="835"/>
      <c r="D183" s="835"/>
      <c r="E183" s="835"/>
      <c r="F183" s="835"/>
      <c r="G183" s="835"/>
      <c r="H183" s="835"/>
      <c r="I183" s="455" t="str">
        <f>'E. Non-ICT'!I27</f>
        <v>n/a</v>
      </c>
      <c r="J183" s="455" t="str">
        <f>'E. Non-ICT'!J27</f>
        <v>n/a</v>
      </c>
      <c r="K183" s="455" t="str">
        <f>'E. Non-ICT'!K27</f>
        <v>n/a</v>
      </c>
      <c r="L183" s="421">
        <f>'E. Non-ICT'!L27</f>
        <v>1</v>
      </c>
      <c r="M183" s="845">
        <f>'E. Non-ICT'!M27</f>
        <v>1</v>
      </c>
      <c r="N183" s="421">
        <f>'E. Non-ICT'!N27</f>
        <v>0.99999999999999989</v>
      </c>
      <c r="O183" s="421">
        <f>'E. Non-ICT'!O27</f>
        <v>1</v>
      </c>
      <c r="P183" s="424">
        <f>'E. Non-ICT'!P27</f>
        <v>0.99999999999999978</v>
      </c>
      <c r="Q183" s="424">
        <f>'E. Non-ICT'!Q27</f>
        <v>1</v>
      </c>
      <c r="R183" s="424">
        <f>'E. Non-ICT'!R27</f>
        <v>0.99999999999999989</v>
      </c>
      <c r="S183" s="424">
        <f>'E. Non-ICT'!S27</f>
        <v>0.99999999999999978</v>
      </c>
      <c r="T183" s="435"/>
      <c r="U183" s="1181"/>
      <c r="V183" s="1181"/>
      <c r="W183" s="1181"/>
      <c r="X183" s="1118" t="str">
        <f t="shared" si="135"/>
        <v/>
      </c>
      <c r="Y183" s="1181"/>
      <c r="Z183" s="88"/>
      <c r="AA183" s="88"/>
      <c r="AB183" s="88"/>
      <c r="AC183" s="88"/>
      <c r="AD183" s="88"/>
      <c r="AE183" s="88"/>
      <c r="AF183" s="88"/>
      <c r="AG183" s="1193"/>
      <c r="AH183" s="88"/>
      <c r="AI183" s="88"/>
      <c r="AJ183" s="88"/>
      <c r="AK183" s="1193"/>
      <c r="AL183" s="88"/>
      <c r="AM183" s="88"/>
      <c r="AN183" s="88"/>
      <c r="AO183" s="1193"/>
      <c r="AP183" s="88"/>
      <c r="AQ183" s="88"/>
      <c r="AR183" s="88"/>
      <c r="AS183" s="1193"/>
      <c r="AT183" s="88"/>
      <c r="AU183" s="88"/>
      <c r="AV183" s="88"/>
      <c r="AW183" s="1193"/>
      <c r="AX183" s="88"/>
      <c r="AY183" s="88"/>
      <c r="AZ183" s="88"/>
      <c r="BA183" s="88"/>
      <c r="BB183" s="88"/>
      <c r="BC183" s="88"/>
      <c r="BD183" s="88"/>
      <c r="BE183" s="88"/>
      <c r="BF183" s="88"/>
      <c r="BG183" s="88"/>
      <c r="BH183" s="88"/>
      <c r="BI183" s="88"/>
      <c r="BJ183" s="88"/>
      <c r="BK183" s="88"/>
      <c r="BL183" s="1193"/>
      <c r="BM183" s="88"/>
      <c r="BN183" s="88"/>
      <c r="BO183" s="88"/>
      <c r="BP183" s="1193"/>
      <c r="BQ183" s="88"/>
      <c r="BR183" s="88"/>
      <c r="BS183" s="88"/>
      <c r="BT183" s="1193"/>
      <c r="BU183" s="88"/>
      <c r="BV183" s="88"/>
      <c r="BW183" s="88"/>
      <c r="BX183" s="1193"/>
      <c r="BY183" s="88"/>
      <c r="BZ183" s="88"/>
      <c r="CA183" s="88"/>
      <c r="CB183" s="1193"/>
      <c r="CC183" s="88"/>
      <c r="CD183" s="88"/>
      <c r="CE183" s="88"/>
      <c r="CF183" s="88"/>
    </row>
    <row r="184" spans="1:84" outlineLevel="1">
      <c r="A184" s="1128" t="s">
        <v>686</v>
      </c>
      <c r="B184" s="88"/>
      <c r="C184" s="88"/>
      <c r="D184" s="88"/>
      <c r="E184" s="88"/>
      <c r="F184" s="88"/>
      <c r="G184" s="88"/>
      <c r="H184" s="88"/>
      <c r="I184" s="274" t="str">
        <f>'E. Non-ICT'!I28</f>
        <v>n/a</v>
      </c>
      <c r="J184" s="274" t="str">
        <f>'E. Non-ICT'!J28</f>
        <v>n/a</v>
      </c>
      <c r="K184" s="274" t="str">
        <f>'E. Non-ICT'!K28</f>
        <v>n/a</v>
      </c>
      <c r="L184" s="1195">
        <f>'E. Non-ICT'!L28</f>
        <v>0.98</v>
      </c>
      <c r="M184" s="1196">
        <f>'E. Non-ICT'!M28</f>
        <v>0.9</v>
      </c>
      <c r="N184" s="1195">
        <f>'E. Non-ICT'!N28</f>
        <v>0.76842108202131432</v>
      </c>
      <c r="O184" s="1195">
        <f>'E. Non-ICT'!O28</f>
        <v>0.72260813172637062</v>
      </c>
      <c r="P184" s="1195">
        <f>'E. Non-ICT'!P28</f>
        <v>0.6837866990463447</v>
      </c>
      <c r="Q184" s="1195">
        <f>'E. Non-ICT'!Q28</f>
        <v>0.6485228038248867</v>
      </c>
      <c r="R184" s="1195">
        <f>'E. Non-ICT'!R28</f>
        <v>0.61461354693669357</v>
      </c>
      <c r="S184" s="1195">
        <f>'E. Non-ICT'!S28</f>
        <v>0.58057889252811334</v>
      </c>
      <c r="T184" s="1197"/>
      <c r="X184" s="222" t="str">
        <f t="shared" si="135"/>
        <v/>
      </c>
    </row>
    <row r="185" spans="1:84" outlineLevel="1">
      <c r="A185" s="1128" t="s">
        <v>687</v>
      </c>
      <c r="B185" s="88"/>
      <c r="C185" s="88"/>
      <c r="D185" s="88"/>
      <c r="E185" s="88"/>
      <c r="F185" s="88"/>
      <c r="G185" s="88"/>
      <c r="H185" s="88"/>
      <c r="I185" s="274" t="str">
        <f>'E. Non-ICT'!I29</f>
        <v>n/a</v>
      </c>
      <c r="J185" s="274" t="str">
        <f>'E. Non-ICT'!J29</f>
        <v>n/a</v>
      </c>
      <c r="K185" s="274" t="str">
        <f>'E. Non-ICT'!K29</f>
        <v>n/a</v>
      </c>
      <c r="L185" s="1195">
        <f>'E. Non-ICT'!L29</f>
        <v>0</v>
      </c>
      <c r="M185" s="1196">
        <f>'E. Non-ICT'!M29</f>
        <v>0.09</v>
      </c>
      <c r="N185" s="1195">
        <f>'E. Non-ICT'!N29</f>
        <v>8.3827754402325191E-2</v>
      </c>
      <c r="O185" s="1195">
        <f>'E. Non-ICT'!O29</f>
        <v>7.5545395589575084E-2</v>
      </c>
      <c r="P185" s="1195">
        <f>'E. Non-ICT'!P29</f>
        <v>6.8444800146321733E-2</v>
      </c>
      <c r="Q185" s="1195">
        <f>'E. Non-ICT'!Q29</f>
        <v>6.2092608876850842E-2</v>
      </c>
      <c r="R185" s="1195">
        <f>'E. Non-ICT'!R29</f>
        <v>5.6230601102718769E-2</v>
      </c>
      <c r="S185" s="1195">
        <f>'E. Non-ICT'!S29</f>
        <v>5.070239264534683E-2</v>
      </c>
      <c r="T185" s="1197"/>
      <c r="X185" s="222" t="str">
        <f t="shared" si="135"/>
        <v/>
      </c>
    </row>
    <row r="186" spans="1:84" outlineLevel="1">
      <c r="A186" s="1128" t="s">
        <v>688</v>
      </c>
      <c r="B186" s="88"/>
      <c r="C186" s="88"/>
      <c r="D186" s="88"/>
      <c r="E186" s="88"/>
      <c r="F186" s="88"/>
      <c r="G186" s="88"/>
      <c r="H186" s="88"/>
      <c r="I186" s="274" t="str">
        <f>'E. Non-ICT'!I30</f>
        <v>n/a</v>
      </c>
      <c r="J186" s="274" t="str">
        <f>'E. Non-ICT'!J30</f>
        <v>n/a</v>
      </c>
      <c r="K186" s="274" t="str">
        <f>'E. Non-ICT'!K30</f>
        <v>n/a</v>
      </c>
      <c r="L186" s="1195">
        <f>'E. Non-ICT'!L30</f>
        <v>0.02</v>
      </c>
      <c r="M186" s="1196">
        <f>'E. Non-ICT'!M30</f>
        <v>0.01</v>
      </c>
      <c r="N186" s="1195">
        <f>'E. Non-ICT'!N30</f>
        <v>8.1499205668927287E-3</v>
      </c>
      <c r="O186" s="1195">
        <f>'E. Non-ICT'!O30</f>
        <v>7.6640256395221137E-3</v>
      </c>
      <c r="P186" s="1195">
        <f>'E. Non-ICT'!P30</f>
        <v>7.3294351203388019E-3</v>
      </c>
      <c r="Q186" s="1195">
        <f>'E. Non-ICT'!Q30</f>
        <v>7.1025636453153768E-3</v>
      </c>
      <c r="R186" s="1195">
        <f>'E. Non-ICT'!R30</f>
        <v>6.9555655852546888E-3</v>
      </c>
      <c r="S186" s="1195">
        <f>'E. Non-ICT'!S30</f>
        <v>6.8690506597033161E-3</v>
      </c>
      <c r="T186" s="1197"/>
      <c r="X186" s="222" t="str">
        <f>IFERROR(IF((W186/R186)^(1/8)-1&lt;0,"",(W186/R186)^(1/8)-1),"")</f>
        <v/>
      </c>
    </row>
    <row r="187" spans="1:84" outlineLevel="1">
      <c r="A187" s="1128" t="s">
        <v>689</v>
      </c>
      <c r="B187" s="88"/>
      <c r="C187" s="88"/>
      <c r="D187" s="88"/>
      <c r="E187" s="88"/>
      <c r="F187" s="88"/>
      <c r="G187" s="88"/>
      <c r="H187" s="88"/>
      <c r="I187" s="274" t="str">
        <f>'E. Non-ICT'!I31</f>
        <v>n/a</v>
      </c>
      <c r="J187" s="274" t="str">
        <f>'E. Non-ICT'!J31</f>
        <v>n/a</v>
      </c>
      <c r="K187" s="274" t="str">
        <f>'E. Non-ICT'!K31</f>
        <v>n/a</v>
      </c>
      <c r="L187" s="1195">
        <f>'E. Non-ICT'!L31</f>
        <v>0</v>
      </c>
      <c r="M187" s="1196">
        <f>'E. Non-ICT'!M31</f>
        <v>0</v>
      </c>
      <c r="N187" s="1195">
        <f>'E. Non-ICT'!N31</f>
        <v>6.9800621504733873E-2</v>
      </c>
      <c r="O187" s="1195">
        <f>'E. Non-ICT'!O31</f>
        <v>7.1109065114899117E-2</v>
      </c>
      <c r="P187" s="1195">
        <f>'E. Non-ICT'!P31</f>
        <v>7.3731342941689162E-2</v>
      </c>
      <c r="Q187" s="1195">
        <f>'E. Non-ICT'!Q31</f>
        <v>7.7529876398823624E-2</v>
      </c>
      <c r="R187" s="1195">
        <f>'E. Non-ICT'!R31</f>
        <v>8.2456487894003686E-2</v>
      </c>
      <c r="S187" s="1195">
        <f>'E. Non-ICT'!S31</f>
        <v>8.8511820783121309E-2</v>
      </c>
      <c r="T187" s="1197"/>
      <c r="X187" s="222" t="str">
        <f t="shared" si="135"/>
        <v/>
      </c>
    </row>
    <row r="188" spans="1:84" outlineLevel="1">
      <c r="A188" s="1128" t="s">
        <v>690</v>
      </c>
      <c r="B188" s="88"/>
      <c r="C188" s="88"/>
      <c r="D188" s="88"/>
      <c r="E188" s="88"/>
      <c r="F188" s="88"/>
      <c r="G188" s="88"/>
      <c r="H188" s="88"/>
      <c r="I188" s="274">
        <f>'E. Non-ICT'!I32</f>
        <v>0</v>
      </c>
      <c r="J188" s="274">
        <f>'E. Non-ICT'!J32</f>
        <v>0</v>
      </c>
      <c r="K188" s="274">
        <f>'E. Non-ICT'!K32</f>
        <v>0</v>
      </c>
      <c r="L188" s="1195">
        <f>'E. Non-ICT'!L32</f>
        <v>0</v>
      </c>
      <c r="M188" s="1196">
        <f>'E. Non-ICT'!M32</f>
        <v>0</v>
      </c>
      <c r="N188" s="1195">
        <f>'E. Non-ICT'!N32</f>
        <v>6.9800621504733873E-2</v>
      </c>
      <c r="O188" s="1195">
        <f>'E. Non-ICT'!O32</f>
        <v>0.1230733819296331</v>
      </c>
      <c r="P188" s="1195">
        <f>'E. Non-ICT'!P32</f>
        <v>0.16670772274530543</v>
      </c>
      <c r="Q188" s="1195">
        <f>'E. Non-ICT'!Q32</f>
        <v>0.20475214725412355</v>
      </c>
      <c r="R188" s="1195">
        <f>'E. Non-ICT'!R32</f>
        <v>0.23974379848132923</v>
      </c>
      <c r="S188" s="1195">
        <f>'E. Non-ICT'!S32</f>
        <v>0.27333784338371508</v>
      </c>
      <c r="T188" s="1197"/>
      <c r="X188" s="222"/>
    </row>
    <row r="189" spans="1:84">
      <c r="B189" s="88"/>
      <c r="C189" s="88"/>
      <c r="D189" s="88"/>
      <c r="E189" s="88"/>
      <c r="F189" s="88"/>
      <c r="G189" s="88"/>
      <c r="H189" s="88"/>
      <c r="I189" s="274"/>
      <c r="J189" s="274"/>
      <c r="K189" s="274"/>
      <c r="L189" s="1195"/>
      <c r="M189" s="1196"/>
      <c r="N189" s="1195"/>
      <c r="O189" s="1195"/>
      <c r="P189" s="1195"/>
      <c r="Q189" s="1195"/>
      <c r="R189" s="1195"/>
      <c r="S189" s="1195"/>
      <c r="T189" s="1197"/>
      <c r="X189" s="222"/>
    </row>
    <row r="190" spans="1:84">
      <c r="B190" s="88"/>
      <c r="C190" s="88"/>
      <c r="D190" s="88"/>
      <c r="E190" s="88"/>
      <c r="F190" s="88"/>
      <c r="G190" s="88"/>
      <c r="H190" s="88"/>
      <c r="I190" s="274"/>
      <c r="J190" s="274"/>
      <c r="K190" s="274"/>
      <c r="L190" s="1195"/>
      <c r="M190" s="1196"/>
      <c r="N190" s="1195"/>
      <c r="O190" s="1195"/>
      <c r="P190" s="1195"/>
      <c r="Q190" s="1195"/>
      <c r="R190" s="1195"/>
      <c r="S190" s="1195"/>
      <c r="T190" s="1197"/>
      <c r="X190" s="222"/>
    </row>
    <row r="191" spans="1:84">
      <c r="A191" s="864" t="s">
        <v>691</v>
      </c>
      <c r="B191" s="403"/>
      <c r="C191" s="403"/>
      <c r="D191" s="403"/>
      <c r="E191" s="403"/>
      <c r="F191" s="403"/>
      <c r="G191" s="403"/>
      <c r="H191" s="403"/>
      <c r="I191" s="404"/>
      <c r="J191" s="404"/>
      <c r="K191" s="404"/>
      <c r="L191" s="404"/>
      <c r="M191" s="838"/>
      <c r="N191" s="448"/>
      <c r="O191" s="448"/>
      <c r="P191" s="448"/>
      <c r="Q191" s="448"/>
      <c r="R191" s="448"/>
      <c r="S191" s="448"/>
      <c r="T191" s="883"/>
      <c r="X191" s="222"/>
    </row>
    <row r="192" spans="1:84" outlineLevel="1">
      <c r="U192" s="457"/>
      <c r="V192" s="457"/>
      <c r="W192" s="457"/>
      <c r="X192" s="222"/>
      <c r="Y192" s="401"/>
    </row>
    <row r="193" spans="1:82" s="454" customFormat="1" outlineLevel="1">
      <c r="A193" s="874" t="s">
        <v>673</v>
      </c>
      <c r="B193" s="420"/>
      <c r="C193" s="420"/>
      <c r="D193" s="420"/>
      <c r="E193" s="420"/>
      <c r="F193" s="420"/>
      <c r="G193" s="420"/>
      <c r="H193" s="420"/>
      <c r="I193" s="407">
        <f>'E. Non-ICT'!I36</f>
        <v>76</v>
      </c>
      <c r="J193" s="407">
        <f>'E. Non-ICT'!J36</f>
        <v>98.8</v>
      </c>
      <c r="K193" s="407">
        <f>'E. Non-ICT'!K36</f>
        <v>123.5</v>
      </c>
      <c r="L193" s="407">
        <f>'E. Non-ICT'!L36</f>
        <v>117.32499999999999</v>
      </c>
      <c r="M193" s="849">
        <f>'E. Non-ICT'!M36</f>
        <v>129.0575</v>
      </c>
      <c r="N193" s="407">
        <f>'E. Non-ICT'!N36</f>
        <v>322.64375000000001</v>
      </c>
      <c r="O193" s="407">
        <f>'E. Non-ICT'!O36</f>
        <v>467.17250000000001</v>
      </c>
      <c r="P193" s="407">
        <f>'E. Non-ICT'!P36</f>
        <v>638.76734375000001</v>
      </c>
      <c r="Q193" s="407">
        <f>'E. Non-ICT'!Q36</f>
        <v>839.50162890625006</v>
      </c>
      <c r="R193" s="407">
        <f>'E. Non-ICT'!R36</f>
        <v>1070.8843936035157</v>
      </c>
      <c r="S193" s="407">
        <f>'E. Non-ICT'!S36</f>
        <v>1333.660599519043</v>
      </c>
      <c r="T193" s="608"/>
      <c r="U193" s="537"/>
      <c r="V193" s="428"/>
      <c r="W193" s="428"/>
      <c r="X193" s="222"/>
      <c r="Y193" s="427"/>
      <c r="AB193" s="1198"/>
      <c r="AC193" s="1198"/>
      <c r="AD193" s="1191"/>
      <c r="AE193" s="1199"/>
      <c r="AF193" s="1199"/>
      <c r="AG193" s="1200"/>
      <c r="AH193" s="1199"/>
      <c r="AI193" s="1201"/>
      <c r="AJ193" s="1191"/>
      <c r="AK193" s="1202"/>
      <c r="AL193" s="1191"/>
      <c r="AM193" s="1191"/>
      <c r="AN193" s="1191"/>
      <c r="AO193" s="1202"/>
      <c r="AP193" s="1191"/>
      <c r="AQ193" s="1191"/>
      <c r="AR193" s="1191"/>
      <c r="AS193" s="1202"/>
      <c r="AT193" s="1191"/>
      <c r="AU193" s="1191"/>
      <c r="AV193" s="1191"/>
      <c r="AW193" s="1202"/>
      <c r="AX193" s="1191"/>
      <c r="AY193" s="1191"/>
      <c r="AZ193" s="1191"/>
      <c r="BA193" s="1191"/>
      <c r="BB193" s="1191"/>
      <c r="BC193" s="1191"/>
      <c r="BD193" s="1191"/>
      <c r="BE193" s="1191"/>
      <c r="BF193" s="1191"/>
      <c r="BG193" s="1191"/>
      <c r="BH193" s="1191"/>
      <c r="BI193" s="1191"/>
      <c r="BJ193" s="1199"/>
      <c r="BK193" s="1199"/>
      <c r="BL193" s="1200"/>
      <c r="BM193" s="1199"/>
      <c r="BN193" s="1201"/>
      <c r="BO193" s="1191"/>
      <c r="BP193" s="1202"/>
      <c r="BQ193" s="1191"/>
      <c r="BR193" s="1191"/>
      <c r="BS193" s="1191"/>
      <c r="BT193" s="1202"/>
      <c r="BU193" s="1191"/>
      <c r="BV193" s="1191"/>
      <c r="BW193" s="1191"/>
      <c r="BX193" s="1202"/>
      <c r="BY193" s="1191"/>
      <c r="BZ193" s="1191"/>
      <c r="CA193" s="1191"/>
      <c r="CB193" s="1202"/>
      <c r="CC193" s="1191"/>
      <c r="CD193" s="1191"/>
    </row>
    <row r="194" spans="1:82" outlineLevel="1">
      <c r="A194" s="1203" t="s">
        <v>692</v>
      </c>
      <c r="I194" s="117">
        <f>'E. Non-ICT'!I37</f>
        <v>0</v>
      </c>
      <c r="J194" s="117">
        <f>'E. Non-ICT'!J37</f>
        <v>0</v>
      </c>
      <c r="K194" s="117">
        <f>'E. Non-ICT'!K37</f>
        <v>0</v>
      </c>
      <c r="L194" s="117">
        <f>'E. Non-ICT'!L37</f>
        <v>0</v>
      </c>
      <c r="M194" s="850">
        <f>'E. Non-ICT'!M37</f>
        <v>129.0575</v>
      </c>
      <c r="N194" s="117">
        <f>'E. Non-ICT'!N37</f>
        <v>322.64375000000001</v>
      </c>
      <c r="O194" s="117">
        <f>'E. Non-ICT'!O37</f>
        <v>387.17250000000001</v>
      </c>
      <c r="P194" s="604">
        <f>'E. Non-ICT'!P37</f>
        <v>459.76734375000001</v>
      </c>
      <c r="Q194" s="604">
        <f>'E. Non-ICT'!Q37</f>
        <v>540.22662890625008</v>
      </c>
      <c r="R194" s="604">
        <f>'E. Non-ICT'!R37</f>
        <v>628.01345610351575</v>
      </c>
      <c r="S194" s="604">
        <f>'E. Non-ICT'!S37</f>
        <v>722.21547451904303</v>
      </c>
      <c r="T194" s="34"/>
      <c r="U194" s="537"/>
      <c r="X194" s="222"/>
    </row>
    <row r="195" spans="1:82" outlineLevel="1">
      <c r="A195" s="1203" t="s">
        <v>693</v>
      </c>
      <c r="I195" s="117">
        <f>'E. Non-ICT'!I38</f>
        <v>40</v>
      </c>
      <c r="J195" s="117"/>
      <c r="K195" s="117"/>
      <c r="L195" s="117"/>
      <c r="M195" s="850"/>
      <c r="N195" s="3">
        <f>'E. Non-ICT'!N38</f>
        <v>0</v>
      </c>
      <c r="O195" s="3">
        <f>'E. Non-ICT'!O38</f>
        <v>80</v>
      </c>
      <c r="P195" s="34">
        <f>'E. Non-ICT'!P38</f>
        <v>179</v>
      </c>
      <c r="Q195" s="34">
        <f>'E. Non-ICT'!Q38</f>
        <v>299.27499999999998</v>
      </c>
      <c r="R195" s="34">
        <f>'E. Non-ICT'!R38</f>
        <v>442.87093749999997</v>
      </c>
      <c r="S195" s="34">
        <f>'E. Non-ICT'!S38</f>
        <v>611.44512499999996</v>
      </c>
      <c r="T195" s="34"/>
      <c r="U195" s="537"/>
      <c r="X195" s="222"/>
    </row>
    <row r="196" spans="1:82" outlineLevel="1">
      <c r="A196" s="1203" t="s">
        <v>170</v>
      </c>
      <c r="I196"/>
      <c r="J196"/>
      <c r="K196"/>
      <c r="L196"/>
      <c r="M196" s="1204"/>
      <c r="N196" s="1"/>
      <c r="O196" s="1"/>
      <c r="P196" s="1"/>
      <c r="Q196" s="1"/>
      <c r="R196" s="1"/>
      <c r="S196" s="1"/>
      <c r="T196" s="1"/>
      <c r="X196" s="222"/>
    </row>
    <row r="197" spans="1:82" outlineLevel="1">
      <c r="A197" s="873" t="s">
        <v>694</v>
      </c>
      <c r="B197" s="548"/>
      <c r="C197" s="548"/>
      <c r="D197" s="548"/>
      <c r="E197" s="548"/>
      <c r="F197" s="548"/>
      <c r="G197" s="548"/>
      <c r="H197" s="548"/>
      <c r="I197" s="25">
        <f>'E. Non-ICT'!I41</f>
        <v>0</v>
      </c>
      <c r="J197" s="25">
        <f>'E. Non-ICT'!J41</f>
        <v>0.30000000000000004</v>
      </c>
      <c r="K197" s="25">
        <f>'E. Non-ICT'!K41</f>
        <v>0.25</v>
      </c>
      <c r="L197" s="25">
        <f>'E. Non-ICT'!L41</f>
        <v>-5.0000000000000044E-2</v>
      </c>
      <c r="M197" s="851">
        <f>'E. Non-ICT'!M41</f>
        <v>0.10000000000000009</v>
      </c>
      <c r="N197" s="25">
        <f>'E. Non-ICT'!N41</f>
        <v>1.5</v>
      </c>
      <c r="O197" s="25">
        <f>'E. Non-ICT'!O41</f>
        <v>0.44795149448889071</v>
      </c>
      <c r="P197" s="25">
        <f>'E. Non-ICT'!P41</f>
        <v>0.3673051041103661</v>
      </c>
      <c r="Q197" s="25">
        <f>'E. Non-ICT'!Q41</f>
        <v>0.31425257900286963</v>
      </c>
      <c r="R197" s="25">
        <f>'E. Non-ICT'!R41</f>
        <v>0.27561919683077218</v>
      </c>
      <c r="S197" s="25">
        <f>'E. Non-ICT'!S41</f>
        <v>0.24538242174889469</v>
      </c>
      <c r="T197" s="45"/>
      <c r="X197" s="222"/>
    </row>
    <row r="198" spans="1:82" outlineLevel="1">
      <c r="A198" s="1203" t="s">
        <v>692</v>
      </c>
      <c r="I198" s="547">
        <f>'E. Non-ICT'!I42</f>
        <v>0</v>
      </c>
      <c r="J198" s="547">
        <f>'E. Non-ICT'!J42</f>
        <v>0</v>
      </c>
      <c r="K198" s="547">
        <f>'E. Non-ICT'!K42</f>
        <v>0</v>
      </c>
      <c r="L198" s="547">
        <f>'E. Non-ICT'!L42</f>
        <v>0</v>
      </c>
      <c r="M198" s="852">
        <f>'E. Non-ICT'!M42</f>
        <v>0</v>
      </c>
      <c r="N198" s="61">
        <f>'E. Non-ICT'!N42</f>
        <v>1.5</v>
      </c>
      <c r="O198" s="61">
        <f>'E. Non-ICT'!O42</f>
        <v>0.2</v>
      </c>
      <c r="P198" s="18">
        <f>'E. Non-ICT'!P42</f>
        <v>0.1875</v>
      </c>
      <c r="Q198" s="18">
        <f>'E. Non-ICT'!Q42</f>
        <v>0.17499999999999999</v>
      </c>
      <c r="R198" s="18">
        <f>'E. Non-ICT'!R42</f>
        <v>0.16249999999999998</v>
      </c>
      <c r="S198" s="18">
        <f>'E. Non-ICT'!S42</f>
        <v>0.15</v>
      </c>
      <c r="T198" s="56"/>
      <c r="X198" s="222"/>
    </row>
    <row r="199" spans="1:82" outlineLevel="1">
      <c r="A199" s="1203" t="s">
        <v>693</v>
      </c>
      <c r="I199" s="547">
        <f>'E. Non-ICT'!I43</f>
        <v>0</v>
      </c>
      <c r="J199" s="547">
        <f>'E. Non-ICT'!J43</f>
        <v>0</v>
      </c>
      <c r="K199" s="547">
        <f>'E. Non-ICT'!K43</f>
        <v>0</v>
      </c>
      <c r="L199" s="547">
        <f>'E. Non-ICT'!L43</f>
        <v>0</v>
      </c>
      <c r="M199" s="852">
        <f>'E. Non-ICT'!M43</f>
        <v>0</v>
      </c>
      <c r="N199" s="61">
        <f>'E. Non-ICT'!N43</f>
        <v>0</v>
      </c>
      <c r="O199" s="61">
        <f>'E. Non-ICT'!O43</f>
        <v>0.25</v>
      </c>
      <c r="P199" s="18">
        <f>'E. Non-ICT'!P43</f>
        <v>0.23749999999999999</v>
      </c>
      <c r="Q199" s="45">
        <f>'E. Non-ICT'!Q43</f>
        <v>0.22499999999999998</v>
      </c>
      <c r="R199" s="45">
        <f>'E. Non-ICT'!R43</f>
        <v>0.21249999999999997</v>
      </c>
      <c r="S199" s="56">
        <f>'E. Non-ICT'!S43</f>
        <v>0.2</v>
      </c>
      <c r="T199" s="56"/>
      <c r="X199" s="222" t="str">
        <f t="shared" ref="X199:X221" si="136">IFERROR(IF((W199/R199)^(1/8)-1&lt;0,"",(W199/R199)^(1/8)-1),"")</f>
        <v/>
      </c>
    </row>
    <row r="200" spans="1:82" outlineLevel="1">
      <c r="A200" s="1203"/>
      <c r="I200"/>
      <c r="J200"/>
      <c r="K200"/>
      <c r="L200"/>
      <c r="M200" s="1204"/>
      <c r="N200" s="1"/>
      <c r="O200" s="1"/>
      <c r="P200" s="1"/>
      <c r="Q200" s="1"/>
      <c r="R200" s="1"/>
      <c r="S200" s="1"/>
      <c r="T200" s="1"/>
      <c r="X200" s="222" t="str">
        <f t="shared" si="136"/>
        <v/>
      </c>
    </row>
    <row r="201" spans="1:82" outlineLevel="1">
      <c r="A201" s="873" t="s">
        <v>695</v>
      </c>
      <c r="B201" s="548"/>
      <c r="C201" s="548"/>
      <c r="D201" s="548"/>
      <c r="E201" s="548"/>
      <c r="F201" s="548"/>
      <c r="G201" s="548"/>
      <c r="H201" s="548"/>
      <c r="I201" s="25">
        <f>'E. Non-ICT'!I45</f>
        <v>1</v>
      </c>
      <c r="J201" s="25">
        <f>'E. Non-ICT'!J45</f>
        <v>1</v>
      </c>
      <c r="K201" s="25">
        <f>'E. Non-ICT'!K45</f>
        <v>1</v>
      </c>
      <c r="L201" s="25">
        <f>'E. Non-ICT'!L45</f>
        <v>1</v>
      </c>
      <c r="M201" s="851">
        <f>'E. Non-ICT'!M45</f>
        <v>1</v>
      </c>
      <c r="N201" s="25">
        <f>'E. Non-ICT'!N45</f>
        <v>1</v>
      </c>
      <c r="O201" s="25">
        <f>'E. Non-ICT'!O45</f>
        <v>1</v>
      </c>
      <c r="P201" s="605">
        <f>'E. Non-ICT'!P45</f>
        <v>1</v>
      </c>
      <c r="Q201" s="605">
        <f>'E. Non-ICT'!Q45</f>
        <v>1</v>
      </c>
      <c r="R201" s="605">
        <f>'E. Non-ICT'!R45</f>
        <v>1</v>
      </c>
      <c r="S201" s="605">
        <f>'E. Non-ICT'!S45</f>
        <v>1</v>
      </c>
      <c r="T201" s="45"/>
      <c r="X201" s="222" t="str">
        <f t="shared" si="136"/>
        <v/>
      </c>
    </row>
    <row r="202" spans="1:82" outlineLevel="1">
      <c r="A202" s="1203" t="s">
        <v>692</v>
      </c>
      <c r="I202" s="547">
        <f>'E. Non-ICT'!I46</f>
        <v>0</v>
      </c>
      <c r="J202" s="547">
        <f>'E. Non-ICT'!J46</f>
        <v>0</v>
      </c>
      <c r="K202" s="547">
        <f>'E. Non-ICT'!K46</f>
        <v>0</v>
      </c>
      <c r="L202" s="547">
        <f>'E. Non-ICT'!L46</f>
        <v>0</v>
      </c>
      <c r="M202" s="852">
        <f>'E. Non-ICT'!M46</f>
        <v>1</v>
      </c>
      <c r="N202" s="547">
        <f>'E. Non-ICT'!N46</f>
        <v>1</v>
      </c>
      <c r="O202" s="547">
        <f>'E. Non-ICT'!O46</f>
        <v>0.82875704370441328</v>
      </c>
      <c r="P202" s="606">
        <f>'E. Non-ICT'!P46</f>
        <v>0.71977277524998706</v>
      </c>
      <c r="Q202" s="606">
        <f>'E. Non-ICT'!Q46</f>
        <v>0.64350873221066618</v>
      </c>
      <c r="R202" s="606">
        <f>'E. Non-ICT'!R46</f>
        <v>0.58644374673372213</v>
      </c>
      <c r="S202" s="606">
        <f>'E. Non-ICT'!S46</f>
        <v>0.54152868786818409</v>
      </c>
      <c r="T202" s="45"/>
      <c r="X202" s="222" t="str">
        <f t="shared" si="136"/>
        <v/>
      </c>
    </row>
    <row r="203" spans="1:82" outlineLevel="1">
      <c r="A203" s="1203" t="s">
        <v>693</v>
      </c>
      <c r="I203" s="547">
        <f>'E. Non-ICT'!I47</f>
        <v>0.52631578947368418</v>
      </c>
      <c r="J203" s="547">
        <f>'E. Non-ICT'!J47</f>
        <v>0</v>
      </c>
      <c r="K203" s="547">
        <f>'E. Non-ICT'!K47</f>
        <v>0</v>
      </c>
      <c r="L203" s="547">
        <f>'E. Non-ICT'!L47</f>
        <v>0</v>
      </c>
      <c r="M203" s="852">
        <f>'E. Non-ICT'!M47</f>
        <v>0</v>
      </c>
      <c r="N203" s="547">
        <f>'E. Non-ICT'!N47</f>
        <v>0</v>
      </c>
      <c r="O203" s="547">
        <f>'E. Non-ICT'!O47</f>
        <v>0.17124295629558675</v>
      </c>
      <c r="P203" s="606">
        <f>'E. Non-ICT'!P47</f>
        <v>0.28022722475001288</v>
      </c>
      <c r="Q203" s="606">
        <f>'E. Non-ICT'!Q47</f>
        <v>0.35649126778933388</v>
      </c>
      <c r="R203" s="606">
        <f>'E. Non-ICT'!R47</f>
        <v>0.41355625326627787</v>
      </c>
      <c r="S203" s="606">
        <f>'E. Non-ICT'!S47</f>
        <v>0.45847131213181597</v>
      </c>
      <c r="T203" s="45"/>
      <c r="X203" s="222" t="str">
        <f t="shared" si="136"/>
        <v/>
      </c>
    </row>
    <row r="204" spans="1:82" outlineLevel="1">
      <c r="A204" s="1203"/>
      <c r="I204" s="547"/>
      <c r="J204" s="547"/>
      <c r="K204" s="547"/>
      <c r="L204" s="547"/>
      <c r="M204" s="852"/>
      <c r="N204" s="547"/>
      <c r="O204" s="547"/>
      <c r="P204" s="606"/>
      <c r="Q204" s="606"/>
      <c r="R204" s="606"/>
      <c r="S204" s="606"/>
      <c r="T204" s="45"/>
      <c r="X204" s="222"/>
    </row>
    <row r="205" spans="1:82" outlineLevel="1">
      <c r="A205" s="1203"/>
      <c r="I205" s="547"/>
      <c r="J205" s="547"/>
      <c r="K205" s="547"/>
      <c r="L205" s="547"/>
      <c r="M205" s="852"/>
      <c r="N205" s="547"/>
      <c r="O205" s="547"/>
      <c r="P205" s="606"/>
      <c r="Q205" s="606"/>
      <c r="R205" s="606"/>
      <c r="S205" s="606"/>
      <c r="T205" s="45"/>
      <c r="X205" s="222"/>
    </row>
    <row r="206" spans="1:82" outlineLevel="1">
      <c r="A206" s="864" t="s">
        <v>696</v>
      </c>
      <c r="B206" s="403"/>
      <c r="C206" s="403"/>
      <c r="D206" s="403"/>
      <c r="E206" s="403"/>
      <c r="F206" s="403"/>
      <c r="G206" s="403"/>
      <c r="H206" s="403"/>
      <c r="I206" s="404"/>
      <c r="J206" s="404"/>
      <c r="K206" s="404"/>
      <c r="L206" s="404"/>
      <c r="M206" s="838"/>
      <c r="N206" s="448"/>
      <c r="O206" s="448"/>
      <c r="P206" s="448"/>
      <c r="Q206" s="448"/>
      <c r="R206" s="448"/>
      <c r="S206" s="448"/>
      <c r="T206" s="45"/>
      <c r="X206" s="222"/>
    </row>
    <row r="207" spans="1:82" outlineLevel="1">
      <c r="T207" s="45"/>
      <c r="X207" s="222"/>
    </row>
    <row r="208" spans="1:82" outlineLevel="1">
      <c r="A208" s="874" t="s">
        <v>673</v>
      </c>
      <c r="B208" s="420"/>
      <c r="C208" s="420"/>
      <c r="D208" s="420"/>
      <c r="E208" s="420"/>
      <c r="F208" s="420"/>
      <c r="G208" s="420"/>
      <c r="H208" s="420"/>
      <c r="I208" s="407"/>
      <c r="J208" s="407">
        <f>'E. Non-ICT'!J51</f>
        <v>156.19999999999999</v>
      </c>
      <c r="K208" s="407">
        <f>'E. Non-ICT'!K51</f>
        <v>141.5</v>
      </c>
      <c r="L208" s="407">
        <f>'E. Non-ICT'!L51</f>
        <v>258.67500000000001</v>
      </c>
      <c r="M208" s="849">
        <f>'E. Non-ICT'!M51</f>
        <v>267.9425</v>
      </c>
      <c r="N208" s="407">
        <f>'E. Non-ICT'!N51</f>
        <v>334.92812500000002</v>
      </c>
      <c r="O208" s="407">
        <f>'E. Non-ICT'!O51</f>
        <v>453.66015625</v>
      </c>
      <c r="P208" s="407">
        <f>'E. Non-ICT'!P51</f>
        <v>598.15444335937502</v>
      </c>
      <c r="Q208" s="407">
        <f>'E. Non-ICT'!Q51</f>
        <v>771.74231811523441</v>
      </c>
      <c r="R208" s="407">
        <f>'E. Non-ICT'!R51</f>
        <v>977.59154508972165</v>
      </c>
      <c r="S208" s="407">
        <f>'E. Non-ICT'!S51</f>
        <v>1218.5130093811033</v>
      </c>
      <c r="T208" s="45"/>
      <c r="X208" s="222"/>
    </row>
    <row r="209" spans="1:24" outlineLevel="1">
      <c r="A209" s="1203" t="s">
        <v>692</v>
      </c>
      <c r="I209" s="117"/>
      <c r="J209" s="117"/>
      <c r="K209" s="117"/>
      <c r="L209" s="117"/>
      <c r="M209" s="850">
        <f>'E. Non-ICT'!M52</f>
        <v>267.9425</v>
      </c>
      <c r="N209" s="117">
        <f>'E. Non-ICT'!N52</f>
        <v>334.92812500000002</v>
      </c>
      <c r="O209" s="117">
        <f>'E. Non-ICT'!O52</f>
        <v>418.66015625</v>
      </c>
      <c r="P209" s="604">
        <f>'E. Non-ICT'!P52</f>
        <v>518.09194335937502</v>
      </c>
      <c r="Q209" s="604">
        <f>'E. Non-ICT'!Q52</f>
        <v>634.66263061523443</v>
      </c>
      <c r="R209" s="604">
        <f>'E. Non-ICT'!R52</f>
        <v>769.52843962097165</v>
      </c>
      <c r="S209" s="604">
        <f>'E. Non-ICT'!S52</f>
        <v>923.43412754516589</v>
      </c>
      <c r="T209" s="45"/>
      <c r="X209" s="222"/>
    </row>
    <row r="210" spans="1:24" outlineLevel="1">
      <c r="A210" s="1203" t="s">
        <v>693</v>
      </c>
      <c r="I210" s="117">
        <f>'E. Non-ICT'!I53</f>
        <v>35</v>
      </c>
      <c r="J210" s="117"/>
      <c r="K210" s="117"/>
      <c r="L210" s="117"/>
      <c r="M210" s="850"/>
      <c r="N210" s="3"/>
      <c r="O210" s="3">
        <f>'E. Non-ICT'!O53</f>
        <v>35</v>
      </c>
      <c r="P210" s="34">
        <f>'E. Non-ICT'!P53</f>
        <v>80.0625</v>
      </c>
      <c r="Q210" s="34">
        <f>'E. Non-ICT'!Q53</f>
        <v>137.07968749999998</v>
      </c>
      <c r="R210" s="34">
        <f>'E. Non-ICT'!R53</f>
        <v>208.06310546874997</v>
      </c>
      <c r="S210" s="34">
        <f>'E. Non-ICT'!S53</f>
        <v>295.07888183593747</v>
      </c>
      <c r="T210" s="45"/>
      <c r="X210" s="222"/>
    </row>
    <row r="211" spans="1:24" outlineLevel="1">
      <c r="A211" s="1203" t="s">
        <v>170</v>
      </c>
      <c r="I211"/>
      <c r="J211"/>
      <c r="K211"/>
      <c r="L211"/>
      <c r="M211" s="1204"/>
      <c r="N211" s="1"/>
      <c r="O211" s="1"/>
      <c r="P211" s="1"/>
      <c r="Q211" s="1"/>
      <c r="R211" s="1"/>
      <c r="S211" s="1"/>
      <c r="T211" s="45"/>
      <c r="X211" s="222"/>
    </row>
    <row r="212" spans="1:24" outlineLevel="1">
      <c r="A212" s="873" t="s">
        <v>694</v>
      </c>
      <c r="B212" s="548"/>
      <c r="C212" s="548"/>
      <c r="D212" s="548"/>
      <c r="E212" s="548"/>
      <c r="F212" s="548"/>
      <c r="G212" s="548"/>
      <c r="H212" s="548"/>
      <c r="I212" s="25"/>
      <c r="J212" s="25"/>
      <c r="K212" s="25">
        <f>'E. Non-ICT'!K56</f>
        <v>-9.4110115236875735E-2</v>
      </c>
      <c r="L212" s="25">
        <f>'E. Non-ICT'!L56</f>
        <v>0.82809187279151941</v>
      </c>
      <c r="M212" s="851">
        <f>'E. Non-ICT'!M56</f>
        <v>3.5826809703295659E-2</v>
      </c>
      <c r="N212" s="25">
        <f>'E. Non-ICT'!N56</f>
        <v>0.25</v>
      </c>
      <c r="O212" s="25">
        <f>'E. Non-ICT'!O56</f>
        <v>0.35450003265626018</v>
      </c>
      <c r="P212" s="25">
        <f>'E. Non-ICT'!P56</f>
        <v>0.31850777529986152</v>
      </c>
      <c r="Q212" s="25">
        <f>'E. Non-ICT'!Q56</f>
        <v>0.29020577658998792</v>
      </c>
      <c r="R212" s="25">
        <f>'E. Non-ICT'!R56</f>
        <v>0.26673310785550375</v>
      </c>
      <c r="S212" s="25">
        <f>'E. Non-ICT'!S56</f>
        <v>0.24644389111330778</v>
      </c>
      <c r="T212" s="45"/>
      <c r="X212" s="222"/>
    </row>
    <row r="213" spans="1:24" outlineLevel="1">
      <c r="A213" s="1203" t="s">
        <v>692</v>
      </c>
      <c r="I213" s="547"/>
      <c r="J213" s="547"/>
      <c r="K213" s="547"/>
      <c r="L213" s="547"/>
      <c r="M213" s="852"/>
      <c r="N213" s="61">
        <f>'E. Non-ICT'!N57</f>
        <v>0.25</v>
      </c>
      <c r="O213" s="61">
        <f>'E. Non-ICT'!O57</f>
        <v>0.25</v>
      </c>
      <c r="P213" s="18">
        <f>'E. Non-ICT'!P57</f>
        <v>0.23749999999999999</v>
      </c>
      <c r="Q213" s="18">
        <f>'E. Non-ICT'!Q57</f>
        <v>0.22499999999999998</v>
      </c>
      <c r="R213" s="18">
        <f>'E. Non-ICT'!R57</f>
        <v>0.21249999999999997</v>
      </c>
      <c r="S213" s="18">
        <f>'E. Non-ICT'!S57</f>
        <v>0.2</v>
      </c>
      <c r="T213" s="45"/>
      <c r="X213" s="222"/>
    </row>
    <row r="214" spans="1:24" outlineLevel="1">
      <c r="A214" s="1203" t="s">
        <v>693</v>
      </c>
      <c r="I214" s="547"/>
      <c r="J214" s="547"/>
      <c r="K214" s="547"/>
      <c r="L214" s="547"/>
      <c r="M214" s="852"/>
      <c r="N214" s="61">
        <f>'E. Non-ICT'!N58</f>
        <v>0</v>
      </c>
      <c r="O214" s="61">
        <f>'E. Non-ICT'!O58</f>
        <v>0.3</v>
      </c>
      <c r="P214" s="18">
        <f>'E. Non-ICT'!P58</f>
        <v>0.28749999999999998</v>
      </c>
      <c r="Q214" s="45">
        <f>'E. Non-ICT'!Q58</f>
        <v>0.27499999999999997</v>
      </c>
      <c r="R214" s="45">
        <f>'E. Non-ICT'!R58</f>
        <v>0.26249999999999996</v>
      </c>
      <c r="S214" s="56">
        <f>'E. Non-ICT'!S58</f>
        <v>0.25</v>
      </c>
      <c r="X214" s="222" t="str">
        <f t="shared" si="136"/>
        <v/>
      </c>
    </row>
    <row r="215" spans="1:24">
      <c r="A215" s="1203"/>
      <c r="I215"/>
      <c r="J215"/>
      <c r="K215"/>
      <c r="L215"/>
      <c r="M215" s="1204"/>
      <c r="N215" s="1"/>
      <c r="O215" s="1"/>
      <c r="P215" s="1"/>
      <c r="Q215" s="1"/>
      <c r="R215" s="1"/>
      <c r="S215" s="1"/>
      <c r="X215" s="222" t="str">
        <f t="shared" si="136"/>
        <v/>
      </c>
    </row>
    <row r="216" spans="1:24">
      <c r="A216" s="873" t="s">
        <v>695</v>
      </c>
      <c r="B216" s="548"/>
      <c r="C216" s="548"/>
      <c r="D216" s="548"/>
      <c r="E216" s="548"/>
      <c r="F216" s="548"/>
      <c r="G216" s="548"/>
      <c r="H216" s="548"/>
      <c r="I216" s="25"/>
      <c r="J216" s="25">
        <f>'E. Non-ICT'!J60</f>
        <v>1</v>
      </c>
      <c r="K216" s="25">
        <f>'E. Non-ICT'!K60</f>
        <v>1</v>
      </c>
      <c r="L216" s="25">
        <f>'E. Non-ICT'!L60</f>
        <v>1</v>
      </c>
      <c r="M216" s="851">
        <f>'E. Non-ICT'!M60</f>
        <v>1</v>
      </c>
      <c r="N216" s="25">
        <f>'E. Non-ICT'!N60</f>
        <v>1</v>
      </c>
      <c r="O216" s="25">
        <f>'E. Non-ICT'!O60</f>
        <v>1</v>
      </c>
      <c r="P216" s="605">
        <f>'E. Non-ICT'!P60</f>
        <v>1</v>
      </c>
      <c r="Q216" s="605">
        <f>'E. Non-ICT'!Q60</f>
        <v>1</v>
      </c>
      <c r="R216" s="605">
        <f>'E. Non-ICT'!R60</f>
        <v>1</v>
      </c>
      <c r="S216" s="605">
        <f>'E. Non-ICT'!S60</f>
        <v>1</v>
      </c>
      <c r="X216" s="222" t="str">
        <f t="shared" si="136"/>
        <v/>
      </c>
    </row>
    <row r="217" spans="1:24">
      <c r="A217" s="1203" t="s">
        <v>692</v>
      </c>
      <c r="I217" s="547"/>
      <c r="J217" s="547"/>
      <c r="K217" s="547"/>
      <c r="L217" s="547"/>
      <c r="M217" s="852"/>
      <c r="N217" s="547">
        <f>'E. Non-ICT'!N61</f>
        <v>1</v>
      </c>
      <c r="O217" s="547">
        <f>'E. Non-ICT'!O61</f>
        <v>0.92284973780965585</v>
      </c>
      <c r="P217" s="606">
        <f>'E. Non-ICT'!P61</f>
        <v>0.86615078950120261</v>
      </c>
      <c r="Q217" s="606">
        <f>'E. Non-ICT'!Q61</f>
        <v>0.82237634987442576</v>
      </c>
      <c r="R217" s="606">
        <f>'E. Non-ICT'!R61</f>
        <v>0.78716765042228931</v>
      </c>
      <c r="S217" s="606">
        <f>'E. Non-ICT'!S61</f>
        <v>0.7578369048469894</v>
      </c>
      <c r="X217" s="222" t="str">
        <f t="shared" si="136"/>
        <v/>
      </c>
    </row>
    <row r="218" spans="1:24">
      <c r="A218" s="1203" t="s">
        <v>693</v>
      </c>
      <c r="I218" s="547"/>
      <c r="J218" s="547"/>
      <c r="K218" s="547"/>
      <c r="L218" s="547"/>
      <c r="M218" s="852"/>
      <c r="N218" s="547">
        <f>'E. Non-ICT'!N62</f>
        <v>0</v>
      </c>
      <c r="O218" s="547">
        <f>'E. Non-ICT'!O62</f>
        <v>7.7150262190344168E-2</v>
      </c>
      <c r="P218" s="606">
        <f>'E. Non-ICT'!P62</f>
        <v>0.13384921049879744</v>
      </c>
      <c r="Q218" s="606">
        <f>'E. Non-ICT'!Q62</f>
        <v>0.17762365012557418</v>
      </c>
      <c r="R218" s="606">
        <f>'E. Non-ICT'!R62</f>
        <v>0.21283234957771069</v>
      </c>
      <c r="S218" s="606">
        <f>'E. Non-ICT'!S62</f>
        <v>0.24216309515301063</v>
      </c>
      <c r="X218" s="222" t="str">
        <f t="shared" si="136"/>
        <v/>
      </c>
    </row>
    <row r="219" spans="1:24">
      <c r="A219" s="1203"/>
      <c r="I219" s="547"/>
      <c r="J219" s="547"/>
      <c r="K219" s="547"/>
      <c r="L219" s="547"/>
      <c r="M219" s="852"/>
      <c r="N219" s="547"/>
      <c r="O219" s="547"/>
      <c r="P219" s="606"/>
      <c r="Q219" s="606"/>
      <c r="R219" s="606"/>
      <c r="S219" s="606"/>
      <c r="X219" s="222"/>
    </row>
    <row r="220" spans="1:24">
      <c r="A220" s="1203"/>
      <c r="I220" s="547"/>
      <c r="J220" s="547"/>
      <c r="K220" s="547"/>
      <c r="L220" s="547"/>
      <c r="M220" s="852"/>
      <c r="N220" s="547"/>
      <c r="O220" s="547"/>
      <c r="P220" s="606"/>
      <c r="Q220" s="606"/>
      <c r="R220" s="606"/>
      <c r="S220" s="606"/>
      <c r="X220" s="222"/>
    </row>
    <row r="221" spans="1:24">
      <c r="A221" s="385" t="s">
        <v>697</v>
      </c>
      <c r="B221" s="441"/>
      <c r="C221" s="441"/>
      <c r="D221" s="441"/>
      <c r="E221" s="441"/>
      <c r="F221" s="441"/>
      <c r="G221" s="441"/>
      <c r="H221" s="441"/>
      <c r="I221" s="407"/>
      <c r="J221" s="407"/>
      <c r="K221" s="407"/>
      <c r="L221" s="407"/>
      <c r="M221" s="849"/>
      <c r="N221" s="409"/>
      <c r="O221" s="409"/>
      <c r="P221" s="409"/>
      <c r="Q221" s="409"/>
      <c r="R221" s="409"/>
      <c r="S221" s="409"/>
      <c r="T221" s="397"/>
      <c r="X221" s="222" t="str">
        <f t="shared" si="136"/>
        <v/>
      </c>
    </row>
    <row r="222" spans="1:24">
      <c r="A222" s="511"/>
      <c r="B222" s="410"/>
      <c r="C222" s="410"/>
      <c r="D222" s="410"/>
      <c r="E222" s="410"/>
      <c r="F222" s="410"/>
      <c r="G222" s="410"/>
      <c r="H222" s="410"/>
      <c r="I222" s="466"/>
      <c r="J222" s="466"/>
      <c r="K222" s="466"/>
      <c r="L222" s="466"/>
      <c r="M222" s="659"/>
      <c r="N222" s="397"/>
      <c r="O222" s="397"/>
      <c r="P222" s="397"/>
      <c r="Q222" s="397"/>
      <c r="R222" s="397"/>
      <c r="S222" s="397"/>
      <c r="T222" s="397"/>
      <c r="X222" s="222"/>
    </row>
    <row r="223" spans="1:24">
      <c r="A223" s="879" t="s">
        <v>698</v>
      </c>
      <c r="B223" s="880"/>
      <c r="C223" s="880"/>
      <c r="D223" s="880"/>
      <c r="E223" s="880"/>
      <c r="F223" s="880"/>
      <c r="G223" s="880"/>
      <c r="H223" s="880"/>
      <c r="I223" s="881"/>
      <c r="J223" s="881"/>
      <c r="K223" s="881"/>
      <c r="L223" s="881"/>
      <c r="M223" s="882"/>
      <c r="N223" s="883"/>
      <c r="O223" s="883"/>
      <c r="P223" s="883"/>
      <c r="Q223" s="883"/>
      <c r="R223" s="883"/>
      <c r="S223" s="883"/>
      <c r="T223" s="883"/>
      <c r="X223" s="222"/>
    </row>
    <row r="224" spans="1:24" outlineLevel="1">
      <c r="A224" s="43"/>
      <c r="G224" s="804"/>
      <c r="H224" s="804"/>
      <c r="I224"/>
      <c r="J224"/>
      <c r="K224"/>
      <c r="L224"/>
      <c r="M224" s="1204"/>
      <c r="N224"/>
      <c r="O224"/>
      <c r="P224" s="572"/>
      <c r="X224" s="222" t="str">
        <f>IFERROR(IF((W224/H224)^(1/8)-1&lt;0,"",(W224/H224)^(1/8)-1),"")</f>
        <v/>
      </c>
    </row>
    <row r="225" spans="1:25" outlineLevel="1">
      <c r="A225" s="1203"/>
      <c r="G225" s="804"/>
      <c r="H225" s="804"/>
      <c r="I225"/>
      <c r="J225"/>
      <c r="K225"/>
      <c r="L225"/>
      <c r="M225" s="1204"/>
      <c r="N225"/>
      <c r="O225"/>
      <c r="P225" s="572"/>
      <c r="X225" s="222"/>
    </row>
    <row r="226" spans="1:25" outlineLevel="1">
      <c r="A226" s="875" t="s">
        <v>652</v>
      </c>
      <c r="G226" s="805">
        <v>3800</v>
      </c>
      <c r="H226" s="805">
        <v>3820</v>
      </c>
      <c r="I226" s="607">
        <v>5944</v>
      </c>
      <c r="J226" s="607">
        <v>8492</v>
      </c>
      <c r="K226" s="607">
        <v>12535</v>
      </c>
      <c r="L226" s="607">
        <v>20971</v>
      </c>
      <c r="M226" s="856">
        <v>22059</v>
      </c>
      <c r="N226"/>
      <c r="O226" s="572"/>
      <c r="P226" s="572"/>
      <c r="X226" s="222" t="str">
        <f t="shared" ref="X226:X239" si="137">IFERROR(IF((W226/H226)^(1/8)-1&lt;0,"",(W226/H226)^(1/8)-1),"")</f>
        <v/>
      </c>
    </row>
    <row r="227" spans="1:25" outlineLevel="1">
      <c r="A227" s="1205"/>
      <c r="G227" s="806"/>
      <c r="H227" s="806"/>
      <c r="I227" s="604"/>
      <c r="J227" s="604"/>
      <c r="K227" s="604"/>
      <c r="L227" s="604"/>
      <c r="M227" s="850"/>
      <c r="N227"/>
      <c r="O227"/>
      <c r="P227" s="572"/>
      <c r="X227" s="222" t="str">
        <f t="shared" si="137"/>
        <v/>
      </c>
    </row>
    <row r="228" spans="1:25" outlineLevel="1">
      <c r="A228" s="1205" t="s">
        <v>63</v>
      </c>
      <c r="G228" s="806">
        <v>1072</v>
      </c>
      <c r="H228" s="806">
        <v>752</v>
      </c>
      <c r="I228" s="604">
        <v>2355.0000000000005</v>
      </c>
      <c r="J228" s="604">
        <v>3896</v>
      </c>
      <c r="K228" s="604">
        <v>6384</v>
      </c>
      <c r="L228" s="604">
        <v>9857</v>
      </c>
      <c r="M228" s="850">
        <v>10759</v>
      </c>
      <c r="N228"/>
      <c r="O228"/>
      <c r="P228" s="572"/>
      <c r="X228" s="222" t="str">
        <f t="shared" si="137"/>
        <v/>
      </c>
    </row>
    <row r="229" spans="1:25" outlineLevel="1">
      <c r="A229" s="1205" t="s">
        <v>67</v>
      </c>
      <c r="G229" s="806">
        <v>2168</v>
      </c>
      <c r="H229" s="806">
        <v>2266</v>
      </c>
      <c r="I229" s="604">
        <v>2402</v>
      </c>
      <c r="J229" s="604">
        <v>2974</v>
      </c>
      <c r="K229" s="604">
        <v>4350</v>
      </c>
      <c r="L229" s="604">
        <v>7899</v>
      </c>
      <c r="M229" s="850">
        <v>7027</v>
      </c>
      <c r="N229"/>
      <c r="O229"/>
      <c r="P229" s="572"/>
      <c r="X229" s="222" t="str">
        <f t="shared" si="137"/>
        <v/>
      </c>
    </row>
    <row r="230" spans="1:25" outlineLevel="1">
      <c r="A230" s="1205" t="s">
        <v>68</v>
      </c>
      <c r="G230" s="806">
        <v>560</v>
      </c>
      <c r="H230" s="806">
        <v>752</v>
      </c>
      <c r="I230" s="604">
        <v>1111</v>
      </c>
      <c r="J230" s="604">
        <v>1367</v>
      </c>
      <c r="K230" s="604">
        <v>1536</v>
      </c>
      <c r="L230" s="604">
        <v>2616</v>
      </c>
      <c r="M230" s="850">
        <v>3320</v>
      </c>
      <c r="N230"/>
      <c r="O230"/>
      <c r="P230" s="572"/>
      <c r="X230" s="222" t="str">
        <f t="shared" si="137"/>
        <v/>
      </c>
    </row>
    <row r="231" spans="1:25" outlineLevel="1">
      <c r="A231" s="1205" t="s">
        <v>69</v>
      </c>
      <c r="G231" s="806">
        <v>0</v>
      </c>
      <c r="H231" s="806">
        <v>0</v>
      </c>
      <c r="I231" s="604">
        <v>0</v>
      </c>
      <c r="J231" s="604">
        <v>0</v>
      </c>
      <c r="K231" s="604">
        <v>0</v>
      </c>
      <c r="L231" s="604">
        <v>223</v>
      </c>
      <c r="M231" s="850">
        <v>556</v>
      </c>
      <c r="N231"/>
      <c r="O231"/>
      <c r="P231" s="572"/>
      <c r="X231" s="222" t="str">
        <f t="shared" si="137"/>
        <v/>
      </c>
    </row>
    <row r="232" spans="1:25" outlineLevel="1">
      <c r="A232" s="1205" t="s">
        <v>70</v>
      </c>
      <c r="G232" s="806">
        <v>0</v>
      </c>
      <c r="H232" s="806">
        <v>50</v>
      </c>
      <c r="I232" s="604">
        <v>76</v>
      </c>
      <c r="J232" s="604">
        <v>255</v>
      </c>
      <c r="K232" s="604">
        <v>265</v>
      </c>
      <c r="L232" s="604">
        <v>376</v>
      </c>
      <c r="M232" s="850">
        <v>397</v>
      </c>
      <c r="N232"/>
      <c r="O232"/>
      <c r="P232" s="572"/>
      <c r="X232" s="222" t="str">
        <f t="shared" si="137"/>
        <v/>
      </c>
      <c r="Y232" s="465"/>
    </row>
    <row r="233" spans="1:25" outlineLevel="1">
      <c r="A233" s="1203"/>
      <c r="G233" s="804"/>
      <c r="H233" s="804"/>
      <c r="I233"/>
      <c r="J233"/>
      <c r="K233"/>
      <c r="L233"/>
      <c r="M233" s="1204"/>
      <c r="N233"/>
      <c r="O233"/>
      <c r="P233" s="572"/>
      <c r="X233" s="222" t="str">
        <f t="shared" si="137"/>
        <v/>
      </c>
      <c r="Y233" s="465"/>
    </row>
    <row r="234" spans="1:25" outlineLevel="1">
      <c r="A234" s="1203"/>
      <c r="G234" s="804"/>
      <c r="H234" s="804"/>
      <c r="I234"/>
      <c r="J234"/>
      <c r="K234"/>
      <c r="L234"/>
      <c r="M234" s="1204"/>
      <c r="N234"/>
      <c r="O234"/>
      <c r="P234" s="572"/>
      <c r="X234" s="222" t="str">
        <f t="shared" si="137"/>
        <v/>
      </c>
      <c r="Y234" s="465"/>
    </row>
    <row r="235" spans="1:25" outlineLevel="1">
      <c r="A235" s="876" t="s">
        <v>699</v>
      </c>
      <c r="G235" s="807">
        <v>240.761657262</v>
      </c>
      <c r="H235" s="807">
        <v>274.750336398</v>
      </c>
      <c r="I235" s="608">
        <v>368.90628119199999</v>
      </c>
      <c r="J235" s="608">
        <v>548.12643127599995</v>
      </c>
      <c r="K235" s="608">
        <v>802.78231671100002</v>
      </c>
      <c r="L235" s="608">
        <v>1507.9941685030001</v>
      </c>
      <c r="M235" s="659">
        <v>1663.0963934710001</v>
      </c>
      <c r="N235"/>
      <c r="O235" s="410"/>
      <c r="P235" s="608"/>
      <c r="X235" s="222" t="str">
        <f t="shared" si="137"/>
        <v/>
      </c>
    </row>
    <row r="236" spans="1:25" outlineLevel="1">
      <c r="A236" s="877" t="s">
        <v>483</v>
      </c>
      <c r="G236" s="808">
        <v>6.3357106801051721E-2</v>
      </c>
      <c r="H236" s="808">
        <v>7.1906406904489309E-2</v>
      </c>
      <c r="I236" s="487">
        <v>6.2132937816634926E-2</v>
      </c>
      <c r="J236" s="487">
        <v>6.457610752849155E-2</v>
      </c>
      <c r="K236" s="487">
        <v>6.4040005552328791E-2</v>
      </c>
      <c r="L236" s="487">
        <v>7.2074158227010313E-2</v>
      </c>
      <c r="M236" s="663">
        <v>7.5498738263184512E-2</v>
      </c>
      <c r="N236"/>
      <c r="O236" s="472"/>
      <c r="P236" s="609"/>
      <c r="X236" s="222" t="str">
        <f t="shared" si="137"/>
        <v/>
      </c>
    </row>
    <row r="237" spans="1:25" outlineLevel="1">
      <c r="A237" s="877"/>
      <c r="G237" s="808"/>
      <c r="H237" s="808"/>
      <c r="I237" s="487"/>
      <c r="J237" s="487"/>
      <c r="K237" s="487"/>
      <c r="L237" s="487"/>
      <c r="M237" s="663"/>
      <c r="N237"/>
      <c r="O237" s="472"/>
      <c r="P237" s="609"/>
      <c r="X237" s="222" t="str">
        <f t="shared" si="137"/>
        <v/>
      </c>
    </row>
    <row r="238" spans="1:25" outlineLevel="1">
      <c r="A238" s="876" t="s">
        <v>700</v>
      </c>
      <c r="G238" s="807">
        <f t="shared" ref="G238:M238" si="138">SUM(G244:G248)</f>
        <v>252.00635320120688</v>
      </c>
      <c r="H238" s="807">
        <f t="shared" si="138"/>
        <v>257.95440928952326</v>
      </c>
      <c r="I238" s="608">
        <f t="shared" si="138"/>
        <v>394.08822243791951</v>
      </c>
      <c r="J238" s="608">
        <f t="shared" si="138"/>
        <v>564.03220374462273</v>
      </c>
      <c r="K238" s="608">
        <f t="shared" si="138"/>
        <v>819.28946016057921</v>
      </c>
      <c r="L238" s="608">
        <f t="shared" si="138"/>
        <v>1511.7541685420558</v>
      </c>
      <c r="M238" s="659">
        <f t="shared" si="138"/>
        <v>1586.3039463272312</v>
      </c>
      <c r="N238"/>
      <c r="O238" s="410"/>
      <c r="P238" s="608"/>
      <c r="X238" s="222" t="str">
        <f t="shared" si="137"/>
        <v/>
      </c>
    </row>
    <row r="239" spans="1:25" outlineLevel="1">
      <c r="A239" s="877" t="s">
        <v>483</v>
      </c>
      <c r="G239" s="808">
        <f t="shared" ref="G239:M239" si="139">G238/G226</f>
        <v>6.6317461368738659E-2</v>
      </c>
      <c r="H239" s="808">
        <f t="shared" si="139"/>
        <v>6.7527332274744306E-2</v>
      </c>
      <c r="I239" s="487">
        <f t="shared" si="139"/>
        <v>6.6300172011763039E-2</v>
      </c>
      <c r="J239" s="487">
        <f t="shared" si="139"/>
        <v>6.6419242080148697E-2</v>
      </c>
      <c r="K239" s="487">
        <f t="shared" si="139"/>
        <v>6.5360148397333798E-2</v>
      </c>
      <c r="L239" s="487">
        <f t="shared" si="139"/>
        <v>7.2087843619381808E-2</v>
      </c>
      <c r="M239" s="663">
        <f t="shared" si="139"/>
        <v>7.1911870271872305E-2</v>
      </c>
      <c r="N239"/>
      <c r="O239" s="472"/>
      <c r="P239" s="609"/>
      <c r="X239" s="222" t="str">
        <f t="shared" si="137"/>
        <v/>
      </c>
    </row>
    <row r="240" spans="1:25" outlineLevel="1">
      <c r="A240" s="877"/>
      <c r="G240" s="808"/>
      <c r="H240" s="808"/>
      <c r="I240" s="487"/>
      <c r="J240" s="487"/>
      <c r="K240" s="487"/>
      <c r="L240" s="487"/>
      <c r="M240" s="663"/>
      <c r="N240"/>
      <c r="O240" s="614" t="s">
        <v>701</v>
      </c>
      <c r="P240" s="609"/>
      <c r="X240" s="222"/>
    </row>
    <row r="241" spans="1:24" outlineLevel="1">
      <c r="A241" s="878" t="s">
        <v>702</v>
      </c>
      <c r="G241" s="806">
        <f t="shared" ref="G241:M241" si="140">G235-G238</f>
        <v>-11.244695939206878</v>
      </c>
      <c r="H241" s="806">
        <f t="shared" si="140"/>
        <v>16.795927108476747</v>
      </c>
      <c r="I241" s="604">
        <f t="shared" si="140"/>
        <v>-25.181941245919518</v>
      </c>
      <c r="J241" s="604">
        <f t="shared" si="140"/>
        <v>-15.905772468622786</v>
      </c>
      <c r="K241" s="604">
        <f t="shared" si="140"/>
        <v>-16.507143449579189</v>
      </c>
      <c r="L241" s="604">
        <f t="shared" si="140"/>
        <v>-3.7600000390557398</v>
      </c>
      <c r="M241" s="850">
        <f t="shared" si="140"/>
        <v>76.792447143768868</v>
      </c>
      <c r="O241" s="596">
        <f>SUM(I241:M241)</f>
        <v>15.437589940591636</v>
      </c>
      <c r="P241" s="609"/>
      <c r="X241" s="222"/>
    </row>
    <row r="242" spans="1:24" outlineLevel="1">
      <c r="A242" s="877"/>
      <c r="G242" s="808"/>
      <c r="H242" s="808"/>
      <c r="I242" s="487"/>
      <c r="J242" s="487"/>
      <c r="K242" s="487"/>
      <c r="L242" s="487"/>
      <c r="M242" s="663"/>
      <c r="N242"/>
      <c r="O242" s="472"/>
      <c r="P242" s="609"/>
      <c r="X242" s="222" t="str">
        <f>IFERROR(IF((W242/H242)^(1/8)-1&lt;0,"",(W242/H242)^(1/8)-1),"")</f>
        <v/>
      </c>
    </row>
    <row r="243" spans="1:24" outlineLevel="1">
      <c r="A243" s="876" t="s">
        <v>703</v>
      </c>
      <c r="G243" s="808"/>
      <c r="H243" s="808"/>
      <c r="I243" s="487"/>
      <c r="J243" s="487"/>
      <c r="K243" s="487"/>
      <c r="L243" s="487"/>
      <c r="M243" s="663"/>
      <c r="N243"/>
      <c r="O243" s="472"/>
      <c r="P243" s="609"/>
      <c r="X243" s="222"/>
    </row>
    <row r="244" spans="1:24" outlineLevel="1">
      <c r="A244" s="1206" t="s">
        <v>63</v>
      </c>
      <c r="G244" s="806">
        <f t="shared" ref="G244:M248" si="141">G228*G251</f>
        <v>61.816696744996634</v>
      </c>
      <c r="H244" s="806">
        <f t="shared" si="141"/>
        <v>42.987951447982709</v>
      </c>
      <c r="I244" s="604">
        <f t="shared" si="141"/>
        <v>135.80067242021184</v>
      </c>
      <c r="J244" s="604">
        <f t="shared" si="141"/>
        <v>224.66217399114447</v>
      </c>
      <c r="K244" s="604">
        <f t="shared" si="141"/>
        <v>368.13226867542767</v>
      </c>
      <c r="L244" s="604">
        <f t="shared" si="141"/>
        <v>617.6872199770819</v>
      </c>
      <c r="M244" s="850">
        <f t="shared" si="141"/>
        <v>678.51449578303993</v>
      </c>
      <c r="N244"/>
      <c r="O244"/>
      <c r="P244" s="572"/>
      <c r="X244" s="222" t="str">
        <f>IFERROR(IF((W244/H244)^(1/8)-1&lt;0,"",(W244/H244)^(1/8)-1),"")</f>
        <v/>
      </c>
    </row>
    <row r="245" spans="1:24" outlineLevel="1">
      <c r="A245" s="1206" t="s">
        <v>67</v>
      </c>
      <c r="G245" s="806">
        <f t="shared" si="141"/>
        <v>146.69734938660699</v>
      </c>
      <c r="H245" s="806">
        <f t="shared" si="141"/>
        <v>151.06250263378755</v>
      </c>
      <c r="I245" s="604">
        <f t="shared" si="141"/>
        <v>162.53091938497693</v>
      </c>
      <c r="J245" s="604">
        <f t="shared" si="141"/>
        <v>201.23520160321456</v>
      </c>
      <c r="K245" s="604">
        <f t="shared" si="141"/>
        <v>294.34200637995406</v>
      </c>
      <c r="L245" s="604">
        <f t="shared" si="141"/>
        <v>613.47448468856476</v>
      </c>
      <c r="M245" s="850">
        <f t="shared" si="141"/>
        <v>524.66975375446839</v>
      </c>
      <c r="N245"/>
      <c r="O245" s="303"/>
      <c r="P245" s="410"/>
      <c r="X245" s="222" t="str">
        <f>IFERROR(IF((W245/H245)^(1/8)-1&lt;0,"",(W245/H245)^(1/8)-1),"")</f>
        <v/>
      </c>
    </row>
    <row r="246" spans="1:24" outlineLevel="1">
      <c r="A246" s="1206" t="s">
        <v>68</v>
      </c>
      <c r="G246" s="806">
        <f t="shared" si="141"/>
        <v>43.492307069603278</v>
      </c>
      <c r="H246" s="806">
        <f t="shared" si="141"/>
        <v>58.403955207752972</v>
      </c>
      <c r="I246" s="604">
        <f t="shared" si="141"/>
        <v>87.39663063273079</v>
      </c>
      <c r="J246" s="604">
        <f t="shared" si="141"/>
        <v>107.53482815026372</v>
      </c>
      <c r="K246" s="604">
        <f t="shared" si="141"/>
        <v>122.36518510519755</v>
      </c>
      <c r="L246" s="604">
        <f t="shared" si="141"/>
        <v>208.4032058822896</v>
      </c>
      <c r="M246" s="850">
        <f t="shared" si="141"/>
        <v>269.26804905550512</v>
      </c>
      <c r="N246"/>
      <c r="O246" s="303"/>
      <c r="P246" s="410"/>
      <c r="X246" s="222" t="str">
        <f>IFERROR(IF((W246/H246)^(1/8)-1&lt;0,"",(W246/H246)^(1/8)-1),"")</f>
        <v/>
      </c>
    </row>
    <row r="247" spans="1:24" outlineLevel="1">
      <c r="A247" s="1206" t="s">
        <v>69</v>
      </c>
      <c r="G247" s="806">
        <f t="shared" si="141"/>
        <v>0</v>
      </c>
      <c r="H247" s="806">
        <f t="shared" si="141"/>
        <v>0</v>
      </c>
      <c r="I247" s="604">
        <f t="shared" si="141"/>
        <v>0</v>
      </c>
      <c r="J247" s="604">
        <f t="shared" si="141"/>
        <v>0</v>
      </c>
      <c r="K247" s="604">
        <f t="shared" si="141"/>
        <v>0</v>
      </c>
      <c r="L247" s="604">
        <f t="shared" si="141"/>
        <v>19.549257994119692</v>
      </c>
      <c r="M247" s="850">
        <f t="shared" si="141"/>
        <v>54.30164773421771</v>
      </c>
      <c r="N247"/>
      <c r="O247" s="303"/>
      <c r="P247" s="410"/>
      <c r="X247" s="222" t="str">
        <f>IFERROR(IF((W247/H247)^(1/8)-1&lt;0,"",(W247/H247)^(1/8)-1),"")</f>
        <v/>
      </c>
    </row>
    <row r="248" spans="1:24" outlineLevel="1">
      <c r="A248" s="1206" t="s">
        <v>70</v>
      </c>
      <c r="G248" s="806">
        <f t="shared" si="141"/>
        <v>0</v>
      </c>
      <c r="H248" s="806">
        <f t="shared" si="141"/>
        <v>5.5</v>
      </c>
      <c r="I248" s="604">
        <f t="shared" si="141"/>
        <v>8.36</v>
      </c>
      <c r="J248" s="604">
        <f t="shared" si="141"/>
        <v>30.599999999999998</v>
      </c>
      <c r="K248" s="604">
        <f t="shared" si="141"/>
        <v>34.450000000000003</v>
      </c>
      <c r="L248" s="604">
        <f t="shared" si="141"/>
        <v>52.640000000000008</v>
      </c>
      <c r="M248" s="850">
        <f t="shared" si="141"/>
        <v>59.55</v>
      </c>
      <c r="N248"/>
      <c r="O248" s="303"/>
      <c r="P248" s="410"/>
      <c r="X248" s="222" t="str">
        <f>IFERROR(IF((W248/H248)^(1/8)-1&lt;0,"",(W248/H248)^(1/8)-1),"")</f>
        <v/>
      </c>
    </row>
    <row r="249" spans="1:24" outlineLevel="1">
      <c r="A249" s="1206"/>
      <c r="G249" s="806"/>
      <c r="H249" s="806"/>
      <c r="I249" s="604"/>
      <c r="J249" s="604"/>
      <c r="K249" s="604"/>
      <c r="L249" s="604"/>
      <c r="M249" s="850"/>
      <c r="N249"/>
      <c r="O249" s="303"/>
      <c r="P249" s="410"/>
      <c r="X249" s="222"/>
    </row>
    <row r="250" spans="1:24" outlineLevel="1">
      <c r="A250" s="876" t="s">
        <v>704</v>
      </c>
      <c r="G250" s="804"/>
      <c r="H250" s="804"/>
      <c r="I250"/>
      <c r="J250"/>
      <c r="K250"/>
      <c r="L250"/>
      <c r="M250" s="1204"/>
      <c r="N250"/>
      <c r="O250"/>
      <c r="P250" s="572"/>
      <c r="X250" s="222" t="str">
        <f t="shared" ref="X250:X255" si="142">IFERROR(IF((W250/H250)^(1/8)-1&lt;0,"",(W250/H250)^(1/8)-1),"")</f>
        <v/>
      </c>
    </row>
    <row r="251" spans="1:24" outlineLevel="1">
      <c r="A251" s="1206" t="s">
        <v>63</v>
      </c>
      <c r="B251" s="610">
        <v>5.7664829053168498E-2</v>
      </c>
      <c r="C251" s="402" t="s">
        <v>153</v>
      </c>
      <c r="G251" s="809">
        <f t="shared" ref="G251:M255" si="143">$B251+G258</f>
        <v>5.7664829053168498E-2</v>
      </c>
      <c r="H251" s="809">
        <f t="shared" si="143"/>
        <v>5.7164829053168498E-2</v>
      </c>
      <c r="I251" s="821">
        <f t="shared" si="143"/>
        <v>5.7664829053168498E-2</v>
      </c>
      <c r="J251" s="821">
        <f>$B251+J258</f>
        <v>5.7664829053168498E-2</v>
      </c>
      <c r="K251" s="821">
        <f>$B251+K258</f>
        <v>5.7664829053168498E-2</v>
      </c>
      <c r="L251" s="821">
        <f>$B251+L258</f>
        <v>6.2664829053168503E-2</v>
      </c>
      <c r="M251" s="857">
        <f t="shared" si="143"/>
        <v>6.30648290531685E-2</v>
      </c>
      <c r="N251"/>
      <c r="O251"/>
      <c r="X251" s="222" t="str">
        <f t="shared" si="142"/>
        <v/>
      </c>
    </row>
    <row r="252" spans="1:24" outlineLevel="1">
      <c r="A252" s="1206" t="s">
        <v>67</v>
      </c>
      <c r="B252" s="610">
        <v>6.7664829052863001E-2</v>
      </c>
      <c r="C252" s="402" t="s">
        <v>705</v>
      </c>
      <c r="G252" s="809">
        <f t="shared" si="143"/>
        <v>6.7664829052863001E-2</v>
      </c>
      <c r="H252" s="809">
        <f t="shared" si="143"/>
        <v>6.6664829052863001E-2</v>
      </c>
      <c r="I252" s="821">
        <f t="shared" si="143"/>
        <v>6.7664829052863001E-2</v>
      </c>
      <c r="J252" s="821">
        <f t="shared" si="143"/>
        <v>6.7664829052863001E-2</v>
      </c>
      <c r="K252" s="821">
        <f t="shared" si="143"/>
        <v>6.7664829052863001E-2</v>
      </c>
      <c r="L252" s="821">
        <f t="shared" si="143"/>
        <v>7.7664829052862996E-2</v>
      </c>
      <c r="M252" s="857">
        <f t="shared" si="143"/>
        <v>7.4664829052863008E-2</v>
      </c>
      <c r="N252"/>
      <c r="O252"/>
      <c r="X252" s="222" t="str">
        <f t="shared" si="142"/>
        <v/>
      </c>
    </row>
    <row r="253" spans="1:24" outlineLevel="1">
      <c r="A253" s="1206" t="s">
        <v>68</v>
      </c>
      <c r="B253" s="610">
        <v>7.7664834052862994E-2</v>
      </c>
      <c r="C253" s="402" t="s">
        <v>706</v>
      </c>
      <c r="G253" s="809">
        <f t="shared" si="143"/>
        <v>7.7664834052862994E-2</v>
      </c>
      <c r="H253" s="809">
        <f t="shared" si="143"/>
        <v>7.7664834052862994E-2</v>
      </c>
      <c r="I253" s="821">
        <f t="shared" si="143"/>
        <v>7.8664834052862995E-2</v>
      </c>
      <c r="J253" s="821">
        <f t="shared" si="143"/>
        <v>7.8664834052862995E-2</v>
      </c>
      <c r="K253" s="821">
        <f t="shared" si="143"/>
        <v>7.9664834052862996E-2</v>
      </c>
      <c r="L253" s="821">
        <f t="shared" si="143"/>
        <v>7.9664834052862996E-2</v>
      </c>
      <c r="M253" s="857">
        <f t="shared" si="143"/>
        <v>8.1104834052862992E-2</v>
      </c>
      <c r="N253"/>
      <c r="O253"/>
      <c r="X253" s="222" t="str">
        <f t="shared" si="142"/>
        <v/>
      </c>
    </row>
    <row r="254" spans="1:24" outlineLevel="1">
      <c r="A254" s="1206" t="s">
        <v>69</v>
      </c>
      <c r="B254" s="610">
        <v>8.7664834054348398E-2</v>
      </c>
      <c r="C254" s="402" t="s">
        <v>707</v>
      </c>
      <c r="G254" s="809">
        <f t="shared" si="143"/>
        <v>8.7664834054348398E-2</v>
      </c>
      <c r="H254" s="809">
        <f t="shared" si="143"/>
        <v>8.7664834054348398E-2</v>
      </c>
      <c r="I254" s="821">
        <f t="shared" si="143"/>
        <v>8.7664834054348398E-2</v>
      </c>
      <c r="J254" s="821">
        <f t="shared" si="143"/>
        <v>8.7664834054348398E-2</v>
      </c>
      <c r="K254" s="821">
        <f t="shared" si="143"/>
        <v>8.7664834054348398E-2</v>
      </c>
      <c r="L254" s="821">
        <f t="shared" si="143"/>
        <v>8.7664834054348398E-2</v>
      </c>
      <c r="M254" s="857">
        <f t="shared" si="143"/>
        <v>9.7664834054348393E-2</v>
      </c>
      <c r="N254"/>
      <c r="O254"/>
      <c r="X254" s="222" t="str">
        <f t="shared" si="142"/>
        <v/>
      </c>
    </row>
    <row r="255" spans="1:24" outlineLevel="1">
      <c r="A255" s="1206" t="s">
        <v>70</v>
      </c>
      <c r="B255" s="610">
        <v>0.11</v>
      </c>
      <c r="C255" s="402" t="s">
        <v>708</v>
      </c>
      <c r="G255" s="809">
        <f t="shared" si="143"/>
        <v>0.11</v>
      </c>
      <c r="H255" s="809">
        <f t="shared" si="143"/>
        <v>0.11</v>
      </c>
      <c r="I255" s="821">
        <f t="shared" si="143"/>
        <v>0.11</v>
      </c>
      <c r="J255" s="821">
        <f t="shared" si="143"/>
        <v>0.12</v>
      </c>
      <c r="K255" s="821">
        <f t="shared" si="143"/>
        <v>0.13</v>
      </c>
      <c r="L255" s="821">
        <f>$B255+L262</f>
        <v>0.14000000000000001</v>
      </c>
      <c r="M255" s="857">
        <f t="shared" si="143"/>
        <v>0.15</v>
      </c>
      <c r="N255"/>
      <c r="O255"/>
      <c r="X255" s="222" t="str">
        <f t="shared" si="142"/>
        <v/>
      </c>
    </row>
    <row r="256" spans="1:24" outlineLevel="1">
      <c r="A256" s="1206"/>
      <c r="B256" s="610"/>
      <c r="G256" s="809"/>
      <c r="H256" s="809"/>
      <c r="I256" s="1207"/>
      <c r="J256" s="1207"/>
      <c r="K256" s="1207"/>
      <c r="L256" s="1207"/>
      <c r="M256" s="1208"/>
      <c r="N256"/>
      <c r="O256"/>
      <c r="X256" s="222"/>
    </row>
    <row r="257" spans="1:24" outlineLevel="1">
      <c r="A257" s="875" t="s">
        <v>709</v>
      </c>
      <c r="B257" s="611"/>
      <c r="G257" s="804"/>
      <c r="H257" s="804"/>
      <c r="I257" s="572"/>
      <c r="J257" s="572"/>
      <c r="K257" s="572"/>
      <c r="L257" s="572"/>
      <c r="M257" s="858"/>
      <c r="N257"/>
      <c r="O257"/>
      <c r="X257" s="222" t="str">
        <f t="shared" ref="X257:X263" si="144">IFERROR(IF((W257/H257)^(1/8)-1&lt;0,"",(W257/H257)^(1/8)-1),"")</f>
        <v/>
      </c>
    </row>
    <row r="258" spans="1:24" outlineLevel="1">
      <c r="A258" s="1206" t="s">
        <v>63</v>
      </c>
      <c r="B258" s="612"/>
      <c r="G258" s="810">
        <v>0</v>
      </c>
      <c r="H258" s="810">
        <v>-5.0000000000000001E-4</v>
      </c>
      <c r="I258" s="613">
        <v>0</v>
      </c>
      <c r="J258" s="613">
        <v>0</v>
      </c>
      <c r="K258" s="613">
        <v>0</v>
      </c>
      <c r="L258" s="613">
        <v>5.0000000000000001E-3</v>
      </c>
      <c r="M258" s="859">
        <v>5.4000000000000003E-3</v>
      </c>
      <c r="N258"/>
      <c r="O258"/>
      <c r="X258" s="222" t="str">
        <f t="shared" si="144"/>
        <v/>
      </c>
    </row>
    <row r="259" spans="1:24" outlineLevel="1">
      <c r="A259" s="1206" t="s">
        <v>67</v>
      </c>
      <c r="B259" s="612"/>
      <c r="G259" s="810">
        <v>0</v>
      </c>
      <c r="H259" s="810">
        <v>-1E-3</v>
      </c>
      <c r="I259" s="613">
        <v>0</v>
      </c>
      <c r="J259" s="613">
        <v>0</v>
      </c>
      <c r="K259" s="613">
        <v>0</v>
      </c>
      <c r="L259" s="613">
        <v>0.01</v>
      </c>
      <c r="M259" s="859">
        <v>7.0000000000000001E-3</v>
      </c>
      <c r="N259"/>
      <c r="O259"/>
      <c r="X259" s="222" t="str">
        <f t="shared" si="144"/>
        <v/>
      </c>
    </row>
    <row r="260" spans="1:24" outlineLevel="1">
      <c r="A260" s="1206" t="s">
        <v>68</v>
      </c>
      <c r="B260" s="612"/>
      <c r="G260" s="810">
        <v>0</v>
      </c>
      <c r="H260" s="810">
        <v>0</v>
      </c>
      <c r="I260" s="613">
        <v>1E-3</v>
      </c>
      <c r="J260" s="613">
        <v>1E-3</v>
      </c>
      <c r="K260" s="613">
        <v>2E-3</v>
      </c>
      <c r="L260" s="613">
        <v>2E-3</v>
      </c>
      <c r="M260" s="859">
        <v>3.4399999999999999E-3</v>
      </c>
      <c r="N260"/>
      <c r="O260"/>
      <c r="X260" s="222" t="str">
        <f t="shared" si="144"/>
        <v/>
      </c>
    </row>
    <row r="261" spans="1:24" outlineLevel="1">
      <c r="A261" s="1206" t="s">
        <v>69</v>
      </c>
      <c r="B261" s="612"/>
      <c r="G261" s="810">
        <v>0</v>
      </c>
      <c r="H261" s="810">
        <v>0</v>
      </c>
      <c r="I261" s="613">
        <v>0</v>
      </c>
      <c r="J261" s="613">
        <v>0</v>
      </c>
      <c r="K261" s="613">
        <v>0</v>
      </c>
      <c r="L261" s="613">
        <v>0</v>
      </c>
      <c r="M261" s="859">
        <v>0.01</v>
      </c>
      <c r="N261"/>
      <c r="O261"/>
      <c r="X261" s="222" t="str">
        <f t="shared" si="144"/>
        <v/>
      </c>
    </row>
    <row r="262" spans="1:24" outlineLevel="1">
      <c r="A262" s="1206" t="s">
        <v>70</v>
      </c>
      <c r="B262" s="612"/>
      <c r="G262" s="810">
        <v>0</v>
      </c>
      <c r="H262" s="810">
        <v>0</v>
      </c>
      <c r="I262" s="613">
        <v>0</v>
      </c>
      <c r="J262" s="613">
        <v>0.01</v>
      </c>
      <c r="K262" s="613">
        <v>0.02</v>
      </c>
      <c r="L262" s="613">
        <v>0.03</v>
      </c>
      <c r="M262" s="859">
        <v>0.04</v>
      </c>
      <c r="O262"/>
      <c r="X262" s="222" t="str">
        <f t="shared" si="144"/>
        <v/>
      </c>
    </row>
    <row r="263" spans="1:24" outlineLevel="1">
      <c r="A263" s="1206"/>
      <c r="B263"/>
      <c r="G263" s="804"/>
      <c r="H263" s="804"/>
      <c r="I263"/>
      <c r="J263"/>
      <c r="K263"/>
      <c r="L263"/>
      <c r="M263" s="1204"/>
      <c r="N263"/>
      <c r="O263"/>
      <c r="X263" s="222" t="str">
        <f t="shared" si="144"/>
        <v/>
      </c>
    </row>
    <row r="264" spans="1:24" outlineLevel="1">
      <c r="A264" s="876" t="s">
        <v>710</v>
      </c>
      <c r="B264" s="1209">
        <f>B252-B251</f>
        <v>9.9999999996945033E-3</v>
      </c>
      <c r="G264" s="475"/>
      <c r="H264" s="475"/>
      <c r="O264"/>
      <c r="X264" s="222" t="str">
        <f>IFERROR(IF((W264/H241)^(1/8)-1&lt;0,"",(W264/H241)^(1/8)-1),"")</f>
        <v/>
      </c>
    </row>
    <row r="265" spans="1:24" outlineLevel="1">
      <c r="A265" s="876"/>
      <c r="B265" s="1209">
        <f>B253-B252</f>
        <v>1.0000004999999992E-2</v>
      </c>
      <c r="G265" s="804"/>
      <c r="H265" s="804"/>
      <c r="I265"/>
      <c r="J265"/>
      <c r="K265"/>
      <c r="L265"/>
      <c r="M265" s="1204"/>
      <c r="N265"/>
      <c r="O265"/>
      <c r="X265" s="222" t="str">
        <f>IFERROR(IF((W265/H265)^(1/8)-1&lt;0,"",(W265/H265)^(1/8)-1),"")</f>
        <v/>
      </c>
    </row>
    <row r="266" spans="1:24" outlineLevel="1">
      <c r="A266" s="876"/>
      <c r="B266" s="1209">
        <f>B254-B253</f>
        <v>1.0000000001485404E-2</v>
      </c>
      <c r="G266" s="804"/>
      <c r="H266" s="804"/>
      <c r="I266"/>
      <c r="J266"/>
      <c r="K266"/>
      <c r="L266"/>
      <c r="M266" s="1204"/>
      <c r="N266"/>
      <c r="O266"/>
      <c r="X266" s="222" t="str">
        <f>IFERROR(IF((W266/H266)^(1/8)-1&lt;0,"",(W266/H266)^(1/8)-1),"")</f>
        <v/>
      </c>
    </row>
    <row r="267" spans="1:24" outlineLevel="1">
      <c r="A267" s="876"/>
      <c r="B267" s="1209">
        <f>B255-B254</f>
        <v>2.2335165945651603E-2</v>
      </c>
      <c r="G267" s="804"/>
      <c r="H267" s="804"/>
      <c r="I267"/>
      <c r="J267"/>
      <c r="K267"/>
      <c r="L267"/>
      <c r="M267" s="1204"/>
      <c r="N267"/>
      <c r="O267"/>
      <c r="X267" s="222" t="str">
        <f>IFERROR(IF((W267/H267)^(1/8)-1&lt;0,"",(W267/H267)^(1/8)-1),"")</f>
        <v/>
      </c>
    </row>
    <row r="268" spans="1:24" outlineLevel="1">
      <c r="G268" s="804"/>
      <c r="H268" s="804"/>
      <c r="I268">
        <v>16.8</v>
      </c>
      <c r="J268">
        <v>19.8</v>
      </c>
      <c r="K268">
        <v>22</v>
      </c>
      <c r="L268">
        <v>21.6</v>
      </c>
      <c r="M268" s="1204">
        <v>19.399999999999999</v>
      </c>
      <c r="N268"/>
      <c r="O268"/>
      <c r="P268"/>
      <c r="X268" s="222" t="str">
        <f>IFERROR(IF((W268/H268)^(1/8)-1&lt;0,"",(W268/H268)^(1/8)-1),"")</f>
        <v/>
      </c>
    </row>
    <row r="269" spans="1:24">
      <c r="A269" s="1206"/>
      <c r="G269" s="475"/>
      <c r="H269" s="475"/>
      <c r="I269" s="43">
        <v>20</v>
      </c>
      <c r="J269" s="43">
        <v>23</v>
      </c>
      <c r="K269" s="43">
        <v>22.1</v>
      </c>
      <c r="L269" s="43">
        <v>18.5</v>
      </c>
      <c r="M269" s="1204">
        <v>17.899999999999999</v>
      </c>
      <c r="O269" s="547">
        <v>0.1925990233315247</v>
      </c>
      <c r="P269" s="547">
        <v>0.22699170606929697</v>
      </c>
      <c r="Q269" s="547">
        <v>0.25221300674366326</v>
      </c>
      <c r="R269" s="547">
        <v>0.24762731571196034</v>
      </c>
      <c r="S269" s="547">
        <v>0.22240601503759397</v>
      </c>
      <c r="T269" s="1"/>
      <c r="U269"/>
      <c r="X269" s="222" t="str">
        <f t="shared" ref="X269:X311" si="145">IFERROR(IF((W269/R269)^(1/8)-1&lt;0,"",(W269/R269)^(1/8)-1),"")</f>
        <v/>
      </c>
    </row>
    <row r="270" spans="1:24">
      <c r="A270" s="516"/>
      <c r="G270" s="475"/>
      <c r="H270" s="475"/>
      <c r="M270" s="1204"/>
      <c r="N270"/>
      <c r="O270" s="547">
        <v>0.13727055067837193</v>
      </c>
      <c r="P270" s="547">
        <v>0.15786113328012771</v>
      </c>
      <c r="Q270" s="547">
        <v>0.15168395849960098</v>
      </c>
      <c r="R270" s="547">
        <v>0.12697525937749404</v>
      </c>
      <c r="S270" s="547">
        <v>0.12285714285714286</v>
      </c>
      <c r="T270" s="1"/>
      <c r="U270"/>
      <c r="X270" s="222" t="str">
        <f t="shared" si="145"/>
        <v/>
      </c>
    </row>
    <row r="271" spans="1:24" hidden="1" outlineLevel="1">
      <c r="A271" s="876" t="str">
        <f>A228</f>
        <v>Smartphone</v>
      </c>
      <c r="G271" s="811">
        <f t="shared" ref="G271:M271" si="146">G5</f>
        <v>1072</v>
      </c>
      <c r="H271" s="811">
        <f t="shared" si="146"/>
        <v>752</v>
      </c>
      <c r="I271" s="802">
        <f t="shared" si="146"/>
        <v>2355.0000000000005</v>
      </c>
      <c r="J271" s="802">
        <f t="shared" si="146"/>
        <v>3896</v>
      </c>
      <c r="K271" s="802">
        <f t="shared" si="146"/>
        <v>6384</v>
      </c>
      <c r="L271" s="802">
        <f t="shared" si="146"/>
        <v>9857</v>
      </c>
      <c r="M271" s="860">
        <f t="shared" si="146"/>
        <v>10784.9412773692</v>
      </c>
      <c r="N271"/>
      <c r="O271"/>
      <c r="P271"/>
      <c r="Q271"/>
      <c r="R271"/>
      <c r="S271"/>
      <c r="T271" s="1"/>
      <c r="U271"/>
      <c r="X271" s="222" t="str">
        <f t="shared" si="145"/>
        <v/>
      </c>
    </row>
    <row r="272" spans="1:24" hidden="1" outlineLevel="1">
      <c r="A272" s="1206" t="s">
        <v>65</v>
      </c>
      <c r="G272" s="812">
        <f t="shared" ref="G272:M272" si="147">G7</f>
        <v>0</v>
      </c>
      <c r="H272" s="812">
        <f t="shared" si="147"/>
        <v>0</v>
      </c>
      <c r="I272" s="1210">
        <f t="shared" si="147"/>
        <v>0</v>
      </c>
      <c r="J272" s="1210">
        <f t="shared" si="147"/>
        <v>0</v>
      </c>
      <c r="K272" s="1210">
        <f t="shared" si="147"/>
        <v>900</v>
      </c>
      <c r="L272" s="1210">
        <f t="shared" si="147"/>
        <v>2600.348306002099</v>
      </c>
      <c r="M272" s="1211">
        <f t="shared" si="147"/>
        <v>3825.9412773692002</v>
      </c>
      <c r="N272"/>
      <c r="O272"/>
      <c r="P272"/>
      <c r="Q272"/>
      <c r="R272"/>
      <c r="S272"/>
      <c r="T272" s="1"/>
      <c r="U272"/>
      <c r="X272" s="222" t="str">
        <f t="shared" si="145"/>
        <v/>
      </c>
    </row>
    <row r="273" spans="1:24" hidden="1" outlineLevel="1">
      <c r="A273" s="1206" t="s">
        <v>64</v>
      </c>
      <c r="G273" s="812">
        <f t="shared" ref="G273:M273" si="148">G6</f>
        <v>0</v>
      </c>
      <c r="H273" s="812">
        <f t="shared" si="148"/>
        <v>0</v>
      </c>
      <c r="I273" s="1210">
        <f t="shared" si="148"/>
        <v>2200.0000000000005</v>
      </c>
      <c r="J273" s="1210">
        <f t="shared" si="148"/>
        <v>3700</v>
      </c>
      <c r="K273" s="1210">
        <f t="shared" si="148"/>
        <v>5400</v>
      </c>
      <c r="L273" s="1210">
        <f t="shared" si="148"/>
        <v>7200</v>
      </c>
      <c r="M273" s="1211">
        <f t="shared" si="148"/>
        <v>6900</v>
      </c>
      <c r="N273"/>
      <c r="O273" s="1212">
        <f>I273*0.057</f>
        <v>125.40000000000003</v>
      </c>
      <c r="P273"/>
      <c r="Q273"/>
      <c r="R273"/>
      <c r="S273"/>
      <c r="T273" s="1"/>
      <c r="U273"/>
      <c r="X273" s="222" t="str">
        <f t="shared" si="145"/>
        <v/>
      </c>
    </row>
    <row r="274" spans="1:24" hidden="1" outlineLevel="1">
      <c r="A274" s="1206" t="s">
        <v>66</v>
      </c>
      <c r="G274" s="812">
        <f t="shared" ref="G274:M274" si="149">G8</f>
        <v>0</v>
      </c>
      <c r="H274" s="812">
        <f t="shared" si="149"/>
        <v>0</v>
      </c>
      <c r="I274" s="1210">
        <f t="shared" si="149"/>
        <v>155</v>
      </c>
      <c r="J274" s="1210">
        <f t="shared" si="149"/>
        <v>196</v>
      </c>
      <c r="K274" s="1210">
        <f t="shared" si="149"/>
        <v>84</v>
      </c>
      <c r="L274" s="1210">
        <f t="shared" si="149"/>
        <v>56.65169399790102</v>
      </c>
      <c r="M274" s="1211">
        <f t="shared" si="149"/>
        <v>59</v>
      </c>
      <c r="O274" s="1213">
        <f>I274*0.067</f>
        <v>10.385</v>
      </c>
      <c r="X274" s="222" t="str">
        <f t="shared" si="145"/>
        <v/>
      </c>
    </row>
    <row r="275" spans="1:24" hidden="1" outlineLevel="1">
      <c r="G275" s="475"/>
      <c r="H275" s="475"/>
      <c r="X275" s="222" t="str">
        <f t="shared" si="145"/>
        <v/>
      </c>
    </row>
    <row r="276" spans="1:24" hidden="1" outlineLevel="1">
      <c r="A276" s="876" t="s">
        <v>699</v>
      </c>
      <c r="G276" s="811">
        <f t="shared" ref="G276:M276" si="150">G48</f>
        <v>61.816696744996634</v>
      </c>
      <c r="H276" s="811">
        <f t="shared" si="150"/>
        <v>42.987951447982709</v>
      </c>
      <c r="I276" s="802">
        <f t="shared" si="150"/>
        <v>135.80067242021184</v>
      </c>
      <c r="J276" s="802">
        <f t="shared" si="150"/>
        <v>224.66217399114447</v>
      </c>
      <c r="K276" s="802">
        <f t="shared" si="150"/>
        <v>368.13226867542767</v>
      </c>
      <c r="L276" s="802">
        <f t="shared" si="150"/>
        <v>617.6872199770819</v>
      </c>
      <c r="M276" s="860">
        <f t="shared" si="150"/>
        <v>680.15047800574928</v>
      </c>
      <c r="X276" s="222" t="str">
        <f t="shared" si="145"/>
        <v/>
      </c>
    </row>
    <row r="277" spans="1:24" hidden="1" outlineLevel="1">
      <c r="A277" s="877" t="s">
        <v>483</v>
      </c>
      <c r="G277" s="813">
        <f t="shared" ref="G277:M277" si="151">G59</f>
        <v>5.7664829053168498E-2</v>
      </c>
      <c r="H277" s="813">
        <f t="shared" si="151"/>
        <v>5.7164829053168498E-2</v>
      </c>
      <c r="I277" s="1214">
        <f t="shared" si="151"/>
        <v>5.7664829053168498E-2</v>
      </c>
      <c r="J277" s="1214">
        <f t="shared" si="151"/>
        <v>5.7664829053168498E-2</v>
      </c>
      <c r="K277" s="1214">
        <f t="shared" si="151"/>
        <v>5.7664829053168498E-2</v>
      </c>
      <c r="L277" s="1214">
        <f t="shared" si="151"/>
        <v>6.2664829053168503E-2</v>
      </c>
      <c r="M277" s="1215">
        <f t="shared" si="151"/>
        <v>6.30648290531685E-2</v>
      </c>
      <c r="X277" s="222" t="str">
        <f t="shared" si="145"/>
        <v/>
      </c>
    </row>
    <row r="278" spans="1:24" hidden="1" outlineLevel="1">
      <c r="A278" s="877"/>
      <c r="G278" s="475"/>
      <c r="H278" s="475"/>
      <c r="X278" s="222" t="str">
        <f t="shared" si="145"/>
        <v/>
      </c>
    </row>
    <row r="279" spans="1:24" hidden="1" outlineLevel="1">
      <c r="A279" s="876" t="s">
        <v>700</v>
      </c>
      <c r="G279" s="811">
        <f t="shared" ref="G279:M279" si="152">SUM(G285:G287)</f>
        <v>0</v>
      </c>
      <c r="H279" s="811">
        <f t="shared" si="152"/>
        <v>0</v>
      </c>
      <c r="I279" s="802">
        <f t="shared" si="152"/>
        <v>137.67500000000004</v>
      </c>
      <c r="J279" s="802">
        <f t="shared" si="152"/>
        <v>227.34000000000003</v>
      </c>
      <c r="K279" s="802">
        <f t="shared" si="152"/>
        <v>367.26</v>
      </c>
      <c r="L279" s="802">
        <f t="shared" si="152"/>
        <v>616.16960125696744</v>
      </c>
      <c r="M279" s="860">
        <f t="shared" si="152"/>
        <v>677.11185315309967</v>
      </c>
      <c r="X279" s="222" t="str">
        <f t="shared" si="145"/>
        <v/>
      </c>
    </row>
    <row r="280" spans="1:24" hidden="1" outlineLevel="1">
      <c r="A280" s="877" t="s">
        <v>483</v>
      </c>
      <c r="G280" s="475"/>
      <c r="H280" s="475"/>
      <c r="X280" s="222" t="str">
        <f t="shared" si="145"/>
        <v/>
      </c>
    </row>
    <row r="281" spans="1:24" hidden="1" outlineLevel="1">
      <c r="A281" s="877"/>
      <c r="G281" s="814"/>
      <c r="H281" s="814"/>
      <c r="I281" s="479"/>
      <c r="J281" s="479"/>
      <c r="K281" s="479"/>
      <c r="L281" s="479"/>
      <c r="M281" s="663"/>
      <c r="N281"/>
      <c r="O281" s="614" t="s">
        <v>701</v>
      </c>
      <c r="X281" s="222" t="str">
        <f t="shared" si="145"/>
        <v/>
      </c>
    </row>
    <row r="282" spans="1:24" hidden="1" outlineLevel="1">
      <c r="A282" s="878" t="s">
        <v>702</v>
      </c>
      <c r="G282" s="815"/>
      <c r="H282" s="815"/>
      <c r="I282" s="117">
        <f>I276-I279</f>
        <v>-1.8743275797882006</v>
      </c>
      <c r="J282" s="117">
        <f>J276-J279</f>
        <v>-2.6778260088555612</v>
      </c>
      <c r="K282" s="117">
        <f>K276-K279</f>
        <v>0.8722686754276765</v>
      </c>
      <c r="L282" s="117">
        <f>L276-L279</f>
        <v>1.5176187201144558</v>
      </c>
      <c r="M282" s="850">
        <f>M276-M279</f>
        <v>3.0386248526496047</v>
      </c>
      <c r="O282" s="596">
        <f>SUM(I282:M282)</f>
        <v>0.87635865954797509</v>
      </c>
      <c r="X282" s="222" t="str">
        <f t="shared" si="145"/>
        <v/>
      </c>
    </row>
    <row r="283" spans="1:24" hidden="1" outlineLevel="1">
      <c r="A283" s="877"/>
      <c r="G283" s="475"/>
      <c r="H283" s="475"/>
      <c r="X283" s="222" t="str">
        <f t="shared" si="145"/>
        <v/>
      </c>
    </row>
    <row r="284" spans="1:24" hidden="1" outlineLevel="1">
      <c r="A284" s="876" t="s">
        <v>703</v>
      </c>
      <c r="G284" s="816"/>
      <c r="H284" s="475"/>
      <c r="X284" s="222" t="str">
        <f t="shared" si="145"/>
        <v/>
      </c>
    </row>
    <row r="285" spans="1:24" hidden="1" outlineLevel="1">
      <c r="A285" s="1206" t="s">
        <v>65</v>
      </c>
      <c r="G285" s="816">
        <f t="shared" ref="G285:M287" si="153">G272*G290</f>
        <v>0</v>
      </c>
      <c r="H285" s="816">
        <f t="shared" si="153"/>
        <v>0</v>
      </c>
      <c r="I285" s="1216">
        <f t="shared" si="153"/>
        <v>0</v>
      </c>
      <c r="J285" s="1216">
        <f t="shared" si="153"/>
        <v>0</v>
      </c>
      <c r="K285" s="1216">
        <f t="shared" si="153"/>
        <v>48.6</v>
      </c>
      <c r="L285" s="1216">
        <f t="shared" si="153"/>
        <v>154.72072420712487</v>
      </c>
      <c r="M285" s="1217">
        <f t="shared" si="153"/>
        <v>231.0868531530997</v>
      </c>
      <c r="X285" s="222" t="str">
        <f t="shared" si="145"/>
        <v/>
      </c>
    </row>
    <row r="286" spans="1:24" hidden="1" outlineLevel="1">
      <c r="A286" s="1206" t="s">
        <v>64</v>
      </c>
      <c r="G286" s="816">
        <f t="shared" si="153"/>
        <v>0</v>
      </c>
      <c r="H286" s="816">
        <f t="shared" si="153"/>
        <v>0</v>
      </c>
      <c r="I286" s="1216">
        <f t="shared" si="153"/>
        <v>127.60000000000004</v>
      </c>
      <c r="J286" s="1216">
        <f t="shared" si="153"/>
        <v>214.60000000000002</v>
      </c>
      <c r="K286" s="1216">
        <f t="shared" si="153"/>
        <v>313.2</v>
      </c>
      <c r="L286" s="1216">
        <f t="shared" si="153"/>
        <v>457.2</v>
      </c>
      <c r="M286" s="1217">
        <f t="shared" si="153"/>
        <v>441.6</v>
      </c>
      <c r="X286" s="222" t="str">
        <f t="shared" si="145"/>
        <v/>
      </c>
    </row>
    <row r="287" spans="1:24" hidden="1" outlineLevel="1">
      <c r="A287" s="1206" t="s">
        <v>66</v>
      </c>
      <c r="G287" s="816">
        <f t="shared" si="153"/>
        <v>0</v>
      </c>
      <c r="H287" s="816">
        <f t="shared" si="153"/>
        <v>0</v>
      </c>
      <c r="I287" s="1216">
        <f t="shared" si="153"/>
        <v>10.075000000000001</v>
      </c>
      <c r="J287" s="1216">
        <f t="shared" si="153"/>
        <v>12.74</v>
      </c>
      <c r="K287" s="1216">
        <f t="shared" si="153"/>
        <v>5.46</v>
      </c>
      <c r="L287" s="1216">
        <f t="shared" si="153"/>
        <v>4.2488770498425765</v>
      </c>
      <c r="M287" s="1217">
        <f t="shared" si="153"/>
        <v>4.4249999999999998</v>
      </c>
      <c r="X287" s="222" t="str">
        <f t="shared" si="145"/>
        <v/>
      </c>
    </row>
    <row r="288" spans="1:24" hidden="1" outlineLevel="1">
      <c r="G288" s="475"/>
      <c r="H288" s="475"/>
      <c r="X288" s="222" t="str">
        <f t="shared" si="145"/>
        <v/>
      </c>
    </row>
    <row r="289" spans="1:24" hidden="1" outlineLevel="1">
      <c r="A289" s="876" t="s">
        <v>704</v>
      </c>
      <c r="B289" s="410"/>
      <c r="G289" s="475"/>
      <c r="H289" s="475"/>
      <c r="X289" s="222" t="str">
        <f t="shared" si="145"/>
        <v/>
      </c>
    </row>
    <row r="290" spans="1:24" hidden="1" outlineLevel="1">
      <c r="A290" s="1206" t="s">
        <v>65</v>
      </c>
      <c r="B290" s="803">
        <v>5.3999999999999999E-2</v>
      </c>
      <c r="G290" s="817">
        <f t="shared" ref="G290:M292" si="154">$B290+G295</f>
        <v>5.3999999999999999E-2</v>
      </c>
      <c r="H290" s="817">
        <f t="shared" si="154"/>
        <v>5.3499999999999999E-2</v>
      </c>
      <c r="I290" s="1218">
        <f t="shared" si="154"/>
        <v>5.3999999999999999E-2</v>
      </c>
      <c r="J290" s="1218">
        <f t="shared" si="154"/>
        <v>5.3999999999999999E-2</v>
      </c>
      <c r="K290" s="1218">
        <f t="shared" si="154"/>
        <v>5.3999999999999999E-2</v>
      </c>
      <c r="L290" s="1218">
        <f t="shared" si="154"/>
        <v>5.9499999999999997E-2</v>
      </c>
      <c r="M290" s="1219">
        <f t="shared" si="154"/>
        <v>6.0400000000000002E-2</v>
      </c>
      <c r="O290" s="408">
        <v>5.6369733331605242E-2</v>
      </c>
      <c r="X290" s="222" t="str">
        <f t="shared" si="145"/>
        <v/>
      </c>
    </row>
    <row r="291" spans="1:24" hidden="1" outlineLevel="1">
      <c r="A291" s="1206" t="s">
        <v>64</v>
      </c>
      <c r="B291" s="803">
        <v>5.8000000000000003E-2</v>
      </c>
      <c r="G291" s="817">
        <f t="shared" si="154"/>
        <v>5.8000000000000003E-2</v>
      </c>
      <c r="H291" s="817">
        <f t="shared" si="154"/>
        <v>5.8000000000000003E-2</v>
      </c>
      <c r="I291" s="1218">
        <f t="shared" si="154"/>
        <v>5.8000000000000003E-2</v>
      </c>
      <c r="J291" s="1218">
        <f t="shared" si="154"/>
        <v>5.8000000000000003E-2</v>
      </c>
      <c r="K291" s="1218">
        <f t="shared" si="154"/>
        <v>5.8000000000000003E-2</v>
      </c>
      <c r="L291" s="1218">
        <f t="shared" si="154"/>
        <v>6.3500000000000001E-2</v>
      </c>
      <c r="M291" s="1219">
        <f t="shared" si="154"/>
        <v>6.4000000000000001E-2</v>
      </c>
      <c r="O291" s="408">
        <v>6.1019346938123865E-2</v>
      </c>
      <c r="X291" s="222" t="str">
        <f t="shared" si="145"/>
        <v/>
      </c>
    </row>
    <row r="292" spans="1:24" hidden="1" outlineLevel="1">
      <c r="A292" s="1206" t="s">
        <v>66</v>
      </c>
      <c r="B292" s="803">
        <v>6.5000000000000002E-2</v>
      </c>
      <c r="G292" s="817">
        <f t="shared" si="154"/>
        <v>6.5000000000000002E-2</v>
      </c>
      <c r="H292" s="817">
        <f t="shared" si="154"/>
        <v>6.5000000000000002E-2</v>
      </c>
      <c r="I292" s="1218">
        <f t="shared" si="154"/>
        <v>6.5000000000000002E-2</v>
      </c>
      <c r="J292" s="1218">
        <f t="shared" si="154"/>
        <v>6.5000000000000002E-2</v>
      </c>
      <c r="K292" s="1218">
        <f t="shared" si="154"/>
        <v>6.5000000000000002E-2</v>
      </c>
      <c r="L292" s="1218">
        <f t="shared" si="154"/>
        <v>7.4999999999999997E-2</v>
      </c>
      <c r="M292" s="1219">
        <f t="shared" si="154"/>
        <v>7.4999999999999997E-2</v>
      </c>
      <c r="O292" s="408">
        <v>6.8119109012937634E-2</v>
      </c>
      <c r="X292" s="222" t="str">
        <f t="shared" si="145"/>
        <v/>
      </c>
    </row>
    <row r="293" spans="1:24" hidden="1" outlineLevel="1">
      <c r="A293" s="1206"/>
      <c r="G293" s="475"/>
      <c r="H293" s="475"/>
      <c r="X293" s="222" t="str">
        <f t="shared" si="145"/>
        <v/>
      </c>
    </row>
    <row r="294" spans="1:24" hidden="1" outlineLevel="1">
      <c r="A294" s="875" t="s">
        <v>709</v>
      </c>
      <c r="G294" s="475"/>
      <c r="H294" s="475"/>
      <c r="X294" s="222" t="str">
        <f t="shared" si="145"/>
        <v/>
      </c>
    </row>
    <row r="295" spans="1:24" hidden="1" outlineLevel="1">
      <c r="A295" s="1206" t="s">
        <v>65</v>
      </c>
      <c r="G295" s="818">
        <v>0</v>
      </c>
      <c r="H295" s="819">
        <v>-5.0000000000000001E-4</v>
      </c>
      <c r="I295" s="1220">
        <v>0</v>
      </c>
      <c r="J295" s="1220">
        <v>0</v>
      </c>
      <c r="K295" s="1220">
        <v>0</v>
      </c>
      <c r="L295" s="1220">
        <v>5.4999999999999997E-3</v>
      </c>
      <c r="M295" s="1215">
        <v>6.4000000000000003E-3</v>
      </c>
      <c r="X295" s="222" t="str">
        <f t="shared" si="145"/>
        <v/>
      </c>
    </row>
    <row r="296" spans="1:24" hidden="1" outlineLevel="1">
      <c r="A296" s="1206" t="s">
        <v>64</v>
      </c>
      <c r="G296" s="818">
        <v>0</v>
      </c>
      <c r="H296" s="818">
        <v>0</v>
      </c>
      <c r="I296" s="1220">
        <v>0</v>
      </c>
      <c r="J296" s="1220">
        <v>0</v>
      </c>
      <c r="K296" s="1220">
        <v>0</v>
      </c>
      <c r="L296" s="1220">
        <v>5.4999999999999997E-3</v>
      </c>
      <c r="M296" s="1215">
        <v>6.0000000000000001E-3</v>
      </c>
      <c r="X296" s="222" t="str">
        <f t="shared" si="145"/>
        <v/>
      </c>
    </row>
    <row r="297" spans="1:24" hidden="1" outlineLevel="1">
      <c r="A297" s="1206" t="s">
        <v>66</v>
      </c>
      <c r="G297" s="818">
        <v>0</v>
      </c>
      <c r="H297" s="818">
        <v>0</v>
      </c>
      <c r="I297" s="1220">
        <v>0</v>
      </c>
      <c r="J297" s="1220">
        <v>0</v>
      </c>
      <c r="K297" s="1220">
        <v>0</v>
      </c>
      <c r="L297" s="1220">
        <v>0.01</v>
      </c>
      <c r="M297" s="1215">
        <v>0.01</v>
      </c>
      <c r="X297" s="222" t="str">
        <f t="shared" si="145"/>
        <v/>
      </c>
    </row>
    <row r="298" spans="1:24" hidden="1" outlineLevel="1">
      <c r="G298" s="475"/>
      <c r="H298" s="475"/>
      <c r="X298" s="222" t="str">
        <f t="shared" si="145"/>
        <v/>
      </c>
    </row>
    <row r="299" spans="1:24" hidden="1" outlineLevel="1">
      <c r="A299" s="876" t="s">
        <v>710</v>
      </c>
      <c r="B299" s="1209">
        <f>B291-B290</f>
        <v>4.0000000000000036E-3</v>
      </c>
      <c r="L299" s="501">
        <f>L296-L295</f>
        <v>0</v>
      </c>
      <c r="M299" s="1163">
        <f>M296-M295</f>
        <v>-4.0000000000000018E-4</v>
      </c>
      <c r="X299" s="222" t="str">
        <f t="shared" si="145"/>
        <v/>
      </c>
    </row>
    <row r="300" spans="1:24" hidden="1" outlineLevel="1">
      <c r="B300" s="1209">
        <f>B292-B291</f>
        <v>6.9999999999999993E-3</v>
      </c>
      <c r="X300" s="222" t="str">
        <f t="shared" si="145"/>
        <v/>
      </c>
    </row>
    <row r="301" spans="1:24" hidden="1" outlineLevel="1">
      <c r="X301" s="222" t="str">
        <f t="shared" si="145"/>
        <v/>
      </c>
    </row>
    <row r="302" spans="1:24" hidden="1" outlineLevel="1">
      <c r="G302" s="410" t="s">
        <v>711</v>
      </c>
      <c r="X302" s="222" t="str">
        <f t="shared" si="145"/>
        <v/>
      </c>
    </row>
    <row r="303" spans="1:24" hidden="1" outlineLevel="1">
      <c r="G303" s="303" t="s">
        <v>712</v>
      </c>
      <c r="X303" s="222" t="str">
        <f t="shared" si="145"/>
        <v/>
      </c>
    </row>
    <row r="304" spans="1:24" hidden="1" outlineLevel="1">
      <c r="X304" s="222" t="str">
        <f t="shared" si="145"/>
        <v/>
      </c>
    </row>
    <row r="305" spans="7:24" hidden="1" outlineLevel="1">
      <c r="I305" s="43" t="s">
        <v>674</v>
      </c>
      <c r="X305" s="222" t="str">
        <f t="shared" si="145"/>
        <v/>
      </c>
    </row>
    <row r="306" spans="7:24" hidden="1" outlineLevel="1">
      <c r="I306" s="43" t="s">
        <v>64</v>
      </c>
      <c r="X306" s="222" t="str">
        <f t="shared" si="145"/>
        <v/>
      </c>
    </row>
    <row r="307" spans="7:24" hidden="1" outlineLevel="1">
      <c r="I307" s="43" t="s">
        <v>713</v>
      </c>
      <c r="X307" s="222" t="str">
        <f t="shared" si="145"/>
        <v/>
      </c>
    </row>
    <row r="308" spans="7:24" hidden="1" outlineLevel="1">
      <c r="X308" s="222" t="str">
        <f t="shared" si="145"/>
        <v/>
      </c>
    </row>
    <row r="309" spans="7:24" hidden="1" outlineLevel="1">
      <c r="G309" s="1221" t="s">
        <v>714</v>
      </c>
      <c r="X309" s="222" t="str">
        <f t="shared" si="145"/>
        <v/>
      </c>
    </row>
    <row r="310" spans="7:24" hidden="1" outlineLevel="1">
      <c r="X310" s="222" t="str">
        <f t="shared" si="145"/>
        <v/>
      </c>
    </row>
    <row r="311" spans="7:24" collapsed="1">
      <c r="I311" s="43">
        <f t="shared" ref="I311:J311" si="155">I268*$M$314</f>
        <v>0</v>
      </c>
      <c r="J311" s="43">
        <f t="shared" si="155"/>
        <v>0</v>
      </c>
      <c r="K311" s="43">
        <f>K268*$M$314</f>
        <v>0</v>
      </c>
      <c r="L311" s="43">
        <f>L268*$M$314</f>
        <v>0</v>
      </c>
      <c r="M311" s="1180">
        <f>T5</f>
        <v>0</v>
      </c>
      <c r="X311" s="222" t="str">
        <f t="shared" si="145"/>
        <v/>
      </c>
    </row>
    <row r="312" spans="7:24">
      <c r="I312" s="43">
        <f t="shared" ref="I312:K312" si="156">I269*$M$313</f>
        <v>0</v>
      </c>
      <c r="J312" s="43">
        <f t="shared" si="156"/>
        <v>0</v>
      </c>
      <c r="K312" s="43">
        <f t="shared" si="156"/>
        <v>0</v>
      </c>
      <c r="L312" s="43">
        <f>L269*$M$313</f>
        <v>0</v>
      </c>
      <c r="M312" s="1180">
        <f>T4</f>
        <v>0</v>
      </c>
      <c r="O312" s="57">
        <f>O269/100</f>
        <v>1.9259902333152472E-3</v>
      </c>
      <c r="P312" s="57">
        <f t="shared" ref="P312:S312" si="157">P269/100</f>
        <v>2.2699170606929695E-3</v>
      </c>
      <c r="Q312" s="57">
        <f t="shared" si="157"/>
        <v>2.5221300674366327E-3</v>
      </c>
      <c r="R312" s="57">
        <f t="shared" si="157"/>
        <v>2.4762731571196035E-3</v>
      </c>
      <c r="S312" s="57">
        <f t="shared" si="157"/>
        <v>2.2240601503759395E-3</v>
      </c>
    </row>
    <row r="313" spans="7:24">
      <c r="M313" s="1129">
        <f>M312/M269</f>
        <v>0</v>
      </c>
      <c r="O313" s="57">
        <f>O270/100</f>
        <v>1.3727055067837193E-3</v>
      </c>
      <c r="P313" s="57">
        <f t="shared" ref="P313:S313" si="158">P270/100</f>
        <v>1.5786113328012772E-3</v>
      </c>
      <c r="Q313" s="57">
        <f t="shared" si="158"/>
        <v>1.5168395849960098E-3</v>
      </c>
      <c r="R313" s="57">
        <f t="shared" si="158"/>
        <v>1.2697525937749405E-3</v>
      </c>
      <c r="S313" s="57">
        <f t="shared" si="158"/>
        <v>1.2285714285714287E-3</v>
      </c>
    </row>
    <row r="314" spans="7:24">
      <c r="M314" s="43">
        <f>M311/M268</f>
        <v>0</v>
      </c>
    </row>
  </sheetData>
  <mergeCells count="2">
    <mergeCell ref="Y57:Y66"/>
    <mergeCell ref="U1:W1"/>
  </mergeCells>
  <conditionalFormatting sqref="G241:M241 O241">
    <cfRule type="cellIs" dxfId="11" priority="3" operator="lessThan">
      <formula>0</formula>
    </cfRule>
    <cfRule type="cellIs" dxfId="10" priority="4" operator="greaterThan">
      <formula>0</formula>
    </cfRule>
  </conditionalFormatting>
  <conditionalFormatting sqref="G282:M282 O282">
    <cfRule type="cellIs" dxfId="9" priority="1" operator="lessThan">
      <formula>0</formula>
    </cfRule>
    <cfRule type="cellIs" dxfId="8" priority="2" operator="greaterThan">
      <formula>0</formula>
    </cfRule>
  </conditionalFormatting>
  <hyperlinks>
    <hyperlink ref="G309" r:id="rId1" xr:uid="{2FC7D185-0FFD-464C-9D82-E12B32DC2583}"/>
  </hyperlinks>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26EA-D5E2-4201-9728-1D81D2A81EA9}">
  <sheetPr>
    <tabColor theme="5" tint="0.39997558519241921"/>
  </sheetPr>
  <dimension ref="A1:XFD290"/>
  <sheetViews>
    <sheetView zoomScale="91" zoomScaleNormal="100" workbookViewId="0">
      <pane xSplit="2" topLeftCell="D1" activePane="topRight" state="frozen"/>
      <selection pane="topRight" activeCell="I11" sqref="I11:M11"/>
    </sheetView>
  </sheetViews>
  <sheetFormatPr defaultColWidth="8.85546875" defaultRowHeight="15" outlineLevelCol="1"/>
  <cols>
    <col min="1" max="1" width="54.140625" style="78" customWidth="1"/>
    <col min="2" max="2" width="23" style="78" hidden="1" customWidth="1"/>
    <col min="3" max="6" width="9.85546875" style="1" customWidth="1"/>
    <col min="7" max="7" width="9.85546875" style="1230" customWidth="1"/>
    <col min="8" max="8" width="12.5703125" style="1" bestFit="1" customWidth="1" outlineLevel="1"/>
    <col min="9" max="14" width="9.85546875" style="1" customWidth="1" outlineLevel="1"/>
    <col min="15" max="15" width="10.7109375" style="17" customWidth="1" outlineLevel="1"/>
    <col min="16" max="17" width="10.7109375" style="1" customWidth="1" outlineLevel="1"/>
    <col min="18" max="21" width="10.85546875" style="1" customWidth="1" outlineLevel="1"/>
    <col min="22" max="22" width="11.140625" style="1" customWidth="1" outlineLevel="1"/>
    <col min="23" max="23" width="11.5703125" style="1" customWidth="1" outlineLevel="1"/>
    <col min="24" max="24" width="108.140625" style="60" customWidth="1"/>
    <col min="25" max="25" width="122.5703125" style="1" customWidth="1"/>
    <col min="26" max="26" width="200.42578125" style="1" customWidth="1"/>
    <col min="27" max="28" width="9.5703125" style="1" bestFit="1" customWidth="1"/>
    <col min="29" max="30" width="11.85546875" style="1" bestFit="1" customWidth="1"/>
    <col min="31" max="33" width="8.85546875" style="1"/>
    <col min="34" max="34" width="27" style="1" customWidth="1"/>
    <col min="35" max="35" width="27.140625" style="1" bestFit="1" customWidth="1"/>
    <col min="36" max="36" width="15.5703125" style="1" bestFit="1" customWidth="1"/>
    <col min="37" max="45" width="12.5703125" style="1" bestFit="1" customWidth="1"/>
    <col min="46" max="16384" width="8.85546875" style="1"/>
  </cols>
  <sheetData>
    <row r="1" spans="1:119" s="381" customFormat="1">
      <c r="A1" s="1223" t="s">
        <v>715</v>
      </c>
      <c r="B1" s="1222"/>
      <c r="C1" s="381" t="str">
        <f>'A. FS'!I1</f>
        <v>2018A</v>
      </c>
      <c r="D1" s="381" t="str">
        <f>'A. FS'!J1</f>
        <v>2019A</v>
      </c>
      <c r="E1" s="381" t="str">
        <f>'A. FS'!K1</f>
        <v>2020A</v>
      </c>
      <c r="F1" s="381" t="str">
        <f>'A. FS'!L1</f>
        <v>2021A</v>
      </c>
      <c r="G1" s="906" t="str">
        <f>'A. FS'!M1</f>
        <v>2022A</v>
      </c>
      <c r="H1" s="381" t="str">
        <f>'A. FS'!N1</f>
        <v>2023E</v>
      </c>
      <c r="I1" s="381" t="str">
        <f>'A. FS'!O1</f>
        <v>2024E</v>
      </c>
      <c r="J1" s="381" t="str">
        <f>'A. FS'!P1</f>
        <v>2025E</v>
      </c>
      <c r="K1" s="381" t="str">
        <f>'A. FS'!Q1</f>
        <v>2026E</v>
      </c>
      <c r="L1" s="381" t="str">
        <f>'A. FS'!R1</f>
        <v>2027E</v>
      </c>
      <c r="M1" s="381" t="str">
        <f>'A. FS'!S1</f>
        <v>2028E</v>
      </c>
      <c r="O1" s="1598" t="s">
        <v>648</v>
      </c>
      <c r="P1" s="1598"/>
      <c r="Q1" s="1598"/>
      <c r="X1" s="1224"/>
      <c r="Y1" s="1225"/>
      <c r="Z1" s="1225"/>
      <c r="AA1" s="381" t="s">
        <v>716</v>
      </c>
      <c r="AB1" s="381" t="s">
        <v>717</v>
      </c>
      <c r="AC1" s="381" t="s">
        <v>718</v>
      </c>
      <c r="AD1" s="381" t="s">
        <v>719</v>
      </c>
      <c r="AG1" s="381" t="s">
        <v>446</v>
      </c>
      <c r="AH1" s="381" t="s">
        <v>447</v>
      </c>
      <c r="AI1" s="381" t="s">
        <v>448</v>
      </c>
      <c r="AJ1" s="1226" t="s">
        <v>449</v>
      </c>
      <c r="AK1" s="381" t="s">
        <v>450</v>
      </c>
      <c r="AL1" s="381" t="s">
        <v>451</v>
      </c>
      <c r="AM1" s="381" t="s">
        <v>452</v>
      </c>
      <c r="AN1" s="1226" t="s">
        <v>453</v>
      </c>
      <c r="AO1" s="381" t="s">
        <v>454</v>
      </c>
      <c r="AP1" s="381" t="s">
        <v>455</v>
      </c>
      <c r="AQ1" s="381" t="s">
        <v>456</v>
      </c>
      <c r="AR1" s="1226" t="s">
        <v>457</v>
      </c>
      <c r="AS1" s="381" t="s">
        <v>458</v>
      </c>
      <c r="AT1" s="381" t="s">
        <v>459</v>
      </c>
      <c r="AU1" s="381" t="s">
        <v>460</v>
      </c>
      <c r="AV1" s="1226" t="s">
        <v>461</v>
      </c>
      <c r="AW1" s="381" t="s">
        <v>462</v>
      </c>
      <c r="AX1" s="381" t="s">
        <v>463</v>
      </c>
      <c r="AY1" s="381" t="s">
        <v>464</v>
      </c>
      <c r="AZ1" s="1226" t="s">
        <v>465</v>
      </c>
      <c r="BA1" s="381" t="s">
        <v>466</v>
      </c>
      <c r="BB1" s="381" t="s">
        <v>467</v>
      </c>
      <c r="BE1" s="381" t="s">
        <v>286</v>
      </c>
      <c r="BF1" s="381" t="s">
        <v>446</v>
      </c>
      <c r="BG1" s="381" t="s">
        <v>447</v>
      </c>
      <c r="BH1" s="381" t="s">
        <v>448</v>
      </c>
      <c r="BI1" s="1226" t="s">
        <v>449</v>
      </c>
      <c r="BJ1" s="381" t="s">
        <v>450</v>
      </c>
      <c r="BK1" s="381" t="s">
        <v>451</v>
      </c>
      <c r="BL1" s="381" t="s">
        <v>452</v>
      </c>
      <c r="BM1" s="1226" t="s">
        <v>453</v>
      </c>
      <c r="BN1" s="381" t="s">
        <v>454</v>
      </c>
      <c r="BO1" s="381" t="s">
        <v>455</v>
      </c>
      <c r="BP1" s="381" t="s">
        <v>456</v>
      </c>
      <c r="BQ1" s="1226" t="s">
        <v>457</v>
      </c>
      <c r="BR1" s="381" t="s">
        <v>458</v>
      </c>
      <c r="BS1" s="381" t="s">
        <v>459</v>
      </c>
      <c r="BT1" s="381" t="s">
        <v>460</v>
      </c>
      <c r="BU1" s="1226" t="s">
        <v>461</v>
      </c>
      <c r="BV1" s="381" t="s">
        <v>462</v>
      </c>
      <c r="BW1" s="381" t="s">
        <v>463</v>
      </c>
      <c r="BX1" s="381" t="s">
        <v>464</v>
      </c>
      <c r="BY1" s="1226" t="s">
        <v>465</v>
      </c>
      <c r="BZ1" s="381" t="s">
        <v>466</v>
      </c>
      <c r="CA1" s="381" t="s">
        <v>467</v>
      </c>
      <c r="CC1" s="1226"/>
    </row>
    <row r="2" spans="1:119" s="382" customFormat="1">
      <c r="A2" s="1227"/>
      <c r="B2" s="1227"/>
      <c r="G2" s="907"/>
      <c r="M2" s="61"/>
      <c r="N2" s="61"/>
      <c r="O2" s="222"/>
      <c r="P2" s="223"/>
      <c r="Q2" s="223"/>
      <c r="R2" s="223"/>
      <c r="S2" s="223"/>
      <c r="T2" s="223"/>
      <c r="U2" s="223"/>
      <c r="V2" s="163"/>
      <c r="X2" s="162"/>
      <c r="Y2" s="2"/>
      <c r="Z2" s="2"/>
      <c r="AG2" s="1228" t="s">
        <v>720</v>
      </c>
    </row>
    <row r="3" spans="1:119" s="198" customFormat="1">
      <c r="A3" s="79" t="s">
        <v>721</v>
      </c>
      <c r="B3" s="79"/>
      <c r="C3" s="7">
        <f>C5+C7+C9</f>
        <v>2355.0000000000005</v>
      </c>
      <c r="D3" s="7">
        <f>D5+D7+D9</f>
        <v>3896</v>
      </c>
      <c r="E3" s="7">
        <f t="shared" ref="E3:M3" si="0">E5+E7+E9</f>
        <v>6384</v>
      </c>
      <c r="F3" s="7">
        <f t="shared" si="0"/>
        <v>9857</v>
      </c>
      <c r="G3" s="386">
        <f t="shared" si="0"/>
        <v>10784.9412773692</v>
      </c>
      <c r="H3" s="7">
        <f>H5+H7+H9</f>
        <v>8959.6573902906985</v>
      </c>
      <c r="I3" s="7">
        <f t="shared" si="0"/>
        <v>10198.569412308958</v>
      </c>
      <c r="J3" s="7">
        <f>J5+J7+J9</f>
        <v>11561.070858302031</v>
      </c>
      <c r="K3" s="7">
        <f>K5+K7+K9</f>
        <v>12556.008934714393</v>
      </c>
      <c r="L3" s="41">
        <f t="shared" si="0"/>
        <v>13620.738804027367</v>
      </c>
      <c r="M3" s="7">
        <f t="shared" si="0"/>
        <v>14760.943300648731</v>
      </c>
      <c r="O3" s="1019">
        <f>(M3/I3)^(1/4)-1</f>
        <v>9.6841095827439272E-2</v>
      </c>
      <c r="P3" s="222"/>
      <c r="Q3" s="224"/>
      <c r="R3" s="224"/>
      <c r="S3" s="224"/>
      <c r="T3" s="224"/>
      <c r="U3" s="224"/>
      <c r="V3" s="61"/>
      <c r="W3" s="7"/>
      <c r="X3" s="1601" t="s">
        <v>722</v>
      </c>
      <c r="Y3" s="1"/>
      <c r="Z3" s="1"/>
      <c r="DM3" s="1599" t="s">
        <v>723</v>
      </c>
      <c r="DN3" s="1599"/>
      <c r="DO3" s="1599"/>
    </row>
    <row r="4" spans="1:119">
      <c r="A4" s="80" t="s">
        <v>724</v>
      </c>
      <c r="B4" s="80"/>
      <c r="C4" s="12" t="str">
        <f>IFERROR(C3/A3-1,"")</f>
        <v/>
      </c>
      <c r="D4" s="12">
        <f t="shared" ref="D4:M4" si="1">IFERROR(D3/C3-1,"")</f>
        <v>0.65435244161358774</v>
      </c>
      <c r="E4" s="12">
        <f t="shared" si="1"/>
        <v>0.6386036960985626</v>
      </c>
      <c r="F4" s="12">
        <f t="shared" si="1"/>
        <v>0.54401629072681712</v>
      </c>
      <c r="G4" s="908">
        <f t="shared" si="1"/>
        <v>9.4140334520564029E-2</v>
      </c>
      <c r="H4" s="12">
        <f t="shared" si="1"/>
        <v>-0.16924374830937872</v>
      </c>
      <c r="I4" s="12">
        <f t="shared" si="1"/>
        <v>0.13827671841122302</v>
      </c>
      <c r="J4" s="12">
        <f t="shared" si="1"/>
        <v>0.13359731065306368</v>
      </c>
      <c r="K4" s="12">
        <f t="shared" si="1"/>
        <v>8.6059335558686056E-2</v>
      </c>
      <c r="L4" s="30">
        <f t="shared" si="1"/>
        <v>8.4798431957884945E-2</v>
      </c>
      <c r="M4" s="12">
        <f t="shared" si="1"/>
        <v>8.3710914145437521E-2</v>
      </c>
      <c r="O4" s="12"/>
      <c r="P4" s="225"/>
      <c r="Q4" s="226"/>
      <c r="R4" s="226"/>
      <c r="S4" s="226"/>
      <c r="T4" s="226"/>
      <c r="U4" s="226"/>
      <c r="V4" s="61"/>
      <c r="W4" s="12"/>
      <c r="X4" s="1601"/>
      <c r="DM4" s="1599"/>
      <c r="DN4" s="1599"/>
      <c r="DO4" s="1599"/>
    </row>
    <row r="5" spans="1:119" s="2" customFormat="1">
      <c r="A5" s="176" t="s">
        <v>725</v>
      </c>
      <c r="B5" s="176"/>
      <c r="C5" s="7">
        <f>C75</f>
        <v>2200.0000000000005</v>
      </c>
      <c r="D5" s="7">
        <f t="shared" ref="D5:L5" si="2">D75</f>
        <v>3700</v>
      </c>
      <c r="E5" s="7">
        <f t="shared" si="2"/>
        <v>5400</v>
      </c>
      <c r="F5" s="7">
        <f t="shared" si="2"/>
        <v>7200</v>
      </c>
      <c r="G5" s="386">
        <f t="shared" si="2"/>
        <v>6900</v>
      </c>
      <c r="H5" s="7">
        <f>H75</f>
        <v>4871.458471290699</v>
      </c>
      <c r="I5" s="7">
        <f t="shared" si="2"/>
        <v>5402.1573388627703</v>
      </c>
      <c r="J5" s="7">
        <f t="shared" si="2"/>
        <v>5886.515609952291</v>
      </c>
      <c r="K5" s="7">
        <f t="shared" si="2"/>
        <v>5953.3485907451468</v>
      </c>
      <c r="L5" s="41">
        <f t="shared" si="2"/>
        <v>5994.7467921596462</v>
      </c>
      <c r="M5" s="7">
        <f>M75</f>
        <v>6016.4678895003162</v>
      </c>
      <c r="O5" s="1019">
        <f>(M5/I5)^(1/4)-1</f>
        <v>2.7291260760947011E-2</v>
      </c>
      <c r="P5" s="222"/>
      <c r="Q5" s="224"/>
      <c r="R5" s="224"/>
      <c r="S5" s="224"/>
      <c r="T5" s="224"/>
      <c r="U5" s="224"/>
      <c r="V5" s="61"/>
      <c r="W5" s="7"/>
      <c r="X5" s="1601"/>
      <c r="DM5" s="1599"/>
      <c r="DN5" s="1599"/>
      <c r="DO5" s="1599"/>
    </row>
    <row r="6" spans="1:119">
      <c r="A6" s="80" t="s">
        <v>724</v>
      </c>
      <c r="B6" s="80"/>
      <c r="C6" s="59" t="str">
        <f>IFERROR(C5/A5-1,"")</f>
        <v/>
      </c>
      <c r="D6" s="59">
        <f t="shared" ref="D6:L6" si="3">IFERROR(D5/C5-1,"")</f>
        <v>0.68181818181818143</v>
      </c>
      <c r="E6" s="59">
        <f t="shared" si="3"/>
        <v>0.45945945945945943</v>
      </c>
      <c r="F6" s="59">
        <f t="shared" si="3"/>
        <v>0.33333333333333326</v>
      </c>
      <c r="G6" s="390">
        <f t="shared" si="3"/>
        <v>-4.166666666666663E-2</v>
      </c>
      <c r="H6" s="59">
        <f t="shared" si="3"/>
        <v>-0.29399152589989874</v>
      </c>
      <c r="I6" s="59">
        <f t="shared" si="3"/>
        <v>0.10894044785553958</v>
      </c>
      <c r="J6" s="59">
        <f t="shared" si="3"/>
        <v>8.9660156250000123E-2</v>
      </c>
      <c r="K6" s="59">
        <f t="shared" si="3"/>
        <v>1.1353572337404749E-2</v>
      </c>
      <c r="L6" s="898">
        <f t="shared" si="3"/>
        <v>6.9537674106394665E-3</v>
      </c>
      <c r="M6" s="59">
        <f>IFERROR(M5/L5-1,"")</f>
        <v>3.6233552631577126E-3</v>
      </c>
      <c r="O6" s="12"/>
      <c r="P6" s="225"/>
      <c r="Q6" s="225"/>
      <c r="R6" s="225"/>
      <c r="S6" s="225"/>
      <c r="T6" s="225"/>
      <c r="U6" s="225"/>
      <c r="V6" s="61"/>
      <c r="W6" s="59"/>
      <c r="X6" s="1601"/>
      <c r="DM6" s="1599"/>
      <c r="DN6" s="1599"/>
      <c r="DO6" s="1599"/>
    </row>
    <row r="7" spans="1:119" s="2" customFormat="1">
      <c r="A7" s="176" t="s">
        <v>726</v>
      </c>
      <c r="B7" s="176"/>
      <c r="C7" s="7">
        <f>C109</f>
        <v>0</v>
      </c>
      <c r="D7" s="7">
        <f t="shared" ref="D7:M7" si="4">D109</f>
        <v>0</v>
      </c>
      <c r="E7" s="7">
        <f t="shared" si="4"/>
        <v>900</v>
      </c>
      <c r="F7" s="7">
        <f t="shared" si="4"/>
        <v>2600.348306002099</v>
      </c>
      <c r="G7" s="386">
        <f t="shared" si="4"/>
        <v>3825.9412773692002</v>
      </c>
      <c r="H7" s="7">
        <f>H109</f>
        <v>3999.6989189999999</v>
      </c>
      <c r="I7" s="7">
        <f t="shared" si="4"/>
        <v>4619.4120734461876</v>
      </c>
      <c r="J7" s="7">
        <f t="shared" si="4"/>
        <v>5444.45524834974</v>
      </c>
      <c r="K7" s="7">
        <f t="shared" si="4"/>
        <v>6303.530343969247</v>
      </c>
      <c r="L7" s="41">
        <f t="shared" si="4"/>
        <v>7237.1230118677204</v>
      </c>
      <c r="M7" s="7">
        <f t="shared" si="4"/>
        <v>8238.9457111484153</v>
      </c>
      <c r="O7" s="1019">
        <f>(M7/I7)^(1/4)-1</f>
        <v>0.15563645670815851</v>
      </c>
      <c r="P7" s="222"/>
      <c r="Q7" s="224"/>
      <c r="R7" s="224"/>
      <c r="S7" s="224"/>
      <c r="T7" s="224"/>
      <c r="U7" s="224"/>
      <c r="V7" s="61"/>
      <c r="W7" s="7"/>
      <c r="X7" s="1601"/>
      <c r="BU7" s="1599" t="s">
        <v>727</v>
      </c>
      <c r="BV7" s="1599"/>
      <c r="BW7" s="1599"/>
      <c r="DM7" s="1599"/>
      <c r="DN7" s="1599"/>
      <c r="DO7" s="1599"/>
    </row>
    <row r="8" spans="1:119">
      <c r="A8" s="80" t="s">
        <v>724</v>
      </c>
      <c r="B8" s="80"/>
      <c r="C8" s="59" t="str">
        <f>IFERROR(C7/A7-1,"")</f>
        <v/>
      </c>
      <c r="D8" s="59" t="str">
        <f t="shared" ref="D8:M8" si="5">IFERROR(D7/C7-1,"")</f>
        <v/>
      </c>
      <c r="E8" s="59" t="str">
        <f t="shared" si="5"/>
        <v/>
      </c>
      <c r="F8" s="59">
        <f t="shared" si="5"/>
        <v>1.8892758955578879</v>
      </c>
      <c r="G8" s="390">
        <f t="shared" si="5"/>
        <v>0.47131877238837561</v>
      </c>
      <c r="H8" s="59">
        <f>IFERROR(H7/G7-1,"")</f>
        <v>4.5415658274368331E-2</v>
      </c>
      <c r="I8" s="59">
        <f t="shared" si="5"/>
        <v>0.15493995098039215</v>
      </c>
      <c r="J8" s="59">
        <f t="shared" si="5"/>
        <v>0.17860350230414745</v>
      </c>
      <c r="K8" s="59">
        <f t="shared" si="5"/>
        <v>0.15778899016203685</v>
      </c>
      <c r="L8" s="898">
        <f t="shared" si="5"/>
        <v>0.14810631772268157</v>
      </c>
      <c r="M8" s="59">
        <f t="shared" si="5"/>
        <v>0.13842830882352919</v>
      </c>
      <c r="O8" s="12"/>
      <c r="P8" s="225"/>
      <c r="Q8" s="225"/>
      <c r="R8" s="225"/>
      <c r="S8" s="225"/>
      <c r="T8" s="225"/>
      <c r="U8" s="225"/>
      <c r="V8" s="61"/>
      <c r="W8" s="59"/>
      <c r="X8" s="1601"/>
      <c r="BU8" s="1599"/>
      <c r="BV8" s="1599"/>
      <c r="BW8" s="1599"/>
      <c r="DM8" s="382"/>
      <c r="DN8" s="382"/>
      <c r="DO8" s="382"/>
    </row>
    <row r="9" spans="1:119" s="2" customFormat="1">
      <c r="A9" s="176" t="s">
        <v>66</v>
      </c>
      <c r="B9" s="176"/>
      <c r="C9" s="7">
        <f t="shared" ref="C9:L9" si="6">C120</f>
        <v>155</v>
      </c>
      <c r="D9" s="7">
        <f t="shared" si="6"/>
        <v>196</v>
      </c>
      <c r="E9" s="7">
        <f t="shared" si="6"/>
        <v>84</v>
      </c>
      <c r="F9" s="7">
        <f t="shared" si="6"/>
        <v>56.65169399790102</v>
      </c>
      <c r="G9" s="386">
        <f t="shared" si="6"/>
        <v>59</v>
      </c>
      <c r="H9" s="7">
        <f t="shared" si="6"/>
        <v>88.5</v>
      </c>
      <c r="I9" s="7">
        <f t="shared" si="6"/>
        <v>177</v>
      </c>
      <c r="J9" s="7">
        <f t="shared" si="6"/>
        <v>230.1</v>
      </c>
      <c r="K9" s="7">
        <f t="shared" si="6"/>
        <v>299.13</v>
      </c>
      <c r="L9" s="41">
        <f t="shared" si="6"/>
        <v>388.86900000000003</v>
      </c>
      <c r="M9" s="7">
        <f>M120</f>
        <v>505.52970000000005</v>
      </c>
      <c r="O9" s="1019">
        <f>(M9/I9)^(1/4)-1</f>
        <v>0.30000000000000004</v>
      </c>
      <c r="P9" s="222"/>
      <c r="Q9" s="389"/>
      <c r="R9" s="389"/>
      <c r="S9" s="389"/>
      <c r="T9" s="389"/>
      <c r="U9" s="389"/>
      <c r="V9" s="61"/>
      <c r="W9" s="7"/>
      <c r="X9" s="1601"/>
      <c r="BU9" s="1599"/>
      <c r="BV9" s="1599"/>
      <c r="BW9" s="1599"/>
      <c r="DM9" s="382"/>
      <c r="DN9" s="382"/>
      <c r="DO9" s="382"/>
    </row>
    <row r="10" spans="1:119">
      <c r="A10" s="80" t="s">
        <v>724</v>
      </c>
      <c r="B10" s="80"/>
      <c r="C10" s="59" t="str">
        <f>IFERROR(C9/A9-1,"")</f>
        <v/>
      </c>
      <c r="D10" s="59">
        <f t="shared" ref="D10:M10" si="7">IFERROR(D9/C9-1,"")</f>
        <v>0.26451612903225796</v>
      </c>
      <c r="E10" s="59">
        <f t="shared" si="7"/>
        <v>-0.5714285714285714</v>
      </c>
      <c r="F10" s="59">
        <f t="shared" si="7"/>
        <v>-0.32557507145355924</v>
      </c>
      <c r="G10" s="390">
        <f t="shared" si="7"/>
        <v>4.1451646656602836E-2</v>
      </c>
      <c r="H10" s="59">
        <f t="shared" si="7"/>
        <v>0.5</v>
      </c>
      <c r="I10" s="59">
        <f t="shared" si="7"/>
        <v>1</v>
      </c>
      <c r="J10" s="59">
        <f t="shared" si="7"/>
        <v>0.30000000000000004</v>
      </c>
      <c r="K10" s="59">
        <f t="shared" si="7"/>
        <v>0.30000000000000004</v>
      </c>
      <c r="L10" s="898">
        <f t="shared" si="7"/>
        <v>0.30000000000000004</v>
      </c>
      <c r="M10" s="59">
        <f t="shared" si="7"/>
        <v>0.30000000000000004</v>
      </c>
      <c r="N10" s="59"/>
      <c r="O10" s="1019"/>
      <c r="P10" s="225"/>
      <c r="Q10" s="225"/>
      <c r="R10" s="225"/>
      <c r="S10" s="225"/>
      <c r="T10" s="225"/>
      <c r="U10" s="225"/>
      <c r="V10" s="59"/>
      <c r="W10" s="59"/>
      <c r="X10" s="1601"/>
      <c r="Z10" s="131"/>
      <c r="BU10" s="1599"/>
      <c r="BV10" s="1599"/>
      <c r="BW10" s="1599"/>
      <c r="DM10" s="382"/>
      <c r="DN10" s="382"/>
      <c r="DO10" s="382"/>
    </row>
    <row r="11" spans="1:119">
      <c r="A11" s="80"/>
      <c r="B11" s="80"/>
      <c r="C11" s="59"/>
      <c r="D11" s="59"/>
      <c r="E11" s="59"/>
      <c r="F11" s="59"/>
      <c r="G11" s="390"/>
      <c r="H11" s="232"/>
      <c r="N11" s="59"/>
      <c r="O11" s="1019"/>
      <c r="P11" s="225"/>
      <c r="Q11" s="225"/>
      <c r="R11" s="225"/>
      <c r="S11" s="225"/>
      <c r="T11" s="225"/>
      <c r="U11" s="225"/>
      <c r="V11" s="59"/>
      <c r="W11" s="59"/>
      <c r="X11" s="1601"/>
      <c r="Z11" s="131"/>
      <c r="BU11" s="1599"/>
      <c r="BV11" s="1599"/>
      <c r="BW11" s="1599"/>
      <c r="DM11" s="382"/>
      <c r="DN11" s="382"/>
      <c r="DO11" s="382"/>
    </row>
    <row r="12" spans="1:119">
      <c r="A12" s="761" t="s">
        <v>728</v>
      </c>
      <c r="B12" s="80"/>
      <c r="D12" s="59"/>
      <c r="E12" s="59"/>
      <c r="F12" s="59"/>
      <c r="G12" s="390"/>
      <c r="H12" s="232"/>
      <c r="I12" s="232"/>
      <c r="J12" s="232"/>
      <c r="K12" s="232"/>
      <c r="L12" s="232"/>
      <c r="M12" s="232"/>
      <c r="N12" s="59"/>
      <c r="O12" s="222"/>
      <c r="P12" s="225"/>
      <c r="Q12" s="225"/>
      <c r="R12" s="225"/>
      <c r="S12" s="225"/>
      <c r="T12" s="225"/>
      <c r="U12" s="225"/>
      <c r="V12" s="59"/>
      <c r="W12" s="59"/>
      <c r="X12" s="1601"/>
      <c r="Z12" s="131"/>
      <c r="BU12" s="1599"/>
      <c r="BV12" s="1599"/>
      <c r="BW12" s="1599"/>
      <c r="DM12" s="382"/>
      <c r="DN12" s="382"/>
      <c r="DO12" s="382"/>
    </row>
    <row r="13" spans="1:119">
      <c r="A13" s="80" t="s">
        <v>64</v>
      </c>
      <c r="B13" s="80"/>
      <c r="C13" s="12">
        <f t="shared" ref="C13:M13" si="8">C5/C3</f>
        <v>0.93418259023354566</v>
      </c>
      <c r="D13" s="12">
        <f t="shared" si="8"/>
        <v>0.94969199178644759</v>
      </c>
      <c r="E13" s="12">
        <f t="shared" si="8"/>
        <v>0.84586466165413532</v>
      </c>
      <c r="F13" s="12">
        <f t="shared" si="8"/>
        <v>0.73044536877346045</v>
      </c>
      <c r="G13" s="908">
        <f t="shared" si="8"/>
        <v>0.63978095221331943</v>
      </c>
      <c r="H13" s="12">
        <f t="shared" si="8"/>
        <v>0.5437103517562788</v>
      </c>
      <c r="I13" s="12">
        <f t="shared" si="8"/>
        <v>0.52969756055616446</v>
      </c>
      <c r="J13" s="12">
        <f t="shared" si="8"/>
        <v>0.50916698652747816</v>
      </c>
      <c r="K13" s="12">
        <f t="shared" si="8"/>
        <v>0.47414338598354666</v>
      </c>
      <c r="L13" s="30">
        <f t="shared" si="8"/>
        <v>0.44011906243933885</v>
      </c>
      <c r="M13" s="12">
        <f t="shared" si="8"/>
        <v>0.40759372669874677</v>
      </c>
      <c r="N13" s="59"/>
      <c r="O13" s="222"/>
      <c r="P13" s="225"/>
      <c r="Q13" s="225"/>
      <c r="R13" s="225"/>
      <c r="S13" s="225"/>
      <c r="T13" s="225"/>
      <c r="U13" s="225"/>
      <c r="V13" s="59"/>
      <c r="W13" s="59"/>
      <c r="X13" s="1601"/>
      <c r="Z13" s="131"/>
      <c r="BU13" s="1599"/>
      <c r="BV13" s="1599"/>
      <c r="BW13" s="1599"/>
      <c r="DM13" s="382"/>
      <c r="DN13" s="382"/>
      <c r="DO13" s="382"/>
    </row>
    <row r="14" spans="1:119">
      <c r="A14" s="80" t="s">
        <v>726</v>
      </c>
      <c r="B14" s="80"/>
      <c r="C14" s="12">
        <f t="shared" ref="C14:M14" si="9">C7/C3</f>
        <v>0</v>
      </c>
      <c r="D14" s="12">
        <f t="shared" si="9"/>
        <v>0</v>
      </c>
      <c r="E14" s="12">
        <f t="shared" si="9"/>
        <v>0.14097744360902256</v>
      </c>
      <c r="F14" s="12">
        <f t="shared" si="9"/>
        <v>0.26380727462738146</v>
      </c>
      <c r="G14" s="908">
        <f t="shared" si="9"/>
        <v>0.35474845703587105</v>
      </c>
      <c r="H14" s="12">
        <f t="shared" si="9"/>
        <v>0.44641203840387345</v>
      </c>
      <c r="I14" s="12">
        <f t="shared" si="9"/>
        <v>0.4529470641118431</v>
      </c>
      <c r="J14" s="12">
        <f t="shared" si="9"/>
        <v>0.47093001289236663</v>
      </c>
      <c r="K14" s="12">
        <f t="shared" si="9"/>
        <v>0.50203296101052286</v>
      </c>
      <c r="L14" s="30">
        <f t="shared" si="9"/>
        <v>0.53133116463020746</v>
      </c>
      <c r="M14" s="12">
        <f t="shared" si="9"/>
        <v>0.5581584823773641</v>
      </c>
      <c r="N14" s="59"/>
      <c r="O14" s="222"/>
      <c r="P14" s="225"/>
      <c r="Q14" s="225"/>
      <c r="R14" s="225"/>
      <c r="S14" s="225"/>
      <c r="T14" s="225"/>
      <c r="U14" s="225"/>
      <c r="V14" s="59"/>
      <c r="W14" s="59"/>
      <c r="X14" s="1601"/>
      <c r="Z14" s="131"/>
      <c r="BU14" s="1599"/>
      <c r="BV14" s="1599"/>
      <c r="BW14" s="1599"/>
      <c r="DM14" s="382"/>
      <c r="DN14" s="382"/>
      <c r="DO14" s="382"/>
    </row>
    <row r="15" spans="1:119">
      <c r="A15" s="80" t="s">
        <v>66</v>
      </c>
      <c r="B15" s="80"/>
      <c r="C15" s="12">
        <f t="shared" ref="C15:M15" si="10">C9/C3</f>
        <v>6.5817409766454338E-2</v>
      </c>
      <c r="D15" s="12">
        <f t="shared" si="10"/>
        <v>5.0308008213552365E-2</v>
      </c>
      <c r="E15" s="12">
        <f t="shared" si="10"/>
        <v>1.3157894736842105E-2</v>
      </c>
      <c r="F15" s="12">
        <f t="shared" si="10"/>
        <v>5.747356599158062E-3</v>
      </c>
      <c r="G15" s="908">
        <f t="shared" si="10"/>
        <v>5.470590750809543E-3</v>
      </c>
      <c r="H15" s="59">
        <f t="shared" si="10"/>
        <v>9.8776098398477476E-3</v>
      </c>
      <c r="I15" s="59">
        <f t="shared" si="10"/>
        <v>1.7355375331992488E-2</v>
      </c>
      <c r="J15" s="59">
        <f t="shared" si="10"/>
        <v>1.990300058015514E-2</v>
      </c>
      <c r="K15" s="59">
        <f t="shared" si="10"/>
        <v>2.3823653005930596E-2</v>
      </c>
      <c r="L15" s="898">
        <f t="shared" si="10"/>
        <v>2.8549772930453642E-2</v>
      </c>
      <c r="M15" s="59">
        <f t="shared" si="10"/>
        <v>3.424779092388916E-2</v>
      </c>
      <c r="N15" s="59"/>
      <c r="O15" s="222"/>
      <c r="P15" s="225"/>
      <c r="Q15" s="225"/>
      <c r="R15" s="225"/>
      <c r="S15" s="225"/>
      <c r="T15" s="225"/>
      <c r="U15" s="225"/>
      <c r="V15" s="59"/>
      <c r="W15" s="59"/>
      <c r="X15" s="1601"/>
      <c r="Z15" s="131"/>
      <c r="BU15" s="1599"/>
      <c r="BV15" s="1599"/>
      <c r="BW15" s="1599"/>
      <c r="DM15" s="382"/>
      <c r="DN15" s="382"/>
      <c r="DO15" s="382"/>
    </row>
    <row r="16" spans="1:119">
      <c r="A16" s="80"/>
      <c r="B16" s="80"/>
      <c r="C16" s="59"/>
      <c r="D16" s="59"/>
      <c r="E16" s="59"/>
      <c r="F16" s="59"/>
      <c r="G16" s="390"/>
      <c r="H16" s="59"/>
      <c r="I16" s="59"/>
      <c r="J16" s="59"/>
      <c r="K16" s="59"/>
      <c r="L16" s="898"/>
      <c r="M16" s="59"/>
      <c r="N16" s="59"/>
      <c r="O16" s="225"/>
      <c r="P16" s="225"/>
      <c r="Q16" s="225"/>
      <c r="R16" s="225"/>
      <c r="S16" s="225"/>
      <c r="T16" s="225"/>
      <c r="U16" s="225"/>
      <c r="V16" s="59"/>
      <c r="W16" s="59"/>
      <c r="X16" s="1601"/>
      <c r="Z16" s="132"/>
      <c r="BU16" s="1599"/>
      <c r="BV16" s="1599"/>
      <c r="BW16" s="1599"/>
      <c r="DM16" s="382"/>
      <c r="DN16" s="382"/>
      <c r="DO16" s="382"/>
    </row>
    <row r="17" spans="1:75" s="395" customFormat="1">
      <c r="A17" s="146" t="s">
        <v>729</v>
      </c>
      <c r="B17" s="146"/>
      <c r="C17" s="383"/>
      <c r="D17" s="383"/>
      <c r="E17" s="383"/>
      <c r="F17" s="384"/>
      <c r="G17" s="909"/>
      <c r="H17" s="383"/>
      <c r="I17" s="383"/>
      <c r="J17" s="383"/>
      <c r="K17" s="383"/>
      <c r="L17" s="383"/>
      <c r="M17" s="383"/>
      <c r="N17" s="383"/>
      <c r="O17" s="1229"/>
      <c r="P17" s="1229"/>
      <c r="Q17" s="1229"/>
      <c r="R17" s="1229"/>
      <c r="S17" s="1229"/>
      <c r="T17" s="1229"/>
      <c r="U17" s="1229"/>
      <c r="V17" s="383"/>
      <c r="W17" s="383"/>
      <c r="X17" s="1596" t="s">
        <v>730</v>
      </c>
      <c r="Y17" s="145" t="s">
        <v>731</v>
      </c>
      <c r="Z17" s="1604" t="s">
        <v>732</v>
      </c>
      <c r="BU17" s="1599"/>
      <c r="BV17" s="1599"/>
      <c r="BW17" s="1599"/>
    </row>
    <row r="18" spans="1:75">
      <c r="A18" s="83" t="s">
        <v>733</v>
      </c>
      <c r="B18" s="83"/>
      <c r="O18" s="1"/>
      <c r="X18" s="1596"/>
      <c r="Y18" s="134"/>
      <c r="Z18" s="1604"/>
    </row>
    <row r="19" spans="1:75">
      <c r="A19" s="1231" t="s">
        <v>734</v>
      </c>
      <c r="B19" s="1231"/>
      <c r="C19" s="3">
        <v>7003.0420000000004</v>
      </c>
      <c r="D19" s="3">
        <v>7707.2</v>
      </c>
      <c r="E19" s="3">
        <v>8044.3860000000004</v>
      </c>
      <c r="F19" s="3">
        <v>8480.6669999999995</v>
      </c>
      <c r="G19" s="550">
        <v>9513.3269999999993</v>
      </c>
      <c r="H19" s="3">
        <v>10338.608117249998</v>
      </c>
      <c r="I19" s="3">
        <v>11395.989262441741</v>
      </c>
      <c r="J19" s="3">
        <v>12561.514064257968</v>
      </c>
      <c r="K19" s="3">
        <v>13846.24291517995</v>
      </c>
      <c r="L19" s="34">
        <v>15233.705686495556</v>
      </c>
      <c r="M19" s="3">
        <v>16760.199164810841</v>
      </c>
      <c r="N19" s="3"/>
      <c r="O19" s="222" t="str">
        <f>IFERROR(IF((#REF!/I19)^(1/8)-1&lt;0,"",(#REF!/I19)^(1/8)-1),"")</f>
        <v/>
      </c>
      <c r="X19" s="1596"/>
      <c r="Y19" s="134"/>
      <c r="Z19" s="1604"/>
    </row>
    <row r="20" spans="1:75">
      <c r="A20" s="78" t="s">
        <v>735</v>
      </c>
      <c r="C20" s="17"/>
      <c r="D20" s="17">
        <f>D19/C19-1</f>
        <v>0.10055030371087303</v>
      </c>
      <c r="E20" s="17">
        <f>E19/D19-1</f>
        <v>4.3749481004774937E-2</v>
      </c>
      <c r="F20" s="17">
        <f>F19/E19-1</f>
        <v>5.4234219988946286E-2</v>
      </c>
      <c r="G20" s="762">
        <f>G19/F19-1</f>
        <v>0.12176636578231403</v>
      </c>
      <c r="H20" s="17">
        <f t="shared" ref="H20:M20" si="11">(1+H21)*(1+H22)-1</f>
        <v>8.5700000000000109E-2</v>
      </c>
      <c r="I20" s="17">
        <f t="shared" si="11"/>
        <v>0.10440499999999986</v>
      </c>
      <c r="J20" s="17">
        <f t="shared" si="11"/>
        <v>0.10759999999999992</v>
      </c>
      <c r="K20" s="17">
        <f t="shared" si="11"/>
        <v>0.10582499999999984</v>
      </c>
      <c r="L20" s="71">
        <f t="shared" si="11"/>
        <v>0.10404999999999998</v>
      </c>
      <c r="M20" s="1232">
        <f t="shared" si="11"/>
        <v>0.10227499999999989</v>
      </c>
      <c r="N20" s="1232"/>
      <c r="O20" s="222" t="str">
        <f>IFERROR(IF((#REF!/I20)^(1/8)-1&lt;0,"",(#REF!/I20)^(1/8)-1),"")</f>
        <v/>
      </c>
      <c r="X20" s="1596"/>
      <c r="Y20" s="134"/>
      <c r="Z20" s="1604"/>
    </row>
    <row r="21" spans="1:75">
      <c r="A21" s="78" t="s">
        <v>736</v>
      </c>
      <c r="C21" s="17"/>
      <c r="D21" s="17">
        <v>7.0199999999999999E-2</v>
      </c>
      <c r="E21" s="17">
        <v>2.9100000000000001E-2</v>
      </c>
      <c r="F21" s="17">
        <v>2.58E-2</v>
      </c>
      <c r="G21" s="762">
        <v>8.0199999999999994E-2</v>
      </c>
      <c r="H21" s="1101">
        <v>0.05</v>
      </c>
      <c r="I21" s="1101">
        <v>6.5000000000000002E-2</v>
      </c>
      <c r="J21" s="1097">
        <f>I21</f>
        <v>6.5000000000000002E-2</v>
      </c>
      <c r="K21" s="1097">
        <f>J21</f>
        <v>6.5000000000000002E-2</v>
      </c>
      <c r="L21" s="1100">
        <f>K21</f>
        <v>6.5000000000000002E-2</v>
      </c>
      <c r="M21" s="1097">
        <f>L21</f>
        <v>6.5000000000000002E-2</v>
      </c>
      <c r="N21" s="1232"/>
      <c r="O21" s="222" t="str">
        <f>IFERROR(IF((#REF!/I21)^(1/8)-1&lt;0,"",(#REF!/I21)^(1/8)-1),"")</f>
        <v/>
      </c>
      <c r="Q21" s="258"/>
      <c r="R21" s="258"/>
      <c r="S21" s="258"/>
      <c r="T21" s="258"/>
      <c r="U21" s="258"/>
      <c r="X21" s="1596"/>
      <c r="Y21" s="134"/>
      <c r="Z21" s="1604"/>
    </row>
    <row r="22" spans="1:75">
      <c r="A22" s="359" t="s">
        <v>737</v>
      </c>
      <c r="B22" s="359"/>
      <c r="C22" s="17"/>
      <c r="D22" s="17">
        <v>2.7900000000000001E-2</v>
      </c>
      <c r="E22" s="17">
        <v>3.2300000000000002E-2</v>
      </c>
      <c r="F22" s="17">
        <v>1.84E-2</v>
      </c>
      <c r="G22" s="762">
        <v>3.15E-2</v>
      </c>
      <c r="H22" s="1101">
        <v>3.4000000000000002E-2</v>
      </c>
      <c r="I22" s="1101">
        <v>3.6999999999999998E-2</v>
      </c>
      <c r="J22" s="1101">
        <v>0.04</v>
      </c>
      <c r="K22" s="1097">
        <f>J22-($J22-$M22)/3</f>
        <v>3.8333333333333337E-2</v>
      </c>
      <c r="L22" s="1100">
        <f>K22-($J22-$M22)/3</f>
        <v>3.6666666666666674E-2</v>
      </c>
      <c r="M22" s="1101">
        <v>3.5000000000000003E-2</v>
      </c>
      <c r="N22" s="1232"/>
      <c r="O22" s="222" t="str">
        <f>IFERROR(IF((#REF!/I22)^(1/8)-1&lt;0,"",(#REF!/I22)^(1/8)-1),"")</f>
        <v/>
      </c>
      <c r="Q22" s="258"/>
      <c r="R22" s="258"/>
      <c r="S22" s="258"/>
      <c r="T22" s="258"/>
      <c r="U22" s="258"/>
      <c r="X22" s="1596"/>
      <c r="Y22" s="134"/>
      <c r="Z22" s="1604"/>
    </row>
    <row r="23" spans="1:75" ht="14.25" customHeight="1">
      <c r="C23" s="17"/>
      <c r="D23" s="17"/>
      <c r="E23" s="17"/>
      <c r="F23" s="17"/>
      <c r="G23" s="762"/>
      <c r="H23" s="17"/>
      <c r="I23" s="17"/>
      <c r="J23" s="17"/>
      <c r="K23" s="17"/>
      <c r="L23" s="71"/>
      <c r="M23" s="17"/>
      <c r="N23" s="1232"/>
      <c r="O23" s="222" t="str">
        <f>IFERROR(IF((#REF!/I23)^(1/8)-1&lt;0,"",(#REF!/I23)^(1/8)-1),"")</f>
        <v/>
      </c>
      <c r="X23" s="1596"/>
      <c r="Y23" s="134"/>
      <c r="Z23" s="1604"/>
    </row>
    <row r="24" spans="1:75" ht="14.25" customHeight="1">
      <c r="A24" s="79" t="s">
        <v>738</v>
      </c>
      <c r="B24" s="79"/>
      <c r="C24" s="3">
        <v>95.545000000000002</v>
      </c>
      <c r="D24" s="3">
        <v>96.462000000000003</v>
      </c>
      <c r="E24" s="3">
        <v>97.338999999999999</v>
      </c>
      <c r="F24" s="3">
        <v>98.51</v>
      </c>
      <c r="G24" s="550">
        <v>99.2</v>
      </c>
      <c r="H24" s="3">
        <v>99.915000000000006</v>
      </c>
      <c r="I24" s="4">
        <f>H24*1.0071</f>
        <v>100.62439650000002</v>
      </c>
      <c r="J24" s="4">
        <f>I24*1.0071</f>
        <v>101.33882971515003</v>
      </c>
      <c r="K24" s="4">
        <f>J24*1.0071</f>
        <v>102.0583354061276</v>
      </c>
      <c r="L24" s="4">
        <f>K24*1.0071</f>
        <v>102.78294958751111</v>
      </c>
      <c r="M24" s="4">
        <f>L24*1.0071</f>
        <v>103.51270852958245</v>
      </c>
      <c r="N24" s="1232"/>
      <c r="O24" s="222" t="str">
        <f>IFERROR(IF((#REF!/I24)^(1/8)-1&lt;0,"",(#REF!/I24)^(1/8)-1),"")</f>
        <v/>
      </c>
      <c r="X24" s="1596"/>
      <c r="Y24" s="134"/>
      <c r="Z24" s="1604"/>
    </row>
    <row r="25" spans="1:75" ht="14.25" customHeight="1">
      <c r="A25" s="1"/>
      <c r="B25" s="1"/>
      <c r="N25" s="1232"/>
      <c r="O25" s="222" t="str">
        <f>IFERROR(IF((#REF!/I25)^(1/8)-1&lt;0,"",(#REF!/I25)^(1/8)-1),"")</f>
        <v/>
      </c>
      <c r="X25" s="1596"/>
      <c r="Y25" s="134"/>
      <c r="Z25" s="1604"/>
    </row>
    <row r="26" spans="1:75" ht="14.25" customHeight="1">
      <c r="A26" s="78" t="s">
        <v>739</v>
      </c>
      <c r="C26" s="3">
        <f t="shared" ref="C26:L26" si="12">C19/C24/23500*10^6</f>
        <v>3118.9678919257167</v>
      </c>
      <c r="D26" s="3">
        <f t="shared" si="12"/>
        <v>3399.9497983331103</v>
      </c>
      <c r="E26" s="3">
        <f t="shared" si="12"/>
        <v>3516.7229771452394</v>
      </c>
      <c r="F26" s="3">
        <f t="shared" si="12"/>
        <v>3663.3788123897129</v>
      </c>
      <c r="G26" s="550">
        <f t="shared" si="12"/>
        <v>4080.8712251201091</v>
      </c>
      <c r="H26" s="3">
        <f t="shared" si="12"/>
        <v>4403.1503872972871</v>
      </c>
      <c r="I26" s="3">
        <f t="shared" si="12"/>
        <v>4819.2658059359701</v>
      </c>
      <c r="J26" s="3">
        <f t="shared" si="12"/>
        <v>5274.7058050224114</v>
      </c>
      <c r="K26" s="3">
        <f t="shared" si="12"/>
        <v>5773.1867155506679</v>
      </c>
      <c r="L26" s="34">
        <f t="shared" si="12"/>
        <v>6306.9098305852658</v>
      </c>
      <c r="M26" s="3">
        <f>M19/M24/23500*10^6</f>
        <v>6889.9749083100596</v>
      </c>
      <c r="N26" s="1232"/>
      <c r="O26" s="222" t="str">
        <f>IFERROR(IF((#REF!/I26)^(1/8)-1&lt;0,"",(#REF!/I26)^(1/8)-1),"")</f>
        <v/>
      </c>
      <c r="X26" s="1596"/>
      <c r="Y26" s="134"/>
      <c r="Z26" s="1604"/>
    </row>
    <row r="27" spans="1:75">
      <c r="A27" s="80" t="s">
        <v>724</v>
      </c>
      <c r="B27" s="80"/>
      <c r="C27" s="59" t="str">
        <f>IFERROR(C26/A26-1,"")</f>
        <v/>
      </c>
      <c r="D27" s="59">
        <f t="shared" ref="D27:M27" si="13">IFERROR(D26/C26-1,"")</f>
        <v>9.0088104829418203E-2</v>
      </c>
      <c r="E27" s="59">
        <f t="shared" si="13"/>
        <v>3.4345559710728502E-2</v>
      </c>
      <c r="F27" s="59">
        <f t="shared" si="13"/>
        <v>4.1702413354015144E-2</v>
      </c>
      <c r="G27" s="390">
        <f t="shared" si="13"/>
        <v>0.11396375698806183</v>
      </c>
      <c r="H27" s="17">
        <f t="shared" si="13"/>
        <v>7.8973127158084466E-2</v>
      </c>
      <c r="I27" s="17">
        <f t="shared" si="13"/>
        <v>9.4504021447720854E-2</v>
      </c>
      <c r="J27" s="17">
        <f t="shared" si="13"/>
        <v>9.4504021447721076E-2</v>
      </c>
      <c r="K27" s="17">
        <f t="shared" si="13"/>
        <v>9.4504021447721076E-2</v>
      </c>
      <c r="L27" s="71">
        <f t="shared" si="13"/>
        <v>9.2448614834673482E-2</v>
      </c>
      <c r="M27" s="17">
        <f t="shared" si="13"/>
        <v>9.2448614834673704E-2</v>
      </c>
      <c r="N27" s="1232"/>
      <c r="O27" s="222" t="str">
        <f>IFERROR(IF((#REF!/I27)^(1/8)-1&lt;0,"",(#REF!/I27)^(1/8)-1),"")</f>
        <v/>
      </c>
      <c r="P27" s="3"/>
      <c r="Q27" s="3"/>
      <c r="R27" s="3"/>
      <c r="S27" s="3"/>
      <c r="T27" s="3"/>
      <c r="U27" s="3"/>
      <c r="V27" s="3"/>
      <c r="W27" s="17"/>
      <c r="X27" s="1596"/>
      <c r="Y27" s="134"/>
      <c r="Z27" s="1604"/>
    </row>
    <row r="28" spans="1:75">
      <c r="A28" s="78" t="s">
        <v>740</v>
      </c>
      <c r="C28" s="59"/>
      <c r="D28" s="59">
        <f t="shared" ref="D28:M28" si="14">(1+D27)/1*(+D22)</f>
        <v>3.0413458124740771E-2</v>
      </c>
      <c r="E28" s="59">
        <f t="shared" si="14"/>
        <v>3.3409361578656531E-2</v>
      </c>
      <c r="F28" s="59">
        <f t="shared" si="14"/>
        <v>1.9167324405713879E-2</v>
      </c>
      <c r="G28" s="390">
        <f t="shared" si="14"/>
        <v>3.5089858345123945E-2</v>
      </c>
      <c r="H28" s="17">
        <f t="shared" si="14"/>
        <v>3.6685086323374874E-2</v>
      </c>
      <c r="I28" s="17">
        <f t="shared" si="14"/>
        <v>4.0496648793565668E-2</v>
      </c>
      <c r="J28" s="17">
        <f t="shared" si="14"/>
        <v>4.3780160857908847E-2</v>
      </c>
      <c r="K28" s="17">
        <f t="shared" si="14"/>
        <v>4.1955987488829311E-2</v>
      </c>
      <c r="L28" s="71">
        <f t="shared" si="14"/>
        <v>4.0056449210604701E-2</v>
      </c>
      <c r="M28" s="17">
        <f t="shared" si="14"/>
        <v>3.8235701519213586E-2</v>
      </c>
      <c r="N28" s="1232"/>
      <c r="O28" s="222" t="str">
        <f>IFERROR(IF((#REF!/I28)^(1/8)-1&lt;0,"",(#REF!/I28)^(1/8)-1),"")</f>
        <v/>
      </c>
      <c r="P28" s="3"/>
      <c r="Q28" s="3"/>
      <c r="R28" s="3"/>
      <c r="S28" s="3"/>
      <c r="T28" s="3"/>
      <c r="U28" s="3"/>
      <c r="V28" s="3"/>
      <c r="W28" s="17"/>
      <c r="X28" s="1596"/>
      <c r="Y28" s="134"/>
      <c r="Z28" s="1604"/>
    </row>
    <row r="29" spans="1:75" ht="14.25" customHeight="1">
      <c r="N29" s="1232"/>
      <c r="O29" s="222" t="str">
        <f>IFERROR(IF((#REF!/I29)^(1/8)-1&lt;0,"",(#REF!/I29)^(1/8)-1),"")</f>
        <v/>
      </c>
      <c r="P29" s="17"/>
      <c r="Q29" s="152"/>
      <c r="R29" s="152"/>
      <c r="S29" s="152"/>
      <c r="T29" s="152"/>
      <c r="U29" s="152"/>
      <c r="V29" s="17"/>
      <c r="X29" s="1596"/>
      <c r="Y29" s="134"/>
      <c r="Z29" s="1604"/>
    </row>
    <row r="30" spans="1:75" ht="14.25" customHeight="1">
      <c r="A30" s="360" t="s">
        <v>741</v>
      </c>
      <c r="B30" s="360"/>
      <c r="E30" s="1">
        <v>56.1</v>
      </c>
      <c r="F30" s="1233">
        <v>60.6</v>
      </c>
      <c r="G30" s="1234">
        <v>62.8</v>
      </c>
      <c r="H30" s="964">
        <v>65</v>
      </c>
      <c r="I30" s="1233">
        <f>H30+($M30-$H30)/5</f>
        <v>68</v>
      </c>
      <c r="J30" s="1233">
        <f>I30+($M30-$H30)/5</f>
        <v>71</v>
      </c>
      <c r="K30" s="1233">
        <f>J30+($M30-$H30)/5</f>
        <v>74</v>
      </c>
      <c r="L30" s="1233">
        <f>K30+($M30-$H30)/5</f>
        <v>77</v>
      </c>
      <c r="M30" s="964">
        <v>80</v>
      </c>
      <c r="N30" s="1233"/>
      <c r="O30" s="222" t="str">
        <f>IFERROR(IF((#REF!/I30)^(1/8)-1&lt;0,"",(#REF!/I30)^(1/8)-1),"")</f>
        <v/>
      </c>
      <c r="P30" s="17"/>
      <c r="Q30" s="152"/>
      <c r="R30" s="152"/>
      <c r="S30" s="152"/>
      <c r="T30" s="152"/>
      <c r="U30" s="152"/>
      <c r="V30" s="152"/>
      <c r="W30" s="1233"/>
      <c r="X30" s="1596"/>
      <c r="Y30" s="134"/>
      <c r="Z30" s="1604"/>
    </row>
    <row r="31" spans="1:75" s="6" customFormat="1">
      <c r="A31" s="80" t="s">
        <v>724</v>
      </c>
      <c r="B31" s="80"/>
      <c r="C31" s="59" t="str">
        <f>IFERROR(C30/A30-1,"")</f>
        <v/>
      </c>
      <c r="D31" s="59" t="str">
        <f>IFERROR(E30/C30-1,"")</f>
        <v/>
      </c>
      <c r="E31" s="59">
        <f>IFERROR(F30/E30-1,"")</f>
        <v>8.0213903743315607E-2</v>
      </c>
      <c r="F31" s="59">
        <f>IFERROR(G30/F30-1,"")</f>
        <v>3.6303630363036188E-2</v>
      </c>
      <c r="G31" s="390">
        <f>IFERROR(H30/G30-1,"")</f>
        <v>3.5031847133758065E-2</v>
      </c>
      <c r="H31" s="59">
        <f>IFERROR(H30/G30-1,"")</f>
        <v>3.5031847133758065E-2</v>
      </c>
      <c r="I31" s="59">
        <v>2.0000000000000018E-2</v>
      </c>
      <c r="J31" s="59">
        <f>I31*0.95</f>
        <v>1.9000000000000017E-2</v>
      </c>
      <c r="K31" s="59">
        <f>J31*0.95</f>
        <v>1.8050000000000014E-2</v>
      </c>
      <c r="L31" s="898">
        <f>K31*0.95</f>
        <v>1.7147500000000013E-2</v>
      </c>
      <c r="M31" s="59">
        <f>L31*0.95</f>
        <v>1.6290125000000013E-2</v>
      </c>
      <c r="N31" s="59"/>
      <c r="O31" s="222" t="str">
        <f>IFERROR(IF((#REF!/I31)^(1/8)-1&lt;0,"",(#REF!/I31)^(1/8)-1),"")</f>
        <v/>
      </c>
      <c r="P31" s="232"/>
      <c r="Q31" s="232"/>
      <c r="R31" s="232"/>
      <c r="S31" s="232"/>
      <c r="T31" s="232"/>
      <c r="U31" s="232"/>
      <c r="V31" s="232"/>
      <c r="W31" s="59"/>
      <c r="X31" s="1596"/>
      <c r="Y31" s="388"/>
      <c r="Z31" s="1604"/>
    </row>
    <row r="32" spans="1:75" s="6" customFormat="1">
      <c r="A32" s="78" t="s">
        <v>742</v>
      </c>
      <c r="B32" s="78"/>
      <c r="C32" s="59"/>
      <c r="D32" s="59"/>
      <c r="E32" s="59">
        <f t="shared" ref="E32:M32" si="15">E30/E24</f>
        <v>0.5763363091874788</v>
      </c>
      <c r="F32" s="59">
        <f t="shared" si="15"/>
        <v>0.61516597299766518</v>
      </c>
      <c r="G32" s="390">
        <f t="shared" si="15"/>
        <v>0.63306451612903225</v>
      </c>
      <c r="H32" s="59">
        <f t="shared" si="15"/>
        <v>0.65055297002452084</v>
      </c>
      <c r="I32" s="59">
        <f t="shared" si="15"/>
        <v>0.67578045051927327</v>
      </c>
      <c r="J32" s="59">
        <f t="shared" si="15"/>
        <v>0.70061989268646141</v>
      </c>
      <c r="K32" s="59">
        <f t="shared" si="15"/>
        <v>0.72507551397469716</v>
      </c>
      <c r="L32" s="898">
        <f t="shared" si="15"/>
        <v>0.74915149165320383</v>
      </c>
      <c r="M32" s="59">
        <f t="shared" si="15"/>
        <v>0.77285196316872673</v>
      </c>
      <c r="N32" s="59"/>
      <c r="O32" s="222" t="str">
        <f>IFERROR(IF((#REF!/I32)^(1/8)-1&lt;0,"",(#REF!/I32)^(1/8)-1),"")</f>
        <v/>
      </c>
      <c r="P32" s="232"/>
      <c r="Q32" s="232"/>
      <c r="R32" s="232"/>
      <c r="S32" s="232"/>
      <c r="T32" s="232"/>
      <c r="U32" s="232"/>
      <c r="V32" s="232"/>
      <c r="W32" s="59"/>
      <c r="X32" s="1596"/>
      <c r="Y32" s="388"/>
      <c r="Z32" s="1604"/>
    </row>
    <row r="33" spans="1:75" s="6" customFormat="1">
      <c r="A33" s="80"/>
      <c r="B33" s="80"/>
      <c r="C33" s="59"/>
      <c r="D33" s="59"/>
      <c r="E33" s="59"/>
      <c r="F33" s="59"/>
      <c r="G33" s="390"/>
      <c r="H33" s="59"/>
      <c r="I33" s="59"/>
      <c r="J33" s="59"/>
      <c r="K33" s="59"/>
      <c r="L33" s="898"/>
      <c r="M33" s="59"/>
      <c r="N33" s="59"/>
      <c r="O33" s="222" t="str">
        <f>IFERROR(IF((#REF!/I33)^(1/8)-1&lt;0,"",(#REF!/I33)^(1/8)-1),"")</f>
        <v/>
      </c>
      <c r="P33" s="232"/>
      <c r="Q33" s="232"/>
      <c r="R33" s="232"/>
      <c r="S33" s="232"/>
      <c r="T33" s="232"/>
      <c r="U33" s="232"/>
      <c r="V33" s="232"/>
      <c r="W33" s="59"/>
      <c r="X33" s="1596"/>
      <c r="Y33" s="388"/>
      <c r="Z33" s="1604"/>
    </row>
    <row r="34" spans="1:75">
      <c r="A34" s="1231" t="s">
        <v>743</v>
      </c>
      <c r="B34" s="1231"/>
      <c r="C34" s="20">
        <f t="shared" ref="C34:M34" si="16">C47/C24/23.5</f>
        <v>39.606607266790412</v>
      </c>
      <c r="D34" s="20">
        <f t="shared" si="16"/>
        <v>38.131651004011282</v>
      </c>
      <c r="E34" s="20">
        <f t="shared" si="16"/>
        <v>36.187196621240133</v>
      </c>
      <c r="F34" s="20">
        <f t="shared" si="16"/>
        <v>45.153208336123129</v>
      </c>
      <c r="G34" s="914">
        <f t="shared" si="16"/>
        <v>46.90888812628689</v>
      </c>
      <c r="H34" s="20">
        <f t="shared" si="16"/>
        <v>35.175913094732103</v>
      </c>
      <c r="I34" s="20">
        <f t="shared" si="16"/>
        <v>38.425889654128127</v>
      </c>
      <c r="J34" s="20">
        <f t="shared" si="16"/>
        <v>40.290646042220857</v>
      </c>
      <c r="K34" s="20">
        <f t="shared" si="16"/>
        <v>42.06832221664795</v>
      </c>
      <c r="L34" s="53">
        <f t="shared" si="16"/>
        <v>43.735741805031957</v>
      </c>
      <c r="M34" s="20">
        <f t="shared" si="16"/>
        <v>45.266564823462332</v>
      </c>
      <c r="N34" s="20"/>
      <c r="O34" s="222" t="str">
        <f>IFERROR(IF((#REF!/I34)^(1/8)-1&lt;0,"",(#REF!/I34)^(1/8)-1),"")</f>
        <v/>
      </c>
      <c r="P34" s="3"/>
      <c r="Q34" s="3"/>
      <c r="R34" s="3"/>
      <c r="S34" s="3"/>
      <c r="T34" s="3"/>
      <c r="U34" s="3"/>
      <c r="V34" s="3"/>
      <c r="W34" s="20"/>
      <c r="X34" s="1596"/>
      <c r="Y34" s="134"/>
      <c r="Z34" s="1604"/>
    </row>
    <row r="35" spans="1:75">
      <c r="A35" s="1231"/>
      <c r="B35" s="1231"/>
      <c r="C35" s="20"/>
      <c r="D35" s="20"/>
      <c r="E35" s="20"/>
      <c r="F35" s="20"/>
      <c r="G35" s="914"/>
      <c r="H35" s="20"/>
      <c r="I35" s="20"/>
      <c r="J35" s="20"/>
      <c r="K35" s="20"/>
      <c r="L35" s="53"/>
      <c r="M35" s="20"/>
      <c r="N35" s="20"/>
      <c r="O35" s="222" t="str">
        <f>IFERROR(IF((#REF!/I35)^(1/8)-1&lt;0,"",(#REF!/I35)^(1/8)-1),"")</f>
        <v/>
      </c>
      <c r="P35" s="3"/>
      <c r="Q35" s="3"/>
      <c r="R35" s="3"/>
      <c r="S35" s="3"/>
      <c r="T35" s="3"/>
      <c r="U35" s="3"/>
      <c r="V35" s="3"/>
      <c r="W35" s="20"/>
      <c r="X35" s="1596"/>
      <c r="Y35" s="134"/>
      <c r="Z35" s="1604"/>
    </row>
    <row r="36" spans="1:75">
      <c r="A36" s="80" t="s">
        <v>744</v>
      </c>
      <c r="B36" s="80"/>
      <c r="C36" s="232">
        <f>C34*23500/1000</f>
        <v>930.75527076957474</v>
      </c>
      <c r="D36" s="232">
        <f t="shared" ref="D36:M36" si="17">D34*23500/1000</f>
        <v>896.09379859426508</v>
      </c>
      <c r="E36" s="232">
        <f t="shared" si="17"/>
        <v>850.39912059914309</v>
      </c>
      <c r="F36" s="232">
        <f>F34*23500/1000</f>
        <v>1061.1003958988936</v>
      </c>
      <c r="G36" s="910">
        <f>G34*23500/1000</f>
        <v>1102.3588709677417</v>
      </c>
      <c r="H36" s="3">
        <f>H34*23500/1000</f>
        <v>826.63395772620447</v>
      </c>
      <c r="I36" s="3">
        <f t="shared" si="17"/>
        <v>903.00840687201105</v>
      </c>
      <c r="J36" s="3">
        <f t="shared" si="17"/>
        <v>946.83018199219021</v>
      </c>
      <c r="K36" s="3">
        <f t="shared" si="17"/>
        <v>988.6055720912268</v>
      </c>
      <c r="L36" s="34">
        <f t="shared" si="17"/>
        <v>1027.7899324182511</v>
      </c>
      <c r="M36" s="3">
        <f t="shared" si="17"/>
        <v>1063.7642733513649</v>
      </c>
      <c r="N36" s="3"/>
      <c r="O36" s="222" t="str">
        <f>IFERROR(IF((#REF!/I36)^(1/8)-1&lt;0,"",(#REF!/I36)^(1/8)-1),"")</f>
        <v/>
      </c>
      <c r="P36" s="3"/>
      <c r="Q36" s="3"/>
      <c r="R36" s="3"/>
      <c r="S36" s="3"/>
      <c r="T36" s="3"/>
      <c r="U36" s="3"/>
      <c r="V36" s="3"/>
      <c r="W36" s="17"/>
      <c r="X36" s="1596"/>
      <c r="Y36" s="134"/>
      <c r="Z36" s="1604"/>
    </row>
    <row r="37" spans="1:75">
      <c r="A37" s="80"/>
      <c r="B37" s="80"/>
      <c r="C37" s="232"/>
      <c r="D37" s="232"/>
      <c r="E37" s="232"/>
      <c r="F37" s="232"/>
      <c r="G37" s="910"/>
      <c r="H37" s="3"/>
      <c r="I37" s="3"/>
      <c r="J37" s="3"/>
      <c r="K37" s="3"/>
      <c r="L37" s="34"/>
      <c r="M37" s="3"/>
      <c r="N37" s="3"/>
      <c r="O37" s="202"/>
      <c r="P37" s="3"/>
      <c r="Q37" s="3"/>
      <c r="R37" s="3"/>
      <c r="S37" s="3"/>
      <c r="T37" s="3"/>
      <c r="U37" s="3"/>
      <c r="V37" s="3"/>
      <c r="W37" s="17"/>
      <c r="X37" s="1596"/>
      <c r="Y37" s="134"/>
      <c r="Z37" s="1604"/>
    </row>
    <row r="38" spans="1:75" s="395" customFormat="1">
      <c r="A38" s="146" t="s">
        <v>745</v>
      </c>
      <c r="B38" s="146"/>
      <c r="C38" s="383"/>
      <c r="D38" s="383"/>
      <c r="E38" s="383"/>
      <c r="F38" s="384"/>
      <c r="G38" s="909"/>
      <c r="H38" s="383"/>
      <c r="I38" s="383"/>
      <c r="J38" s="383"/>
      <c r="K38" s="383"/>
      <c r="L38" s="383"/>
      <c r="M38" s="383"/>
      <c r="N38" s="383"/>
      <c r="O38" s="970" t="s">
        <v>648</v>
      </c>
      <c r="P38" s="1229"/>
      <c r="Q38" s="1229"/>
      <c r="R38" s="1229"/>
      <c r="S38" s="1229"/>
      <c r="T38" s="1229"/>
      <c r="U38" s="1229"/>
      <c r="V38" s="383"/>
      <c r="W38" s="383"/>
      <c r="X38" s="1596"/>
      <c r="Y38" s="145" t="s">
        <v>731</v>
      </c>
      <c r="Z38" s="1604"/>
      <c r="BU38" s="1"/>
      <c r="BV38" s="1"/>
      <c r="BW38" s="1"/>
    </row>
    <row r="39" spans="1:75" s="395" customFormat="1">
      <c r="A39" s="394"/>
      <c r="B39" s="394"/>
      <c r="F39" s="396"/>
      <c r="G39" s="911"/>
      <c r="I39" s="1"/>
      <c r="O39" s="1235"/>
      <c r="P39" s="1235"/>
      <c r="Q39" s="1235"/>
      <c r="R39" s="1235"/>
      <c r="S39" s="1235"/>
      <c r="T39" s="1235"/>
      <c r="U39" s="1235"/>
      <c r="X39" s="1596"/>
      <c r="Y39" s="145"/>
      <c r="Z39" s="1604"/>
      <c r="BU39" s="1"/>
      <c r="BV39" s="1"/>
      <c r="BW39" s="1"/>
    </row>
    <row r="40" spans="1:75" ht="14.25" customHeight="1">
      <c r="A40" s="83" t="s">
        <v>746</v>
      </c>
      <c r="B40" s="83"/>
      <c r="E40" s="4">
        <f>E41-E43</f>
        <v>2941.051930685413</v>
      </c>
      <c r="F40" s="4">
        <f t="shared" ref="F40:M40" si="18">F41-F43</f>
        <v>2580.0982570800352</v>
      </c>
      <c r="G40" s="4">
        <f t="shared" si="18"/>
        <v>2427.0855527951844</v>
      </c>
      <c r="H40" s="4">
        <f t="shared" si="18"/>
        <v>1668.096076174621</v>
      </c>
      <c r="I40" s="4">
        <f t="shared" si="18"/>
        <v>1407.0975115162983</v>
      </c>
      <c r="J40" s="4">
        <f t="shared" si="18"/>
        <v>1195.6494794723658</v>
      </c>
      <c r="K40" s="4">
        <f t="shared" si="18"/>
        <v>962.91181645375218</v>
      </c>
      <c r="L40" s="4">
        <f t="shared" si="18"/>
        <v>713.76267716310394</v>
      </c>
      <c r="M40" s="4">
        <f t="shared" si="18"/>
        <v>453.73114948310467</v>
      </c>
      <c r="O40" s="222"/>
      <c r="P40" s="223"/>
      <c r="Q40" s="223"/>
      <c r="R40" s="223"/>
      <c r="S40" s="223"/>
      <c r="T40" s="223"/>
      <c r="U40" s="223"/>
      <c r="X40" s="1596"/>
      <c r="Y40" s="134"/>
      <c r="Z40" s="1604"/>
    </row>
    <row r="41" spans="1:75" s="2" customFormat="1">
      <c r="A41" s="176" t="s">
        <v>747</v>
      </c>
      <c r="B41" s="176"/>
      <c r="C41" s="7" t="str">
        <f>IFERROR(C43/C45,"")</f>
        <v/>
      </c>
      <c r="D41" s="7">
        <f>IFERROR(D43/D45,"")</f>
        <v>0</v>
      </c>
      <c r="E41" s="7">
        <f>IFERROR(E43/E45,"")</f>
        <v>16296.066511500982</v>
      </c>
      <c r="F41" s="7">
        <f>IFERROR(F43/F45,"")</f>
        <v>16865.811880232926</v>
      </c>
      <c r="G41" s="386">
        <f>IFERROR(G43/G45,"")</f>
        <v>16560.824658588423</v>
      </c>
      <c r="H41" s="7">
        <f t="shared" ref="H41:M41" si="19">H43/H45</f>
        <v>13180.712079489795</v>
      </c>
      <c r="I41" s="7">
        <f t="shared" si="19"/>
        <v>14070.97511516299</v>
      </c>
      <c r="J41" s="7">
        <f t="shared" si="19"/>
        <v>14492.720963301392</v>
      </c>
      <c r="K41" s="7">
        <f t="shared" si="19"/>
        <v>14814.027945442322</v>
      </c>
      <c r="L41" s="41">
        <f t="shared" si="19"/>
        <v>15026.58267711796</v>
      </c>
      <c r="M41" s="7">
        <f t="shared" si="19"/>
        <v>15124.371649436831</v>
      </c>
      <c r="N41" s="1"/>
      <c r="O41" s="222">
        <f>(M41/I41)^0.25-1</f>
        <v>1.8212176722929074E-2</v>
      </c>
      <c r="P41" s="152"/>
      <c r="Q41" s="152"/>
      <c r="R41" s="152"/>
      <c r="S41" s="152"/>
      <c r="T41" s="152"/>
      <c r="U41" s="152"/>
      <c r="V41" s="152"/>
      <c r="W41" s="7"/>
      <c r="X41" s="1596"/>
      <c r="Y41" s="358"/>
      <c r="Z41" s="1604"/>
      <c r="AA41" s="7"/>
      <c r="AB41" s="7"/>
      <c r="AC41" s="7"/>
      <c r="AD41" s="7"/>
    </row>
    <row r="42" spans="1:75" s="6" customFormat="1">
      <c r="A42" s="80" t="s">
        <v>724</v>
      </c>
      <c r="B42" s="80"/>
      <c r="C42" s="59" t="str">
        <f>IFERROR(C41/A41-1,"")</f>
        <v/>
      </c>
      <c r="D42" s="59" t="str">
        <f t="shared" ref="D42:M42" si="20">IFERROR(D41/C41-1,"")</f>
        <v/>
      </c>
      <c r="E42" s="59" t="str">
        <f t="shared" si="20"/>
        <v/>
      </c>
      <c r="F42" s="59">
        <f t="shared" si="20"/>
        <v>3.4962140607970982E-2</v>
      </c>
      <c r="G42" s="390">
        <f t="shared" si="20"/>
        <v>-1.8083162779845452E-2</v>
      </c>
      <c r="H42" s="59">
        <f t="shared" si="20"/>
        <v>-0.20410291448534268</v>
      </c>
      <c r="I42" s="59">
        <f t="shared" si="20"/>
        <v>6.7542863413162069E-2</v>
      </c>
      <c r="J42" s="59">
        <f t="shared" si="20"/>
        <v>2.997275204359684E-2</v>
      </c>
      <c r="K42" s="59">
        <f t="shared" si="20"/>
        <v>2.2170231729055301E-2</v>
      </c>
      <c r="L42" s="898">
        <f t="shared" si="20"/>
        <v>1.4348206474190661E-2</v>
      </c>
      <c r="M42" s="59">
        <f t="shared" si="20"/>
        <v>6.5077319587627525E-3</v>
      </c>
      <c r="N42" s="1"/>
      <c r="O42" s="222" t="str">
        <f>IFERROR(IF((#REF!/I42)^(1/8)-1&lt;0,"",(#REF!/I42)^(1/8)-1),"")</f>
        <v/>
      </c>
      <c r="P42" s="152"/>
      <c r="Q42" s="232"/>
      <c r="R42" s="232"/>
      <c r="S42" s="232"/>
      <c r="T42" s="232"/>
      <c r="U42" s="232"/>
      <c r="V42" s="232"/>
      <c r="W42" s="59"/>
      <c r="X42" s="1596"/>
      <c r="Y42" s="388"/>
      <c r="Z42" s="1604"/>
    </row>
    <row r="43" spans="1:75" s="2" customFormat="1">
      <c r="A43" s="176" t="s">
        <v>748</v>
      </c>
      <c r="B43" s="176"/>
      <c r="C43" s="7" t="str">
        <f>IFERROR('C. ICT Market'!A148*1000,"")</f>
        <v/>
      </c>
      <c r="D43" s="7">
        <f>IFERROR('C. ICT Market'!B148*1000,"")</f>
        <v>0</v>
      </c>
      <c r="E43" s="7">
        <f>IFERROR('C. ICT Market'!D148,"")</f>
        <v>13355.014580815568</v>
      </c>
      <c r="F43" s="7">
        <f>IFERROR('C. ICT Market'!E148,"")</f>
        <v>14285.713623152891</v>
      </c>
      <c r="G43" s="386">
        <f>IFERROR('C. ICT Market'!F148,"")</f>
        <v>14133.739105793238</v>
      </c>
      <c r="H43" s="7">
        <f t="shared" ref="H43:M43" si="21">G43*(1+H44)</f>
        <v>11512.616003315174</v>
      </c>
      <c r="I43" s="7">
        <f t="shared" si="21"/>
        <v>12663.877603646692</v>
      </c>
      <c r="J43" s="7">
        <f t="shared" si="21"/>
        <v>13297.071483829026</v>
      </c>
      <c r="K43" s="7">
        <f t="shared" si="21"/>
        <v>13851.116128988569</v>
      </c>
      <c r="L43" s="41">
        <f t="shared" si="21"/>
        <v>14312.819999954856</v>
      </c>
      <c r="M43" s="7">
        <f t="shared" si="21"/>
        <v>14670.640499953726</v>
      </c>
      <c r="N43" s="1"/>
      <c r="O43" s="222">
        <f>(M43/I43)^0.25-1</f>
        <v>3.745816407417446E-2</v>
      </c>
      <c r="P43" s="152"/>
      <c r="Q43" s="152"/>
      <c r="R43" s="152"/>
      <c r="S43" s="152"/>
      <c r="T43" s="152"/>
      <c r="U43" s="152"/>
      <c r="V43" s="152"/>
      <c r="W43" s="7"/>
      <c r="X43" s="1596"/>
      <c r="Y43" s="358"/>
      <c r="Z43" s="1604"/>
      <c r="AA43" s="8">
        <f>'C. ICT Market'!N137</f>
        <v>2887.5378599989899</v>
      </c>
      <c r="AB43" s="8">
        <f>'C. ICT Market'!O137</f>
        <v>2379.3319016044643</v>
      </c>
      <c r="AC43" s="8">
        <f>'C. ICT Market'!P137</f>
        <v>2974.1648770055804</v>
      </c>
      <c r="AD43" s="8">
        <f>'C. ICT Market'!Q137</f>
        <v>3271.5813647061386</v>
      </c>
      <c r="AE43" s="8"/>
    </row>
    <row r="44" spans="1:75" s="6" customFormat="1">
      <c r="A44" s="80" t="s">
        <v>724</v>
      </c>
      <c r="B44" s="80"/>
      <c r="C44" s="59" t="str">
        <f>IFERROR(C43/A43-1,"")</f>
        <v/>
      </c>
      <c r="D44" s="59" t="str">
        <f>IFERROR(D43/C43-1,"")</f>
        <v/>
      </c>
      <c r="E44" s="59" t="str">
        <f>IFERROR(E43/D43-1,"")</f>
        <v/>
      </c>
      <c r="F44" s="59">
        <f>IFERROR(F43/E43-1,"")</f>
        <v>6.9689107166851727E-2</v>
      </c>
      <c r="G44" s="390">
        <f>IFERROR(G43/F43-1,"")</f>
        <v>-1.0638216708568682E-2</v>
      </c>
      <c r="H44" s="1107">
        <f>'C. ICT Market'!G166</f>
        <v>-0.18545149891748747</v>
      </c>
      <c r="I44" s="577">
        <v>0.1</v>
      </c>
      <c r="J44" s="577">
        <v>0.05</v>
      </c>
      <c r="K44" s="59">
        <f>J44-($J$44-$M$44)/3</f>
        <v>4.1666666666666671E-2</v>
      </c>
      <c r="L44" s="59">
        <f>K44-($J$44-$M$44)/3</f>
        <v>3.333333333333334E-2</v>
      </c>
      <c r="M44" s="591">
        <v>2.5000000000000001E-2</v>
      </c>
      <c r="N44" s="1"/>
      <c r="O44" s="222" t="str">
        <f>IFERROR(IF((#REF!/I44)^(1/8)-1&lt;0,"",(#REF!/I44)^(1/8)-1),"")</f>
        <v/>
      </c>
      <c r="P44" s="17"/>
      <c r="Q44" s="232"/>
      <c r="R44" s="232"/>
      <c r="S44" s="232"/>
      <c r="T44" s="232"/>
      <c r="U44" s="232"/>
      <c r="V44" s="232"/>
      <c r="W44" s="59"/>
      <c r="X44" s="1596"/>
      <c r="Y44" s="388"/>
      <c r="Z44" s="1604"/>
    </row>
    <row r="45" spans="1:75" s="2" customFormat="1">
      <c r="A45" s="1092" t="s">
        <v>749</v>
      </c>
      <c r="B45" s="1102"/>
      <c r="C45" s="1080">
        <v>0.75017981526347666</v>
      </c>
      <c r="D45" s="1080">
        <v>0.77531137825531815</v>
      </c>
      <c r="E45" s="1080">
        <v>0.81952381400691021</v>
      </c>
      <c r="F45" s="1080">
        <v>0.84702199482587837</v>
      </c>
      <c r="G45" s="1081">
        <v>0.85344416097440534</v>
      </c>
      <c r="H45" s="1082">
        <f>G45+2%</f>
        <v>0.87344416097440536</v>
      </c>
      <c r="I45" s="1082">
        <v>0.9</v>
      </c>
      <c r="J45" s="1080">
        <f>I45+($M45-$I45)/4</f>
        <v>0.91749999999999998</v>
      </c>
      <c r="K45" s="1080">
        <f>J45+($M45-$I45)/4</f>
        <v>0.93499999999999994</v>
      </c>
      <c r="L45" s="1080">
        <f>K45+($M45-$I45)/4</f>
        <v>0.9524999999999999</v>
      </c>
      <c r="M45" s="1082">
        <v>0.97</v>
      </c>
      <c r="N45" s="1"/>
      <c r="O45" s="222"/>
      <c r="P45" s="152"/>
      <c r="Q45" s="7"/>
      <c r="R45" s="7"/>
      <c r="S45" s="7"/>
      <c r="T45" s="7"/>
      <c r="U45" s="7"/>
      <c r="V45" s="7"/>
      <c r="W45" s="369"/>
      <c r="X45" s="1596"/>
      <c r="Y45" s="358"/>
      <c r="Z45" s="1604"/>
      <c r="BE45" s="2" t="s">
        <v>750</v>
      </c>
    </row>
    <row r="46" spans="1:75">
      <c r="A46" s="84"/>
      <c r="B46" s="84"/>
      <c r="C46" s="70"/>
      <c r="D46" s="70"/>
      <c r="E46" s="70"/>
      <c r="F46" s="70"/>
      <c r="G46" s="912"/>
      <c r="H46" s="1236"/>
      <c r="I46" s="70"/>
      <c r="J46" s="70"/>
      <c r="K46" s="70"/>
      <c r="L46" s="580"/>
      <c r="M46" s="70"/>
      <c r="O46" s="222" t="str">
        <f>IFERROR(IF((#REF!/I46)^(1/8)-1&lt;0,"",(#REF!/I46)^(1/8)-1),"")</f>
        <v/>
      </c>
      <c r="P46" s="70"/>
      <c r="Q46" s="70"/>
      <c r="R46" s="70"/>
      <c r="S46" s="70"/>
      <c r="T46" s="70"/>
      <c r="U46" s="70"/>
      <c r="V46" s="70"/>
      <c r="W46" s="70"/>
      <c r="X46" s="1596"/>
      <c r="Y46" s="134"/>
      <c r="Z46" s="1604"/>
    </row>
    <row r="47" spans="1:75" s="2" customFormat="1">
      <c r="A47" s="176" t="s">
        <v>751</v>
      </c>
      <c r="B47" s="176"/>
      <c r="C47" s="7">
        <f>D47/0.972</f>
        <v>88929.012345679017</v>
      </c>
      <c r="D47" s="7">
        <v>86439</v>
      </c>
      <c r="E47" s="7">
        <v>82777</v>
      </c>
      <c r="F47" s="7">
        <v>104529</v>
      </c>
      <c r="G47" s="386">
        <v>109354</v>
      </c>
      <c r="H47" s="7">
        <f t="shared" ref="H47:M47" si="22">H49+(H41-H43)*H55</f>
        <v>82593.131886213712</v>
      </c>
      <c r="I47" s="7">
        <f t="shared" si="22"/>
        <v>90864.675975922582</v>
      </c>
      <c r="J47" s="7">
        <f t="shared" si="22"/>
        <v>95950.662582071076</v>
      </c>
      <c r="K47" s="7">
        <f t="shared" si="22"/>
        <v>100895.43906085308</v>
      </c>
      <c r="L47" s="41">
        <f t="shared" si="22"/>
        <v>105639.28081029655</v>
      </c>
      <c r="M47" s="7">
        <f t="shared" si="22"/>
        <v>110113.12117160291</v>
      </c>
      <c r="N47" s="1"/>
      <c r="O47" s="222">
        <f>(M47/I47)^0.25-1</f>
        <v>4.920656095409548E-2</v>
      </c>
      <c r="P47" s="152"/>
      <c r="Q47" s="152"/>
      <c r="R47" s="152"/>
      <c r="S47" s="152"/>
      <c r="T47" s="152"/>
      <c r="U47" s="152"/>
      <c r="V47" s="152"/>
      <c r="W47" s="7"/>
      <c r="X47" s="162"/>
      <c r="AC47" s="152"/>
    </row>
    <row r="48" spans="1:75" ht="15" customHeight="1">
      <c r="A48" s="80" t="s">
        <v>724</v>
      </c>
      <c r="B48" s="80"/>
      <c r="C48" s="12" t="str">
        <f>IFERROR(C47/A47-1,"")</f>
        <v/>
      </c>
      <c r="D48" s="12">
        <f t="shared" ref="D48:M48" si="23">IFERROR(D47/C47-1,"")</f>
        <v>-2.8000000000000025E-2</v>
      </c>
      <c r="E48" s="12">
        <f t="shared" si="23"/>
        <v>-4.2365136107543999E-2</v>
      </c>
      <c r="F48" s="12">
        <f>IFERROR(F47/E47-1,"")</f>
        <v>0.26277830798410196</v>
      </c>
      <c r="G48" s="908">
        <f t="shared" si="23"/>
        <v>4.6159439007356751E-2</v>
      </c>
      <c r="H48" s="12">
        <f t="shared" si="23"/>
        <v>-0.24471777999694833</v>
      </c>
      <c r="I48" s="12">
        <f t="shared" si="23"/>
        <v>0.1001480861762738</v>
      </c>
      <c r="J48" s="12">
        <f t="shared" si="23"/>
        <v>5.5973199172538513E-2</v>
      </c>
      <c r="K48" s="12">
        <f>IFERROR(K47/J47-1,"")</f>
        <v>5.1534573558077446E-2</v>
      </c>
      <c r="L48" s="30">
        <f t="shared" si="23"/>
        <v>4.7017405282138824E-2</v>
      </c>
      <c r="M48" s="12">
        <f t="shared" si="23"/>
        <v>4.2350159211518301E-2</v>
      </c>
      <c r="O48" s="222" t="str">
        <f>IFERROR(IF((#REF!/I48)^(1/8)-1&lt;0,"",(#REF!/I48)^(1/8)-1),"")</f>
        <v/>
      </c>
      <c r="P48" s="152"/>
      <c r="Q48" s="59"/>
      <c r="R48" s="59"/>
      <c r="S48" s="59"/>
      <c r="T48" s="59"/>
      <c r="U48" s="59"/>
      <c r="V48" s="59"/>
      <c r="W48" s="59"/>
      <c r="X48" s="1605" t="s">
        <v>752</v>
      </c>
    </row>
    <row r="49" spans="1:57 16384:16384" ht="15" customHeight="1">
      <c r="A49" s="176" t="s">
        <v>753</v>
      </c>
      <c r="B49" s="176"/>
      <c r="C49" s="7">
        <f>C47*C51</f>
        <v>84250.389630331076</v>
      </c>
      <c r="D49" s="7">
        <f>D47*D51</f>
        <v>83126.271074787146</v>
      </c>
      <c r="E49" s="7">
        <f>E47*E51</f>
        <v>80004.402091958793</v>
      </c>
      <c r="F49" s="7">
        <f>F47*F51</f>
        <v>101672.92796540583</v>
      </c>
      <c r="G49" s="386">
        <f>G47*G51</f>
        <v>106648.72000805601</v>
      </c>
      <c r="H49" s="7">
        <f t="shared" ref="H49:M49" si="24">H43*H53</f>
        <v>80789.616173185452</v>
      </c>
      <c r="I49" s="7">
        <f t="shared" si="24"/>
        <v>89312.920679456496</v>
      </c>
      <c r="J49" s="7">
        <f t="shared" si="24"/>
        <v>94599.12917217183</v>
      </c>
      <c r="K49" s="7">
        <f t="shared" si="24"/>
        <v>99772.519048774979</v>
      </c>
      <c r="L49" s="41">
        <f t="shared" si="24"/>
        <v>104773.61656609485</v>
      </c>
      <c r="M49" s="7">
        <f t="shared" si="24"/>
        <v>109540.81611985216</v>
      </c>
      <c r="O49" s="591">
        <f>(M49/I49)^(1/4)-1</f>
        <v>5.2362636028397747E-2</v>
      </c>
      <c r="P49" s="152"/>
      <c r="Q49" s="152"/>
      <c r="R49" s="152"/>
      <c r="S49" s="152"/>
      <c r="T49" s="152"/>
      <c r="U49" s="152"/>
      <c r="V49" s="152"/>
      <c r="W49" s="3"/>
      <c r="X49" s="1605"/>
      <c r="AC49" s="17"/>
    </row>
    <row r="50" spans="1:57 16384:16384" ht="15" customHeight="1">
      <c r="A50" s="80" t="s">
        <v>724</v>
      </c>
      <c r="B50" s="80"/>
      <c r="C50" s="12" t="str">
        <f>IFERROR(C49/A49-1,"")</f>
        <v/>
      </c>
      <c r="D50" s="12">
        <f t="shared" ref="D50:M50" si="25">IFERROR(D49/C49-1,"")</f>
        <v>-1.3342591772883994E-2</v>
      </c>
      <c r="E50" s="12">
        <f t="shared" si="25"/>
        <v>-3.7555744320825646E-2</v>
      </c>
      <c r="F50" s="12">
        <f t="shared" si="25"/>
        <v>0.27084167004386539</v>
      </c>
      <c r="G50" s="908">
        <f t="shared" si="25"/>
        <v>4.8939202816537186E-2</v>
      </c>
      <c r="H50" s="387">
        <f t="shared" si="25"/>
        <v>-0.24246989399326335</v>
      </c>
      <c r="I50" s="30">
        <f t="shared" si="25"/>
        <v>0.10549999999999971</v>
      </c>
      <c r="J50" s="30">
        <f t="shared" si="25"/>
        <v>5.9187499999999948E-2</v>
      </c>
      <c r="K50" s="30">
        <f t="shared" si="25"/>
        <v>5.46875E-2</v>
      </c>
      <c r="L50" s="30">
        <f t="shared" si="25"/>
        <v>5.0125000000000197E-2</v>
      </c>
      <c r="M50" s="30">
        <f t="shared" si="25"/>
        <v>4.5499999999999874E-2</v>
      </c>
      <c r="O50" s="222" t="str">
        <f>IFERROR(IF((#REF!/I50)^(1/8)-1&lt;0,"",(#REF!/I50)^(1/8)-1),"")</f>
        <v/>
      </c>
      <c r="P50" s="59"/>
      <c r="Q50" s="152"/>
      <c r="R50" s="152"/>
      <c r="S50" s="152"/>
      <c r="T50" s="152"/>
      <c r="U50" s="152"/>
      <c r="V50" s="59"/>
      <c r="W50" s="59"/>
      <c r="X50" s="1605"/>
    </row>
    <row r="51" spans="1:57 16384:16384" s="2" customFormat="1" ht="15" customHeight="1">
      <c r="A51" s="1092" t="s">
        <v>749</v>
      </c>
      <c r="B51" s="1103"/>
      <c r="C51" s="1104">
        <v>0.94738924236376876</v>
      </c>
      <c r="D51" s="1104">
        <v>0.96167552927251754</v>
      </c>
      <c r="E51" s="1104">
        <v>0.96650521391157929</v>
      </c>
      <c r="F51" s="1104">
        <v>0.97267674966187212</v>
      </c>
      <c r="G51" s="1105">
        <v>0.97526126166446603</v>
      </c>
      <c r="H51" s="1104">
        <f t="shared" ref="H51:M51" si="26">H49/H47</f>
        <v>0.97816385367837955</v>
      </c>
      <c r="I51" s="1104">
        <f t="shared" si="26"/>
        <v>0.98292234820848012</v>
      </c>
      <c r="J51" s="1104">
        <f t="shared" si="26"/>
        <v>0.98591428788995372</v>
      </c>
      <c r="K51" s="1104">
        <f t="shared" si="26"/>
        <v>0.98887045814428898</v>
      </c>
      <c r="L51" s="1106">
        <f t="shared" si="26"/>
        <v>0.99180547010958708</v>
      </c>
      <c r="M51" s="1104">
        <f t="shared" si="26"/>
        <v>0.99480257170388575</v>
      </c>
      <c r="N51" s="1"/>
      <c r="O51" s="222"/>
      <c r="P51" s="369"/>
      <c r="Q51" s="369"/>
      <c r="R51" s="369"/>
      <c r="S51" s="369"/>
      <c r="T51" s="369"/>
      <c r="U51" s="369"/>
      <c r="V51" s="369"/>
      <c r="W51" s="369"/>
      <c r="X51" s="1605"/>
    </row>
    <row r="52" spans="1:57 16384:16384">
      <c r="A52" s="84"/>
      <c r="B52" s="84"/>
      <c r="C52" s="70"/>
      <c r="D52" s="70"/>
      <c r="E52" s="70"/>
      <c r="F52" s="1017"/>
      <c r="G52" s="1017"/>
      <c r="H52" s="122"/>
      <c r="I52" s="70"/>
      <c r="J52" s="70"/>
      <c r="K52" s="70"/>
      <c r="L52" s="580"/>
      <c r="M52" s="70"/>
      <c r="O52" s="222"/>
      <c r="P52" s="70"/>
      <c r="Q52" s="70"/>
      <c r="R52" s="70"/>
      <c r="S52" s="70"/>
      <c r="T52" s="70"/>
      <c r="U52" s="70"/>
      <c r="V52" s="70"/>
      <c r="W52" s="70"/>
    </row>
    <row r="53" spans="1:57 16384:16384" s="2" customFormat="1">
      <c r="A53" s="79" t="s">
        <v>754</v>
      </c>
      <c r="B53" s="79"/>
      <c r="C53" s="73" t="str">
        <f>IFERROR(C49/C43,"")</f>
        <v/>
      </c>
      <c r="D53" s="73" t="str">
        <f>IFERROR(D49/D43,"")</f>
        <v/>
      </c>
      <c r="E53" s="73">
        <f>IFERROR(E49/E43,"")</f>
        <v>5.9905888988608691</v>
      </c>
      <c r="F53" s="73">
        <f>IFERROR(F49/F43,"")</f>
        <v>7.1171052876647529</v>
      </c>
      <c r="G53" s="913">
        <f>IFERROR(G49/G43,"")</f>
        <v>7.5456833616195782</v>
      </c>
      <c r="H53" s="73">
        <f t="shared" ref="H53:M53" si="27">G53*(1+H54)</f>
        <v>7.0174855263062073</v>
      </c>
      <c r="I53" s="73">
        <f t="shared" si="27"/>
        <v>7.0525729539377373</v>
      </c>
      <c r="J53" s="73">
        <f t="shared" si="27"/>
        <v>7.1142829672846926</v>
      </c>
      <c r="K53" s="73">
        <f t="shared" si="27"/>
        <v>7.2032115043757505</v>
      </c>
      <c r="L53" s="55">
        <f t="shared" si="27"/>
        <v>7.3202636913218573</v>
      </c>
      <c r="M53" s="73">
        <f t="shared" si="27"/>
        <v>7.4666689651482949</v>
      </c>
      <c r="N53" s="1"/>
      <c r="O53" s="222">
        <f>(M53/I53)^0.25-1</f>
        <v>1.4366335405460839E-2</v>
      </c>
      <c r="P53" s="152"/>
      <c r="Q53" s="152"/>
      <c r="R53" s="152"/>
      <c r="S53" s="152"/>
      <c r="T53" s="152"/>
      <c r="U53" s="152"/>
      <c r="V53" s="73"/>
      <c r="W53" s="73"/>
      <c r="X53" s="162"/>
    </row>
    <row r="54" spans="1:57 16384:16384" s="2" customFormat="1">
      <c r="A54" s="80" t="s">
        <v>724</v>
      </c>
      <c r="B54" s="80"/>
      <c r="C54" s="59" t="str">
        <f>IFERROR(C53/A53-1,"")</f>
        <v/>
      </c>
      <c r="D54" s="59" t="str">
        <f>IFERROR(D53/C53-1,"")</f>
        <v/>
      </c>
      <c r="E54" s="59" t="str">
        <f>IFERROR(E53/D53-1,"")</f>
        <v/>
      </c>
      <c r="F54" s="59">
        <f>IFERROR(F53/E53-1,"")</f>
        <v>0.18804768743488554</v>
      </c>
      <c r="G54" s="390">
        <f>IFERROR(G53/F53-1,"")</f>
        <v>6.0218031999277777E-2</v>
      </c>
      <c r="H54" s="577">
        <v>-7.0000000000000007E-2</v>
      </c>
      <c r="I54" s="577">
        <v>5.0000000000000001E-3</v>
      </c>
      <c r="J54" s="1096">
        <f>I54-($I54-$M54)/4</f>
        <v>8.7500000000000008E-3</v>
      </c>
      <c r="K54" s="1096">
        <f t="shared" ref="K54" si="28">J54-($I54-$M54)/4</f>
        <v>1.2500000000000001E-2</v>
      </c>
      <c r="L54" s="1096">
        <f>K54-($I54-$M54)/4</f>
        <v>1.6250000000000001E-2</v>
      </c>
      <c r="M54" s="591">
        <v>0.02</v>
      </c>
      <c r="N54" s="1"/>
      <c r="O54" s="222"/>
      <c r="P54" s="368"/>
      <c r="Q54" s="368"/>
      <c r="R54" s="368"/>
      <c r="S54" s="368"/>
      <c r="T54" s="368"/>
      <c r="U54" s="368"/>
      <c r="V54" s="368"/>
      <c r="W54" s="368"/>
      <c r="X54" s="162" t="s">
        <v>755</v>
      </c>
    </row>
    <row r="55" spans="1:57 16384:16384" s="2" customFormat="1" hidden="1">
      <c r="A55" s="360" t="s">
        <v>756</v>
      </c>
      <c r="B55" s="360"/>
      <c r="C55" s="74" t="str">
        <f>IFERROR((C47-C49)/(C41-C43),"")</f>
        <v/>
      </c>
      <c r="D55" s="74" t="str">
        <f>IFERROR((D47-D49)/(D41-D43),"")</f>
        <v/>
      </c>
      <c r="E55" s="73">
        <f>IFERROR((E47-E49)/(E41-E43),"")</f>
        <v>0.94272320699725021</v>
      </c>
      <c r="F55" s="73">
        <f>IFERROR((F47-F49)/(F41-F43),"")</f>
        <v>1.1069625068567961</v>
      </c>
      <c r="G55" s="913">
        <f>IFERROR((G47-G49)/(G41-G43),"")</f>
        <v>1.1146207799838019</v>
      </c>
      <c r="H55" s="73">
        <f t="shared" ref="H55:M55" si="29">G55*(1+H56)</f>
        <v>1.0811821565842878</v>
      </c>
      <c r="I55" s="73">
        <f t="shared" si="29"/>
        <v>1.1028057997159737</v>
      </c>
      <c r="J55" s="73">
        <f t="shared" si="29"/>
        <v>1.130375944708873</v>
      </c>
      <c r="K55" s="73">
        <f t="shared" si="29"/>
        <v>1.1661711829579875</v>
      </c>
      <c r="L55" s="55">
        <f t="shared" si="29"/>
        <v>1.212818030276307</v>
      </c>
      <c r="M55" s="73">
        <f t="shared" si="29"/>
        <v>1.2613307514873593</v>
      </c>
      <c r="N55" s="1"/>
      <c r="O55" s="222">
        <f>(M55/I55)^0.25-1</f>
        <v>3.4147498216457794E-2</v>
      </c>
      <c r="P55" s="152"/>
      <c r="Q55" s="152"/>
      <c r="R55" s="152"/>
      <c r="S55" s="152"/>
      <c r="T55" s="152"/>
      <c r="U55" s="152"/>
      <c r="V55" s="73"/>
      <c r="W55" s="73"/>
      <c r="X55" s="162"/>
      <c r="BD55" s="2">
        <v>2021</v>
      </c>
      <c r="BE55" s="2" t="s">
        <v>757</v>
      </c>
    </row>
    <row r="56" spans="1:57 16384:16384" s="2" customFormat="1" hidden="1">
      <c r="A56" s="80" t="s">
        <v>724</v>
      </c>
      <c r="B56" s="80"/>
      <c r="C56" s="59" t="str">
        <f>IFERROR(C55/A55-1,"")</f>
        <v/>
      </c>
      <c r="D56" s="59" t="str">
        <f>IFERROR(D55/C55-1,"")</f>
        <v/>
      </c>
      <c r="E56" s="59" t="str">
        <f>IFERROR(E55/D55-1,"")</f>
        <v/>
      </c>
      <c r="F56" s="59">
        <f>IFERROR(F55/E55-1,"")</f>
        <v>0.17421794503466059</v>
      </c>
      <c r="G56" s="390">
        <f>IFERROR(G55/F55-1,"")</f>
        <v>6.9182768879421097E-3</v>
      </c>
      <c r="H56" s="577">
        <v>-0.03</v>
      </c>
      <c r="I56" s="577">
        <v>0.02</v>
      </c>
      <c r="J56" s="197">
        <f>I56+($M56-$I56)/4</f>
        <v>2.5000000000000001E-2</v>
      </c>
      <c r="K56" s="197">
        <f>J56+($L56-$I56)/3</f>
        <v>3.1666666666666669E-2</v>
      </c>
      <c r="L56" s="903">
        <v>0.04</v>
      </c>
      <c r="M56" s="577">
        <v>0.04</v>
      </c>
      <c r="N56" s="1"/>
      <c r="O56" s="222"/>
      <c r="P56" s="368"/>
      <c r="Q56" s="368"/>
      <c r="R56" s="368"/>
      <c r="S56" s="368"/>
      <c r="T56" s="368"/>
      <c r="U56" s="368"/>
      <c r="V56" s="368"/>
      <c r="W56" s="368"/>
      <c r="X56" s="162" t="s">
        <v>758</v>
      </c>
    </row>
    <row r="57" spans="1:57 16384:16384">
      <c r="A57" s="79"/>
      <c r="B57" s="79"/>
      <c r="C57" s="74"/>
      <c r="D57" s="74"/>
      <c r="E57" s="73"/>
      <c r="F57" s="73"/>
      <c r="G57" s="913"/>
      <c r="H57" s="74"/>
      <c r="I57" s="74"/>
      <c r="J57" s="74"/>
      <c r="K57" s="74"/>
      <c r="L57" s="47"/>
      <c r="M57" s="74"/>
      <c r="O57" s="152"/>
      <c r="P57" s="74"/>
      <c r="Q57" s="74"/>
      <c r="R57" s="74"/>
      <c r="S57" s="74"/>
      <c r="T57" s="74"/>
      <c r="U57" s="74"/>
      <c r="V57" s="74"/>
      <c r="W57" s="74"/>
    </row>
    <row r="58" spans="1:57 16384:16384" s="149" customFormat="1" ht="15.75" customHeight="1">
      <c r="A58" s="146" t="s">
        <v>759</v>
      </c>
      <c r="B58" s="146"/>
      <c r="C58" s="383"/>
      <c r="D58" s="383"/>
      <c r="E58" s="383"/>
      <c r="F58" s="383"/>
      <c r="G58" s="909"/>
      <c r="H58" s="383"/>
      <c r="I58" s="383"/>
      <c r="J58" s="383"/>
      <c r="K58" s="383"/>
      <c r="L58" s="383"/>
      <c r="M58" s="383"/>
      <c r="N58" s="383"/>
      <c r="O58" s="970" t="s">
        <v>648</v>
      </c>
      <c r="P58" s="383"/>
      <c r="Q58" s="383"/>
      <c r="R58" s="383"/>
      <c r="S58" s="383"/>
      <c r="T58" s="383"/>
      <c r="U58" s="383"/>
      <c r="V58" s="383"/>
      <c r="W58" s="383"/>
    </row>
    <row r="59" spans="1:57 16384:16384" ht="15" customHeight="1">
      <c r="A59" s="360"/>
      <c r="B59" s="360"/>
      <c r="C59" s="3"/>
      <c r="D59" s="3"/>
      <c r="E59" s="3"/>
      <c r="F59" s="3"/>
      <c r="G59" s="550"/>
      <c r="H59" s="3"/>
      <c r="I59" s="3"/>
      <c r="J59" s="3"/>
      <c r="K59" s="3"/>
      <c r="L59" s="34"/>
      <c r="M59" s="3"/>
      <c r="O59" s="222"/>
      <c r="P59" s="74"/>
      <c r="Q59" s="74"/>
      <c r="R59" s="74"/>
      <c r="S59" s="74"/>
      <c r="T59" s="74"/>
      <c r="U59" s="74"/>
      <c r="V59" s="74"/>
      <c r="W59" s="3"/>
      <c r="Z59" s="18"/>
      <c r="AA59" s="18"/>
      <c r="AB59" s="18"/>
      <c r="AC59" s="18"/>
    </row>
    <row r="60" spans="1:57 16384:16384" ht="15" customHeight="1">
      <c r="A60" s="360" t="s">
        <v>760</v>
      </c>
      <c r="B60" s="360"/>
      <c r="C60" s="3" t="str">
        <f>IFERROR('C. ICT Market'!A146*1000,"")</f>
        <v/>
      </c>
      <c r="D60" s="3">
        <f>IFERROR('C. ICT Market'!B146*1000,"")</f>
        <v>0</v>
      </c>
      <c r="E60" s="3">
        <f>'C. ICT Market'!D146</f>
        <v>1633.469273444746</v>
      </c>
      <c r="F60" s="3">
        <f>'C. ICT Market'!E146</f>
        <v>1860.7901687023666</v>
      </c>
      <c r="G60" s="550">
        <f>'C. ICT Market'!F146</f>
        <v>1914.3592172453916</v>
      </c>
      <c r="H60" s="3">
        <f t="shared" ref="H60:M60" si="30">H43*H69</f>
        <v>1788.6568467783404</v>
      </c>
      <c r="I60" s="3">
        <f t="shared" si="30"/>
        <v>2026.2204165834708</v>
      </c>
      <c r="J60" s="3">
        <f t="shared" si="30"/>
        <v>2260.5021522509346</v>
      </c>
      <c r="K60" s="3">
        <f t="shared" si="30"/>
        <v>2331.6045483797425</v>
      </c>
      <c r="L60" s="34">
        <f t="shared" si="30"/>
        <v>2385.469999992476</v>
      </c>
      <c r="M60" s="3">
        <f t="shared" si="30"/>
        <v>2420.655682492365</v>
      </c>
      <c r="O60" s="1529">
        <f>(M60/I60)^0.25-1</f>
        <v>4.5470018946198953E-2</v>
      </c>
      <c r="P60" s="74"/>
      <c r="Q60" s="74"/>
      <c r="R60" s="74"/>
      <c r="S60" s="74"/>
      <c r="T60" s="74"/>
      <c r="U60" s="74"/>
      <c r="V60" s="74"/>
      <c r="W60" s="3"/>
      <c r="Z60" s="18"/>
      <c r="AA60" s="18"/>
      <c r="AB60" s="18"/>
      <c r="AC60" s="18"/>
    </row>
    <row r="61" spans="1:57 16384:16384">
      <c r="A61" s="80" t="s">
        <v>724</v>
      </c>
      <c r="B61" s="80"/>
      <c r="C61" s="59" t="str">
        <f>IFERROR(C60/A60-1,"")</f>
        <v/>
      </c>
      <c r="D61" s="59" t="str">
        <f t="shared" ref="D61:M61" si="31">IFERROR(D60/C60-1,"")</f>
        <v/>
      </c>
      <c r="E61" s="59" t="str">
        <f t="shared" si="31"/>
        <v/>
      </c>
      <c r="F61" s="59">
        <f t="shared" si="31"/>
        <v>0.13916447585098091</v>
      </c>
      <c r="G61" s="390">
        <f t="shared" si="31"/>
        <v>2.8788333818628109E-2</v>
      </c>
      <c r="H61" s="59">
        <f t="shared" si="31"/>
        <v>-6.566289614544063E-2</v>
      </c>
      <c r="I61" s="59">
        <f t="shared" si="31"/>
        <v>0.13281673912635661</v>
      </c>
      <c r="J61" s="59">
        <f t="shared" si="31"/>
        <v>0.11562500000000009</v>
      </c>
      <c r="K61" s="59">
        <f t="shared" si="31"/>
        <v>3.145424836601296E-2</v>
      </c>
      <c r="L61" s="898">
        <f t="shared" si="31"/>
        <v>2.3102310231023271E-2</v>
      </c>
      <c r="M61" s="59">
        <f t="shared" si="31"/>
        <v>1.4750000000000041E-2</v>
      </c>
      <c r="O61" s="222" t="str">
        <f>IFERROR(IF((#REF!/I61)^(1/8)-1&lt;0,"",(#REF!/I61)^(1/8)-1),"")</f>
        <v/>
      </c>
      <c r="P61" s="59"/>
      <c r="Q61" s="59"/>
      <c r="R61" s="59"/>
      <c r="S61" s="59"/>
      <c r="T61" s="59"/>
      <c r="U61" s="59"/>
      <c r="V61" s="59"/>
      <c r="W61" s="59"/>
      <c r="Z61" s="18"/>
      <c r="AA61" s="18"/>
      <c r="AB61" s="18"/>
      <c r="AC61" s="18"/>
    </row>
    <row r="62" spans="1:57 16384:16384" s="2" customFormat="1" ht="12.75" customHeight="1">
      <c r="A62" s="79"/>
      <c r="B62" s="79"/>
      <c r="C62" s="7"/>
      <c r="D62" s="7"/>
      <c r="E62" s="7"/>
      <c r="F62" s="7"/>
      <c r="G62" s="386"/>
      <c r="H62" s="7"/>
      <c r="I62" s="7"/>
      <c r="J62" s="7"/>
      <c r="K62" s="7"/>
      <c r="L62" s="41"/>
      <c r="M62" s="7"/>
      <c r="N62" s="1"/>
      <c r="O62" s="222" t="str">
        <f>IFERROR(IF((#REF!/I62)^(1/8)-1&lt;0,"",(#REF!/I62)^(1/8)-1),"")</f>
        <v/>
      </c>
      <c r="P62" s="7"/>
      <c r="Q62" s="7"/>
      <c r="R62" s="7"/>
      <c r="S62" s="7"/>
      <c r="T62" s="7"/>
      <c r="U62" s="7"/>
      <c r="V62" s="7"/>
      <c r="W62" s="7"/>
      <c r="X62" s="162"/>
      <c r="Z62" s="61"/>
      <c r="AA62" s="61"/>
      <c r="AB62" s="61"/>
      <c r="AC62" s="61"/>
    </row>
    <row r="63" spans="1:57 16384:16384" ht="15.75" customHeight="1">
      <c r="A63" s="360" t="s">
        <v>761</v>
      </c>
      <c r="B63" s="360"/>
      <c r="C63" s="3">
        <f>C75/C78</f>
        <v>2200.0000000000005</v>
      </c>
      <c r="D63" s="3">
        <f>D75/D78</f>
        <v>3700</v>
      </c>
      <c r="E63" s="3">
        <f>E75/E78</f>
        <v>5400</v>
      </c>
      <c r="F63" s="3">
        <f>F75/F78</f>
        <v>7200</v>
      </c>
      <c r="G63" s="550">
        <f>G75/G78</f>
        <v>8625</v>
      </c>
      <c r="H63" s="3">
        <f t="shared" ref="H63:M63" si="32">H60*H66</f>
        <v>7494.5514942933833</v>
      </c>
      <c r="I63" s="3">
        <f t="shared" si="32"/>
        <v>8574.8529188297944</v>
      </c>
      <c r="J63" s="3">
        <f t="shared" si="32"/>
        <v>9650.0255900857228</v>
      </c>
      <c r="K63" s="3">
        <f t="shared" si="32"/>
        <v>10090.421340246012</v>
      </c>
      <c r="L63" s="34">
        <f t="shared" si="32"/>
        <v>10517.099635367802</v>
      </c>
      <c r="M63" s="3">
        <f t="shared" si="32"/>
        <v>10939.032526364212</v>
      </c>
      <c r="O63" s="222">
        <f>(M63/I63)^0.25-1</f>
        <v>6.276699482501602E-2</v>
      </c>
      <c r="P63" s="74"/>
      <c r="Q63" s="74"/>
      <c r="R63" s="74"/>
      <c r="S63" s="74"/>
      <c r="T63" s="74"/>
      <c r="U63" s="74"/>
      <c r="V63" s="74"/>
      <c r="W63" s="3"/>
      <c r="X63" s="1609" t="s">
        <v>762</v>
      </c>
      <c r="Y63" s="135"/>
      <c r="Z63" s="18"/>
      <c r="AA63" s="18"/>
      <c r="AB63" s="18"/>
      <c r="AC63" s="18"/>
    </row>
    <row r="64" spans="1:57 16384:16384">
      <c r="A64" s="80" t="s">
        <v>724</v>
      </c>
      <c r="B64" s="80"/>
      <c r="C64" s="59" t="str">
        <f>IFERROR(C63/A63-1,"")</f>
        <v/>
      </c>
      <c r="D64" s="59">
        <f t="shared" ref="D64:M64" si="33">IFERROR(D63/C63-1,"")</f>
        <v>0.68181818181818143</v>
      </c>
      <c r="E64" s="59">
        <f t="shared" si="33"/>
        <v>0.45945945945945943</v>
      </c>
      <c r="F64" s="59">
        <f t="shared" si="33"/>
        <v>0.33333333333333326</v>
      </c>
      <c r="G64" s="390">
        <f t="shared" si="33"/>
        <v>0.19791666666666674</v>
      </c>
      <c r="H64" s="59">
        <f t="shared" si="33"/>
        <v>-0.13106649341525989</v>
      </c>
      <c r="I64" s="59">
        <f t="shared" si="33"/>
        <v>0.14414490651762035</v>
      </c>
      <c r="J64" s="59">
        <f t="shared" si="33"/>
        <v>0.12538671874999996</v>
      </c>
      <c r="K64" s="59">
        <f t="shared" si="33"/>
        <v>4.5636744281045694E-2</v>
      </c>
      <c r="L64" s="898">
        <f t="shared" si="33"/>
        <v>4.2285478547854805E-2</v>
      </c>
      <c r="M64" s="59">
        <f t="shared" si="33"/>
        <v>4.0118749999999759E-2</v>
      </c>
      <c r="O64" s="222" t="str">
        <f>IFERROR(IF((#REF!/I64)^(1/8)-1&lt;0,"",(#REF!/I64)^(1/8)-1),"")</f>
        <v/>
      </c>
      <c r="P64" s="59"/>
      <c r="Q64" s="59"/>
      <c r="R64" s="59"/>
      <c r="S64" s="59"/>
      <c r="T64" s="59"/>
      <c r="U64" s="59"/>
      <c r="V64" s="59"/>
      <c r="W64" s="59"/>
      <c r="X64" s="1609"/>
      <c r="Y64" s="135"/>
      <c r="XFD64" s="59"/>
    </row>
    <row r="65" spans="1:29">
      <c r="A65" s="80"/>
      <c r="B65" s="80"/>
      <c r="C65" s="59"/>
      <c r="D65" s="59"/>
      <c r="E65" s="59"/>
      <c r="F65" s="59"/>
      <c r="G65" s="390"/>
      <c r="H65" s="59"/>
      <c r="I65" s="59"/>
      <c r="J65" s="59"/>
      <c r="K65" s="59"/>
      <c r="L65" s="898"/>
      <c r="M65" s="59"/>
      <c r="O65" s="222" t="str">
        <f>IFERROR(IF((#REF!/I65)^(1/8)-1&lt;0,"",(#REF!/I65)^(1/8)-1),"")</f>
        <v/>
      </c>
      <c r="P65" s="59"/>
      <c r="Q65" s="59"/>
      <c r="R65" s="59"/>
      <c r="S65" s="59"/>
      <c r="T65" s="59"/>
      <c r="U65" s="59"/>
      <c r="V65" s="59"/>
      <c r="W65" s="59"/>
      <c r="X65" s="1609"/>
      <c r="Y65" s="135"/>
    </row>
    <row r="66" spans="1:29">
      <c r="A66" s="79" t="s">
        <v>763</v>
      </c>
      <c r="B66" s="79"/>
      <c r="C66" s="3"/>
      <c r="D66" s="3"/>
      <c r="E66" s="20">
        <f>E63/E60</f>
        <v>3.3058473078053043</v>
      </c>
      <c r="F66" s="20">
        <f>F63/F60</f>
        <v>3.8693239684413014</v>
      </c>
      <c r="G66" s="914">
        <f>G63/G60</f>
        <v>4.5054240198507145</v>
      </c>
      <c r="H66" s="20">
        <f t="shared" ref="H66:M66" si="34">G66*(1+H67)</f>
        <v>4.1900443384611643</v>
      </c>
      <c r="I66" s="20">
        <f t="shared" si="34"/>
        <v>4.231944781845776</v>
      </c>
      <c r="J66" s="20">
        <f t="shared" si="34"/>
        <v>4.2689742986869268</v>
      </c>
      <c r="K66" s="20">
        <f t="shared" si="34"/>
        <v>4.327672695293872</v>
      </c>
      <c r="L66" s="53">
        <f t="shared" si="34"/>
        <v>4.4088165583306322</v>
      </c>
      <c r="M66" s="20">
        <f t="shared" si="34"/>
        <v>4.5190369722888972</v>
      </c>
      <c r="O66" s="222">
        <f>(M66/I66)^0.25-1</f>
        <v>1.6544688575815814E-2</v>
      </c>
      <c r="P66" s="20"/>
      <c r="Q66" s="20"/>
      <c r="R66" s="20"/>
      <c r="S66" s="20"/>
      <c r="T66" s="20"/>
      <c r="U66" s="20"/>
      <c r="V66" s="20"/>
      <c r="W66" s="20"/>
      <c r="X66" s="1609"/>
      <c r="Y66" s="135"/>
      <c r="Z66" s="18"/>
      <c r="AA66" s="18"/>
      <c r="AB66" s="18"/>
      <c r="AC66" s="18"/>
    </row>
    <row r="67" spans="1:29">
      <c r="A67" s="80" t="s">
        <v>724</v>
      </c>
      <c r="B67" s="80"/>
      <c r="C67" s="59" t="str">
        <f>IFERROR(C66/A66-1,"")</f>
        <v/>
      </c>
      <c r="D67" s="59" t="str">
        <f>IFERROR(D66/C66-1,"")</f>
        <v/>
      </c>
      <c r="E67" s="59" t="str">
        <f>IFERROR(E66/D66-1,"")</f>
        <v/>
      </c>
      <c r="F67" s="18">
        <f>IFERROR(F66/E66-1,"")</f>
        <v>0.17044848360225062</v>
      </c>
      <c r="G67" s="915">
        <f>IFERROR(G66/F66-1,"")</f>
        <v>0.1643956558296813</v>
      </c>
      <c r="H67" s="591">
        <f>H54</f>
        <v>-7.0000000000000007E-2</v>
      </c>
      <c r="I67" s="591">
        <v>0.01</v>
      </c>
      <c r="J67" s="591">
        <f>J54</f>
        <v>8.7500000000000008E-3</v>
      </c>
      <c r="K67" s="17">
        <f>J67-($I67-$M67)/3</f>
        <v>1.3750000000000002E-2</v>
      </c>
      <c r="L67" s="17">
        <f>K67-($I67-$M67)/3</f>
        <v>1.8750000000000003E-2</v>
      </c>
      <c r="M67" s="591">
        <v>2.5000000000000001E-2</v>
      </c>
      <c r="O67" s="222"/>
      <c r="P67" s="59"/>
      <c r="Q67" s="59"/>
      <c r="R67" s="59"/>
      <c r="S67" s="59"/>
      <c r="T67" s="59"/>
      <c r="U67" s="59"/>
      <c r="V67" s="59"/>
      <c r="W67" s="59"/>
      <c r="X67" s="1609"/>
      <c r="Y67" s="135"/>
    </row>
    <row r="68" spans="1:29">
      <c r="C68" s="3"/>
      <c r="D68" s="3"/>
      <c r="E68" s="20"/>
      <c r="F68" s="20"/>
      <c r="G68" s="914"/>
      <c r="H68" s="3"/>
      <c r="I68" s="3"/>
      <c r="J68" s="3"/>
      <c r="K68" s="3"/>
      <c r="L68" s="34"/>
      <c r="M68" s="3"/>
      <c r="O68" s="222" t="str">
        <f>IFERROR(IF((#REF!/I68)^(1/8)-1&lt;0,"",(#REF!/I68)^(1/8)-1),"")</f>
        <v/>
      </c>
      <c r="P68" s="3"/>
      <c r="Q68" s="3"/>
      <c r="R68" s="3"/>
      <c r="S68" s="3"/>
      <c r="T68" s="3"/>
      <c r="U68" s="3"/>
      <c r="V68" s="3"/>
      <c r="W68" s="3"/>
      <c r="X68" s="1609"/>
      <c r="Y68" s="138" t="s">
        <v>764</v>
      </c>
      <c r="Z68" s="18"/>
      <c r="AA68" s="18"/>
      <c r="AB68" s="18"/>
      <c r="AC68" s="18"/>
    </row>
    <row r="69" spans="1:29">
      <c r="A69" s="1079" t="s">
        <v>765</v>
      </c>
      <c r="B69" s="1079"/>
      <c r="C69" s="1097" t="str">
        <f>IFERROR(C60/C41,"")</f>
        <v/>
      </c>
      <c r="D69" s="1097" t="str">
        <f>IFERROR(D60/D41,"")</f>
        <v/>
      </c>
      <c r="E69" s="1097">
        <f>IFERROR(E60/E43,"")</f>
        <v>0.12231130588140419</v>
      </c>
      <c r="F69" s="1097">
        <f>IFERROR(F60/F43,"")</f>
        <v>0.13025531785031583</v>
      </c>
      <c r="G69" s="1098">
        <f>IFERROR(G60/G43,"")</f>
        <v>0.13544605591741257</v>
      </c>
      <c r="H69" s="1099">
        <f>'C. ICT Market'!G155</f>
        <v>0.15536493584631667</v>
      </c>
      <c r="I69" s="1101">
        <v>0.16</v>
      </c>
      <c r="J69" s="1101">
        <v>0.17</v>
      </c>
      <c r="K69" s="1097">
        <f>J69+($M69-$J69)/3</f>
        <v>0.16833333333333333</v>
      </c>
      <c r="L69" s="1097">
        <f>K69+($M69-$J69)/3</f>
        <v>0.16666666666666666</v>
      </c>
      <c r="M69" s="591">
        <v>0.16500000000000001</v>
      </c>
      <c r="O69" s="222" t="str">
        <f>IFERROR(IF((#REF!/I69)^(1/8)-1&lt;0,"",(#REF!/I69)^(1/8)-1),"")</f>
        <v/>
      </c>
      <c r="P69" s="19"/>
      <c r="Q69" s="19"/>
      <c r="R69" s="19"/>
      <c r="S69" s="19"/>
      <c r="T69" s="19"/>
      <c r="U69" s="19"/>
      <c r="V69" s="19"/>
      <c r="W69" s="19"/>
      <c r="X69" s="1609"/>
      <c r="Y69" s="135"/>
      <c r="Z69" s="18"/>
      <c r="AA69" s="18"/>
      <c r="AB69" s="18"/>
      <c r="AC69" s="18"/>
    </row>
    <row r="70" spans="1:29" ht="15" customHeight="1">
      <c r="A70" s="85"/>
      <c r="B70" s="85"/>
      <c r="C70" s="76"/>
      <c r="D70" s="76"/>
      <c r="E70" s="76"/>
      <c r="F70" s="76"/>
      <c r="G70" s="916"/>
      <c r="H70" s="75"/>
      <c r="I70" s="75"/>
      <c r="J70" s="75"/>
      <c r="K70" s="75"/>
      <c r="L70" s="75"/>
      <c r="M70" s="905"/>
      <c r="O70" s="222" t="str">
        <f>IFERROR(IF((#REF!/I70)^(1/8)-1&lt;0,"",(#REF!/I70)^(1/8)-1),"")</f>
        <v/>
      </c>
      <c r="P70" s="75"/>
      <c r="Q70" s="75"/>
      <c r="R70" s="75"/>
      <c r="S70" s="75"/>
      <c r="T70" s="75"/>
      <c r="U70" s="75"/>
      <c r="V70" s="75"/>
      <c r="W70" s="75"/>
      <c r="X70" s="1609"/>
      <c r="Y70" s="135"/>
      <c r="Z70" s="18"/>
      <c r="AA70" s="18"/>
      <c r="AB70" s="18"/>
      <c r="AC70" s="18"/>
    </row>
    <row r="71" spans="1:29" ht="18" customHeight="1">
      <c r="A71" s="1237" t="s">
        <v>766</v>
      </c>
      <c r="B71" s="1237"/>
      <c r="C71" s="76"/>
      <c r="D71" s="76"/>
      <c r="E71" s="76"/>
      <c r="F71" s="76"/>
      <c r="G71" s="916"/>
      <c r="H71" s="75"/>
      <c r="I71" s="75"/>
      <c r="J71" s="75"/>
      <c r="K71" s="75"/>
      <c r="L71" s="75"/>
      <c r="M71" s="75"/>
      <c r="O71" s="222" t="str">
        <f>IFERROR(IF((#REF!/I71)^(1/8)-1&lt;0,"",(#REF!/I71)^(1/8)-1),"")</f>
        <v/>
      </c>
      <c r="P71" s="75"/>
      <c r="Q71" s="75"/>
      <c r="R71" s="75"/>
      <c r="S71" s="75"/>
      <c r="T71" s="75"/>
      <c r="U71" s="75"/>
      <c r="V71" s="75"/>
      <c r="W71" s="75"/>
      <c r="X71" s="1609"/>
      <c r="Y71" s="128"/>
      <c r="AA71" s="75"/>
      <c r="AB71" s="75"/>
      <c r="AC71" s="18"/>
    </row>
    <row r="72" spans="1:29" s="2" customFormat="1">
      <c r="A72" s="79" t="s">
        <v>767</v>
      </c>
      <c r="B72" s="79"/>
      <c r="C72" s="7" t="str">
        <f t="shared" ref="C72:I72" si="35">IFERROR(C60*C78,"")</f>
        <v/>
      </c>
      <c r="D72" s="7">
        <f t="shared" si="35"/>
        <v>0</v>
      </c>
      <c r="E72" s="7">
        <f t="shared" si="35"/>
        <v>1633.469273444746</v>
      </c>
      <c r="F72" s="7">
        <f t="shared" si="35"/>
        <v>1860.7901687023666</v>
      </c>
      <c r="G72" s="386">
        <f t="shared" si="35"/>
        <v>1531.4873737963135</v>
      </c>
      <c r="H72" s="7">
        <f>IFERROR(H60*H78,"")</f>
        <v>1162.6269504059212</v>
      </c>
      <c r="I72" s="7">
        <f t="shared" si="35"/>
        <v>1276.5188624475866</v>
      </c>
      <c r="J72" s="7">
        <f>IFERROR(J60*J78,"")</f>
        <v>1378.9063128730702</v>
      </c>
      <c r="K72" s="7">
        <f>IFERROR(K60*K78,"")</f>
        <v>1375.6466835440481</v>
      </c>
      <c r="L72" s="41">
        <f>IFERROR(L60*L78,"")</f>
        <v>1359.7178999957112</v>
      </c>
      <c r="M72" s="7">
        <f>IFERROR(M60*M78,"")</f>
        <v>1331.3606253708008</v>
      </c>
      <c r="N72" s="1"/>
      <c r="O72" s="222">
        <f>(M72/I72)^0.25-1</f>
        <v>1.0571667242870619E-2</v>
      </c>
      <c r="P72" s="7"/>
      <c r="Q72" s="7"/>
      <c r="R72" s="7"/>
      <c r="S72" s="7"/>
      <c r="T72" s="7"/>
      <c r="U72" s="7"/>
      <c r="V72" s="7"/>
      <c r="W72" s="7"/>
      <c r="X72" s="1609"/>
      <c r="Y72" s="362"/>
      <c r="Z72" s="61"/>
      <c r="AA72" s="61"/>
      <c r="AB72" s="61"/>
      <c r="AC72" s="61"/>
    </row>
    <row r="73" spans="1:29">
      <c r="A73" s="80" t="s">
        <v>724</v>
      </c>
      <c r="B73" s="80"/>
      <c r="C73" s="59" t="str">
        <f>IFERROR(C72/A72-1,"")</f>
        <v/>
      </c>
      <c r="D73" s="59" t="str">
        <f t="shared" ref="D73:I73" si="36">IFERROR(D72/C72-1,"")</f>
        <v/>
      </c>
      <c r="E73" s="59" t="str">
        <f t="shared" si="36"/>
        <v/>
      </c>
      <c r="F73" s="59">
        <f t="shared" si="36"/>
        <v>0.13916447585098091</v>
      </c>
      <c r="G73" s="390">
        <f t="shared" si="36"/>
        <v>-0.17696933294509742</v>
      </c>
      <c r="H73" s="59">
        <f t="shared" si="36"/>
        <v>-0.24085110311817071</v>
      </c>
      <c r="I73" s="59">
        <f t="shared" si="36"/>
        <v>9.7960839460930149E-2</v>
      </c>
      <c r="J73" s="59">
        <f>IFERROR(J72/I72-1,"")</f>
        <v>8.0208333333333437E-2</v>
      </c>
      <c r="K73" s="59">
        <f>IFERROR(K72/J72-1,"")</f>
        <v>-2.3639237115612444E-3</v>
      </c>
      <c r="L73" s="898">
        <f>IFERROR(L72/K72-1,"")</f>
        <v>-1.1579124014096331E-2</v>
      </c>
      <c r="M73" s="59">
        <f>IFERROR(M72/L72-1,"")</f>
        <v>-2.0855263157894544E-2</v>
      </c>
      <c r="O73" s="222" t="str">
        <f>IFERROR(IF((#REF!/I73)^(1/8)-1&lt;0,"",(#REF!/I73)^(1/8)-1),"")</f>
        <v/>
      </c>
      <c r="P73" s="59"/>
      <c r="Q73" s="59"/>
      <c r="R73" s="59"/>
      <c r="S73" s="59"/>
      <c r="T73" s="59"/>
      <c r="U73" s="59"/>
      <c r="V73" s="59"/>
      <c r="W73" s="59"/>
      <c r="X73" s="1609"/>
      <c r="Z73" s="18"/>
      <c r="AA73" s="18"/>
      <c r="AB73" s="18"/>
      <c r="AC73" s="18"/>
    </row>
    <row r="74" spans="1:29">
      <c r="A74" s="83"/>
      <c r="B74" s="83"/>
      <c r="C74" s="76"/>
      <c r="D74" s="76"/>
      <c r="E74" s="76"/>
      <c r="F74" s="76"/>
      <c r="G74" s="916"/>
      <c r="H74" s="75"/>
      <c r="I74" s="75"/>
      <c r="J74" s="75"/>
      <c r="K74" s="75"/>
      <c r="L74" s="75"/>
      <c r="M74" s="75"/>
      <c r="O74" s="222" t="str">
        <f>IFERROR(IF((#REF!/I74)^(1/8)-1&lt;0,"",(#REF!/I74)^(1/8)-1),"")</f>
        <v/>
      </c>
      <c r="P74" s="75"/>
      <c r="Q74" s="75"/>
      <c r="R74" s="75"/>
      <c r="S74" s="75"/>
      <c r="T74" s="75"/>
      <c r="U74" s="75"/>
      <c r="V74" s="75"/>
      <c r="W74" s="75"/>
      <c r="X74" s="1609"/>
      <c r="AA74" s="75"/>
      <c r="AB74" s="75"/>
      <c r="AC74" s="18"/>
    </row>
    <row r="75" spans="1:29" s="2" customFormat="1">
      <c r="A75" s="79" t="s">
        <v>768</v>
      </c>
      <c r="B75" s="79"/>
      <c r="C75" s="7">
        <f>'B. Sales &amp; COGS'!I119</f>
        <v>2200.0000000000005</v>
      </c>
      <c r="D75" s="7">
        <f>'B. Sales &amp; COGS'!J119</f>
        <v>3700</v>
      </c>
      <c r="E75" s="7">
        <f>'B. Sales &amp; COGS'!K119</f>
        <v>5400</v>
      </c>
      <c r="F75" s="7">
        <f>'B. Sales &amp; COGS'!L119</f>
        <v>7200</v>
      </c>
      <c r="G75" s="386">
        <f>'B. Sales &amp; COGS'!M119</f>
        <v>6900</v>
      </c>
      <c r="H75" s="7">
        <f t="shared" ref="H75:M75" si="37">H72*H66</f>
        <v>4871.458471290699</v>
      </c>
      <c r="I75" s="7">
        <f t="shared" si="37"/>
        <v>5402.1573388627703</v>
      </c>
      <c r="J75" s="7">
        <f t="shared" si="37"/>
        <v>5886.515609952291</v>
      </c>
      <c r="K75" s="7">
        <f t="shared" si="37"/>
        <v>5953.3485907451468</v>
      </c>
      <c r="L75" s="41">
        <f t="shared" si="37"/>
        <v>5994.7467921596462</v>
      </c>
      <c r="M75" s="7">
        <f t="shared" si="37"/>
        <v>6016.4678895003162</v>
      </c>
      <c r="N75" s="1"/>
      <c r="O75" s="1529">
        <f>(M75/I75)^0.25-1</f>
        <v>2.7291260760947011E-2</v>
      </c>
      <c r="P75" s="7"/>
      <c r="Q75" s="7"/>
      <c r="R75" s="7"/>
      <c r="S75" s="7"/>
      <c r="T75" s="7"/>
      <c r="U75" s="7"/>
      <c r="V75" s="7"/>
      <c r="W75" s="7"/>
      <c r="X75" s="162"/>
      <c r="Z75" s="61"/>
      <c r="AA75" s="61"/>
      <c r="AB75" s="61"/>
      <c r="AC75" s="61"/>
    </row>
    <row r="76" spans="1:29">
      <c r="A76" s="80" t="s">
        <v>724</v>
      </c>
      <c r="B76" s="80"/>
      <c r="C76" s="59" t="str">
        <f>IFERROR(C75/A75-1,"")</f>
        <v/>
      </c>
      <c r="D76" s="59">
        <f t="shared" ref="D76:M76" si="38">IFERROR(D75/C75-1,"")</f>
        <v>0.68181818181818143</v>
      </c>
      <c r="E76" s="59">
        <f t="shared" si="38"/>
        <v>0.45945945945945943</v>
      </c>
      <c r="F76" s="59">
        <f t="shared" si="38"/>
        <v>0.33333333333333326</v>
      </c>
      <c r="G76" s="390">
        <f t="shared" si="38"/>
        <v>-4.166666666666663E-2</v>
      </c>
      <c r="H76" s="59">
        <f t="shared" si="38"/>
        <v>-0.29399152589989874</v>
      </c>
      <c r="I76" s="59">
        <f t="shared" si="38"/>
        <v>0.10894044785553958</v>
      </c>
      <c r="J76" s="59">
        <f t="shared" si="38"/>
        <v>8.9660156250000123E-2</v>
      </c>
      <c r="K76" s="59">
        <f t="shared" si="38"/>
        <v>1.1353572337404749E-2</v>
      </c>
      <c r="L76" s="898">
        <f t="shared" si="38"/>
        <v>6.9537674106394665E-3</v>
      </c>
      <c r="M76" s="59">
        <f t="shared" si="38"/>
        <v>3.6233552631577126E-3</v>
      </c>
      <c r="O76" s="222" t="str">
        <f>IFERROR(IF((#REF!/I76)^(1/8)-1&lt;0,"",(#REF!/I76)^(1/8)-1),"")</f>
        <v/>
      </c>
      <c r="P76" s="59"/>
      <c r="Q76" s="59"/>
      <c r="R76" s="59"/>
      <c r="S76" s="59"/>
      <c r="T76" s="59"/>
      <c r="U76" s="59"/>
      <c r="V76" s="59"/>
      <c r="W76" s="59"/>
    </row>
    <row r="77" spans="1:29">
      <c r="A77" s="80"/>
      <c r="B77" s="80"/>
      <c r="C77" s="59"/>
      <c r="D77" s="59"/>
      <c r="E77" s="59"/>
      <c r="F77" s="59"/>
      <c r="G77" s="390"/>
      <c r="H77" s="59"/>
      <c r="I77" s="59"/>
      <c r="J77" s="59"/>
      <c r="K77" s="59"/>
      <c r="L77" s="898"/>
      <c r="M77" s="59"/>
      <c r="O77" s="59"/>
      <c r="P77" s="59"/>
      <c r="Q77" s="59"/>
      <c r="R77" s="59"/>
      <c r="S77" s="59"/>
      <c r="T77" s="59"/>
      <c r="U77" s="59"/>
      <c r="V77" s="59"/>
      <c r="W77" s="59"/>
    </row>
    <row r="78" spans="1:29" s="2" customFormat="1">
      <c r="A78" s="1079" t="s">
        <v>769</v>
      </c>
      <c r="B78" s="1079"/>
      <c r="C78" s="1090">
        <v>1</v>
      </c>
      <c r="D78" s="1090">
        <v>1</v>
      </c>
      <c r="E78" s="1090">
        <v>1</v>
      </c>
      <c r="F78" s="1090">
        <v>1</v>
      </c>
      <c r="G78" s="1095">
        <v>0.8</v>
      </c>
      <c r="H78" s="1091">
        <v>0.65</v>
      </c>
      <c r="I78" s="1080">
        <f>H78+($M78-$H78)/5</f>
        <v>0.63</v>
      </c>
      <c r="J78" s="1080">
        <f t="shared" ref="J78:L78" si="39">I78+($M78-$H78)/5</f>
        <v>0.61</v>
      </c>
      <c r="K78" s="1080">
        <f t="shared" si="39"/>
        <v>0.59</v>
      </c>
      <c r="L78" s="1080">
        <f t="shared" si="39"/>
        <v>0.56999999999999995</v>
      </c>
      <c r="M78" s="1091">
        <v>0.55000000000000004</v>
      </c>
      <c r="N78" s="1"/>
      <c r="O78" s="2" t="s">
        <v>770</v>
      </c>
      <c r="P78" s="364"/>
      <c r="Q78" s="364"/>
      <c r="R78" s="364"/>
      <c r="S78" s="364"/>
      <c r="T78" s="364"/>
      <c r="U78" s="364"/>
      <c r="V78" s="364"/>
      <c r="W78" s="364"/>
      <c r="X78" s="162" t="s">
        <v>771</v>
      </c>
      <c r="Z78" s="61"/>
      <c r="AA78" s="61"/>
      <c r="AB78" s="61"/>
      <c r="AC78" s="61"/>
    </row>
    <row r="79" spans="1:29" s="2" customFormat="1">
      <c r="A79" s="1079" t="s">
        <v>772</v>
      </c>
      <c r="B79" s="1079"/>
      <c r="C79" s="1090">
        <f>1-C78</f>
        <v>0</v>
      </c>
      <c r="D79" s="1090">
        <f>1-D78</f>
        <v>0</v>
      </c>
      <c r="E79" s="1090">
        <f>1-E78</f>
        <v>0</v>
      </c>
      <c r="F79" s="1090">
        <f>1-F78</f>
        <v>0</v>
      </c>
      <c r="G79" s="1095">
        <f>1-G78</f>
        <v>0.19999999999999996</v>
      </c>
      <c r="H79" s="1090">
        <f t="shared" ref="H79:M79" si="40">1-H78</f>
        <v>0.35</v>
      </c>
      <c r="I79" s="1090">
        <f t="shared" si="40"/>
        <v>0.37</v>
      </c>
      <c r="J79" s="1090">
        <f t="shared" si="40"/>
        <v>0.39</v>
      </c>
      <c r="K79" s="1090">
        <f t="shared" si="40"/>
        <v>0.41000000000000003</v>
      </c>
      <c r="L79" s="1090">
        <f t="shared" si="40"/>
        <v>0.43000000000000005</v>
      </c>
      <c r="M79" s="1090">
        <f t="shared" si="40"/>
        <v>0.44999999999999996</v>
      </c>
      <c r="N79" s="1"/>
      <c r="P79" s="364"/>
      <c r="Q79" s="364"/>
      <c r="R79" s="364"/>
      <c r="S79" s="364"/>
      <c r="T79" s="364"/>
      <c r="U79" s="364"/>
      <c r="V79" s="364"/>
      <c r="W79" s="364"/>
      <c r="X79" s="365"/>
      <c r="Y79" s="61"/>
      <c r="Z79" s="61"/>
      <c r="AA79" s="61"/>
      <c r="AB79" s="61"/>
      <c r="AC79" s="61"/>
    </row>
    <row r="80" spans="1:29">
      <c r="A80" s="85"/>
      <c r="B80" s="85"/>
      <c r="C80" s="77"/>
      <c r="D80" s="77"/>
      <c r="E80" s="77"/>
      <c r="F80" s="77"/>
      <c r="G80" s="917"/>
      <c r="H80" s="77"/>
      <c r="I80" s="77"/>
      <c r="J80" s="77"/>
      <c r="K80" s="77"/>
      <c r="L80" s="77"/>
      <c r="M80" s="77"/>
      <c r="N80" s="77"/>
      <c r="O80" s="76"/>
      <c r="P80" s="77"/>
      <c r="Q80" s="77"/>
      <c r="R80" s="77"/>
      <c r="S80" s="77"/>
      <c r="T80" s="77"/>
      <c r="U80" s="77"/>
      <c r="V80" s="77"/>
      <c r="W80" s="77"/>
      <c r="X80" s="227"/>
      <c r="Y80" s="18"/>
      <c r="Z80" s="126"/>
      <c r="AA80" s="18"/>
      <c r="AB80" s="18"/>
      <c r="AC80" s="18"/>
    </row>
    <row r="81" spans="1:29" s="149" customFormat="1" ht="15.75" customHeight="1">
      <c r="A81" s="146" t="s">
        <v>773</v>
      </c>
      <c r="B81" s="146"/>
      <c r="C81" s="383"/>
      <c r="D81" s="383"/>
      <c r="E81" s="383"/>
      <c r="F81" s="383"/>
      <c r="G81" s="909"/>
      <c r="H81" s="383"/>
      <c r="I81" s="383"/>
      <c r="J81" s="383"/>
      <c r="K81" s="383"/>
      <c r="L81" s="383"/>
      <c r="M81" s="383"/>
      <c r="N81" s="383"/>
      <c r="O81" s="970" t="s">
        <v>648</v>
      </c>
      <c r="P81" s="383"/>
      <c r="Q81" s="383"/>
      <c r="R81" s="383"/>
      <c r="S81" s="383"/>
      <c r="T81" s="383"/>
      <c r="U81" s="383"/>
      <c r="V81" s="383"/>
      <c r="W81" s="383"/>
      <c r="X81" s="147"/>
      <c r="Y81" s="147"/>
      <c r="Z81" s="148"/>
      <c r="AA81" s="148"/>
      <c r="AB81" s="148"/>
      <c r="AC81" s="148"/>
    </row>
    <row r="82" spans="1:29">
      <c r="A82" s="83"/>
      <c r="B82" s="83"/>
      <c r="C82" s="77"/>
      <c r="D82" s="77"/>
      <c r="E82" s="77"/>
      <c r="F82" s="77"/>
      <c r="G82" s="918"/>
      <c r="H82" s="77"/>
      <c r="I82" s="77"/>
      <c r="J82" s="77"/>
      <c r="K82" s="77"/>
      <c r="L82" s="77"/>
      <c r="M82" s="77"/>
      <c r="N82" s="77"/>
      <c r="O82" s="76"/>
      <c r="P82" s="77"/>
      <c r="Q82" s="77"/>
      <c r="R82" s="77"/>
      <c r="S82" s="77"/>
      <c r="T82" s="77"/>
      <c r="U82" s="77"/>
      <c r="V82" s="77"/>
      <c r="W82" s="77"/>
      <c r="X82" s="228" t="s">
        <v>774</v>
      </c>
      <c r="Y82" s="18"/>
      <c r="Z82" s="18"/>
      <c r="AA82" s="18"/>
      <c r="AB82" s="18"/>
      <c r="AC82" s="18"/>
    </row>
    <row r="83" spans="1:29" s="2" customFormat="1" ht="17.25" customHeight="1">
      <c r="A83" s="79" t="s">
        <v>775</v>
      </c>
      <c r="B83" s="79"/>
      <c r="C83" s="364"/>
      <c r="D83" s="364"/>
      <c r="E83" s="8">
        <f>'C. ICT Market'!D142</f>
        <v>568.12570095442936</v>
      </c>
      <c r="F83" s="8">
        <f>'C. ICT Market'!E142</f>
        <v>1232.1579915353125</v>
      </c>
      <c r="G83" s="919">
        <f>'C. ICT Market'!F142</f>
        <v>1733.4955286880268</v>
      </c>
      <c r="H83" s="8">
        <f t="shared" ref="H83:M83" si="41">H95-H85</f>
        <v>1657.6550993079256</v>
      </c>
      <c r="I83" s="8">
        <f t="shared" si="41"/>
        <v>1834.390385631197</v>
      </c>
      <c r="J83" s="8">
        <f t="shared" si="41"/>
        <v>2066.0476857594795</v>
      </c>
      <c r="K83" s="8">
        <f t="shared" si="41"/>
        <v>2279.6668137623883</v>
      </c>
      <c r="L83" s="8">
        <f t="shared" si="41"/>
        <v>2487.461897877457</v>
      </c>
      <c r="M83" s="8">
        <f t="shared" si="41"/>
        <v>2683.7937119599278</v>
      </c>
      <c r="N83" s="8"/>
      <c r="O83" s="222">
        <f>(M83/I83)^0.25-1</f>
        <v>9.9801585351325661E-2</v>
      </c>
      <c r="P83" s="74"/>
      <c r="Q83" s="74"/>
      <c r="R83" s="74"/>
      <c r="S83" s="74"/>
      <c r="T83" s="74"/>
      <c r="U83" s="74"/>
      <c r="V83" s="74"/>
      <c r="W83" s="8"/>
      <c r="X83" s="1610" t="s">
        <v>776</v>
      </c>
      <c r="Y83" s="367"/>
      <c r="Z83" s="1602"/>
      <c r="AA83" s="61"/>
      <c r="AB83" s="61"/>
      <c r="AC83" s="61"/>
    </row>
    <row r="84" spans="1:29" ht="17.25" customHeight="1">
      <c r="A84" s="80" t="s">
        <v>724</v>
      </c>
      <c r="B84" s="80"/>
      <c r="C84" s="59" t="str">
        <f>IFERROR(C83/A83-1,"")</f>
        <v/>
      </c>
      <c r="D84" s="59"/>
      <c r="E84" s="12" t="str">
        <f t="shared" ref="E84:M84" si="42">IFERROR(E83/D83-1,"")</f>
        <v/>
      </c>
      <c r="F84" s="12">
        <f t="shared" si="42"/>
        <v>1.168812270709342</v>
      </c>
      <c r="G84" s="908">
        <f t="shared" si="42"/>
        <v>0.40687764117654268</v>
      </c>
      <c r="H84" s="12">
        <f>IFERROR(H83/G83-1,"")</f>
        <v>-4.3749999999999956E-2</v>
      </c>
      <c r="I84" s="12">
        <f t="shared" si="42"/>
        <v>0.10661764705882337</v>
      </c>
      <c r="J84" s="12">
        <f t="shared" si="42"/>
        <v>0.12628571428571433</v>
      </c>
      <c r="K84" s="12">
        <f t="shared" si="42"/>
        <v>0.10339506172839497</v>
      </c>
      <c r="L84" s="30">
        <f t="shared" si="42"/>
        <v>9.1151515151515206E-2</v>
      </c>
      <c r="M84" s="12">
        <f t="shared" si="42"/>
        <v>7.8928571428571459E-2</v>
      </c>
      <c r="N84" s="12"/>
      <c r="O84" s="222" t="str">
        <f>IFERROR(IF((#REF!/I84)^(1/8)-1&lt;0,"",(#REF!/I84)^(1/8)-1),"")</f>
        <v/>
      </c>
      <c r="P84" s="12"/>
      <c r="Q84" s="12"/>
      <c r="R84" s="12"/>
      <c r="S84" s="12"/>
      <c r="T84" s="12"/>
      <c r="U84" s="12"/>
      <c r="V84" s="12"/>
      <c r="W84" s="12"/>
      <c r="X84" s="1610"/>
      <c r="Y84" s="129"/>
      <c r="Z84" s="1602"/>
    </row>
    <row r="85" spans="1:29" s="2" customFormat="1">
      <c r="A85" s="79" t="s">
        <v>777</v>
      </c>
      <c r="B85" s="79"/>
      <c r="C85" s="368"/>
      <c r="D85" s="368"/>
      <c r="E85" s="7">
        <f>E90/E100</f>
        <v>381.15768986874622</v>
      </c>
      <c r="F85" s="7">
        <f>F90/F100</f>
        <v>528.06771065799114</v>
      </c>
      <c r="G85" s="386">
        <f>G90/G100</f>
        <v>433.37388217200669</v>
      </c>
      <c r="H85" s="7">
        <f t="shared" ref="H85:M85" si="43">H95*H93</f>
        <v>292.52737046610451</v>
      </c>
      <c r="I85" s="7">
        <f t="shared" si="43"/>
        <v>262.05576937588529</v>
      </c>
      <c r="J85" s="7">
        <f t="shared" si="43"/>
        <v>229.56085397327553</v>
      </c>
      <c r="K85" s="7">
        <f t="shared" si="43"/>
        <v>207.24243761476262</v>
      </c>
      <c r="L85" s="41">
        <f t="shared" si="43"/>
        <v>177.67584984838984</v>
      </c>
      <c r="M85" s="7">
        <f t="shared" si="43"/>
        <v>141.25230062946989</v>
      </c>
      <c r="N85" s="7"/>
      <c r="O85" s="222">
        <f>(M85/I85)^0.25-1</f>
        <v>-0.14315858222779687</v>
      </c>
      <c r="P85" s="74"/>
      <c r="Q85" s="74"/>
      <c r="R85" s="74"/>
      <c r="S85" s="74"/>
      <c r="T85" s="74"/>
      <c r="U85" s="74"/>
      <c r="V85" s="74"/>
      <c r="W85" s="7"/>
      <c r="X85" s="1610"/>
      <c r="Y85" s="367"/>
      <c r="Z85" s="1602"/>
    </row>
    <row r="86" spans="1:29">
      <c r="A86" s="80" t="s">
        <v>724</v>
      </c>
      <c r="B86" s="80"/>
      <c r="C86" s="59" t="str">
        <f>IFERROR(C85/A85-1,"")</f>
        <v/>
      </c>
      <c r="D86" s="59"/>
      <c r="E86" s="12" t="str">
        <f t="shared" ref="E86:M86" si="44">IFERROR(E85/D85-1,"")</f>
        <v/>
      </c>
      <c r="F86" s="12">
        <f t="shared" si="44"/>
        <v>0.38543108192264008</v>
      </c>
      <c r="G86" s="908">
        <f t="shared" si="44"/>
        <v>-0.17932137598035025</v>
      </c>
      <c r="H86" s="12">
        <f t="shared" si="44"/>
        <v>-0.32499999999999996</v>
      </c>
      <c r="I86" s="12">
        <f t="shared" si="44"/>
        <v>-0.10416666666666663</v>
      </c>
      <c r="J86" s="12">
        <f t="shared" si="44"/>
        <v>-0.124</v>
      </c>
      <c r="K86" s="12">
        <f t="shared" si="44"/>
        <v>-9.722222222222221E-2</v>
      </c>
      <c r="L86" s="30">
        <f t="shared" si="44"/>
        <v>-0.1426666666666665</v>
      </c>
      <c r="M86" s="12">
        <f t="shared" si="44"/>
        <v>-0.20500000000000018</v>
      </c>
      <c r="N86" s="7"/>
      <c r="O86" s="222" t="str">
        <f>IFERROR(IF((#REF!/I86)^(1/8)-1&lt;0,"",(#REF!/I86)^(1/8)-1),"")</f>
        <v/>
      </c>
      <c r="P86" s="12"/>
      <c r="Q86" s="12"/>
      <c r="R86" s="12"/>
      <c r="S86" s="12"/>
      <c r="T86" s="12"/>
      <c r="U86" s="12"/>
      <c r="V86" s="12"/>
      <c r="W86" s="12"/>
      <c r="X86" s="1610"/>
      <c r="Y86" s="129"/>
      <c r="Z86" s="1602"/>
    </row>
    <row r="87" spans="1:29">
      <c r="A87" s="80"/>
      <c r="B87" s="80"/>
      <c r="C87" s="77"/>
      <c r="D87" s="77"/>
      <c r="E87" s="77"/>
      <c r="F87" s="77"/>
      <c r="G87" s="918"/>
      <c r="H87" s="77"/>
      <c r="I87" s="77"/>
      <c r="J87" s="77"/>
      <c r="K87" s="77"/>
      <c r="L87" s="77"/>
      <c r="M87" s="77"/>
      <c r="N87" s="7"/>
      <c r="O87" s="222" t="str">
        <f>IFERROR(IF((#REF!/I87)^(1/8)-1&lt;0,"",(#REF!/I87)^(1/8)-1),"")</f>
        <v/>
      </c>
      <c r="P87" s="77"/>
      <c r="Q87" s="77"/>
      <c r="R87" s="77"/>
      <c r="S87" s="77"/>
      <c r="T87" s="77"/>
      <c r="U87" s="77"/>
      <c r="V87" s="77"/>
      <c r="W87" s="77"/>
      <c r="X87" s="1610"/>
      <c r="Y87" s="129"/>
      <c r="Z87" s="1602"/>
      <c r="AA87" s="18"/>
      <c r="AB87" s="18"/>
      <c r="AC87" s="18"/>
    </row>
    <row r="88" spans="1:29" s="2" customFormat="1">
      <c r="A88" s="79" t="s">
        <v>778</v>
      </c>
      <c r="B88" s="79"/>
      <c r="C88" s="7"/>
      <c r="D88" s="7"/>
      <c r="E88" s="7">
        <v>11178.95</v>
      </c>
      <c r="F88" s="7">
        <v>29015.45</v>
      </c>
      <c r="G88" s="386">
        <v>37886.699999999997</v>
      </c>
      <c r="H88" s="7">
        <f t="shared" ref="H88:M88" si="45">H83*H100</f>
        <v>33330.824325000001</v>
      </c>
      <c r="I88" s="7">
        <f t="shared" si="45"/>
        <v>37253.323172953125</v>
      </c>
      <c r="J88" s="7">
        <f t="shared" si="45"/>
        <v>42534.806627732338</v>
      </c>
      <c r="K88" s="7">
        <f t="shared" si="45"/>
        <v>47754.017757342779</v>
      </c>
      <c r="L88" s="41">
        <f t="shared" si="45"/>
        <v>53214.139793144997</v>
      </c>
      <c r="M88" s="7">
        <f t="shared" si="45"/>
        <v>58849.612222488679</v>
      </c>
      <c r="N88" s="7"/>
      <c r="O88" s="222">
        <f>(M88/I88)^0.25-1</f>
        <v>0.12110075847466639</v>
      </c>
      <c r="P88" s="74"/>
      <c r="Q88" s="74"/>
      <c r="R88" s="74"/>
      <c r="S88" s="74"/>
      <c r="T88" s="74"/>
      <c r="U88" s="74"/>
      <c r="V88" s="74"/>
      <c r="W88" s="7"/>
      <c r="X88" s="1610"/>
      <c r="Y88" s="367"/>
      <c r="Z88" s="1602"/>
      <c r="AA88" s="7"/>
      <c r="AB88" s="7"/>
      <c r="AC88" s="7">
        <f>I88*Draft!$E$554</f>
        <v>0</v>
      </c>
    </row>
    <row r="89" spans="1:29">
      <c r="A89" s="80" t="s">
        <v>724</v>
      </c>
      <c r="B89" s="80"/>
      <c r="C89" s="59" t="str">
        <f>IFERROR(C88/A88-1,"")</f>
        <v/>
      </c>
      <c r="D89" s="59"/>
      <c r="E89" s="12" t="str">
        <f t="shared" ref="E89:M89" si="46">IFERROR(E88/D88-1,"")</f>
        <v/>
      </c>
      <c r="F89" s="12">
        <f t="shared" si="46"/>
        <v>1.5955434097120031</v>
      </c>
      <c r="G89" s="908">
        <f t="shared" si="46"/>
        <v>0.30574228557544325</v>
      </c>
      <c r="H89" s="12">
        <f t="shared" si="46"/>
        <v>-0.12024999999999986</v>
      </c>
      <c r="I89" s="12">
        <f t="shared" si="46"/>
        <v>0.11768382352941176</v>
      </c>
      <c r="J89" s="12">
        <f t="shared" si="46"/>
        <v>0.14177214285714257</v>
      </c>
      <c r="K89" s="12">
        <f t="shared" si="46"/>
        <v>0.12270447530864192</v>
      </c>
      <c r="L89" s="30">
        <f t="shared" si="46"/>
        <v>0.11433848484848497</v>
      </c>
      <c r="M89" s="12">
        <f t="shared" si="46"/>
        <v>0.10590178571428566</v>
      </c>
      <c r="N89" s="7"/>
      <c r="O89" s="222" t="str">
        <f>IFERROR(IF((#REF!/I89)^(1/8)-1&lt;0,"",(#REF!/I89)^(1/8)-1),"")</f>
        <v/>
      </c>
      <c r="P89" s="12"/>
      <c r="Q89" s="12"/>
      <c r="R89" s="12"/>
      <c r="S89" s="12"/>
      <c r="T89" s="12"/>
      <c r="U89" s="12"/>
      <c r="V89" s="12"/>
      <c r="W89" s="12"/>
      <c r="X89" s="1610"/>
      <c r="Y89" s="129"/>
      <c r="Z89" s="1602"/>
    </row>
    <row r="90" spans="1:29" s="2" customFormat="1">
      <c r="A90" s="79" t="s">
        <v>779</v>
      </c>
      <c r="B90" s="79"/>
      <c r="D90" s="7"/>
      <c r="E90" s="7">
        <v>7500</v>
      </c>
      <c r="F90" s="7">
        <f>F88*F93/(1-F93)</f>
        <v>12435.192857142858</v>
      </c>
      <c r="G90" s="386">
        <f>G88*G93/(1-G93)</f>
        <v>9471.6749999999993</v>
      </c>
      <c r="H90" s="7">
        <f t="shared" ref="H90:M90" si="47">H85*H100</f>
        <v>5881.910175</v>
      </c>
      <c r="I90" s="7">
        <f t="shared" si="47"/>
        <v>5321.9033104218752</v>
      </c>
      <c r="J90" s="7">
        <f t="shared" si="47"/>
        <v>4726.0896253035944</v>
      </c>
      <c r="K90" s="7">
        <f t="shared" si="47"/>
        <v>4341.2743415766172</v>
      </c>
      <c r="L90" s="41">
        <f t="shared" si="47"/>
        <v>3801.009985224644</v>
      </c>
      <c r="M90" s="7">
        <f t="shared" si="47"/>
        <v>3097.3480117099307</v>
      </c>
      <c r="N90" s="7"/>
      <c r="O90" s="222">
        <f>(M90/I90)^0.25-1</f>
        <v>-0.12656466752585616</v>
      </c>
      <c r="P90" s="7"/>
      <c r="Q90" s="7"/>
      <c r="R90" s="7"/>
      <c r="S90" s="7"/>
      <c r="T90" s="7"/>
      <c r="U90" s="7"/>
      <c r="V90" s="7"/>
      <c r="W90" s="7"/>
      <c r="X90" s="1610"/>
      <c r="Y90" s="367"/>
      <c r="Z90" s="1602"/>
    </row>
    <row r="91" spans="1:29">
      <c r="A91" s="80" t="s">
        <v>724</v>
      </c>
      <c r="B91" s="80"/>
      <c r="C91" s="59" t="str">
        <f>IFERROR(C90/A90-1,"")</f>
        <v/>
      </c>
      <c r="D91" s="59"/>
      <c r="E91" s="12" t="str">
        <f t="shared" ref="E91:M91" si="48">IFERROR(E90/D90-1,"")</f>
        <v/>
      </c>
      <c r="F91" s="12">
        <f t="shared" si="48"/>
        <v>0.65802571428571444</v>
      </c>
      <c r="G91" s="908">
        <f t="shared" si="48"/>
        <v>-0.23831700008099144</v>
      </c>
      <c r="H91" s="12">
        <f t="shared" si="48"/>
        <v>-0.379</v>
      </c>
      <c r="I91" s="12">
        <f t="shared" si="48"/>
        <v>-9.5208333333333339E-2</v>
      </c>
      <c r="J91" s="12">
        <f t="shared" si="48"/>
        <v>-0.11195499999999992</v>
      </c>
      <c r="K91" s="12">
        <f t="shared" si="48"/>
        <v>-8.1423611111111183E-2</v>
      </c>
      <c r="L91" s="30">
        <f t="shared" si="48"/>
        <v>-0.12444833333333316</v>
      </c>
      <c r="M91" s="12">
        <f t="shared" si="48"/>
        <v>-0.18512500000000032</v>
      </c>
      <c r="N91" s="7"/>
      <c r="O91" s="222" t="str">
        <f>IFERROR(IF((#REF!/I91)^(1/8)-1&lt;0,"",(#REF!/I91)^(1/8)-1),"")</f>
        <v/>
      </c>
      <c r="P91" s="12"/>
      <c r="Q91" s="12"/>
      <c r="R91" s="12"/>
      <c r="S91" s="12"/>
      <c r="T91" s="12"/>
      <c r="U91" s="12"/>
      <c r="V91" s="12"/>
      <c r="W91" s="12"/>
      <c r="X91" s="1610"/>
      <c r="Y91" s="129"/>
    </row>
    <row r="92" spans="1:29">
      <c r="A92" s="80"/>
      <c r="B92" s="80"/>
      <c r="C92" s="59"/>
      <c r="D92" s="59"/>
      <c r="E92" s="12"/>
      <c r="F92" s="12"/>
      <c r="G92" s="908"/>
      <c r="H92" s="12"/>
      <c r="I92" s="12"/>
      <c r="J92" s="12"/>
      <c r="K92" s="12"/>
      <c r="L92" s="30"/>
      <c r="M92" s="12"/>
      <c r="N92" s="7"/>
      <c r="O92" s="222" t="str">
        <f>IFERROR(IF((#REF!/I92)^(1/8)-1&lt;0,"",(#REF!/I92)^(1/8)-1),"")</f>
        <v/>
      </c>
      <c r="P92" s="12"/>
      <c r="Q92" s="12"/>
      <c r="R92" s="12"/>
      <c r="S92" s="12"/>
      <c r="T92" s="12"/>
      <c r="U92" s="12"/>
      <c r="V92" s="12"/>
      <c r="W92" s="12"/>
      <c r="X92" s="366"/>
      <c r="Y92" s="129"/>
    </row>
    <row r="93" spans="1:29" s="21" customFormat="1">
      <c r="A93" s="1092" t="s">
        <v>780</v>
      </c>
      <c r="B93" s="1092"/>
      <c r="C93" s="1093"/>
      <c r="D93" s="1094"/>
      <c r="E93" s="1090">
        <f>E85/E95</f>
        <v>0.40152149879945076</v>
      </c>
      <c r="F93" s="1090">
        <v>0.3</v>
      </c>
      <c r="G93" s="1095">
        <v>0.2</v>
      </c>
      <c r="H93" s="1082">
        <v>0.15</v>
      </c>
      <c r="I93" s="1082">
        <v>0.125</v>
      </c>
      <c r="J93" s="1082">
        <v>0.1</v>
      </c>
      <c r="K93" s="1090">
        <f>J93-($J93-$M93)/3</f>
        <v>8.3333333333333343E-2</v>
      </c>
      <c r="L93" s="1090">
        <f>K93-($J93-$M93)/3</f>
        <v>6.666666666666668E-2</v>
      </c>
      <c r="M93" s="1091">
        <v>0.05</v>
      </c>
      <c r="N93" s="7"/>
      <c r="O93" s="222" t="str">
        <f>IFERROR(IF((#REF!/I93)^(1/8)-1&lt;0,"",(#REF!/I93)^(1/8)-1),"")</f>
        <v/>
      </c>
      <c r="P93" s="369"/>
      <c r="Q93" s="369"/>
      <c r="R93" s="369"/>
      <c r="S93" s="369"/>
      <c r="T93" s="369"/>
      <c r="U93" s="369"/>
      <c r="V93" s="369"/>
      <c r="W93" s="369"/>
      <c r="X93" s="162" t="s">
        <v>781</v>
      </c>
      <c r="Y93" s="370"/>
      <c r="Z93" s="2"/>
    </row>
    <row r="94" spans="1:29" s="87" customFormat="1">
      <c r="A94" s="86"/>
      <c r="B94" s="86"/>
      <c r="D94" s="19"/>
      <c r="E94" s="15"/>
      <c r="F94" s="15"/>
      <c r="G94" s="920"/>
      <c r="H94" s="15"/>
      <c r="I94" s="15"/>
      <c r="J94" s="15"/>
      <c r="K94" s="15"/>
      <c r="L94" s="899"/>
      <c r="M94" s="15"/>
      <c r="N94" s="7"/>
      <c r="O94" s="222" t="str">
        <f>IFERROR(IF((#REF!/I94)^(1/8)-1&lt;0,"",(#REF!/I94)^(1/8)-1),"")</f>
        <v/>
      </c>
      <c r="P94" s="15"/>
      <c r="Q94" s="15"/>
      <c r="R94" s="15"/>
      <c r="S94" s="15"/>
      <c r="T94" s="15"/>
      <c r="U94" s="15"/>
      <c r="V94" s="15"/>
      <c r="W94" s="15"/>
      <c r="X94" s="60"/>
      <c r="Y94" s="1"/>
      <c r="Z94" s="1"/>
    </row>
    <row r="95" spans="1:29" s="21" customFormat="1">
      <c r="A95" s="79" t="s">
        <v>782</v>
      </c>
      <c r="B95" s="79"/>
      <c r="D95" s="363"/>
      <c r="E95" s="7">
        <f>E83+E85</f>
        <v>949.28339082317552</v>
      </c>
      <c r="F95" s="7">
        <f>F83+F85</f>
        <v>1760.2257021933037</v>
      </c>
      <c r="G95" s="386">
        <f>G83+G85</f>
        <v>2166.8694108600334</v>
      </c>
      <c r="H95" s="7">
        <f t="shared" ref="H95:M95" si="49">G95*(1+H96)</f>
        <v>1950.1824697740301</v>
      </c>
      <c r="I95" s="7">
        <f>H95*(1+I96)</f>
        <v>2096.4461550070823</v>
      </c>
      <c r="J95" s="7">
        <f>I95*(1+J96)</f>
        <v>2295.6085397327552</v>
      </c>
      <c r="K95" s="7">
        <f>J95*(1+K96)</f>
        <v>2486.9092513771511</v>
      </c>
      <c r="L95" s="41">
        <f>K95*(1+L96)</f>
        <v>2665.137747725847</v>
      </c>
      <c r="M95" s="7">
        <f t="shared" si="49"/>
        <v>2825.0460125893978</v>
      </c>
      <c r="N95" s="7"/>
      <c r="O95" s="222">
        <f>(M95/I95)^0.25-1</f>
        <v>7.7421042643690319E-2</v>
      </c>
      <c r="P95" s="74"/>
      <c r="Q95" s="74"/>
      <c r="R95" s="74"/>
      <c r="S95" s="74"/>
      <c r="T95" s="74"/>
      <c r="U95" s="74"/>
      <c r="V95" s="74"/>
      <c r="W95" s="7"/>
      <c r="X95" s="162"/>
      <c r="Y95" s="2"/>
      <c r="Z95" s="2"/>
    </row>
    <row r="96" spans="1:29">
      <c r="A96" s="80" t="s">
        <v>724</v>
      </c>
      <c r="B96" s="80"/>
      <c r="C96" s="59" t="str">
        <f>IFERROR(C95/A95-1,"")</f>
        <v/>
      </c>
      <c r="D96" s="59"/>
      <c r="E96" s="12" t="str">
        <f>IFERROR(E95/D95-1,"")</f>
        <v/>
      </c>
      <c r="F96" s="12">
        <f>IFERROR(F95/E95-1,"")</f>
        <v>0.85426788165641021</v>
      </c>
      <c r="G96" s="908">
        <f>IFERROR(G95/F95-1,"")</f>
        <v>0.23101793602947462</v>
      </c>
      <c r="H96" s="579">
        <v>-0.1</v>
      </c>
      <c r="I96" s="577">
        <v>7.4999999999999997E-2</v>
      </c>
      <c r="J96" s="577">
        <v>9.5000000000000001E-2</v>
      </c>
      <c r="K96" s="1096">
        <f>J96-($J$96-$M$96)/3</f>
        <v>8.3333333333333329E-2</v>
      </c>
      <c r="L96" s="1096">
        <f>K96-($J$96-$M$96)/3</f>
        <v>7.1666666666666656E-2</v>
      </c>
      <c r="M96" s="577">
        <v>0.06</v>
      </c>
      <c r="N96" s="7"/>
      <c r="O96" s="222" t="str">
        <f>IFERROR(IF((#REF!/I96)^(1/8)-1&lt;0,"",(#REF!/I96)^(1/8)-1),"")</f>
        <v/>
      </c>
      <c r="P96" s="12"/>
      <c r="Q96" s="12"/>
      <c r="R96" s="12"/>
      <c r="S96" s="12"/>
      <c r="T96" s="12"/>
      <c r="U96" s="12"/>
      <c r="V96" s="12"/>
      <c r="W96" s="12"/>
      <c r="Y96" s="129"/>
    </row>
    <row r="97" spans="1:29" s="2" customFormat="1">
      <c r="A97" s="79" t="s">
        <v>783</v>
      </c>
      <c r="B97" s="79"/>
      <c r="D97" s="7"/>
      <c r="E97" s="7">
        <f>E90+E88</f>
        <v>18678.95</v>
      </c>
      <c r="F97" s="7">
        <f>F90+F88</f>
        <v>41450.642857142855</v>
      </c>
      <c r="G97" s="386">
        <f>G90+G88</f>
        <v>47358.375</v>
      </c>
      <c r="H97" s="7">
        <f t="shared" ref="H97:M97" si="50">H90+H88</f>
        <v>39212.734499999999</v>
      </c>
      <c r="I97" s="7">
        <f t="shared" si="50"/>
        <v>42575.226483375001</v>
      </c>
      <c r="J97" s="7">
        <f t="shared" si="50"/>
        <v>47260.896253035935</v>
      </c>
      <c r="K97" s="7">
        <f t="shared" si="50"/>
        <v>52095.292098919395</v>
      </c>
      <c r="L97" s="41">
        <f t="shared" si="50"/>
        <v>57015.14977836964</v>
      </c>
      <c r="M97" s="7">
        <f t="shared" si="50"/>
        <v>61946.96023419861</v>
      </c>
      <c r="N97" s="7"/>
      <c r="O97" s="222">
        <f>(M97/I97)^0.25-1</f>
        <v>9.8286785719217562E-2</v>
      </c>
      <c r="P97" s="74"/>
      <c r="Q97" s="74"/>
      <c r="R97" s="74"/>
      <c r="S97" s="74"/>
      <c r="T97" s="74"/>
      <c r="U97" s="74"/>
      <c r="V97" s="74"/>
      <c r="W97" s="7"/>
      <c r="X97" s="365"/>
      <c r="Y97" s="61"/>
      <c r="Z97" s="61"/>
      <c r="AA97" s="61"/>
      <c r="AB97" s="61"/>
      <c r="AC97" s="61"/>
    </row>
    <row r="98" spans="1:29">
      <c r="A98" s="80" t="s">
        <v>724</v>
      </c>
      <c r="B98" s="80"/>
      <c r="C98" s="59" t="str">
        <f>IFERROR(C97/A97-1,"")</f>
        <v/>
      </c>
      <c r="D98" s="59"/>
      <c r="E98" s="12" t="str">
        <f t="shared" ref="E98:M98" si="51">IFERROR(E97/D97-1,"")</f>
        <v/>
      </c>
      <c r="F98" s="12">
        <f t="shared" si="51"/>
        <v>1.2191098994934326</v>
      </c>
      <c r="G98" s="908">
        <f t="shared" si="51"/>
        <v>0.14252449987851312</v>
      </c>
      <c r="H98" s="12">
        <f>IFERROR(H97/G97-1,"")</f>
        <v>-0.17200000000000004</v>
      </c>
      <c r="I98" s="12">
        <f t="shared" si="51"/>
        <v>8.5749999999999993E-2</v>
      </c>
      <c r="J98" s="12">
        <f t="shared" si="51"/>
        <v>0.11005624999999974</v>
      </c>
      <c r="K98" s="12">
        <f t="shared" si="51"/>
        <v>0.10229166666666645</v>
      </c>
      <c r="L98" s="30">
        <f t="shared" si="51"/>
        <v>9.4439583333333355E-2</v>
      </c>
      <c r="M98" s="12">
        <f t="shared" si="51"/>
        <v>8.6500000000000021E-2</v>
      </c>
      <c r="N98" s="7"/>
      <c r="O98" s="222" t="str">
        <f>IFERROR(IF((#REF!/I98)^(1/8)-1&lt;0,"",(#REF!/I98)^(1/8)-1),"")</f>
        <v/>
      </c>
      <c r="P98" s="12"/>
      <c r="Q98" s="12"/>
      <c r="R98" s="12"/>
      <c r="S98" s="12"/>
      <c r="T98" s="12"/>
      <c r="U98" s="12"/>
      <c r="V98" s="12"/>
      <c r="W98" s="12"/>
      <c r="Y98" s="129"/>
    </row>
    <row r="99" spans="1:29">
      <c r="A99" s="80"/>
      <c r="B99" s="80"/>
      <c r="C99" s="59"/>
      <c r="D99" s="59"/>
      <c r="E99" s="12"/>
      <c r="F99" s="12"/>
      <c r="G99" s="908"/>
      <c r="H99" s="12"/>
      <c r="I99" s="12"/>
      <c r="J99" s="12"/>
      <c r="K99" s="12"/>
      <c r="L99" s="30"/>
      <c r="M99" s="12"/>
      <c r="N99" s="7"/>
      <c r="O99" s="222" t="str">
        <f>IFERROR(IF((#REF!/I99)^(1/8)-1&lt;0,"",(#REF!/I99)^(1/8)-1),"")</f>
        <v/>
      </c>
      <c r="P99" s="12"/>
      <c r="Q99" s="12"/>
      <c r="R99" s="12"/>
      <c r="S99" s="12"/>
      <c r="T99" s="12"/>
      <c r="U99" s="12"/>
      <c r="V99" s="12"/>
      <c r="W99" s="12"/>
      <c r="Y99" s="129"/>
    </row>
    <row r="100" spans="1:29" s="2" customFormat="1" ht="16.5" customHeight="1">
      <c r="A100" s="372" t="s">
        <v>784</v>
      </c>
      <c r="B100" s="372"/>
      <c r="C100" s="373"/>
      <c r="D100" s="73"/>
      <c r="E100" s="73">
        <f>E88/E83</f>
        <v>19.67689541455314</v>
      </c>
      <c r="F100" s="73">
        <f>F88/F83</f>
        <v>23.548481768840148</v>
      </c>
      <c r="G100" s="913">
        <f>G88/G83</f>
        <v>21.855666411019847</v>
      </c>
      <c r="H100" s="73">
        <f t="shared" ref="H100:M100" si="52">G100*(1+H101)</f>
        <v>20.10721309813826</v>
      </c>
      <c r="I100" s="73">
        <f t="shared" si="52"/>
        <v>20.308285229119644</v>
      </c>
      <c r="J100" s="73">
        <f t="shared" si="52"/>
        <v>20.587524151020038</v>
      </c>
      <c r="K100" s="73">
        <f t="shared" si="52"/>
        <v>20.94780582366289</v>
      </c>
      <c r="L100" s="55">
        <f t="shared" si="52"/>
        <v>21.392946697415727</v>
      </c>
      <c r="M100" s="73">
        <f t="shared" si="52"/>
        <v>21.927770364851117</v>
      </c>
      <c r="N100" s="7"/>
      <c r="O100" s="222">
        <f>(M100/I100)^0.25-1</f>
        <v>1.9366377905826404E-2</v>
      </c>
      <c r="P100" s="73"/>
      <c r="Q100" s="73"/>
      <c r="R100" s="73"/>
      <c r="S100" s="73"/>
      <c r="T100" s="73"/>
      <c r="U100" s="73"/>
      <c r="V100" s="73"/>
      <c r="W100" s="73"/>
      <c r="X100" s="1603" t="s">
        <v>785</v>
      </c>
      <c r="Y100" s="374"/>
      <c r="Z100" s="61"/>
      <c r="AA100" s="61"/>
      <c r="AB100" s="61"/>
      <c r="AC100" s="61"/>
    </row>
    <row r="101" spans="1:29" ht="16.5" customHeight="1">
      <c r="A101" s="1238" t="s">
        <v>694</v>
      </c>
      <c r="B101" s="1238"/>
      <c r="C101" s="1239"/>
      <c r="D101" s="20"/>
      <c r="E101" s="20"/>
      <c r="F101" s="790">
        <f>F100/E100-1</f>
        <v>0.19675798812365297</v>
      </c>
      <c r="G101" s="1240">
        <f>G100/F100-1</f>
        <v>-7.1886390572332814E-2</v>
      </c>
      <c r="H101" s="578">
        <v>-0.08</v>
      </c>
      <c r="I101" s="591">
        <f>I54+0.5%</f>
        <v>0.01</v>
      </c>
      <c r="J101" s="591">
        <f>J54+0.5%</f>
        <v>1.3750000000000002E-2</v>
      </c>
      <c r="K101" s="591">
        <f>K54+0.5%</f>
        <v>1.7500000000000002E-2</v>
      </c>
      <c r="L101" s="591">
        <f>L54+0.5%</f>
        <v>2.1250000000000002E-2</v>
      </c>
      <c r="M101" s="591">
        <f>M54+0.5%</f>
        <v>2.5000000000000001E-2</v>
      </c>
      <c r="N101" s="7"/>
      <c r="O101" s="222"/>
      <c r="P101" s="20"/>
      <c r="Q101" s="20"/>
      <c r="R101" s="20"/>
      <c r="S101" s="20"/>
      <c r="T101" s="20"/>
      <c r="U101" s="20"/>
      <c r="V101" s="20"/>
      <c r="W101" s="17"/>
      <c r="X101" s="1603"/>
      <c r="Y101" s="130"/>
      <c r="Z101" s="18"/>
      <c r="AA101" s="18"/>
      <c r="AB101" s="18"/>
      <c r="AC101" s="18"/>
    </row>
    <row r="102" spans="1:29">
      <c r="A102" s="1"/>
      <c r="B102" s="1"/>
      <c r="E102" s="1239"/>
      <c r="F102" s="1239"/>
      <c r="G102" s="1241"/>
      <c r="I102" s="59"/>
      <c r="J102" s="59"/>
      <c r="K102" s="59"/>
      <c r="L102" s="34"/>
      <c r="M102" s="3"/>
      <c r="N102" s="7"/>
      <c r="O102" s="222" t="str">
        <f>IFERROR(IF((#REF!/I102)^(1/8)-1&lt;0,"",(#REF!/I102)^(1/8)-1),"")</f>
        <v/>
      </c>
      <c r="P102" s="3"/>
      <c r="Q102" s="3"/>
      <c r="R102" s="3"/>
      <c r="S102" s="3"/>
      <c r="T102" s="3"/>
      <c r="U102" s="3"/>
      <c r="V102" s="3"/>
      <c r="W102" s="59"/>
      <c r="X102" s="1603"/>
      <c r="Y102" s="130"/>
      <c r="Z102" s="18"/>
      <c r="AA102" s="18"/>
      <c r="AB102" s="18"/>
      <c r="AC102" s="18"/>
    </row>
    <row r="103" spans="1:29" s="87" customFormat="1" ht="15" customHeight="1">
      <c r="A103" s="1092" t="s">
        <v>786</v>
      </c>
      <c r="B103" s="1079"/>
      <c r="C103" s="1084"/>
      <c r="D103" s="1084"/>
      <c r="E103" s="1097">
        <f t="shared" ref="E103:M103" si="53">E83/E43</f>
        <v>4.2540253139861033E-2</v>
      </c>
      <c r="F103" s="1097">
        <f t="shared" si="53"/>
        <v>8.6251063407735612E-2</v>
      </c>
      <c r="G103" s="1098">
        <f t="shared" si="53"/>
        <v>0.12264946421555845</v>
      </c>
      <c r="H103" s="1100">
        <f t="shared" si="53"/>
        <v>0.14398596277601783</v>
      </c>
      <c r="I103" s="1100">
        <f t="shared" si="53"/>
        <v>0.1448521884879056</v>
      </c>
      <c r="J103" s="1100">
        <f t="shared" si="53"/>
        <v>0.15537614340661873</v>
      </c>
      <c r="K103" s="1100">
        <f t="shared" si="53"/>
        <v>0.16458361857145537</v>
      </c>
      <c r="L103" s="1100">
        <f t="shared" si="53"/>
        <v>0.17379257881293153</v>
      </c>
      <c r="M103" s="1100">
        <f t="shared" si="53"/>
        <v>0.18293636954490111</v>
      </c>
      <c r="N103" s="7"/>
      <c r="O103" s="222" t="str">
        <f>IFERROR(IF((#REF!/I103)^(1/8)-1&lt;0,"",(#REF!/I103)^(1/8)-1),"")</f>
        <v/>
      </c>
      <c r="P103" s="70"/>
      <c r="Q103" s="70"/>
      <c r="R103" s="70"/>
      <c r="S103" s="70"/>
      <c r="T103" s="70"/>
      <c r="U103" s="70"/>
      <c r="V103" s="70"/>
      <c r="W103" s="70"/>
      <c r="X103" s="1600" t="s">
        <v>787</v>
      </c>
      <c r="Y103" s="136" t="s">
        <v>788</v>
      </c>
      <c r="Z103" s="18"/>
      <c r="AA103" s="70"/>
      <c r="AB103" s="70"/>
      <c r="AC103" s="70"/>
    </row>
    <row r="104" spans="1:29">
      <c r="A104" s="1"/>
      <c r="B104" s="1"/>
      <c r="H104" s="17"/>
      <c r="I104" s="17"/>
      <c r="J104" s="17"/>
      <c r="K104" s="17"/>
      <c r="L104" s="898"/>
      <c r="M104" s="59"/>
      <c r="N104" s="7"/>
      <c r="O104" s="222" t="str">
        <f>IFERROR(IF((#REF!/I104)^(1/8)-1&lt;0,"",(#REF!/I104)^(1/8)-1),"")</f>
        <v/>
      </c>
      <c r="P104" s="59"/>
      <c r="Q104" s="59"/>
      <c r="R104" s="59"/>
      <c r="S104" s="59"/>
      <c r="T104" s="59"/>
      <c r="U104" s="59"/>
      <c r="V104" s="59"/>
      <c r="W104" s="3"/>
      <c r="X104" s="1600"/>
      <c r="Y104" s="127"/>
    </row>
    <row r="105" spans="1:29">
      <c r="A105" s="1237" t="s">
        <v>789</v>
      </c>
      <c r="B105" s="1237"/>
      <c r="N105" s="7"/>
      <c r="O105" s="222" t="str">
        <f>IFERROR(IF((#REF!/I105)^(1/8)-1&lt;0,"",(#REF!/I105)^(1/8)-1),"")</f>
        <v/>
      </c>
      <c r="X105" s="1600"/>
      <c r="Y105" s="127"/>
    </row>
    <row r="106" spans="1:29" s="2" customFormat="1">
      <c r="A106" s="360" t="s">
        <v>790</v>
      </c>
      <c r="B106" s="360"/>
      <c r="E106" s="8">
        <f>E109/E100</f>
        <v>45.738922784249546</v>
      </c>
      <c r="F106" s="8">
        <f>F109/F100</f>
        <v>110.42530603577744</v>
      </c>
      <c r="G106" s="919">
        <f>G109/G100</f>
        <v>175.05488990443789</v>
      </c>
      <c r="H106" s="8">
        <f t="shared" ref="H106:M106" si="54">H83*H112</f>
        <v>198.91861191695108</v>
      </c>
      <c r="I106" s="8">
        <f t="shared" si="54"/>
        <v>227.46440781826843</v>
      </c>
      <c r="J106" s="8">
        <f t="shared" si="54"/>
        <v>264.45410377721339</v>
      </c>
      <c r="K106" s="8">
        <f t="shared" si="54"/>
        <v>300.91601941663527</v>
      </c>
      <c r="L106" s="8">
        <f t="shared" si="54"/>
        <v>338.29481811133417</v>
      </c>
      <c r="M106" s="8">
        <f t="shared" si="54"/>
        <v>375.7311196743899</v>
      </c>
      <c r="N106" s="7"/>
      <c r="O106" s="222">
        <f>(M106/I106)^0.25-1</f>
        <v>0.13368115895904231</v>
      </c>
      <c r="P106" s="8"/>
      <c r="Q106" s="8"/>
      <c r="R106" s="8"/>
      <c r="S106" s="8"/>
      <c r="T106" s="8"/>
      <c r="U106" s="8"/>
      <c r="V106" s="8"/>
      <c r="W106" s="8"/>
      <c r="X106" s="1600"/>
      <c r="Y106" s="375"/>
    </row>
    <row r="107" spans="1:29">
      <c r="A107" s="80" t="s">
        <v>724</v>
      </c>
      <c r="B107" s="80"/>
      <c r="C107" s="59" t="str">
        <f>IFERROR(C106/A106-1,"")</f>
        <v/>
      </c>
      <c r="D107" s="59"/>
      <c r="E107" s="12" t="str">
        <f t="shared" ref="E107:M107" si="55">IFERROR(E106/D106-1,"")</f>
        <v/>
      </c>
      <c r="F107" s="12">
        <f t="shared" si="55"/>
        <v>1.4142524422066844</v>
      </c>
      <c r="G107" s="908">
        <f t="shared" si="55"/>
        <v>0.58527873898507177</v>
      </c>
      <c r="H107" s="12">
        <f t="shared" si="55"/>
        <v>0.13632136768953074</v>
      </c>
      <c r="I107" s="12">
        <f t="shared" si="55"/>
        <v>0.14350490196078414</v>
      </c>
      <c r="J107" s="12">
        <f t="shared" si="55"/>
        <v>0.16261751152073733</v>
      </c>
      <c r="K107" s="12">
        <f t="shared" si="55"/>
        <v>0.13787615740740722</v>
      </c>
      <c r="L107" s="30">
        <f t="shared" si="55"/>
        <v>0.12421671258034905</v>
      </c>
      <c r="M107" s="12">
        <f t="shared" si="55"/>
        <v>0.11066176470588229</v>
      </c>
      <c r="N107" s="7"/>
      <c r="O107" s="222" t="str">
        <f>IFERROR(IF((#REF!/I107)^(1/8)-1&lt;0,"",(#REF!/I107)^(1/8)-1),"")</f>
        <v/>
      </c>
      <c r="P107" s="12"/>
      <c r="Q107" s="12"/>
      <c r="R107" s="12"/>
      <c r="S107" s="12"/>
      <c r="T107" s="12"/>
      <c r="U107" s="12"/>
      <c r="V107" s="12"/>
      <c r="W107" s="12"/>
      <c r="X107" s="1600"/>
      <c r="Y107" s="127"/>
    </row>
    <row r="108" spans="1:29">
      <c r="A108" s="83"/>
      <c r="B108" s="83"/>
      <c r="N108" s="7"/>
      <c r="O108" s="222" t="str">
        <f>IFERROR(IF((#REF!/I108)^(1/8)-1&lt;0,"",(#REF!/I108)^(1/8)-1),"")</f>
        <v/>
      </c>
      <c r="X108" s="1600"/>
      <c r="Y108" s="127"/>
    </row>
    <row r="109" spans="1:29" s="2" customFormat="1">
      <c r="A109" s="360" t="s">
        <v>791</v>
      </c>
      <c r="B109" s="360"/>
      <c r="E109" s="7">
        <f>'B. Sales &amp; COGS'!K120</f>
        <v>900</v>
      </c>
      <c r="F109" s="7">
        <f>'B. Sales &amp; COGS'!L120</f>
        <v>2600.348306002099</v>
      </c>
      <c r="G109" s="386">
        <f>'B. Sales &amp; COGS'!M120</f>
        <v>3825.9412773692002</v>
      </c>
      <c r="H109" s="7">
        <f t="shared" ref="H109:M109" si="56">H106*H100</f>
        <v>3999.6989189999999</v>
      </c>
      <c r="I109" s="7">
        <f t="shared" si="56"/>
        <v>4619.4120734461876</v>
      </c>
      <c r="J109" s="7">
        <f t="shared" si="56"/>
        <v>5444.45524834974</v>
      </c>
      <c r="K109" s="7">
        <f t="shared" si="56"/>
        <v>6303.530343969247</v>
      </c>
      <c r="L109" s="41">
        <f t="shared" si="56"/>
        <v>7237.1230118677204</v>
      </c>
      <c r="M109" s="7">
        <f t="shared" si="56"/>
        <v>8238.9457111484153</v>
      </c>
      <c r="N109" s="7"/>
      <c r="O109" s="222">
        <f>(M109/I109)^0.25-1</f>
        <v>0.15563645670815851</v>
      </c>
      <c r="P109" s="7"/>
      <c r="Q109" s="7"/>
      <c r="R109" s="7"/>
      <c r="S109" s="7"/>
      <c r="T109" s="7"/>
      <c r="U109" s="7"/>
      <c r="V109" s="7"/>
      <c r="W109" s="7"/>
      <c r="X109" s="1600"/>
      <c r="Y109" s="375"/>
    </row>
    <row r="110" spans="1:29">
      <c r="A110" s="80" t="s">
        <v>724</v>
      </c>
      <c r="B110" s="80"/>
      <c r="C110" s="59" t="str">
        <f>IFERROR(C109/A109-1,"")</f>
        <v/>
      </c>
      <c r="D110" s="59"/>
      <c r="E110" s="12" t="str">
        <f t="shared" ref="E110:M110" si="57">IFERROR(E109/D109-1,"")</f>
        <v/>
      </c>
      <c r="F110" s="12">
        <f t="shared" si="57"/>
        <v>1.8892758955578879</v>
      </c>
      <c r="G110" s="908">
        <f t="shared" si="57"/>
        <v>0.47131877238837561</v>
      </c>
      <c r="H110" s="12">
        <f t="shared" si="57"/>
        <v>4.5415658274368331E-2</v>
      </c>
      <c r="I110" s="12">
        <f t="shared" si="57"/>
        <v>0.15493995098039215</v>
      </c>
      <c r="J110" s="12">
        <f t="shared" si="57"/>
        <v>0.17860350230414745</v>
      </c>
      <c r="K110" s="12">
        <f t="shared" si="57"/>
        <v>0.15778899016203685</v>
      </c>
      <c r="L110" s="30">
        <f t="shared" si="57"/>
        <v>0.14810631772268157</v>
      </c>
      <c r="M110" s="12">
        <f t="shared" si="57"/>
        <v>0.13842830882352919</v>
      </c>
      <c r="N110" s="7"/>
      <c r="O110" s="59"/>
      <c r="P110" s="12"/>
      <c r="Q110" s="12"/>
      <c r="R110" s="12"/>
      <c r="S110" s="12"/>
      <c r="T110" s="12"/>
      <c r="U110" s="12"/>
      <c r="V110" s="12"/>
      <c r="W110" s="12"/>
      <c r="X110" s="1600"/>
      <c r="Y110" s="127"/>
    </row>
    <row r="111" spans="1:29">
      <c r="A111" s="80"/>
      <c r="B111" s="80"/>
      <c r="C111" s="59"/>
      <c r="D111" s="59"/>
      <c r="E111" s="12"/>
      <c r="F111" s="12"/>
      <c r="G111" s="908"/>
      <c r="H111" s="12"/>
      <c r="I111" s="12"/>
      <c r="J111" s="12"/>
      <c r="K111" s="12"/>
      <c r="L111" s="30"/>
      <c r="M111" s="12"/>
      <c r="N111" s="7"/>
      <c r="O111" s="59"/>
      <c r="P111" s="12"/>
      <c r="Q111" s="12"/>
      <c r="R111" s="12"/>
      <c r="S111" s="12"/>
      <c r="T111" s="12"/>
      <c r="U111" s="12"/>
      <c r="V111" s="12"/>
      <c r="W111" s="12"/>
      <c r="X111" s="1600"/>
    </row>
    <row r="112" spans="1:29" s="21" customFormat="1">
      <c r="A112" s="1092" t="s">
        <v>792</v>
      </c>
      <c r="B112" s="1079"/>
      <c r="C112" s="1084"/>
      <c r="D112" s="1084"/>
      <c r="E112" s="1097">
        <f>E106/E83</f>
        <v>8.0508455624186528E-2</v>
      </c>
      <c r="F112" s="1097">
        <f>F106/F83</f>
        <v>8.961943743771332E-2</v>
      </c>
      <c r="G112" s="1098">
        <f>G106/G83</f>
        <v>0.10098375623554441</v>
      </c>
      <c r="H112" s="1099">
        <v>0.12</v>
      </c>
      <c r="I112" s="1097">
        <f>H112+($M112-$H112)/5</f>
        <v>0.124</v>
      </c>
      <c r="J112" s="1097">
        <f t="shared" ref="J112:L112" si="58">I112+($M112-$H112)/5</f>
        <v>0.128</v>
      </c>
      <c r="K112" s="1097">
        <f t="shared" si="58"/>
        <v>0.13200000000000001</v>
      </c>
      <c r="L112" s="1097">
        <f t="shared" si="58"/>
        <v>0.13600000000000001</v>
      </c>
      <c r="M112" s="1099">
        <f>CHOOSE('D. Sensivity &amp; Scenario'!$E$62,'D. Sensivity &amp; Scenario'!H92,'D. Sensivity &amp; Scenario'!H93,'D. Sensivity &amp; Scenario'!H94)</f>
        <v>0.14000000000000001</v>
      </c>
      <c r="N112" s="7"/>
      <c r="O112" s="2" t="s">
        <v>770</v>
      </c>
      <c r="P112" s="363"/>
      <c r="Q112" s="363"/>
      <c r="R112" s="363"/>
      <c r="S112" s="363"/>
      <c r="T112" s="363"/>
      <c r="U112" s="363"/>
      <c r="V112" s="363"/>
      <c r="W112" s="363"/>
      <c r="X112" s="371" t="s">
        <v>793</v>
      </c>
      <c r="Y112" s="2"/>
      <c r="Z112" s="2"/>
    </row>
    <row r="113" spans="1:29" s="87" customFormat="1">
      <c r="A113" s="86"/>
      <c r="B113" s="86"/>
      <c r="E113" s="122"/>
      <c r="F113" s="122"/>
      <c r="G113" s="921"/>
      <c r="H113" s="122"/>
      <c r="I113" s="122"/>
      <c r="J113" s="122"/>
      <c r="K113" s="122"/>
      <c r="L113" s="900"/>
      <c r="M113" s="122"/>
      <c r="N113" s="7"/>
      <c r="O113" s="122"/>
      <c r="P113" s="122"/>
      <c r="Q113" s="122"/>
      <c r="R113" s="122"/>
      <c r="S113" s="122"/>
      <c r="T113" s="122"/>
      <c r="U113" s="122"/>
      <c r="V113" s="122"/>
      <c r="W113" s="122"/>
      <c r="X113" s="136"/>
      <c r="Y113" s="17"/>
      <c r="Z113" s="17"/>
    </row>
    <row r="114" spans="1:29" s="87" customFormat="1">
      <c r="A114" s="1092" t="s">
        <v>794</v>
      </c>
      <c r="B114" s="1079"/>
      <c r="C114" s="1084"/>
      <c r="D114" s="1084"/>
      <c r="E114" s="1097">
        <f t="shared" ref="E114:L114" si="59">E106/E95</f>
        <v>4.8182579855934091E-2</v>
      </c>
      <c r="F114" s="1097">
        <f t="shared" si="59"/>
        <v>6.2733606206399326E-2</v>
      </c>
      <c r="G114" s="1098">
        <f t="shared" si="59"/>
        <v>8.0787004988435537E-2</v>
      </c>
      <c r="H114" s="1097">
        <f>H106/H95</f>
        <v>0.10200000000000001</v>
      </c>
      <c r="I114" s="1097">
        <f t="shared" si="59"/>
        <v>0.1085</v>
      </c>
      <c r="J114" s="1097">
        <f t="shared" si="59"/>
        <v>0.1152</v>
      </c>
      <c r="K114" s="1097">
        <f t="shared" si="59"/>
        <v>0.121</v>
      </c>
      <c r="L114" s="1100">
        <f t="shared" si="59"/>
        <v>0.12693333333333331</v>
      </c>
      <c r="M114" s="1097">
        <f>M106/M95</f>
        <v>0.13300000000000001</v>
      </c>
      <c r="N114" s="7"/>
      <c r="O114" s="122"/>
      <c r="P114" s="122"/>
      <c r="Q114" s="122"/>
      <c r="R114" s="122"/>
      <c r="S114" s="122"/>
      <c r="T114" s="122"/>
      <c r="U114" s="122"/>
      <c r="V114" s="122"/>
      <c r="W114" s="122"/>
      <c r="X114" s="60"/>
      <c r="Y114" s="1"/>
      <c r="Z114" s="1"/>
    </row>
    <row r="115" spans="1:29">
      <c r="N115" s="7"/>
    </row>
    <row r="116" spans="1:29">
      <c r="A116" s="79" t="s">
        <v>795</v>
      </c>
      <c r="B116" s="79"/>
      <c r="C116" s="2"/>
      <c r="D116" s="7"/>
      <c r="E116" s="7">
        <f>0.35/0.45*F116</f>
        <v>12089.77083333333</v>
      </c>
      <c r="F116" s="7">
        <f>0.45/1.2*F97</f>
        <v>15543.991071428571</v>
      </c>
      <c r="G116" s="386">
        <f>F116*1.4</f>
        <v>21761.587499999998</v>
      </c>
      <c r="H116" s="77"/>
      <c r="I116" s="77"/>
      <c r="J116" s="77"/>
      <c r="K116" s="77"/>
      <c r="L116" s="77"/>
      <c r="M116" s="77"/>
      <c r="N116" s="7"/>
      <c r="O116" s="76"/>
      <c r="P116" s="77"/>
      <c r="Q116" s="77"/>
      <c r="R116" s="77"/>
      <c r="S116" s="77"/>
      <c r="T116" s="77"/>
      <c r="U116" s="77"/>
      <c r="V116" s="77"/>
      <c r="W116" s="77"/>
      <c r="X116" s="227"/>
      <c r="Y116" s="18"/>
      <c r="Z116" s="18"/>
      <c r="AA116" s="18"/>
      <c r="AB116" s="18"/>
      <c r="AC116" s="18"/>
    </row>
    <row r="117" spans="1:29">
      <c r="A117" s="85"/>
      <c r="B117" s="85"/>
      <c r="C117" s="77"/>
      <c r="D117" s="77"/>
      <c r="E117" s="77"/>
      <c r="F117" s="77"/>
      <c r="G117" s="918"/>
      <c r="H117" s="77"/>
      <c r="I117" s="77"/>
      <c r="J117" s="77"/>
      <c r="K117" s="77"/>
      <c r="L117" s="77"/>
      <c r="M117" s="77"/>
      <c r="N117" s="77"/>
      <c r="O117" s="76"/>
      <c r="P117" s="77"/>
      <c r="Q117" s="77"/>
      <c r="R117" s="77"/>
      <c r="S117" s="77"/>
      <c r="T117" s="77"/>
      <c r="U117" s="77"/>
      <c r="V117" s="77"/>
      <c r="W117" s="77"/>
      <c r="X117" s="227"/>
      <c r="Y117" s="18"/>
      <c r="Z117" s="18"/>
      <c r="AA117" s="18"/>
      <c r="AB117" s="18"/>
      <c r="AC117" s="18"/>
    </row>
    <row r="118" spans="1:29" s="1242" customFormat="1" ht="15.75" customHeight="1">
      <c r="A118" s="146" t="s">
        <v>796</v>
      </c>
      <c r="B118" s="146"/>
      <c r="C118" s="383"/>
      <c r="D118" s="383"/>
      <c r="E118" s="383"/>
      <c r="F118" s="383"/>
      <c r="G118" s="909"/>
      <c r="H118" s="383"/>
      <c r="I118" s="383"/>
      <c r="J118" s="383"/>
      <c r="K118" s="383"/>
      <c r="L118" s="383"/>
      <c r="M118" s="383"/>
      <c r="N118" s="383"/>
      <c r="O118" s="970" t="s">
        <v>648</v>
      </c>
      <c r="P118" s="383"/>
      <c r="Q118" s="383"/>
      <c r="R118" s="383"/>
      <c r="S118" s="383"/>
      <c r="T118" s="383"/>
      <c r="U118" s="383"/>
      <c r="V118" s="383"/>
      <c r="W118" s="383"/>
    </row>
    <row r="119" spans="1:29" ht="15" customHeight="1">
      <c r="A119" s="1"/>
      <c r="B119" s="1"/>
      <c r="X119" s="1596" t="s">
        <v>797</v>
      </c>
      <c r="Y119" s="137"/>
    </row>
    <row r="120" spans="1:29" s="2" customFormat="1">
      <c r="A120" s="79" t="s">
        <v>71</v>
      </c>
      <c r="B120" s="79"/>
      <c r="C120" s="7">
        <f>'B. Sales &amp; COGS'!I121</f>
        <v>155</v>
      </c>
      <c r="D120" s="7">
        <f>'B. Sales &amp; COGS'!J121</f>
        <v>196</v>
      </c>
      <c r="E120" s="7">
        <f>'B. Sales &amp; COGS'!K121</f>
        <v>84</v>
      </c>
      <c r="F120" s="7">
        <f>'B. Sales &amp; COGS'!L121</f>
        <v>56.65169399790102</v>
      </c>
      <c r="G120" s="386">
        <f>'B. Sales &amp; COGS'!M121</f>
        <v>59</v>
      </c>
      <c r="H120" s="7">
        <f t="shared" ref="H120:M120" si="60">G120*(1+H121)</f>
        <v>88.5</v>
      </c>
      <c r="I120" s="7">
        <f t="shared" si="60"/>
        <v>177</v>
      </c>
      <c r="J120" s="7">
        <f t="shared" si="60"/>
        <v>230.1</v>
      </c>
      <c r="K120" s="7">
        <f t="shared" si="60"/>
        <v>299.13</v>
      </c>
      <c r="L120" s="41">
        <f t="shared" si="60"/>
        <v>388.86900000000003</v>
      </c>
      <c r="M120" s="7">
        <f t="shared" si="60"/>
        <v>505.52970000000005</v>
      </c>
      <c r="N120" s="59"/>
      <c r="O120" s="222">
        <f>(M120/I120)^0.25-1</f>
        <v>0.30000000000000004</v>
      </c>
      <c r="P120" s="7"/>
      <c r="Q120" s="7"/>
      <c r="R120" s="7"/>
      <c r="S120" s="7"/>
      <c r="T120" s="7"/>
      <c r="U120" s="7"/>
      <c r="V120" s="7"/>
      <c r="W120" s="7"/>
      <c r="X120" s="1596"/>
      <c r="Y120" s="133"/>
    </row>
    <row r="121" spans="1:29">
      <c r="A121" s="80" t="s">
        <v>724</v>
      </c>
      <c r="B121" s="80"/>
      <c r="C121" s="59" t="str">
        <f>IFERROR(C120/A120-1,"")</f>
        <v/>
      </c>
      <c r="D121" s="59"/>
      <c r="E121" s="12">
        <f>IFERROR(E120/D120-1,"")</f>
        <v>-0.5714285714285714</v>
      </c>
      <c r="F121" s="12">
        <f>IFERROR(F120/E120-1,"")</f>
        <v>-0.32557507145355924</v>
      </c>
      <c r="G121" s="908">
        <f>IFERROR(G120/F120-1,"")</f>
        <v>4.1451646656602836E-2</v>
      </c>
      <c r="H121" s="578">
        <v>0.5</v>
      </c>
      <c r="I121" s="579">
        <v>1</v>
      </c>
      <c r="J121" s="579">
        <v>0.3</v>
      </c>
      <c r="K121" s="579">
        <v>0.3</v>
      </c>
      <c r="L121" s="579">
        <v>0.3</v>
      </c>
      <c r="M121" s="579">
        <v>0.3</v>
      </c>
      <c r="N121" s="59"/>
      <c r="O121" s="59"/>
      <c r="P121" s="12"/>
      <c r="Q121" s="12"/>
      <c r="R121" s="12"/>
      <c r="S121" s="12"/>
      <c r="T121" s="12"/>
      <c r="U121" s="12"/>
      <c r="V121" s="12"/>
      <c r="X121" s="1596"/>
      <c r="Y121" s="127"/>
    </row>
    <row r="122" spans="1:29">
      <c r="E122" s="1243"/>
      <c r="N122" s="59"/>
      <c r="X122" s="1596"/>
    </row>
    <row r="123" spans="1:29">
      <c r="A123" s="965" t="s">
        <v>798</v>
      </c>
      <c r="E123" s="1243"/>
      <c r="N123" s="59"/>
      <c r="X123" s="1596"/>
    </row>
    <row r="124" spans="1:29">
      <c r="A124" s="79" t="s">
        <v>799</v>
      </c>
      <c r="B124" s="79"/>
      <c r="C124" s="2">
        <f>94.1</f>
        <v>94.1</v>
      </c>
      <c r="D124" s="1" t="s">
        <v>800</v>
      </c>
      <c r="E124" s="1243"/>
      <c r="N124" s="59"/>
      <c r="X124" s="1596"/>
    </row>
    <row r="125" spans="1:29">
      <c r="A125" s="78" t="s">
        <v>801</v>
      </c>
      <c r="B125" s="1"/>
      <c r="C125" s="1233">
        <f>G30</f>
        <v>62.8</v>
      </c>
      <c r="D125" s="1" t="s">
        <v>800</v>
      </c>
      <c r="E125" s="1243"/>
      <c r="N125" s="59"/>
      <c r="X125" s="1596"/>
    </row>
    <row r="126" spans="1:29">
      <c r="A126" s="78" t="s">
        <v>802</v>
      </c>
      <c r="B126" s="1"/>
      <c r="C126" s="1233">
        <f>C124/C125</f>
        <v>1.4984076433121019</v>
      </c>
      <c r="D126" s="1" t="s">
        <v>803</v>
      </c>
      <c r="E126" s="1243"/>
      <c r="N126" s="59"/>
      <c r="X126" s="1596"/>
    </row>
    <row r="127" spans="1:29">
      <c r="A127" s="79" t="s">
        <v>804</v>
      </c>
      <c r="B127" s="79"/>
      <c r="C127" s="2">
        <v>26.1</v>
      </c>
      <c r="E127" s="1243"/>
      <c r="N127" s="59"/>
      <c r="X127" s="1596"/>
    </row>
    <row r="128" spans="1:29">
      <c r="A128" s="78" t="s">
        <v>805</v>
      </c>
      <c r="C128" s="1233">
        <f>C127/C129</f>
        <v>8.7092454835281625</v>
      </c>
      <c r="E128" s="1243"/>
      <c r="N128" s="59"/>
      <c r="X128" s="1596"/>
    </row>
    <row r="129" spans="1:75">
      <c r="A129" s="78" t="s">
        <v>806</v>
      </c>
      <c r="C129" s="1233">
        <f>C126*2</f>
        <v>2.9968152866242037</v>
      </c>
      <c r="E129" s="1243"/>
      <c r="N129" s="59"/>
      <c r="X129" s="1596"/>
    </row>
    <row r="130" spans="1:75">
      <c r="C130" s="1233"/>
      <c r="E130" s="1243"/>
      <c r="N130" s="59"/>
      <c r="X130" s="1596"/>
    </row>
    <row r="131" spans="1:75">
      <c r="A131" s="79" t="s">
        <v>807</v>
      </c>
      <c r="B131" s="79"/>
      <c r="C131" s="966">
        <f>C128-1.7</f>
        <v>7.0092454835281623</v>
      </c>
      <c r="D131" s="1" t="s">
        <v>800</v>
      </c>
      <c r="E131" s="1243"/>
      <c r="N131" s="59"/>
      <c r="X131" s="1596"/>
    </row>
    <row r="132" spans="1:75" ht="14.25" customHeight="1">
      <c r="A132" s="78" t="s">
        <v>808</v>
      </c>
      <c r="C132" s="1233">
        <f>SUM(I40:M40)/1000</f>
        <v>4.7331526340886247</v>
      </c>
      <c r="D132" s="1" t="s">
        <v>800</v>
      </c>
      <c r="E132" s="1244"/>
      <c r="F132" s="1606" t="s">
        <v>809</v>
      </c>
      <c r="G132" s="1606"/>
      <c r="H132" s="1606"/>
      <c r="I132" s="1606"/>
      <c r="J132" s="1606"/>
      <c r="K132" s="1606"/>
      <c r="L132" s="1606"/>
      <c r="M132" s="1606"/>
      <c r="N132" s="59"/>
      <c r="X132" s="1596"/>
    </row>
    <row r="133" spans="1:75">
      <c r="A133" s="78" t="s">
        <v>810</v>
      </c>
      <c r="C133" s="1233">
        <f>C132/C129</f>
        <v>1.5793941839573096</v>
      </c>
      <c r="D133" s="1" t="s">
        <v>811</v>
      </c>
      <c r="E133" s="1244"/>
      <c r="F133" s="1606"/>
      <c r="G133" s="1606"/>
      <c r="H133" s="1606"/>
      <c r="I133" s="1606"/>
      <c r="J133" s="1606"/>
      <c r="K133" s="1606"/>
      <c r="L133" s="1606"/>
      <c r="M133" s="1606"/>
      <c r="N133" s="59"/>
      <c r="X133" s="1596"/>
    </row>
    <row r="134" spans="1:75">
      <c r="E134" s="1244"/>
      <c r="F134" s="1606"/>
      <c r="G134" s="1606"/>
      <c r="H134" s="1606"/>
      <c r="I134" s="1606"/>
      <c r="J134" s="1606"/>
      <c r="K134" s="1606"/>
      <c r="L134" s="1606"/>
      <c r="M134" s="1606"/>
      <c r="N134" s="59"/>
      <c r="X134" s="1596"/>
    </row>
    <row r="135" spans="1:75">
      <c r="A135" s="79" t="s">
        <v>812</v>
      </c>
      <c r="B135" s="79"/>
      <c r="C135" s="966">
        <f>C131-C133</f>
        <v>5.4298512995708528</v>
      </c>
      <c r="D135" s="1" t="s">
        <v>813</v>
      </c>
      <c r="E135" s="1244"/>
      <c r="F135" s="1606"/>
      <c r="G135" s="1606"/>
      <c r="H135" s="1606"/>
      <c r="I135" s="1606"/>
      <c r="J135" s="1606"/>
      <c r="K135" s="1606"/>
      <c r="L135" s="1606"/>
      <c r="M135" s="1606"/>
      <c r="N135" s="59"/>
      <c r="X135" s="1596"/>
    </row>
    <row r="136" spans="1:75">
      <c r="A136" s="78" t="s">
        <v>814</v>
      </c>
      <c r="C136" s="1233">
        <f>C135*C126</f>
        <v>8.1361306893251157</v>
      </c>
      <c r="D136" s="1" t="s">
        <v>815</v>
      </c>
      <c r="E136" s="1244"/>
      <c r="F136" s="1606"/>
      <c r="G136" s="1606"/>
      <c r="H136" s="1606"/>
      <c r="I136" s="1606"/>
      <c r="J136" s="1606"/>
      <c r="K136" s="1606"/>
      <c r="L136" s="1606"/>
      <c r="M136" s="1606"/>
      <c r="N136" s="59"/>
      <c r="X136" s="1596"/>
    </row>
    <row r="137" spans="1:75">
      <c r="A137" s="78" t="s">
        <v>816</v>
      </c>
      <c r="C137" s="1233">
        <f>C136/4</f>
        <v>2.0340326723312789</v>
      </c>
      <c r="D137" s="1" t="s">
        <v>817</v>
      </c>
      <c r="E137" s="1244"/>
      <c r="F137" s="1244"/>
      <c r="G137" s="1244"/>
      <c r="H137" s="1244"/>
      <c r="I137" s="1244"/>
      <c r="J137" s="1244"/>
      <c r="K137" s="1244"/>
      <c r="L137" s="1244"/>
      <c r="N137" s="59"/>
      <c r="X137" s="1596"/>
    </row>
    <row r="138" spans="1:75">
      <c r="A138" s="78" t="s">
        <v>818</v>
      </c>
      <c r="C138" s="1">
        <v>2</v>
      </c>
      <c r="D138" s="1" t="s">
        <v>819</v>
      </c>
      <c r="E138" s="1244"/>
      <c r="F138" s="1244"/>
      <c r="G138" s="1244"/>
      <c r="H138" s="1244"/>
      <c r="I138" s="1244"/>
      <c r="J138" s="1244"/>
      <c r="K138" s="1244"/>
      <c r="L138" s="1244"/>
      <c r="N138" s="59"/>
      <c r="X138" s="1596"/>
    </row>
    <row r="139" spans="1:75">
      <c r="A139" s="78" t="s">
        <v>820</v>
      </c>
      <c r="C139" s="967">
        <f>C137*C138</f>
        <v>4.0680653446625579</v>
      </c>
      <c r="D139" s="1" t="s">
        <v>821</v>
      </c>
      <c r="E139" s="1244"/>
      <c r="F139" s="1244"/>
      <c r="G139" s="1244"/>
      <c r="H139" s="1244"/>
      <c r="I139" s="1244"/>
      <c r="J139" s="1244"/>
      <c r="K139" s="1244"/>
      <c r="L139" s="1244"/>
      <c r="N139" s="59"/>
      <c r="X139" s="1596"/>
    </row>
    <row r="140" spans="1:75">
      <c r="E140" s="1244"/>
      <c r="F140" s="1244"/>
      <c r="G140" s="1244"/>
      <c r="H140" s="1244"/>
      <c r="I140" s="1244"/>
      <c r="J140" s="1244"/>
      <c r="K140" s="1244"/>
      <c r="L140" s="1244"/>
      <c r="N140" s="59"/>
      <c r="X140" s="1596"/>
    </row>
    <row r="141" spans="1:75">
      <c r="C141" s="790"/>
      <c r="E141" s="1244"/>
      <c r="F141" s="1244"/>
      <c r="G141" s="1244"/>
      <c r="H141" s="1244"/>
      <c r="I141" s="1244"/>
      <c r="J141" s="1244"/>
      <c r="K141" s="1244"/>
      <c r="L141" s="1244"/>
      <c r="N141" s="59"/>
      <c r="X141" s="1596"/>
    </row>
    <row r="142" spans="1:75">
      <c r="C142" s="3"/>
      <c r="E142" s="1244"/>
      <c r="F142" s="1244"/>
      <c r="G142" s="1244"/>
      <c r="H142" s="1244"/>
      <c r="I142" s="1244"/>
      <c r="J142" s="1244"/>
      <c r="K142" s="1244"/>
      <c r="L142" s="1244"/>
      <c r="N142" s="59"/>
      <c r="X142" s="1596"/>
    </row>
    <row r="143" spans="1:75" s="395" customFormat="1" ht="19.5" customHeight="1">
      <c r="A143" s="146" t="s">
        <v>822</v>
      </c>
      <c r="B143" s="146"/>
      <c r="C143" s="383"/>
      <c r="D143" s="383"/>
      <c r="E143" s="383"/>
      <c r="F143" s="383"/>
      <c r="G143" s="909"/>
      <c r="H143" s="383"/>
      <c r="I143" s="383"/>
      <c r="J143" s="383"/>
      <c r="K143" s="383"/>
      <c r="L143" s="383"/>
      <c r="M143" s="383"/>
      <c r="N143" s="383"/>
      <c r="O143" s="383" t="s">
        <v>823</v>
      </c>
      <c r="P143" s="383"/>
      <c r="Q143" s="383"/>
      <c r="R143" s="383"/>
      <c r="S143" s="383"/>
      <c r="T143" s="383"/>
      <c r="U143" s="383"/>
      <c r="V143" s="383"/>
      <c r="W143" s="383"/>
      <c r="X143" s="60"/>
      <c r="Y143" s="145" t="s">
        <v>731</v>
      </c>
      <c r="Z143" s="1"/>
      <c r="BU143" s="1"/>
      <c r="BV143" s="1"/>
      <c r="BW143" s="1"/>
    </row>
    <row r="144" spans="1:75">
      <c r="A144" s="1245"/>
      <c r="B144" s="1245"/>
    </row>
    <row r="145" spans="1:80" ht="15" customHeight="1">
      <c r="A145" s="150" t="s">
        <v>824</v>
      </c>
      <c r="B145" s="150"/>
      <c r="C145" s="69">
        <f>SUM('B. Sales &amp; COGS'!AD9:AG9)</f>
        <v>2402</v>
      </c>
      <c r="D145" s="69">
        <f>SUM('B. Sales &amp; COGS'!AH9:AK9)</f>
        <v>2974</v>
      </c>
      <c r="E145" s="69">
        <f>SUM('B. Sales &amp; COGS'!AL9:AO9)</f>
        <v>4350</v>
      </c>
      <c r="F145" s="69">
        <f>SUM('B. Sales &amp; COGS'!AP9:AS9)</f>
        <v>7899</v>
      </c>
      <c r="G145" s="1087">
        <f>SUM('B. Sales &amp; COGS'!AT9:AW9)</f>
        <v>7027</v>
      </c>
      <c r="H145" s="69">
        <f>SUM(H146:H147)</f>
        <v>6629.7129714186849</v>
      </c>
      <c r="I145" s="69">
        <f t="shared" ref="I145:M145" si="61">SUM(I146:I147)</f>
        <v>7332.6300834405311</v>
      </c>
      <c r="J145" s="69">
        <f t="shared" si="61"/>
        <v>7790.086705917538</v>
      </c>
      <c r="K145" s="69">
        <f t="shared" si="61"/>
        <v>8273.2491699050315</v>
      </c>
      <c r="L145" s="69">
        <f t="shared" si="61"/>
        <v>8782.705104566985</v>
      </c>
      <c r="M145" s="69">
        <f t="shared" si="61"/>
        <v>9319.0348721715236</v>
      </c>
      <c r="N145" s="69"/>
      <c r="O145" s="829">
        <f>(M145/I145)^0.25-1</f>
        <v>6.1763496420909503E-2</v>
      </c>
      <c r="P145" s="69"/>
      <c r="Q145" s="69"/>
      <c r="R145" s="69"/>
      <c r="S145" s="69"/>
      <c r="T145" s="69"/>
      <c r="U145" s="69"/>
      <c r="V145" s="69"/>
      <c r="W145" s="69"/>
      <c r="Y145" s="137"/>
      <c r="Z145" s="137"/>
      <c r="AD145" s="1246"/>
      <c r="AE145" s="1246"/>
      <c r="AF145" s="1247"/>
      <c r="AG145" s="1248"/>
      <c r="AH145" s="1248"/>
      <c r="AI145" s="1249"/>
      <c r="AJ145" s="1248"/>
      <c r="AK145" s="1250"/>
      <c r="AL145" s="561"/>
      <c r="AM145" s="1251"/>
      <c r="AN145" s="561"/>
      <c r="AO145" s="561"/>
      <c r="AP145" s="561"/>
      <c r="AQ145" s="1251"/>
      <c r="AR145" s="561"/>
      <c r="AS145" s="561"/>
      <c r="AT145" s="561"/>
      <c r="AU145" s="1251"/>
      <c r="AV145" s="561"/>
      <c r="AW145" s="561"/>
      <c r="AX145" s="561"/>
      <c r="AY145" s="1251"/>
      <c r="AZ145" s="561"/>
      <c r="BA145" s="561"/>
      <c r="BB145" s="561"/>
      <c r="BC145" s="561"/>
      <c r="BD145" s="561"/>
      <c r="BE145" s="561"/>
      <c r="BF145" s="561"/>
      <c r="BG145" s="1247"/>
      <c r="BH145" s="1248"/>
      <c r="BI145" s="1248"/>
      <c r="BJ145" s="1249"/>
      <c r="BK145" s="1248"/>
      <c r="BL145" s="1250"/>
      <c r="BM145" s="561"/>
      <c r="BN145" s="1251"/>
      <c r="BO145" s="561"/>
      <c r="BP145" s="561"/>
      <c r="BQ145" s="561"/>
      <c r="BR145" s="1251"/>
      <c r="BS145" s="561"/>
      <c r="BT145" s="561"/>
      <c r="BU145" s="561"/>
      <c r="BV145" s="1251"/>
      <c r="BW145" s="561"/>
      <c r="BX145" s="561"/>
      <c r="BY145" s="561"/>
      <c r="BZ145" s="1251"/>
      <c r="CA145" s="561"/>
      <c r="CB145" s="561"/>
    </row>
    <row r="146" spans="1:80">
      <c r="A146" s="78" t="s">
        <v>825</v>
      </c>
      <c r="C146" s="3"/>
      <c r="D146" s="3"/>
      <c r="E146" s="3"/>
      <c r="F146" s="3"/>
      <c r="G146" s="10"/>
      <c r="H146" s="3">
        <f t="shared" ref="H146:K146" si="62">H166*H151*H161</f>
        <v>6200.7045280803013</v>
      </c>
      <c r="I146" s="3">
        <f t="shared" si="62"/>
        <v>6854.8788557927728</v>
      </c>
      <c r="J146" s="3">
        <f t="shared" si="62"/>
        <v>7269.5990265682367</v>
      </c>
      <c r="K146" s="3">
        <f t="shared" si="62"/>
        <v>7710.6819475052635</v>
      </c>
      <c r="L146" s="3">
        <f>L166*L151*L161</f>
        <v>8179.4914099135831</v>
      </c>
      <c r="M146" s="3">
        <f>M166*M151*M161</f>
        <v>8677.4179494920718</v>
      </c>
      <c r="N146" s="3"/>
      <c r="O146" s="152">
        <f>(M146/I146)^(1/4)-1</f>
        <v>6.0712490498374017E-2</v>
      </c>
      <c r="P146" s="3"/>
      <c r="Q146" s="3"/>
      <c r="R146" s="3"/>
      <c r="S146" s="3"/>
      <c r="T146" s="3"/>
      <c r="U146" s="3"/>
      <c r="V146" s="3"/>
      <c r="W146" s="3"/>
      <c r="Y146" s="137"/>
      <c r="Z146" s="137"/>
      <c r="AC146" s="2"/>
      <c r="AD146" s="1246"/>
      <c r="AE146" s="1246"/>
      <c r="AF146" s="1252" t="s">
        <v>826</v>
      </c>
      <c r="AG146" s="1248"/>
      <c r="AH146" s="1248"/>
      <c r="AI146" s="1249"/>
      <c r="AJ146" s="1248"/>
      <c r="AK146" s="1250"/>
      <c r="AL146" s="561"/>
      <c r="AM146" s="1251"/>
      <c r="AN146" s="561"/>
      <c r="AO146" s="561"/>
      <c r="AP146" s="561"/>
      <c r="AQ146" s="1251"/>
      <c r="AR146" s="561"/>
      <c r="AS146" s="561"/>
      <c r="AT146" s="561"/>
      <c r="AU146" s="1251"/>
      <c r="AV146" s="561"/>
      <c r="AW146" s="561"/>
      <c r="AX146" s="561"/>
      <c r="AY146" s="1251"/>
      <c r="AZ146" s="561"/>
      <c r="BA146" s="561"/>
      <c r="BB146" s="561"/>
      <c r="BC146" s="561"/>
      <c r="BD146" s="561"/>
      <c r="BE146" s="561"/>
      <c r="BF146" s="561"/>
      <c r="BG146" s="1247"/>
      <c r="BH146" s="1248"/>
      <c r="BI146" s="1248"/>
      <c r="BJ146" s="1249"/>
      <c r="BK146" s="1248"/>
      <c r="BL146" s="1250"/>
      <c r="BM146" s="561"/>
      <c r="BN146" s="1251"/>
      <c r="BO146" s="561"/>
      <c r="BP146" s="561"/>
      <c r="BQ146" s="561"/>
      <c r="BR146" s="1251"/>
      <c r="BS146" s="561"/>
      <c r="BT146" s="561"/>
      <c r="BU146" s="561"/>
      <c r="BV146" s="1251"/>
      <c r="BW146" s="561"/>
      <c r="BX146" s="561"/>
      <c r="BY146" s="561"/>
      <c r="BZ146" s="1251"/>
      <c r="CA146" s="561"/>
      <c r="CB146" s="561"/>
    </row>
    <row r="147" spans="1:80" ht="15" customHeight="1">
      <c r="A147" s="78" t="s">
        <v>827</v>
      </c>
      <c r="C147" s="3"/>
      <c r="D147" s="3"/>
      <c r="E147" s="3"/>
      <c r="F147" s="3"/>
      <c r="G147" s="10"/>
      <c r="H147" s="3">
        <f t="shared" ref="H147:M147" si="63">H167*H153*H163</f>
        <v>429.00844333838347</v>
      </c>
      <c r="I147" s="3">
        <f t="shared" si="63"/>
        <v>477.75122764775853</v>
      </c>
      <c r="J147" s="3">
        <f t="shared" si="63"/>
        <v>520.48767934930163</v>
      </c>
      <c r="K147" s="3">
        <f t="shared" si="63"/>
        <v>562.5672223997675</v>
      </c>
      <c r="L147" s="3">
        <f t="shared" si="63"/>
        <v>603.21369465340149</v>
      </c>
      <c r="M147" s="3">
        <f t="shared" si="63"/>
        <v>641.61692267945182</v>
      </c>
      <c r="N147" s="3"/>
      <c r="O147" s="152">
        <f>(M147/I147)^(1/4)-1</f>
        <v>7.6511068603215993E-2</v>
      </c>
      <c r="P147" s="3"/>
      <c r="Q147" s="3"/>
      <c r="R147" s="3"/>
      <c r="S147" s="3"/>
      <c r="T147" s="3"/>
      <c r="U147" s="3"/>
      <c r="V147" s="3"/>
      <c r="W147" s="3"/>
      <c r="X147" s="1607" t="s">
        <v>828</v>
      </c>
      <c r="Y147" s="137"/>
      <c r="Z147" s="1608" t="s">
        <v>829</v>
      </c>
      <c r="AD147" s="1246"/>
      <c r="AE147" s="1246"/>
      <c r="AF147" s="2" t="s">
        <v>830</v>
      </c>
      <c r="AG147" s="1248"/>
      <c r="AH147" s="1248"/>
      <c r="AI147" s="1249"/>
      <c r="AJ147" s="1248"/>
      <c r="AK147" s="1250"/>
      <c r="AL147" s="561"/>
      <c r="AM147" s="1251"/>
      <c r="AN147" s="561"/>
      <c r="AO147" s="561"/>
      <c r="AP147" s="561"/>
      <c r="AQ147" s="1251"/>
      <c r="AR147" s="561"/>
      <c r="AS147" s="561"/>
      <c r="AT147" s="561"/>
      <c r="AU147" s="1251"/>
      <c r="AV147" s="561"/>
      <c r="AW147" s="561"/>
      <c r="AX147" s="561"/>
      <c r="AY147" s="1251"/>
      <c r="AZ147" s="561"/>
      <c r="BA147" s="561"/>
      <c r="BB147" s="561"/>
      <c r="BC147" s="561"/>
      <c r="BD147" s="561"/>
      <c r="BE147" s="561"/>
      <c r="BF147" s="561"/>
      <c r="BG147" s="1247"/>
      <c r="BH147" s="1248"/>
      <c r="BI147" s="1248"/>
      <c r="BJ147" s="1249"/>
      <c r="BK147" s="1248"/>
      <c r="BL147" s="1250"/>
      <c r="BM147" s="561"/>
      <c r="BN147" s="1251"/>
      <c r="BO147" s="561"/>
      <c r="BP147" s="561"/>
      <c r="BQ147" s="561"/>
      <c r="BR147" s="1251"/>
      <c r="BS147" s="561"/>
      <c r="BT147" s="561"/>
      <c r="BU147" s="561"/>
      <c r="BV147" s="1251"/>
      <c r="BW147" s="561"/>
      <c r="BX147" s="561"/>
      <c r="BY147" s="561"/>
      <c r="BZ147" s="1251"/>
      <c r="CA147" s="561"/>
      <c r="CB147" s="561"/>
    </row>
    <row r="148" spans="1:80">
      <c r="A148" s="78" t="s">
        <v>132</v>
      </c>
      <c r="C148" s="1253"/>
      <c r="D148" s="18">
        <f t="shared" ref="D148:M148" si="64">D145/C145-1</f>
        <v>0.23813488759367196</v>
      </c>
      <c r="E148" s="18">
        <f t="shared" si="64"/>
        <v>0.46267652992602559</v>
      </c>
      <c r="F148" s="18">
        <f t="shared" si="64"/>
        <v>0.81586206896551716</v>
      </c>
      <c r="G148" s="141">
        <f t="shared" si="64"/>
        <v>-0.11039372072414233</v>
      </c>
      <c r="H148" s="17">
        <f t="shared" si="64"/>
        <v>-5.6537217672024354E-2</v>
      </c>
      <c r="I148" s="17">
        <f t="shared" si="64"/>
        <v>0.10602527063421707</v>
      </c>
      <c r="J148" s="17">
        <f t="shared" si="64"/>
        <v>6.2386431235648132E-2</v>
      </c>
      <c r="K148" s="17">
        <f t="shared" si="64"/>
        <v>6.2022732509571687E-2</v>
      </c>
      <c r="L148" s="17">
        <f t="shared" si="64"/>
        <v>6.1578700725606339E-2</v>
      </c>
      <c r="M148" s="17">
        <f t="shared" si="64"/>
        <v>6.1066580423569938E-2</v>
      </c>
      <c r="N148" s="17"/>
      <c r="O148" s="152"/>
      <c r="P148" s="18"/>
      <c r="Q148" s="18"/>
      <c r="R148" s="18"/>
      <c r="S148" s="18"/>
      <c r="T148" s="18"/>
      <c r="U148" s="18"/>
      <c r="V148" s="18"/>
      <c r="W148" s="1254"/>
      <c r="X148" s="1607"/>
      <c r="Z148" s="1608"/>
      <c r="AD148" s="1255"/>
      <c r="AE148" s="1255"/>
      <c r="AF148" s="561" t="s">
        <v>831</v>
      </c>
      <c r="AG148" s="1256"/>
      <c r="AH148" s="1256"/>
      <c r="AI148" s="1257"/>
      <c r="AJ148" s="1256"/>
      <c r="AK148" s="1258"/>
      <c r="AL148" s="561"/>
      <c r="AM148" s="1251"/>
      <c r="AN148" s="561"/>
      <c r="AO148" s="561"/>
      <c r="AP148" s="561"/>
      <c r="AQ148" s="1251"/>
      <c r="AR148" s="561"/>
      <c r="AS148" s="561"/>
      <c r="AT148" s="561"/>
      <c r="AU148" s="1251"/>
      <c r="AV148" s="561"/>
      <c r="AW148" s="561"/>
      <c r="AX148" s="561"/>
      <c r="AY148" s="1251"/>
      <c r="AZ148" s="561"/>
      <c r="BA148" s="561"/>
      <c r="BB148" s="561"/>
      <c r="BC148" s="561"/>
      <c r="BD148" s="561"/>
      <c r="BE148" s="561"/>
      <c r="BF148" s="561"/>
      <c r="BG148" s="561"/>
      <c r="BH148" s="1256"/>
      <c r="BI148" s="1256"/>
      <c r="BJ148" s="1257"/>
      <c r="BK148" s="1256"/>
      <c r="BL148" s="1258"/>
      <c r="BM148" s="561"/>
      <c r="BN148" s="1251"/>
      <c r="BO148" s="561"/>
      <c r="BP148" s="561"/>
      <c r="BQ148" s="561"/>
      <c r="BR148" s="1251"/>
      <c r="BS148" s="561"/>
      <c r="BT148" s="561"/>
      <c r="BU148" s="561"/>
      <c r="BV148" s="1251"/>
      <c r="BW148" s="561"/>
      <c r="BX148" s="561"/>
      <c r="BY148" s="561"/>
      <c r="BZ148" s="1251"/>
      <c r="CA148" s="561"/>
      <c r="CB148" s="561"/>
    </row>
    <row r="149" spans="1:80">
      <c r="G149" s="1259"/>
      <c r="O149" s="152"/>
      <c r="X149" s="1607"/>
      <c r="Z149" s="1608"/>
      <c r="AF149" s="6" t="s">
        <v>832</v>
      </c>
      <c r="AI149" s="1259"/>
      <c r="AM149" s="1259"/>
      <c r="AQ149" s="1259"/>
      <c r="AU149" s="1259"/>
      <c r="AY149" s="1259"/>
      <c r="BJ149" s="1259"/>
      <c r="BN149" s="1259"/>
      <c r="BR149" s="1259"/>
      <c r="BV149" s="1259"/>
      <c r="BZ149" s="1259"/>
    </row>
    <row r="150" spans="1:80">
      <c r="A150" s="83" t="s">
        <v>833</v>
      </c>
      <c r="B150" s="83"/>
      <c r="G150" s="1259"/>
      <c r="O150" s="152"/>
      <c r="X150" s="1607"/>
      <c r="Z150" s="1608"/>
      <c r="AI150" s="1259"/>
      <c r="AM150" s="1259"/>
      <c r="AQ150" s="1259"/>
      <c r="AU150" s="1259"/>
      <c r="AY150" s="1259"/>
      <c r="BJ150" s="1259"/>
      <c r="BN150" s="1259"/>
      <c r="BR150" s="1259"/>
      <c r="BV150" s="1259"/>
      <c r="BZ150" s="1259"/>
    </row>
    <row r="151" spans="1:80">
      <c r="A151" s="79" t="s">
        <v>834</v>
      </c>
      <c r="B151" s="79"/>
      <c r="C151" s="8"/>
      <c r="D151" s="8"/>
      <c r="E151" s="1076">
        <f>E213</f>
        <v>940.3</v>
      </c>
      <c r="F151" s="1076">
        <f>F213</f>
        <v>1116.9000000000001</v>
      </c>
      <c r="G151" s="1078">
        <f>G213</f>
        <v>1143.72</v>
      </c>
      <c r="H151" s="7">
        <f>G151*(1+H152)</f>
        <v>1029.348</v>
      </c>
      <c r="I151" s="7">
        <f t="shared" ref="I151:M151" si="65">H151*(1+I152)</f>
        <v>1132.2828</v>
      </c>
      <c r="J151" s="7">
        <f t="shared" si="65"/>
        <v>1188.8969400000001</v>
      </c>
      <c r="K151" s="7">
        <f t="shared" si="65"/>
        <v>1242.3973023000001</v>
      </c>
      <c r="L151" s="7">
        <f t="shared" si="65"/>
        <v>1292.0931943920002</v>
      </c>
      <c r="M151" s="7">
        <f t="shared" si="65"/>
        <v>1337.3164561957201</v>
      </c>
      <c r="O151" s="152">
        <f>(M151/I151)^(1/4)-1</f>
        <v>4.2485011744750167E-2</v>
      </c>
      <c r="P151" s="2"/>
      <c r="Q151" s="2"/>
      <c r="R151" s="2"/>
      <c r="S151" s="2"/>
      <c r="T151" s="2"/>
      <c r="U151" s="2"/>
      <c r="X151" s="1607"/>
      <c r="Z151" s="1608"/>
      <c r="AI151" s="1259"/>
      <c r="AM151" s="1259"/>
      <c r="AQ151" s="1259"/>
      <c r="AU151" s="1259"/>
      <c r="AY151" s="1259"/>
      <c r="BJ151" s="1259"/>
      <c r="BN151" s="1259"/>
      <c r="BR151" s="1259"/>
      <c r="BV151" s="1259"/>
      <c r="BZ151" s="1259"/>
    </row>
    <row r="152" spans="1:80">
      <c r="A152" s="78" t="s">
        <v>694</v>
      </c>
      <c r="C152" s="1232"/>
      <c r="D152" s="17"/>
      <c r="E152" s="17"/>
      <c r="F152" s="17">
        <f>F151/E151-1</f>
        <v>0.18781240029777746</v>
      </c>
      <c r="G152" s="153">
        <f>G151/F151-1</f>
        <v>2.4012892828364274E-2</v>
      </c>
      <c r="H152" s="591">
        <v>-0.1</v>
      </c>
      <c r="I152" s="591">
        <v>0.1</v>
      </c>
      <c r="J152" s="17">
        <v>0.05</v>
      </c>
      <c r="K152" s="17">
        <f>J152-($J152-$M152)/3</f>
        <v>4.5000000000000005E-2</v>
      </c>
      <c r="L152" s="17">
        <f>K152-($J152-$M152)/3</f>
        <v>4.0000000000000008E-2</v>
      </c>
      <c r="M152" s="591">
        <v>3.5000000000000003E-2</v>
      </c>
      <c r="O152" s="152"/>
      <c r="P152" s="2"/>
      <c r="Q152" s="2"/>
      <c r="R152" s="2"/>
      <c r="S152" s="2"/>
      <c r="T152" s="2"/>
      <c r="U152" s="2"/>
      <c r="X152" s="1607"/>
      <c r="Z152" s="1608"/>
    </row>
    <row r="153" spans="1:80" s="2" customFormat="1" ht="18" customHeight="1">
      <c r="A153" s="79" t="s">
        <v>835</v>
      </c>
      <c r="B153" s="1"/>
      <c r="C153" s="1"/>
      <c r="D153" s="1"/>
      <c r="E153" s="1076">
        <f>E215</f>
        <v>508.2</v>
      </c>
      <c r="F153" s="1076">
        <f t="shared" ref="F153:G153" si="66">F215</f>
        <v>539.29999999999995</v>
      </c>
      <c r="G153" s="1078">
        <f t="shared" si="66"/>
        <v>546.29999999999995</v>
      </c>
      <c r="H153" s="1076">
        <f>G153*(1+H154)</f>
        <v>464.35499999999996</v>
      </c>
      <c r="I153" s="1076">
        <f t="shared" ref="I153:M153" si="67">H153*(1+I154)</f>
        <v>499.18162499999994</v>
      </c>
      <c r="J153" s="1076">
        <f t="shared" si="67"/>
        <v>524.14070624999999</v>
      </c>
      <c r="K153" s="1076">
        <f t="shared" si="67"/>
        <v>545.1063345</v>
      </c>
      <c r="L153" s="1076">
        <f t="shared" si="67"/>
        <v>561.45952453500001</v>
      </c>
      <c r="M153" s="1076">
        <f t="shared" si="67"/>
        <v>572.68871502570005</v>
      </c>
      <c r="N153" s="1"/>
      <c r="O153" s="152">
        <f>(M153/I153)^(1/4)-1</f>
        <v>3.493960950960906E-2</v>
      </c>
      <c r="P153" s="377"/>
      <c r="Q153" s="377"/>
      <c r="R153" s="377"/>
      <c r="S153" s="377"/>
      <c r="T153" s="377"/>
      <c r="U153" s="377"/>
      <c r="X153" s="1607"/>
      <c r="Z153" s="1608"/>
    </row>
    <row r="154" spans="1:80" s="6" customFormat="1" ht="18" customHeight="1">
      <c r="A154" s="78" t="s">
        <v>694</v>
      </c>
      <c r="B154" s="78"/>
      <c r="C154" s="1232"/>
      <c r="D154" s="17"/>
      <c r="E154" s="17"/>
      <c r="F154" s="17">
        <f>F153/E153-1</f>
        <v>6.1196379378197552E-2</v>
      </c>
      <c r="G154" s="153">
        <f>G153/F153-1</f>
        <v>1.2979788614871035E-2</v>
      </c>
      <c r="H154" s="591">
        <v>-0.15</v>
      </c>
      <c r="I154" s="591">
        <v>7.4999999999999997E-2</v>
      </c>
      <c r="J154" s="17">
        <v>0.05</v>
      </c>
      <c r="K154" s="17">
        <f>J154-($J154-$M154)/3</f>
        <v>0.04</v>
      </c>
      <c r="L154" s="17">
        <f>K154-($J154-$M154)/3</f>
        <v>0.03</v>
      </c>
      <c r="M154" s="591">
        <v>0.02</v>
      </c>
      <c r="N154" s="1"/>
      <c r="O154" s="152"/>
      <c r="P154" s="12"/>
      <c r="Q154" s="12"/>
      <c r="R154" s="12"/>
      <c r="S154" s="12"/>
      <c r="T154" s="12"/>
      <c r="U154" s="12"/>
      <c r="V154" s="12"/>
      <c r="W154" s="12"/>
      <c r="X154" s="1607"/>
      <c r="Z154" s="1608"/>
      <c r="AC154" s="140"/>
      <c r="AD154" s="1246"/>
      <c r="AE154" s="1246"/>
      <c r="AF154" s="1260"/>
      <c r="AG154" s="1248"/>
      <c r="AH154" s="1248"/>
      <c r="AI154" s="1249"/>
      <c r="AJ154" s="1248"/>
      <c r="AK154" s="1250"/>
      <c r="AL154" s="1261"/>
      <c r="AM154" s="1262"/>
      <c r="AN154" s="1261"/>
      <c r="AO154" s="1261"/>
      <c r="AP154" s="1261"/>
      <c r="AQ154" s="1262"/>
      <c r="AR154" s="1261"/>
      <c r="AS154" s="1261"/>
      <c r="AT154" s="1261"/>
      <c r="AU154" s="1262"/>
      <c r="AV154" s="1261"/>
      <c r="AW154" s="1261"/>
      <c r="AX154" s="1261"/>
      <c r="AY154" s="1262"/>
      <c r="AZ154" s="1261"/>
      <c r="BA154" s="1261"/>
      <c r="BB154" s="1261"/>
      <c r="BC154" s="1261"/>
      <c r="BD154" s="1261"/>
      <c r="BE154" s="1261"/>
      <c r="BF154" s="1261"/>
      <c r="BG154" s="1260"/>
      <c r="BH154" s="1248"/>
      <c r="BI154" s="1248"/>
      <c r="BJ154" s="1249"/>
      <c r="BK154" s="1248"/>
      <c r="BL154" s="1250"/>
      <c r="BM154" s="1261"/>
      <c r="BN154" s="1262"/>
      <c r="BO154" s="1261"/>
      <c r="BP154" s="1261"/>
      <c r="BQ154" s="1261"/>
      <c r="BR154" s="1262"/>
      <c r="BS154" s="1261"/>
      <c r="BT154" s="1261"/>
      <c r="BU154" s="1261"/>
      <c r="BV154" s="1262"/>
      <c r="BW154" s="1261"/>
      <c r="BX154" s="1261"/>
      <c r="BY154" s="1261"/>
      <c r="BZ154" s="1262"/>
      <c r="CA154" s="1261"/>
      <c r="CB154" s="1261"/>
    </row>
    <row r="155" spans="1:80" ht="18" customHeight="1">
      <c r="G155" s="1259"/>
      <c r="I155" s="5"/>
      <c r="O155" s="152"/>
      <c r="X155" s="1607"/>
      <c r="Z155" s="1608"/>
      <c r="AI155" s="1259"/>
      <c r="AM155" s="1259"/>
      <c r="AQ155" s="1259"/>
      <c r="AU155" s="1259"/>
      <c r="AY155" s="1259"/>
      <c r="BJ155" s="1259"/>
      <c r="BN155" s="1259"/>
      <c r="BR155" s="1259"/>
      <c r="BV155" s="1259"/>
      <c r="BZ155" s="1259"/>
    </row>
    <row r="156" spans="1:80" ht="18" customHeight="1">
      <c r="A156" s="79" t="s">
        <v>836</v>
      </c>
      <c r="B156" s="79"/>
      <c r="C156" s="581"/>
      <c r="D156" s="7"/>
      <c r="E156" s="7">
        <f>E151*E161</f>
        <v>13629.813969289306</v>
      </c>
      <c r="F156" s="7">
        <f t="shared" ref="F156:G156" si="68">F151*F161</f>
        <v>16637.011829134721</v>
      </c>
      <c r="G156" s="11">
        <f t="shared" si="68"/>
        <v>17398.160853199501</v>
      </c>
      <c r="H156" s="8">
        <f>H151*H161</f>
        <v>15501.761320200752</v>
      </c>
      <c r="I156" s="8">
        <f t="shared" ref="I156:M156" si="69">I151*I161</f>
        <v>17137.19713948193</v>
      </c>
      <c r="J156" s="8">
        <f t="shared" si="69"/>
        <v>18173.997566420592</v>
      </c>
      <c r="K156" s="8">
        <f t="shared" si="69"/>
        <v>19276.704868763158</v>
      </c>
      <c r="L156" s="8">
        <f t="shared" si="69"/>
        <v>20448.728524783961</v>
      </c>
      <c r="M156" s="8">
        <f t="shared" si="69"/>
        <v>21693.544873730178</v>
      </c>
      <c r="O156" s="152">
        <f>(M156/I156)^(1/4)-1</f>
        <v>6.0712490498374017E-2</v>
      </c>
      <c r="X156" s="1607"/>
      <c r="Z156" s="1608"/>
      <c r="AI156" s="1259"/>
      <c r="AM156" s="1259"/>
      <c r="AQ156" s="1259"/>
      <c r="AU156" s="1259"/>
      <c r="AY156" s="1259"/>
      <c r="BJ156" s="1259"/>
      <c r="BN156" s="1259"/>
      <c r="BR156" s="1259"/>
      <c r="BV156" s="1259"/>
      <c r="BZ156" s="1259"/>
    </row>
    <row r="157" spans="1:80" ht="18" customHeight="1">
      <c r="A157" s="78" t="s">
        <v>694</v>
      </c>
      <c r="C157" s="1232"/>
      <c r="D157" s="17"/>
      <c r="E157" s="17"/>
      <c r="F157" s="17">
        <f t="shared" ref="F157:M157" si="70">F156/E156-1</f>
        <v>0.22063381544467386</v>
      </c>
      <c r="G157" s="153">
        <f t="shared" si="70"/>
        <v>4.5750344586030556E-2</v>
      </c>
      <c r="H157" s="17">
        <f t="shared" si="70"/>
        <v>-0.10900000000000021</v>
      </c>
      <c r="I157" s="17">
        <f t="shared" si="70"/>
        <v>0.10549999999999993</v>
      </c>
      <c r="J157" s="17">
        <f t="shared" si="70"/>
        <v>6.050000000000022E-2</v>
      </c>
      <c r="K157" s="17">
        <f t="shared" si="70"/>
        <v>6.0674999999999812E-2</v>
      </c>
      <c r="L157" s="71">
        <f t="shared" si="70"/>
        <v>6.0800000000000187E-2</v>
      </c>
      <c r="M157" s="17">
        <f t="shared" si="70"/>
        <v>6.0874999999999568E-2</v>
      </c>
      <c r="O157" s="152"/>
      <c r="X157" s="1607"/>
      <c r="Z157" s="1608"/>
      <c r="AI157" s="1259"/>
      <c r="AM157" s="1259"/>
      <c r="AQ157" s="1259"/>
      <c r="AU157" s="1259"/>
      <c r="AY157" s="1259"/>
      <c r="BJ157" s="1259"/>
      <c r="BN157" s="1259"/>
      <c r="BR157" s="1259"/>
      <c r="BV157" s="1259"/>
      <c r="BZ157" s="1259"/>
    </row>
    <row r="158" spans="1:80" s="2" customFormat="1">
      <c r="A158" s="79" t="s">
        <v>837</v>
      </c>
      <c r="B158" s="79"/>
      <c r="C158" s="581"/>
      <c r="D158" s="7"/>
      <c r="E158" s="7">
        <f>E153*E163</f>
        <v>3431.1126813406704</v>
      </c>
      <c r="F158" s="7">
        <f t="shared" ref="F158:G158" si="71">F153*F163</f>
        <v>3793.3406475686079</v>
      </c>
      <c r="G158" s="11">
        <f t="shared" si="71"/>
        <v>3921.6458095743269</v>
      </c>
      <c r="H158" s="8">
        <f>H153*H163</f>
        <v>3300.0649487567957</v>
      </c>
      <c r="I158" s="8">
        <f t="shared" ref="I158:M158" si="72">I153*I163</f>
        <v>3565.3076690131229</v>
      </c>
      <c r="J158" s="8">
        <f t="shared" si="72"/>
        <v>3771.6498503572579</v>
      </c>
      <c r="K158" s="8">
        <f t="shared" si="72"/>
        <v>3961.7410028152635</v>
      </c>
      <c r="L158" s="8">
        <f t="shared" si="72"/>
        <v>4131.6006483109677</v>
      </c>
      <c r="M158" s="8">
        <f t="shared" si="72"/>
        <v>4277.4461511963455</v>
      </c>
      <c r="N158" s="1"/>
      <c r="O158" s="152">
        <f t="shared" ref="O158" si="73">(M158/I158)^(1/4)-1</f>
        <v>4.6578682341112065E-2</v>
      </c>
      <c r="P158" s="377"/>
      <c r="Q158" s="377"/>
      <c r="R158" s="377"/>
      <c r="S158" s="377"/>
      <c r="T158" s="377"/>
      <c r="U158" s="377"/>
      <c r="X158" s="1607"/>
      <c r="Z158" s="1608"/>
      <c r="AI158" s="582"/>
      <c r="AM158" s="582"/>
      <c r="AQ158" s="582"/>
      <c r="AU158" s="582"/>
      <c r="AY158" s="582"/>
      <c r="BJ158" s="582"/>
      <c r="BN158" s="582"/>
      <c r="BR158" s="582"/>
      <c r="BV158" s="582"/>
      <c r="BZ158" s="582"/>
    </row>
    <row r="159" spans="1:80">
      <c r="A159" s="78" t="s">
        <v>694</v>
      </c>
      <c r="C159" s="1232"/>
      <c r="D159" s="17"/>
      <c r="E159" s="17"/>
      <c r="F159" s="17">
        <f t="shared" ref="F159" si="74">F158/E158-1</f>
        <v>0.10557157396719496</v>
      </c>
      <c r="G159" s="153">
        <f t="shared" ref="G159" si="75">G158/F158-1</f>
        <v>3.3823791197860942E-2</v>
      </c>
      <c r="H159" s="17">
        <f t="shared" ref="H159" si="76">H158/G158-1</f>
        <v>-0.15850000000000009</v>
      </c>
      <c r="I159" s="17">
        <f t="shared" ref="I159" si="77">I158/H158-1</f>
        <v>8.0374999999999863E-2</v>
      </c>
      <c r="J159" s="17">
        <f t="shared" ref="J159" si="78">J158/I158-1</f>
        <v>5.7875000000000121E-2</v>
      </c>
      <c r="K159" s="17">
        <f t="shared" ref="K159" si="79">K158/J158-1</f>
        <v>5.04E-2</v>
      </c>
      <c r="L159" s="71">
        <f t="shared" ref="L159" si="80">L158/K158-1</f>
        <v>4.2874999999999996E-2</v>
      </c>
      <c r="M159" s="17">
        <f t="shared" ref="M159" si="81">M158/L158-1</f>
        <v>3.5300000000000109E-2</v>
      </c>
      <c r="O159" s="152"/>
      <c r="X159" s="1607"/>
      <c r="Z159" s="1608"/>
      <c r="AI159" s="1259"/>
      <c r="AM159" s="1259"/>
      <c r="AQ159" s="1259"/>
      <c r="AU159" s="1259"/>
      <c r="AY159" s="1259"/>
      <c r="BJ159" s="1259"/>
      <c r="BN159" s="1259"/>
      <c r="BR159" s="1259"/>
      <c r="BV159" s="1259"/>
      <c r="BZ159" s="1259"/>
    </row>
    <row r="160" spans="1:80">
      <c r="D160" s="18"/>
      <c r="E160" s="18"/>
      <c r="F160" s="16"/>
      <c r="G160" s="1263"/>
      <c r="H160" s="5"/>
      <c r="I160" s="18"/>
      <c r="J160" s="1232"/>
      <c r="K160" s="1232"/>
      <c r="L160" s="1232"/>
      <c r="M160" s="1232"/>
      <c r="O160" s="152"/>
      <c r="X160" s="1607"/>
      <c r="Z160" s="1608"/>
      <c r="AI160" s="1259"/>
      <c r="AM160" s="1259"/>
      <c r="AQ160" s="1259"/>
      <c r="AU160" s="1259"/>
      <c r="AY160" s="1259"/>
      <c r="BJ160" s="1259"/>
      <c r="BN160" s="1259"/>
      <c r="BR160" s="1259"/>
      <c r="BV160" s="1259"/>
      <c r="BZ160" s="1259"/>
    </row>
    <row r="161" spans="1:80">
      <c r="A161" s="79" t="s">
        <v>838</v>
      </c>
      <c r="B161" s="79"/>
      <c r="C161" s="373">
        <f t="shared" ref="C161:D161" si="82">C242</f>
        <v>14.460275258054425</v>
      </c>
      <c r="D161" s="373">
        <f t="shared" si="82"/>
        <v>14.415762944860241</v>
      </c>
      <c r="E161" s="373">
        <f>E242</f>
        <v>14.495175974996604</v>
      </c>
      <c r="F161" s="373">
        <f t="shared" ref="F161:G161" si="83">F242</f>
        <v>14.895704028234148</v>
      </c>
      <c r="G161" s="1088">
        <f t="shared" si="83"/>
        <v>15.211905757702496</v>
      </c>
      <c r="H161" s="74">
        <f t="shared" ref="H161:M161" si="84">G161*(1+H162)</f>
        <v>15.059786700125471</v>
      </c>
      <c r="I161" s="74">
        <f t="shared" si="84"/>
        <v>15.135085633626097</v>
      </c>
      <c r="J161" s="74">
        <f t="shared" si="84"/>
        <v>15.286436489962359</v>
      </c>
      <c r="K161" s="74">
        <f t="shared" si="84"/>
        <v>15.515733037311792</v>
      </c>
      <c r="L161" s="47">
        <f t="shared" si="84"/>
        <v>15.826047698058028</v>
      </c>
      <c r="M161" s="74">
        <f t="shared" si="84"/>
        <v>16.221698890509476</v>
      </c>
      <c r="O161" s="152">
        <f t="shared" ref="O161:O163" si="85">(M161/I161)^(1/4)-1</f>
        <v>1.7484643470429884E-2</v>
      </c>
      <c r="X161" s="1607"/>
      <c r="Z161" s="1608"/>
    </row>
    <row r="162" spans="1:80">
      <c r="A162" s="78" t="s">
        <v>694</v>
      </c>
      <c r="C162" s="1232"/>
      <c r="D162" s="17">
        <f t="shared" ref="D162:E162" si="86">D161/C161-1</f>
        <v>-3.0782479862816459E-3</v>
      </c>
      <c r="E162" s="17">
        <f t="shared" si="86"/>
        <v>5.5087635971897697E-3</v>
      </c>
      <c r="F162" s="17">
        <f>F161/E161-1</f>
        <v>2.7631817228602973E-2</v>
      </c>
      <c r="G162" s="153">
        <f>G161/F161-1</f>
        <v>2.1227712961334522E-2</v>
      </c>
      <c r="H162" s="591">
        <v>-0.01</v>
      </c>
      <c r="I162" s="591">
        <v>5.0000000000000001E-3</v>
      </c>
      <c r="J162" s="17">
        <f>I162+($M162-$I162)/4</f>
        <v>0.01</v>
      </c>
      <c r="K162" s="17">
        <f t="shared" ref="K162:L162" si="87">J162+($M162-$I162)/4</f>
        <v>1.4999999999999999E-2</v>
      </c>
      <c r="L162" s="17">
        <f t="shared" si="87"/>
        <v>0.02</v>
      </c>
      <c r="M162" s="591">
        <v>2.5000000000000001E-2</v>
      </c>
      <c r="O162" s="152"/>
      <c r="X162" s="1607"/>
      <c r="Z162" s="1608"/>
    </row>
    <row r="163" spans="1:80" s="2" customFormat="1">
      <c r="A163" s="79" t="s">
        <v>839</v>
      </c>
      <c r="B163" s="79"/>
      <c r="C163" s="373">
        <f t="shared" ref="C163:D163" si="88">C244</f>
        <v>5.6083250988142295</v>
      </c>
      <c r="D163" s="373">
        <f t="shared" si="88"/>
        <v>6.5349109348589263</v>
      </c>
      <c r="E163" s="373">
        <f>E244</f>
        <v>6.7515007503751878</v>
      </c>
      <c r="F163" s="373">
        <f t="shared" ref="F163:G163" si="89">F244</f>
        <v>7.0338228213769858</v>
      </c>
      <c r="G163" s="1088">
        <f t="shared" si="89"/>
        <v>7.1785572205277814</v>
      </c>
      <c r="H163" s="74">
        <f t="shared" ref="H163" si="90">G163*(1+H164)</f>
        <v>7.1067716483225034</v>
      </c>
      <c r="I163" s="74">
        <f t="shared" ref="I163" si="91">H163*(1+I164)</f>
        <v>7.1423055065641154</v>
      </c>
      <c r="J163" s="74">
        <f t="shared" ref="J163" si="92">I163*(1+J164)</f>
        <v>7.1958727978633465</v>
      </c>
      <c r="K163" s="74">
        <f t="shared" ref="K163" si="93">J163*(1+K164)</f>
        <v>7.2678315258419799</v>
      </c>
      <c r="L163" s="47">
        <f t="shared" ref="L163" si="94">K163*(1+L164)</f>
        <v>7.3586794199150045</v>
      </c>
      <c r="M163" s="74">
        <f t="shared" ref="M163" si="95">L163*(1+M164)</f>
        <v>7.4690596112137291</v>
      </c>
      <c r="N163" s="1"/>
      <c r="O163" s="152">
        <f t="shared" si="85"/>
        <v>1.1246137189606653E-2</v>
      </c>
      <c r="P163" s="377"/>
      <c r="Q163" s="377"/>
      <c r="R163" s="377"/>
      <c r="S163" s="377"/>
      <c r="T163" s="377"/>
      <c r="U163" s="377"/>
      <c r="X163" s="1607"/>
      <c r="Z163" s="1608"/>
    </row>
    <row r="164" spans="1:80" s="6" customFormat="1">
      <c r="A164" s="78" t="s">
        <v>694</v>
      </c>
      <c r="B164" s="78"/>
      <c r="C164" s="1232"/>
      <c r="D164" s="17">
        <f t="shared" ref="D164:E164" si="96">D163/C163-1</f>
        <v>0.1652161420243996</v>
      </c>
      <c r="E164" s="17">
        <f t="shared" si="96"/>
        <v>3.314349922673232E-2</v>
      </c>
      <c r="F164" s="17">
        <f>F163/E163-1</f>
        <v>4.1816194863950606E-2</v>
      </c>
      <c r="G164" s="153">
        <f>G163/F163-1</f>
        <v>2.0576918530123223E-2</v>
      </c>
      <c r="H164" s="591">
        <v>-0.01</v>
      </c>
      <c r="I164" s="591">
        <v>5.0000000000000001E-3</v>
      </c>
      <c r="J164" s="17">
        <f>I164+($M164-$I164)/4</f>
        <v>7.4999999999999997E-3</v>
      </c>
      <c r="K164" s="17">
        <f t="shared" ref="K164:L164" si="97">J164+($M164-$I164)/4</f>
        <v>9.9999999999999985E-3</v>
      </c>
      <c r="L164" s="17">
        <f t="shared" si="97"/>
        <v>1.2499999999999997E-2</v>
      </c>
      <c r="M164" s="591">
        <v>1.4999999999999999E-2</v>
      </c>
      <c r="N164" s="1"/>
      <c r="O164" s="152"/>
      <c r="P164" s="12"/>
      <c r="Q164" s="12"/>
      <c r="R164" s="12"/>
      <c r="S164" s="12"/>
      <c r="T164" s="12"/>
      <c r="U164" s="12"/>
      <c r="V164" s="12"/>
      <c r="W164" s="12"/>
      <c r="X164" s="1607"/>
      <c r="Z164" s="1608"/>
      <c r="AC164" s="140"/>
      <c r="AD164" s="1246"/>
      <c r="AE164" s="1246"/>
      <c r="AF164" s="1260"/>
      <c r="AG164" s="1248"/>
      <c r="AH164" s="1248"/>
      <c r="AI164" s="1249"/>
      <c r="AJ164" s="1248"/>
      <c r="AK164" s="1250"/>
      <c r="AL164" s="1261"/>
      <c r="AM164" s="1262"/>
      <c r="AN164" s="1261"/>
      <c r="AO164" s="1261"/>
      <c r="AP164" s="1261"/>
      <c r="AQ164" s="1262"/>
      <c r="AR164" s="1261"/>
      <c r="AS164" s="1261"/>
      <c r="AT164" s="1261"/>
      <c r="AU164" s="1262"/>
      <c r="AV164" s="1261"/>
      <c r="AW164" s="1261"/>
      <c r="AX164" s="1261"/>
      <c r="AY164" s="1262"/>
      <c r="AZ164" s="1261"/>
      <c r="BA164" s="1261"/>
      <c r="BB164" s="1261"/>
      <c r="BC164" s="1261"/>
      <c r="BD164" s="1261"/>
      <c r="BE164" s="1261"/>
      <c r="BF164" s="1261"/>
      <c r="BG164" s="1260"/>
      <c r="BH164" s="1248"/>
      <c r="BI164" s="1248"/>
      <c r="BJ164" s="1249"/>
      <c r="BK164" s="1248"/>
      <c r="BL164" s="1250"/>
      <c r="BM164" s="1261"/>
      <c r="BN164" s="1262"/>
      <c r="BO164" s="1261"/>
      <c r="BP164" s="1261"/>
      <c r="BQ164" s="1261"/>
      <c r="BR164" s="1262"/>
      <c r="BS164" s="1261"/>
      <c r="BT164" s="1261"/>
      <c r="BU164" s="1261"/>
      <c r="BV164" s="1262"/>
      <c r="BW164" s="1261"/>
      <c r="BX164" s="1261"/>
      <c r="BY164" s="1261"/>
      <c r="BZ164" s="1262"/>
      <c r="CA164" s="1261"/>
      <c r="CB164" s="1261"/>
    </row>
    <row r="165" spans="1:80">
      <c r="A165" s="1"/>
      <c r="B165" s="1"/>
      <c r="C165" s="1264"/>
      <c r="D165" s="1264"/>
      <c r="E165" s="1264"/>
      <c r="F165" s="1264"/>
      <c r="G165" s="1265"/>
      <c r="O165" s="1"/>
      <c r="P165" s="70"/>
      <c r="Q165" s="70"/>
      <c r="R165" s="70"/>
      <c r="S165" s="70"/>
      <c r="T165" s="70"/>
      <c r="U165" s="70"/>
      <c r="V165" s="70"/>
      <c r="W165" s="70"/>
      <c r="X165" s="1607"/>
      <c r="Y165" s="137"/>
      <c r="Z165" s="1608"/>
      <c r="AD165" s="1246"/>
      <c r="AE165" s="1246"/>
      <c r="AF165" s="561"/>
      <c r="AG165" s="1248"/>
      <c r="AH165" s="1248"/>
      <c r="AI165" s="1249"/>
      <c r="AJ165" s="1248"/>
      <c r="AK165" s="1250"/>
      <c r="AL165" s="561"/>
      <c r="AM165" s="1251"/>
      <c r="AN165" s="561"/>
      <c r="AO165" s="561"/>
      <c r="AP165" s="561"/>
      <c r="AQ165" s="1251"/>
      <c r="AR165" s="561"/>
      <c r="AS165" s="561"/>
      <c r="AT165" s="561"/>
      <c r="AU165" s="1251"/>
      <c r="AV165" s="561"/>
      <c r="AW165" s="561"/>
      <c r="AX165" s="561"/>
      <c r="AY165" s="1251"/>
      <c r="AZ165" s="561"/>
      <c r="BA165" s="561"/>
      <c r="BB165" s="561"/>
      <c r="BC165" s="561"/>
      <c r="BD165" s="561"/>
      <c r="BE165" s="561"/>
      <c r="BF165" s="561"/>
      <c r="BG165" s="561"/>
      <c r="BH165" s="1248"/>
      <c r="BI165" s="1248"/>
      <c r="BJ165" s="1249"/>
      <c r="BK165" s="1248"/>
      <c r="BL165" s="1250"/>
      <c r="BM165" s="561"/>
      <c r="BN165" s="1251"/>
      <c r="BO165" s="561"/>
      <c r="BP165" s="561"/>
      <c r="BQ165" s="561"/>
      <c r="BR165" s="1251"/>
      <c r="BS165" s="561"/>
      <c r="BT165" s="561"/>
      <c r="BU165" s="561"/>
      <c r="BV165" s="1251"/>
      <c r="BW165" s="561"/>
      <c r="BX165" s="561"/>
      <c r="BY165" s="561"/>
      <c r="BZ165" s="1251"/>
      <c r="CA165" s="561"/>
      <c r="CB165" s="561"/>
    </row>
    <row r="166" spans="1:80">
      <c r="A166" s="1085" t="s">
        <v>840</v>
      </c>
      <c r="B166" s="1079"/>
      <c r="C166" s="1080"/>
      <c r="D166" s="1080"/>
      <c r="E166" s="1080"/>
      <c r="F166" s="1080">
        <v>0.41</v>
      </c>
      <c r="G166" s="1089">
        <v>0.4</v>
      </c>
      <c r="H166" s="1082">
        <v>0.4</v>
      </c>
      <c r="I166" s="1080">
        <f t="shared" ref="I166:L167" si="98">H166-($H166-$M166)/5</f>
        <v>0.4</v>
      </c>
      <c r="J166" s="1080">
        <f t="shared" si="98"/>
        <v>0.4</v>
      </c>
      <c r="K166" s="1080">
        <f t="shared" si="98"/>
        <v>0.4</v>
      </c>
      <c r="L166" s="1080">
        <f t="shared" si="98"/>
        <v>0.4</v>
      </c>
      <c r="M166" s="1082">
        <f>CHOOSE('D. Sensivity &amp; Scenario'!$E$62,'D. Sensivity &amp; Scenario'!H98,'D. Sensivity &amp; Scenario'!H99,'D. Sensivity &amp; Scenario'!H100)</f>
        <v>0.4</v>
      </c>
      <c r="O166" s="2" t="s">
        <v>770</v>
      </c>
      <c r="X166" s="1607"/>
      <c r="Y166" s="137"/>
      <c r="Z166" s="1608"/>
      <c r="AD166" s="1246"/>
      <c r="AE166" s="1246"/>
      <c r="AF166" s="1247"/>
      <c r="AG166" s="1248"/>
      <c r="AH166" s="1248"/>
      <c r="AI166" s="1248"/>
      <c r="AJ166" s="1248"/>
      <c r="AK166" s="1250"/>
      <c r="AL166" s="561"/>
      <c r="AM166" s="561"/>
      <c r="AN166" s="561"/>
      <c r="AO166" s="561"/>
      <c r="AP166" s="561"/>
      <c r="AQ166" s="561"/>
      <c r="AR166" s="561"/>
      <c r="AS166" s="561"/>
      <c r="AT166" s="561"/>
      <c r="AU166" s="561"/>
      <c r="AV166" s="561"/>
      <c r="AW166" s="561"/>
      <c r="AX166" s="561"/>
      <c r="AY166" s="561"/>
      <c r="AZ166" s="561"/>
      <c r="BA166" s="561"/>
      <c r="BB166" s="561"/>
      <c r="BC166" s="561"/>
      <c r="BD166" s="561"/>
      <c r="BE166" s="561"/>
      <c r="BF166" s="561"/>
      <c r="BG166" s="1247"/>
      <c r="BH166" s="1248"/>
      <c r="BI166" s="1248"/>
      <c r="BJ166" s="1248"/>
      <c r="BK166" s="1248"/>
      <c r="BL166" s="1250"/>
      <c r="BM166" s="561"/>
      <c r="BN166" s="561"/>
      <c r="BO166" s="561"/>
      <c r="BP166" s="561"/>
      <c r="BQ166" s="561"/>
      <c r="BR166" s="561"/>
      <c r="BS166" s="561"/>
      <c r="BT166" s="561"/>
      <c r="BU166" s="561"/>
      <c r="BV166" s="561"/>
      <c r="BW166" s="561"/>
      <c r="BX166" s="561"/>
      <c r="BY166" s="561"/>
      <c r="BZ166" s="561"/>
      <c r="CA166" s="561"/>
      <c r="CB166" s="561"/>
    </row>
    <row r="167" spans="1:80">
      <c r="A167" s="1086" t="s">
        <v>841</v>
      </c>
      <c r="B167" s="1079"/>
      <c r="C167" s="1083"/>
      <c r="D167" s="1083"/>
      <c r="E167" s="1083"/>
      <c r="F167" s="1080">
        <v>0.06</v>
      </c>
      <c r="G167" s="1089">
        <v>0.12</v>
      </c>
      <c r="H167" s="1082">
        <v>0.13</v>
      </c>
      <c r="I167" s="1080">
        <f t="shared" si="98"/>
        <v>0.13400000000000001</v>
      </c>
      <c r="J167" s="1080">
        <f t="shared" si="98"/>
        <v>0.13800000000000001</v>
      </c>
      <c r="K167" s="1080">
        <f t="shared" si="98"/>
        <v>0.14200000000000002</v>
      </c>
      <c r="L167" s="1080">
        <f t="shared" si="98"/>
        <v>0.14600000000000002</v>
      </c>
      <c r="M167" s="1082">
        <f>CHOOSE('D. Sensivity &amp; Scenario'!$E$62,'D. Sensivity &amp; Scenario'!H102,'D. Sensivity &amp; Scenario'!H103,'D. Sensivity &amp; Scenario'!H104)</f>
        <v>0.15</v>
      </c>
      <c r="O167" s="2" t="s">
        <v>770</v>
      </c>
      <c r="X167" s="1607"/>
      <c r="Z167" s="1608"/>
    </row>
    <row r="168" spans="1:80">
      <c r="A168" s="1245"/>
      <c r="B168" s="1245"/>
      <c r="X168" s="1607"/>
      <c r="Z168" s="1608"/>
    </row>
    <row r="169" spans="1:80" s="395" customFormat="1" ht="19.5" customHeight="1">
      <c r="A169" s="146" t="s">
        <v>842</v>
      </c>
      <c r="B169" s="146"/>
      <c r="C169" s="383"/>
      <c r="D169" s="383"/>
      <c r="E169" s="383"/>
      <c r="F169" s="383"/>
      <c r="G169" s="909"/>
      <c r="H169" s="383"/>
      <c r="I169" s="383"/>
      <c r="J169" s="383"/>
      <c r="K169" s="383"/>
      <c r="L169" s="383"/>
      <c r="M169" s="383"/>
      <c r="N169" s="383"/>
      <c r="O169" s="1229" t="s">
        <v>843</v>
      </c>
      <c r="P169" s="383"/>
      <c r="Q169" s="383"/>
      <c r="R169" s="383"/>
      <c r="S169" s="383"/>
      <c r="T169" s="383"/>
      <c r="U169" s="383"/>
      <c r="V169" s="383"/>
      <c r="W169" s="383"/>
      <c r="X169" s="60"/>
      <c r="Y169" s="145" t="s">
        <v>731</v>
      </c>
      <c r="Z169" s="1"/>
      <c r="BU169" s="1"/>
      <c r="BV169" s="1"/>
      <c r="BW169" s="1"/>
    </row>
    <row r="170" spans="1:80">
      <c r="O170" s="41"/>
    </row>
    <row r="171" spans="1:80" s="1266" customFormat="1">
      <c r="A171" s="379" t="s">
        <v>844</v>
      </c>
      <c r="B171" s="379"/>
      <c r="G171" s="1267"/>
      <c r="O171" s="376"/>
      <c r="X171" s="1268"/>
    </row>
    <row r="172" spans="1:80">
      <c r="A172" s="82" t="s">
        <v>845</v>
      </c>
      <c r="B172" s="82"/>
      <c r="C172" s="2">
        <v>2018</v>
      </c>
      <c r="D172" s="2">
        <v>2019</v>
      </c>
      <c r="E172" s="2">
        <v>2020</v>
      </c>
      <c r="F172" s="2">
        <v>2021</v>
      </c>
      <c r="G172" s="386">
        <v>2022</v>
      </c>
      <c r="H172" s="41">
        <v>2023</v>
      </c>
      <c r="I172" s="41">
        <v>2024</v>
      </c>
      <c r="J172" s="41">
        <v>2025</v>
      </c>
      <c r="K172" s="41">
        <v>2026</v>
      </c>
      <c r="L172" s="41">
        <v>2027</v>
      </c>
      <c r="M172" s="41">
        <v>2028</v>
      </c>
      <c r="O172" s="41" t="s">
        <v>445</v>
      </c>
      <c r="P172" s="2" t="s">
        <v>648</v>
      </c>
      <c r="W172" s="41"/>
    </row>
    <row r="173" spans="1:80">
      <c r="A173" s="78" t="s">
        <v>846</v>
      </c>
      <c r="C173" s="3">
        <v>85186</v>
      </c>
      <c r="D173" s="3">
        <v>92598.8</v>
      </c>
      <c r="E173" s="3">
        <v>93835.5</v>
      </c>
      <c r="F173" s="3">
        <v>95599.9</v>
      </c>
      <c r="G173" s="550">
        <v>89374</v>
      </c>
      <c r="H173" s="34">
        <v>94995</v>
      </c>
      <c r="I173" s="34">
        <v>100448</v>
      </c>
      <c r="J173" s="34">
        <v>106005</v>
      </c>
      <c r="K173" s="34">
        <v>110782</v>
      </c>
      <c r="L173" s="34">
        <v>115272</v>
      </c>
      <c r="M173" s="34">
        <v>119529</v>
      </c>
      <c r="O173" s="152">
        <f>(M173/H173)^0.2-1</f>
        <v>4.7018867460917324E-2</v>
      </c>
      <c r="P173" s="152">
        <f>(M173/I173)^0.25-1</f>
        <v>4.4438802197374727E-2</v>
      </c>
      <c r="W173" s="34"/>
    </row>
    <row r="174" spans="1:80">
      <c r="A174" s="78" t="s">
        <v>132</v>
      </c>
      <c r="D174" s="45">
        <f>D173/C173-1</f>
        <v>8.7018993731364347E-2</v>
      </c>
      <c r="E174" s="45">
        <f t="shared" ref="E174:M174" si="99">E173/D173-1</f>
        <v>1.3355464649649873E-2</v>
      </c>
      <c r="F174" s="45">
        <f t="shared" si="99"/>
        <v>1.8803118222847415E-2</v>
      </c>
      <c r="G174" s="915">
        <f t="shared" si="99"/>
        <v>-6.5124545109356724E-2</v>
      </c>
      <c r="H174" s="45">
        <f t="shared" si="99"/>
        <v>6.2893011390337206E-2</v>
      </c>
      <c r="I174" s="45">
        <f t="shared" si="99"/>
        <v>5.7403021211642757E-2</v>
      </c>
      <c r="J174" s="45">
        <f t="shared" si="99"/>
        <v>5.5322156737814598E-2</v>
      </c>
      <c r="K174" s="45">
        <f t="shared" si="99"/>
        <v>4.5063912079618795E-2</v>
      </c>
      <c r="L174" s="45">
        <f t="shared" si="99"/>
        <v>4.0530050008124041E-2</v>
      </c>
      <c r="M174" s="45">
        <f t="shared" si="99"/>
        <v>3.6930043722673389E-2</v>
      </c>
      <c r="O174" s="41"/>
      <c r="P174" s="152"/>
      <c r="W174" s="45"/>
    </row>
    <row r="175" spans="1:80">
      <c r="A175" s="78" t="s">
        <v>63</v>
      </c>
      <c r="C175" s="1264">
        <v>80704.3</v>
      </c>
      <c r="D175" s="34">
        <v>89050</v>
      </c>
      <c r="E175" s="34">
        <v>90692</v>
      </c>
      <c r="F175" s="34">
        <v>92988</v>
      </c>
      <c r="G175" s="550">
        <v>87163</v>
      </c>
      <c r="H175" s="34">
        <v>93083</v>
      </c>
      <c r="I175" s="34">
        <v>98773</v>
      </c>
      <c r="J175" s="34">
        <v>104517</v>
      </c>
      <c r="K175" s="34">
        <v>109454</v>
      </c>
      <c r="L175" s="34">
        <v>114069</v>
      </c>
      <c r="M175" s="34">
        <v>118429</v>
      </c>
      <c r="O175" s="152">
        <f>(M175/H175)^0.2-1</f>
        <v>4.9343165045487636E-2</v>
      </c>
      <c r="P175" s="152">
        <f>(M175/I175)^0.25-1</f>
        <v>4.6417404380733496E-2</v>
      </c>
      <c r="W175" s="34"/>
    </row>
    <row r="176" spans="1:80">
      <c r="A176" s="78" t="s">
        <v>132</v>
      </c>
      <c r="D176" s="45">
        <f>D175/C175-1</f>
        <v>0.10341084675785539</v>
      </c>
      <c r="E176" s="45">
        <f>E175/D175-1</f>
        <v>1.8439079169006112E-2</v>
      </c>
      <c r="F176" s="45">
        <f t="shared" ref="F176:M176" si="100">F175/E175-1</f>
        <v>2.5316455696202445E-2</v>
      </c>
      <c r="G176" s="915">
        <f t="shared" si="100"/>
        <v>-6.264249150428014E-2</v>
      </c>
      <c r="H176" s="45">
        <f t="shared" si="100"/>
        <v>6.7918726982779454E-2</v>
      </c>
      <c r="I176" s="45">
        <f t="shared" si="100"/>
        <v>6.1128240387610999E-2</v>
      </c>
      <c r="J176" s="45">
        <f t="shared" si="100"/>
        <v>5.815354398469208E-2</v>
      </c>
      <c r="K176" s="45">
        <f t="shared" si="100"/>
        <v>4.7236334758938847E-2</v>
      </c>
      <c r="L176" s="45">
        <f t="shared" si="100"/>
        <v>4.2163831381219596E-2</v>
      </c>
      <c r="M176" s="45">
        <f t="shared" si="100"/>
        <v>3.8222479376517793E-2</v>
      </c>
      <c r="N176" s="45"/>
      <c r="O176" s="41"/>
      <c r="P176" s="152"/>
      <c r="W176" s="45"/>
    </row>
    <row r="177" spans="1:75">
      <c r="D177" s="34"/>
      <c r="E177" s="34"/>
      <c r="F177" s="34"/>
      <c r="G177" s="550"/>
      <c r="H177" s="34"/>
      <c r="I177" s="34"/>
      <c r="J177" s="34"/>
      <c r="K177" s="34"/>
      <c r="L177" s="34"/>
      <c r="M177" s="34"/>
      <c r="N177" s="34"/>
      <c r="O177" s="41"/>
      <c r="P177" s="152"/>
      <c r="W177" s="34"/>
    </row>
    <row r="178" spans="1:75">
      <c r="A178" s="78" t="s">
        <v>847</v>
      </c>
      <c r="C178" s="34">
        <v>21133</v>
      </c>
      <c r="D178" s="34">
        <v>20755</v>
      </c>
      <c r="E178" s="34">
        <v>21244</v>
      </c>
      <c r="F178" s="34">
        <v>20796</v>
      </c>
      <c r="G178" s="550">
        <v>18227</v>
      </c>
      <c r="H178" s="34">
        <v>18697</v>
      </c>
      <c r="I178" s="34">
        <v>19123</v>
      </c>
      <c r="J178" s="34">
        <v>19470</v>
      </c>
      <c r="K178" s="34">
        <v>19847</v>
      </c>
      <c r="L178" s="34">
        <v>20216</v>
      </c>
      <c r="M178" s="34">
        <v>20496</v>
      </c>
      <c r="N178" s="45"/>
      <c r="O178" s="152">
        <f>(M178/H178)^0.2-1</f>
        <v>1.8543160574624462E-2</v>
      </c>
      <c r="P178" s="152">
        <f>(M178/I178)^0.25-1</f>
        <v>1.7485600628877274E-2</v>
      </c>
      <c r="W178" s="34"/>
    </row>
    <row r="179" spans="1:75">
      <c r="A179" s="78" t="s">
        <v>132</v>
      </c>
      <c r="D179" s="45">
        <f>D178/C178-1</f>
        <v>-1.7886717456111256E-2</v>
      </c>
      <c r="E179" s="45">
        <f t="shared" ref="E179:M179" si="101">E178/D178-1</f>
        <v>2.3560587810166123E-2</v>
      </c>
      <c r="F179" s="45">
        <f t="shared" si="101"/>
        <v>-2.1088307286763364E-2</v>
      </c>
      <c r="G179" s="915">
        <f t="shared" si="101"/>
        <v>-0.12353337180226964</v>
      </c>
      <c r="H179" s="45">
        <f t="shared" si="101"/>
        <v>2.5785921983870086E-2</v>
      </c>
      <c r="I179" s="45">
        <f t="shared" si="101"/>
        <v>2.2784403915066642E-2</v>
      </c>
      <c r="J179" s="45">
        <f t="shared" si="101"/>
        <v>1.814568843800668E-2</v>
      </c>
      <c r="K179" s="45">
        <f t="shared" si="101"/>
        <v>1.9363122752953155E-2</v>
      </c>
      <c r="L179" s="45">
        <f t="shared" si="101"/>
        <v>1.8592230563813095E-2</v>
      </c>
      <c r="M179" s="45">
        <f t="shared" si="101"/>
        <v>1.3850415512465464E-2</v>
      </c>
      <c r="N179" s="45"/>
      <c r="O179" s="41"/>
      <c r="P179" s="152"/>
      <c r="W179" s="45"/>
    </row>
    <row r="180" spans="1:75">
      <c r="A180" s="78" t="s">
        <v>848</v>
      </c>
      <c r="C180" s="1264">
        <v>15853.4</v>
      </c>
      <c r="D180" s="3">
        <v>16091.2</v>
      </c>
      <c r="E180" s="3">
        <v>17409.8</v>
      </c>
      <c r="F180" s="3">
        <v>17614.5</v>
      </c>
      <c r="G180" s="550">
        <v>15555.3</v>
      </c>
      <c r="H180" s="34">
        <v>16432</v>
      </c>
      <c r="I180" s="34">
        <v>17195</v>
      </c>
      <c r="J180" s="34">
        <v>17806</v>
      </c>
      <c r="K180" s="34">
        <v>18392</v>
      </c>
      <c r="L180" s="34">
        <v>18924</v>
      </c>
      <c r="M180" s="34">
        <v>19335</v>
      </c>
      <c r="N180" s="45"/>
      <c r="O180" s="152">
        <f>(M180/H180)^0.2-1</f>
        <v>3.307237889249115E-2</v>
      </c>
      <c r="P180" s="152">
        <f>(M180/I180)^0.25-1</f>
        <v>2.9758769346845515E-2</v>
      </c>
      <c r="W180" s="34"/>
    </row>
    <row r="181" spans="1:75">
      <c r="A181" s="78" t="s">
        <v>132</v>
      </c>
      <c r="C181" s="45"/>
      <c r="D181" s="45">
        <f>D180/C180-1</f>
        <v>1.4999936922048374E-2</v>
      </c>
      <c r="E181" s="45">
        <f t="shared" ref="E181:M181" si="102">E180/D180-1</f>
        <v>8.194541115640841E-2</v>
      </c>
      <c r="F181" s="45">
        <f t="shared" si="102"/>
        <v>1.1757745637514638E-2</v>
      </c>
      <c r="G181" s="915">
        <f t="shared" si="102"/>
        <v>-0.11690368730307421</v>
      </c>
      <c r="H181" s="45">
        <f t="shared" si="102"/>
        <v>5.6360211632048296E-2</v>
      </c>
      <c r="I181" s="45">
        <f t="shared" si="102"/>
        <v>4.6433787731256171E-2</v>
      </c>
      <c r="J181" s="45">
        <f t="shared" si="102"/>
        <v>3.5533585344576846E-2</v>
      </c>
      <c r="K181" s="45">
        <f t="shared" si="102"/>
        <v>3.2910254970234698E-2</v>
      </c>
      <c r="L181" s="45">
        <f t="shared" si="102"/>
        <v>2.8925619834710758E-2</v>
      </c>
      <c r="M181" s="45">
        <f t="shared" si="102"/>
        <v>2.1718452758402007E-2</v>
      </c>
      <c r="N181" s="45"/>
      <c r="O181" s="41"/>
      <c r="P181" s="152"/>
      <c r="W181" s="45"/>
    </row>
    <row r="182" spans="1:75">
      <c r="D182" s="34"/>
      <c r="E182" s="34"/>
      <c r="F182" s="34"/>
      <c r="G182" s="550"/>
      <c r="H182" s="34"/>
      <c r="I182" s="34"/>
      <c r="J182" s="34"/>
      <c r="K182" s="34"/>
      <c r="L182" s="34"/>
      <c r="M182" s="34"/>
      <c r="N182" s="34"/>
      <c r="O182" s="41"/>
      <c r="P182" s="152"/>
      <c r="W182" s="34"/>
    </row>
    <row r="183" spans="1:75">
      <c r="A183" s="78" t="s">
        <v>849</v>
      </c>
      <c r="C183" s="53">
        <f>C173/C178</f>
        <v>4.0309468603605731</v>
      </c>
      <c r="D183" s="53">
        <f t="shared" ref="D183:M183" si="103">D173/D178</f>
        <v>4.4615177065767284</v>
      </c>
      <c r="E183" s="53">
        <f t="shared" si="103"/>
        <v>4.4170353982300883</v>
      </c>
      <c r="F183" s="53">
        <f t="shared" si="103"/>
        <v>4.5970330832852468</v>
      </c>
      <c r="G183" s="914">
        <f t="shared" si="103"/>
        <v>4.9033850880561802</v>
      </c>
      <c r="H183" s="53">
        <f t="shared" si="103"/>
        <v>5.0807616195111516</v>
      </c>
      <c r="I183" s="53">
        <f t="shared" si="103"/>
        <v>5.2527323118757518</v>
      </c>
      <c r="J183" s="53">
        <f t="shared" si="103"/>
        <v>5.4445300462249611</v>
      </c>
      <c r="K183" s="53">
        <f t="shared" si="103"/>
        <v>5.5818007759359096</v>
      </c>
      <c r="L183" s="53">
        <f t="shared" si="103"/>
        <v>5.7020182034032452</v>
      </c>
      <c r="M183" s="53">
        <f t="shared" si="103"/>
        <v>5.831820843091335</v>
      </c>
      <c r="N183" s="45"/>
      <c r="O183" s="204">
        <f>(M183/H183)^0.2-1</f>
        <v>2.7957290361881215E-2</v>
      </c>
      <c r="P183" s="152">
        <f>(M183/I183)^0.25-1</f>
        <v>2.6490007870223042E-2</v>
      </c>
      <c r="W183" s="53"/>
    </row>
    <row r="184" spans="1:75">
      <c r="A184" s="78" t="s">
        <v>132</v>
      </c>
      <c r="D184" s="45">
        <f>D183/C183-1</f>
        <v>0.10681630424114297</v>
      </c>
      <c r="E184" s="45">
        <f t="shared" ref="E184:M184" si="104">E183/D183-1</f>
        <v>-9.9702189416549514E-3</v>
      </c>
      <c r="F184" s="45">
        <f t="shared" si="104"/>
        <v>4.0750790706201689E-2</v>
      </c>
      <c r="G184" s="915">
        <f t="shared" si="104"/>
        <v>6.6641244302727554E-2</v>
      </c>
      <c r="H184" s="71">
        <f t="shared" si="104"/>
        <v>3.6174301685386823E-2</v>
      </c>
      <c r="I184" s="71">
        <f t="shared" si="104"/>
        <v>3.3847423918531794E-2</v>
      </c>
      <c r="J184" s="71">
        <f t="shared" si="104"/>
        <v>3.6513898474433759E-2</v>
      </c>
      <c r="K184" s="71">
        <f t="shared" si="104"/>
        <v>2.5212594759418616E-2</v>
      </c>
      <c r="L184" s="71">
        <f t="shared" si="104"/>
        <v>2.1537391299527142E-2</v>
      </c>
      <c r="M184" s="71">
        <f t="shared" si="104"/>
        <v>2.2764332742855276E-2</v>
      </c>
      <c r="N184" s="71"/>
      <c r="O184" s="204"/>
      <c r="P184" s="152"/>
      <c r="W184" s="71"/>
    </row>
    <row r="185" spans="1:75">
      <c r="A185" s="78" t="s">
        <v>850</v>
      </c>
      <c r="C185" s="53">
        <f>C175/C180</f>
        <v>5.090661940025484</v>
      </c>
      <c r="D185" s="53">
        <f>D175/D180</f>
        <v>5.534080739783235</v>
      </c>
      <c r="E185" s="53">
        <f t="shared" ref="E185:M185" si="105">E175/E180</f>
        <v>5.209249962664706</v>
      </c>
      <c r="F185" s="53">
        <f t="shared" si="105"/>
        <v>5.2790598654517584</v>
      </c>
      <c r="G185" s="914">
        <f t="shared" si="105"/>
        <v>5.6034277705990885</v>
      </c>
      <c r="H185" s="53">
        <f t="shared" si="105"/>
        <v>5.6647395326192793</v>
      </c>
      <c r="I185" s="53">
        <f t="shared" si="105"/>
        <v>5.744286129688863</v>
      </c>
      <c r="J185" s="53">
        <f t="shared" si="105"/>
        <v>5.8697630012355386</v>
      </c>
      <c r="K185" s="53">
        <f t="shared" si="105"/>
        <v>5.9511744236624615</v>
      </c>
      <c r="L185" s="53">
        <f t="shared" si="105"/>
        <v>6.0277425491439445</v>
      </c>
      <c r="M185" s="53">
        <f t="shared" si="105"/>
        <v>6.1251099043185935</v>
      </c>
      <c r="N185" s="45"/>
      <c r="O185" s="204">
        <f>(M185/H185)^0.2-1</f>
        <v>1.5749899508919141E-2</v>
      </c>
      <c r="P185" s="152">
        <f>(M185/I185)^0.25-1</f>
        <v>1.6177220849941776E-2</v>
      </c>
      <c r="W185" s="53"/>
    </row>
    <row r="186" spans="1:75">
      <c r="A186" s="78" t="s">
        <v>132</v>
      </c>
      <c r="D186" s="45">
        <f>D185/C185-1</f>
        <v>8.7104350078986315E-2</v>
      </c>
      <c r="E186" s="45">
        <f t="shared" ref="E186:M186" si="106">E185/D185-1</f>
        <v>-5.8696428981130588E-2</v>
      </c>
      <c r="F186" s="45">
        <f t="shared" si="106"/>
        <v>1.3401142830040458E-2</v>
      </c>
      <c r="G186" s="915">
        <f t="shared" si="106"/>
        <v>6.1444255874065989E-2</v>
      </c>
      <c r="H186" s="71">
        <f t="shared" si="106"/>
        <v>1.0941831416457326E-2</v>
      </c>
      <c r="I186" s="71">
        <f t="shared" si="106"/>
        <v>1.4042410354709212E-2</v>
      </c>
      <c r="J186" s="71">
        <f t="shared" si="106"/>
        <v>2.1843771134268275E-2</v>
      </c>
      <c r="K186" s="71">
        <f t="shared" si="106"/>
        <v>1.3869626833278748E-2</v>
      </c>
      <c r="L186" s="71">
        <f t="shared" si="106"/>
        <v>1.2866052988976584E-2</v>
      </c>
      <c r="M186" s="71">
        <f t="shared" si="106"/>
        <v>1.6153204019716538E-2</v>
      </c>
      <c r="N186" s="71"/>
      <c r="O186" s="204"/>
      <c r="W186" s="71"/>
    </row>
    <row r="187" spans="1:75">
      <c r="D187" s="45"/>
      <c r="E187" s="45"/>
      <c r="F187" s="45"/>
      <c r="G187" s="915"/>
      <c r="H187" s="71"/>
      <c r="I187" s="71"/>
      <c r="J187" s="71"/>
      <c r="K187" s="71"/>
      <c r="L187" s="71"/>
      <c r="M187" s="71"/>
      <c r="N187" s="71"/>
      <c r="O187" s="204"/>
      <c r="W187" s="71"/>
    </row>
    <row r="188" spans="1:75">
      <c r="A188" s="82"/>
      <c r="B188" s="82"/>
      <c r="H188" s="2">
        <v>2023</v>
      </c>
      <c r="I188" s="2">
        <v>2024</v>
      </c>
      <c r="J188" s="2">
        <v>2025</v>
      </c>
      <c r="K188" s="2">
        <v>2026</v>
      </c>
      <c r="L188" s="2">
        <v>2027</v>
      </c>
      <c r="M188" s="2">
        <v>2028</v>
      </c>
      <c r="N188" s="2"/>
      <c r="W188" s="2"/>
    </row>
    <row r="189" spans="1:75">
      <c r="A189" s="79" t="s">
        <v>851</v>
      </c>
      <c r="B189" s="79"/>
      <c r="C189" s="140"/>
    </row>
    <row r="190" spans="1:75" s="382" customFormat="1">
      <c r="A190" s="78" t="s">
        <v>852</v>
      </c>
      <c r="B190" s="78"/>
      <c r="G190" s="1230"/>
      <c r="H190" s="203">
        <v>2.5999999999999999E-2</v>
      </c>
      <c r="I190" s="203">
        <v>1.9E-2</v>
      </c>
      <c r="J190" s="203">
        <v>1.9E-2</v>
      </c>
      <c r="K190" s="203">
        <v>1.9E-2</v>
      </c>
      <c r="L190" s="203">
        <v>1.9E-2</v>
      </c>
      <c r="M190" s="203">
        <v>1.9E-2</v>
      </c>
      <c r="N190" s="203"/>
      <c r="O190" s="152" cm="1">
        <f t="array" ref="O190">PRODUCT(1+H190:M190)^(1/6)-1</f>
        <v>2.0163341286874026E-2</v>
      </c>
      <c r="P190" s="152"/>
      <c r="Q190" s="152" cm="1">
        <f t="array" ref="Q190">(PRODUCT(1+H190:M190)/(1+P190))^0.2-1</f>
        <v>2.4244536814057138E-2</v>
      </c>
      <c r="R190" s="152"/>
      <c r="S190" s="152"/>
      <c r="T190" s="152"/>
      <c r="U190" s="152"/>
      <c r="V190" s="152"/>
      <c r="W190" s="203"/>
      <c r="X190" s="1269"/>
      <c r="Y190" s="2"/>
      <c r="Z190" s="2"/>
      <c r="BU190" s="1"/>
      <c r="BV190" s="1"/>
      <c r="BW190" s="1"/>
    </row>
    <row r="191" spans="1:75">
      <c r="A191" s="78" t="s">
        <v>63</v>
      </c>
      <c r="H191" s="203">
        <v>5.6000000000000001E-2</v>
      </c>
      <c r="I191" s="203">
        <v>3.3000000000000002E-2</v>
      </c>
      <c r="J191" s="203">
        <v>3.3000000000000002E-2</v>
      </c>
      <c r="K191" s="203">
        <v>3.3000000000000002E-2</v>
      </c>
      <c r="L191" s="203">
        <v>3.3000000000000002E-2</v>
      </c>
      <c r="M191" s="203">
        <v>3.3000000000000002E-2</v>
      </c>
      <c r="N191" s="203"/>
      <c r="O191" s="152" cm="1">
        <f t="array" ref="O191">PRODUCT(1+H191:M191)^(1/6)-1</f>
        <v>3.679824716603286E-2</v>
      </c>
      <c r="P191" s="17"/>
      <c r="Q191" s="152" cm="1">
        <f t="array" ref="Q191">(PRODUCT(1+H191:M191)/(1+P191))^0.2-1</f>
        <v>4.4318821265763031E-2</v>
      </c>
      <c r="R191" s="152"/>
      <c r="S191" s="152"/>
      <c r="T191" s="152"/>
      <c r="U191" s="152"/>
      <c r="V191" s="152"/>
      <c r="W191" s="203"/>
    </row>
    <row r="192" spans="1:75">
      <c r="H192" s="203"/>
      <c r="O192" s="152"/>
      <c r="P192" s="17"/>
      <c r="Q192" s="152"/>
      <c r="R192" s="152"/>
      <c r="S192" s="152"/>
      <c r="T192" s="152"/>
      <c r="U192" s="152"/>
      <c r="V192" s="152"/>
    </row>
    <row r="193" spans="1:24">
      <c r="A193" s="79" t="s">
        <v>853</v>
      </c>
      <c r="B193" s="79"/>
      <c r="H193" s="203"/>
      <c r="O193" s="152"/>
      <c r="P193" s="17"/>
      <c r="Q193" s="152"/>
      <c r="R193" s="152"/>
      <c r="S193" s="152"/>
      <c r="T193" s="152"/>
      <c r="U193" s="152"/>
      <c r="V193" s="152"/>
    </row>
    <row r="194" spans="1:24">
      <c r="A194" s="78" t="s">
        <v>852</v>
      </c>
      <c r="H194" s="203">
        <v>6.3E-2</v>
      </c>
      <c r="I194" s="203">
        <v>4.7E-2</v>
      </c>
      <c r="J194" s="203">
        <v>4.7E-2</v>
      </c>
      <c r="K194" s="203">
        <v>4.7E-2</v>
      </c>
      <c r="L194" s="203">
        <v>4.7E-2</v>
      </c>
      <c r="M194" s="203">
        <v>4.7E-2</v>
      </c>
      <c r="N194" s="203"/>
      <c r="O194" s="152" cm="1">
        <f t="array" ref="O194">PRODUCT(1+H194:M194)^(1/6)-1</f>
        <v>4.9649843810804617E-2</v>
      </c>
      <c r="P194" s="17"/>
      <c r="Q194" s="152" cm="1">
        <f t="array" ref="Q194">(PRODUCT(1+H194:M194)/(1+P194))^0.2-1</f>
        <v>5.9871794008390822E-2</v>
      </c>
      <c r="R194" s="152"/>
      <c r="S194" s="152"/>
      <c r="T194" s="152"/>
      <c r="U194" s="152"/>
      <c r="V194" s="152"/>
      <c r="W194" s="203"/>
    </row>
    <row r="195" spans="1:24">
      <c r="A195" s="78" t="s">
        <v>63</v>
      </c>
      <c r="H195" s="203">
        <v>6.8000000000000005E-2</v>
      </c>
      <c r="I195" s="203">
        <v>4.9000000000000002E-2</v>
      </c>
      <c r="J195" s="203">
        <v>4.9000000000000002E-2</v>
      </c>
      <c r="K195" s="203">
        <v>4.9000000000000002E-2</v>
      </c>
      <c r="L195" s="203">
        <v>4.9000000000000002E-2</v>
      </c>
      <c r="M195" s="203">
        <v>4.9000000000000002E-2</v>
      </c>
      <c r="N195" s="203"/>
      <c r="O195" s="152" cm="1">
        <f t="array" ref="O195">PRODUCT(1+H195:M195)^(1/6)-1</f>
        <v>5.2143029423043608E-2</v>
      </c>
      <c r="P195" s="17"/>
      <c r="Q195" s="152" cm="1">
        <f t="array" ref="Q195">(PRODUCT(1+H195:M195)/(1+P195))^0.2-1</f>
        <v>6.2893469524581747E-2</v>
      </c>
      <c r="R195" s="152"/>
      <c r="S195" s="152"/>
      <c r="T195" s="152"/>
      <c r="U195" s="152"/>
      <c r="V195" s="152"/>
      <c r="W195" s="203"/>
    </row>
    <row r="196" spans="1:24">
      <c r="O196" s="152"/>
      <c r="P196" s="17"/>
    </row>
    <row r="198" spans="1:24">
      <c r="A198" s="82" t="s">
        <v>854</v>
      </c>
      <c r="B198" s="82"/>
    </row>
    <row r="199" spans="1:24">
      <c r="A199" s="79" t="s">
        <v>855</v>
      </c>
      <c r="B199" s="79"/>
      <c r="H199" s="2">
        <v>2023</v>
      </c>
      <c r="K199" s="2">
        <v>2026</v>
      </c>
      <c r="O199" s="152" t="s">
        <v>856</v>
      </c>
      <c r="X199" s="60" t="s">
        <v>857</v>
      </c>
    </row>
    <row r="200" spans="1:24">
      <c r="A200" s="78" t="s">
        <v>852</v>
      </c>
      <c r="G200" s="550">
        <v>46278</v>
      </c>
      <c r="H200" s="5">
        <f>G200*(1+P190)</f>
        <v>46278</v>
      </c>
      <c r="K200" s="3">
        <v>51451</v>
      </c>
      <c r="O200" s="152">
        <f>(K200/H200)^(1/3)-1</f>
        <v>3.5952269383618063E-2</v>
      </c>
      <c r="X200" s="60" t="s">
        <v>858</v>
      </c>
    </row>
    <row r="201" spans="1:24">
      <c r="A201" s="78" t="s">
        <v>63</v>
      </c>
      <c r="G201" s="550">
        <v>36778</v>
      </c>
      <c r="H201" s="5">
        <f>G201*(1+P191)</f>
        <v>36778</v>
      </c>
      <c r="K201" s="3">
        <v>44931</v>
      </c>
      <c r="O201" s="152">
        <f t="shared" ref="O201:O206" si="107">(K201/H201)^(1/3)-1</f>
        <v>6.9020397865912742E-2</v>
      </c>
      <c r="X201" s="60" t="s">
        <v>859</v>
      </c>
    </row>
    <row r="202" spans="1:24">
      <c r="A202" s="151" t="s">
        <v>860</v>
      </c>
      <c r="B202" s="151"/>
      <c r="G202" s="922">
        <f>G201/G200</f>
        <v>0.79471887289856946</v>
      </c>
      <c r="H202" s="49">
        <f>H201/H200</f>
        <v>0.79471887289856946</v>
      </c>
      <c r="I202" s="49"/>
      <c r="J202" s="49"/>
      <c r="K202" s="49">
        <f>K201/K200</f>
        <v>0.87327748731803079</v>
      </c>
      <c r="O202" s="152"/>
      <c r="Q202" s="2"/>
      <c r="R202" s="2"/>
      <c r="S202" s="2"/>
      <c r="T202" s="2"/>
      <c r="U202" s="2"/>
      <c r="V202" s="2"/>
      <c r="W202" s="49"/>
      <c r="X202" s="162" t="s">
        <v>861</v>
      </c>
    </row>
    <row r="203" spans="1:24">
      <c r="A203" s="151"/>
      <c r="B203" s="151"/>
      <c r="K203" s="34"/>
      <c r="O203" s="152"/>
      <c r="Q203" s="2"/>
      <c r="R203" s="2"/>
      <c r="S203" s="2"/>
      <c r="T203" s="2"/>
      <c r="U203" s="2"/>
      <c r="V203" s="2"/>
      <c r="X203" s="162"/>
    </row>
    <row r="204" spans="1:24">
      <c r="A204" s="79" t="s">
        <v>862</v>
      </c>
      <c r="B204" s="79"/>
      <c r="K204" s="34"/>
      <c r="O204" s="152"/>
      <c r="X204" s="60" t="s">
        <v>863</v>
      </c>
    </row>
    <row r="205" spans="1:24">
      <c r="A205" s="78" t="s">
        <v>852</v>
      </c>
      <c r="G205" s="550">
        <v>4896</v>
      </c>
      <c r="H205" s="5">
        <f>G205*(1+P194)</f>
        <v>4896</v>
      </c>
      <c r="K205" s="34">
        <v>6617</v>
      </c>
      <c r="O205" s="152">
        <f t="shared" si="107"/>
        <v>0.10562175389866901</v>
      </c>
      <c r="X205" s="60" t="s">
        <v>864</v>
      </c>
    </row>
    <row r="206" spans="1:24">
      <c r="A206" s="78" t="s">
        <v>63</v>
      </c>
      <c r="G206" s="550">
        <v>4791</v>
      </c>
      <c r="H206" s="5">
        <f>G206*(1+P195)</f>
        <v>4791</v>
      </c>
      <c r="K206" s="34">
        <v>6550</v>
      </c>
      <c r="O206" s="152">
        <f t="shared" si="107"/>
        <v>0.10986897067042611</v>
      </c>
      <c r="X206" s="60" t="s">
        <v>865</v>
      </c>
    </row>
    <row r="207" spans="1:24">
      <c r="A207" s="151" t="s">
        <v>860</v>
      </c>
      <c r="B207" s="151"/>
      <c r="G207" s="922">
        <f>G206/G205</f>
        <v>0.97855392156862742</v>
      </c>
      <c r="H207" s="49">
        <f>H206/H205</f>
        <v>0.97855392156862742</v>
      </c>
      <c r="I207" s="49"/>
      <c r="J207" s="49"/>
      <c r="K207" s="49">
        <f>K206/K205</f>
        <v>0.9898745655130724</v>
      </c>
      <c r="O207" s="152"/>
      <c r="W207" s="49"/>
      <c r="X207" s="60" t="s">
        <v>866</v>
      </c>
    </row>
    <row r="208" spans="1:24">
      <c r="A208" s="1"/>
      <c r="B208" s="1"/>
    </row>
    <row r="209" spans="1:80" s="1266" customFormat="1">
      <c r="A209" s="379" t="s">
        <v>867</v>
      </c>
      <c r="B209" s="379"/>
      <c r="G209" s="1267"/>
      <c r="O209" s="380"/>
      <c r="X209" s="1268"/>
    </row>
    <row r="210" spans="1:80">
      <c r="A210" s="82" t="s">
        <v>854</v>
      </c>
      <c r="B210" s="82"/>
      <c r="O210" s="368" t="s">
        <v>445</v>
      </c>
      <c r="P210" s="28" t="s">
        <v>648</v>
      </c>
      <c r="V210" s="12"/>
      <c r="Y210" s="137"/>
      <c r="Z210" s="137"/>
      <c r="AD210" s="1246"/>
      <c r="AE210" s="1246"/>
      <c r="AF210" s="1247"/>
      <c r="AG210" s="1248"/>
      <c r="AH210" s="1248"/>
      <c r="AI210" s="1249"/>
      <c r="AJ210" s="1248"/>
      <c r="AK210" s="1250"/>
      <c r="AL210" s="561"/>
      <c r="AM210" s="1251"/>
      <c r="AN210" s="561"/>
      <c r="AO210" s="561"/>
      <c r="AP210" s="561"/>
      <c r="AQ210" s="1251"/>
      <c r="AR210" s="561"/>
      <c r="AS210" s="561"/>
      <c r="AT210" s="561"/>
      <c r="AU210" s="1251"/>
      <c r="AV210" s="561"/>
      <c r="AW210" s="561"/>
      <c r="AX210" s="561"/>
      <c r="AY210" s="1251"/>
      <c r="AZ210" s="561"/>
      <c r="BA210" s="561"/>
      <c r="BB210" s="561"/>
      <c r="BC210" s="561"/>
      <c r="BD210" s="561"/>
      <c r="BE210" s="561"/>
      <c r="BF210" s="561"/>
      <c r="BG210" s="1247"/>
      <c r="BH210" s="1248"/>
      <c r="BI210" s="1248"/>
      <c r="BJ210" s="1249"/>
      <c r="BK210" s="1248"/>
      <c r="BL210" s="1250"/>
      <c r="BM210" s="561"/>
      <c r="BN210" s="1251"/>
      <c r="BO210" s="561"/>
      <c r="BP210" s="561"/>
      <c r="BQ210" s="561"/>
      <c r="BR210" s="1251"/>
      <c r="BS210" s="561"/>
      <c r="BT210" s="561"/>
      <c r="BU210" s="561"/>
      <c r="BV210" s="1251"/>
      <c r="BW210" s="561"/>
      <c r="BX210" s="561"/>
      <c r="BY210" s="561"/>
      <c r="BZ210" s="1251"/>
      <c r="CA210" s="561"/>
      <c r="CB210" s="561"/>
    </row>
    <row r="211" spans="1:80">
      <c r="A211" s="79" t="s">
        <v>868</v>
      </c>
      <c r="B211" s="79"/>
      <c r="C211" s="8">
        <f>C213+C215</f>
        <v>0</v>
      </c>
      <c r="D211" s="8"/>
      <c r="E211" s="8">
        <f t="shared" ref="E211:M211" si="108">E213+E215+E217</f>
        <v>2103</v>
      </c>
      <c r="F211" s="8">
        <f t="shared" si="108"/>
        <v>2348.1999999999998</v>
      </c>
      <c r="G211" s="919">
        <f t="shared" si="108"/>
        <v>2364.02</v>
      </c>
      <c r="H211" s="8">
        <f t="shared" si="108"/>
        <v>2425.29</v>
      </c>
      <c r="I211" s="8">
        <f t="shared" si="108"/>
        <v>2501.8000000000002</v>
      </c>
      <c r="J211" s="8">
        <f t="shared" si="108"/>
        <v>2576.5</v>
      </c>
      <c r="K211" s="8">
        <f t="shared" si="108"/>
        <v>2648.9</v>
      </c>
      <c r="L211" s="8">
        <f t="shared" si="108"/>
        <v>2722.1173000000003</v>
      </c>
      <c r="M211" s="8">
        <f t="shared" si="108"/>
        <v>2796.3557972999997</v>
      </c>
      <c r="N211" s="8"/>
      <c r="O211" s="152">
        <f>(M211/H211)^0.2-1</f>
        <v>2.888242893794235E-2</v>
      </c>
      <c r="P211" s="368">
        <f>(M211/I211)^(1/4)-1</f>
        <v>2.8217426382877386E-2</v>
      </c>
      <c r="V211" s="8"/>
      <c r="W211" s="8"/>
      <c r="Y211" s="137"/>
      <c r="Z211" s="137"/>
      <c r="AD211" s="1246"/>
      <c r="AE211" s="1246"/>
      <c r="AF211" s="1247"/>
      <c r="AG211" s="1248"/>
      <c r="AH211" s="1248"/>
      <c r="AI211" s="1249"/>
      <c r="AJ211" s="1248"/>
      <c r="AK211" s="1250"/>
      <c r="AL211" s="561"/>
      <c r="AM211" s="1251"/>
      <c r="AN211" s="561"/>
      <c r="AO211" s="561"/>
      <c r="AP211" s="561"/>
      <c r="AQ211" s="1251"/>
      <c r="AR211" s="561"/>
      <c r="AS211" s="561"/>
      <c r="AT211" s="561"/>
      <c r="AU211" s="1251"/>
      <c r="AV211" s="561"/>
      <c r="AW211" s="561"/>
      <c r="AX211" s="561"/>
      <c r="AY211" s="1251"/>
      <c r="AZ211" s="561"/>
      <c r="BA211" s="561"/>
      <c r="BB211" s="561"/>
      <c r="BC211" s="561"/>
      <c r="BD211" s="561"/>
      <c r="BE211" s="561"/>
      <c r="BF211" s="561"/>
      <c r="BG211" s="1247"/>
      <c r="BH211" s="1248"/>
      <c r="BI211" s="1248"/>
      <c r="BJ211" s="1249"/>
      <c r="BK211" s="1248"/>
      <c r="BL211" s="1250"/>
      <c r="BM211" s="561"/>
      <c r="BN211" s="1251"/>
      <c r="BO211" s="561"/>
      <c r="BP211" s="561"/>
      <c r="BQ211" s="561"/>
      <c r="BR211" s="1251"/>
      <c r="BS211" s="561"/>
      <c r="BT211" s="561"/>
      <c r="BU211" s="561"/>
      <c r="BV211" s="1251"/>
      <c r="BW211" s="561"/>
      <c r="BX211" s="561"/>
      <c r="BY211" s="561"/>
      <c r="BZ211" s="1251"/>
      <c r="CA211" s="561"/>
      <c r="CB211" s="561"/>
    </row>
    <row r="212" spans="1:80" s="6" customFormat="1">
      <c r="A212" s="151" t="s">
        <v>694</v>
      </c>
      <c r="B212" s="151"/>
      <c r="D212" s="12"/>
      <c r="E212" s="12"/>
      <c r="F212" s="12">
        <f t="shared" ref="F212:M212" si="109">F211/E211-1</f>
        <v>0.11659533999048977</v>
      </c>
      <c r="G212" s="908">
        <f t="shared" si="109"/>
        <v>6.7370752065412098E-3</v>
      </c>
      <c r="H212" s="12">
        <f t="shared" si="109"/>
        <v>2.5917716432179105E-2</v>
      </c>
      <c r="I212" s="12">
        <f t="shared" si="109"/>
        <v>3.1546742863740151E-2</v>
      </c>
      <c r="J212" s="12">
        <f t="shared" si="109"/>
        <v>2.9858501878647248E-2</v>
      </c>
      <c r="K212" s="12">
        <f t="shared" si="109"/>
        <v>2.810013584319826E-2</v>
      </c>
      <c r="L212" s="30">
        <f t="shared" si="109"/>
        <v>2.7640643285892441E-2</v>
      </c>
      <c r="M212" s="12">
        <f t="shared" si="109"/>
        <v>2.7272335876194376E-2</v>
      </c>
      <c r="N212" s="12"/>
      <c r="O212" s="59"/>
      <c r="P212" s="368"/>
      <c r="V212" s="12"/>
      <c r="W212" s="12"/>
      <c r="X212" s="229"/>
      <c r="Y212" s="143"/>
      <c r="Z212" s="143"/>
      <c r="AC212" s="140"/>
      <c r="AD212" s="1246"/>
      <c r="AE212" s="1246"/>
      <c r="AF212" s="1260"/>
      <c r="AG212" s="1248"/>
      <c r="AH212" s="1248"/>
      <c r="AI212" s="1249"/>
      <c r="AJ212" s="1248"/>
      <c r="AK212" s="1250"/>
      <c r="AL212" s="1261"/>
      <c r="AM212" s="1262"/>
      <c r="AN212" s="1261"/>
      <c r="AO212" s="1261"/>
      <c r="AP212" s="1261"/>
      <c r="AQ212" s="1262"/>
      <c r="AR212" s="1261"/>
      <c r="AS212" s="1261"/>
      <c r="AT212" s="1261"/>
      <c r="AU212" s="1262"/>
      <c r="AV212" s="1261"/>
      <c r="AW212" s="1261"/>
      <c r="AX212" s="1261"/>
      <c r="AY212" s="1262"/>
      <c r="AZ212" s="1261"/>
      <c r="BA212" s="1261"/>
      <c r="BB212" s="1261"/>
      <c r="BC212" s="1261"/>
      <c r="BD212" s="1261"/>
      <c r="BE212" s="1261"/>
      <c r="BF212" s="1261"/>
      <c r="BG212" s="1260"/>
      <c r="BH212" s="1248"/>
      <c r="BI212" s="1248"/>
      <c r="BJ212" s="1249"/>
      <c r="BK212" s="1248"/>
      <c r="BL212" s="1250"/>
      <c r="BM212" s="1261"/>
      <c r="BN212" s="1262"/>
      <c r="BO212" s="1261"/>
      <c r="BP212" s="1261"/>
      <c r="BQ212" s="1261"/>
      <c r="BR212" s="1262"/>
      <c r="BS212" s="1261"/>
      <c r="BT212" s="1261"/>
      <c r="BU212" s="1261"/>
      <c r="BV212" s="1262"/>
      <c r="BW212" s="1261"/>
      <c r="BX212" s="1261"/>
      <c r="BY212" s="1261"/>
      <c r="BZ212" s="1262"/>
      <c r="CA212" s="1261"/>
      <c r="CB212" s="1261"/>
    </row>
    <row r="213" spans="1:80">
      <c r="A213" s="78" t="s">
        <v>869</v>
      </c>
      <c r="C213" s="3"/>
      <c r="D213" s="3"/>
      <c r="E213" s="3">
        <v>940.3</v>
      </c>
      <c r="F213" s="3">
        <v>1116.9000000000001</v>
      </c>
      <c r="G213" s="550">
        <v>1143.72</v>
      </c>
      <c r="H213" s="3">
        <v>1164.99</v>
      </c>
      <c r="I213" s="3">
        <v>1209.4000000000001</v>
      </c>
      <c r="J213" s="3">
        <v>1252.2</v>
      </c>
      <c r="K213" s="3">
        <v>1292.9000000000001</v>
      </c>
      <c r="L213" s="4">
        <f>K213*(1+L214)</f>
        <v>1334.2728000000002</v>
      </c>
      <c r="M213" s="4">
        <f>L213*(1+M214)</f>
        <v>1375.6352568</v>
      </c>
      <c r="N213" s="4"/>
      <c r="O213" s="152">
        <f>(M213/H213)^0.2-1</f>
        <v>3.3799267487565121E-2</v>
      </c>
      <c r="P213" s="368">
        <f>(M213/I213)^(1/4)-1</f>
        <v>3.2721773091482165E-2</v>
      </c>
      <c r="W213" s="3"/>
      <c r="Y213" s="137"/>
      <c r="Z213" s="137"/>
      <c r="AD213" s="1246"/>
      <c r="AE213" s="1246"/>
      <c r="AF213" s="1247"/>
      <c r="AG213" s="1248"/>
      <c r="AH213" s="1248"/>
      <c r="AI213" s="1249"/>
      <c r="AJ213" s="1248"/>
      <c r="AK213" s="1250"/>
      <c r="AL213" s="561"/>
      <c r="AM213" s="1251"/>
      <c r="AN213" s="561"/>
      <c r="AO213" s="561"/>
      <c r="AP213" s="561"/>
      <c r="AQ213" s="1251"/>
      <c r="AR213" s="561"/>
      <c r="AS213" s="561"/>
      <c r="AT213" s="561"/>
      <c r="AU213" s="1251"/>
      <c r="AV213" s="561"/>
      <c r="AW213" s="561"/>
      <c r="AX213" s="561"/>
      <c r="AY213" s="1251"/>
      <c r="AZ213" s="561"/>
      <c r="BA213" s="561"/>
      <c r="BB213" s="561"/>
      <c r="BC213" s="561"/>
      <c r="BD213" s="561"/>
      <c r="BE213" s="561"/>
      <c r="BF213" s="561"/>
      <c r="BG213" s="1247"/>
      <c r="BH213" s="1248"/>
      <c r="BI213" s="1248"/>
      <c r="BJ213" s="1249"/>
      <c r="BK213" s="1248"/>
      <c r="BL213" s="1250"/>
      <c r="BM213" s="561"/>
      <c r="BN213" s="1251"/>
      <c r="BO213" s="561"/>
      <c r="BP213" s="561"/>
      <c r="BQ213" s="561"/>
      <c r="BR213" s="1251"/>
      <c r="BS213" s="561"/>
      <c r="BT213" s="561"/>
      <c r="BU213" s="561"/>
      <c r="BV213" s="1251"/>
      <c r="BW213" s="561"/>
      <c r="BX213" s="561"/>
      <c r="BY213" s="561"/>
      <c r="BZ213" s="1251"/>
      <c r="CA213" s="561"/>
      <c r="CB213" s="561"/>
    </row>
    <row r="214" spans="1:80" s="6" customFormat="1">
      <c r="A214" s="151" t="s">
        <v>694</v>
      </c>
      <c r="B214" s="151"/>
      <c r="D214" s="12"/>
      <c r="E214" s="12"/>
      <c r="F214" s="12">
        <f t="shared" ref="F214:K214" si="110">F213/E213-1</f>
        <v>0.18781240029777746</v>
      </c>
      <c r="G214" s="908">
        <f t="shared" si="110"/>
        <v>2.4012892828364274E-2</v>
      </c>
      <c r="H214" s="59">
        <f t="shared" si="110"/>
        <v>1.8597209107124035E-2</v>
      </c>
      <c r="I214" s="59">
        <f t="shared" si="110"/>
        <v>3.8120498888402521E-2</v>
      </c>
      <c r="J214" s="59">
        <f t="shared" si="110"/>
        <v>3.5389449313709243E-2</v>
      </c>
      <c r="K214" s="59">
        <f t="shared" si="110"/>
        <v>3.2502795080658009E-2</v>
      </c>
      <c r="L214" s="30">
        <v>3.2000000000000001E-2</v>
      </c>
      <c r="M214" s="12">
        <v>3.1E-2</v>
      </c>
      <c r="N214" s="12"/>
      <c r="O214" s="59"/>
      <c r="P214" s="368"/>
      <c r="V214" s="12"/>
      <c r="W214" s="12"/>
      <c r="X214" s="229"/>
      <c r="Y214" s="143"/>
      <c r="Z214" s="1270">
        <v>3.7999999999999999E-2</v>
      </c>
      <c r="AC214" s="140"/>
      <c r="AD214" s="1246"/>
      <c r="AE214" s="1246"/>
      <c r="AF214" s="1260"/>
      <c r="AG214" s="1248"/>
      <c r="AH214" s="1248"/>
      <c r="AI214" s="1249"/>
      <c r="AJ214" s="1248"/>
      <c r="AK214" s="1250"/>
      <c r="AL214" s="1261"/>
      <c r="AM214" s="1262"/>
      <c r="AN214" s="1261"/>
      <c r="AO214" s="1261"/>
      <c r="AP214" s="1261"/>
      <c r="AQ214" s="1262"/>
      <c r="AR214" s="1261"/>
      <c r="AS214" s="1261"/>
      <c r="AT214" s="1261"/>
      <c r="AU214" s="1262"/>
      <c r="AV214" s="1261"/>
      <c r="AW214" s="1261"/>
      <c r="AX214" s="1261"/>
      <c r="AY214" s="1262"/>
      <c r="AZ214" s="1261"/>
      <c r="BA214" s="1261"/>
      <c r="BB214" s="1261"/>
      <c r="BC214" s="1261"/>
      <c r="BD214" s="1261"/>
      <c r="BE214" s="1261"/>
      <c r="BF214" s="1261"/>
      <c r="BG214" s="1260"/>
      <c r="BH214" s="1248"/>
      <c r="BI214" s="1248"/>
      <c r="BJ214" s="1249"/>
      <c r="BK214" s="1248"/>
      <c r="BL214" s="1250"/>
      <c r="BM214" s="1261"/>
      <c r="BN214" s="1262"/>
      <c r="BO214" s="1261"/>
      <c r="BP214" s="1261"/>
      <c r="BQ214" s="1261"/>
      <c r="BR214" s="1262"/>
      <c r="BS214" s="1261"/>
      <c r="BT214" s="1261"/>
      <c r="BU214" s="1261"/>
      <c r="BV214" s="1262"/>
      <c r="BW214" s="1261"/>
      <c r="BX214" s="1261"/>
      <c r="BY214" s="1261"/>
      <c r="BZ214" s="1262"/>
      <c r="CA214" s="1261"/>
      <c r="CB214" s="1261"/>
    </row>
    <row r="215" spans="1:80">
      <c r="A215" s="78" t="s">
        <v>827</v>
      </c>
      <c r="C215" s="1271"/>
      <c r="D215" s="1271"/>
      <c r="E215" s="1271">
        <v>508.2</v>
      </c>
      <c r="F215" s="139">
        <v>539.29999999999995</v>
      </c>
      <c r="G215" s="1272">
        <v>546.29999999999995</v>
      </c>
      <c r="H215" s="1271">
        <v>568.1</v>
      </c>
      <c r="I215" s="1">
        <v>586.1</v>
      </c>
      <c r="J215" s="1271">
        <v>606.79999999999995</v>
      </c>
      <c r="K215" s="1">
        <v>630.5</v>
      </c>
      <c r="L215" s="1271">
        <f>K215*(1+L216)</f>
        <v>655.08949999999993</v>
      </c>
      <c r="M215" s="1271">
        <f>L215*(1+M216)</f>
        <v>680.63799049999989</v>
      </c>
      <c r="N215" s="1271"/>
      <c r="O215" s="152">
        <f>(M215/H215)^0.2-1</f>
        <v>3.6807856277402351E-2</v>
      </c>
      <c r="P215" s="368">
        <f>(M215/I215)^(1/4)-1</f>
        <v>3.8092650093372704E-2</v>
      </c>
      <c r="W215" s="1271"/>
      <c r="Y215" s="137"/>
      <c r="Z215" s="143"/>
      <c r="AC215" s="2"/>
      <c r="AD215" s="1246"/>
      <c r="AE215" s="1246"/>
      <c r="AF215" s="1247"/>
      <c r="AG215" s="1248"/>
      <c r="AH215" s="1248"/>
      <c r="AI215" s="1249"/>
      <c r="AJ215" s="1248"/>
      <c r="AK215" s="1250"/>
      <c r="AL215" s="561"/>
      <c r="AM215" s="1251"/>
      <c r="AN215" s="561"/>
      <c r="AO215" s="561"/>
      <c r="AP215" s="561"/>
      <c r="AQ215" s="1251"/>
      <c r="AR215" s="561"/>
      <c r="AS215" s="561"/>
      <c r="AT215" s="561"/>
      <c r="AU215" s="1251"/>
      <c r="AV215" s="561"/>
      <c r="AW215" s="561"/>
      <c r="AX215" s="561"/>
      <c r="AY215" s="1251"/>
      <c r="AZ215" s="561"/>
      <c r="BA215" s="561"/>
      <c r="BB215" s="561"/>
      <c r="BC215" s="561"/>
      <c r="BD215" s="561"/>
      <c r="BE215" s="561"/>
      <c r="BF215" s="561"/>
      <c r="BG215" s="1247"/>
      <c r="BH215" s="1248"/>
      <c r="BI215" s="1248"/>
      <c r="BJ215" s="1249"/>
      <c r="BK215" s="1248"/>
      <c r="BL215" s="1250"/>
      <c r="BM215" s="561"/>
      <c r="BN215" s="1251"/>
      <c r="BO215" s="561"/>
      <c r="BP215" s="561"/>
      <c r="BQ215" s="561"/>
      <c r="BR215" s="1251"/>
      <c r="BS215" s="561"/>
      <c r="BT215" s="561"/>
      <c r="BU215" s="561"/>
      <c r="BV215" s="1251"/>
      <c r="BW215" s="561"/>
      <c r="BX215" s="561"/>
      <c r="BY215" s="561"/>
      <c r="BZ215" s="1251"/>
      <c r="CA215" s="561"/>
      <c r="CB215" s="561"/>
    </row>
    <row r="216" spans="1:80" s="6" customFormat="1">
      <c r="A216" s="151" t="s">
        <v>694</v>
      </c>
      <c r="B216" s="151"/>
      <c r="D216" s="12"/>
      <c r="E216" s="12"/>
      <c r="F216" s="12">
        <f t="shared" ref="F216:K216" si="111">F215/E215-1</f>
        <v>6.1196379378197552E-2</v>
      </c>
      <c r="G216" s="908">
        <f t="shared" si="111"/>
        <v>1.2979788614871035E-2</v>
      </c>
      <c r="H216" s="59">
        <f t="shared" si="111"/>
        <v>3.9904814204649641E-2</v>
      </c>
      <c r="I216" s="59">
        <f t="shared" si="111"/>
        <v>3.1684562577011022E-2</v>
      </c>
      <c r="J216" s="59">
        <f t="shared" si="111"/>
        <v>3.5318205084456489E-2</v>
      </c>
      <c r="K216" s="59">
        <f t="shared" si="111"/>
        <v>3.9057350032959848E-2</v>
      </c>
      <c r="L216" s="30">
        <v>3.9E-2</v>
      </c>
      <c r="M216" s="12">
        <v>3.9E-2</v>
      </c>
      <c r="N216" s="12"/>
      <c r="O216" s="59"/>
      <c r="P216" s="368"/>
      <c r="V216" s="12"/>
      <c r="W216" s="12"/>
      <c r="X216" s="229"/>
      <c r="Y216" s="143"/>
      <c r="Z216" s="1270">
        <v>-4.4999999999999998E-2</v>
      </c>
      <c r="AC216" s="140"/>
      <c r="AD216" s="1246"/>
      <c r="AE216" s="1246"/>
      <c r="AF216" s="1260"/>
      <c r="AG216" s="1248"/>
      <c r="AH216" s="1248"/>
      <c r="AI216" s="1249"/>
      <c r="AJ216" s="1248"/>
      <c r="AK216" s="1250"/>
      <c r="AL216" s="1261"/>
      <c r="AM216" s="1262"/>
      <c r="AN216" s="1261"/>
      <c r="AO216" s="1261"/>
      <c r="AP216" s="1261"/>
      <c r="AQ216" s="1262"/>
      <c r="AR216" s="1261"/>
      <c r="AS216" s="1261"/>
      <c r="AT216" s="1261"/>
      <c r="AU216" s="1262"/>
      <c r="AV216" s="1261"/>
      <c r="AW216" s="1261"/>
      <c r="AX216" s="1261"/>
      <c r="AY216" s="1262"/>
      <c r="AZ216" s="1261"/>
      <c r="BA216" s="1261"/>
      <c r="BB216" s="1261"/>
      <c r="BC216" s="1261"/>
      <c r="BD216" s="1261"/>
      <c r="BE216" s="1261"/>
      <c r="BF216" s="1261"/>
      <c r="BG216" s="1260"/>
      <c r="BH216" s="1248"/>
      <c r="BI216" s="1248"/>
      <c r="BJ216" s="1249"/>
      <c r="BK216" s="1248"/>
      <c r="BL216" s="1250"/>
      <c r="BM216" s="1261"/>
      <c r="BN216" s="1262"/>
      <c r="BO216" s="1261"/>
      <c r="BP216" s="1261"/>
      <c r="BQ216" s="1261"/>
      <c r="BR216" s="1262"/>
      <c r="BS216" s="1261"/>
      <c r="BT216" s="1261"/>
      <c r="BU216" s="1261"/>
      <c r="BV216" s="1262"/>
      <c r="BW216" s="1261"/>
      <c r="BX216" s="1261"/>
      <c r="BY216" s="1261"/>
      <c r="BZ216" s="1262"/>
      <c r="CA216" s="1261"/>
      <c r="CB216" s="1261"/>
    </row>
    <row r="217" spans="1:80">
      <c r="A217" s="78" t="s">
        <v>870</v>
      </c>
      <c r="C217" s="1271"/>
      <c r="D217" s="1271"/>
      <c r="E217" s="1271">
        <v>654.5</v>
      </c>
      <c r="F217" s="139">
        <v>692</v>
      </c>
      <c r="G217" s="1272">
        <v>674</v>
      </c>
      <c r="H217" s="1271">
        <v>692.2</v>
      </c>
      <c r="I217" s="1">
        <v>706.3</v>
      </c>
      <c r="J217" s="1271">
        <v>717.5</v>
      </c>
      <c r="K217" s="1">
        <v>725.5</v>
      </c>
      <c r="L217" s="1271">
        <f>K217*(1+L218)</f>
        <v>732.755</v>
      </c>
      <c r="M217" s="1271">
        <f>L217*(1+M218)</f>
        <v>740.08254999999997</v>
      </c>
      <c r="N217" s="1271"/>
      <c r="O217" s="152">
        <f>(M217/H217)^0.2-1</f>
        <v>1.3467237779848817E-2</v>
      </c>
      <c r="P217" s="368">
        <f>(M217/I217)^(1/4)-1</f>
        <v>1.1748896818842613E-2</v>
      </c>
      <c r="W217" s="1271"/>
      <c r="Y217" s="137"/>
      <c r="Z217" s="143"/>
      <c r="AC217" s="2"/>
      <c r="AD217" s="1246"/>
      <c r="AE217" s="1246"/>
      <c r="AF217" s="1247"/>
      <c r="AG217" s="1248"/>
      <c r="AH217" s="1248"/>
      <c r="AI217" s="1249"/>
      <c r="AJ217" s="1248"/>
      <c r="AK217" s="1250"/>
      <c r="AL217" s="561"/>
      <c r="AM217" s="1251"/>
      <c r="AN217" s="561"/>
      <c r="AO217" s="561"/>
      <c r="AP217" s="561"/>
      <c r="AQ217" s="1251"/>
      <c r="AR217" s="561"/>
      <c r="AS217" s="561"/>
      <c r="AT217" s="561"/>
      <c r="AU217" s="1251"/>
      <c r="AV217" s="561"/>
      <c r="AW217" s="561"/>
      <c r="AX217" s="561"/>
      <c r="AY217" s="1251"/>
      <c r="AZ217" s="561"/>
      <c r="BA217" s="561"/>
      <c r="BB217" s="561"/>
      <c r="BC217" s="561"/>
      <c r="BD217" s="561"/>
      <c r="BE217" s="561"/>
      <c r="BF217" s="561"/>
      <c r="BG217" s="1247"/>
      <c r="BH217" s="1248"/>
      <c r="BI217" s="1248"/>
      <c r="BJ217" s="1249"/>
      <c r="BK217" s="1248"/>
      <c r="BL217" s="1250"/>
      <c r="BM217" s="561"/>
      <c r="BN217" s="1251"/>
      <c r="BO217" s="561"/>
      <c r="BP217" s="561"/>
      <c r="BQ217" s="561"/>
      <c r="BR217" s="1251"/>
      <c r="BS217" s="561"/>
      <c r="BT217" s="561"/>
      <c r="BU217" s="561"/>
      <c r="BV217" s="1251"/>
      <c r="BW217" s="561"/>
      <c r="BX217" s="561"/>
      <c r="BY217" s="561"/>
      <c r="BZ217" s="1251"/>
      <c r="CA217" s="561"/>
      <c r="CB217" s="561"/>
    </row>
    <row r="218" spans="1:80" s="6" customFormat="1">
      <c r="A218" s="151" t="s">
        <v>694</v>
      </c>
      <c r="B218" s="151"/>
      <c r="D218" s="12"/>
      <c r="E218" s="12"/>
      <c r="F218" s="12">
        <f t="shared" ref="F218:K218" si="112">F217/E217-1</f>
        <v>5.7295645530939687E-2</v>
      </c>
      <c r="G218" s="908">
        <f t="shared" si="112"/>
        <v>-2.6011560693641633E-2</v>
      </c>
      <c r="H218" s="59">
        <f t="shared" si="112"/>
        <v>2.7002967359050611E-2</v>
      </c>
      <c r="I218" s="59">
        <f t="shared" si="112"/>
        <v>2.0369835307714412E-2</v>
      </c>
      <c r="J218" s="59">
        <f t="shared" si="112"/>
        <v>1.5857284440039754E-2</v>
      </c>
      <c r="K218" s="59">
        <f t="shared" si="112"/>
        <v>1.1149825783972167E-2</v>
      </c>
      <c r="L218" s="30">
        <v>0.01</v>
      </c>
      <c r="M218" s="12">
        <v>0.01</v>
      </c>
      <c r="N218" s="12"/>
      <c r="O218" s="59"/>
      <c r="P218" s="368"/>
      <c r="V218" s="12"/>
      <c r="W218" s="12"/>
      <c r="X218" s="229"/>
      <c r="Y218" s="143"/>
      <c r="Z218" s="1270">
        <v>1.0999999999999999E-2</v>
      </c>
      <c r="AC218" s="140"/>
      <c r="AD218" s="1246"/>
      <c r="AE218" s="1246"/>
      <c r="AF218" s="1260"/>
      <c r="AG218" s="1248"/>
      <c r="AH218" s="1248"/>
      <c r="AI218" s="1249"/>
      <c r="AJ218" s="1248"/>
      <c r="AK218" s="1250"/>
      <c r="AL218" s="1261"/>
      <c r="AM218" s="1262"/>
      <c r="AN218" s="1261"/>
      <c r="AO218" s="1261"/>
      <c r="AP218" s="1261"/>
      <c r="AQ218" s="1262"/>
      <c r="AR218" s="1261"/>
      <c r="AS218" s="1261"/>
      <c r="AT218" s="1261"/>
      <c r="AU218" s="1262"/>
      <c r="AV218" s="1261"/>
      <c r="AW218" s="1261"/>
      <c r="AX218" s="1261"/>
      <c r="AY218" s="1262"/>
      <c r="AZ218" s="1261"/>
      <c r="BA218" s="1261"/>
      <c r="BB218" s="1261"/>
      <c r="BC218" s="1261"/>
      <c r="BD218" s="1261"/>
      <c r="BE218" s="1261"/>
      <c r="BF218" s="1261"/>
      <c r="BG218" s="1260"/>
      <c r="BH218" s="1248"/>
      <c r="BI218" s="1248"/>
      <c r="BJ218" s="1249"/>
      <c r="BK218" s="1248"/>
      <c r="BL218" s="1250"/>
      <c r="BM218" s="1261"/>
      <c r="BN218" s="1262"/>
      <c r="BO218" s="1261"/>
      <c r="BP218" s="1261"/>
      <c r="BQ218" s="1261"/>
      <c r="BR218" s="1262"/>
      <c r="BS218" s="1261"/>
      <c r="BT218" s="1261"/>
      <c r="BU218" s="1261"/>
      <c r="BV218" s="1262"/>
      <c r="BW218" s="1261"/>
      <c r="BX218" s="1261"/>
      <c r="BY218" s="1261"/>
      <c r="BZ218" s="1262"/>
      <c r="CA218" s="1261"/>
      <c r="CB218" s="1261"/>
    </row>
    <row r="219" spans="1:80">
      <c r="P219" s="368"/>
      <c r="Y219" s="137"/>
      <c r="Z219" s="137"/>
      <c r="AC219" s="2"/>
      <c r="AD219" s="1246"/>
      <c r="AE219" s="1246"/>
      <c r="AF219" s="1247"/>
      <c r="AG219" s="1248"/>
      <c r="AH219" s="1248"/>
      <c r="AI219" s="1249"/>
      <c r="AJ219" s="1248"/>
      <c r="AK219" s="1250"/>
      <c r="AL219" s="561"/>
      <c r="AM219" s="1251"/>
      <c r="AN219" s="561"/>
      <c r="AO219" s="561"/>
      <c r="AP219" s="561"/>
      <c r="AQ219" s="1251"/>
      <c r="AR219" s="561"/>
      <c r="AS219" s="561"/>
      <c r="AT219" s="561"/>
      <c r="AU219" s="1251"/>
      <c r="AV219" s="561"/>
      <c r="AW219" s="561"/>
      <c r="AX219" s="561"/>
      <c r="AY219" s="1251"/>
      <c r="AZ219" s="561"/>
      <c r="BA219" s="561"/>
      <c r="BB219" s="561"/>
      <c r="BC219" s="561"/>
      <c r="BD219" s="561"/>
      <c r="BE219" s="561"/>
      <c r="BF219" s="561"/>
      <c r="BG219" s="1247"/>
      <c r="BH219" s="1248"/>
      <c r="BI219" s="1248"/>
      <c r="BJ219" s="1249"/>
      <c r="BK219" s="1248"/>
      <c r="BL219" s="1250"/>
      <c r="BM219" s="561"/>
      <c r="BN219" s="1251"/>
      <c r="BO219" s="561"/>
      <c r="BP219" s="561"/>
      <c r="BQ219" s="561"/>
      <c r="BR219" s="1251"/>
      <c r="BS219" s="561"/>
      <c r="BT219" s="561"/>
      <c r="BU219" s="561"/>
      <c r="BV219" s="1251"/>
      <c r="BW219" s="561"/>
      <c r="BX219" s="561"/>
      <c r="BY219" s="561"/>
      <c r="BZ219" s="1251"/>
      <c r="CA219" s="561"/>
      <c r="CB219" s="561"/>
    </row>
    <row r="220" spans="1:80">
      <c r="A220" s="79" t="s">
        <v>871</v>
      </c>
      <c r="B220" s="79"/>
      <c r="C220" s="4"/>
      <c r="D220" s="4"/>
      <c r="E220" s="3">
        <v>22148.75</v>
      </c>
      <c r="F220" s="3">
        <v>27799.325000000001</v>
      </c>
      <c r="G220" s="550">
        <v>29396.855000000003</v>
      </c>
      <c r="H220" s="3">
        <v>32257.745000000003</v>
      </c>
      <c r="I220" s="3">
        <v>34851.909999999996</v>
      </c>
      <c r="J220" s="3">
        <v>37406.595000000001</v>
      </c>
      <c r="K220" s="3">
        <v>40079.485000000001</v>
      </c>
      <c r="L220" s="34">
        <f>K220*1.06</f>
        <v>42484.254100000006</v>
      </c>
      <c r="M220" s="3">
        <f>L220*1.06</f>
        <v>45033.309346000009</v>
      </c>
      <c r="N220" s="3"/>
      <c r="O220" s="152">
        <f>(M220/H220)^0.2-1</f>
        <v>6.9005578907082699E-2</v>
      </c>
      <c r="P220" s="368">
        <f>(M220/I220)^(1/4)-1</f>
        <v>6.617088780566327E-2</v>
      </c>
      <c r="V220" s="3"/>
      <c r="W220" s="3"/>
      <c r="X220" s="230"/>
      <c r="Y220" s="144"/>
      <c r="Z220" s="144"/>
      <c r="AA220" s="3"/>
      <c r="AB220" s="16"/>
      <c r="AD220" s="1246"/>
      <c r="AE220" s="1246"/>
      <c r="AF220" s="1247"/>
      <c r="AG220" s="1248"/>
      <c r="AH220" s="1248"/>
      <c r="AI220" s="1249"/>
      <c r="AJ220" s="1248"/>
      <c r="AK220" s="1250"/>
      <c r="AL220" s="561"/>
      <c r="AM220" s="1251"/>
      <c r="AN220" s="561"/>
      <c r="AO220" s="561"/>
      <c r="AP220" s="561"/>
      <c r="AQ220" s="1251"/>
      <c r="AR220" s="561"/>
      <c r="AS220" s="561"/>
      <c r="AT220" s="561"/>
      <c r="AU220" s="1251"/>
      <c r="AV220" s="561"/>
      <c r="AW220" s="561"/>
      <c r="AX220" s="561"/>
      <c r="AY220" s="1251"/>
      <c r="AZ220" s="561"/>
      <c r="BA220" s="561"/>
      <c r="BB220" s="561"/>
      <c r="BC220" s="561"/>
      <c r="BD220" s="561"/>
      <c r="BE220" s="561"/>
      <c r="BF220" s="561"/>
      <c r="BG220" s="1247"/>
      <c r="BH220" s="1248"/>
      <c r="BI220" s="1248"/>
      <c r="BJ220" s="1249"/>
      <c r="BK220" s="1248"/>
      <c r="BL220" s="1250"/>
      <c r="BM220" s="561"/>
      <c r="BN220" s="1251"/>
      <c r="BO220" s="561"/>
      <c r="BP220" s="561"/>
      <c r="BQ220" s="561"/>
      <c r="BR220" s="1251"/>
      <c r="BS220" s="561"/>
      <c r="BT220" s="561"/>
      <c r="BU220" s="561"/>
      <c r="BV220" s="1251"/>
      <c r="BW220" s="561"/>
      <c r="BX220" s="561"/>
      <c r="BY220" s="561"/>
      <c r="BZ220" s="1251"/>
      <c r="CA220" s="561"/>
      <c r="CB220" s="561"/>
    </row>
    <row r="221" spans="1:80" s="6" customFormat="1">
      <c r="A221" s="151" t="s">
        <v>694</v>
      </c>
      <c r="B221" s="151"/>
      <c r="D221" s="12"/>
      <c r="E221" s="12"/>
      <c r="F221" s="12">
        <f t="shared" ref="F221:M221" si="113">F220/E220-1</f>
        <v>0.25511936339522556</v>
      </c>
      <c r="G221" s="908">
        <f t="shared" si="113"/>
        <v>5.7466503233441824E-2</v>
      </c>
      <c r="H221" s="12">
        <f t="shared" si="113"/>
        <v>9.7319594221898953E-2</v>
      </c>
      <c r="I221" s="12">
        <f t="shared" si="113"/>
        <v>8.04199115592239E-2</v>
      </c>
      <c r="J221" s="12">
        <f t="shared" si="113"/>
        <v>7.3301147627203411E-2</v>
      </c>
      <c r="K221" s="12">
        <f t="shared" si="113"/>
        <v>7.1455046897478836E-2</v>
      </c>
      <c r="L221" s="30">
        <f t="shared" si="113"/>
        <v>6.0000000000000053E-2</v>
      </c>
      <c r="M221" s="12">
        <f t="shared" si="113"/>
        <v>6.0000000000000053E-2</v>
      </c>
      <c r="N221" s="12"/>
      <c r="O221" s="59"/>
      <c r="P221" s="368"/>
      <c r="V221" s="12"/>
      <c r="W221" s="12"/>
      <c r="X221" s="229"/>
      <c r="Y221" s="143"/>
      <c r="Z221" s="143"/>
      <c r="AC221" s="140"/>
      <c r="AD221" s="1246"/>
      <c r="AE221" s="1246"/>
      <c r="AF221" s="1260"/>
      <c r="AG221" s="1248"/>
      <c r="AH221" s="1248"/>
      <c r="AI221" s="1249"/>
      <c r="AJ221" s="1248"/>
      <c r="AK221" s="1250"/>
      <c r="AL221" s="1261"/>
      <c r="AM221" s="1262"/>
      <c r="AN221" s="1261"/>
      <c r="AO221" s="1261"/>
      <c r="AP221" s="1261"/>
      <c r="AQ221" s="1262"/>
      <c r="AR221" s="1261"/>
      <c r="AS221" s="1261"/>
      <c r="AT221" s="1261"/>
      <c r="AU221" s="1262"/>
      <c r="AV221" s="1261"/>
      <c r="AW221" s="1261"/>
      <c r="AX221" s="1261"/>
      <c r="AY221" s="1262"/>
      <c r="AZ221" s="1261"/>
      <c r="BA221" s="1261"/>
      <c r="BB221" s="1261"/>
      <c r="BC221" s="1261"/>
      <c r="BD221" s="1261"/>
      <c r="BE221" s="1261"/>
      <c r="BF221" s="1261"/>
      <c r="BG221" s="1260"/>
      <c r="BH221" s="1248"/>
      <c r="BI221" s="1248"/>
      <c r="BJ221" s="1249"/>
      <c r="BK221" s="1248"/>
      <c r="BL221" s="1250"/>
      <c r="BM221" s="1261"/>
      <c r="BN221" s="1262"/>
      <c r="BO221" s="1261"/>
      <c r="BP221" s="1261"/>
      <c r="BQ221" s="1261"/>
      <c r="BR221" s="1262"/>
      <c r="BS221" s="1261"/>
      <c r="BT221" s="1261"/>
      <c r="BU221" s="1261"/>
      <c r="BV221" s="1262"/>
      <c r="BW221" s="1261"/>
      <c r="BX221" s="1261"/>
      <c r="BY221" s="1261"/>
      <c r="BZ221" s="1262"/>
      <c r="CA221" s="1261"/>
      <c r="CB221" s="1261"/>
    </row>
    <row r="222" spans="1:80" s="6" customFormat="1">
      <c r="A222" s="151"/>
      <c r="B222" s="151"/>
      <c r="D222" s="12"/>
      <c r="E222" s="12"/>
      <c r="F222" s="12"/>
      <c r="G222" s="908"/>
      <c r="H222" s="12"/>
      <c r="I222" s="12"/>
      <c r="J222" s="12"/>
      <c r="K222" s="12"/>
      <c r="L222" s="30"/>
      <c r="M222" s="12"/>
      <c r="N222" s="12"/>
      <c r="O222" s="59"/>
      <c r="P222" s="368"/>
      <c r="V222" s="12"/>
      <c r="W222" s="12"/>
      <c r="X222" s="229"/>
      <c r="Y222" s="143"/>
      <c r="Z222" s="143"/>
      <c r="AC222" s="140"/>
      <c r="AD222" s="1246"/>
      <c r="AE222" s="1246"/>
      <c r="AF222" s="1260"/>
      <c r="AG222" s="1248"/>
      <c r="AH222" s="1248"/>
      <c r="AI222" s="1249"/>
      <c r="AJ222" s="1248"/>
      <c r="AK222" s="1250"/>
      <c r="AL222" s="1261"/>
      <c r="AM222" s="1262"/>
      <c r="AN222" s="1261"/>
      <c r="AO222" s="1261"/>
      <c r="AP222" s="1261"/>
      <c r="AQ222" s="1262"/>
      <c r="AR222" s="1261"/>
      <c r="AS222" s="1261"/>
      <c r="AT222" s="1261"/>
      <c r="AU222" s="1262"/>
      <c r="AV222" s="1261"/>
      <c r="AW222" s="1261"/>
      <c r="AX222" s="1261"/>
      <c r="AY222" s="1262"/>
      <c r="AZ222" s="1261"/>
      <c r="BA222" s="1261"/>
      <c r="BB222" s="1261"/>
      <c r="BC222" s="1261"/>
      <c r="BD222" s="1261"/>
      <c r="BE222" s="1261"/>
      <c r="BF222" s="1261"/>
      <c r="BG222" s="1260"/>
      <c r="BH222" s="1248"/>
      <c r="BI222" s="1248"/>
      <c r="BJ222" s="1249"/>
      <c r="BK222" s="1248"/>
      <c r="BL222" s="1250"/>
      <c r="BM222" s="1261"/>
      <c r="BN222" s="1262"/>
      <c r="BO222" s="1261"/>
      <c r="BP222" s="1261"/>
      <c r="BQ222" s="1261"/>
      <c r="BR222" s="1262"/>
      <c r="BS222" s="1261"/>
      <c r="BT222" s="1261"/>
      <c r="BU222" s="1261"/>
      <c r="BV222" s="1262"/>
      <c r="BW222" s="1261"/>
      <c r="BX222" s="1261"/>
      <c r="BY222" s="1261"/>
      <c r="BZ222" s="1262"/>
      <c r="CA222" s="1261"/>
      <c r="CB222" s="1261"/>
    </row>
    <row r="223" spans="1:80">
      <c r="A223" s="79" t="s">
        <v>872</v>
      </c>
      <c r="B223" s="79"/>
      <c r="E223" s="20">
        <f>E220/E211</f>
        <v>10.531978126485972</v>
      </c>
      <c r="F223" s="20">
        <f t="shared" ref="F223:M223" si="114">F220/F211</f>
        <v>11.838567839195981</v>
      </c>
      <c r="G223" s="914">
        <f>G220/G211</f>
        <v>12.435112647101127</v>
      </c>
      <c r="H223" s="20">
        <f t="shared" si="114"/>
        <v>13.3005723026937</v>
      </c>
      <c r="I223" s="20">
        <f t="shared" si="114"/>
        <v>13.930733871612437</v>
      </c>
      <c r="J223" s="20">
        <f t="shared" si="114"/>
        <v>14.518375703473705</v>
      </c>
      <c r="K223" s="20">
        <f t="shared" si="114"/>
        <v>15.130614594737438</v>
      </c>
      <c r="L223" s="53">
        <f t="shared" si="114"/>
        <v>15.607062230565891</v>
      </c>
      <c r="M223" s="20">
        <f t="shared" si="114"/>
        <v>16.10428450824519</v>
      </c>
      <c r="N223" s="20"/>
      <c r="O223" s="152">
        <f>(M223/H223)^0.2-1</f>
        <v>3.8996826887749636E-2</v>
      </c>
      <c r="P223" s="368">
        <f>(M223/I223)^(1/4)-1</f>
        <v>3.6911902530480045E-2</v>
      </c>
      <c r="V223" s="4"/>
      <c r="W223" s="4"/>
      <c r="Y223" s="137"/>
      <c r="Z223" s="137"/>
      <c r="AC223" s="2"/>
      <c r="AD223" s="1246"/>
      <c r="AE223" s="1246"/>
      <c r="AF223" s="1247"/>
      <c r="AG223" s="1248"/>
      <c r="AH223" s="1248"/>
      <c r="AI223" s="1249"/>
      <c r="AJ223" s="1248"/>
      <c r="AK223" s="1250"/>
      <c r="AL223" s="561"/>
      <c r="AM223" s="1251"/>
      <c r="AN223" s="561"/>
      <c r="AO223" s="561"/>
      <c r="AP223" s="561"/>
      <c r="AQ223" s="1251"/>
      <c r="AR223" s="561"/>
      <c r="AS223" s="561"/>
      <c r="AT223" s="561"/>
      <c r="AU223" s="1251"/>
      <c r="AV223" s="561"/>
      <c r="AW223" s="561"/>
      <c r="AX223" s="561"/>
      <c r="AY223" s="1251"/>
      <c r="AZ223" s="561"/>
      <c r="BA223" s="561"/>
      <c r="BB223" s="561"/>
      <c r="BC223" s="561"/>
      <c r="BD223" s="561"/>
      <c r="BE223" s="561"/>
      <c r="BF223" s="561"/>
      <c r="BG223" s="1247"/>
      <c r="BH223" s="1248"/>
      <c r="BI223" s="1248"/>
      <c r="BJ223" s="1249"/>
      <c r="BK223" s="1248"/>
      <c r="BL223" s="1250"/>
      <c r="BM223" s="561"/>
      <c r="BN223" s="1251"/>
      <c r="BO223" s="561"/>
      <c r="BP223" s="561"/>
      <c r="BQ223" s="561"/>
      <c r="BR223" s="1251"/>
      <c r="BS223" s="561"/>
      <c r="BT223" s="561"/>
      <c r="BU223" s="561"/>
      <c r="BV223" s="1251"/>
      <c r="BW223" s="561"/>
      <c r="BX223" s="561"/>
      <c r="BY223" s="561"/>
      <c r="BZ223" s="1251"/>
      <c r="CA223" s="561"/>
      <c r="CB223" s="561"/>
    </row>
    <row r="224" spans="1:80" s="6" customFormat="1">
      <c r="A224" s="151" t="s">
        <v>694</v>
      </c>
      <c r="B224" s="151"/>
      <c r="D224" s="12"/>
      <c r="E224" s="12"/>
      <c r="F224" s="12">
        <f t="shared" ref="F224:M224" si="115">F223/E223-1</f>
        <v>0.1240592884848648</v>
      </c>
      <c r="G224" s="908">
        <f t="shared" si="115"/>
        <v>5.0389947163208548E-2</v>
      </c>
      <c r="H224" s="12">
        <f t="shared" si="115"/>
        <v>6.9598055132562786E-2</v>
      </c>
      <c r="I224" s="12">
        <f t="shared" si="115"/>
        <v>4.7378530380314032E-2</v>
      </c>
      <c r="J224" s="12">
        <f t="shared" si="115"/>
        <v>4.2183120952352882E-2</v>
      </c>
      <c r="K224" s="12">
        <f t="shared" si="115"/>
        <v>4.2169930284780222E-2</v>
      </c>
      <c r="L224" s="30">
        <f t="shared" si="115"/>
        <v>3.1488981022235851E-2</v>
      </c>
      <c r="M224" s="12">
        <f t="shared" si="115"/>
        <v>3.1858800223497852E-2</v>
      </c>
      <c r="N224" s="12"/>
      <c r="O224" s="59"/>
      <c r="P224" s="59"/>
      <c r="Q224" s="12"/>
      <c r="R224" s="12"/>
      <c r="S224" s="12"/>
      <c r="T224" s="12"/>
      <c r="U224" s="12"/>
      <c r="V224" s="12"/>
      <c r="W224" s="12"/>
      <c r="X224" s="229"/>
      <c r="Y224" s="143"/>
      <c r="Z224" s="143"/>
      <c r="AC224" s="140"/>
      <c r="AD224" s="1246"/>
      <c r="AE224" s="1246"/>
      <c r="AF224" s="1260"/>
      <c r="AG224" s="1248"/>
      <c r="AH224" s="1248"/>
      <c r="AI224" s="1249"/>
      <c r="AJ224" s="1248"/>
      <c r="AK224" s="1250"/>
      <c r="AL224" s="1261"/>
      <c r="AM224" s="1262"/>
      <c r="AN224" s="1261"/>
      <c r="AO224" s="1261"/>
      <c r="AP224" s="1261"/>
      <c r="AQ224" s="1262"/>
      <c r="AR224" s="1261"/>
      <c r="AS224" s="1261"/>
      <c r="AT224" s="1261"/>
      <c r="AU224" s="1262"/>
      <c r="AV224" s="1261"/>
      <c r="AW224" s="1261"/>
      <c r="AX224" s="1261"/>
      <c r="AY224" s="1262"/>
      <c r="AZ224" s="1261"/>
      <c r="BA224" s="1261"/>
      <c r="BB224" s="1261"/>
      <c r="BC224" s="1261"/>
      <c r="BD224" s="1261"/>
      <c r="BE224" s="1261"/>
      <c r="BF224" s="1261"/>
      <c r="BG224" s="1260"/>
      <c r="BH224" s="1248"/>
      <c r="BI224" s="1248"/>
      <c r="BJ224" s="1249"/>
      <c r="BK224" s="1248"/>
      <c r="BL224" s="1250"/>
      <c r="BM224" s="1261"/>
      <c r="BN224" s="1262"/>
      <c r="BO224" s="1261"/>
      <c r="BP224" s="1261"/>
      <c r="BQ224" s="1261"/>
      <c r="BR224" s="1262"/>
      <c r="BS224" s="1261"/>
      <c r="BT224" s="1261"/>
      <c r="BU224" s="1261"/>
      <c r="BV224" s="1262"/>
      <c r="BW224" s="1261"/>
      <c r="BX224" s="1261"/>
      <c r="BY224" s="1261"/>
      <c r="BZ224" s="1262"/>
      <c r="CA224" s="1261"/>
      <c r="CB224" s="1261"/>
    </row>
    <row r="225" spans="1:80" s="6" customFormat="1">
      <c r="A225" s="151"/>
      <c r="B225" s="151"/>
      <c r="D225" s="12"/>
      <c r="E225" s="12"/>
      <c r="F225" s="12"/>
      <c r="G225" s="908"/>
      <c r="H225" s="12"/>
      <c r="I225" s="12"/>
      <c r="J225" s="12"/>
      <c r="K225" s="12"/>
      <c r="L225" s="30"/>
      <c r="M225" s="12"/>
      <c r="N225" s="12"/>
      <c r="O225" s="59"/>
      <c r="P225" s="59"/>
      <c r="Q225" s="12"/>
      <c r="R225" s="12"/>
      <c r="S225" s="12"/>
      <c r="T225" s="12"/>
      <c r="U225" s="12"/>
      <c r="V225" s="12"/>
      <c r="W225" s="12"/>
      <c r="X225" s="229"/>
      <c r="Y225" s="143"/>
      <c r="Z225" s="143"/>
      <c r="AC225" s="140"/>
      <c r="AD225" s="1246"/>
      <c r="AE225" s="1246"/>
      <c r="AF225" s="1260"/>
      <c r="AG225" s="1248"/>
      <c r="AH225" s="1248"/>
      <c r="AI225" s="1248"/>
      <c r="AJ225" s="1248"/>
      <c r="AK225" s="1250"/>
      <c r="AL225" s="1261"/>
      <c r="AM225" s="1261"/>
      <c r="AN225" s="1261"/>
      <c r="AO225" s="1261"/>
      <c r="AP225" s="1261"/>
      <c r="AQ225" s="1261"/>
      <c r="AR225" s="1261"/>
      <c r="AS225" s="1261"/>
      <c r="AT225" s="1261"/>
      <c r="AU225" s="1261"/>
      <c r="AV225" s="1261"/>
      <c r="AW225" s="1261"/>
      <c r="AX225" s="1261"/>
      <c r="AY225" s="1261"/>
      <c r="AZ225" s="1261"/>
      <c r="BA225" s="1261"/>
      <c r="BB225" s="1261"/>
      <c r="BC225" s="1261"/>
      <c r="BD225" s="1261"/>
      <c r="BE225" s="1261"/>
      <c r="BF225" s="1261"/>
      <c r="BG225" s="1260"/>
      <c r="BH225" s="1248"/>
      <c r="BI225" s="1248"/>
      <c r="BJ225" s="1248"/>
      <c r="BK225" s="1248"/>
      <c r="BL225" s="1250"/>
      <c r="BM225" s="1261"/>
      <c r="BN225" s="1261"/>
      <c r="BO225" s="1261"/>
      <c r="BP225" s="1261"/>
      <c r="BQ225" s="1261"/>
      <c r="BR225" s="1261"/>
      <c r="BS225" s="1261"/>
      <c r="BT225" s="1261"/>
      <c r="BU225" s="1261"/>
      <c r="BV225" s="1261"/>
      <c r="BW225" s="1261"/>
      <c r="BX225" s="1261"/>
      <c r="BY225" s="1261"/>
      <c r="BZ225" s="1261"/>
      <c r="CA225" s="1261"/>
      <c r="CB225" s="1261"/>
    </row>
    <row r="226" spans="1:80" s="6" customFormat="1">
      <c r="A226" s="151"/>
      <c r="B226" s="151"/>
      <c r="D226" s="12"/>
      <c r="E226" s="12"/>
      <c r="F226" s="12"/>
      <c r="G226" s="908"/>
      <c r="H226" s="12"/>
      <c r="I226" s="12"/>
      <c r="J226" s="12"/>
      <c r="K226" s="12"/>
      <c r="L226" s="30"/>
      <c r="M226" s="12"/>
      <c r="N226" s="12"/>
      <c r="O226" s="59"/>
      <c r="P226" s="59"/>
      <c r="Q226" s="12"/>
      <c r="R226" s="12"/>
      <c r="S226" s="12"/>
      <c r="T226" s="12"/>
      <c r="U226" s="12"/>
      <c r="V226" s="12"/>
      <c r="W226" s="12"/>
      <c r="X226" s="229"/>
      <c r="Y226" s="143"/>
      <c r="Z226" s="143"/>
      <c r="AC226" s="140"/>
      <c r="AD226" s="1246"/>
      <c r="AE226" s="1246"/>
      <c r="AF226" s="1260"/>
      <c r="AG226" s="1248"/>
      <c r="AH226" s="1248"/>
      <c r="AI226" s="1248"/>
      <c r="AJ226" s="1248"/>
      <c r="AK226" s="1250"/>
      <c r="AL226" s="1261"/>
      <c r="AM226" s="1261"/>
      <c r="AN226" s="1261"/>
      <c r="AO226" s="1261"/>
      <c r="AP226" s="1261"/>
      <c r="AQ226" s="1261"/>
      <c r="AR226" s="1261"/>
      <c r="AS226" s="1261"/>
      <c r="AT226" s="1261"/>
      <c r="AU226" s="1261"/>
      <c r="AV226" s="1261"/>
      <c r="AW226" s="1261"/>
      <c r="AX226" s="1261"/>
      <c r="AY226" s="1261"/>
      <c r="AZ226" s="1261"/>
      <c r="BA226" s="1261"/>
      <c r="BB226" s="1261"/>
      <c r="BC226" s="1261"/>
      <c r="BD226" s="1261"/>
      <c r="BE226" s="1261"/>
      <c r="BF226" s="1261"/>
      <c r="BG226" s="1260"/>
      <c r="BH226" s="1248"/>
      <c r="BI226" s="1248"/>
      <c r="BJ226" s="1248"/>
      <c r="BK226" s="1248"/>
      <c r="BL226" s="1250"/>
      <c r="BM226" s="1261"/>
      <c r="BN226" s="1261"/>
      <c r="BO226" s="1261"/>
      <c r="BP226" s="1261"/>
      <c r="BQ226" s="1261"/>
      <c r="BR226" s="1261"/>
      <c r="BS226" s="1261"/>
      <c r="BT226" s="1261"/>
      <c r="BU226" s="1261"/>
      <c r="BV226" s="1261"/>
      <c r="BW226" s="1261"/>
      <c r="BX226" s="1261"/>
      <c r="BY226" s="1261"/>
      <c r="BZ226" s="1261"/>
      <c r="CA226" s="1261"/>
      <c r="CB226" s="1261"/>
    </row>
    <row r="227" spans="1:80" s="6" customFormat="1">
      <c r="A227" s="82" t="s">
        <v>845</v>
      </c>
      <c r="B227" s="82"/>
      <c r="D227" s="12"/>
      <c r="E227" s="12"/>
      <c r="F227" s="12"/>
      <c r="G227" s="908"/>
      <c r="H227" s="12"/>
      <c r="I227" s="12"/>
      <c r="J227" s="12"/>
      <c r="K227" s="12"/>
      <c r="L227" s="30"/>
      <c r="M227" s="12"/>
      <c r="N227" s="12"/>
      <c r="O227" s="368" t="s">
        <v>445</v>
      </c>
      <c r="P227" s="368" t="s">
        <v>648</v>
      </c>
      <c r="V227" s="12"/>
      <c r="W227" s="12"/>
      <c r="X227" s="229"/>
      <c r="Y227" s="143"/>
      <c r="Z227" s="143"/>
      <c r="AC227" s="140"/>
      <c r="AD227" s="1246"/>
      <c r="AE227" s="1246"/>
      <c r="AF227" s="1260"/>
      <c r="AG227" s="1248"/>
      <c r="AH227" s="1248"/>
      <c r="AI227" s="1248"/>
      <c r="AJ227" s="1248"/>
      <c r="AK227" s="1250"/>
      <c r="AL227" s="1261"/>
      <c r="AM227" s="1261"/>
      <c r="AN227" s="1261"/>
      <c r="AO227" s="1261"/>
      <c r="AP227" s="1261"/>
      <c r="AQ227" s="1261"/>
      <c r="AR227" s="1261"/>
      <c r="AS227" s="1261"/>
      <c r="AT227" s="1261"/>
      <c r="AU227" s="1261"/>
      <c r="AV227" s="1261"/>
      <c r="AW227" s="1261"/>
      <c r="AX227" s="1261"/>
      <c r="AY227" s="1261"/>
      <c r="AZ227" s="1261"/>
      <c r="BA227" s="1261"/>
      <c r="BB227" s="1261"/>
      <c r="BC227" s="1261"/>
      <c r="BD227" s="1261"/>
      <c r="BE227" s="1261"/>
      <c r="BF227" s="1261"/>
      <c r="BG227" s="1260"/>
      <c r="BH227" s="1248"/>
      <c r="BI227" s="1248"/>
      <c r="BJ227" s="1248"/>
      <c r="BK227" s="1248"/>
      <c r="BL227" s="1250"/>
      <c r="BM227" s="1261"/>
      <c r="BN227" s="1261"/>
      <c r="BO227" s="1261"/>
      <c r="BP227" s="1261"/>
      <c r="BQ227" s="1261"/>
      <c r="BR227" s="1261"/>
      <c r="BS227" s="1261"/>
      <c r="BT227" s="1261"/>
      <c r="BU227" s="1261"/>
      <c r="BV227" s="1261"/>
      <c r="BW227" s="1261"/>
      <c r="BX227" s="1261"/>
      <c r="BY227" s="1261"/>
      <c r="BZ227" s="1261"/>
      <c r="CA227" s="1261"/>
      <c r="CB227" s="1261"/>
    </row>
    <row r="228" spans="1:80" s="6" customFormat="1">
      <c r="A228" s="79" t="s">
        <v>873</v>
      </c>
      <c r="B228" s="79"/>
      <c r="C228" s="378">
        <f>C230+C232</f>
        <v>2258.6</v>
      </c>
      <c r="D228" s="378">
        <f t="shared" ref="D228:M228" si="116">D230+D232</f>
        <v>2192.9</v>
      </c>
      <c r="E228" s="378">
        <f t="shared" si="116"/>
        <v>2335.1</v>
      </c>
      <c r="F228" s="378">
        <f t="shared" si="116"/>
        <v>2483.3000000000002</v>
      </c>
      <c r="G228" s="923">
        <f t="shared" si="116"/>
        <v>2225.5</v>
      </c>
      <c r="H228" s="378">
        <f t="shared" si="116"/>
        <v>2044.9</v>
      </c>
      <c r="I228" s="378">
        <f t="shared" si="116"/>
        <v>1970.1999999999998</v>
      </c>
      <c r="J228" s="378">
        <f t="shared" si="116"/>
        <v>1924</v>
      </c>
      <c r="K228" s="378">
        <f t="shared" si="116"/>
        <v>1900.4</v>
      </c>
      <c r="L228" s="901">
        <f t="shared" si="116"/>
        <v>1894.1999999999998</v>
      </c>
      <c r="M228" s="378">
        <f t="shared" si="116"/>
        <v>1897.4</v>
      </c>
      <c r="N228" s="378"/>
      <c r="O228" s="152">
        <f>(M228/H228)^0.2-1</f>
        <v>-1.4861336029463823E-2</v>
      </c>
      <c r="P228" s="368">
        <f>(M228/I228)^(1/4)-1</f>
        <v>-9.3684729477137019E-3</v>
      </c>
      <c r="V228" s="12"/>
      <c r="W228" s="12"/>
      <c r="X228" s="229"/>
      <c r="Y228" s="143"/>
      <c r="Z228" s="143"/>
      <c r="AC228" s="140"/>
      <c r="AD228" s="1246"/>
      <c r="AE228" s="1246"/>
      <c r="AF228" s="1260"/>
      <c r="AG228" s="1248"/>
      <c r="AH228" s="1248"/>
      <c r="AI228" s="1248"/>
      <c r="AJ228" s="1248"/>
      <c r="AK228" s="1250"/>
      <c r="AL228" s="1261"/>
      <c r="AM228" s="1261"/>
      <c r="AN228" s="1261"/>
      <c r="AO228" s="1261"/>
      <c r="AP228" s="1261"/>
      <c r="AQ228" s="1261"/>
      <c r="AR228" s="1261"/>
      <c r="AS228" s="1261"/>
      <c r="AT228" s="1261"/>
      <c r="AU228" s="1261"/>
      <c r="AV228" s="1261"/>
      <c r="AW228" s="1261"/>
      <c r="AX228" s="1261"/>
      <c r="AY228" s="1261"/>
      <c r="AZ228" s="1261"/>
      <c r="BA228" s="1261"/>
      <c r="BB228" s="1261"/>
      <c r="BC228" s="1261"/>
      <c r="BD228" s="1261"/>
      <c r="BE228" s="1261"/>
      <c r="BF228" s="1261"/>
      <c r="BG228" s="1260"/>
      <c r="BH228" s="1248"/>
      <c r="BI228" s="1248"/>
      <c r="BJ228" s="1248"/>
      <c r="BK228" s="1248"/>
      <c r="BL228" s="1250"/>
      <c r="BM228" s="1261"/>
      <c r="BN228" s="1261"/>
      <c r="BO228" s="1261"/>
      <c r="BP228" s="1261"/>
      <c r="BQ228" s="1261"/>
      <c r="BR228" s="1261"/>
      <c r="BS228" s="1261"/>
      <c r="BT228" s="1261"/>
      <c r="BU228" s="1261"/>
      <c r="BV228" s="1261"/>
      <c r="BW228" s="1261"/>
      <c r="BX228" s="1261"/>
      <c r="BY228" s="1261"/>
      <c r="BZ228" s="1261"/>
      <c r="CA228" s="1261"/>
      <c r="CB228" s="1261"/>
    </row>
    <row r="229" spans="1:80" s="6" customFormat="1">
      <c r="A229" s="151" t="s">
        <v>694</v>
      </c>
      <c r="B229" s="151"/>
      <c r="D229" s="12">
        <f t="shared" ref="D229:M229" si="117">D228/C228-1</f>
        <v>-2.9088816080757862E-2</v>
      </c>
      <c r="E229" s="12">
        <f t="shared" si="117"/>
        <v>6.4845638195996091E-2</v>
      </c>
      <c r="F229" s="12">
        <f t="shared" si="117"/>
        <v>6.3466232709520121E-2</v>
      </c>
      <c r="G229" s="908">
        <f t="shared" si="117"/>
        <v>-0.10381347400636254</v>
      </c>
      <c r="H229" s="12">
        <f t="shared" si="117"/>
        <v>-8.1150303302628624E-2</v>
      </c>
      <c r="I229" s="12">
        <f t="shared" si="117"/>
        <v>-3.6529903662770979E-2</v>
      </c>
      <c r="J229" s="12">
        <f t="shared" si="117"/>
        <v>-2.3449396000405964E-2</v>
      </c>
      <c r="K229" s="12">
        <f t="shared" si="117"/>
        <v>-1.2266112266112184E-2</v>
      </c>
      <c r="L229" s="30">
        <f t="shared" si="117"/>
        <v>-3.2624710587245698E-3</v>
      </c>
      <c r="M229" s="12">
        <f t="shared" si="117"/>
        <v>1.6893675430262878E-3</v>
      </c>
      <c r="N229" s="12"/>
      <c r="O229" s="59"/>
      <c r="P229" s="368"/>
      <c r="V229" s="12"/>
      <c r="W229" s="12"/>
      <c r="X229" s="229"/>
      <c r="Y229" s="143"/>
      <c r="Z229" s="143"/>
      <c r="AC229" s="140"/>
      <c r="AD229" s="1246"/>
      <c r="AE229" s="1246"/>
      <c r="AF229" s="1260"/>
      <c r="AG229" s="1248"/>
      <c r="AH229" s="1248"/>
      <c r="AI229" s="1249"/>
      <c r="AJ229" s="1248"/>
      <c r="AK229" s="1250"/>
      <c r="AL229" s="1261"/>
      <c r="AM229" s="1262"/>
      <c r="AN229" s="1261"/>
      <c r="AO229" s="1261"/>
      <c r="AP229" s="1261"/>
      <c r="AQ229" s="1262"/>
      <c r="AR229" s="1261"/>
      <c r="AS229" s="1261"/>
      <c r="AT229" s="1261"/>
      <c r="AU229" s="1262"/>
      <c r="AV229" s="1261"/>
      <c r="AW229" s="1261"/>
      <c r="AX229" s="1261"/>
      <c r="AY229" s="1262"/>
      <c r="AZ229" s="1261"/>
      <c r="BA229" s="1261"/>
      <c r="BB229" s="1261"/>
      <c r="BC229" s="1261"/>
      <c r="BD229" s="1261"/>
      <c r="BE229" s="1261"/>
      <c r="BF229" s="1261"/>
      <c r="BG229" s="1260"/>
      <c r="BH229" s="1248"/>
      <c r="BI229" s="1248"/>
      <c r="BJ229" s="1249"/>
      <c r="BK229" s="1248"/>
      <c r="BL229" s="1250"/>
      <c r="BM229" s="1261"/>
      <c r="BN229" s="1262"/>
      <c r="BO229" s="1261"/>
      <c r="BP229" s="1261"/>
      <c r="BQ229" s="1261"/>
      <c r="BR229" s="1262"/>
      <c r="BS229" s="1261"/>
      <c r="BT229" s="1261"/>
      <c r="BU229" s="1261"/>
      <c r="BV229" s="1262"/>
      <c r="BW229" s="1261"/>
      <c r="BX229" s="1261"/>
      <c r="BY229" s="1261"/>
      <c r="BZ229" s="1262"/>
      <c r="CA229" s="1261"/>
      <c r="CB229" s="1261"/>
    </row>
    <row r="230" spans="1:80" s="6" customFormat="1">
      <c r="A230" s="78" t="s">
        <v>869</v>
      </c>
      <c r="B230" s="78"/>
      <c r="C230" s="232">
        <v>639.4</v>
      </c>
      <c r="D230" s="232">
        <v>654.70000000000005</v>
      </c>
      <c r="E230" s="232">
        <v>735.9</v>
      </c>
      <c r="F230" s="232">
        <v>821.7</v>
      </c>
      <c r="G230" s="910">
        <v>717.3</v>
      </c>
      <c r="H230" s="232">
        <v>658.6</v>
      </c>
      <c r="I230" s="232">
        <v>676.9</v>
      </c>
      <c r="J230" s="232">
        <v>698.8</v>
      </c>
      <c r="K230" s="232">
        <v>725.7</v>
      </c>
      <c r="L230" s="902">
        <v>758.1</v>
      </c>
      <c r="M230" s="232">
        <v>794.5</v>
      </c>
      <c r="N230" s="232"/>
      <c r="O230" s="152">
        <f>(M230/H230)^0.2-1</f>
        <v>3.8232058860880436E-2</v>
      </c>
      <c r="P230" s="368">
        <f>(M230/I230)^(1/4)-1</f>
        <v>4.0860066716909449E-2</v>
      </c>
      <c r="V230" s="12"/>
      <c r="W230" s="12"/>
      <c r="X230" s="229"/>
      <c r="Y230" s="143"/>
      <c r="Z230" s="143"/>
      <c r="AC230" s="140"/>
      <c r="AD230" s="1246"/>
      <c r="AE230" s="1246"/>
      <c r="AF230" s="1260"/>
      <c r="AG230" s="1248"/>
      <c r="AH230" s="1248"/>
      <c r="AI230" s="1248"/>
      <c r="AJ230" s="1248"/>
      <c r="AK230" s="1250"/>
      <c r="AL230" s="1261"/>
      <c r="AM230" s="1261"/>
      <c r="AN230" s="1261"/>
      <c r="AO230" s="1261"/>
      <c r="AP230" s="1261"/>
      <c r="AQ230" s="1261"/>
      <c r="AR230" s="1261"/>
      <c r="AS230" s="1261"/>
      <c r="AT230" s="1261"/>
      <c r="AU230" s="1261"/>
      <c r="AV230" s="1261"/>
      <c r="AW230" s="1261"/>
      <c r="AX230" s="1261"/>
      <c r="AY230" s="1261"/>
      <c r="AZ230" s="1261"/>
      <c r="BA230" s="1261"/>
      <c r="BB230" s="1261"/>
      <c r="BC230" s="1261"/>
      <c r="BD230" s="1261"/>
      <c r="BE230" s="1261"/>
      <c r="BF230" s="1261"/>
      <c r="BG230" s="1260"/>
      <c r="BH230" s="1248"/>
      <c r="BI230" s="1248"/>
      <c r="BJ230" s="1248"/>
      <c r="BK230" s="1248"/>
      <c r="BL230" s="1250"/>
      <c r="BM230" s="1261"/>
      <c r="BN230" s="1261"/>
      <c r="BO230" s="1261"/>
      <c r="BP230" s="1261"/>
      <c r="BQ230" s="1261"/>
      <c r="BR230" s="1261"/>
      <c r="BS230" s="1261"/>
      <c r="BT230" s="1261"/>
      <c r="BU230" s="1261"/>
      <c r="BV230" s="1261"/>
      <c r="BW230" s="1261"/>
      <c r="BX230" s="1261"/>
      <c r="BY230" s="1261"/>
      <c r="BZ230" s="1261"/>
      <c r="CA230" s="1261"/>
      <c r="CB230" s="1261"/>
    </row>
    <row r="231" spans="1:80" s="6" customFormat="1">
      <c r="A231" s="151" t="s">
        <v>694</v>
      </c>
      <c r="B231" s="151"/>
      <c r="D231" s="12">
        <f t="shared" ref="D231:M231" si="118">D230/C230-1</f>
        <v>2.3928683140444384E-2</v>
      </c>
      <c r="E231" s="12">
        <f t="shared" si="118"/>
        <v>0.12402627157476687</v>
      </c>
      <c r="F231" s="12">
        <f t="shared" si="118"/>
        <v>0.11659192825112119</v>
      </c>
      <c r="G231" s="908">
        <f t="shared" si="118"/>
        <v>-0.12705366922234407</v>
      </c>
      <c r="H231" s="12">
        <f t="shared" si="118"/>
        <v>-8.1834657744318862E-2</v>
      </c>
      <c r="I231" s="12">
        <f t="shared" si="118"/>
        <v>2.7786213179471497E-2</v>
      </c>
      <c r="J231" s="12">
        <f t="shared" si="118"/>
        <v>3.2353375683261909E-2</v>
      </c>
      <c r="K231" s="12">
        <f t="shared" si="118"/>
        <v>3.8494562106468289E-2</v>
      </c>
      <c r="L231" s="30">
        <f t="shared" si="118"/>
        <v>4.4646548160396815E-2</v>
      </c>
      <c r="M231" s="12">
        <f t="shared" si="118"/>
        <v>4.8014773776546615E-2</v>
      </c>
      <c r="N231" s="12"/>
      <c r="O231" s="59"/>
      <c r="P231" s="368"/>
      <c r="V231" s="12"/>
      <c r="W231" s="12"/>
      <c r="X231" s="229"/>
      <c r="Y231" s="143"/>
      <c r="Z231" s="143"/>
      <c r="AC231" s="140"/>
      <c r="AD231" s="1246"/>
      <c r="AE231" s="1246"/>
      <c r="AF231" s="1260"/>
      <c r="AG231" s="1248"/>
      <c r="AH231" s="1248"/>
      <c r="AI231" s="1249"/>
      <c r="AJ231" s="1248"/>
      <c r="AK231" s="1250"/>
      <c r="AL231" s="1261"/>
      <c r="AM231" s="1262"/>
      <c r="AN231" s="1261"/>
      <c r="AO231" s="1261"/>
      <c r="AP231" s="1261"/>
      <c r="AQ231" s="1262"/>
      <c r="AR231" s="1261"/>
      <c r="AS231" s="1261"/>
      <c r="AT231" s="1261"/>
      <c r="AU231" s="1262"/>
      <c r="AV231" s="1261"/>
      <c r="AW231" s="1261"/>
      <c r="AX231" s="1261"/>
      <c r="AY231" s="1262"/>
      <c r="AZ231" s="1261"/>
      <c r="BA231" s="1261"/>
      <c r="BB231" s="1261"/>
      <c r="BC231" s="1261"/>
      <c r="BD231" s="1261"/>
      <c r="BE231" s="1261"/>
      <c r="BF231" s="1261"/>
      <c r="BG231" s="1260"/>
      <c r="BH231" s="1248"/>
      <c r="BI231" s="1248"/>
      <c r="BJ231" s="1249"/>
      <c r="BK231" s="1248"/>
      <c r="BL231" s="1250"/>
      <c r="BM231" s="1261"/>
      <c r="BN231" s="1262"/>
      <c r="BO231" s="1261"/>
      <c r="BP231" s="1261"/>
      <c r="BQ231" s="1261"/>
      <c r="BR231" s="1262"/>
      <c r="BS231" s="1261"/>
      <c r="BT231" s="1261"/>
      <c r="BU231" s="1261"/>
      <c r="BV231" s="1262"/>
      <c r="BW231" s="1261"/>
      <c r="BX231" s="1261"/>
      <c r="BY231" s="1261"/>
      <c r="BZ231" s="1262"/>
      <c r="CA231" s="1261"/>
      <c r="CB231" s="1261"/>
    </row>
    <row r="232" spans="1:80" s="6" customFormat="1">
      <c r="A232" s="78" t="s">
        <v>827</v>
      </c>
      <c r="B232" s="78"/>
      <c r="C232" s="232">
        <v>1619.2</v>
      </c>
      <c r="D232" s="232">
        <v>1538.2</v>
      </c>
      <c r="E232" s="232">
        <v>1599.2</v>
      </c>
      <c r="F232" s="232">
        <v>1661.6</v>
      </c>
      <c r="G232" s="910">
        <v>1508.2</v>
      </c>
      <c r="H232" s="232">
        <v>1386.3</v>
      </c>
      <c r="I232" s="232">
        <v>1293.3</v>
      </c>
      <c r="J232" s="232">
        <v>1225.2</v>
      </c>
      <c r="K232" s="232">
        <v>1174.7</v>
      </c>
      <c r="L232" s="902">
        <v>1136.0999999999999</v>
      </c>
      <c r="M232" s="232">
        <v>1102.9000000000001</v>
      </c>
      <c r="N232" s="232"/>
      <c r="O232" s="152">
        <f>(M232/H232)^0.2-1</f>
        <v>-4.4708787707222419E-2</v>
      </c>
      <c r="P232" s="368">
        <f>(M232/I232)^(1/4)-1</f>
        <v>-3.9031361017353383E-2</v>
      </c>
      <c r="V232" s="12"/>
      <c r="W232" s="12"/>
      <c r="X232" s="229"/>
      <c r="Y232" s="143"/>
      <c r="Z232" s="143"/>
      <c r="AC232" s="140"/>
      <c r="AD232" s="1246"/>
      <c r="AE232" s="1246"/>
      <c r="AF232" s="1260"/>
      <c r="AG232" s="1248"/>
      <c r="AH232" s="1248"/>
      <c r="AI232" s="1248"/>
      <c r="AJ232" s="1248"/>
      <c r="AK232" s="1250"/>
      <c r="AL232" s="1261"/>
      <c r="AM232" s="1261"/>
      <c r="AN232" s="1261"/>
      <c r="AO232" s="1261"/>
      <c r="AP232" s="1261"/>
      <c r="AQ232" s="1261"/>
      <c r="AR232" s="1261"/>
      <c r="AS232" s="1261"/>
      <c r="AT232" s="1261"/>
      <c r="AU232" s="1261"/>
      <c r="AV232" s="1261"/>
      <c r="AW232" s="1261"/>
      <c r="AX232" s="1261"/>
      <c r="AY232" s="1261"/>
      <c r="AZ232" s="1261"/>
      <c r="BA232" s="1261"/>
      <c r="BB232" s="1261"/>
      <c r="BC232" s="1261"/>
      <c r="BD232" s="1261"/>
      <c r="BE232" s="1261"/>
      <c r="BF232" s="1261"/>
      <c r="BG232" s="1260"/>
      <c r="BH232" s="1248"/>
      <c r="BI232" s="1248"/>
      <c r="BJ232" s="1248"/>
      <c r="BK232" s="1248"/>
      <c r="BL232" s="1250"/>
      <c r="BM232" s="1261"/>
      <c r="BN232" s="1261"/>
      <c r="BO232" s="1261"/>
      <c r="BP232" s="1261"/>
      <c r="BQ232" s="1261"/>
      <c r="BR232" s="1261"/>
      <c r="BS232" s="1261"/>
      <c r="BT232" s="1261"/>
      <c r="BU232" s="1261"/>
      <c r="BV232" s="1261"/>
      <c r="BW232" s="1261"/>
      <c r="BX232" s="1261"/>
      <c r="BY232" s="1261"/>
      <c r="BZ232" s="1261"/>
      <c r="CA232" s="1261"/>
      <c r="CB232" s="1261"/>
    </row>
    <row r="233" spans="1:80" s="6" customFormat="1">
      <c r="A233" s="151" t="s">
        <v>694</v>
      </c>
      <c r="B233" s="151"/>
      <c r="D233" s="12">
        <f t="shared" ref="D233:M233" si="119">D232/C232-1</f>
        <v>-5.0024703557312256E-2</v>
      </c>
      <c r="E233" s="12">
        <f t="shared" si="119"/>
        <v>3.9656741646079796E-2</v>
      </c>
      <c r="F233" s="12">
        <f t="shared" si="119"/>
        <v>3.9019509754877335E-2</v>
      </c>
      <c r="G233" s="908">
        <f t="shared" si="119"/>
        <v>-9.2320654790563283E-2</v>
      </c>
      <c r="H233" s="12">
        <f t="shared" si="119"/>
        <v>-8.0824824293860287E-2</v>
      </c>
      <c r="I233" s="12">
        <f t="shared" si="119"/>
        <v>-6.7085046526725867E-2</v>
      </c>
      <c r="J233" s="12">
        <f t="shared" si="119"/>
        <v>-5.26559962885641E-2</v>
      </c>
      <c r="K233" s="12">
        <f t="shared" si="119"/>
        <v>-4.121776036565461E-2</v>
      </c>
      <c r="L233" s="30">
        <f t="shared" si="119"/>
        <v>-3.2859453477483758E-2</v>
      </c>
      <c r="M233" s="12">
        <f t="shared" si="119"/>
        <v>-2.9222779684886735E-2</v>
      </c>
      <c r="N233" s="12"/>
      <c r="O233" s="59"/>
      <c r="P233" s="368"/>
      <c r="V233" s="12"/>
      <c r="W233" s="12"/>
      <c r="X233" s="229"/>
      <c r="Y233" s="143"/>
      <c r="Z233" s="143"/>
      <c r="AC233" s="140"/>
      <c r="AD233" s="1246"/>
      <c r="AE233" s="1246"/>
      <c r="AF233" s="1260"/>
      <c r="AG233" s="1248"/>
      <c r="AH233" s="1248"/>
      <c r="AI233" s="1249"/>
      <c r="AJ233" s="1248"/>
      <c r="AK233" s="1250"/>
      <c r="AL233" s="1261"/>
      <c r="AM233" s="1262"/>
      <c r="AN233" s="1261"/>
      <c r="AO233" s="1261"/>
      <c r="AP233" s="1261"/>
      <c r="AQ233" s="1262"/>
      <c r="AR233" s="1261"/>
      <c r="AS233" s="1261"/>
      <c r="AT233" s="1261"/>
      <c r="AU233" s="1262"/>
      <c r="AV233" s="1261"/>
      <c r="AW233" s="1261"/>
      <c r="AX233" s="1261"/>
      <c r="AY233" s="1262"/>
      <c r="AZ233" s="1261"/>
      <c r="BA233" s="1261"/>
      <c r="BB233" s="1261"/>
      <c r="BC233" s="1261"/>
      <c r="BD233" s="1261"/>
      <c r="BE233" s="1261"/>
      <c r="BF233" s="1261"/>
      <c r="BG233" s="1260"/>
      <c r="BH233" s="1248"/>
      <c r="BI233" s="1248"/>
      <c r="BJ233" s="1249"/>
      <c r="BK233" s="1248"/>
      <c r="BL233" s="1250"/>
      <c r="BM233" s="1261"/>
      <c r="BN233" s="1262"/>
      <c r="BO233" s="1261"/>
      <c r="BP233" s="1261"/>
      <c r="BQ233" s="1261"/>
      <c r="BR233" s="1262"/>
      <c r="BS233" s="1261"/>
      <c r="BT233" s="1261"/>
      <c r="BU233" s="1261"/>
      <c r="BV233" s="1262"/>
      <c r="BW233" s="1261"/>
      <c r="BX233" s="1261"/>
      <c r="BY233" s="1261"/>
      <c r="BZ233" s="1262"/>
      <c r="CA233" s="1261"/>
      <c r="CB233" s="1261"/>
    </row>
    <row r="234" spans="1:80" s="6" customFormat="1">
      <c r="A234" s="151"/>
      <c r="B234" s="151"/>
      <c r="C234" s="232"/>
      <c r="D234" s="232"/>
      <c r="E234" s="232"/>
      <c r="F234" s="232"/>
      <c r="G234" s="910"/>
      <c r="H234" s="232"/>
      <c r="I234" s="232"/>
      <c r="J234" s="232"/>
      <c r="K234" s="232"/>
      <c r="L234" s="902"/>
      <c r="M234" s="232"/>
      <c r="N234" s="232"/>
      <c r="O234" s="1077"/>
      <c r="P234" s="368"/>
      <c r="V234" s="12"/>
      <c r="W234" s="12"/>
      <c r="X234" s="229"/>
      <c r="Y234" s="143"/>
      <c r="Z234" s="143"/>
      <c r="AC234" s="140"/>
      <c r="AD234" s="1246"/>
      <c r="AE234" s="1246"/>
      <c r="AF234" s="1260"/>
      <c r="AG234" s="1248"/>
      <c r="AH234" s="1248"/>
      <c r="AI234" s="1248"/>
      <c r="AJ234" s="1248"/>
      <c r="AK234" s="1250"/>
      <c r="AL234" s="1261"/>
      <c r="AM234" s="1261"/>
      <c r="AN234" s="1261"/>
      <c r="AO234" s="1261"/>
      <c r="AP234" s="1261"/>
      <c r="AQ234" s="1261"/>
      <c r="AR234" s="1261"/>
      <c r="AS234" s="1261"/>
      <c r="AT234" s="1261"/>
      <c r="AU234" s="1261"/>
      <c r="AV234" s="1261"/>
      <c r="AW234" s="1261"/>
      <c r="AX234" s="1261"/>
      <c r="AY234" s="1261"/>
      <c r="AZ234" s="1261"/>
      <c r="BA234" s="1261"/>
      <c r="BB234" s="1261"/>
      <c r="BC234" s="1261"/>
      <c r="BD234" s="1261"/>
      <c r="BE234" s="1261"/>
      <c r="BF234" s="1261"/>
      <c r="BG234" s="1260"/>
      <c r="BH234" s="1248"/>
      <c r="BI234" s="1248"/>
      <c r="BJ234" s="1248"/>
      <c r="BK234" s="1248"/>
      <c r="BL234" s="1250"/>
      <c r="BM234" s="1261"/>
      <c r="BN234" s="1261"/>
      <c r="BO234" s="1261"/>
      <c r="BP234" s="1261"/>
      <c r="BQ234" s="1261"/>
      <c r="BR234" s="1261"/>
      <c r="BS234" s="1261"/>
      <c r="BT234" s="1261"/>
      <c r="BU234" s="1261"/>
      <c r="BV234" s="1261"/>
      <c r="BW234" s="1261"/>
      <c r="BX234" s="1261"/>
      <c r="BY234" s="1261"/>
      <c r="BZ234" s="1261"/>
      <c r="CA234" s="1261"/>
      <c r="CB234" s="1261"/>
    </row>
    <row r="235" spans="1:80" s="6" customFormat="1">
      <c r="A235" s="79" t="s">
        <v>874</v>
      </c>
      <c r="B235" s="79"/>
      <c r="C235" s="378">
        <f>C237+C239</f>
        <v>18326.900000000001</v>
      </c>
      <c r="D235" s="378">
        <f t="shared" ref="D235:M235" si="120">D237+D239</f>
        <v>19490</v>
      </c>
      <c r="E235" s="378">
        <f t="shared" si="120"/>
        <v>21464</v>
      </c>
      <c r="F235" s="378">
        <f t="shared" si="120"/>
        <v>23927.199999999997</v>
      </c>
      <c r="G235" s="923">
        <f t="shared" si="120"/>
        <v>21738.2</v>
      </c>
      <c r="H235" s="378">
        <f t="shared" si="120"/>
        <v>20393.599999999999</v>
      </c>
      <c r="I235" s="378">
        <f t="shared" si="120"/>
        <v>20109</v>
      </c>
      <c r="J235" s="378">
        <f t="shared" si="120"/>
        <v>20083.3</v>
      </c>
      <c r="K235" s="378">
        <f t="shared" si="120"/>
        <v>20256.8</v>
      </c>
      <c r="L235" s="901">
        <f t="shared" si="120"/>
        <v>20627.8</v>
      </c>
      <c r="M235" s="378">
        <f t="shared" si="120"/>
        <v>21134.1</v>
      </c>
      <c r="N235" s="378"/>
      <c r="O235" s="152">
        <f>(M235/H235)^0.2-1</f>
        <v>7.1588476240485033E-3</v>
      </c>
      <c r="P235" s="368">
        <f>(M235/I235)^(1/4)-1</f>
        <v>1.2507668117146098E-2</v>
      </c>
      <c r="V235" s="12"/>
      <c r="W235" s="12"/>
      <c r="X235" s="229"/>
      <c r="Y235" s="143"/>
      <c r="Z235" s="143"/>
      <c r="AC235" s="140"/>
      <c r="AD235" s="1246"/>
      <c r="AE235" s="1246"/>
      <c r="AF235" s="1260"/>
      <c r="AG235" s="1248"/>
      <c r="AH235" s="1248"/>
      <c r="AI235" s="1248"/>
      <c r="AJ235" s="1248"/>
      <c r="AK235" s="1250"/>
      <c r="AL235" s="1261"/>
      <c r="AM235" s="1261"/>
      <c r="AN235" s="1261"/>
      <c r="AO235" s="1261"/>
      <c r="AP235" s="1261"/>
      <c r="AQ235" s="1261"/>
      <c r="AR235" s="1261"/>
      <c r="AS235" s="1261"/>
      <c r="AT235" s="1261"/>
      <c r="AU235" s="1261"/>
      <c r="AV235" s="1261"/>
      <c r="AW235" s="1261"/>
      <c r="AX235" s="1261"/>
      <c r="AY235" s="1261"/>
      <c r="AZ235" s="1261"/>
      <c r="BA235" s="1261"/>
      <c r="BB235" s="1261"/>
      <c r="BC235" s="1261"/>
      <c r="BD235" s="1261"/>
      <c r="BE235" s="1261"/>
      <c r="BF235" s="1261"/>
      <c r="BG235" s="1260"/>
      <c r="BH235" s="1248"/>
      <c r="BI235" s="1248"/>
      <c r="BJ235" s="1248"/>
      <c r="BK235" s="1248"/>
      <c r="BL235" s="1250"/>
      <c r="BM235" s="1261"/>
      <c r="BN235" s="1261"/>
      <c r="BO235" s="1261"/>
      <c r="BP235" s="1261"/>
      <c r="BQ235" s="1261"/>
      <c r="BR235" s="1261"/>
      <c r="BS235" s="1261"/>
      <c r="BT235" s="1261"/>
      <c r="BU235" s="1261"/>
      <c r="BV235" s="1261"/>
      <c r="BW235" s="1261"/>
      <c r="BX235" s="1261"/>
      <c r="BY235" s="1261"/>
      <c r="BZ235" s="1261"/>
      <c r="CA235" s="1261"/>
      <c r="CB235" s="1261"/>
    </row>
    <row r="236" spans="1:80" s="6" customFormat="1">
      <c r="A236" s="151" t="s">
        <v>694</v>
      </c>
      <c r="B236" s="151"/>
      <c r="D236" s="12">
        <f t="shared" ref="D236:M236" si="121">D235/C235-1</f>
        <v>6.3464088307351396E-2</v>
      </c>
      <c r="E236" s="12">
        <f t="shared" si="121"/>
        <v>0.10128270908158021</v>
      </c>
      <c r="F236" s="12">
        <f t="shared" si="121"/>
        <v>0.11475959746552356</v>
      </c>
      <c r="G236" s="908">
        <f t="shared" si="121"/>
        <v>-9.1485840382493411E-2</v>
      </c>
      <c r="H236" s="12">
        <f t="shared" si="121"/>
        <v>-6.1854247361787129E-2</v>
      </c>
      <c r="I236" s="12">
        <f t="shared" si="121"/>
        <v>-1.3955358543856877E-2</v>
      </c>
      <c r="J236" s="12">
        <f t="shared" si="121"/>
        <v>-1.2780347108259926E-3</v>
      </c>
      <c r="K236" s="12">
        <f t="shared" si="121"/>
        <v>8.6390184879974186E-3</v>
      </c>
      <c r="L236" s="30">
        <f t="shared" si="121"/>
        <v>1.8314837486671065E-2</v>
      </c>
      <c r="M236" s="12">
        <f t="shared" si="121"/>
        <v>2.4544546679723389E-2</v>
      </c>
      <c r="N236" s="12"/>
      <c r="O236" s="59"/>
      <c r="P236" s="368"/>
      <c r="V236" s="12"/>
      <c r="W236" s="12"/>
      <c r="X236" s="229"/>
      <c r="Y236" s="143"/>
      <c r="Z236" s="143"/>
      <c r="AC236" s="140"/>
      <c r="AD236" s="1246"/>
      <c r="AE236" s="1246"/>
      <c r="AF236" s="1260"/>
      <c r="AG236" s="1248"/>
      <c r="AH236" s="1248"/>
      <c r="AI236" s="1249"/>
      <c r="AJ236" s="1248"/>
      <c r="AK236" s="1250"/>
      <c r="AL236" s="1261"/>
      <c r="AM236" s="1262"/>
      <c r="AN236" s="1261"/>
      <c r="AO236" s="1261"/>
      <c r="AP236" s="1261"/>
      <c r="AQ236" s="1262"/>
      <c r="AR236" s="1261"/>
      <c r="AS236" s="1261"/>
      <c r="AT236" s="1261"/>
      <c r="AU236" s="1262"/>
      <c r="AV236" s="1261"/>
      <c r="AW236" s="1261"/>
      <c r="AX236" s="1261"/>
      <c r="AY236" s="1262"/>
      <c r="AZ236" s="1261"/>
      <c r="BA236" s="1261"/>
      <c r="BB236" s="1261"/>
      <c r="BC236" s="1261"/>
      <c r="BD236" s="1261"/>
      <c r="BE236" s="1261"/>
      <c r="BF236" s="1261"/>
      <c r="BG236" s="1260"/>
      <c r="BH236" s="1248"/>
      <c r="BI236" s="1248"/>
      <c r="BJ236" s="1249"/>
      <c r="BK236" s="1248"/>
      <c r="BL236" s="1250"/>
      <c r="BM236" s="1261"/>
      <c r="BN236" s="1262"/>
      <c r="BO236" s="1261"/>
      <c r="BP236" s="1261"/>
      <c r="BQ236" s="1261"/>
      <c r="BR236" s="1262"/>
      <c r="BS236" s="1261"/>
      <c r="BT236" s="1261"/>
      <c r="BU236" s="1261"/>
      <c r="BV236" s="1262"/>
      <c r="BW236" s="1261"/>
      <c r="BX236" s="1261"/>
      <c r="BY236" s="1261"/>
      <c r="BZ236" s="1262"/>
      <c r="CA236" s="1261"/>
      <c r="CB236" s="1261"/>
    </row>
    <row r="237" spans="1:80" s="6" customFormat="1">
      <c r="A237" s="78" t="s">
        <v>869</v>
      </c>
      <c r="B237" s="78"/>
      <c r="C237" s="232">
        <v>9245.9</v>
      </c>
      <c r="D237" s="232">
        <v>9438</v>
      </c>
      <c r="E237" s="232">
        <v>10667</v>
      </c>
      <c r="F237" s="232">
        <v>12239.8</v>
      </c>
      <c r="G237" s="910">
        <v>10911.5</v>
      </c>
      <c r="H237" s="232">
        <v>10192.9</v>
      </c>
      <c r="I237" s="232">
        <v>10657</v>
      </c>
      <c r="J237" s="232">
        <v>11193.3</v>
      </c>
      <c r="K237" s="232">
        <v>11833.8</v>
      </c>
      <c r="L237" s="902">
        <v>12555.9</v>
      </c>
      <c r="M237" s="232">
        <v>13338.3</v>
      </c>
      <c r="N237" s="232"/>
      <c r="O237" s="152">
        <f>(M237/H237)^0.2-1</f>
        <v>5.5262593048494901E-2</v>
      </c>
      <c r="P237" s="368">
        <f>(M237/I237)^(1/4)-1</f>
        <v>5.7709436164200323E-2</v>
      </c>
      <c r="V237" s="12"/>
      <c r="W237" s="12"/>
      <c r="X237" s="229"/>
      <c r="Y237" s="143"/>
      <c r="Z237" s="143"/>
      <c r="AC237" s="140"/>
      <c r="AD237" s="1246"/>
      <c r="AE237" s="1246"/>
      <c r="AF237" s="1260"/>
      <c r="AG237" s="1248"/>
      <c r="AH237" s="1248"/>
      <c r="AI237" s="1248"/>
      <c r="AJ237" s="1248"/>
      <c r="AK237" s="1250"/>
      <c r="AL237" s="1261"/>
      <c r="AM237" s="1261"/>
      <c r="AN237" s="1261"/>
      <c r="AO237" s="1261"/>
      <c r="AP237" s="1261"/>
      <c r="AQ237" s="1261"/>
      <c r="AR237" s="1261"/>
      <c r="AS237" s="1261"/>
      <c r="AT237" s="1261"/>
      <c r="AU237" s="1261"/>
      <c r="AV237" s="1261"/>
      <c r="AW237" s="1261"/>
      <c r="AX237" s="1261"/>
      <c r="AY237" s="1261"/>
      <c r="AZ237" s="1261"/>
      <c r="BA237" s="1261"/>
      <c r="BB237" s="1261"/>
      <c r="BC237" s="1261"/>
      <c r="BD237" s="1261"/>
      <c r="BE237" s="1261"/>
      <c r="BF237" s="1261"/>
      <c r="BG237" s="1260"/>
      <c r="BH237" s="1248"/>
      <c r="BI237" s="1248"/>
      <c r="BJ237" s="1248"/>
      <c r="BK237" s="1248"/>
      <c r="BL237" s="1250"/>
      <c r="BM237" s="1261"/>
      <c r="BN237" s="1261"/>
      <c r="BO237" s="1261"/>
      <c r="BP237" s="1261"/>
      <c r="BQ237" s="1261"/>
      <c r="BR237" s="1261"/>
      <c r="BS237" s="1261"/>
      <c r="BT237" s="1261"/>
      <c r="BU237" s="1261"/>
      <c r="BV237" s="1261"/>
      <c r="BW237" s="1261"/>
      <c r="BX237" s="1261"/>
      <c r="BY237" s="1261"/>
      <c r="BZ237" s="1261"/>
      <c r="CA237" s="1261"/>
      <c r="CB237" s="1261"/>
    </row>
    <row r="238" spans="1:80" s="6" customFormat="1">
      <c r="A238" s="151" t="s">
        <v>694</v>
      </c>
      <c r="B238" s="151"/>
      <c r="D238" s="12">
        <f t="shared" ref="D238:M238" si="122">D237/C237-1</f>
        <v>2.0776776733471003E-2</v>
      </c>
      <c r="E238" s="12">
        <f t="shared" si="122"/>
        <v>0.13021826658190294</v>
      </c>
      <c r="F238" s="12">
        <f t="shared" si="122"/>
        <v>0.14744539233148957</v>
      </c>
      <c r="G238" s="908">
        <f t="shared" si="122"/>
        <v>-0.10852301508194573</v>
      </c>
      <c r="H238" s="12">
        <f t="shared" si="122"/>
        <v>-6.5857123218622582E-2</v>
      </c>
      <c r="I238" s="12">
        <f t="shared" si="122"/>
        <v>4.5531693629879744E-2</v>
      </c>
      <c r="J238" s="12">
        <f t="shared" si="122"/>
        <v>5.0323730881110862E-2</v>
      </c>
      <c r="K238" s="12">
        <f t="shared" si="122"/>
        <v>5.7221730856851893E-2</v>
      </c>
      <c r="L238" s="30">
        <f t="shared" si="122"/>
        <v>6.1020128783653593E-2</v>
      </c>
      <c r="M238" s="12">
        <f t="shared" si="122"/>
        <v>6.2313334766922246E-2</v>
      </c>
      <c r="N238" s="12"/>
      <c r="O238" s="59"/>
      <c r="P238" s="368"/>
      <c r="V238" s="12"/>
      <c r="W238" s="12"/>
      <c r="X238" s="229"/>
      <c r="Y238" s="143"/>
      <c r="Z238" s="143"/>
      <c r="AC238" s="140"/>
      <c r="AD238" s="1246"/>
      <c r="AE238" s="1246"/>
      <c r="AF238" s="1260"/>
      <c r="AG238" s="1248"/>
      <c r="AH238" s="1248"/>
      <c r="AI238" s="1249"/>
      <c r="AJ238" s="1248"/>
      <c r="AK238" s="1250"/>
      <c r="AL238" s="1261"/>
      <c r="AM238" s="1262"/>
      <c r="AN238" s="1261"/>
      <c r="AO238" s="1261"/>
      <c r="AP238" s="1261"/>
      <c r="AQ238" s="1262"/>
      <c r="AR238" s="1261"/>
      <c r="AS238" s="1261"/>
      <c r="AT238" s="1261"/>
      <c r="AU238" s="1262"/>
      <c r="AV238" s="1261"/>
      <c r="AW238" s="1261"/>
      <c r="AX238" s="1261"/>
      <c r="AY238" s="1262"/>
      <c r="AZ238" s="1261"/>
      <c r="BA238" s="1261"/>
      <c r="BB238" s="1261"/>
      <c r="BC238" s="1261"/>
      <c r="BD238" s="1261"/>
      <c r="BE238" s="1261"/>
      <c r="BF238" s="1261"/>
      <c r="BG238" s="1260"/>
      <c r="BH238" s="1248"/>
      <c r="BI238" s="1248"/>
      <c r="BJ238" s="1249"/>
      <c r="BK238" s="1248"/>
      <c r="BL238" s="1250"/>
      <c r="BM238" s="1261"/>
      <c r="BN238" s="1262"/>
      <c r="BO238" s="1261"/>
      <c r="BP238" s="1261"/>
      <c r="BQ238" s="1261"/>
      <c r="BR238" s="1262"/>
      <c r="BS238" s="1261"/>
      <c r="BT238" s="1261"/>
      <c r="BU238" s="1261"/>
      <c r="BV238" s="1262"/>
      <c r="BW238" s="1261"/>
      <c r="BX238" s="1261"/>
      <c r="BY238" s="1261"/>
      <c r="BZ238" s="1262"/>
      <c r="CA238" s="1261"/>
      <c r="CB238" s="1261"/>
    </row>
    <row r="239" spans="1:80" s="6" customFormat="1">
      <c r="A239" s="78" t="s">
        <v>827</v>
      </c>
      <c r="B239" s="78"/>
      <c r="C239" s="232">
        <v>9081</v>
      </c>
      <c r="D239" s="232">
        <v>10052</v>
      </c>
      <c r="E239" s="232">
        <v>10797</v>
      </c>
      <c r="F239" s="232">
        <v>11687.4</v>
      </c>
      <c r="G239" s="910">
        <v>10826.7</v>
      </c>
      <c r="H239" s="232">
        <v>10200.700000000001</v>
      </c>
      <c r="I239" s="232">
        <v>9452</v>
      </c>
      <c r="J239" s="232">
        <v>8890</v>
      </c>
      <c r="K239" s="232">
        <v>8423</v>
      </c>
      <c r="L239" s="902">
        <v>8071.9</v>
      </c>
      <c r="M239" s="232">
        <v>7795.8</v>
      </c>
      <c r="N239" s="232"/>
      <c r="O239" s="152">
        <f>(M239/H239)^0.2-1</f>
        <v>-5.2353980539118106E-2</v>
      </c>
      <c r="P239" s="368">
        <f>(M239/I239)^(1/4)-1</f>
        <v>-4.7018995692439502E-2</v>
      </c>
      <c r="V239" s="12"/>
      <c r="W239" s="12"/>
      <c r="X239" s="229"/>
      <c r="Y239" s="143"/>
      <c r="Z239" s="143"/>
      <c r="AC239" s="140"/>
      <c r="AD239" s="1246"/>
      <c r="AE239" s="1246"/>
      <c r="AF239" s="1260"/>
      <c r="AG239" s="1248"/>
      <c r="AH239" s="1248"/>
      <c r="AI239" s="1248"/>
      <c r="AJ239" s="1248"/>
      <c r="AK239" s="1250"/>
      <c r="AL239" s="1261"/>
      <c r="AM239" s="1261"/>
      <c r="AN239" s="1261"/>
      <c r="AO239" s="1261"/>
      <c r="AP239" s="1261"/>
      <c r="AQ239" s="1261"/>
      <c r="AR239" s="1261"/>
      <c r="AS239" s="1261"/>
      <c r="AT239" s="1261"/>
      <c r="AU239" s="1261"/>
      <c r="AV239" s="1261"/>
      <c r="AW239" s="1261"/>
      <c r="AX239" s="1261"/>
      <c r="AY239" s="1261"/>
      <c r="AZ239" s="1261"/>
      <c r="BA239" s="1261"/>
      <c r="BB239" s="1261"/>
      <c r="BC239" s="1261"/>
      <c r="BD239" s="1261"/>
      <c r="BE239" s="1261"/>
      <c r="BF239" s="1261"/>
      <c r="BG239" s="1260"/>
      <c r="BH239" s="1248"/>
      <c r="BI239" s="1248"/>
      <c r="BJ239" s="1248"/>
      <c r="BK239" s="1248"/>
      <c r="BL239" s="1250"/>
      <c r="BM239" s="1261"/>
      <c r="BN239" s="1261"/>
      <c r="BO239" s="1261"/>
      <c r="BP239" s="1261"/>
      <c r="BQ239" s="1261"/>
      <c r="BR239" s="1261"/>
      <c r="BS239" s="1261"/>
      <c r="BT239" s="1261"/>
      <c r="BU239" s="1261"/>
      <c r="BV239" s="1261"/>
      <c r="BW239" s="1261"/>
      <c r="BX239" s="1261"/>
      <c r="BY239" s="1261"/>
      <c r="BZ239" s="1261"/>
      <c r="CA239" s="1261"/>
      <c r="CB239" s="1261"/>
    </row>
    <row r="240" spans="1:80" s="6" customFormat="1">
      <c r="A240" s="151" t="s">
        <v>694</v>
      </c>
      <c r="B240" s="151"/>
      <c r="D240" s="12">
        <f t="shared" ref="D240:M240" si="123">D239/C239-1</f>
        <v>0.10692654993943407</v>
      </c>
      <c r="E240" s="12">
        <f t="shared" si="123"/>
        <v>7.4114604058893807E-2</v>
      </c>
      <c r="F240" s="12">
        <f t="shared" si="123"/>
        <v>8.2467352042233877E-2</v>
      </c>
      <c r="G240" s="908">
        <f t="shared" si="123"/>
        <v>-7.3643410852713087E-2</v>
      </c>
      <c r="H240" s="12">
        <f t="shared" si="123"/>
        <v>-5.7820019027035041E-2</v>
      </c>
      <c r="I240" s="12">
        <f t="shared" si="123"/>
        <v>-7.3396923740527642E-2</v>
      </c>
      <c r="J240" s="12">
        <f t="shared" si="123"/>
        <v>-5.9458315700380848E-2</v>
      </c>
      <c r="K240" s="12">
        <f t="shared" si="123"/>
        <v>-5.2530933633295862E-2</v>
      </c>
      <c r="L240" s="30">
        <f t="shared" si="123"/>
        <v>-4.168348569393332E-2</v>
      </c>
      <c r="M240" s="12">
        <f t="shared" si="123"/>
        <v>-3.4205081827079042E-2</v>
      </c>
      <c r="N240" s="12"/>
      <c r="O240" s="59"/>
      <c r="P240" s="368"/>
      <c r="V240" s="12"/>
      <c r="W240" s="12"/>
      <c r="X240" s="229"/>
      <c r="Y240" s="143"/>
      <c r="Z240" s="143"/>
      <c r="AC240" s="140"/>
      <c r="AD240" s="1246"/>
      <c r="AE240" s="1246"/>
      <c r="AF240" s="1260"/>
      <c r="AG240" s="1248"/>
      <c r="AH240" s="1248"/>
      <c r="AI240" s="1249"/>
      <c r="AJ240" s="1248"/>
      <c r="AK240" s="1250"/>
      <c r="AL240" s="1261"/>
      <c r="AM240" s="1262"/>
      <c r="AN240" s="1261"/>
      <c r="AO240" s="1261"/>
      <c r="AP240" s="1261"/>
      <c r="AQ240" s="1262"/>
      <c r="AR240" s="1261"/>
      <c r="AS240" s="1261"/>
      <c r="AT240" s="1261"/>
      <c r="AU240" s="1262"/>
      <c r="AV240" s="1261"/>
      <c r="AW240" s="1261"/>
      <c r="AX240" s="1261"/>
      <c r="AY240" s="1262"/>
      <c r="AZ240" s="1261"/>
      <c r="BA240" s="1261"/>
      <c r="BB240" s="1261"/>
      <c r="BC240" s="1261"/>
      <c r="BD240" s="1261"/>
      <c r="BE240" s="1261"/>
      <c r="BF240" s="1261"/>
      <c r="BG240" s="1260"/>
      <c r="BH240" s="1248"/>
      <c r="BI240" s="1248"/>
      <c r="BJ240" s="1249"/>
      <c r="BK240" s="1248"/>
      <c r="BL240" s="1250"/>
      <c r="BM240" s="1261"/>
      <c r="BN240" s="1262"/>
      <c r="BO240" s="1261"/>
      <c r="BP240" s="1261"/>
      <c r="BQ240" s="1261"/>
      <c r="BR240" s="1262"/>
      <c r="BS240" s="1261"/>
      <c r="BT240" s="1261"/>
      <c r="BU240" s="1261"/>
      <c r="BV240" s="1262"/>
      <c r="BW240" s="1261"/>
      <c r="BX240" s="1261"/>
      <c r="BY240" s="1261"/>
      <c r="BZ240" s="1262"/>
      <c r="CA240" s="1261"/>
      <c r="CB240" s="1261"/>
    </row>
    <row r="241" spans="1:80" s="6" customFormat="1">
      <c r="A241" s="151"/>
      <c r="B241" s="151"/>
      <c r="C241" s="232"/>
      <c r="D241" s="232"/>
      <c r="E241" s="232"/>
      <c r="F241" s="232"/>
      <c r="G241" s="910"/>
      <c r="H241" s="232"/>
      <c r="I241" s="232"/>
      <c r="J241" s="232"/>
      <c r="K241" s="232"/>
      <c r="L241" s="902"/>
      <c r="M241" s="232"/>
      <c r="N241" s="232"/>
      <c r="O241" s="1077"/>
      <c r="P241" s="368"/>
      <c r="V241" s="12"/>
      <c r="W241" s="12"/>
      <c r="X241" s="229"/>
      <c r="Y241" s="143"/>
      <c r="Z241" s="143"/>
      <c r="AC241" s="140"/>
      <c r="AD241" s="1246"/>
      <c r="AE241" s="1246"/>
      <c r="AF241" s="1260"/>
      <c r="AG241" s="1248"/>
      <c r="AH241" s="1248"/>
      <c r="AI241" s="1248"/>
      <c r="AJ241" s="1248"/>
      <c r="AK241" s="1250"/>
      <c r="AL241" s="1261"/>
      <c r="AM241" s="1261"/>
      <c r="AN241" s="1261"/>
      <c r="AO241" s="1261"/>
      <c r="AP241" s="1261"/>
      <c r="AQ241" s="1261"/>
      <c r="AR241" s="1261"/>
      <c r="AS241" s="1261"/>
      <c r="AT241" s="1261"/>
      <c r="AU241" s="1261"/>
      <c r="AV241" s="1261"/>
      <c r="AW241" s="1261"/>
      <c r="AX241" s="1261"/>
      <c r="AY241" s="1261"/>
      <c r="AZ241" s="1261"/>
      <c r="BA241" s="1261"/>
      <c r="BB241" s="1261"/>
      <c r="BC241" s="1261"/>
      <c r="BD241" s="1261"/>
      <c r="BE241" s="1261"/>
      <c r="BF241" s="1261"/>
      <c r="BG241" s="1260"/>
      <c r="BH241" s="1248"/>
      <c r="BI241" s="1248"/>
      <c r="BJ241" s="1248"/>
      <c r="BK241" s="1248"/>
      <c r="BL241" s="1250"/>
      <c r="BM241" s="1261"/>
      <c r="BN241" s="1261"/>
      <c r="BO241" s="1261"/>
      <c r="BP241" s="1261"/>
      <c r="BQ241" s="1261"/>
      <c r="BR241" s="1261"/>
      <c r="BS241" s="1261"/>
      <c r="BT241" s="1261"/>
      <c r="BU241" s="1261"/>
      <c r="BV241" s="1261"/>
      <c r="BW241" s="1261"/>
      <c r="BX241" s="1261"/>
      <c r="BY241" s="1261"/>
      <c r="BZ241" s="1261"/>
      <c r="CA241" s="1261"/>
      <c r="CB241" s="1261"/>
    </row>
    <row r="242" spans="1:80">
      <c r="A242" s="78" t="s">
        <v>875</v>
      </c>
      <c r="C242" s="20">
        <f>C237/C230</f>
        <v>14.460275258054425</v>
      </c>
      <c r="D242" s="20">
        <f t="shared" ref="D242:M242" si="124">D237/D230</f>
        <v>14.415762944860241</v>
      </c>
      <c r="E242" s="20">
        <f t="shared" si="124"/>
        <v>14.495175974996604</v>
      </c>
      <c r="F242" s="20">
        <f t="shared" si="124"/>
        <v>14.895704028234148</v>
      </c>
      <c r="G242" s="914">
        <f t="shared" si="124"/>
        <v>15.211905757702496</v>
      </c>
      <c r="H242" s="20">
        <f t="shared" si="124"/>
        <v>15.476617066504707</v>
      </c>
      <c r="I242" s="20">
        <f t="shared" si="124"/>
        <v>15.743832176096912</v>
      </c>
      <c r="J242" s="20">
        <f t="shared" si="124"/>
        <v>16.017887807670292</v>
      </c>
      <c r="K242" s="20">
        <f t="shared" si="124"/>
        <v>16.306738321620504</v>
      </c>
      <c r="L242" s="53">
        <f t="shared" si="124"/>
        <v>16.562326869806093</v>
      </c>
      <c r="M242" s="20">
        <f t="shared" si="124"/>
        <v>16.788294524858401</v>
      </c>
      <c r="N242" s="20"/>
      <c r="O242" s="152">
        <f>(M242/H242)^0.2-1</f>
        <v>1.6403398490988597E-2</v>
      </c>
      <c r="P242" s="368">
        <f>(M242/I242)^(1/4)-1</f>
        <v>1.6187929565246284E-2</v>
      </c>
      <c r="V242" s="18"/>
      <c r="W242" s="18"/>
      <c r="Y242" s="137"/>
      <c r="Z242" s="137"/>
      <c r="AC242" s="2"/>
      <c r="AD242" s="1255"/>
      <c r="AE242" s="1255"/>
      <c r="AF242" s="1247"/>
      <c r="AG242" s="1256"/>
      <c r="AH242" s="1256"/>
      <c r="AI242" s="1256"/>
      <c r="AJ242" s="1256"/>
      <c r="AK242" s="1258"/>
      <c r="AL242" s="561"/>
      <c r="AM242" s="561"/>
      <c r="AN242" s="561"/>
      <c r="AO242" s="561"/>
      <c r="AP242" s="561"/>
      <c r="AQ242" s="561"/>
      <c r="AR242" s="561"/>
      <c r="AS242" s="561"/>
      <c r="AT242" s="561"/>
      <c r="AU242" s="561"/>
      <c r="AV242" s="561"/>
      <c r="AW242" s="561"/>
      <c r="AX242" s="561"/>
      <c r="AY242" s="561"/>
      <c r="AZ242" s="561"/>
      <c r="BA242" s="561"/>
      <c r="BB242" s="561"/>
      <c r="BC242" s="561"/>
      <c r="BD242" s="561"/>
      <c r="BE242" s="561"/>
      <c r="BF242" s="561"/>
      <c r="BG242" s="1247"/>
      <c r="BH242" s="1256"/>
      <c r="BI242" s="1256"/>
      <c r="BJ242" s="1256"/>
      <c r="BK242" s="1256"/>
      <c r="BL242" s="1258"/>
      <c r="BM242" s="561"/>
      <c r="BN242" s="561"/>
      <c r="BO242" s="561"/>
      <c r="BP242" s="561"/>
      <c r="BQ242" s="561"/>
      <c r="BR242" s="561"/>
      <c r="BS242" s="561"/>
      <c r="BT242" s="561"/>
      <c r="BU242" s="561"/>
      <c r="BV242" s="561"/>
      <c r="BW242" s="561"/>
      <c r="BX242" s="561"/>
      <c r="BY242" s="561"/>
      <c r="BZ242" s="561"/>
      <c r="CA242" s="561"/>
      <c r="CB242" s="561"/>
    </row>
    <row r="243" spans="1:80" s="6" customFormat="1">
      <c r="A243" s="151" t="s">
        <v>694</v>
      </c>
      <c r="B243" s="151"/>
      <c r="D243" s="12">
        <f t="shared" ref="D243:M243" si="125">D242/C242-1</f>
        <v>-3.0782479862816459E-3</v>
      </c>
      <c r="E243" s="12">
        <f t="shared" si="125"/>
        <v>5.5087635971897697E-3</v>
      </c>
      <c r="F243" s="12">
        <f t="shared" si="125"/>
        <v>2.7631817228602973E-2</v>
      </c>
      <c r="G243" s="908">
        <f t="shared" si="125"/>
        <v>2.1227712961334522E-2</v>
      </c>
      <c r="H243" s="12">
        <f t="shared" si="125"/>
        <v>1.7401587481448599E-2</v>
      </c>
      <c r="I243" s="12">
        <f t="shared" si="125"/>
        <v>1.7265731163596865E-2</v>
      </c>
      <c r="J243" s="12">
        <f t="shared" si="125"/>
        <v>1.740717434662864E-2</v>
      </c>
      <c r="K243" s="12">
        <f t="shared" si="125"/>
        <v>1.8032996448626326E-2</v>
      </c>
      <c r="L243" s="30">
        <f t="shared" si="125"/>
        <v>1.5673799575646186E-2</v>
      </c>
      <c r="M243" s="12">
        <f t="shared" si="125"/>
        <v>1.3643472733547934E-2</v>
      </c>
      <c r="N243" s="12"/>
      <c r="O243" s="59"/>
      <c r="P243" s="368"/>
      <c r="V243" s="12"/>
      <c r="W243" s="12"/>
      <c r="X243" s="229"/>
      <c r="Y243" s="143"/>
      <c r="Z243" s="143"/>
      <c r="AC243" s="140"/>
      <c r="AD243" s="1246"/>
      <c r="AE243" s="1246"/>
      <c r="AF243" s="1260"/>
      <c r="AG243" s="1248"/>
      <c r="AH243" s="1248"/>
      <c r="AI243" s="1249"/>
      <c r="AJ243" s="1248"/>
      <c r="AK243" s="1250"/>
      <c r="AL243" s="1261"/>
      <c r="AM243" s="1262"/>
      <c r="AN243" s="1261"/>
      <c r="AO243" s="1261"/>
      <c r="AP243" s="1261"/>
      <c r="AQ243" s="1262"/>
      <c r="AR243" s="1261"/>
      <c r="AS243" s="1261"/>
      <c r="AT243" s="1261"/>
      <c r="AU243" s="1262"/>
      <c r="AV243" s="1261"/>
      <c r="AW243" s="1261"/>
      <c r="AX243" s="1261"/>
      <c r="AY243" s="1262"/>
      <c r="AZ243" s="1261"/>
      <c r="BA243" s="1261"/>
      <c r="BB243" s="1261"/>
      <c r="BC243" s="1261"/>
      <c r="BD243" s="1261"/>
      <c r="BE243" s="1261"/>
      <c r="BF243" s="1261"/>
      <c r="BG243" s="1260"/>
      <c r="BH243" s="1248"/>
      <c r="BI243" s="1248"/>
      <c r="BJ243" s="1249"/>
      <c r="BK243" s="1248"/>
      <c r="BL243" s="1250"/>
      <c r="BM243" s="1261"/>
      <c r="BN243" s="1262"/>
      <c r="BO243" s="1261"/>
      <c r="BP243" s="1261"/>
      <c r="BQ243" s="1261"/>
      <c r="BR243" s="1262"/>
      <c r="BS243" s="1261"/>
      <c r="BT243" s="1261"/>
      <c r="BU243" s="1261"/>
      <c r="BV243" s="1262"/>
      <c r="BW243" s="1261"/>
      <c r="BX243" s="1261"/>
      <c r="BY243" s="1261"/>
      <c r="BZ243" s="1262"/>
      <c r="CA243" s="1261"/>
      <c r="CB243" s="1261"/>
    </row>
    <row r="244" spans="1:80">
      <c r="A244" s="78" t="s">
        <v>876</v>
      </c>
      <c r="C244" s="20">
        <f>C239/C232</f>
        <v>5.6083250988142295</v>
      </c>
      <c r="D244" s="20">
        <f t="shared" ref="D244:M244" si="126">D239/D232</f>
        <v>6.5349109348589263</v>
      </c>
      <c r="E244" s="20">
        <f t="shared" si="126"/>
        <v>6.7515007503751878</v>
      </c>
      <c r="F244" s="20">
        <f t="shared" si="126"/>
        <v>7.0338228213769858</v>
      </c>
      <c r="G244" s="914">
        <f t="shared" si="126"/>
        <v>7.1785572205277814</v>
      </c>
      <c r="H244" s="20">
        <f t="shared" si="126"/>
        <v>7.3582197215609906</v>
      </c>
      <c r="I244" s="20">
        <f>I239/I232</f>
        <v>7.3084357844274344</v>
      </c>
      <c r="J244" s="20">
        <f>J239/J232</f>
        <v>7.2559582109043417</v>
      </c>
      <c r="K244" s="20">
        <f>K239/K232</f>
        <v>7.1703413637524474</v>
      </c>
      <c r="L244" s="53">
        <f>L239/L232</f>
        <v>7.1049203415192324</v>
      </c>
      <c r="M244" s="20">
        <f t="shared" si="126"/>
        <v>7.0684558890198561</v>
      </c>
      <c r="N244" s="20"/>
      <c r="O244" s="152">
        <f>(M244/H244)^0.2-1</f>
        <v>-8.0029971316772919E-3</v>
      </c>
      <c r="P244" s="368">
        <f>(M244/I244)^(1/4)-1</f>
        <v>-8.3120659208426595E-3</v>
      </c>
      <c r="V244" s="18"/>
      <c r="W244" s="18"/>
      <c r="Y244" s="137"/>
      <c r="Z244" s="137"/>
      <c r="AC244" s="2"/>
      <c r="AD244" s="1255"/>
      <c r="AE244" s="1255"/>
      <c r="AF244" s="1247"/>
      <c r="AG244" s="1256"/>
      <c r="AH244" s="1256"/>
      <c r="AI244" s="1256"/>
      <c r="AJ244" s="1256"/>
      <c r="AK244" s="1258"/>
      <c r="AL244" s="561"/>
      <c r="AM244" s="561"/>
      <c r="AN244" s="561"/>
      <c r="AO244" s="561"/>
      <c r="AP244" s="561"/>
      <c r="AQ244" s="561"/>
      <c r="AR244" s="561"/>
      <c r="AS244" s="561"/>
      <c r="AT244" s="561"/>
      <c r="AU244" s="561"/>
      <c r="AV244" s="561"/>
      <c r="AW244" s="561"/>
      <c r="AX244" s="561"/>
      <c r="AY244" s="561"/>
      <c r="AZ244" s="561"/>
      <c r="BA244" s="561"/>
      <c r="BB244" s="561"/>
      <c r="BC244" s="561"/>
      <c r="BD244" s="561"/>
      <c r="BE244" s="561"/>
      <c r="BF244" s="561"/>
      <c r="BG244" s="1247"/>
      <c r="BH244" s="1256"/>
      <c r="BI244" s="1256"/>
      <c r="BJ244" s="1256"/>
      <c r="BK244" s="1256"/>
      <c r="BL244" s="1258"/>
      <c r="BM244" s="561"/>
      <c r="BN244" s="561"/>
      <c r="BO244" s="561"/>
      <c r="BP244" s="561"/>
      <c r="BQ244" s="561"/>
      <c r="BR244" s="561"/>
      <c r="BS244" s="561"/>
      <c r="BT244" s="561"/>
      <c r="BU244" s="561"/>
      <c r="BV244" s="561"/>
      <c r="BW244" s="561"/>
      <c r="BX244" s="561"/>
      <c r="BY244" s="561"/>
      <c r="BZ244" s="561"/>
      <c r="CA244" s="561"/>
      <c r="CB244" s="561"/>
    </row>
    <row r="245" spans="1:80" s="6" customFormat="1">
      <c r="A245" s="151" t="s">
        <v>694</v>
      </c>
      <c r="B245" s="151"/>
      <c r="D245" s="12">
        <f t="shared" ref="D245:M245" si="127">D244/C244-1</f>
        <v>0.1652161420243996</v>
      </c>
      <c r="E245" s="12">
        <f t="shared" si="127"/>
        <v>3.314349922673232E-2</v>
      </c>
      <c r="F245" s="12">
        <f t="shared" si="127"/>
        <v>4.1816194863950606E-2</v>
      </c>
      <c r="G245" s="908">
        <f t="shared" si="127"/>
        <v>2.0576918530123223E-2</v>
      </c>
      <c r="H245" s="12">
        <f t="shared" si="127"/>
        <v>2.5027661619725805E-2</v>
      </c>
      <c r="I245" s="12">
        <f t="shared" si="127"/>
        <v>-6.7657584330731435E-3</v>
      </c>
      <c r="J245" s="12">
        <f t="shared" si="127"/>
        <v>-7.1804111127184989E-3</v>
      </c>
      <c r="K245" s="12">
        <f t="shared" si="127"/>
        <v>-1.1799523186783012E-2</v>
      </c>
      <c r="L245" s="30">
        <f t="shared" si="127"/>
        <v>-9.1238364973712516E-3</v>
      </c>
      <c r="M245" s="12">
        <f t="shared" si="127"/>
        <v>-5.1322816789778347E-3</v>
      </c>
      <c r="N245" s="12"/>
      <c r="O245" s="59"/>
      <c r="P245" s="12"/>
      <c r="Q245" s="12"/>
      <c r="R245" s="12"/>
      <c r="S245" s="12"/>
      <c r="T245" s="12"/>
      <c r="U245" s="12"/>
      <c r="V245" s="12"/>
      <c r="W245" s="12"/>
      <c r="X245" s="229"/>
      <c r="Y245" s="143"/>
      <c r="Z245" s="143"/>
      <c r="AC245" s="140"/>
      <c r="AD245" s="1246"/>
      <c r="AE245" s="1246"/>
      <c r="AF245" s="1260"/>
      <c r="AG245" s="1248"/>
      <c r="AH245" s="1248"/>
      <c r="AI245" s="1249"/>
      <c r="AJ245" s="1248"/>
      <c r="AK245" s="1250"/>
      <c r="AL245" s="1261"/>
      <c r="AM245" s="1262"/>
      <c r="AN245" s="1261"/>
      <c r="AO245" s="1261"/>
      <c r="AP245" s="1261"/>
      <c r="AQ245" s="1262"/>
      <c r="AR245" s="1261"/>
      <c r="AS245" s="1261"/>
      <c r="AT245" s="1261"/>
      <c r="AU245" s="1262"/>
      <c r="AV245" s="1261"/>
      <c r="AW245" s="1261"/>
      <c r="AX245" s="1261"/>
      <c r="AY245" s="1262"/>
      <c r="AZ245" s="1261"/>
      <c r="BA245" s="1261"/>
      <c r="BB245" s="1261"/>
      <c r="BC245" s="1261"/>
      <c r="BD245" s="1261"/>
      <c r="BE245" s="1261"/>
      <c r="BF245" s="1261"/>
      <c r="BG245" s="1260"/>
      <c r="BH245" s="1248"/>
      <c r="BI245" s="1248"/>
      <c r="BJ245" s="1249"/>
      <c r="BK245" s="1248"/>
      <c r="BL245" s="1250"/>
      <c r="BM245" s="1261"/>
      <c r="BN245" s="1262"/>
      <c r="BO245" s="1261"/>
      <c r="BP245" s="1261"/>
      <c r="BQ245" s="1261"/>
      <c r="BR245" s="1262"/>
      <c r="BS245" s="1261"/>
      <c r="BT245" s="1261"/>
      <c r="BU245" s="1261"/>
      <c r="BV245" s="1262"/>
      <c r="BW245" s="1261"/>
      <c r="BX245" s="1261"/>
      <c r="BY245" s="1261"/>
      <c r="BZ245" s="1262"/>
      <c r="CA245" s="1261"/>
      <c r="CB245" s="1261"/>
    </row>
    <row r="246" spans="1:80" s="6" customFormat="1">
      <c r="A246" s="151"/>
      <c r="B246" s="151"/>
      <c r="D246" s="12"/>
      <c r="E246" s="12"/>
      <c r="F246" s="12"/>
      <c r="G246" s="908"/>
      <c r="H246" s="12"/>
      <c r="I246" s="12"/>
      <c r="J246" s="12"/>
      <c r="K246" s="12"/>
      <c r="L246" s="30"/>
      <c r="M246" s="12"/>
      <c r="N246" s="12"/>
      <c r="O246" s="59"/>
      <c r="P246" s="12"/>
      <c r="Q246" s="12"/>
      <c r="R246" s="12"/>
      <c r="S246" s="12"/>
      <c r="T246" s="12"/>
      <c r="U246" s="12"/>
      <c r="V246" s="12"/>
      <c r="W246" s="12"/>
      <c r="X246" s="229"/>
      <c r="Y246" s="143"/>
      <c r="Z246" s="143"/>
      <c r="AC246" s="140"/>
      <c r="AD246" s="1246"/>
      <c r="AE246" s="1246"/>
      <c r="AF246" s="1260"/>
      <c r="AG246" s="1248"/>
      <c r="AH246" s="1248"/>
      <c r="AI246" s="1248"/>
      <c r="AJ246" s="1248"/>
      <c r="AK246" s="1250"/>
      <c r="AL246" s="1261"/>
      <c r="AM246" s="1261"/>
      <c r="AN246" s="1261"/>
      <c r="AO246" s="1261"/>
      <c r="AP246" s="1261"/>
      <c r="AQ246" s="1261"/>
      <c r="AR246" s="1261"/>
      <c r="AS246" s="1261"/>
      <c r="AT246" s="1261"/>
      <c r="AU246" s="1261"/>
      <c r="AV246" s="1261"/>
      <c r="AW246" s="1261"/>
      <c r="AX246" s="1261"/>
      <c r="AY246" s="1261"/>
      <c r="AZ246" s="1261"/>
      <c r="BA246" s="1261"/>
      <c r="BB246" s="1261"/>
      <c r="BC246" s="1261"/>
      <c r="BD246" s="1261"/>
      <c r="BE246" s="1261"/>
      <c r="BF246" s="1261"/>
      <c r="BG246" s="1260"/>
      <c r="BH246" s="1248"/>
      <c r="BI246" s="1248"/>
      <c r="BJ246" s="1248"/>
      <c r="BK246" s="1248"/>
      <c r="BL246" s="1250"/>
      <c r="BM246" s="1261"/>
      <c r="BN246" s="1261"/>
      <c r="BO246" s="1261"/>
      <c r="BP246" s="1261"/>
      <c r="BQ246" s="1261"/>
      <c r="BR246" s="1261"/>
      <c r="BS246" s="1261"/>
      <c r="BT246" s="1261"/>
      <c r="BU246" s="1261"/>
      <c r="BV246" s="1261"/>
      <c r="BW246" s="1261"/>
      <c r="BX246" s="1261"/>
      <c r="BY246" s="1261"/>
      <c r="BZ246" s="1261"/>
      <c r="CA246" s="1261"/>
      <c r="CB246" s="1261"/>
    </row>
    <row r="247" spans="1:80" s="6" customFormat="1">
      <c r="A247" s="151"/>
      <c r="B247" s="151"/>
      <c r="D247" s="12"/>
      <c r="E247" s="12"/>
      <c r="F247" s="12"/>
      <c r="G247" s="908"/>
      <c r="H247" s="12"/>
      <c r="I247" s="12"/>
      <c r="J247" s="12"/>
      <c r="K247" s="12"/>
      <c r="L247" s="30"/>
      <c r="M247" s="12"/>
      <c r="N247" s="12"/>
      <c r="O247" s="59"/>
      <c r="P247" s="12"/>
      <c r="Q247" s="12"/>
      <c r="R247" s="12"/>
      <c r="S247" s="12"/>
      <c r="T247" s="12"/>
      <c r="U247" s="12"/>
      <c r="V247" s="12"/>
      <c r="W247" s="12"/>
      <c r="X247" s="229"/>
      <c r="Y247" s="143"/>
      <c r="Z247" s="143"/>
      <c r="AC247" s="140"/>
      <c r="AD247" s="1246"/>
      <c r="AE247" s="1246"/>
      <c r="AF247" s="1260"/>
      <c r="AG247" s="1248"/>
      <c r="AH247" s="1248"/>
      <c r="AI247" s="1248"/>
      <c r="AJ247" s="1248"/>
      <c r="AK247" s="1250"/>
      <c r="AL247" s="1261"/>
      <c r="AM247" s="1261"/>
      <c r="AN247" s="1261"/>
      <c r="AO247" s="1261"/>
      <c r="AP247" s="1261"/>
      <c r="AQ247" s="1261"/>
      <c r="AR247" s="1261"/>
      <c r="AS247" s="1261"/>
      <c r="AT247" s="1261"/>
      <c r="AU247" s="1261"/>
      <c r="AV247" s="1261"/>
      <c r="AW247" s="1261"/>
      <c r="AX247" s="1261"/>
      <c r="AY247" s="1261"/>
      <c r="AZ247" s="1261"/>
      <c r="BA247" s="1261"/>
      <c r="BB247" s="1261"/>
      <c r="BC247" s="1261"/>
      <c r="BD247" s="1261"/>
      <c r="BE247" s="1261"/>
      <c r="BF247" s="1261"/>
      <c r="BG247" s="1260"/>
      <c r="BH247" s="1248"/>
      <c r="BI247" s="1248"/>
      <c r="BJ247" s="1248"/>
      <c r="BK247" s="1248"/>
      <c r="BL247" s="1250"/>
      <c r="BM247" s="1261"/>
      <c r="BN247" s="1261"/>
      <c r="BO247" s="1261"/>
      <c r="BP247" s="1261"/>
      <c r="BQ247" s="1261"/>
      <c r="BR247" s="1261"/>
      <c r="BS247" s="1261"/>
      <c r="BT247" s="1261"/>
      <c r="BU247" s="1261"/>
      <c r="BV247" s="1261"/>
      <c r="BW247" s="1261"/>
      <c r="BX247" s="1261"/>
      <c r="BY247" s="1261"/>
      <c r="BZ247" s="1261"/>
      <c r="CA247" s="1261"/>
      <c r="CB247" s="1261"/>
    </row>
    <row r="248" spans="1:80" s="6" customFormat="1">
      <c r="A248" s="151"/>
      <c r="B248" s="151"/>
      <c r="D248" s="12"/>
      <c r="E248" s="12"/>
      <c r="F248" s="12"/>
      <c r="G248" s="908"/>
      <c r="H248" s="12"/>
      <c r="I248" s="12"/>
      <c r="J248" s="12"/>
      <c r="K248" s="12"/>
      <c r="L248" s="30"/>
      <c r="M248" s="12"/>
      <c r="N248" s="12"/>
      <c r="O248" s="59"/>
      <c r="P248" s="12"/>
      <c r="Q248" s="12"/>
      <c r="R248" s="12"/>
      <c r="S248" s="12"/>
      <c r="T248" s="12"/>
      <c r="U248" s="12"/>
      <c r="V248" s="12"/>
      <c r="W248" s="12"/>
      <c r="X248" s="229"/>
      <c r="Y248" s="143"/>
      <c r="Z248" s="143"/>
      <c r="AC248" s="140"/>
      <c r="AD248" s="1246"/>
      <c r="AE248" s="1246"/>
      <c r="AF248" s="1260"/>
      <c r="AG248" s="1248"/>
      <c r="AH248" s="1248"/>
      <c r="AI248" s="1248"/>
      <c r="AJ248" s="1248"/>
      <c r="AK248" s="1250"/>
      <c r="AL248" s="1261"/>
      <c r="AM248" s="1261"/>
      <c r="AN248" s="1261"/>
      <c r="AO248" s="1261"/>
      <c r="AP248" s="1261"/>
      <c r="AQ248" s="1261"/>
      <c r="AR248" s="1261"/>
      <c r="AS248" s="1261"/>
      <c r="AT248" s="1261"/>
      <c r="AU248" s="1261"/>
      <c r="AV248" s="1261"/>
      <c r="AW248" s="1261"/>
      <c r="AX248" s="1261"/>
      <c r="AY248" s="1261"/>
      <c r="AZ248" s="1261"/>
      <c r="BA248" s="1261"/>
      <c r="BB248" s="1261"/>
      <c r="BC248" s="1261"/>
      <c r="BD248" s="1261"/>
      <c r="BE248" s="1261"/>
      <c r="BF248" s="1261"/>
      <c r="BG248" s="1260"/>
      <c r="BH248" s="1248"/>
      <c r="BI248" s="1248"/>
      <c r="BJ248" s="1248"/>
      <c r="BK248" s="1248"/>
      <c r="BL248" s="1250"/>
      <c r="BM248" s="1261"/>
      <c r="BN248" s="1261"/>
      <c r="BO248" s="1261"/>
      <c r="BP248" s="1261"/>
      <c r="BQ248" s="1261"/>
      <c r="BR248" s="1261"/>
      <c r="BS248" s="1261"/>
      <c r="BT248" s="1261"/>
      <c r="BU248" s="1261"/>
      <c r="BV248" s="1261"/>
      <c r="BW248" s="1261"/>
      <c r="BX248" s="1261"/>
      <c r="BY248" s="1261"/>
      <c r="BZ248" s="1261"/>
      <c r="CA248" s="1261"/>
      <c r="CB248" s="1261"/>
    </row>
    <row r="249" spans="1:80" ht="20.25" customHeight="1">
      <c r="X249" s="1273" t="s">
        <v>877</v>
      </c>
    </row>
    <row r="250" spans="1:80" ht="20.25" customHeight="1"/>
    <row r="290" spans="118:118">
      <c r="DN290" s="1">
        <v>2.2023000000000001</v>
      </c>
    </row>
  </sheetData>
  <mergeCells count="16">
    <mergeCell ref="F132:M136"/>
    <mergeCell ref="X147:X168"/>
    <mergeCell ref="Z147:Z168"/>
    <mergeCell ref="X119:X142"/>
    <mergeCell ref="X63:X74"/>
    <mergeCell ref="X83:X91"/>
    <mergeCell ref="O1:Q1"/>
    <mergeCell ref="DM3:DO7"/>
    <mergeCell ref="BU7:BW17"/>
    <mergeCell ref="X103:X111"/>
    <mergeCell ref="X3:X16"/>
    <mergeCell ref="Z83:Z90"/>
    <mergeCell ref="X17:X46"/>
    <mergeCell ref="X100:X102"/>
    <mergeCell ref="Z17:Z46"/>
    <mergeCell ref="X48:X51"/>
  </mergeCells>
  <phoneticPr fontId="33" type="noConversion"/>
  <hyperlinks>
    <hyperlink ref="X82" r:id="rId1" xr:uid="{57D57A5E-A677-41D5-B6B5-46CA0B010BD6}"/>
    <hyperlink ref="Y68" r:id="rId2" xr:uid="{DA3B8852-E6A9-40E6-8F7D-D81F001543C5}"/>
  </hyperlinks>
  <pageMargins left="0.7" right="0.7" top="0.75" bottom="0.75" header="0.3" footer="0.3"/>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69150-F29B-4295-9123-F7B9B6A18A4E}">
  <sheetPr>
    <tabColor theme="5" tint="0.39997558519241921"/>
  </sheetPr>
  <dimension ref="A1:BZ91"/>
  <sheetViews>
    <sheetView showGridLines="0" topLeftCell="L1" zoomScale="96" zoomScaleNormal="100" workbookViewId="0">
      <pane ySplit="1" topLeftCell="A15" activePane="bottomLeft" state="frozen"/>
      <selection pane="bottomLeft" activeCell="T27" sqref="T27"/>
    </sheetView>
  </sheetViews>
  <sheetFormatPr defaultColWidth="8.85546875" defaultRowHeight="15" outlineLevelRow="1"/>
  <cols>
    <col min="1" max="1" width="50.7109375" style="64" customWidth="1"/>
    <col min="2" max="8" width="8" style="64" hidden="1" customWidth="1"/>
    <col min="9" max="12" width="10.5703125" style="1" customWidth="1"/>
    <col min="13" max="13" width="10.5703125" style="1259" customWidth="1"/>
    <col min="14" max="19" width="10.5703125" style="1" customWidth="1"/>
    <col min="20" max="22" width="10.85546875" style="137" customWidth="1"/>
    <col min="23" max="23" width="10.42578125" style="1" customWidth="1"/>
    <col min="24" max="25" width="8.5703125" style="1" customWidth="1"/>
    <col min="26" max="26" width="13" style="1" bestFit="1" customWidth="1"/>
    <col min="27" max="27" width="14.5703125" style="1" customWidth="1"/>
    <col min="28" max="30" width="10.42578125" style="1" customWidth="1"/>
    <col min="31" max="31" width="10.42578125" style="1259" customWidth="1"/>
    <col min="32" max="34" width="10.42578125" style="1" customWidth="1"/>
    <col min="35" max="35" width="10.42578125" style="1259" customWidth="1"/>
    <col min="36" max="38" width="10.42578125" style="1" customWidth="1"/>
    <col min="39" max="39" width="10.42578125" style="1259" customWidth="1"/>
    <col min="40" max="42" width="10.42578125" style="1" customWidth="1"/>
    <col min="43" max="43" width="10.42578125" style="1259" customWidth="1"/>
    <col min="44" max="46" width="10.42578125" style="1" customWidth="1"/>
    <col min="47" max="47" width="10.42578125" style="1259" customWidth="1"/>
    <col min="48" max="49" width="10.42578125" style="1" customWidth="1"/>
    <col min="50" max="16384" width="8.85546875" style="1"/>
  </cols>
  <sheetData>
    <row r="1" spans="1:50" s="381" customFormat="1">
      <c r="A1" s="1223" t="s">
        <v>878</v>
      </c>
      <c r="B1" s="1274"/>
      <c r="C1" s="1274"/>
      <c r="D1" s="1274"/>
      <c r="E1" s="1274"/>
      <c r="F1" s="1274"/>
      <c r="G1" s="1274"/>
      <c r="H1" s="1274"/>
      <c r="I1" s="381" t="str">
        <f>'A. FS'!I1</f>
        <v>2018A</v>
      </c>
      <c r="J1" s="381" t="str">
        <f>'A. FS'!J1</f>
        <v>2019A</v>
      </c>
      <c r="K1" s="381" t="str">
        <f>'A. FS'!K1</f>
        <v>2020A</v>
      </c>
      <c r="L1" s="381" t="str">
        <f>'A. FS'!L1</f>
        <v>2021A</v>
      </c>
      <c r="M1" s="381" t="str">
        <f>'A. FS'!M1</f>
        <v>2022A</v>
      </c>
      <c r="N1" s="381" t="str">
        <f>'A. FS'!N1</f>
        <v>2023E</v>
      </c>
      <c r="O1" s="381" t="str">
        <f>'A. FS'!O1</f>
        <v>2024E</v>
      </c>
      <c r="P1" s="381" t="str">
        <f>'A. FS'!P1</f>
        <v>2025E</v>
      </c>
      <c r="Q1" s="381" t="str">
        <f>'A. FS'!Q1</f>
        <v>2026E</v>
      </c>
      <c r="R1" s="381" t="str">
        <f>'A. FS'!R1</f>
        <v>2027E</v>
      </c>
      <c r="S1" s="381" t="str">
        <f>'A. FS'!S1</f>
        <v>2028E</v>
      </c>
      <c r="T1" s="970"/>
      <c r="U1" s="1598" t="s">
        <v>648</v>
      </c>
      <c r="V1" s="1598"/>
      <c r="W1" s="1598"/>
      <c r="AB1" s="381" t="s">
        <v>446</v>
      </c>
      <c r="AC1" s="381" t="s">
        <v>447</v>
      </c>
      <c r="AD1" s="381" t="s">
        <v>448</v>
      </c>
      <c r="AE1" s="1226" t="s">
        <v>449</v>
      </c>
      <c r="AF1" s="381" t="s">
        <v>450</v>
      </c>
      <c r="AG1" s="381" t="s">
        <v>451</v>
      </c>
      <c r="AH1" s="381" t="s">
        <v>452</v>
      </c>
      <c r="AI1" s="1226" t="s">
        <v>453</v>
      </c>
      <c r="AJ1" s="381" t="s">
        <v>454</v>
      </c>
      <c r="AK1" s="381" t="s">
        <v>455</v>
      </c>
      <c r="AL1" s="381" t="s">
        <v>456</v>
      </c>
      <c r="AM1" s="1226" t="s">
        <v>457</v>
      </c>
      <c r="AN1" s="381" t="s">
        <v>458</v>
      </c>
      <c r="AO1" s="381" t="s">
        <v>459</v>
      </c>
      <c r="AP1" s="381" t="s">
        <v>460</v>
      </c>
      <c r="AQ1" s="1226" t="s">
        <v>461</v>
      </c>
      <c r="AR1" s="381" t="s">
        <v>462</v>
      </c>
      <c r="AS1" s="381" t="s">
        <v>463</v>
      </c>
      <c r="AT1" s="381" t="s">
        <v>464</v>
      </c>
      <c r="AU1" s="1226" t="s">
        <v>465</v>
      </c>
      <c r="AV1" s="381" t="s">
        <v>466</v>
      </c>
      <c r="AW1" s="381" t="s">
        <v>467</v>
      </c>
      <c r="AX1" s="1226"/>
    </row>
    <row r="2" spans="1:50">
      <c r="T2" s="143"/>
      <c r="U2" s="143"/>
      <c r="Z2" s="1275"/>
      <c r="AA2" s="1275"/>
    </row>
    <row r="3" spans="1:50" s="2" customFormat="1">
      <c r="A3" s="65" t="s">
        <v>879</v>
      </c>
      <c r="B3" s="65"/>
      <c r="C3" s="65"/>
      <c r="D3" s="65"/>
      <c r="E3" s="65"/>
      <c r="F3" s="65"/>
      <c r="G3" s="65"/>
      <c r="H3" s="65"/>
      <c r="I3" s="31">
        <f>'B. Sales &amp; COGS'!I3</f>
        <v>5944</v>
      </c>
      <c r="J3" s="31">
        <f>'B. Sales &amp; COGS'!J3</f>
        <v>8492</v>
      </c>
      <c r="K3" s="31">
        <f>'B. Sales &amp; COGS'!K3</f>
        <v>12535</v>
      </c>
      <c r="L3" s="31">
        <f>'B. Sales &amp; COGS'!L3</f>
        <v>20971</v>
      </c>
      <c r="M3" s="391">
        <f>'B. Sales &amp; COGS'!M3</f>
        <v>22084.941277369202</v>
      </c>
      <c r="N3" s="31">
        <f>'B. Sales &amp; COGS'!N3</f>
        <v>20110.628236709381</v>
      </c>
      <c r="O3" s="31">
        <f>'B. Sales &amp; COGS'!O3</f>
        <v>22950.392951999493</v>
      </c>
      <c r="P3" s="31">
        <f>'B. Sales &amp; COGS'!P3</f>
        <v>25996.134851328941</v>
      </c>
      <c r="Q3" s="31">
        <f>'B. Sales &amp; COGS'!Q3</f>
        <v>28880.512300807575</v>
      </c>
      <c r="R3" s="31">
        <f>'B. Sales &amp; COGS'!R3</f>
        <v>32058.410812200782</v>
      </c>
      <c r="S3" s="31">
        <f>'B. Sales &amp; COGS'!S3</f>
        <v>35560.360121561112</v>
      </c>
      <c r="T3" s="143"/>
      <c r="U3" s="143"/>
      <c r="V3" s="137"/>
      <c r="W3" s="1"/>
      <c r="X3" s="1"/>
      <c r="Y3" s="1"/>
      <c r="Z3" s="1276"/>
      <c r="AA3" s="1276"/>
      <c r="AB3" s="142">
        <f t="shared" ref="AB3:AW3" si="0">SUM(AB4:AB13)</f>
        <v>224</v>
      </c>
      <c r="AC3" s="142">
        <f t="shared" si="0"/>
        <v>260</v>
      </c>
      <c r="AD3" s="142">
        <f t="shared" si="0"/>
        <v>313</v>
      </c>
      <c r="AE3" s="142">
        <f t="shared" si="0"/>
        <v>314</v>
      </c>
      <c r="AF3" s="142">
        <f t="shared" si="0"/>
        <v>267</v>
      </c>
      <c r="AG3" s="142">
        <f t="shared" si="0"/>
        <v>322</v>
      </c>
      <c r="AH3" s="142">
        <f t="shared" si="0"/>
        <v>405</v>
      </c>
      <c r="AI3" s="142">
        <f t="shared" si="0"/>
        <v>373</v>
      </c>
      <c r="AJ3" s="142">
        <f t="shared" si="0"/>
        <v>315</v>
      </c>
      <c r="AK3" s="142">
        <f t="shared" si="0"/>
        <v>298</v>
      </c>
      <c r="AL3" s="142">
        <f t="shared" si="0"/>
        <v>414</v>
      </c>
      <c r="AM3" s="142">
        <f t="shared" si="0"/>
        <v>509</v>
      </c>
      <c r="AN3" s="142">
        <f t="shared" si="0"/>
        <v>718</v>
      </c>
      <c r="AO3" s="142">
        <f t="shared" si="0"/>
        <v>663</v>
      </c>
      <c r="AP3" s="142">
        <f t="shared" si="0"/>
        <v>440</v>
      </c>
      <c r="AQ3" s="142">
        <f t="shared" si="0"/>
        <v>923</v>
      </c>
      <c r="AR3" s="142">
        <f t="shared" si="0"/>
        <v>742</v>
      </c>
      <c r="AS3" s="142">
        <f t="shared" si="0"/>
        <v>876</v>
      </c>
      <c r="AT3" s="142">
        <f t="shared" si="0"/>
        <v>908</v>
      </c>
      <c r="AU3" s="142">
        <f t="shared" si="0"/>
        <v>794</v>
      </c>
      <c r="AV3" s="142">
        <f t="shared" si="0"/>
        <v>682</v>
      </c>
      <c r="AW3" s="142">
        <f t="shared" si="0"/>
        <v>728</v>
      </c>
    </row>
    <row r="4" spans="1:50" s="6" customFormat="1">
      <c r="A4" s="67" t="s">
        <v>675</v>
      </c>
      <c r="B4" s="67"/>
      <c r="C4" s="67"/>
      <c r="D4" s="67"/>
      <c r="E4" s="67"/>
      <c r="F4" s="67"/>
      <c r="G4" s="67"/>
      <c r="H4" s="67"/>
      <c r="I4" s="392">
        <f>I6/I3</f>
        <v>0.18691117092866757</v>
      </c>
      <c r="J4" s="392">
        <f t="shared" ref="J4:S4" si="1">J6/J3</f>
        <v>0.16097503532736693</v>
      </c>
      <c r="K4" s="392">
        <f t="shared" si="1"/>
        <v>0.12253689668927005</v>
      </c>
      <c r="L4" s="392">
        <f t="shared" si="1"/>
        <v>0.12474369367221401</v>
      </c>
      <c r="M4" s="393">
        <f>M6/M3</f>
        <v>0.15032867682569109</v>
      </c>
      <c r="N4" s="392">
        <f>N6/N3</f>
        <v>0.15650232120819063</v>
      </c>
      <c r="O4" s="392">
        <f t="shared" si="1"/>
        <v>0.15617475515545495</v>
      </c>
      <c r="P4" s="392">
        <f t="shared" si="1"/>
        <v>0.16437145846631732</v>
      </c>
      <c r="Q4" s="392">
        <f t="shared" si="1"/>
        <v>0.17533437059304072</v>
      </c>
      <c r="R4" s="392">
        <f t="shared" si="1"/>
        <v>0.18630905007840651</v>
      </c>
      <c r="S4" s="392">
        <f t="shared" si="1"/>
        <v>0.19757304477199775</v>
      </c>
      <c r="T4" s="143"/>
      <c r="U4" s="143"/>
      <c r="V4" s="143"/>
      <c r="Y4" s="140"/>
      <c r="Z4" s="1277"/>
      <c r="AA4" s="1277"/>
      <c r="AE4" s="13"/>
      <c r="AI4" s="13"/>
      <c r="AM4" s="13"/>
      <c r="AQ4" s="13"/>
      <c r="AU4" s="13"/>
      <c r="AV4" s="313" t="s">
        <v>653</v>
      </c>
      <c r="AW4" s="313" t="s">
        <v>654</v>
      </c>
    </row>
    <row r="5" spans="1:50" s="6" customFormat="1">
      <c r="A5" s="67"/>
      <c r="B5" s="67"/>
      <c r="C5" s="67"/>
      <c r="D5" s="67"/>
      <c r="E5" s="67"/>
      <c r="F5" s="67"/>
      <c r="G5" s="67"/>
      <c r="H5" s="67"/>
      <c r="I5" s="968"/>
      <c r="J5" s="392"/>
      <c r="K5" s="232"/>
      <c r="L5" s="392"/>
      <c r="M5" s="393"/>
      <c r="N5" s="392"/>
      <c r="O5" s="392"/>
      <c r="P5" s="392"/>
      <c r="Q5" s="392"/>
      <c r="R5" s="392"/>
      <c r="S5" s="392"/>
      <c r="T5" s="143"/>
      <c r="U5" s="143"/>
      <c r="V5" s="143"/>
      <c r="Y5" s="140"/>
      <c r="Z5" s="1277"/>
      <c r="AA5" s="1277"/>
      <c r="AE5" s="13"/>
      <c r="AI5" s="13"/>
      <c r="AM5" s="13"/>
      <c r="AQ5" s="13"/>
      <c r="AU5" s="13"/>
      <c r="AV5" s="313"/>
      <c r="AW5" s="313"/>
    </row>
    <row r="6" spans="1:50" s="258" customFormat="1">
      <c r="A6" s="68" t="s">
        <v>673</v>
      </c>
      <c r="B6" s="885"/>
      <c r="C6" s="885"/>
      <c r="D6" s="885"/>
      <c r="E6" s="885"/>
      <c r="F6" s="885"/>
      <c r="G6" s="885"/>
      <c r="H6" s="885"/>
      <c r="I6" s="886">
        <f>SUM(AB8:AE8)</f>
        <v>1111</v>
      </c>
      <c r="J6" s="887">
        <f>SUM(AF8:AI8)</f>
        <v>1367</v>
      </c>
      <c r="K6" s="886">
        <f>SUM(AJ8:AM8)</f>
        <v>1536</v>
      </c>
      <c r="L6" s="886">
        <v>2616</v>
      </c>
      <c r="M6" s="888">
        <f>SUM(AR8:AU8)</f>
        <v>3320</v>
      </c>
      <c r="N6" s="889">
        <f>M6*(1+N18)</f>
        <v>3147.36</v>
      </c>
      <c r="O6" s="889">
        <f t="shared" ref="O6:S6" si="2">N6*(1+O18)</f>
        <v>3584.2719999999999</v>
      </c>
      <c r="P6" s="889">
        <f t="shared" si="2"/>
        <v>4273.0225999999993</v>
      </c>
      <c r="Q6" s="889">
        <f t="shared" si="2"/>
        <v>5063.7464466666661</v>
      </c>
      <c r="R6" s="889">
        <f t="shared" si="2"/>
        <v>5972.7720654444438</v>
      </c>
      <c r="S6" s="889">
        <f t="shared" si="2"/>
        <v>7025.7686224055569</v>
      </c>
      <c r="T6" s="270"/>
      <c r="U6" s="270">
        <f>(S6/O6)^(1/4)-1</f>
        <v>0.1832410302209484</v>
      </c>
      <c r="Z6" s="1277"/>
      <c r="AA6" s="1277"/>
      <c r="AB6" s="1278"/>
      <c r="AC6" s="1278"/>
      <c r="AD6" s="1278"/>
      <c r="AE6" s="1279"/>
      <c r="AF6" s="1278"/>
      <c r="AG6" s="1278"/>
      <c r="AH6" s="1280"/>
      <c r="AI6" s="1281"/>
      <c r="AJ6" s="1280"/>
      <c r="AK6" s="1280"/>
      <c r="AL6" s="1280"/>
      <c r="AM6" s="1281"/>
      <c r="AN6" s="1280"/>
      <c r="AO6" s="1280"/>
      <c r="AP6" s="1280"/>
      <c r="AQ6" s="1281"/>
      <c r="AR6" s="1280"/>
      <c r="AS6" s="1280"/>
      <c r="AT6" s="1280"/>
      <c r="AU6" s="1281"/>
      <c r="AV6" s="1280"/>
      <c r="AW6" s="1280"/>
    </row>
    <row r="7" spans="1:50">
      <c r="A7" s="64" t="s">
        <v>679</v>
      </c>
      <c r="I7" s="3">
        <f>$I$6*I28</f>
        <v>755.48</v>
      </c>
      <c r="J7" s="3">
        <f>$J$6*J28</f>
        <v>861.21</v>
      </c>
      <c r="K7" s="3">
        <f>$K$6*K28</f>
        <v>768</v>
      </c>
      <c r="L7" s="3">
        <f>$L$6*L28</f>
        <v>1281.8399999999999</v>
      </c>
      <c r="M7" s="550">
        <f>$M$6*M28</f>
        <v>1527.2</v>
      </c>
      <c r="N7" s="3">
        <f t="shared" ref="N7:S11" si="3">M7*(1+N19)</f>
        <v>1450.84</v>
      </c>
      <c r="O7" s="3">
        <f t="shared" si="3"/>
        <v>1595.924</v>
      </c>
      <c r="P7" s="3">
        <f t="shared" si="3"/>
        <v>1835.3125999999997</v>
      </c>
      <c r="Q7" s="3">
        <f t="shared" si="3"/>
        <v>2080.0209466666665</v>
      </c>
      <c r="R7" s="3">
        <f t="shared" si="3"/>
        <v>2322.6900571111109</v>
      </c>
      <c r="S7" s="3">
        <f t="shared" si="3"/>
        <v>2554.9590628222222</v>
      </c>
      <c r="T7" s="314"/>
      <c r="U7" s="314">
        <f>(S7/O7)^(1/4)-1</f>
        <v>0.12484565487281585</v>
      </c>
      <c r="Z7" s="1276"/>
      <c r="AA7" s="1276"/>
      <c r="AB7" s="1276"/>
      <c r="AC7" s="1276"/>
      <c r="AD7" s="1276"/>
      <c r="AE7" s="1282"/>
      <c r="AF7" s="1276"/>
      <c r="AG7" s="1276"/>
      <c r="AH7" s="1283"/>
      <c r="AI7" s="1282"/>
      <c r="AJ7" s="1276"/>
      <c r="AK7" s="1283"/>
      <c r="AL7" s="1283"/>
      <c r="AM7" s="1284"/>
      <c r="AN7" s="1283"/>
      <c r="AO7" s="1283"/>
      <c r="AP7" s="1283"/>
      <c r="AQ7" s="1284"/>
      <c r="AR7" s="1283"/>
      <c r="AS7" s="1283"/>
      <c r="AT7" s="1283"/>
      <c r="AU7" s="1284"/>
      <c r="AV7" s="1283"/>
      <c r="AW7" s="1283"/>
    </row>
    <row r="8" spans="1:50">
      <c r="A8" s="64" t="s">
        <v>680</v>
      </c>
      <c r="I8" s="3">
        <f>$I$6*I29</f>
        <v>111.10000000000001</v>
      </c>
      <c r="J8" s="3">
        <f>$J$6*J29</f>
        <v>205.04999999999998</v>
      </c>
      <c r="K8" s="3">
        <f>$K$6*K29</f>
        <v>491.52</v>
      </c>
      <c r="L8" s="3">
        <f>$L$6*L29</f>
        <v>810.96</v>
      </c>
      <c r="M8" s="550">
        <f>$M$6*M29</f>
        <v>830</v>
      </c>
      <c r="N8" s="3">
        <f t="shared" si="3"/>
        <v>747</v>
      </c>
      <c r="O8" s="3">
        <f t="shared" si="3"/>
        <v>896.4</v>
      </c>
      <c r="P8" s="3">
        <f t="shared" si="3"/>
        <v>1120.5</v>
      </c>
      <c r="Q8" s="3">
        <f t="shared" si="3"/>
        <v>1419.3</v>
      </c>
      <c r="R8" s="3">
        <f t="shared" si="3"/>
        <v>1821.4349999999997</v>
      </c>
      <c r="S8" s="3">
        <f t="shared" si="3"/>
        <v>2367.8654999999999</v>
      </c>
      <c r="T8" s="314"/>
      <c r="U8" s="314">
        <f>(SUM(S9:S10,S8)/SUM(N9:N10,N8))^(1/5)-1</f>
        <v>0.25074774058793881</v>
      </c>
      <c r="Z8" s="1276"/>
      <c r="AA8" s="1276"/>
      <c r="AB8" s="1276">
        <v>224</v>
      </c>
      <c r="AC8" s="1276">
        <v>260</v>
      </c>
      <c r="AD8" s="1276">
        <v>313</v>
      </c>
      <c r="AE8" s="1282">
        <v>314</v>
      </c>
      <c r="AF8" s="1276">
        <v>267</v>
      </c>
      <c r="AG8" s="1276">
        <v>322</v>
      </c>
      <c r="AH8" s="1276">
        <v>405</v>
      </c>
      <c r="AI8" s="1282">
        <v>373</v>
      </c>
      <c r="AJ8" s="1276">
        <v>315</v>
      </c>
      <c r="AK8" s="1276">
        <v>298</v>
      </c>
      <c r="AL8" s="1276">
        <v>414</v>
      </c>
      <c r="AM8" s="1282">
        <v>509</v>
      </c>
      <c r="AN8" s="1276">
        <v>718</v>
      </c>
      <c r="AO8" s="1276">
        <v>663</v>
      </c>
      <c r="AP8" s="1276">
        <v>440</v>
      </c>
      <c r="AQ8" s="1282">
        <v>923</v>
      </c>
      <c r="AR8" s="1276">
        <v>742</v>
      </c>
      <c r="AS8" s="1276">
        <v>876</v>
      </c>
      <c r="AT8" s="1276">
        <v>908</v>
      </c>
      <c r="AU8" s="1282">
        <v>794</v>
      </c>
      <c r="AV8" s="1276">
        <v>682</v>
      </c>
      <c r="AW8" s="1276">
        <v>728</v>
      </c>
    </row>
    <row r="9" spans="1:50">
      <c r="A9" s="64" t="s">
        <v>681</v>
      </c>
      <c r="I9" s="3">
        <f>$I$6*I30</f>
        <v>111.10000000000001</v>
      </c>
      <c r="J9" s="3">
        <f>$J$6*J30</f>
        <v>136.70000000000002</v>
      </c>
      <c r="K9" s="3">
        <f>$K$6*K30</f>
        <v>92.16</v>
      </c>
      <c r="L9" s="3">
        <f>$L$6*L30</f>
        <v>156.96</v>
      </c>
      <c r="M9" s="550">
        <f>$M$6*M30</f>
        <v>99.6</v>
      </c>
      <c r="N9" s="3">
        <f t="shared" si="3"/>
        <v>89.64</v>
      </c>
      <c r="O9" s="3">
        <f t="shared" si="3"/>
        <v>103.086</v>
      </c>
      <c r="P9" s="3">
        <f t="shared" si="3"/>
        <v>128.85749999999999</v>
      </c>
      <c r="Q9" s="3">
        <f t="shared" si="3"/>
        <v>156.776625</v>
      </c>
      <c r="R9" s="3">
        <f t="shared" si="3"/>
        <v>185.51900624999999</v>
      </c>
      <c r="S9" s="3">
        <f t="shared" si="3"/>
        <v>213.34685718749998</v>
      </c>
      <c r="T9" s="314"/>
      <c r="U9" s="314">
        <f>(S9/O9)^(1/4)-1</f>
        <v>0.19942097781712298</v>
      </c>
      <c r="Z9" s="1276"/>
      <c r="AA9" s="1276"/>
      <c r="AB9" s="1276"/>
      <c r="AC9" s="1276"/>
      <c r="AD9" s="1276"/>
      <c r="AE9" s="1282"/>
      <c r="AF9" s="1276"/>
      <c r="AG9" s="1276"/>
      <c r="AH9" s="1276"/>
      <c r="AI9" s="1282"/>
      <c r="AJ9" s="1276"/>
      <c r="AK9" s="1276"/>
      <c r="AL9" s="1276"/>
      <c r="AM9" s="1282"/>
      <c r="AN9" s="1276"/>
      <c r="AO9" s="1276"/>
      <c r="AP9" s="1276"/>
      <c r="AQ9" s="1282"/>
      <c r="AR9" s="1276"/>
      <c r="AS9" s="1276"/>
      <c r="AT9" s="1276"/>
      <c r="AU9" s="1282"/>
      <c r="AV9" s="1276"/>
      <c r="AW9" s="1276"/>
    </row>
    <row r="10" spans="1:50">
      <c r="A10" s="64" t="s">
        <v>682</v>
      </c>
      <c r="I10" s="3">
        <f>$I$6*I31</f>
        <v>22.22</v>
      </c>
      <c r="J10" s="3">
        <f>$J$6*J31</f>
        <v>27.34</v>
      </c>
      <c r="K10" s="3">
        <f>$K$6*K31</f>
        <v>30.72</v>
      </c>
      <c r="L10" s="3">
        <f>$L$6*L31</f>
        <v>52.32</v>
      </c>
      <c r="M10" s="550">
        <f>$M$6*M31</f>
        <v>33.200000000000003</v>
      </c>
      <c r="N10" s="3">
        <f t="shared" si="3"/>
        <v>29.880000000000003</v>
      </c>
      <c r="O10" s="3">
        <f t="shared" si="3"/>
        <v>34.362000000000002</v>
      </c>
      <c r="P10" s="3">
        <f t="shared" si="3"/>
        <v>42.952500000000001</v>
      </c>
      <c r="Q10" s="3">
        <f t="shared" si="3"/>
        <v>52.258875000000003</v>
      </c>
      <c r="R10" s="3">
        <f t="shared" si="3"/>
        <v>61.839668750000001</v>
      </c>
      <c r="S10" s="3">
        <f t="shared" si="3"/>
        <v>71.115619062500002</v>
      </c>
      <c r="T10" s="314"/>
      <c r="U10" s="314">
        <f>(S10/O10)^(1/4)-1</f>
        <v>0.19942097781712298</v>
      </c>
      <c r="Z10" s="1276"/>
      <c r="AA10" s="1276"/>
      <c r="AB10" s="1276"/>
      <c r="AC10" s="1276"/>
      <c r="AD10" s="1276"/>
      <c r="AE10" s="1282"/>
      <c r="AF10" s="1276"/>
      <c r="AG10" s="1276"/>
      <c r="AH10" s="1276"/>
      <c r="AI10" s="1282"/>
      <c r="AJ10" s="1276"/>
      <c r="AK10" s="1276"/>
      <c r="AL10" s="1276"/>
      <c r="AM10" s="1282"/>
      <c r="AN10" s="1276"/>
      <c r="AO10" s="1276"/>
      <c r="AP10" s="1276"/>
      <c r="AQ10" s="1282"/>
      <c r="AR10" s="1276"/>
      <c r="AS10" s="1276"/>
      <c r="AT10" s="1276"/>
      <c r="AU10" s="1282"/>
      <c r="AV10" s="1276"/>
      <c r="AW10" s="1276"/>
    </row>
    <row r="11" spans="1:50">
      <c r="A11" s="64" t="s">
        <v>66</v>
      </c>
      <c r="I11" s="3">
        <f>$I$6*I32</f>
        <v>111.10000000000001</v>
      </c>
      <c r="J11" s="3">
        <f>J6*J32</f>
        <v>136.70000000000002</v>
      </c>
      <c r="K11" s="3">
        <f>K6*K32</f>
        <v>153.60000000000002</v>
      </c>
      <c r="L11" s="3">
        <f>L6*L32</f>
        <v>313.92</v>
      </c>
      <c r="M11" s="550">
        <f>M6*M32</f>
        <v>830</v>
      </c>
      <c r="N11" s="3">
        <f t="shared" si="3"/>
        <v>830</v>
      </c>
      <c r="O11" s="3">
        <f t="shared" si="3"/>
        <v>954.49999999999989</v>
      </c>
      <c r="P11" s="3">
        <f t="shared" si="3"/>
        <v>1145.3999999999999</v>
      </c>
      <c r="Q11" s="3">
        <f t="shared" si="3"/>
        <v>1355.3899999999999</v>
      </c>
      <c r="R11" s="3">
        <f t="shared" si="3"/>
        <v>1581.2883333333332</v>
      </c>
      <c r="S11" s="3">
        <f t="shared" si="3"/>
        <v>1818.481583333333</v>
      </c>
      <c r="T11" s="314"/>
      <c r="U11" s="314">
        <f>(S11/O11)^(1/4)-1</f>
        <v>0.17485222467623696</v>
      </c>
      <c r="Z11" s="1276"/>
      <c r="AA11" s="1276"/>
      <c r="AB11" s="1276"/>
      <c r="AC11" s="1276"/>
      <c r="AD11" s="1276"/>
      <c r="AE11" s="1282"/>
      <c r="AF11" s="1276"/>
      <c r="AG11" s="1276"/>
      <c r="AH11" s="1276"/>
      <c r="AI11" s="1282"/>
      <c r="AJ11" s="1276"/>
      <c r="AK11" s="1276"/>
      <c r="AL11" s="1276"/>
      <c r="AM11" s="1282"/>
      <c r="AN11" s="1276"/>
      <c r="AO11" s="1276"/>
      <c r="AP11" s="1276"/>
      <c r="AQ11" s="1282"/>
      <c r="AR11" s="1276"/>
      <c r="AS11" s="1276"/>
      <c r="AT11" s="1276"/>
      <c r="AU11" s="1282"/>
      <c r="AV11" s="1276"/>
      <c r="AW11" s="1276"/>
    </row>
    <row r="12" spans="1:50">
      <c r="I12" s="3"/>
      <c r="J12" s="3"/>
      <c r="K12" s="3"/>
      <c r="L12" s="3"/>
      <c r="M12" s="550"/>
      <c r="N12" s="3"/>
      <c r="O12" s="3"/>
      <c r="P12" s="3"/>
      <c r="Q12" s="3"/>
      <c r="R12" s="3"/>
      <c r="S12" s="3"/>
      <c r="T12" s="314"/>
      <c r="U12" s="314"/>
      <c r="Z12" s="1276"/>
      <c r="AA12" s="1276"/>
      <c r="AB12" s="1276"/>
      <c r="AC12" s="1276"/>
      <c r="AD12" s="1276"/>
      <c r="AE12" s="1282"/>
      <c r="AF12" s="1276"/>
      <c r="AG12" s="1276"/>
      <c r="AH12" s="1276"/>
      <c r="AI12" s="1282"/>
      <c r="AJ12" s="1276"/>
      <c r="AK12" s="1276"/>
      <c r="AL12" s="1276"/>
      <c r="AM12" s="1282"/>
      <c r="AN12" s="1276"/>
      <c r="AO12" s="1276"/>
      <c r="AP12" s="1276"/>
      <c r="AQ12" s="1282"/>
      <c r="AR12" s="1276"/>
      <c r="AS12" s="1276"/>
      <c r="AT12" s="1276"/>
      <c r="AU12" s="1282"/>
      <c r="AV12" s="1276"/>
      <c r="AW12" s="1276"/>
    </row>
    <row r="13" spans="1:50" customFormat="1">
      <c r="A13" s="788" t="s">
        <v>880</v>
      </c>
      <c r="B13" s="788"/>
      <c r="C13" s="788"/>
      <c r="D13" s="788"/>
      <c r="E13" s="788"/>
      <c r="F13" s="788"/>
      <c r="G13" s="788"/>
      <c r="H13" s="788"/>
      <c r="I13" s="789">
        <f t="shared" ref="I13:M13" si="4">SUM(I8:I10)</f>
        <v>244.42000000000002</v>
      </c>
      <c r="J13" s="789">
        <f t="shared" si="4"/>
        <v>369.09</v>
      </c>
      <c r="K13" s="789">
        <f t="shared" si="4"/>
        <v>614.4</v>
      </c>
      <c r="L13" s="789">
        <f t="shared" si="4"/>
        <v>1020.2400000000001</v>
      </c>
      <c r="M13" s="789">
        <f t="shared" si="4"/>
        <v>962.80000000000007</v>
      </c>
      <c r="N13" s="789">
        <f t="shared" ref="N13:S13" si="5">SUM(N8:N10)</f>
        <v>866.52</v>
      </c>
      <c r="O13" s="789">
        <f t="shared" si="5"/>
        <v>1033.848</v>
      </c>
      <c r="P13" s="789">
        <f t="shared" si="5"/>
        <v>1292.3100000000002</v>
      </c>
      <c r="Q13" s="789">
        <f t="shared" si="5"/>
        <v>1628.3354999999999</v>
      </c>
      <c r="R13" s="789">
        <f t="shared" si="5"/>
        <v>2068.7936749999999</v>
      </c>
      <c r="S13" s="789">
        <f t="shared" si="5"/>
        <v>2652.3279762500001</v>
      </c>
      <c r="T13" s="1285"/>
      <c r="U13" s="1008">
        <f>(S13/O13)^(1/4)-1</f>
        <v>0.26558883128482602</v>
      </c>
      <c r="V13" s="1286"/>
      <c r="Z13" s="1287"/>
      <c r="AA13" s="1287"/>
      <c r="AB13" s="1287"/>
      <c r="AC13" s="1287"/>
      <c r="AD13" s="1287"/>
      <c r="AE13" s="1288"/>
      <c r="AF13" s="1287"/>
      <c r="AG13" s="1287"/>
      <c r="AH13" s="1287"/>
      <c r="AI13" s="1288"/>
      <c r="AJ13" s="1287"/>
      <c r="AK13" s="1287"/>
      <c r="AL13" s="1287"/>
      <c r="AM13" s="1288"/>
      <c r="AN13" s="1287"/>
      <c r="AO13" s="1287"/>
      <c r="AP13" s="1287"/>
      <c r="AQ13" s="1288"/>
      <c r="AR13" s="1287"/>
      <c r="AS13" s="1287"/>
      <c r="AT13" s="1287"/>
      <c r="AU13" s="1288"/>
      <c r="AV13" s="1287"/>
      <c r="AW13" s="1287"/>
    </row>
    <row r="14" spans="1:50">
      <c r="A14" s="67" t="s">
        <v>881</v>
      </c>
      <c r="I14" s="4">
        <f t="shared" ref="I14:M14" si="6">SUM(I7,I11)</f>
        <v>866.58</v>
      </c>
      <c r="J14" s="4">
        <f t="shared" si="6"/>
        <v>997.91000000000008</v>
      </c>
      <c r="K14" s="4">
        <f t="shared" si="6"/>
        <v>921.6</v>
      </c>
      <c r="L14" s="4">
        <f t="shared" si="6"/>
        <v>1595.76</v>
      </c>
      <c r="M14" s="4">
        <f t="shared" si="6"/>
        <v>2357.1999999999998</v>
      </c>
      <c r="N14" s="4">
        <f t="shared" ref="N14:S14" si="7">SUM(N7,N11)</f>
        <v>2280.84</v>
      </c>
      <c r="O14" s="4">
        <f t="shared" si="7"/>
        <v>2550.424</v>
      </c>
      <c r="P14" s="4">
        <f t="shared" si="7"/>
        <v>2980.7125999999998</v>
      </c>
      <c r="Q14" s="4">
        <f t="shared" si="7"/>
        <v>3435.4109466666664</v>
      </c>
      <c r="R14" s="4">
        <f t="shared" si="7"/>
        <v>3903.9783904444439</v>
      </c>
      <c r="S14" s="4">
        <f t="shared" si="7"/>
        <v>4373.4406461555554</v>
      </c>
      <c r="T14" s="1270"/>
      <c r="U14" s="1008">
        <f>(S14/O14)^(1/4)-1</f>
        <v>0.14433376516242369</v>
      </c>
      <c r="Z14" s="1276"/>
      <c r="AA14" s="1276"/>
      <c r="AB14" s="1276"/>
      <c r="AC14" s="1276"/>
      <c r="AD14" s="1276"/>
      <c r="AE14" s="1282"/>
      <c r="AF14" s="1276"/>
      <c r="AG14" s="1276"/>
      <c r="AH14" s="1276"/>
      <c r="AI14" s="1282"/>
      <c r="AJ14" s="1276"/>
      <c r="AK14" s="1276"/>
      <c r="AL14" s="1276"/>
      <c r="AM14" s="1282"/>
      <c r="AN14" s="1276"/>
      <c r="AO14" s="1276"/>
      <c r="AP14" s="1276"/>
      <c r="AQ14" s="1282"/>
      <c r="AR14" s="1276"/>
      <c r="AS14" s="1276"/>
      <c r="AT14" s="1276"/>
      <c r="AU14" s="1282"/>
      <c r="AV14" s="1276"/>
      <c r="AW14" s="1276"/>
    </row>
    <row r="15" spans="1:50">
      <c r="A15" s="67"/>
      <c r="J15" s="1243"/>
      <c r="K15" s="1243"/>
      <c r="L15" s="1243"/>
      <c r="M15" s="1289"/>
      <c r="N15" s="4"/>
      <c r="O15" s="4"/>
      <c r="P15" s="4"/>
      <c r="Q15" s="4"/>
      <c r="R15" s="4"/>
      <c r="S15" s="4"/>
      <c r="T15" s="1270"/>
      <c r="U15" s="1008"/>
      <c r="Z15" s="1276"/>
      <c r="AA15" s="1276"/>
      <c r="AB15" s="1276"/>
      <c r="AC15" s="1276"/>
      <c r="AD15" s="1276"/>
      <c r="AE15" s="1282"/>
      <c r="AF15" s="1276"/>
      <c r="AG15" s="1276"/>
      <c r="AH15" s="1276"/>
      <c r="AI15" s="1282"/>
      <c r="AJ15" s="1276"/>
      <c r="AK15" s="1276"/>
      <c r="AL15" s="1276"/>
      <c r="AM15" s="1282"/>
      <c r="AN15" s="1276"/>
      <c r="AO15" s="1276"/>
      <c r="AP15" s="1276"/>
      <c r="AQ15" s="1282"/>
      <c r="AR15" s="1276"/>
      <c r="AS15" s="1276"/>
      <c r="AT15" s="1276"/>
      <c r="AU15" s="1282"/>
      <c r="AV15" s="1276"/>
      <c r="AW15" s="1276"/>
    </row>
    <row r="16" spans="1:50" s="6" customFormat="1">
      <c r="A16" s="530" t="s">
        <v>882</v>
      </c>
      <c r="B16" s="530"/>
      <c r="C16" s="530"/>
      <c r="D16" s="530"/>
      <c r="E16" s="530"/>
      <c r="F16" s="530"/>
      <c r="G16" s="530"/>
      <c r="H16" s="530"/>
      <c r="I16" s="551">
        <f>$I$6*I34</f>
        <v>0</v>
      </c>
      <c r="J16" s="551">
        <v>0</v>
      </c>
      <c r="K16" s="551">
        <v>0</v>
      </c>
      <c r="L16" s="551">
        <v>0</v>
      </c>
      <c r="M16" s="1113">
        <v>0</v>
      </c>
      <c r="N16" s="551">
        <f>'D. OE&amp;IE'!N37</f>
        <v>700</v>
      </c>
      <c r="O16" s="551">
        <f>'D. OE&amp;IE'!O37</f>
        <v>817.41077839011371</v>
      </c>
      <c r="P16" s="551">
        <f>'D. OE&amp;IE'!P37</f>
        <v>964.1857834101969</v>
      </c>
      <c r="Q16" s="551">
        <f>'D. OE&amp;IE'!Q37</f>
        <v>1133.8634549244973</v>
      </c>
      <c r="R16" s="551">
        <f>'D. OE&amp;IE'!R37</f>
        <v>1330.4837885121813</v>
      </c>
      <c r="S16" s="551">
        <f>'D. OE&amp;IE'!S37</f>
        <v>1551.4859261537458</v>
      </c>
      <c r="T16" s="861"/>
      <c r="U16" s="314">
        <f>(S16/O16)^(1/4)-1</f>
        <v>0.17375341835594038</v>
      </c>
      <c r="V16" s="143"/>
      <c r="Z16" s="1290"/>
      <c r="AA16" s="1290"/>
      <c r="AB16" s="1290"/>
      <c r="AC16" s="1290"/>
      <c r="AD16" s="1290"/>
      <c r="AE16" s="1291"/>
      <c r="AF16" s="1290"/>
      <c r="AG16" s="1290"/>
      <c r="AH16" s="1290"/>
      <c r="AI16" s="1291"/>
      <c r="AJ16" s="1290"/>
      <c r="AK16" s="1290"/>
      <c r="AL16" s="1290"/>
      <c r="AM16" s="1291"/>
      <c r="AN16" s="1290"/>
      <c r="AO16" s="1290"/>
      <c r="AP16" s="1290"/>
      <c r="AQ16" s="1291"/>
      <c r="AR16" s="1290"/>
      <c r="AS16" s="1290"/>
      <c r="AT16" s="1290"/>
      <c r="AU16" s="1291"/>
      <c r="AV16" s="1290"/>
      <c r="AW16" s="1290"/>
    </row>
    <row r="17" spans="1:49">
      <c r="J17" s="1243"/>
      <c r="K17" s="1243"/>
      <c r="L17" s="1243"/>
      <c r="M17" s="1289"/>
      <c r="N17" s="18"/>
      <c r="O17" s="18"/>
      <c r="P17" s="18"/>
      <c r="Q17" s="18"/>
      <c r="R17" s="18"/>
      <c r="S17" s="18"/>
      <c r="T17" s="1270"/>
      <c r="U17" s="1008"/>
      <c r="Z17" s="1276"/>
      <c r="AA17" s="1276"/>
      <c r="AB17" s="1276"/>
      <c r="AC17" s="1276"/>
      <c r="AD17" s="1276"/>
      <c r="AE17" s="1282"/>
      <c r="AF17" s="1276"/>
      <c r="AG17" s="1276"/>
      <c r="AH17" s="1276"/>
      <c r="AI17" s="1282"/>
      <c r="AJ17" s="1276"/>
      <c r="AK17" s="1276"/>
      <c r="AL17" s="1276"/>
      <c r="AM17" s="1282"/>
      <c r="AN17" s="1276"/>
      <c r="AO17" s="1276"/>
      <c r="AP17" s="1276"/>
      <c r="AQ17" s="1282"/>
      <c r="AR17" s="1276"/>
      <c r="AS17" s="1276"/>
      <c r="AT17" s="1276"/>
      <c r="AU17" s="1282"/>
      <c r="AV17" s="1276"/>
      <c r="AW17" s="1276"/>
    </row>
    <row r="18" spans="1:49">
      <c r="A18" s="66" t="s">
        <v>684</v>
      </c>
      <c r="B18" s="66"/>
      <c r="C18" s="66"/>
      <c r="D18" s="66"/>
      <c r="E18" s="66"/>
      <c r="F18" s="66"/>
      <c r="G18" s="66"/>
      <c r="H18" s="66"/>
      <c r="I18" s="27" t="str">
        <f>IFERROR(I8/A8-1,"")</f>
        <v/>
      </c>
      <c r="J18" s="27">
        <f>J6/I6-1</f>
        <v>0.23042304230423039</v>
      </c>
      <c r="K18" s="27">
        <f>K6/J6-1</f>
        <v>0.12362838332114112</v>
      </c>
      <c r="L18" s="27">
        <f>L6/K6-1</f>
        <v>0.703125</v>
      </c>
      <c r="M18" s="1114">
        <f>M6/L6-1</f>
        <v>0.26911314984709489</v>
      </c>
      <c r="N18" s="1536">
        <f>'D. Sensivity &amp; Scenario'!C110</f>
        <v>-5.1999999999999935E-2</v>
      </c>
      <c r="O18" s="29">
        <f>CHOOSE('D. Sensivity &amp; Scenario'!$E$62,'D. Sensivity &amp; Scenario'!D109,'D. Sensivity &amp; Scenario'!D110,'D. Sensivity &amp; Scenario'!D111)</f>
        <v>0.13881856540084381</v>
      </c>
      <c r="P18" s="29">
        <f>CHOOSE('D. Sensivity &amp; Scenario'!$E$62,'D. Sensivity &amp; Scenario'!E109,'D. Sensivity &amp; Scenario'!E110,'D. Sensivity &amp; Scenario'!E111)</f>
        <v>0.19215913301222654</v>
      </c>
      <c r="Q18" s="29">
        <f>CHOOSE('D. Sensivity &amp; Scenario'!$E$62,'D. Sensivity &amp; Scenario'!F109,'D. Sensivity &amp; Scenario'!F110,'D. Sensivity &amp; Scenario'!F111)</f>
        <v>0.18505023742834092</v>
      </c>
      <c r="R18" s="29">
        <f>CHOOSE('D. Sensivity &amp; Scenario'!$E$62,'D. Sensivity &amp; Scenario'!G109,'D. Sensivity &amp; Scenario'!G110,'D. Sensivity &amp; Scenario'!G111)</f>
        <v>0.17951641701494858</v>
      </c>
      <c r="S18" s="29">
        <f>CHOOSE('D. Sensivity &amp; Scenario'!$E$62,'D. Sensivity &amp; Scenario'!H109,'D. Sensivity &amp; Scenario'!H110,'D. Sensivity &amp; Scenario'!H111)</f>
        <v>0.17629947123769196</v>
      </c>
      <c r="W18" s="137"/>
    </row>
    <row r="19" spans="1:49">
      <c r="A19" s="64" t="s">
        <v>679</v>
      </c>
      <c r="K19" s="1243">
        <f t="shared" ref="K19:M23" si="8">K7/J7-1</f>
        <v>-0.1082314418086181</v>
      </c>
      <c r="L19" s="1243">
        <f t="shared" si="8"/>
        <v>0.66906249999999989</v>
      </c>
      <c r="M19" s="1292">
        <f t="shared" si="8"/>
        <v>0.1914123447544156</v>
      </c>
      <c r="N19" s="583">
        <v>-0.05</v>
      </c>
      <c r="O19" s="583">
        <v>0.1</v>
      </c>
      <c r="P19" s="583">
        <v>0.15</v>
      </c>
      <c r="Q19" s="1243">
        <f t="shared" ref="Q19:R23" si="9">P19+($S19-$P19)/3</f>
        <v>0.13333333333333333</v>
      </c>
      <c r="R19" s="1243">
        <f t="shared" si="9"/>
        <v>0.11666666666666667</v>
      </c>
      <c r="S19" s="583">
        <v>0.1</v>
      </c>
      <c r="T19" s="314"/>
      <c r="U19" s="314"/>
      <c r="V19" s="1270"/>
      <c r="W19" s="314"/>
      <c r="Y19" s="203"/>
    </row>
    <row r="20" spans="1:49">
      <c r="A20" s="64" t="s">
        <v>680</v>
      </c>
      <c r="K20" s="1243">
        <f t="shared" si="8"/>
        <v>1.3970738844184347</v>
      </c>
      <c r="L20" s="1243">
        <f t="shared" si="8"/>
        <v>0.64990234375000022</v>
      </c>
      <c r="M20" s="1292">
        <f t="shared" si="8"/>
        <v>2.3478346650882775E-2</v>
      </c>
      <c r="N20" s="583">
        <v>-0.1</v>
      </c>
      <c r="O20" s="583">
        <v>0.2</v>
      </c>
      <c r="P20" s="583">
        <v>0.25</v>
      </c>
      <c r="Q20" s="1243">
        <f t="shared" si="9"/>
        <v>0.26666666666666666</v>
      </c>
      <c r="R20" s="1243">
        <f t="shared" si="9"/>
        <v>0.28333333333333333</v>
      </c>
      <c r="S20" s="583">
        <v>0.3</v>
      </c>
      <c r="T20" s="314"/>
      <c r="V20" s="1270"/>
    </row>
    <row r="21" spans="1:49">
      <c r="A21" s="64" t="s">
        <v>681</v>
      </c>
      <c r="K21" s="1243">
        <f t="shared" si="8"/>
        <v>-0.32582297000731542</v>
      </c>
      <c r="L21" s="1243">
        <f t="shared" si="8"/>
        <v>0.70312500000000022</v>
      </c>
      <c r="M21" s="1292">
        <f t="shared" si="8"/>
        <v>-0.36544342507645267</v>
      </c>
      <c r="N21" s="583">
        <f>N20</f>
        <v>-0.1</v>
      </c>
      <c r="O21" s="583">
        <f>O20-5%</f>
        <v>0.15000000000000002</v>
      </c>
      <c r="P21" s="583">
        <v>0.25</v>
      </c>
      <c r="Q21" s="1243">
        <f t="shared" si="9"/>
        <v>0.21666666666666667</v>
      </c>
      <c r="R21" s="1243">
        <f t="shared" si="9"/>
        <v>0.18333333333333335</v>
      </c>
      <c r="S21" s="583">
        <v>0.15</v>
      </c>
      <c r="T21" s="314"/>
    </row>
    <row r="22" spans="1:49">
      <c r="A22" s="64" t="s">
        <v>682</v>
      </c>
      <c r="K22" s="1243">
        <f t="shared" si="8"/>
        <v>0.12362838332114112</v>
      </c>
      <c r="L22" s="1243">
        <f t="shared" si="8"/>
        <v>0.703125</v>
      </c>
      <c r="M22" s="1292">
        <f t="shared" si="8"/>
        <v>-0.36544342507645255</v>
      </c>
      <c r="N22" s="583">
        <f>N21</f>
        <v>-0.1</v>
      </c>
      <c r="O22" s="583">
        <f>O20-5%</f>
        <v>0.15000000000000002</v>
      </c>
      <c r="P22" s="583">
        <v>0.25</v>
      </c>
      <c r="Q22" s="1243">
        <f t="shared" si="9"/>
        <v>0.21666666666666667</v>
      </c>
      <c r="R22" s="1243">
        <f t="shared" si="9"/>
        <v>0.18333333333333335</v>
      </c>
      <c r="S22" s="583">
        <v>0.15</v>
      </c>
      <c r="T22" s="314"/>
    </row>
    <row r="23" spans="1:49">
      <c r="A23" s="64" t="s">
        <v>66</v>
      </c>
      <c r="K23" s="1243">
        <f t="shared" si="8"/>
        <v>0.12362838332114112</v>
      </c>
      <c r="L23" s="1243">
        <f t="shared" si="8"/>
        <v>1.0437499999999997</v>
      </c>
      <c r="M23" s="1292">
        <f t="shared" si="8"/>
        <v>1.6439857288481141</v>
      </c>
      <c r="N23" s="863">
        <f>N19+5%</f>
        <v>0</v>
      </c>
      <c r="O23" s="863">
        <f t="shared" ref="O23:P23" si="10">O19+5%</f>
        <v>0.15000000000000002</v>
      </c>
      <c r="P23" s="863">
        <f t="shared" si="10"/>
        <v>0.2</v>
      </c>
      <c r="Q23" s="1243">
        <f t="shared" si="9"/>
        <v>0.18333333333333335</v>
      </c>
      <c r="R23" s="1243">
        <f t="shared" si="9"/>
        <v>0.16666666666666669</v>
      </c>
      <c r="S23" s="863">
        <v>0.15</v>
      </c>
      <c r="T23" s="314"/>
    </row>
    <row r="24" spans="1:49" customFormat="1">
      <c r="A24" s="1293"/>
      <c r="B24" s="1293"/>
      <c r="C24" s="1293"/>
      <c r="D24" s="1293"/>
      <c r="E24" s="1293"/>
      <c r="F24" s="1293"/>
      <c r="G24" s="1293"/>
      <c r="H24" s="1293"/>
      <c r="K24" s="1294"/>
      <c r="L24" s="1294"/>
      <c r="M24" s="1295"/>
      <c r="N24" s="969"/>
      <c r="O24" s="969"/>
      <c r="P24" s="1294"/>
      <c r="Q24" s="1294"/>
      <c r="R24" s="1294"/>
      <c r="S24" s="969"/>
      <c r="T24" s="1285"/>
      <c r="U24" s="1286"/>
      <c r="V24" s="1286"/>
      <c r="AE24" s="1296"/>
      <c r="AI24" s="1296"/>
      <c r="AM24" s="1296"/>
      <c r="AQ24" s="1296"/>
      <c r="AU24" s="1296"/>
    </row>
    <row r="25" spans="1:49" s="6" customFormat="1">
      <c r="A25" s="67" t="s">
        <v>882</v>
      </c>
      <c r="B25" s="67"/>
      <c r="C25" s="67"/>
      <c r="D25" s="67"/>
      <c r="E25" s="67"/>
      <c r="F25" s="67"/>
      <c r="G25" s="67"/>
      <c r="H25" s="67"/>
      <c r="K25" s="392"/>
      <c r="L25" s="392"/>
      <c r="M25" s="393"/>
      <c r="O25" s="1243">
        <f>O16/N16-1</f>
        <v>0.16772968341444816</v>
      </c>
      <c r="P25" s="1243">
        <f>P16/O16-1</f>
        <v>0.1795608877450281</v>
      </c>
      <c r="Q25" s="1243">
        <f>Q16/P16-1</f>
        <v>0.17598026690890745</v>
      </c>
      <c r="R25" s="1243">
        <f>R16/Q16-1</f>
        <v>0.17340741756314615</v>
      </c>
      <c r="S25" s="1243">
        <f>S16/R16-1</f>
        <v>0.16610659938119277</v>
      </c>
      <c r="T25" s="861"/>
      <c r="U25" s="143"/>
      <c r="V25" s="143"/>
      <c r="AE25" s="13"/>
      <c r="AI25" s="13"/>
      <c r="AM25" s="13"/>
      <c r="AQ25" s="13"/>
      <c r="AU25" s="13"/>
    </row>
    <row r="26" spans="1:49" s="325" customFormat="1">
      <c r="A26" s="531"/>
      <c r="B26" s="531"/>
      <c r="C26" s="531"/>
      <c r="D26" s="531"/>
      <c r="E26" s="531"/>
      <c r="F26" s="531"/>
      <c r="G26" s="531"/>
      <c r="H26" s="531"/>
      <c r="K26" s="532"/>
      <c r="L26" s="532"/>
      <c r="M26" s="533"/>
      <c r="N26" s="1243"/>
      <c r="O26" s="1243"/>
      <c r="P26" s="1243"/>
      <c r="Q26" s="1243"/>
      <c r="R26" s="1243"/>
      <c r="S26" s="1243"/>
      <c r="T26" s="1243"/>
      <c r="U26" s="534"/>
      <c r="V26" s="534"/>
      <c r="AE26" s="535"/>
      <c r="AI26" s="535"/>
      <c r="AM26" s="535"/>
      <c r="AQ26" s="535"/>
      <c r="AU26" s="535"/>
    </row>
    <row r="27" spans="1:49">
      <c r="A27" s="66" t="s">
        <v>675</v>
      </c>
      <c r="B27" s="66"/>
      <c r="C27" s="66"/>
      <c r="D27" s="66"/>
      <c r="E27" s="66"/>
      <c r="F27" s="66"/>
      <c r="G27" s="66"/>
      <c r="H27" s="66"/>
      <c r="I27" s="27"/>
      <c r="J27" s="29">
        <f>SUM(J28:J35)</f>
        <v>1</v>
      </c>
      <c r="K27" s="29">
        <f>SUM(K28:K35)</f>
        <v>1.0000000000000002</v>
      </c>
      <c r="L27" s="29">
        <f>SUM(L28:L35)</f>
        <v>1</v>
      </c>
      <c r="M27" s="357">
        <f>SUM(M28:M35)</f>
        <v>1</v>
      </c>
      <c r="N27" s="27">
        <f t="shared" ref="N27:S27" si="11">SUM(N28:N35)-N34</f>
        <v>0.99999999999999989</v>
      </c>
      <c r="O27" s="27">
        <f t="shared" si="11"/>
        <v>1</v>
      </c>
      <c r="P27" s="27">
        <f t="shared" si="11"/>
        <v>1</v>
      </c>
      <c r="Q27" s="27">
        <f t="shared" si="11"/>
        <v>1</v>
      </c>
      <c r="R27" s="27">
        <f t="shared" si="11"/>
        <v>1</v>
      </c>
      <c r="S27" s="27">
        <f t="shared" si="11"/>
        <v>0.99999999999999967</v>
      </c>
      <c r="Z27" s="1276"/>
      <c r="AA27" s="1276"/>
      <c r="AB27" s="1276"/>
      <c r="AC27" s="1276"/>
      <c r="AD27" s="1276"/>
      <c r="AE27" s="1282"/>
      <c r="AF27" s="1276"/>
      <c r="AG27" s="1276"/>
      <c r="AH27" s="1276"/>
      <c r="AI27" s="1282"/>
      <c r="AJ27" s="1276"/>
      <c r="AK27" s="1276"/>
      <c r="AL27" s="1276"/>
      <c r="AM27" s="1282"/>
      <c r="AN27" s="1276"/>
      <c r="AO27" s="1276"/>
      <c r="AP27" s="1276"/>
      <c r="AQ27" s="1282"/>
      <c r="AR27" s="1276"/>
      <c r="AS27" s="1276"/>
      <c r="AT27" s="1276"/>
      <c r="AU27" s="1282"/>
      <c r="AV27" s="1276"/>
      <c r="AW27" s="1276"/>
    </row>
    <row r="28" spans="1:49">
      <c r="A28" s="64" t="s">
        <v>679</v>
      </c>
      <c r="I28" s="1243">
        <f>1-I30-I31-I32-I29</f>
        <v>0.68</v>
      </c>
      <c r="J28" s="1243">
        <v>0.63</v>
      </c>
      <c r="K28" s="1243">
        <v>0.5</v>
      </c>
      <c r="L28" s="1243">
        <v>0.49</v>
      </c>
      <c r="M28" s="1289">
        <v>0.46</v>
      </c>
      <c r="N28" s="1243">
        <f>N7/$N$6</f>
        <v>0.46097046413502107</v>
      </c>
      <c r="O28" s="1243">
        <f>O7/$O$6</f>
        <v>0.44525750277880699</v>
      </c>
      <c r="P28" s="1243">
        <f>P7/$P$6</f>
        <v>0.42951155933507118</v>
      </c>
      <c r="Q28" s="1243">
        <f>Q7/$Q$6</f>
        <v>0.4107671994587902</v>
      </c>
      <c r="R28" s="1243">
        <f>R7/$R$6</f>
        <v>0.38887974154397531</v>
      </c>
      <c r="S28" s="1243">
        <f>S7/S$6</f>
        <v>0.3636554518283337</v>
      </c>
      <c r="Z28" s="1276"/>
      <c r="AA28" s="1276"/>
      <c r="AB28" s="1276"/>
      <c r="AC28" s="1276"/>
      <c r="AD28" s="1276"/>
      <c r="AE28" s="1282"/>
      <c r="AF28" s="1276"/>
      <c r="AG28" s="1276"/>
      <c r="AH28" s="1276"/>
      <c r="AI28" s="1282"/>
      <c r="AJ28" s="1276"/>
      <c r="AK28" s="1276"/>
      <c r="AL28" s="1276"/>
      <c r="AM28" s="1282"/>
      <c r="AN28" s="1276"/>
      <c r="AO28" s="1276"/>
      <c r="AP28" s="1276"/>
      <c r="AQ28" s="1282"/>
      <c r="AR28" s="1276"/>
      <c r="AS28" s="1276"/>
      <c r="AT28" s="1276"/>
      <c r="AU28" s="1282"/>
      <c r="AV28" s="1276"/>
      <c r="AW28" s="1276"/>
    </row>
    <row r="29" spans="1:49" outlineLevel="1">
      <c r="A29" s="64" t="s">
        <v>680</v>
      </c>
      <c r="I29" s="1243">
        <v>0.1</v>
      </c>
      <c r="J29" s="1243">
        <v>0.15</v>
      </c>
      <c r="K29" s="1243">
        <v>0.32</v>
      </c>
      <c r="L29" s="1243">
        <v>0.31</v>
      </c>
      <c r="M29" s="1289">
        <v>0.25</v>
      </c>
      <c r="N29" s="1243">
        <f>N8/N$6</f>
        <v>0.23734177215189872</v>
      </c>
      <c r="O29" s="1243">
        <f>O8/O$6</f>
        <v>0.25009262689885142</v>
      </c>
      <c r="P29" s="1243">
        <f>P8/P$6</f>
        <v>0.26222655597468641</v>
      </c>
      <c r="Q29" s="1243">
        <f>Q8/Q$6</f>
        <v>0.28028654573221939</v>
      </c>
      <c r="R29" s="1243">
        <f>R8/R$6</f>
        <v>0.30495638876593623</v>
      </c>
      <c r="S29" s="1243">
        <f>S8/S$6</f>
        <v>0.33702582980725387</v>
      </c>
      <c r="Z29" s="1275"/>
      <c r="AA29" s="1275"/>
      <c r="AB29" s="1297"/>
      <c r="AC29" s="1297"/>
      <c r="AD29" s="1297"/>
      <c r="AE29" s="1298"/>
      <c r="AF29" s="1297"/>
      <c r="AG29" s="1276"/>
      <c r="AH29" s="1276"/>
      <c r="AI29" s="1282"/>
      <c r="AJ29" s="1276"/>
      <c r="AK29" s="1276"/>
      <c r="AL29" s="1276"/>
      <c r="AM29" s="1282"/>
      <c r="AN29" s="1276"/>
      <c r="AO29" s="1276"/>
      <c r="AP29" s="1276"/>
      <c r="AQ29" s="1282"/>
      <c r="AR29" s="1276"/>
      <c r="AS29" s="1276"/>
      <c r="AT29" s="1276"/>
      <c r="AU29" s="1282"/>
      <c r="AV29" s="1276"/>
      <c r="AW29" s="1276"/>
    </row>
    <row r="30" spans="1:49" outlineLevel="1">
      <c r="A30" s="64" t="s">
        <v>681</v>
      </c>
      <c r="I30" s="1243">
        <v>0.1</v>
      </c>
      <c r="J30" s="1243">
        <v>0.1</v>
      </c>
      <c r="K30" s="1243">
        <v>0.06</v>
      </c>
      <c r="L30" s="1243">
        <v>0.06</v>
      </c>
      <c r="M30" s="1289">
        <v>0.03</v>
      </c>
      <c r="N30" s="1243">
        <f>N9/$N$6</f>
        <v>2.8481012658227847E-2</v>
      </c>
      <c r="O30" s="1243">
        <f>O9/$O$6</f>
        <v>2.8760652093367915E-2</v>
      </c>
      <c r="P30" s="1243">
        <f>P9/$P$6</f>
        <v>3.0156053937088936E-2</v>
      </c>
      <c r="Q30" s="1243">
        <f>Q9/$Q$6</f>
        <v>3.0960599360815549E-2</v>
      </c>
      <c r="R30" s="1243">
        <f>R9/$R$6</f>
        <v>3.1060787891659686E-2</v>
      </c>
      <c r="S30" s="1243">
        <f>S9/S$6</f>
        <v>3.0366336931040582E-2</v>
      </c>
      <c r="Z30" s="1275"/>
      <c r="AA30" s="1275"/>
      <c r="AB30" s="1297"/>
      <c r="AC30" s="1297"/>
      <c r="AD30" s="1297"/>
      <c r="AE30" s="1298"/>
      <c r="AF30" s="1297"/>
      <c r="AG30" s="1276"/>
      <c r="AH30" s="1276"/>
      <c r="AI30" s="1282"/>
      <c r="AJ30" s="1276"/>
      <c r="AK30" s="1276"/>
      <c r="AL30" s="1276"/>
      <c r="AM30" s="1282"/>
      <c r="AN30" s="1276"/>
      <c r="AO30" s="1276"/>
      <c r="AP30" s="1276"/>
      <c r="AQ30" s="1282"/>
      <c r="AR30" s="1276"/>
      <c r="AS30" s="1276"/>
      <c r="AT30" s="1276"/>
      <c r="AU30" s="1282"/>
      <c r="AV30" s="1276"/>
      <c r="AW30" s="1276"/>
    </row>
    <row r="31" spans="1:49" outlineLevel="1">
      <c r="A31" s="64" t="s">
        <v>682</v>
      </c>
      <c r="I31" s="1243">
        <v>0.02</v>
      </c>
      <c r="J31" s="1243">
        <v>0.02</v>
      </c>
      <c r="K31" s="1243">
        <v>0.02</v>
      </c>
      <c r="L31" s="1243">
        <v>0.02</v>
      </c>
      <c r="M31" s="1289">
        <v>0.01</v>
      </c>
      <c r="N31" s="1243">
        <f>N10/$N$6</f>
        <v>9.4936708860759497E-3</v>
      </c>
      <c r="O31" s="1243">
        <f>O10/$O$6</f>
        <v>9.5868840311226396E-3</v>
      </c>
      <c r="P31" s="1243">
        <f>P10/$P$6</f>
        <v>1.0052017979029647E-2</v>
      </c>
      <c r="Q31" s="1243">
        <f>Q10/$Q$6</f>
        <v>1.0320199786938518E-2</v>
      </c>
      <c r="R31" s="1243">
        <f>R10/$R$6</f>
        <v>1.0353595963886563E-2</v>
      </c>
      <c r="S31" s="1243">
        <f>S10/S$6</f>
        <v>1.0122112310346862E-2</v>
      </c>
      <c r="Z31" s="1275"/>
      <c r="AA31" s="1275"/>
      <c r="AB31" s="1297"/>
      <c r="AC31" s="1297"/>
      <c r="AD31" s="1297"/>
      <c r="AE31" s="1298"/>
      <c r="AF31" s="1297"/>
      <c r="AG31" s="1276"/>
      <c r="AH31" s="1276"/>
      <c r="AI31" s="1282"/>
      <c r="AJ31" s="1276"/>
      <c r="AK31" s="1276"/>
      <c r="AL31" s="1276"/>
      <c r="AM31" s="1282"/>
      <c r="AN31" s="1276"/>
      <c r="AO31" s="1276"/>
      <c r="AP31" s="1276"/>
      <c r="AQ31" s="1282"/>
      <c r="AR31" s="1276"/>
      <c r="AS31" s="1276"/>
      <c r="AT31" s="1276"/>
      <c r="AU31" s="1282"/>
      <c r="AV31" s="1276"/>
      <c r="AW31" s="1276"/>
    </row>
    <row r="32" spans="1:49" outlineLevel="1">
      <c r="A32" s="64" t="s">
        <v>883</v>
      </c>
      <c r="I32" s="1243">
        <v>0.1</v>
      </c>
      <c r="J32" s="1243">
        <v>0.1</v>
      </c>
      <c r="K32" s="1243">
        <v>0.1</v>
      </c>
      <c r="L32" s="1243">
        <v>0.12</v>
      </c>
      <c r="M32" s="1289">
        <v>0.25</v>
      </c>
      <c r="N32" s="1243">
        <f>N11/$N$6</f>
        <v>0.26371308016877637</v>
      </c>
      <c r="O32" s="1243">
        <f>O11/$O$6</f>
        <v>0.26630233419785104</v>
      </c>
      <c r="P32" s="1243">
        <f>P11/$P$6</f>
        <v>0.26805381277412388</v>
      </c>
      <c r="Q32" s="1243">
        <f>Q11/$Q$6</f>
        <v>0.2676654556612364</v>
      </c>
      <c r="R32" s="1243">
        <f>R11/$R$6</f>
        <v>0.26474948583454222</v>
      </c>
      <c r="S32" s="1243">
        <f>S11/S$6</f>
        <v>0.2588302691230247</v>
      </c>
      <c r="Z32" s="1276"/>
      <c r="AA32" s="1276"/>
      <c r="AB32" s="1276"/>
      <c r="AC32" s="1276"/>
      <c r="AD32" s="1276"/>
      <c r="AE32" s="1282"/>
      <c r="AF32" s="1276"/>
      <c r="AG32" s="1276"/>
      <c r="AH32" s="1276"/>
      <c r="AI32" s="1282"/>
      <c r="AJ32" s="1276"/>
      <c r="AK32" s="1276"/>
      <c r="AL32" s="1276"/>
      <c r="AM32" s="1282"/>
      <c r="AN32" s="1276"/>
      <c r="AO32" s="1276"/>
      <c r="AP32" s="1276"/>
      <c r="AQ32" s="1282"/>
      <c r="AR32" s="1276"/>
      <c r="AS32" s="1276"/>
      <c r="AT32" s="1276"/>
      <c r="AU32" s="1282"/>
      <c r="AV32" s="1276"/>
      <c r="AW32" s="1276"/>
    </row>
    <row r="33" spans="1:78" outlineLevel="1">
      <c r="I33" s="1243"/>
      <c r="J33" s="1243"/>
      <c r="K33" s="1243"/>
      <c r="L33" s="1243"/>
      <c r="M33" s="1289"/>
      <c r="N33" s="1243"/>
      <c r="O33" s="1243"/>
      <c r="P33" s="1243"/>
      <c r="Q33" s="1243"/>
      <c r="R33" s="1243"/>
      <c r="S33" s="1243"/>
      <c r="Z33" s="1276"/>
      <c r="AA33" s="1276"/>
      <c r="AB33" s="1276"/>
      <c r="AC33" s="1276"/>
      <c r="AD33" s="1276"/>
      <c r="AE33" s="1282"/>
      <c r="AF33" s="1276"/>
      <c r="AG33" s="1276"/>
      <c r="AH33" s="1276"/>
      <c r="AI33" s="1282"/>
      <c r="AJ33" s="1276"/>
      <c r="AK33" s="1276"/>
      <c r="AL33" s="1276"/>
      <c r="AM33" s="1282"/>
      <c r="AN33" s="1276"/>
      <c r="AO33" s="1276"/>
      <c r="AP33" s="1276"/>
      <c r="AQ33" s="1282"/>
      <c r="AR33" s="1276"/>
      <c r="AS33" s="1276"/>
      <c r="AT33" s="1276"/>
      <c r="AU33" s="1282"/>
      <c r="AV33" s="1276"/>
      <c r="AW33" s="1276"/>
    </row>
    <row r="34" spans="1:78" s="6" customFormat="1" outlineLevel="1">
      <c r="A34" s="67" t="s">
        <v>882</v>
      </c>
      <c r="B34" s="67"/>
      <c r="C34" s="67"/>
      <c r="D34" s="67"/>
      <c r="E34" s="67"/>
      <c r="F34" s="67"/>
      <c r="G34" s="67"/>
      <c r="H34" s="67"/>
      <c r="J34" s="392"/>
      <c r="K34" s="392"/>
      <c r="L34" s="392"/>
      <c r="M34" s="862"/>
      <c r="N34" s="392">
        <f t="shared" ref="N34:S34" si="12">N16/N6</f>
        <v>0.22240862182908849</v>
      </c>
      <c r="O34" s="392">
        <f t="shared" si="12"/>
        <v>0.22805489605423743</v>
      </c>
      <c r="P34" s="392">
        <f t="shared" si="12"/>
        <v>0.22564490611638635</v>
      </c>
      <c r="Q34" s="392">
        <f t="shared" si="12"/>
        <v>0.22391789693002706</v>
      </c>
      <c r="R34" s="392">
        <f t="shared" si="12"/>
        <v>0.22275817224128036</v>
      </c>
      <c r="S34" s="392">
        <f t="shared" si="12"/>
        <v>0.22082792780934646</v>
      </c>
      <c r="T34" s="143"/>
      <c r="U34" s="143"/>
      <c r="V34" s="143"/>
      <c r="Z34" s="1290"/>
      <c r="AA34" s="1290"/>
      <c r="AB34" s="1290"/>
      <c r="AC34" s="1290"/>
      <c r="AD34" s="1290"/>
      <c r="AE34" s="1291"/>
      <c r="AF34" s="1290"/>
      <c r="AG34" s="1290"/>
      <c r="AH34" s="1290"/>
      <c r="AI34" s="1291"/>
      <c r="AJ34" s="1290"/>
      <c r="AK34" s="1290"/>
      <c r="AL34" s="1290"/>
      <c r="AM34" s="1291"/>
      <c r="AN34" s="1290"/>
      <c r="AO34" s="1290"/>
      <c r="AP34" s="1290"/>
      <c r="AQ34" s="1291"/>
      <c r="AR34" s="1290"/>
      <c r="AS34" s="1290"/>
      <c r="AT34" s="1290"/>
      <c r="AU34" s="1291"/>
      <c r="AV34" s="1290"/>
      <c r="AW34" s="1290"/>
    </row>
    <row r="35" spans="1:78" outlineLevel="1">
      <c r="J35" s="1243"/>
      <c r="K35" s="1243"/>
      <c r="L35" s="1243"/>
      <c r="M35" s="1289"/>
      <c r="N35" s="1243"/>
      <c r="O35" s="1243"/>
      <c r="P35" s="1243"/>
      <c r="Q35" s="1243"/>
      <c r="R35" s="1243"/>
      <c r="S35" s="1243"/>
      <c r="Z35" s="1276"/>
      <c r="AA35" s="1276"/>
      <c r="AB35" s="1276"/>
      <c r="AC35" s="1276"/>
      <c r="AD35" s="1276"/>
      <c r="AE35" s="1282"/>
      <c r="AF35" s="1276"/>
      <c r="AG35" s="1276"/>
      <c r="AH35" s="1276"/>
      <c r="AI35" s="1282"/>
      <c r="AJ35" s="1276"/>
      <c r="AK35" s="1276"/>
      <c r="AL35" s="1276"/>
      <c r="AM35" s="1282"/>
      <c r="AN35" s="1276"/>
      <c r="AO35" s="1276"/>
      <c r="AP35" s="1276"/>
      <c r="AQ35" s="1282"/>
      <c r="AR35" s="1276"/>
      <c r="AS35" s="1276"/>
      <c r="AT35" s="1276"/>
      <c r="AU35" s="1282"/>
      <c r="AV35" s="1276"/>
      <c r="AW35" s="1276"/>
    </row>
    <row r="36" spans="1:78" s="43" customFormat="1">
      <c r="A36" s="403" t="s">
        <v>884</v>
      </c>
      <c r="B36" s="403"/>
      <c r="C36" s="403"/>
      <c r="D36" s="403"/>
      <c r="E36" s="403"/>
      <c r="F36" s="403"/>
      <c r="G36" s="403"/>
      <c r="H36" s="403"/>
      <c r="I36" s="404"/>
      <c r="J36" s="404"/>
      <c r="K36" s="404"/>
      <c r="L36" s="404"/>
      <c r="M36" s="405"/>
      <c r="N36" s="448"/>
      <c r="O36" s="448"/>
      <c r="P36" s="448"/>
      <c r="Q36" s="448"/>
      <c r="R36" s="448"/>
      <c r="S36" s="448"/>
      <c r="T36" s="402"/>
      <c r="U36" s="402"/>
      <c r="V36" s="402"/>
      <c r="W36" s="452"/>
      <c r="AE36" s="1130"/>
      <c r="AI36" s="1130"/>
      <c r="AM36" s="1130"/>
      <c r="AQ36" s="1130"/>
      <c r="AU36" s="1130"/>
      <c r="BJ36" s="1130"/>
      <c r="BN36" s="1130"/>
      <c r="BR36" s="1130"/>
      <c r="BV36" s="1130"/>
      <c r="BZ36" s="1130"/>
    </row>
    <row r="37" spans="1:78" s="43" customFormat="1">
      <c r="A37" s="459" t="s">
        <v>885</v>
      </c>
      <c r="B37" s="303"/>
      <c r="C37" s="303"/>
      <c r="D37" s="303"/>
      <c r="E37" s="303"/>
      <c r="F37" s="303"/>
      <c r="G37" s="303"/>
      <c r="H37" s="303"/>
      <c r="M37" s="1130"/>
      <c r="N37" s="460">
        <v>700</v>
      </c>
      <c r="O37" s="461">
        <f>O38*O39</f>
        <v>817.41077839011371</v>
      </c>
      <c r="P37" s="461">
        <f>P38*P39</f>
        <v>964.1857834101969</v>
      </c>
      <c r="Q37" s="461">
        <f>Q38*Q39</f>
        <v>1133.8634549244973</v>
      </c>
      <c r="R37" s="461">
        <f>R38*R39</f>
        <v>1330.4837885121813</v>
      </c>
      <c r="S37" s="461">
        <f>S38*S39</f>
        <v>1551.4859261537458</v>
      </c>
      <c r="T37" s="462"/>
      <c r="U37" s="462">
        <f>(S37/O37)^(1/4)-1</f>
        <v>0.17375341835594038</v>
      </c>
      <c r="V37" s="462"/>
      <c r="W37" s="463"/>
      <c r="AE37" s="1130"/>
      <c r="AI37" s="1130"/>
      <c r="AM37" s="1130"/>
      <c r="AQ37" s="1130"/>
      <c r="AU37" s="1130"/>
      <c r="BJ37" s="1130"/>
      <c r="BN37" s="1130"/>
      <c r="BR37" s="1130"/>
      <c r="BV37" s="1130"/>
      <c r="BZ37" s="1130"/>
    </row>
    <row r="38" spans="1:78" s="43" customFormat="1">
      <c r="A38" s="303" t="s">
        <v>886</v>
      </c>
      <c r="B38" s="303"/>
      <c r="C38" s="303"/>
      <c r="D38" s="303"/>
      <c r="E38" s="303"/>
      <c r="F38" s="303"/>
      <c r="G38" s="303"/>
      <c r="H38" s="303"/>
      <c r="M38" s="1130"/>
      <c r="N38" s="90">
        <f t="array" ref="N38:S38">TRANSPOSE('D. PPE Market'!F51:F56)*24000</f>
        <v>13072.277943048495</v>
      </c>
      <c r="O38" s="90">
        <v>13961.275068676723</v>
      </c>
      <c r="P38" s="90">
        <v>15172.455675423986</v>
      </c>
      <c r="Q38" s="90">
        <v>16541.055787615169</v>
      </c>
      <c r="R38" s="90">
        <v>18089.899861575443</v>
      </c>
      <c r="S38" s="90">
        <v>19751.9653324633</v>
      </c>
      <c r="T38" s="464"/>
      <c r="U38" s="462">
        <f>(S38/O38)^(1/4)-1</f>
        <v>9.0614601159729968E-2</v>
      </c>
      <c r="V38" s="464"/>
      <c r="W38" s="402"/>
      <c r="AE38" s="1130"/>
      <c r="AI38" s="1130"/>
      <c r="AM38" s="1130"/>
      <c r="AQ38" s="1130"/>
      <c r="AU38" s="1130"/>
      <c r="BJ38" s="1130"/>
      <c r="BN38" s="1130"/>
      <c r="BR38" s="1130"/>
      <c r="BV38" s="1130"/>
      <c r="BZ38" s="1130"/>
    </row>
    <row r="39" spans="1:78" s="43" customFormat="1">
      <c r="A39" s="303" t="s">
        <v>887</v>
      </c>
      <c r="B39" s="303"/>
      <c r="C39" s="303"/>
      <c r="D39" s="303"/>
      <c r="E39" s="303"/>
      <c r="F39" s="303"/>
      <c r="G39" s="303"/>
      <c r="H39" s="303"/>
      <c r="M39" s="1130"/>
      <c r="N39" s="445">
        <f>N37/N38</f>
        <v>5.354843303130976E-2</v>
      </c>
      <c r="O39" s="408">
        <f>N39+0.5%</f>
        <v>5.8548433031309757E-2</v>
      </c>
      <c r="P39" s="408">
        <f t="shared" ref="P39:S39" si="13">O39+0.5%</f>
        <v>6.3548433031309762E-2</v>
      </c>
      <c r="Q39" s="408">
        <f t="shared" si="13"/>
        <v>6.8548433031309766E-2</v>
      </c>
      <c r="R39" s="408">
        <f t="shared" si="13"/>
        <v>7.3548433031309771E-2</v>
      </c>
      <c r="S39" s="408">
        <f t="shared" si="13"/>
        <v>7.8548433031309775E-2</v>
      </c>
      <c r="T39" s="1299" t="s">
        <v>888</v>
      </c>
      <c r="U39" s="402"/>
      <c r="V39" s="402"/>
      <c r="W39" s="402"/>
      <c r="AE39" s="1130"/>
      <c r="AI39" s="1130"/>
      <c r="AM39" s="1130"/>
      <c r="AQ39" s="1130"/>
      <c r="AU39" s="1130"/>
      <c r="BJ39" s="1130"/>
      <c r="BN39" s="1130"/>
      <c r="BR39" s="1130"/>
      <c r="BV39" s="1130"/>
      <c r="BZ39" s="1130"/>
    </row>
    <row r="40" spans="1:78">
      <c r="AB40" s="1300"/>
      <c r="AC40" s="1301"/>
      <c r="AD40" s="1301"/>
      <c r="AE40" s="1302"/>
      <c r="AF40" s="1301"/>
      <c r="AG40" s="1303"/>
      <c r="AH40" s="1290"/>
      <c r="AI40" s="1291"/>
      <c r="AJ40" s="1290"/>
      <c r="AK40" s="1290"/>
      <c r="AL40" s="1290"/>
      <c r="AM40" s="1291"/>
      <c r="AN40" s="1290"/>
      <c r="AO40" s="1290"/>
      <c r="AP40" s="1290"/>
      <c r="AQ40" s="1291"/>
      <c r="AR40" s="1290"/>
      <c r="AS40" s="1290"/>
      <c r="AT40" s="1290"/>
      <c r="AU40" s="1291"/>
      <c r="AV40" s="1290"/>
      <c r="AW40" s="1290"/>
    </row>
    <row r="41" spans="1:78">
      <c r="A41" s="403" t="s">
        <v>889</v>
      </c>
      <c r="B41" s="403"/>
      <c r="C41" s="403"/>
      <c r="D41" s="403"/>
      <c r="E41" s="403"/>
      <c r="F41" s="403"/>
      <c r="G41" s="403"/>
      <c r="H41" s="403"/>
      <c r="I41" s="404"/>
      <c r="J41" s="404"/>
      <c r="K41" s="404"/>
      <c r="L41" s="404"/>
      <c r="M41" s="405"/>
      <c r="N41" s="448"/>
      <c r="O41" s="448"/>
      <c r="P41" s="448"/>
      <c r="Q41" s="448"/>
      <c r="R41" s="448"/>
      <c r="S41" s="448"/>
    </row>
    <row r="42" spans="1:78">
      <c r="A42" s="60" t="s">
        <v>890</v>
      </c>
      <c r="M42" s="1304">
        <f>M6</f>
        <v>3320</v>
      </c>
    </row>
    <row r="43" spans="1:78">
      <c r="A43" s="60" t="s">
        <v>891</v>
      </c>
      <c r="K43" s="1243">
        <v>0.05</v>
      </c>
      <c r="L43" s="203">
        <v>7.4999999999999997E-2</v>
      </c>
      <c r="M43" s="1305">
        <v>0.1</v>
      </c>
      <c r="N43" s="203"/>
    </row>
    <row r="44" spans="1:78">
      <c r="A44" s="60" t="s">
        <v>892</v>
      </c>
      <c r="M44" s="1304">
        <f>M42-M8-M9-M10</f>
        <v>2357.2000000000003</v>
      </c>
    </row>
    <row r="45" spans="1:78">
      <c r="A45" s="60" t="s">
        <v>893</v>
      </c>
      <c r="M45" s="1304">
        <f>M42-M44</f>
        <v>962.79999999999973</v>
      </c>
      <c r="N45" s="4"/>
    </row>
    <row r="46" spans="1:78">
      <c r="A46" s="60" t="s">
        <v>894</v>
      </c>
      <c r="M46" s="1304">
        <f>M42/M43</f>
        <v>33200</v>
      </c>
      <c r="N46" s="4">
        <f>SUM(N49,N52)</f>
        <v>31982.5</v>
      </c>
      <c r="O46" s="4">
        <f t="shared" ref="O46:S46" si="14">SUM(O49,O52)</f>
        <v>35485.5625</v>
      </c>
      <c r="P46" s="4">
        <f t="shared" si="14"/>
        <v>40727.493750000001</v>
      </c>
      <c r="Q46" s="4">
        <f t="shared" si="14"/>
        <v>46832.293124999997</v>
      </c>
      <c r="R46" s="4">
        <f t="shared" si="14"/>
        <v>53953.982437500003</v>
      </c>
      <c r="S46" s="4">
        <f t="shared" si="14"/>
        <v>62275.532681249999</v>
      </c>
      <c r="T46" s="1540">
        <f>AVERAGE(N47:S47)</f>
        <v>0.10599608472425288</v>
      </c>
    </row>
    <row r="47" spans="1:78">
      <c r="A47" s="60" t="s">
        <v>895</v>
      </c>
      <c r="M47" s="1304"/>
      <c r="N47" s="17">
        <f t="shared" ref="N47:S47" si="15">N6/N46</f>
        <v>9.8408817321972958E-2</v>
      </c>
      <c r="O47" s="17">
        <f t="shared" si="15"/>
        <v>0.10100648679304436</v>
      </c>
      <c r="P47" s="17">
        <f t="shared" si="15"/>
        <v>0.10491739624906331</v>
      </c>
      <c r="Q47" s="17">
        <f t="shared" si="15"/>
        <v>0.10812510147967833</v>
      </c>
      <c r="R47" s="17">
        <f t="shared" si="15"/>
        <v>0.11070122714969688</v>
      </c>
      <c r="S47" s="17">
        <f t="shared" si="15"/>
        <v>0.11281747935206156</v>
      </c>
    </row>
    <row r="48" spans="1:78">
      <c r="A48" s="60"/>
      <c r="M48" s="1304"/>
      <c r="N48" s="17"/>
      <c r="O48" s="17"/>
      <c r="P48" s="17"/>
      <c r="Q48" s="17"/>
      <c r="R48" s="17"/>
      <c r="S48" s="17"/>
    </row>
    <row r="49" spans="1:49">
      <c r="A49" s="60" t="s">
        <v>896</v>
      </c>
      <c r="M49" s="1304">
        <f>15500</f>
        <v>15500</v>
      </c>
      <c r="N49" s="4">
        <f t="shared" ref="N49:S49" si="16">M49*(1+N51)</f>
        <v>14725</v>
      </c>
      <c r="O49" s="4">
        <f t="shared" si="16"/>
        <v>16933.75</v>
      </c>
      <c r="P49" s="4">
        <f t="shared" si="16"/>
        <v>20320.5</v>
      </c>
      <c r="Q49" s="4">
        <f t="shared" si="16"/>
        <v>24384.6</v>
      </c>
      <c r="R49" s="4">
        <f t="shared" si="16"/>
        <v>29261.519999999997</v>
      </c>
      <c r="S49" s="4">
        <f t="shared" si="16"/>
        <v>35113.823999999993</v>
      </c>
      <c r="T49" s="1270">
        <f>(S49/O49)^(1/4)-1</f>
        <v>0.19999999999999996</v>
      </c>
    </row>
    <row r="50" spans="1:49">
      <c r="A50" s="60" t="s">
        <v>897</v>
      </c>
      <c r="M50" s="1305">
        <f>M45/M49</f>
        <v>6.2116129032258049E-2</v>
      </c>
      <c r="N50" s="203">
        <f t="shared" ref="N50:S50" si="17">N8/N49</f>
        <v>5.0730050933786075E-2</v>
      </c>
      <c r="O50" s="203">
        <f t="shared" si="17"/>
        <v>5.2935705322211556E-2</v>
      </c>
      <c r="P50" s="203">
        <f t="shared" si="17"/>
        <v>5.5141359710637043E-2</v>
      </c>
      <c r="Q50" s="203">
        <f t="shared" si="17"/>
        <v>5.8204768583450209E-2</v>
      </c>
      <c r="R50" s="203">
        <f t="shared" si="17"/>
        <v>6.2246766401745361E-2</v>
      </c>
      <c r="S50" s="203">
        <f t="shared" si="17"/>
        <v>6.7433996935224158E-2</v>
      </c>
      <c r="T50" s="1270"/>
    </row>
    <row r="51" spans="1:49">
      <c r="A51" s="67" t="s">
        <v>898</v>
      </c>
      <c r="M51" s="1304"/>
      <c r="N51" s="1243">
        <v>-0.05</v>
      </c>
      <c r="O51" s="583">
        <v>0.15</v>
      </c>
      <c r="P51" s="583">
        <v>0.2</v>
      </c>
      <c r="Q51" s="1243">
        <f t="shared" ref="Q51:R51" si="18">P51+($S51-$P51)/3</f>
        <v>0.2</v>
      </c>
      <c r="R51" s="1243">
        <f t="shared" si="18"/>
        <v>0.2</v>
      </c>
      <c r="S51" s="583">
        <v>0.2</v>
      </c>
      <c r="T51" s="1270"/>
    </row>
    <row r="52" spans="1:49">
      <c r="A52" s="60" t="s">
        <v>899</v>
      </c>
      <c r="M52" s="1304">
        <f>M46-M49</f>
        <v>17700</v>
      </c>
      <c r="N52" s="4">
        <f t="shared" ref="N52:S52" si="19">M52*(1+N54)</f>
        <v>17257.5</v>
      </c>
      <c r="O52" s="4">
        <f t="shared" si="19"/>
        <v>18551.8125</v>
      </c>
      <c r="P52" s="4">
        <f t="shared" si="19"/>
        <v>20406.993750000001</v>
      </c>
      <c r="Q52" s="4">
        <f t="shared" si="19"/>
        <v>22447.693125000002</v>
      </c>
      <c r="R52" s="4">
        <f t="shared" si="19"/>
        <v>24692.462437500002</v>
      </c>
      <c r="S52" s="4">
        <f t="shared" si="19"/>
        <v>27161.708681250006</v>
      </c>
      <c r="T52" s="1270">
        <f>(S52/O52)^(1/4)-1</f>
        <v>0.10000000000000009</v>
      </c>
    </row>
    <row r="53" spans="1:49">
      <c r="A53" s="60" t="s">
        <v>900</v>
      </c>
      <c r="M53" s="1305">
        <f>M44/M52</f>
        <v>0.13317514124293786</v>
      </c>
      <c r="N53" s="1115">
        <f t="shared" ref="N53:S53" si="20">SUM(N7,N11)/N52</f>
        <v>0.13216514558887441</v>
      </c>
      <c r="O53" s="1243">
        <f t="shared" si="20"/>
        <v>0.13747573181865652</v>
      </c>
      <c r="P53" s="1243">
        <f t="shared" si="20"/>
        <v>0.14606328773928298</v>
      </c>
      <c r="Q53" s="1243">
        <f t="shared" si="20"/>
        <v>0.15304071235901956</v>
      </c>
      <c r="R53" s="1243">
        <f t="shared" si="20"/>
        <v>0.15810405302127914</v>
      </c>
      <c r="S53" s="1243">
        <f t="shared" si="20"/>
        <v>0.16101493088962346</v>
      </c>
    </row>
    <row r="54" spans="1:49">
      <c r="A54" s="67" t="s">
        <v>898</v>
      </c>
      <c r="N54" s="1243">
        <v>-2.5000000000000001E-2</v>
      </c>
      <c r="O54" s="583">
        <v>7.4999999999999997E-2</v>
      </c>
      <c r="P54" s="583">
        <v>0.1</v>
      </c>
      <c r="Q54" s="1243">
        <f t="shared" ref="Q54:R54" si="21">P54+($S54-$P54)/3</f>
        <v>0.1</v>
      </c>
      <c r="R54" s="1243">
        <f t="shared" si="21"/>
        <v>0.1</v>
      </c>
      <c r="S54" s="583">
        <v>0.1</v>
      </c>
    </row>
    <row r="55" spans="1:49">
      <c r="A55" s="67"/>
      <c r="O55" s="4"/>
      <c r="S55" s="4"/>
      <c r="T55" s="1270"/>
    </row>
    <row r="56" spans="1:49">
      <c r="A56" s="60" t="s">
        <v>901</v>
      </c>
      <c r="M56" s="1304">
        <f>24000*35%</f>
        <v>8400</v>
      </c>
      <c r="N56" s="4">
        <f>M56</f>
        <v>8400</v>
      </c>
      <c r="O56" s="4"/>
    </row>
    <row r="57" spans="1:49">
      <c r="A57" s="60" t="s">
        <v>902</v>
      </c>
      <c r="M57" s="1305">
        <f>M56/M46</f>
        <v>0.25301204819277107</v>
      </c>
      <c r="N57" s="1115">
        <f>N56/M46</f>
        <v>0.25301204819277107</v>
      </c>
    </row>
    <row r="58" spans="1:49">
      <c r="A58" s="60"/>
      <c r="AB58" s="1300"/>
      <c r="AC58" s="1306"/>
      <c r="AD58" s="1306"/>
      <c r="AE58" s="1307"/>
      <c r="AF58" s="1306"/>
      <c r="AG58" s="1308"/>
      <c r="AH58" s="1300"/>
      <c r="AI58" s="1309"/>
      <c r="AJ58" s="1300"/>
      <c r="AK58" s="1300"/>
      <c r="AL58" s="1300"/>
      <c r="AM58" s="1309"/>
      <c r="AN58" s="1300"/>
      <c r="AO58" s="1300"/>
      <c r="AP58" s="1300"/>
      <c r="AQ58" s="1309"/>
      <c r="AR58" s="1300"/>
      <c r="AS58" s="1300"/>
      <c r="AT58" s="1300"/>
      <c r="AU58" s="1309"/>
      <c r="AV58" s="1300"/>
      <c r="AW58" s="1300"/>
    </row>
    <row r="59" spans="1:49">
      <c r="A59" s="60" t="s">
        <v>903</v>
      </c>
      <c r="M59" s="1304">
        <f>1851*75%</f>
        <v>1388.25</v>
      </c>
      <c r="N59" s="4">
        <f>M59</f>
        <v>1388.25</v>
      </c>
      <c r="AB59" s="1300"/>
      <c r="AC59" s="1301"/>
      <c r="AD59" s="1301"/>
      <c r="AE59" s="1302"/>
      <c r="AF59" s="1301"/>
      <c r="AG59" s="1303"/>
      <c r="AH59" s="1290"/>
      <c r="AI59" s="1291"/>
      <c r="AJ59" s="1290"/>
      <c r="AK59" s="1290"/>
      <c r="AL59" s="1290"/>
      <c r="AM59" s="1291"/>
      <c r="AN59" s="1290"/>
      <c r="AO59" s="1290"/>
      <c r="AP59" s="1290"/>
      <c r="AQ59" s="1291"/>
      <c r="AR59" s="1290"/>
      <c r="AS59" s="1290"/>
      <c r="AT59" s="1290"/>
      <c r="AU59" s="1291"/>
      <c r="AV59" s="1290"/>
      <c r="AW59" s="1290"/>
    </row>
    <row r="60" spans="1:49">
      <c r="A60" s="60" t="s">
        <v>903</v>
      </c>
      <c r="M60" s="1305">
        <f>M59/M46</f>
        <v>4.181475903614458E-2</v>
      </c>
      <c r="N60" s="1115">
        <f>N59/M46</f>
        <v>4.181475903614458E-2</v>
      </c>
      <c r="AB60" s="1300"/>
      <c r="AC60" s="1301"/>
      <c r="AD60" s="1301"/>
      <c r="AE60" s="1302"/>
      <c r="AF60" s="1301"/>
      <c r="AG60" s="1303"/>
      <c r="AH60" s="1290"/>
      <c r="AI60" s="1291"/>
      <c r="AJ60" s="1290"/>
      <c r="AK60" s="1290"/>
      <c r="AL60" s="1290"/>
      <c r="AM60" s="1291"/>
      <c r="AN60" s="1290"/>
      <c r="AO60" s="1290"/>
      <c r="AP60" s="1290"/>
      <c r="AQ60" s="1291"/>
      <c r="AR60" s="1290"/>
      <c r="AS60" s="1290"/>
      <c r="AT60" s="1290"/>
      <c r="AU60" s="1291"/>
      <c r="AV60" s="1290"/>
      <c r="AW60" s="1290"/>
    </row>
    <row r="61" spans="1:49">
      <c r="AB61" s="1290"/>
      <c r="AC61" s="1301"/>
      <c r="AD61" s="1301"/>
      <c r="AE61" s="1302"/>
      <c r="AF61" s="1301"/>
      <c r="AG61" s="1303"/>
      <c r="AH61" s="1290"/>
      <c r="AI61" s="1291"/>
      <c r="AJ61" s="1290"/>
      <c r="AK61" s="1290"/>
      <c r="AL61" s="1290"/>
      <c r="AM61" s="1291"/>
      <c r="AN61" s="1290"/>
      <c r="AO61" s="1290"/>
      <c r="AP61" s="1290"/>
      <c r="AQ61" s="1291"/>
      <c r="AR61" s="1290"/>
      <c r="AS61" s="1290"/>
      <c r="AT61" s="1290"/>
      <c r="AU61" s="1291"/>
      <c r="AV61" s="1290"/>
      <c r="AW61" s="1290"/>
    </row>
    <row r="62" spans="1:49">
      <c r="AB62" s="1290"/>
      <c r="AC62" s="1301"/>
      <c r="AD62" s="1301"/>
      <c r="AE62" s="1302"/>
      <c r="AF62" s="1301"/>
      <c r="AG62" s="1303"/>
      <c r="AH62" s="1290"/>
      <c r="AI62" s="1291"/>
      <c r="AJ62" s="1290"/>
      <c r="AK62" s="1290"/>
      <c r="AL62" s="1290"/>
      <c r="AM62" s="1291"/>
      <c r="AN62" s="1290"/>
      <c r="AO62" s="1290"/>
      <c r="AP62" s="1290"/>
      <c r="AQ62" s="1291"/>
      <c r="AR62" s="1290"/>
      <c r="AS62" s="1290"/>
      <c r="AT62" s="1290"/>
      <c r="AU62" s="1291"/>
      <c r="AV62" s="1290"/>
      <c r="AW62" s="1290"/>
    </row>
    <row r="63" spans="1:49">
      <c r="A63" s="948" t="s">
        <v>679</v>
      </c>
      <c r="B63" s="949">
        <v>929.56000000000006</v>
      </c>
      <c r="C63" s="949">
        <v>861.21</v>
      </c>
      <c r="D63" s="949">
        <v>768</v>
      </c>
      <c r="E63" s="949">
        <v>1281.8399999999999</v>
      </c>
      <c r="F63" s="950">
        <v>1527.2</v>
      </c>
      <c r="AB63" s="1300"/>
      <c r="AC63" s="1301"/>
      <c r="AD63" s="1301"/>
      <c r="AE63" s="1302"/>
      <c r="AF63" s="1301"/>
      <c r="AG63" s="1303"/>
      <c r="AH63" s="1290"/>
      <c r="AI63" s="1291"/>
      <c r="AJ63" s="1290"/>
      <c r="AK63" s="1290"/>
      <c r="AL63" s="1290"/>
      <c r="AM63" s="1291"/>
      <c r="AN63" s="1290"/>
      <c r="AO63" s="1290"/>
      <c r="AP63" s="1290"/>
      <c r="AQ63" s="1291"/>
      <c r="AR63" s="1290"/>
      <c r="AS63" s="1290"/>
      <c r="AT63" s="1290"/>
      <c r="AU63" s="1291"/>
      <c r="AV63" s="1290"/>
      <c r="AW63" s="1290"/>
    </row>
    <row r="64" spans="1:49">
      <c r="A64" s="948" t="s">
        <v>680</v>
      </c>
      <c r="B64" s="949">
        <v>136.70000000000002</v>
      </c>
      <c r="C64" s="949">
        <v>205.04999999999998</v>
      </c>
      <c r="D64" s="949">
        <v>491.52</v>
      </c>
      <c r="E64" s="949">
        <v>810.96</v>
      </c>
      <c r="F64" s="950">
        <v>830</v>
      </c>
      <c r="AB64" s="1300"/>
      <c r="AC64" s="1301"/>
      <c r="AD64" s="1301"/>
      <c r="AE64" s="1302"/>
      <c r="AF64" s="1301"/>
      <c r="AG64" s="1303"/>
      <c r="AH64" s="1290"/>
      <c r="AI64" s="1291"/>
      <c r="AJ64" s="1290"/>
      <c r="AK64" s="1290"/>
      <c r="AL64" s="1290"/>
      <c r="AM64" s="1291"/>
      <c r="AN64" s="1290"/>
      <c r="AO64" s="1290"/>
      <c r="AP64" s="1290"/>
      <c r="AQ64" s="1291"/>
      <c r="AR64" s="1290"/>
      <c r="AS64" s="1290"/>
      <c r="AT64" s="1290"/>
      <c r="AU64" s="1291"/>
      <c r="AV64" s="1290"/>
      <c r="AW64" s="1290"/>
    </row>
    <row r="65" spans="1:49">
      <c r="A65" s="948" t="s">
        <v>681</v>
      </c>
      <c r="B65" s="949">
        <v>136.70000000000002</v>
      </c>
      <c r="C65" s="949">
        <v>136.70000000000002</v>
      </c>
      <c r="D65" s="949">
        <v>92.16</v>
      </c>
      <c r="E65" s="949">
        <v>156.96</v>
      </c>
      <c r="F65" s="950">
        <v>99.6</v>
      </c>
      <c r="AB65" s="1300"/>
      <c r="AC65" s="1301"/>
      <c r="AD65" s="1301"/>
      <c r="AE65" s="1302"/>
      <c r="AF65" s="1301"/>
      <c r="AG65" s="1303"/>
      <c r="AH65" s="1290"/>
      <c r="AI65" s="1291"/>
      <c r="AJ65" s="1290"/>
      <c r="AK65" s="1290"/>
      <c r="AL65" s="1290"/>
      <c r="AM65" s="1291"/>
      <c r="AN65" s="1290"/>
      <c r="AO65" s="1290"/>
      <c r="AP65" s="1290"/>
      <c r="AQ65" s="1291"/>
      <c r="AR65" s="1290"/>
      <c r="AS65" s="1290"/>
      <c r="AT65" s="1290"/>
      <c r="AU65" s="1291"/>
      <c r="AV65" s="1290"/>
      <c r="AW65" s="1290"/>
    </row>
    <row r="66" spans="1:49">
      <c r="A66" s="948" t="s">
        <v>682</v>
      </c>
      <c r="B66" s="949">
        <v>27.34</v>
      </c>
      <c r="C66" s="949">
        <v>27.34</v>
      </c>
      <c r="D66" s="949">
        <v>30.72</v>
      </c>
      <c r="E66" s="949">
        <v>52.32</v>
      </c>
      <c r="F66" s="950">
        <v>33.200000000000003</v>
      </c>
      <c r="AB66" s="1300"/>
      <c r="AC66" s="1301"/>
      <c r="AD66" s="1301"/>
      <c r="AE66" s="1302"/>
      <c r="AF66" s="1301"/>
      <c r="AG66" s="1303"/>
      <c r="AH66" s="1290"/>
      <c r="AI66" s="1291"/>
      <c r="AJ66" s="1290"/>
      <c r="AK66" s="1290"/>
      <c r="AL66" s="1290"/>
      <c r="AM66" s="1291"/>
      <c r="AN66" s="1290"/>
      <c r="AO66" s="1290"/>
      <c r="AP66" s="1290"/>
      <c r="AQ66" s="1291"/>
      <c r="AR66" s="1290"/>
      <c r="AS66" s="1290"/>
      <c r="AT66" s="1290"/>
      <c r="AU66" s="1291"/>
      <c r="AV66" s="1290"/>
      <c r="AW66" s="1290"/>
    </row>
    <row r="67" spans="1:49" s="6" customFormat="1">
      <c r="A67" s="948" t="s">
        <v>904</v>
      </c>
      <c r="B67" s="949">
        <v>111.10000000000001</v>
      </c>
      <c r="C67" s="949">
        <v>136.70000000000002</v>
      </c>
      <c r="D67" s="949">
        <v>153.60000000000002</v>
      </c>
      <c r="E67" s="949">
        <v>313.92</v>
      </c>
      <c r="F67" s="950">
        <v>830</v>
      </c>
      <c r="G67" s="64"/>
      <c r="H67" s="64"/>
      <c r="I67" s="1"/>
      <c r="J67" s="1"/>
      <c r="K67" s="1"/>
      <c r="L67" s="1"/>
      <c r="M67" s="1259"/>
      <c r="N67" s="1"/>
      <c r="O67" s="1"/>
      <c r="P67" s="1"/>
      <c r="Q67" s="1"/>
      <c r="R67" s="1"/>
      <c r="S67" s="1"/>
      <c r="T67" s="137"/>
      <c r="U67" s="137"/>
      <c r="V67" s="137"/>
      <c r="W67" s="1"/>
      <c r="X67" s="1"/>
      <c r="Y67" s="1"/>
      <c r="Z67" s="1"/>
      <c r="AA67" s="1"/>
      <c r="AB67" s="1300"/>
      <c r="AC67" s="1301"/>
      <c r="AD67" s="1301"/>
      <c r="AE67" s="1302"/>
      <c r="AF67" s="1301"/>
      <c r="AG67" s="1303"/>
      <c r="AH67" s="1290"/>
      <c r="AI67" s="1291"/>
      <c r="AJ67" s="1290"/>
      <c r="AK67" s="1290"/>
      <c r="AL67" s="1290"/>
      <c r="AM67" s="1291"/>
      <c r="AN67" s="1290"/>
      <c r="AO67" s="1290"/>
      <c r="AP67" s="1290"/>
      <c r="AQ67" s="1291"/>
      <c r="AR67" s="1290"/>
      <c r="AS67" s="1290"/>
      <c r="AT67" s="1290"/>
      <c r="AU67" s="1291"/>
      <c r="AV67" s="1290"/>
      <c r="AW67" s="1290"/>
    </row>
    <row r="68" spans="1:49" s="6" customFormat="1">
      <c r="A68" s="64"/>
      <c r="B68" s="64"/>
      <c r="C68" s="64"/>
      <c r="D68" s="64"/>
      <c r="E68" s="64"/>
      <c r="F68" s="64"/>
      <c r="G68" s="64"/>
      <c r="H68" s="64"/>
      <c r="I68" s="1"/>
      <c r="J68" s="1"/>
      <c r="K68" s="1"/>
      <c r="L68" s="1"/>
      <c r="M68" s="1259"/>
      <c r="N68" s="1"/>
      <c r="O68" s="1"/>
      <c r="P68" s="1"/>
      <c r="Q68" s="1"/>
      <c r="R68" s="1"/>
      <c r="S68" s="1"/>
      <c r="T68" s="137"/>
      <c r="U68" s="137"/>
      <c r="V68" s="137"/>
      <c r="W68" s="1"/>
      <c r="X68" s="1"/>
      <c r="Y68" s="1"/>
      <c r="Z68" s="1"/>
      <c r="AA68" s="1"/>
      <c r="AB68" s="1300"/>
      <c r="AC68" s="1301"/>
      <c r="AD68" s="1301"/>
      <c r="AE68" s="1302"/>
      <c r="AF68" s="1301"/>
      <c r="AG68" s="1303"/>
      <c r="AH68" s="1290"/>
      <c r="AI68" s="1291"/>
      <c r="AJ68" s="1290"/>
      <c r="AK68" s="1290"/>
      <c r="AL68" s="1290"/>
      <c r="AM68" s="1291"/>
      <c r="AN68" s="1290"/>
      <c r="AO68" s="1290"/>
      <c r="AP68" s="1290"/>
      <c r="AQ68" s="1291"/>
      <c r="AR68" s="1290"/>
      <c r="AS68" s="1290"/>
      <c r="AT68" s="1290"/>
      <c r="AU68" s="1291"/>
      <c r="AV68" s="1290"/>
      <c r="AW68" s="1290"/>
    </row>
    <row r="69" spans="1:49">
      <c r="AB69" s="1300"/>
      <c r="AC69" s="1301"/>
      <c r="AD69" s="1301"/>
      <c r="AE69" s="1302"/>
      <c r="AF69" s="1301"/>
      <c r="AG69" s="1303"/>
      <c r="AH69" s="1290"/>
      <c r="AI69" s="1291"/>
      <c r="AJ69" s="1290"/>
      <c r="AK69" s="1290"/>
      <c r="AL69" s="1290"/>
      <c r="AM69" s="1291"/>
      <c r="AN69" s="1290"/>
      <c r="AO69" s="1290"/>
      <c r="AP69" s="1290"/>
      <c r="AQ69" s="1291"/>
      <c r="AR69" s="1290"/>
      <c r="AS69" s="1290"/>
      <c r="AT69" s="1290"/>
      <c r="AU69" s="1291"/>
      <c r="AV69" s="1290"/>
      <c r="AW69" s="1290"/>
    </row>
    <row r="70" spans="1:49">
      <c r="U70" s="315"/>
      <c r="AB70" s="1300"/>
      <c r="AC70" s="1301"/>
      <c r="AD70" s="1301"/>
      <c r="AE70" s="1302"/>
      <c r="AF70" s="1301"/>
      <c r="AG70" s="1303"/>
      <c r="AH70" s="1290"/>
      <c r="AI70" s="1291"/>
      <c r="AJ70" s="1290"/>
      <c r="AK70" s="1290"/>
      <c r="AL70" s="1290"/>
      <c r="AM70" s="1291"/>
      <c r="AN70" s="1290"/>
      <c r="AO70" s="1290"/>
      <c r="AP70" s="1290"/>
      <c r="AQ70" s="1291"/>
      <c r="AR70" s="1290"/>
      <c r="AS70" s="1290"/>
      <c r="AT70" s="1290"/>
      <c r="AU70" s="1291"/>
      <c r="AV70" s="1290"/>
      <c r="AW70" s="1290"/>
    </row>
    <row r="71" spans="1:49">
      <c r="U71" s="315"/>
      <c r="AB71" s="1300"/>
      <c r="AC71" s="1301"/>
      <c r="AD71" s="1301"/>
      <c r="AE71" s="1302"/>
      <c r="AF71" s="1301"/>
      <c r="AG71" s="1303"/>
      <c r="AH71" s="1290"/>
      <c r="AI71" s="1291"/>
      <c r="AJ71" s="1290"/>
      <c r="AK71" s="1290"/>
      <c r="AL71" s="1290"/>
      <c r="AM71" s="1291"/>
      <c r="AN71" s="1290"/>
      <c r="AO71" s="1290"/>
      <c r="AP71" s="1290"/>
      <c r="AQ71" s="1291"/>
      <c r="AR71" s="1290"/>
      <c r="AS71" s="1290"/>
      <c r="AT71" s="1290"/>
      <c r="AU71" s="1291"/>
      <c r="AV71" s="1290"/>
      <c r="AW71" s="1290"/>
    </row>
    <row r="72" spans="1:49">
      <c r="U72" s="315"/>
      <c r="AB72" s="1300"/>
      <c r="AC72" s="1301"/>
      <c r="AD72" s="1301"/>
      <c r="AE72" s="1302"/>
      <c r="AF72" s="1301"/>
      <c r="AG72" s="1303"/>
      <c r="AH72" s="1290"/>
      <c r="AI72" s="1291"/>
      <c r="AJ72" s="1290"/>
      <c r="AK72" s="1290"/>
      <c r="AL72" s="1290"/>
      <c r="AM72" s="1291"/>
      <c r="AN72" s="1290"/>
      <c r="AO72" s="1290"/>
      <c r="AP72" s="1290"/>
      <c r="AQ72" s="1291"/>
      <c r="AR72" s="1290"/>
      <c r="AS72" s="1290"/>
      <c r="AT72" s="1290"/>
      <c r="AU72" s="1291"/>
      <c r="AV72" s="1290"/>
      <c r="AW72" s="1290"/>
    </row>
    <row r="73" spans="1:49">
      <c r="AB73" s="1300"/>
      <c r="AC73" s="1301"/>
      <c r="AD73" s="1301"/>
      <c r="AE73" s="1302"/>
      <c r="AF73" s="1301"/>
      <c r="AG73" s="1303"/>
      <c r="AH73" s="1290"/>
      <c r="AI73" s="1291"/>
      <c r="AJ73" s="1290"/>
      <c r="AK73" s="1290"/>
      <c r="AL73" s="1290"/>
      <c r="AM73" s="1291"/>
      <c r="AN73" s="1290"/>
      <c r="AO73" s="1290"/>
      <c r="AP73" s="1290"/>
      <c r="AQ73" s="1291"/>
      <c r="AR73" s="1290"/>
      <c r="AS73" s="1290"/>
      <c r="AT73" s="1290"/>
      <c r="AU73" s="1291"/>
      <c r="AV73" s="1290"/>
      <c r="AW73" s="1290"/>
    </row>
    <row r="74" spans="1:49">
      <c r="AB74" s="1300"/>
      <c r="AC74" s="1301"/>
      <c r="AD74" s="1301"/>
      <c r="AE74" s="1302"/>
      <c r="AF74" s="1301"/>
      <c r="AG74" s="1303"/>
      <c r="AH74" s="1290"/>
      <c r="AI74" s="1291"/>
      <c r="AJ74" s="1290"/>
      <c r="AK74" s="1290"/>
      <c r="AL74" s="1290"/>
      <c r="AM74" s="1291"/>
      <c r="AN74" s="1290"/>
      <c r="AO74" s="1290"/>
      <c r="AP74" s="1290"/>
      <c r="AQ74" s="1291"/>
      <c r="AR74" s="1290"/>
      <c r="AS74" s="1290"/>
      <c r="AT74" s="1290"/>
      <c r="AU74" s="1291"/>
      <c r="AV74" s="1290"/>
      <c r="AW74" s="1290"/>
    </row>
    <row r="75" spans="1:49">
      <c r="AB75" s="1300"/>
      <c r="AC75" s="1301"/>
      <c r="AD75" s="1301"/>
      <c r="AE75" s="1302"/>
      <c r="AF75" s="1301"/>
      <c r="AG75" s="1303"/>
      <c r="AH75" s="1290"/>
      <c r="AI75" s="1291"/>
      <c r="AJ75" s="1290"/>
      <c r="AK75" s="1290"/>
      <c r="AL75" s="1290"/>
      <c r="AM75" s="1291"/>
      <c r="AN75" s="1290"/>
      <c r="AO75" s="1290"/>
      <c r="AP75" s="1290"/>
      <c r="AQ75" s="1291"/>
      <c r="AR75" s="1290"/>
      <c r="AS75" s="1290"/>
      <c r="AT75" s="1290"/>
      <c r="AU75" s="1291"/>
      <c r="AV75" s="1290"/>
      <c r="AW75" s="1290"/>
    </row>
    <row r="76" spans="1:49" s="140" customFormat="1">
      <c r="A76" s="64"/>
      <c r="B76" s="64"/>
      <c r="C76" s="64"/>
      <c r="D76" s="64"/>
      <c r="E76" s="64"/>
      <c r="F76" s="64"/>
      <c r="G76" s="64"/>
      <c r="H76" s="64"/>
      <c r="I76" s="1"/>
      <c r="J76" s="1"/>
      <c r="K76" s="1"/>
      <c r="L76" s="1"/>
      <c r="M76" s="1259"/>
      <c r="N76" s="1"/>
      <c r="O76" s="1"/>
      <c r="P76" s="1"/>
      <c r="Q76" s="1"/>
      <c r="R76" s="1"/>
      <c r="S76" s="1"/>
      <c r="T76" s="137"/>
      <c r="U76" s="137"/>
      <c r="V76" s="137"/>
      <c r="W76" s="1"/>
      <c r="X76" s="1"/>
      <c r="Y76" s="1"/>
      <c r="Z76" s="1"/>
      <c r="AA76" s="1"/>
      <c r="AB76" s="1300"/>
      <c r="AC76" s="1301"/>
      <c r="AD76" s="1301"/>
      <c r="AE76" s="1302"/>
      <c r="AF76" s="1301"/>
      <c r="AG76" s="1303"/>
      <c r="AH76" s="1290"/>
      <c r="AI76" s="1291"/>
      <c r="AJ76" s="1290"/>
      <c r="AK76" s="1290"/>
      <c r="AL76" s="1290"/>
      <c r="AM76" s="1291"/>
      <c r="AN76" s="1290"/>
      <c r="AO76" s="1290"/>
      <c r="AP76" s="1290"/>
      <c r="AQ76" s="1291"/>
      <c r="AR76" s="1290"/>
      <c r="AS76" s="1290"/>
      <c r="AT76" s="1290"/>
      <c r="AU76" s="1291"/>
      <c r="AV76" s="1290"/>
      <c r="AW76" s="1290"/>
    </row>
    <row r="77" spans="1:49" s="6" customFormat="1">
      <c r="A77" s="64"/>
      <c r="B77" s="64"/>
      <c r="C77" s="64"/>
      <c r="D77" s="64"/>
      <c r="E77" s="64"/>
      <c r="F77" s="64"/>
      <c r="G77" s="64"/>
      <c r="H77" s="64"/>
      <c r="I77" s="1"/>
      <c r="J77" s="1"/>
      <c r="K77" s="1"/>
      <c r="L77" s="1"/>
      <c r="M77" s="1259"/>
      <c r="N77" s="1"/>
      <c r="O77" s="1"/>
      <c r="P77" s="1"/>
      <c r="Q77" s="1"/>
      <c r="R77" s="1"/>
      <c r="S77" s="1"/>
      <c r="T77" s="137"/>
      <c r="U77" s="137"/>
      <c r="V77" s="137"/>
      <c r="W77" s="1"/>
      <c r="X77" s="1"/>
      <c r="Y77" s="1"/>
      <c r="Z77" s="1"/>
      <c r="AA77" s="1"/>
      <c r="AB77" s="1300"/>
      <c r="AC77" s="1301"/>
      <c r="AD77" s="1301"/>
      <c r="AE77" s="1302"/>
      <c r="AF77" s="1301"/>
      <c r="AG77" s="1303"/>
      <c r="AH77" s="1290"/>
      <c r="AI77" s="1291"/>
      <c r="AJ77" s="1290"/>
      <c r="AK77" s="1290"/>
      <c r="AL77" s="1290"/>
      <c r="AM77" s="1291"/>
      <c r="AN77" s="1290"/>
      <c r="AO77" s="1290"/>
      <c r="AP77" s="1290"/>
      <c r="AQ77" s="1291"/>
      <c r="AR77" s="1290"/>
      <c r="AS77" s="1290"/>
      <c r="AT77" s="1290"/>
      <c r="AU77" s="1291"/>
      <c r="AV77" s="1290"/>
      <c r="AW77" s="1290"/>
    </row>
    <row r="78" spans="1:49" s="6" customFormat="1">
      <c r="A78" s="64"/>
      <c r="B78" s="64"/>
      <c r="C78" s="64"/>
      <c r="D78" s="64"/>
      <c r="E78" s="64"/>
      <c r="F78" s="64"/>
      <c r="G78" s="64"/>
      <c r="H78" s="64"/>
      <c r="I78" s="1"/>
      <c r="J78" s="1"/>
      <c r="K78" s="1"/>
      <c r="L78" s="1"/>
      <c r="M78" s="1259"/>
      <c r="N78" s="1"/>
      <c r="O78" s="1"/>
      <c r="P78" s="1"/>
      <c r="Q78" s="1"/>
      <c r="R78" s="1"/>
      <c r="S78" s="1"/>
      <c r="T78" s="137"/>
      <c r="U78" s="137"/>
      <c r="V78" s="137"/>
      <c r="W78" s="1"/>
      <c r="X78" s="1"/>
      <c r="Y78" s="1"/>
      <c r="Z78" s="1"/>
      <c r="AA78" s="1"/>
      <c r="AB78" s="1"/>
      <c r="AC78" s="1"/>
      <c r="AD78" s="1"/>
      <c r="AE78" s="1259"/>
      <c r="AF78" s="1"/>
      <c r="AG78" s="1"/>
      <c r="AH78" s="1"/>
      <c r="AI78" s="1259"/>
      <c r="AJ78" s="1"/>
      <c r="AK78" s="1"/>
      <c r="AL78" s="1"/>
      <c r="AM78" s="1259"/>
      <c r="AN78" s="1"/>
      <c r="AO78" s="1"/>
      <c r="AP78" s="1"/>
      <c r="AQ78" s="1259"/>
      <c r="AR78" s="1"/>
      <c r="AS78" s="1"/>
      <c r="AT78" s="1"/>
      <c r="AU78" s="1259"/>
      <c r="AV78" s="1"/>
      <c r="AW78" s="1"/>
    </row>
    <row r="79" spans="1:49" s="6" customFormat="1" hidden="1">
      <c r="A79" s="64"/>
      <c r="B79" s="64"/>
      <c r="C79" s="64"/>
      <c r="D79" s="64"/>
      <c r="E79" s="64"/>
      <c r="F79" s="64"/>
      <c r="G79" s="64"/>
      <c r="H79" s="64"/>
      <c r="I79" s="1"/>
      <c r="J79" s="1"/>
      <c r="K79" s="1"/>
      <c r="L79" s="1"/>
      <c r="M79" s="1259"/>
      <c r="N79" s="1"/>
      <c r="O79" s="1"/>
      <c r="P79" s="1"/>
      <c r="Q79" s="1"/>
      <c r="R79" s="1"/>
      <c r="S79" s="1"/>
      <c r="T79" s="137"/>
      <c r="U79" s="137"/>
      <c r="V79" s="137"/>
      <c r="W79" s="1"/>
      <c r="X79" s="1"/>
      <c r="Y79" s="1"/>
      <c r="Z79" s="1"/>
      <c r="AA79" s="1"/>
      <c r="AB79" s="1"/>
      <c r="AC79" s="1"/>
      <c r="AD79" s="1"/>
      <c r="AE79" s="1259"/>
      <c r="AF79" s="1"/>
      <c r="AG79" s="1"/>
      <c r="AH79" s="1"/>
      <c r="AI79" s="1259"/>
      <c r="AJ79" s="1"/>
      <c r="AK79" s="1"/>
      <c r="AL79" s="1"/>
      <c r="AM79" s="1259"/>
      <c r="AN79" s="1"/>
      <c r="AO79" s="1"/>
      <c r="AP79" s="1"/>
      <c r="AQ79" s="1259"/>
      <c r="AR79" s="1"/>
      <c r="AS79" s="1"/>
      <c r="AT79" s="1"/>
      <c r="AU79" s="1259"/>
      <c r="AV79" s="1"/>
      <c r="AW79" s="1"/>
    </row>
    <row r="80" spans="1:49" s="6" customFormat="1" hidden="1">
      <c r="A80" s="64"/>
      <c r="B80" s="64"/>
      <c r="C80" s="64"/>
      <c r="D80" s="64"/>
      <c r="E80" s="64"/>
      <c r="F80" s="64"/>
      <c r="G80" s="64"/>
      <c r="H80" s="64"/>
      <c r="I80" s="1"/>
      <c r="J80" s="1"/>
      <c r="K80" s="1"/>
      <c r="L80" s="1"/>
      <c r="M80" s="1259"/>
      <c r="N80" s="1"/>
      <c r="O80" s="1"/>
      <c r="P80" s="1"/>
      <c r="Q80" s="1"/>
      <c r="R80" s="1"/>
      <c r="S80" s="1"/>
      <c r="T80" s="137"/>
      <c r="U80" s="137"/>
      <c r="V80" s="137"/>
      <c r="W80" s="1"/>
      <c r="X80" s="1"/>
      <c r="Y80" s="1"/>
      <c r="Z80" s="1"/>
      <c r="AA80" s="1"/>
      <c r="AB80" s="1"/>
      <c r="AC80" s="1"/>
      <c r="AD80" s="1"/>
      <c r="AE80" s="1259"/>
      <c r="AF80" s="1"/>
      <c r="AG80" s="1"/>
      <c r="AH80" s="1"/>
      <c r="AI80" s="1259"/>
      <c r="AJ80" s="1"/>
      <c r="AK80" s="1"/>
      <c r="AL80" s="1"/>
      <c r="AM80" s="1259"/>
      <c r="AN80" s="1"/>
      <c r="AO80" s="1"/>
      <c r="AP80" s="1"/>
      <c r="AQ80" s="1259"/>
      <c r="AR80" s="1"/>
      <c r="AS80" s="1"/>
      <c r="AT80" s="1"/>
      <c r="AU80" s="1259"/>
      <c r="AV80" s="1"/>
      <c r="AW80" s="1"/>
    </row>
    <row r="81" spans="1:49" s="6" customFormat="1">
      <c r="A81" s="64"/>
      <c r="B81" s="64"/>
      <c r="C81" s="64"/>
      <c r="D81" s="64"/>
      <c r="E81" s="64"/>
      <c r="F81" s="64"/>
      <c r="G81" s="64"/>
      <c r="H81" s="64"/>
      <c r="I81" s="1"/>
      <c r="J81" s="1"/>
      <c r="K81" s="1"/>
      <c r="L81" s="1"/>
      <c r="M81" s="1259"/>
      <c r="N81" s="1"/>
      <c r="O81" s="1"/>
      <c r="P81" s="1"/>
      <c r="Q81" s="1"/>
      <c r="R81" s="1"/>
      <c r="S81" s="1"/>
      <c r="T81" s="137"/>
      <c r="U81" s="137"/>
      <c r="V81" s="137"/>
      <c r="W81" s="1"/>
      <c r="X81" s="1"/>
      <c r="Y81" s="1"/>
      <c r="Z81" s="1"/>
      <c r="AA81" s="1"/>
      <c r="AB81" s="1"/>
      <c r="AC81" s="1"/>
      <c r="AD81" s="1"/>
      <c r="AE81" s="1259"/>
      <c r="AF81" s="1"/>
      <c r="AG81" s="1"/>
      <c r="AH81" s="1"/>
      <c r="AI81" s="1259"/>
      <c r="AJ81" s="1"/>
      <c r="AK81" s="1"/>
      <c r="AL81" s="1"/>
      <c r="AM81" s="1259"/>
      <c r="AN81" s="1"/>
      <c r="AO81" s="1"/>
      <c r="AP81" s="1"/>
      <c r="AQ81" s="1259"/>
      <c r="AR81" s="1"/>
      <c r="AS81" s="1"/>
      <c r="AT81" s="1"/>
      <c r="AU81" s="1259"/>
      <c r="AV81" s="1"/>
      <c r="AW81" s="1"/>
    </row>
    <row r="82" spans="1:49" s="6" customFormat="1">
      <c r="A82" s="64"/>
      <c r="B82" s="64"/>
      <c r="C82" s="64"/>
      <c r="D82" s="64"/>
      <c r="E82" s="64"/>
      <c r="F82" s="64"/>
      <c r="G82" s="64"/>
      <c r="H82" s="64"/>
      <c r="I82" s="1"/>
      <c r="J82" s="1"/>
      <c r="K82" s="1"/>
      <c r="L82" s="1"/>
      <c r="M82" s="1259"/>
      <c r="N82" s="1"/>
      <c r="O82" s="1"/>
      <c r="P82" s="1"/>
      <c r="Q82" s="1"/>
      <c r="R82" s="1"/>
      <c r="S82" s="1"/>
      <c r="T82" s="137"/>
      <c r="U82" s="137"/>
      <c r="V82" s="137"/>
      <c r="W82" s="1"/>
      <c r="X82" s="1"/>
      <c r="Y82" s="1"/>
      <c r="Z82" s="1"/>
      <c r="AA82" s="1"/>
      <c r="AB82" s="1"/>
      <c r="AC82" s="1"/>
      <c r="AD82" s="1"/>
      <c r="AE82" s="1259"/>
      <c r="AF82" s="1"/>
      <c r="AG82" s="1"/>
      <c r="AH82" s="1"/>
      <c r="AI82" s="1259"/>
      <c r="AJ82" s="1"/>
      <c r="AK82" s="1"/>
      <c r="AL82" s="1"/>
      <c r="AM82" s="1259"/>
      <c r="AN82" s="1"/>
      <c r="AO82" s="1"/>
      <c r="AP82" s="1"/>
      <c r="AQ82" s="1259"/>
      <c r="AR82" s="1"/>
      <c r="AS82" s="1"/>
      <c r="AT82" s="1"/>
      <c r="AU82" s="1259"/>
      <c r="AV82" s="1"/>
      <c r="AW82" s="1"/>
    </row>
    <row r="83" spans="1:49" s="6" customFormat="1">
      <c r="A83" s="64"/>
      <c r="B83" s="64"/>
      <c r="C83" s="64"/>
      <c r="D83" s="64"/>
      <c r="E83" s="64"/>
      <c r="F83" s="64"/>
      <c r="G83" s="64"/>
      <c r="H83" s="64"/>
      <c r="I83" s="1"/>
      <c r="J83" s="1"/>
      <c r="K83" s="1"/>
      <c r="L83" s="1"/>
      <c r="M83" s="1259"/>
      <c r="N83" s="1"/>
      <c r="O83" s="1"/>
      <c r="P83" s="1"/>
      <c r="Q83" s="1"/>
      <c r="R83" s="1"/>
      <c r="S83" s="1"/>
      <c r="T83" s="137"/>
      <c r="U83" s="137"/>
      <c r="V83" s="137"/>
      <c r="W83" s="1"/>
      <c r="X83" s="1"/>
      <c r="Y83" s="1"/>
      <c r="Z83" s="1"/>
      <c r="AA83" s="1"/>
      <c r="AB83" s="1"/>
      <c r="AC83" s="1"/>
      <c r="AD83" s="1"/>
      <c r="AE83" s="1259"/>
      <c r="AF83" s="1"/>
      <c r="AG83" s="1"/>
      <c r="AH83" s="1"/>
      <c r="AI83" s="1259"/>
      <c r="AJ83" s="1"/>
      <c r="AK83" s="1"/>
      <c r="AL83" s="1"/>
      <c r="AM83" s="1259"/>
      <c r="AN83" s="1"/>
      <c r="AO83" s="1"/>
      <c r="AP83" s="1"/>
      <c r="AQ83" s="1259"/>
      <c r="AR83" s="1"/>
      <c r="AS83" s="1"/>
      <c r="AT83" s="1"/>
      <c r="AU83" s="1259"/>
      <c r="AV83" s="1"/>
      <c r="AW83" s="1"/>
    </row>
    <row r="84" spans="1:49" s="6" customFormat="1">
      <c r="A84" s="64"/>
      <c r="B84" s="64"/>
      <c r="C84" s="64"/>
      <c r="D84" s="64"/>
      <c r="E84" s="64"/>
      <c r="F84" s="64"/>
      <c r="G84" s="64"/>
      <c r="H84" s="64"/>
      <c r="I84" s="1"/>
      <c r="J84" s="1"/>
      <c r="K84" s="1"/>
      <c r="L84" s="1"/>
      <c r="M84" s="1259"/>
      <c r="N84" s="1"/>
      <c r="O84" s="1"/>
      <c r="P84" s="1"/>
      <c r="Q84" s="1"/>
      <c r="R84" s="1"/>
      <c r="S84" s="1"/>
      <c r="T84" s="137"/>
      <c r="U84" s="137"/>
      <c r="V84" s="137"/>
      <c r="W84" s="1"/>
      <c r="X84" s="1"/>
      <c r="Y84" s="1"/>
      <c r="Z84" s="1"/>
      <c r="AA84" s="1"/>
      <c r="AB84" s="1"/>
      <c r="AC84" s="1"/>
      <c r="AD84" s="1"/>
      <c r="AE84" s="1259"/>
      <c r="AF84" s="1"/>
      <c r="AG84" s="1"/>
      <c r="AH84" s="1"/>
      <c r="AI84" s="1259"/>
      <c r="AJ84" s="1"/>
      <c r="AK84" s="1"/>
      <c r="AL84" s="1"/>
      <c r="AM84" s="1259"/>
      <c r="AN84" s="1"/>
      <c r="AO84" s="1"/>
      <c r="AP84" s="1"/>
      <c r="AQ84" s="1259"/>
      <c r="AR84" s="1"/>
      <c r="AS84" s="1"/>
      <c r="AT84" s="1"/>
      <c r="AU84" s="1259"/>
      <c r="AV84" s="1"/>
      <c r="AW84" s="1"/>
    </row>
    <row r="85" spans="1:49" s="6" customFormat="1">
      <c r="A85" s="64"/>
      <c r="B85" s="64"/>
      <c r="C85" s="64"/>
      <c r="D85" s="64"/>
      <c r="E85" s="64"/>
      <c r="F85" s="64"/>
      <c r="G85" s="64"/>
      <c r="H85" s="64"/>
      <c r="I85" s="1"/>
      <c r="J85" s="1"/>
      <c r="K85" s="1"/>
      <c r="L85" s="1"/>
      <c r="M85" s="1259"/>
      <c r="N85" s="1"/>
      <c r="O85" s="1"/>
      <c r="P85" s="1"/>
      <c r="Q85" s="1"/>
      <c r="R85" s="1"/>
      <c r="S85" s="1"/>
      <c r="T85" s="137"/>
      <c r="U85" s="137"/>
      <c r="V85" s="137"/>
      <c r="W85" s="1"/>
      <c r="X85" s="1"/>
      <c r="Y85" s="1"/>
      <c r="Z85" s="1"/>
      <c r="AA85" s="1"/>
      <c r="AB85" s="1"/>
      <c r="AC85" s="1"/>
      <c r="AD85" s="1"/>
      <c r="AE85" s="1259"/>
      <c r="AF85" s="1"/>
      <c r="AG85" s="1"/>
      <c r="AH85" s="1"/>
      <c r="AI85" s="1259"/>
      <c r="AJ85" s="1"/>
      <c r="AK85" s="1"/>
      <c r="AL85" s="1"/>
      <c r="AM85" s="1259"/>
      <c r="AN85" s="1"/>
      <c r="AO85" s="1"/>
      <c r="AP85" s="1"/>
      <c r="AQ85" s="1259"/>
      <c r="AR85" s="1"/>
      <c r="AS85" s="1"/>
      <c r="AT85" s="1"/>
      <c r="AU85" s="1259"/>
      <c r="AV85" s="1"/>
      <c r="AW85" s="1"/>
    </row>
    <row r="86" spans="1:49" s="6" customFormat="1" hidden="1">
      <c r="A86" s="64"/>
      <c r="B86" s="64"/>
      <c r="C86" s="64"/>
      <c r="D86" s="64"/>
      <c r="E86" s="64"/>
      <c r="F86" s="64"/>
      <c r="G86" s="64"/>
      <c r="H86" s="64"/>
      <c r="I86" s="1"/>
      <c r="J86" s="1"/>
      <c r="K86" s="1"/>
      <c r="L86" s="1"/>
      <c r="M86" s="1259"/>
      <c r="N86" s="1"/>
      <c r="O86" s="1"/>
      <c r="P86" s="1"/>
      <c r="Q86" s="1"/>
      <c r="R86" s="1"/>
      <c r="S86" s="1"/>
      <c r="T86" s="137"/>
      <c r="U86" s="137"/>
      <c r="V86" s="137"/>
      <c r="W86" s="1"/>
      <c r="X86" s="1"/>
      <c r="Y86" s="1"/>
      <c r="Z86" s="1"/>
      <c r="AA86" s="1"/>
      <c r="AB86" s="1"/>
      <c r="AC86" s="1"/>
      <c r="AD86" s="1"/>
      <c r="AE86" s="1259"/>
      <c r="AF86" s="1"/>
      <c r="AG86" s="1"/>
      <c r="AH86" s="1"/>
      <c r="AI86" s="1259"/>
      <c r="AJ86" s="1"/>
      <c r="AK86" s="1"/>
      <c r="AL86" s="1"/>
      <c r="AM86" s="1259"/>
      <c r="AN86" s="1"/>
      <c r="AO86" s="1"/>
      <c r="AP86" s="1"/>
      <c r="AQ86" s="1259"/>
      <c r="AR86" s="1"/>
      <c r="AS86" s="1"/>
      <c r="AT86" s="1"/>
      <c r="AU86" s="1259"/>
      <c r="AV86" s="1"/>
      <c r="AW86" s="1"/>
    </row>
    <row r="87" spans="1:49" s="6" customFormat="1" hidden="1">
      <c r="A87" s="64"/>
      <c r="B87" s="64"/>
      <c r="C87" s="64"/>
      <c r="D87" s="64"/>
      <c r="E87" s="64"/>
      <c r="F87" s="64"/>
      <c r="G87" s="64"/>
      <c r="H87" s="64"/>
      <c r="I87" s="1"/>
      <c r="J87" s="1"/>
      <c r="K87" s="1"/>
      <c r="L87" s="1"/>
      <c r="M87" s="1259"/>
      <c r="N87" s="1"/>
      <c r="O87" s="1"/>
      <c r="P87" s="1"/>
      <c r="Q87" s="1"/>
      <c r="R87" s="1"/>
      <c r="S87" s="1"/>
      <c r="T87" s="137"/>
      <c r="U87" s="137"/>
      <c r="V87" s="137"/>
      <c r="W87" s="1"/>
      <c r="X87" s="1"/>
      <c r="Y87" s="1"/>
      <c r="Z87" s="1"/>
      <c r="AA87" s="1"/>
      <c r="AB87" s="1"/>
      <c r="AC87" s="1"/>
      <c r="AD87" s="1"/>
      <c r="AE87" s="1259"/>
      <c r="AF87" s="1"/>
      <c r="AG87" s="1"/>
      <c r="AH87" s="1"/>
      <c r="AI87" s="1259"/>
      <c r="AJ87" s="1"/>
      <c r="AK87" s="1"/>
      <c r="AL87" s="1"/>
      <c r="AM87" s="1259"/>
      <c r="AN87" s="1"/>
      <c r="AO87" s="1"/>
      <c r="AP87" s="1"/>
      <c r="AQ87" s="1259"/>
      <c r="AR87" s="1"/>
      <c r="AS87" s="1"/>
      <c r="AT87" s="1"/>
      <c r="AU87" s="1259"/>
      <c r="AV87" s="1"/>
      <c r="AW87" s="1"/>
    </row>
    <row r="88" spans="1:49" s="6" customFormat="1">
      <c r="A88" s="64"/>
      <c r="B88" s="64"/>
      <c r="C88" s="64"/>
      <c r="D88" s="64"/>
      <c r="E88" s="64"/>
      <c r="F88" s="64"/>
      <c r="G88" s="64"/>
      <c r="H88" s="64"/>
      <c r="I88" s="1"/>
      <c r="J88" s="1"/>
      <c r="K88" s="1"/>
      <c r="L88" s="1"/>
      <c r="M88" s="1259"/>
      <c r="N88" s="1"/>
      <c r="O88" s="1"/>
      <c r="P88" s="1"/>
      <c r="Q88" s="1"/>
      <c r="R88" s="1"/>
      <c r="S88" s="1"/>
      <c r="T88" s="137"/>
      <c r="U88" s="137"/>
      <c r="V88" s="137"/>
      <c r="W88" s="1"/>
      <c r="X88" s="1"/>
      <c r="Y88" s="1"/>
      <c r="Z88" s="1"/>
      <c r="AA88" s="1"/>
      <c r="AB88" s="1"/>
      <c r="AC88" s="1"/>
      <c r="AD88" s="1"/>
      <c r="AE88" s="1259"/>
      <c r="AF88" s="1"/>
      <c r="AG88" s="1"/>
      <c r="AH88" s="1"/>
      <c r="AI88" s="1259"/>
      <c r="AJ88" s="1"/>
      <c r="AK88" s="1"/>
      <c r="AL88" s="1"/>
      <c r="AM88" s="1259"/>
      <c r="AN88" s="1"/>
      <c r="AO88" s="1"/>
      <c r="AP88" s="1"/>
      <c r="AQ88" s="1259"/>
      <c r="AR88" s="1"/>
      <c r="AS88" s="1"/>
      <c r="AT88" s="1"/>
      <c r="AU88" s="1259"/>
      <c r="AV88" s="1"/>
      <c r="AW88" s="1"/>
    </row>
    <row r="89" spans="1:49" s="6" customFormat="1">
      <c r="A89" s="64"/>
      <c r="B89" s="64"/>
      <c r="C89" s="64"/>
      <c r="D89" s="64"/>
      <c r="E89" s="64"/>
      <c r="F89" s="64"/>
      <c r="G89" s="64"/>
      <c r="H89" s="64"/>
      <c r="I89" s="1"/>
      <c r="J89" s="1"/>
      <c r="K89" s="1"/>
      <c r="L89" s="1"/>
      <c r="M89" s="1259"/>
      <c r="N89" s="1"/>
      <c r="O89" s="1"/>
      <c r="P89" s="1"/>
      <c r="Q89" s="1"/>
      <c r="R89" s="1"/>
      <c r="S89" s="1"/>
      <c r="T89" s="137"/>
      <c r="U89" s="137"/>
      <c r="V89" s="137"/>
      <c r="W89" s="1"/>
      <c r="X89" s="1"/>
      <c r="Y89" s="1"/>
      <c r="Z89" s="1"/>
      <c r="AA89" s="1"/>
      <c r="AB89" s="1"/>
      <c r="AC89" s="1"/>
      <c r="AD89" s="1"/>
      <c r="AE89" s="1259"/>
      <c r="AF89" s="1"/>
      <c r="AG89" s="1"/>
      <c r="AH89" s="1"/>
      <c r="AI89" s="1259"/>
      <c r="AJ89" s="1"/>
      <c r="AK89" s="1"/>
      <c r="AL89" s="1"/>
      <c r="AM89" s="1259"/>
      <c r="AN89" s="1"/>
      <c r="AO89" s="1"/>
      <c r="AP89" s="1"/>
      <c r="AQ89" s="1259"/>
      <c r="AR89" s="1"/>
      <c r="AS89" s="1"/>
      <c r="AT89" s="1"/>
      <c r="AU89" s="1259"/>
      <c r="AV89" s="1"/>
      <c r="AW89" s="1"/>
    </row>
    <row r="90" spans="1:49" s="6" customFormat="1">
      <c r="A90" s="64"/>
      <c r="B90" s="64"/>
      <c r="C90" s="64"/>
      <c r="D90" s="64"/>
      <c r="E90" s="64"/>
      <c r="F90" s="64"/>
      <c r="G90" s="64"/>
      <c r="H90" s="64"/>
      <c r="I90" s="1"/>
      <c r="J90" s="1"/>
      <c r="K90" s="1"/>
      <c r="L90" s="1"/>
      <c r="M90" s="1259"/>
      <c r="N90" s="1"/>
      <c r="O90" s="1"/>
      <c r="P90" s="1"/>
      <c r="Q90" s="1"/>
      <c r="R90" s="1"/>
      <c r="S90" s="1"/>
      <c r="T90" s="137"/>
      <c r="U90" s="137"/>
      <c r="V90" s="137"/>
      <c r="W90" s="1"/>
      <c r="X90" s="1"/>
      <c r="Y90" s="1"/>
      <c r="Z90" s="1"/>
      <c r="AA90" s="1"/>
      <c r="AB90" s="1"/>
      <c r="AC90" s="1"/>
      <c r="AD90" s="1"/>
      <c r="AE90" s="1259"/>
      <c r="AF90" s="1"/>
      <c r="AG90" s="1"/>
      <c r="AH90" s="1"/>
      <c r="AI90" s="1259"/>
      <c r="AJ90" s="1"/>
      <c r="AK90" s="1"/>
      <c r="AL90" s="1"/>
      <c r="AM90" s="1259"/>
      <c r="AN90" s="1"/>
      <c r="AO90" s="1"/>
      <c r="AP90" s="1"/>
      <c r="AQ90" s="1259"/>
      <c r="AR90" s="1"/>
      <c r="AS90" s="1"/>
      <c r="AT90" s="1"/>
      <c r="AU90" s="1259"/>
      <c r="AV90" s="1"/>
      <c r="AW90" s="1"/>
    </row>
    <row r="91" spans="1:49" s="6" customFormat="1">
      <c r="A91" s="64"/>
      <c r="B91" s="64"/>
      <c r="C91" s="64"/>
      <c r="D91" s="64"/>
      <c r="E91" s="64"/>
      <c r="F91" s="64"/>
      <c r="G91" s="64"/>
      <c r="H91" s="64"/>
      <c r="I91" s="1"/>
      <c r="J91" s="1"/>
      <c r="K91" s="1"/>
      <c r="L91" s="1"/>
      <c r="M91" s="1259"/>
      <c r="N91" s="1"/>
      <c r="O91" s="1"/>
      <c r="P91" s="1"/>
      <c r="Q91" s="1"/>
      <c r="R91" s="1"/>
      <c r="S91" s="1"/>
      <c r="T91" s="137"/>
      <c r="U91" s="137"/>
      <c r="V91" s="137"/>
      <c r="W91" s="1"/>
      <c r="X91" s="1"/>
      <c r="Y91" s="1"/>
      <c r="Z91" s="1"/>
      <c r="AA91" s="1"/>
      <c r="AB91" s="1"/>
      <c r="AC91" s="1"/>
      <c r="AD91" s="1"/>
      <c r="AE91" s="1259"/>
      <c r="AF91" s="1"/>
      <c r="AG91" s="1"/>
      <c r="AH91" s="1"/>
      <c r="AI91" s="1259"/>
      <c r="AJ91" s="1"/>
      <c r="AK91" s="1"/>
      <c r="AL91" s="1"/>
      <c r="AM91" s="1259"/>
      <c r="AN91" s="1"/>
      <c r="AO91" s="1"/>
      <c r="AP91" s="1"/>
      <c r="AQ91" s="1259"/>
      <c r="AR91" s="1"/>
      <c r="AS91" s="1"/>
      <c r="AT91" s="1"/>
      <c r="AU91" s="1259"/>
      <c r="AV91" s="1"/>
      <c r="AW91" s="1"/>
    </row>
  </sheetData>
  <mergeCells count="1">
    <mergeCell ref="U1:W1"/>
  </mergeCells>
  <pageMargins left="0.7" right="0.7" top="0.75" bottom="0.75" header="0.3" footer="0.3"/>
  <pageSetup orientation="portrait"/>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F2D3B-07E1-468B-88D0-D2AC2DA79A60}">
  <sheetPr>
    <tabColor theme="5" tint="0.39997558519241921"/>
  </sheetPr>
  <dimension ref="A1:CF69"/>
  <sheetViews>
    <sheetView showGridLines="0" zoomScale="78" zoomScaleNormal="100" workbookViewId="0">
      <pane xSplit="3" ySplit="1" topLeftCell="I32" activePane="bottomRight" state="frozen"/>
      <selection pane="bottomRight" activeCell="P41" sqref="P41"/>
      <selection pane="bottomLeft" activeCell="A2" sqref="A2"/>
      <selection pane="topRight" activeCell="D1" sqref="D1"/>
    </sheetView>
  </sheetViews>
  <sheetFormatPr defaultColWidth="8.85546875" defaultRowHeight="15" outlineLevelRow="1" outlineLevelCol="1"/>
  <cols>
    <col min="1" max="1" width="30.7109375" style="1128" customWidth="1"/>
    <col min="2" max="3" width="8" style="303" customWidth="1"/>
    <col min="4" max="6" width="8" style="303" hidden="1" customWidth="1"/>
    <col min="7" max="8" width="10.140625" style="303" hidden="1" customWidth="1"/>
    <col min="9" max="12" width="10.140625" style="43" customWidth="1"/>
    <col min="13" max="13" width="10.140625" style="1129" customWidth="1"/>
    <col min="14" max="14" width="10.5703125" style="43" customWidth="1"/>
    <col min="15" max="15" width="10.42578125" style="43" customWidth="1"/>
    <col min="16" max="20" width="10.5703125" style="43" customWidth="1"/>
    <col min="21" max="23" width="10.7109375" style="402" customWidth="1"/>
    <col min="24" max="24" width="11.85546875" style="402" customWidth="1"/>
    <col min="25" max="25" width="13.140625" style="402" customWidth="1"/>
    <col min="26" max="26" width="13" style="43" customWidth="1"/>
    <col min="27" max="27" width="8.5703125" style="43" customWidth="1"/>
    <col min="28" max="29" width="14.5703125" style="43" customWidth="1"/>
    <col min="30" max="32" width="10.42578125" style="43" customWidth="1" outlineLevel="1"/>
    <col min="33" max="33" width="10.42578125" style="1130" customWidth="1" outlineLevel="1"/>
    <col min="34" max="36" width="10.42578125" style="43" customWidth="1" outlineLevel="1"/>
    <col min="37" max="37" width="10.42578125" style="1130" customWidth="1" outlineLevel="1"/>
    <col min="38" max="40" width="10.42578125" style="43" customWidth="1" outlineLevel="1"/>
    <col min="41" max="41" width="10.42578125" style="1130" customWidth="1" outlineLevel="1"/>
    <col min="42" max="44" width="10.42578125" style="43" customWidth="1" outlineLevel="1"/>
    <col min="45" max="45" width="10.42578125" style="1130" customWidth="1" outlineLevel="1"/>
    <col min="46" max="48" width="10.42578125" style="43" customWidth="1"/>
    <col min="49" max="49" width="10.42578125" style="1130" customWidth="1"/>
    <col min="50" max="57" width="10.42578125" style="43" customWidth="1"/>
    <col min="58" max="58" width="9.42578125" style="43" bestFit="1" customWidth="1"/>
    <col min="59" max="60" width="8.85546875" style="43"/>
    <col min="61" max="63" width="11.85546875" style="43" customWidth="1"/>
    <col min="64" max="64" width="11.85546875" style="1130" customWidth="1"/>
    <col min="65" max="67" width="11.85546875" style="43" customWidth="1"/>
    <col min="68" max="68" width="11.85546875" style="1130" customWidth="1"/>
    <col min="69" max="71" width="11.85546875" style="43" customWidth="1"/>
    <col min="72" max="72" width="11.85546875" style="1130" customWidth="1"/>
    <col min="73" max="75" width="11.85546875" style="43" customWidth="1"/>
    <col min="76" max="76" width="11.85546875" style="1130" customWidth="1"/>
    <col min="77" max="79" width="11.85546875" style="43" customWidth="1"/>
    <col min="80" max="80" width="11.85546875" style="1130" customWidth="1"/>
    <col min="81" max="82" width="11.85546875" style="43" customWidth="1"/>
    <col min="83" max="16384" width="8.85546875" style="43"/>
  </cols>
  <sheetData>
    <row r="1" spans="1:84" s="945" customFormat="1">
      <c r="A1" s="1126" t="s">
        <v>905</v>
      </c>
      <c r="D1" s="945" t="str">
        <f>'A. FS'!D1</f>
        <v>2013A</v>
      </c>
      <c r="E1" s="945" t="str">
        <f>'A. FS'!E1</f>
        <v>2014A</v>
      </c>
      <c r="F1" s="945" t="str">
        <f>'A. FS'!F1</f>
        <v>2015A</v>
      </c>
      <c r="G1" s="945" t="str">
        <f>'A. FS'!G1</f>
        <v>2016A</v>
      </c>
      <c r="H1" s="945" t="str">
        <f>'A. FS'!H1</f>
        <v>2017A</v>
      </c>
      <c r="I1" s="945" t="str">
        <f>'A. FS'!I1</f>
        <v>2018A</v>
      </c>
      <c r="J1" s="945" t="str">
        <f>'A. FS'!J1</f>
        <v>2019A</v>
      </c>
      <c r="K1" s="945" t="str">
        <f>'A. FS'!K1</f>
        <v>2020A</v>
      </c>
      <c r="L1" s="945" t="str">
        <f>'A. FS'!L1</f>
        <v>2021A</v>
      </c>
      <c r="M1" s="1125" t="str">
        <f>'A. FS'!M1</f>
        <v>2022A</v>
      </c>
      <c r="N1" s="945" t="str">
        <f>'A. FS'!N1</f>
        <v>2023E</v>
      </c>
      <c r="O1" s="945" t="str">
        <f>'A. FS'!O1</f>
        <v>2024E</v>
      </c>
      <c r="P1" s="945" t="str">
        <f>'A. FS'!P1</f>
        <v>2025E</v>
      </c>
      <c r="Q1" s="945" t="str">
        <f>'A. FS'!Q1</f>
        <v>2026E</v>
      </c>
      <c r="R1" s="945" t="str">
        <f>'A. FS'!R1</f>
        <v>2027E</v>
      </c>
      <c r="S1" s="945" t="str">
        <f>'A. FS'!S1</f>
        <v>2028E</v>
      </c>
      <c r="U1" s="1552" t="s">
        <v>648</v>
      </c>
      <c r="V1" s="1552"/>
      <c r="W1" s="1552"/>
      <c r="X1" s="448"/>
      <c r="Y1" s="448"/>
      <c r="AD1" s="945" t="s">
        <v>446</v>
      </c>
      <c r="AE1" s="945" t="s">
        <v>447</v>
      </c>
      <c r="AF1" s="945" t="s">
        <v>448</v>
      </c>
      <c r="AG1" s="1127" t="s">
        <v>449</v>
      </c>
      <c r="AH1" s="945" t="s">
        <v>450</v>
      </c>
      <c r="AI1" s="945" t="s">
        <v>451</v>
      </c>
      <c r="AJ1" s="945" t="s">
        <v>452</v>
      </c>
      <c r="AK1" s="1127" t="s">
        <v>453</v>
      </c>
      <c r="AL1" s="945" t="s">
        <v>454</v>
      </c>
      <c r="AM1" s="945" t="s">
        <v>455</v>
      </c>
      <c r="AN1" s="945" t="s">
        <v>456</v>
      </c>
      <c r="AO1" s="1127" t="s">
        <v>457</v>
      </c>
      <c r="AP1" s="945" t="s">
        <v>458</v>
      </c>
      <c r="AQ1" s="945" t="s">
        <v>459</v>
      </c>
      <c r="AR1" s="945" t="s">
        <v>460</v>
      </c>
      <c r="AS1" s="1127" t="s">
        <v>461</v>
      </c>
      <c r="AT1" s="945" t="s">
        <v>462</v>
      </c>
      <c r="AU1" s="945" t="s">
        <v>463</v>
      </c>
      <c r="AV1" s="945" t="s">
        <v>464</v>
      </c>
      <c r="AW1" s="1127" t="s">
        <v>465</v>
      </c>
      <c r="AX1" s="945" t="s">
        <v>466</v>
      </c>
      <c r="AY1" s="945" t="s">
        <v>467</v>
      </c>
      <c r="AZ1" s="945" t="s">
        <v>649</v>
      </c>
      <c r="BA1" s="945" t="s">
        <v>650</v>
      </c>
      <c r="BH1" s="945" t="s">
        <v>286</v>
      </c>
      <c r="BI1" s="945" t="s">
        <v>446</v>
      </c>
      <c r="BJ1" s="945" t="s">
        <v>447</v>
      </c>
      <c r="BK1" s="945" t="s">
        <v>448</v>
      </c>
      <c r="BL1" s="1127" t="s">
        <v>449</v>
      </c>
      <c r="BM1" s="945" t="s">
        <v>450</v>
      </c>
      <c r="BN1" s="945" t="s">
        <v>451</v>
      </c>
      <c r="BO1" s="945" t="s">
        <v>452</v>
      </c>
      <c r="BP1" s="1127" t="s">
        <v>453</v>
      </c>
      <c r="BQ1" s="945" t="s">
        <v>454</v>
      </c>
      <c r="BR1" s="945" t="s">
        <v>455</v>
      </c>
      <c r="BS1" s="945" t="s">
        <v>456</v>
      </c>
      <c r="BT1" s="1127" t="s">
        <v>457</v>
      </c>
      <c r="BU1" s="945" t="s">
        <v>458</v>
      </c>
      <c r="BV1" s="945" t="s">
        <v>459</v>
      </c>
      <c r="BW1" s="945" t="s">
        <v>460</v>
      </c>
      <c r="BX1" s="1127" t="s">
        <v>461</v>
      </c>
      <c r="BY1" s="945" t="s">
        <v>462</v>
      </c>
      <c r="BZ1" s="945" t="s">
        <v>463</v>
      </c>
      <c r="CA1" s="945" t="s">
        <v>464</v>
      </c>
      <c r="CB1" s="1127" t="s">
        <v>465</v>
      </c>
      <c r="CC1" s="945" t="s">
        <v>466</v>
      </c>
      <c r="CD1" s="945" t="s">
        <v>467</v>
      </c>
      <c r="CF1" s="1127"/>
    </row>
    <row r="2" spans="1:84">
      <c r="M2" s="1130"/>
      <c r="U2" s="401"/>
      <c r="V2" s="401" t="s">
        <v>651</v>
      </c>
      <c r="W2" s="401"/>
      <c r="X2" s="587"/>
      <c r="Z2" s="302"/>
      <c r="AA2" s="302"/>
      <c r="AB2" s="302"/>
      <c r="AZ2" s="1131"/>
      <c r="BC2" s="427" t="s">
        <v>73</v>
      </c>
      <c r="BE2" s="1131"/>
    </row>
    <row r="3" spans="1:84" s="397" customFormat="1">
      <c r="A3" s="864" t="s">
        <v>652</v>
      </c>
      <c r="B3" s="403"/>
      <c r="C3" s="403"/>
      <c r="D3" s="403"/>
      <c r="E3" s="404" t="e">
        <f>#REF!+#REF!</f>
        <v>#REF!</v>
      </c>
      <c r="F3" s="404" t="e">
        <f>#REF!+#REF!</f>
        <v>#REF!</v>
      </c>
      <c r="G3" s="404" t="e">
        <f>#REF!+#REF!</f>
        <v>#REF!</v>
      </c>
      <c r="H3" s="404" t="e">
        <f>#REF!+#REF!</f>
        <v>#REF!</v>
      </c>
      <c r="I3" s="404">
        <f>SUM(I5:I7)</f>
        <v>76</v>
      </c>
      <c r="J3" s="404">
        <f t="shared" ref="J3:S3" si="0">SUM(J5:J7)</f>
        <v>255</v>
      </c>
      <c r="K3" s="404">
        <f t="shared" si="0"/>
        <v>265</v>
      </c>
      <c r="L3" s="404">
        <f t="shared" si="0"/>
        <v>599</v>
      </c>
      <c r="M3" s="405">
        <f t="shared" si="0"/>
        <v>953</v>
      </c>
      <c r="N3" s="404">
        <f t="shared" si="0"/>
        <v>1373.8978750000001</v>
      </c>
      <c r="O3" s="404">
        <f t="shared" si="0"/>
        <v>1834.9214562500001</v>
      </c>
      <c r="P3" s="404">
        <f t="shared" si="0"/>
        <v>2371.9546871093753</v>
      </c>
      <c r="Q3" s="404">
        <f t="shared" si="0"/>
        <v>2987.5077495214846</v>
      </c>
      <c r="R3" s="404">
        <f t="shared" si="0"/>
        <v>3682.1948381619877</v>
      </c>
      <c r="S3" s="404">
        <f t="shared" si="0"/>
        <v>4454.6133263353022</v>
      </c>
      <c r="T3" s="807"/>
      <c r="U3" s="542">
        <f>(S3/O3)^0.25-1</f>
        <v>0.24824010849088918</v>
      </c>
      <c r="V3" s="406">
        <v>0.11</v>
      </c>
      <c r="W3" s="406"/>
      <c r="X3" s="222"/>
      <c r="AA3" s="406"/>
      <c r="AD3" s="407">
        <f t="shared" ref="AD3:BA3" si="1">SUM(AD4:AD6)</f>
        <v>22</v>
      </c>
      <c r="AE3" s="407">
        <f t="shared" si="1"/>
        <v>20</v>
      </c>
      <c r="AF3" s="407">
        <f t="shared" si="1"/>
        <v>10</v>
      </c>
      <c r="AG3" s="407">
        <f t="shared" si="1"/>
        <v>24</v>
      </c>
      <c r="AH3" s="407">
        <f t="shared" si="1"/>
        <v>53</v>
      </c>
      <c r="AI3" s="407">
        <f t="shared" si="1"/>
        <v>63</v>
      </c>
      <c r="AJ3" s="407">
        <f t="shared" si="1"/>
        <v>66</v>
      </c>
      <c r="AK3" s="407">
        <f t="shared" si="1"/>
        <v>73</v>
      </c>
      <c r="AL3" s="407">
        <f t="shared" si="1"/>
        <v>63</v>
      </c>
      <c r="AM3" s="407">
        <f t="shared" si="1"/>
        <v>59</v>
      </c>
      <c r="AN3" s="407">
        <f t="shared" si="1"/>
        <v>62</v>
      </c>
      <c r="AO3" s="407">
        <f t="shared" si="1"/>
        <v>81</v>
      </c>
      <c r="AP3" s="407">
        <f t="shared" si="1"/>
        <v>81</v>
      </c>
      <c r="AQ3" s="407">
        <f t="shared" si="1"/>
        <v>79</v>
      </c>
      <c r="AR3" s="407">
        <f t="shared" si="1"/>
        <v>150</v>
      </c>
      <c r="AS3" s="407">
        <f t="shared" si="1"/>
        <v>162</v>
      </c>
      <c r="AT3" s="407">
        <f t="shared" si="1"/>
        <v>135</v>
      </c>
      <c r="AU3" s="407">
        <f t="shared" si="1"/>
        <v>201</v>
      </c>
      <c r="AV3" s="407">
        <f t="shared" si="1"/>
        <v>301</v>
      </c>
      <c r="AW3" s="407">
        <f t="shared" si="1"/>
        <v>316</v>
      </c>
      <c r="AX3" s="407">
        <f t="shared" si="1"/>
        <v>285</v>
      </c>
      <c r="AY3" s="407">
        <f t="shared" si="1"/>
        <v>336</v>
      </c>
      <c r="AZ3" s="407">
        <f t="shared" si="1"/>
        <v>334</v>
      </c>
      <c r="BA3" s="407">
        <f t="shared" si="1"/>
        <v>480</v>
      </c>
      <c r="BB3" s="407"/>
      <c r="BC3" s="594">
        <f>SUM(BC4:BC6)</f>
        <v>83.969750000000033</v>
      </c>
      <c r="BD3" s="407"/>
      <c r="BE3" s="407">
        <f>SUM(BE4:BE6)</f>
        <v>1435</v>
      </c>
      <c r="BF3" s="408">
        <f>BE3/SUM(AT3:AW3)-1</f>
        <v>0.50577124868835255</v>
      </c>
      <c r="BI3" s="409"/>
      <c r="BJ3" s="409"/>
      <c r="BK3" s="409"/>
      <c r="BL3" s="409">
        <f t="shared" ref="BL3:CD3" si="2">SUM(BL4:BL6)</f>
        <v>76</v>
      </c>
      <c r="BM3" s="409">
        <f t="shared" si="2"/>
        <v>107</v>
      </c>
      <c r="BN3" s="409">
        <f t="shared" si="2"/>
        <v>150</v>
      </c>
      <c r="BO3" s="409">
        <f t="shared" si="2"/>
        <v>206</v>
      </c>
      <c r="BP3" s="409">
        <f t="shared" si="2"/>
        <v>255</v>
      </c>
      <c r="BQ3" s="409">
        <f t="shared" si="2"/>
        <v>265</v>
      </c>
      <c r="BR3" s="409">
        <f t="shared" si="2"/>
        <v>261</v>
      </c>
      <c r="BS3" s="409">
        <f t="shared" si="2"/>
        <v>257</v>
      </c>
      <c r="BT3" s="409">
        <f t="shared" si="2"/>
        <v>265</v>
      </c>
      <c r="BU3" s="409">
        <f t="shared" si="2"/>
        <v>283</v>
      </c>
      <c r="BV3" s="409">
        <f t="shared" si="2"/>
        <v>303</v>
      </c>
      <c r="BW3" s="409">
        <f t="shared" si="2"/>
        <v>391</v>
      </c>
      <c r="BX3" s="409">
        <f t="shared" si="2"/>
        <v>472</v>
      </c>
      <c r="BY3" s="409">
        <f t="shared" si="2"/>
        <v>526</v>
      </c>
      <c r="BZ3" s="409">
        <f t="shared" si="2"/>
        <v>648</v>
      </c>
      <c r="CA3" s="409">
        <f t="shared" si="2"/>
        <v>799</v>
      </c>
      <c r="CB3" s="409">
        <f t="shared" si="2"/>
        <v>953</v>
      </c>
      <c r="CC3" s="409">
        <f t="shared" si="2"/>
        <v>1103</v>
      </c>
      <c r="CD3" s="409">
        <f t="shared" si="2"/>
        <v>1238</v>
      </c>
    </row>
    <row r="4" spans="1:84">
      <c r="A4" s="511"/>
      <c r="B4" s="410"/>
      <c r="C4" s="410"/>
      <c r="D4" s="410"/>
      <c r="E4" s="410"/>
      <c r="F4" s="410"/>
      <c r="G4" s="410"/>
      <c r="H4" s="410"/>
      <c r="I4" s="90"/>
      <c r="J4" s="90"/>
      <c r="K4" s="90"/>
      <c r="L4" s="408"/>
      <c r="M4" s="984"/>
      <c r="N4" s="428"/>
      <c r="O4" s="57"/>
      <c r="P4" s="57"/>
      <c r="Q4" s="415"/>
      <c r="R4" s="415"/>
      <c r="S4" s="415"/>
      <c r="U4" s="542"/>
      <c r="V4" s="406"/>
      <c r="W4" s="406"/>
      <c r="X4" s="222"/>
      <c r="AX4" s="411" t="s">
        <v>653</v>
      </c>
      <c r="AY4" s="411" t="s">
        <v>654</v>
      </c>
      <c r="AZ4" s="411" t="s">
        <v>655</v>
      </c>
      <c r="BA4" s="593" t="s">
        <v>656</v>
      </c>
      <c r="BB4" s="592"/>
      <c r="BC4" s="411"/>
      <c r="BD4" s="412"/>
      <c r="BE4" s="413"/>
      <c r="BF4" s="408"/>
    </row>
    <row r="5" spans="1:84">
      <c r="A5" s="1128" t="s">
        <v>69</v>
      </c>
      <c r="G5" s="92">
        <v>0</v>
      </c>
      <c r="H5" s="92">
        <v>0</v>
      </c>
      <c r="I5" s="415">
        <f>I12</f>
        <v>0</v>
      </c>
      <c r="J5" s="415">
        <f t="shared" ref="J5:S5" si="3">J12</f>
        <v>0</v>
      </c>
      <c r="K5" s="415">
        <f t="shared" si="3"/>
        <v>0</v>
      </c>
      <c r="L5" s="415">
        <f t="shared" si="3"/>
        <v>223</v>
      </c>
      <c r="M5" s="1149">
        <f t="shared" si="3"/>
        <v>556</v>
      </c>
      <c r="N5" s="415">
        <f t="shared" si="3"/>
        <v>716.32600000000002</v>
      </c>
      <c r="O5" s="415">
        <f t="shared" si="3"/>
        <v>914.08879999999999</v>
      </c>
      <c r="P5" s="415">
        <f t="shared" si="3"/>
        <v>1135.0329000000002</v>
      </c>
      <c r="Q5" s="415">
        <f t="shared" si="3"/>
        <v>1376.2638024999999</v>
      </c>
      <c r="R5" s="415">
        <f t="shared" si="3"/>
        <v>1633.7188994687499</v>
      </c>
      <c r="S5" s="415">
        <f t="shared" si="3"/>
        <v>1902.4397174351564</v>
      </c>
      <c r="T5" s="415"/>
      <c r="U5" s="928">
        <f>(S5/O5)^0.25-1</f>
        <v>0.20110404376550295</v>
      </c>
      <c r="V5" s="543">
        <v>0.4</v>
      </c>
      <c r="W5" s="543"/>
      <c r="X5" s="222" t="str">
        <f>IFERROR(IF((W5/R5)^(1/8)-1&lt;0,"",(W5/R5)^(1/8)-1),"")</f>
        <v/>
      </c>
      <c r="AA5" s="57"/>
      <c r="AB5" s="57"/>
      <c r="AC5" s="57"/>
      <c r="AD5" s="1132">
        <v>0</v>
      </c>
      <c r="AE5" s="1132">
        <v>0</v>
      </c>
      <c r="AF5" s="1132">
        <v>0</v>
      </c>
      <c r="AG5" s="1133">
        <v>0</v>
      </c>
      <c r="AH5" s="1132">
        <v>0</v>
      </c>
      <c r="AI5" s="1132">
        <v>0</v>
      </c>
      <c r="AJ5" s="1132">
        <v>0</v>
      </c>
      <c r="AK5" s="1133">
        <v>0</v>
      </c>
      <c r="AL5" s="1132">
        <v>0</v>
      </c>
      <c r="AM5" s="1132">
        <v>0</v>
      </c>
      <c r="AN5" s="1132">
        <v>0</v>
      </c>
      <c r="AO5" s="1133">
        <v>0</v>
      </c>
      <c r="AP5" s="1132">
        <v>0</v>
      </c>
      <c r="AQ5" s="1132">
        <v>0</v>
      </c>
      <c r="AR5" s="1132">
        <v>27</v>
      </c>
      <c r="AS5" s="1133">
        <v>69</v>
      </c>
      <c r="AT5" s="1132">
        <v>64</v>
      </c>
      <c r="AU5" s="1132">
        <v>108</v>
      </c>
      <c r="AV5" s="1132">
        <v>205</v>
      </c>
      <c r="AW5" s="1133">
        <v>179</v>
      </c>
      <c r="AX5" s="1132">
        <v>165</v>
      </c>
      <c r="AY5" s="1132">
        <v>166</v>
      </c>
      <c r="AZ5" s="1136">
        <v>163</v>
      </c>
      <c r="BA5" s="1137">
        <v>230</v>
      </c>
      <c r="BB5" s="1136"/>
      <c r="BC5" s="1139">
        <f>N5-SUM(AX5:AZ5)</f>
        <v>222.32600000000002</v>
      </c>
      <c r="BD5" s="412"/>
      <c r="BE5" s="415">
        <f>SUM(AX5:BA5)</f>
        <v>724</v>
      </c>
      <c r="BF5" s="408">
        <f>BE5/SUM(AT5:AW5)-1</f>
        <v>0.30215827338129486</v>
      </c>
      <c r="BH5" s="1148"/>
      <c r="BI5" s="1132"/>
      <c r="BJ5" s="1132"/>
      <c r="BK5" s="1132"/>
      <c r="BL5" s="1133">
        <f t="shared" ref="BL5:BU6" si="4">SUM(AD5:AG5)</f>
        <v>0</v>
      </c>
      <c r="BM5" s="1132">
        <f t="shared" si="4"/>
        <v>0</v>
      </c>
      <c r="BN5" s="1132">
        <f t="shared" si="4"/>
        <v>0</v>
      </c>
      <c r="BO5" s="1132">
        <f t="shared" si="4"/>
        <v>0</v>
      </c>
      <c r="BP5" s="1133">
        <f t="shared" si="4"/>
        <v>0</v>
      </c>
      <c r="BQ5" s="1132">
        <f t="shared" si="4"/>
        <v>0</v>
      </c>
      <c r="BR5" s="1132">
        <f t="shared" si="4"/>
        <v>0</v>
      </c>
      <c r="BS5" s="1132">
        <f t="shared" si="4"/>
        <v>0</v>
      </c>
      <c r="BT5" s="1133">
        <f t="shared" si="4"/>
        <v>0</v>
      </c>
      <c r="BU5" s="1132">
        <f t="shared" si="4"/>
        <v>0</v>
      </c>
      <c r="BV5" s="1132">
        <f t="shared" ref="BV5:CD6" si="5">SUM(AN5:AQ5)</f>
        <v>0</v>
      </c>
      <c r="BW5" s="1132">
        <f t="shared" si="5"/>
        <v>27</v>
      </c>
      <c r="BX5" s="1133">
        <f t="shared" si="5"/>
        <v>96</v>
      </c>
      <c r="BY5" s="1132">
        <f t="shared" si="5"/>
        <v>160</v>
      </c>
      <c r="BZ5" s="1132">
        <f t="shared" si="5"/>
        <v>268</v>
      </c>
      <c r="CA5" s="1132">
        <f t="shared" si="5"/>
        <v>446</v>
      </c>
      <c r="CB5" s="1133">
        <f t="shared" si="5"/>
        <v>556</v>
      </c>
      <c r="CC5" s="1132">
        <f t="shared" si="5"/>
        <v>657</v>
      </c>
      <c r="CD5" s="1132">
        <f t="shared" si="5"/>
        <v>715</v>
      </c>
    </row>
    <row r="6" spans="1:84">
      <c r="A6" s="1128" t="s">
        <v>70</v>
      </c>
      <c r="G6" s="92">
        <v>0</v>
      </c>
      <c r="H6" s="92">
        <v>50</v>
      </c>
      <c r="I6" s="415">
        <f t="shared" ref="I6:S6" si="6">I36</f>
        <v>76</v>
      </c>
      <c r="J6" s="415">
        <f t="shared" si="6"/>
        <v>98.8</v>
      </c>
      <c r="K6" s="415">
        <f t="shared" si="6"/>
        <v>123.5</v>
      </c>
      <c r="L6" s="415">
        <f t="shared" si="6"/>
        <v>117.32499999999999</v>
      </c>
      <c r="M6" s="1149">
        <f t="shared" si="6"/>
        <v>129.0575</v>
      </c>
      <c r="N6" s="415">
        <f t="shared" si="6"/>
        <v>322.64375000000001</v>
      </c>
      <c r="O6" s="415">
        <f t="shared" si="6"/>
        <v>467.17250000000001</v>
      </c>
      <c r="P6" s="415">
        <f t="shared" si="6"/>
        <v>638.76734375000001</v>
      </c>
      <c r="Q6" s="415">
        <f t="shared" si="6"/>
        <v>839.50162890625006</v>
      </c>
      <c r="R6" s="415">
        <f t="shared" si="6"/>
        <v>1070.8843936035157</v>
      </c>
      <c r="S6" s="415">
        <f t="shared" si="6"/>
        <v>1333.660599519043</v>
      </c>
      <c r="T6" s="57"/>
      <c r="U6" s="928">
        <f t="shared" ref="U6:U7" si="7">(S6/O6)^0.25-1</f>
        <v>0.29984633107974945</v>
      </c>
      <c r="V6" s="543">
        <v>0.2</v>
      </c>
      <c r="W6" s="543"/>
      <c r="X6" s="222" t="str">
        <f>IFERROR(IF((W6/R6)^(1/8)-1&lt;0,"",(W6/R6)^(1/8)-1),"")</f>
        <v/>
      </c>
      <c r="AA6" s="57"/>
      <c r="AB6" s="57"/>
      <c r="AC6" s="57"/>
      <c r="AD6" s="1132">
        <v>22</v>
      </c>
      <c r="AE6" s="1132">
        <v>20</v>
      </c>
      <c r="AF6" s="1132">
        <v>10</v>
      </c>
      <c r="AG6" s="1133">
        <v>24</v>
      </c>
      <c r="AH6" s="1132">
        <v>53</v>
      </c>
      <c r="AI6" s="1132">
        <v>63</v>
      </c>
      <c r="AJ6" s="1132">
        <v>66</v>
      </c>
      <c r="AK6" s="1133">
        <v>73</v>
      </c>
      <c r="AL6" s="1132">
        <v>63</v>
      </c>
      <c r="AM6" s="1132">
        <v>59</v>
      </c>
      <c r="AN6" s="1132">
        <v>62</v>
      </c>
      <c r="AO6" s="1133">
        <v>81</v>
      </c>
      <c r="AP6" s="1132">
        <v>81</v>
      </c>
      <c r="AQ6" s="1132">
        <v>79</v>
      </c>
      <c r="AR6" s="1132">
        <v>123</v>
      </c>
      <c r="AS6" s="1133">
        <v>93</v>
      </c>
      <c r="AT6" s="1132">
        <v>71</v>
      </c>
      <c r="AU6" s="1132">
        <v>93</v>
      </c>
      <c r="AV6" s="1132">
        <v>96</v>
      </c>
      <c r="AW6" s="1133">
        <v>137</v>
      </c>
      <c r="AX6" s="1132">
        <v>120</v>
      </c>
      <c r="AY6" s="1132">
        <v>170</v>
      </c>
      <c r="AZ6" s="1136">
        <v>171</v>
      </c>
      <c r="BA6" s="1137">
        <v>250</v>
      </c>
      <c r="BB6" s="1136"/>
      <c r="BC6" s="1139">
        <f>N6-SUM(AX6:AZ6)</f>
        <v>-138.35624999999999</v>
      </c>
      <c r="BD6" s="412"/>
      <c r="BE6" s="415">
        <f>SUM(AX6:BA6)</f>
        <v>711</v>
      </c>
      <c r="BF6" s="408">
        <f>BE6/SUM(AT6:AW6)-1</f>
        <v>0.79093198992443314</v>
      </c>
      <c r="BG6" s="43">
        <v>15000</v>
      </c>
      <c r="BH6" s="1148"/>
      <c r="BI6" s="1132"/>
      <c r="BJ6" s="1132"/>
      <c r="BK6" s="1132"/>
      <c r="BL6" s="1133">
        <f t="shared" si="4"/>
        <v>76</v>
      </c>
      <c r="BM6" s="1132">
        <f t="shared" si="4"/>
        <v>107</v>
      </c>
      <c r="BN6" s="1132">
        <f t="shared" si="4"/>
        <v>150</v>
      </c>
      <c r="BO6" s="1132">
        <f t="shared" si="4"/>
        <v>206</v>
      </c>
      <c r="BP6" s="1133">
        <f t="shared" si="4"/>
        <v>255</v>
      </c>
      <c r="BQ6" s="1132">
        <f t="shared" si="4"/>
        <v>265</v>
      </c>
      <c r="BR6" s="1132">
        <f t="shared" si="4"/>
        <v>261</v>
      </c>
      <c r="BS6" s="1132">
        <f t="shared" si="4"/>
        <v>257</v>
      </c>
      <c r="BT6" s="1133">
        <f t="shared" si="4"/>
        <v>265</v>
      </c>
      <c r="BU6" s="1132">
        <f t="shared" si="4"/>
        <v>283</v>
      </c>
      <c r="BV6" s="1132">
        <f t="shared" si="5"/>
        <v>303</v>
      </c>
      <c r="BW6" s="1132">
        <f t="shared" si="5"/>
        <v>364</v>
      </c>
      <c r="BX6" s="1133">
        <f t="shared" si="5"/>
        <v>376</v>
      </c>
      <c r="BY6" s="1132">
        <f t="shared" si="5"/>
        <v>366</v>
      </c>
      <c r="BZ6" s="1132">
        <f t="shared" si="5"/>
        <v>380</v>
      </c>
      <c r="CA6" s="1132">
        <f t="shared" si="5"/>
        <v>353</v>
      </c>
      <c r="CB6" s="1133">
        <f t="shared" si="5"/>
        <v>397</v>
      </c>
      <c r="CC6" s="1132">
        <f t="shared" si="5"/>
        <v>446</v>
      </c>
      <c r="CD6" s="1132">
        <f t="shared" si="5"/>
        <v>523</v>
      </c>
    </row>
    <row r="7" spans="1:84">
      <c r="A7" s="1128" t="s">
        <v>906</v>
      </c>
      <c r="G7" s="92"/>
      <c r="H7" s="92"/>
      <c r="I7" s="415">
        <f>I51</f>
        <v>0</v>
      </c>
      <c r="J7" s="415">
        <f t="shared" ref="J7:S7" si="8">J51</f>
        <v>156.19999999999999</v>
      </c>
      <c r="K7" s="415">
        <f t="shared" si="8"/>
        <v>141.5</v>
      </c>
      <c r="L7" s="415">
        <f t="shared" si="8"/>
        <v>258.67500000000001</v>
      </c>
      <c r="M7" s="1149">
        <f t="shared" si="8"/>
        <v>267.9425</v>
      </c>
      <c r="N7" s="415">
        <f t="shared" si="8"/>
        <v>334.92812500000002</v>
      </c>
      <c r="O7" s="415">
        <f t="shared" si="8"/>
        <v>453.66015625</v>
      </c>
      <c r="P7" s="415">
        <f t="shared" si="8"/>
        <v>598.15444335937502</v>
      </c>
      <c r="Q7" s="415">
        <f t="shared" si="8"/>
        <v>771.74231811523441</v>
      </c>
      <c r="R7" s="415">
        <f t="shared" si="8"/>
        <v>977.59154508972165</v>
      </c>
      <c r="S7" s="415">
        <f t="shared" si="8"/>
        <v>1218.5130093811033</v>
      </c>
      <c r="T7" s="57"/>
      <c r="U7" s="928">
        <f t="shared" si="7"/>
        <v>0.28019133417634734</v>
      </c>
      <c r="V7" s="543"/>
      <c r="W7" s="543"/>
      <c r="X7" s="222"/>
      <c r="AA7" s="57"/>
      <c r="AB7" s="57"/>
      <c r="AC7" s="57"/>
      <c r="AD7" s="1132"/>
      <c r="AE7" s="1132"/>
      <c r="AF7" s="1132"/>
      <c r="AG7" s="1133"/>
      <c r="AH7" s="1132"/>
      <c r="AI7" s="1132"/>
      <c r="AJ7" s="1132"/>
      <c r="AK7" s="1133"/>
      <c r="AL7" s="1132"/>
      <c r="AM7" s="1132"/>
      <c r="AN7" s="1132"/>
      <c r="AO7" s="1133"/>
      <c r="AP7" s="1132"/>
      <c r="AQ7" s="1132"/>
      <c r="AR7" s="1132"/>
      <c r="AS7" s="1133"/>
      <c r="AT7" s="1132"/>
      <c r="AU7" s="1132"/>
      <c r="AV7" s="1132"/>
      <c r="AW7" s="1133"/>
      <c r="AX7" s="1132"/>
      <c r="AY7" s="1132"/>
      <c r="AZ7" s="1136"/>
      <c r="BA7" s="1137"/>
      <c r="BB7" s="1136"/>
      <c r="BC7" s="1139"/>
      <c r="BD7" s="412"/>
      <c r="BE7" s="415"/>
      <c r="BF7" s="408"/>
      <c r="BH7" s="1148"/>
      <c r="BI7" s="1132"/>
      <c r="BJ7" s="1132"/>
      <c r="BK7" s="1132"/>
      <c r="BL7" s="1133"/>
      <c r="BM7" s="1132"/>
      <c r="BN7" s="1132"/>
      <c r="BO7" s="1132"/>
      <c r="BP7" s="1133"/>
      <c r="BQ7" s="1132"/>
      <c r="BR7" s="1132"/>
      <c r="BS7" s="1132"/>
      <c r="BT7" s="1133"/>
      <c r="BU7" s="1132"/>
      <c r="BV7" s="1132"/>
      <c r="BW7" s="1132"/>
      <c r="BX7" s="1133"/>
      <c r="BY7" s="1132"/>
      <c r="BZ7" s="1132"/>
      <c r="CA7" s="1132"/>
      <c r="CB7" s="1133"/>
      <c r="CC7" s="1132"/>
      <c r="CD7" s="1132"/>
    </row>
    <row r="8" spans="1:84" ht="12.75" customHeight="1">
      <c r="G8" s="92"/>
      <c r="H8" s="92"/>
      <c r="I8" s="415"/>
      <c r="J8" s="415"/>
      <c r="K8" s="415"/>
      <c r="L8" s="415"/>
      <c r="M8" s="1149"/>
      <c r="N8" s="415"/>
      <c r="O8" s="415"/>
      <c r="P8" s="57"/>
      <c r="Q8" s="415"/>
      <c r="R8" s="415"/>
      <c r="S8" s="415"/>
      <c r="T8" s="415"/>
      <c r="U8" s="928"/>
      <c r="V8" s="543"/>
      <c r="W8" s="57"/>
      <c r="X8" s="222" t="str">
        <f>IFERROR(IF((W8/R8)^(1/8)-1&lt;0,"",(W8/R8)^(1/8)-1),"")</f>
        <v/>
      </c>
      <c r="AA8" s="57"/>
      <c r="AB8" s="57"/>
      <c r="AC8" s="57"/>
      <c r="AD8" s="1132"/>
      <c r="AE8" s="1132"/>
      <c r="AF8" s="1132"/>
      <c r="AG8" s="1133"/>
      <c r="AH8" s="1132"/>
      <c r="AI8" s="1132"/>
      <c r="AJ8" s="1132"/>
      <c r="AK8" s="1133"/>
      <c r="AL8" s="1132"/>
      <c r="AM8" s="1132"/>
      <c r="AN8" s="1132"/>
      <c r="AO8" s="1133"/>
      <c r="AP8" s="1132"/>
      <c r="AQ8" s="1132"/>
      <c r="AR8" s="1132"/>
      <c r="AS8" s="1133"/>
      <c r="AT8" s="1132"/>
      <c r="AU8" s="1132"/>
      <c r="AV8" s="1132"/>
      <c r="AW8" s="1133"/>
      <c r="AX8" s="1132"/>
      <c r="AY8" s="1132"/>
      <c r="AZ8" s="1136"/>
      <c r="BA8" s="1132"/>
      <c r="BB8" s="1132"/>
      <c r="BC8" s="1136"/>
      <c r="BD8" s="412"/>
      <c r="BE8" s="415"/>
      <c r="BF8" s="408"/>
      <c r="BH8" s="1148"/>
      <c r="BI8" s="1132"/>
      <c r="BJ8" s="1132"/>
      <c r="BK8" s="1132"/>
      <c r="BL8" s="1133"/>
      <c r="BM8" s="1132"/>
      <c r="BN8" s="1132"/>
      <c r="BO8" s="1132"/>
      <c r="BP8" s="1133"/>
      <c r="BQ8" s="1132"/>
      <c r="BR8" s="1132"/>
      <c r="BS8" s="1132"/>
      <c r="BT8" s="1133"/>
      <c r="BU8" s="1132"/>
      <c r="BV8" s="1132"/>
      <c r="BW8" s="1132"/>
      <c r="BX8" s="1133"/>
      <c r="BY8" s="1132"/>
      <c r="BZ8" s="1132"/>
      <c r="CA8" s="1132"/>
      <c r="CB8" s="1133"/>
      <c r="CC8" s="1132"/>
      <c r="CD8" s="1132"/>
    </row>
    <row r="9" spans="1:84" ht="15.75" customHeight="1">
      <c r="G9" s="43"/>
      <c r="H9" s="43"/>
      <c r="M9" s="1130"/>
      <c r="R9" s="417"/>
      <c r="S9" s="417"/>
      <c r="T9" s="417"/>
      <c r="U9" s="928"/>
      <c r="V9" s="418"/>
      <c r="W9" s="418"/>
      <c r="X9" s="222"/>
      <c r="AV9" s="408">
        <f>SUM(AT3:AV3)</f>
        <v>637</v>
      </c>
      <c r="AW9" s="419"/>
      <c r="AX9" s="408"/>
      <c r="AY9" s="408"/>
      <c r="AZ9" s="408">
        <f>SUM(AX3:AZ3)</f>
        <v>955</v>
      </c>
      <c r="BA9" s="408">
        <f>AZ9/AV9-1</f>
        <v>0.49921507064364201</v>
      </c>
    </row>
    <row r="10" spans="1:84">
      <c r="A10" s="864" t="s">
        <v>907</v>
      </c>
      <c r="B10" s="403"/>
      <c r="C10" s="403"/>
      <c r="D10" s="403"/>
      <c r="E10" s="403"/>
      <c r="F10" s="403"/>
      <c r="G10" s="403"/>
      <c r="H10" s="403"/>
      <c r="I10" s="404"/>
      <c r="J10" s="404"/>
      <c r="K10" s="404"/>
      <c r="L10" s="404"/>
      <c r="M10" s="838"/>
      <c r="N10" s="448"/>
      <c r="O10" s="448"/>
      <c r="P10" s="448"/>
      <c r="Q10" s="837"/>
      <c r="R10" s="448"/>
      <c r="S10" s="448"/>
      <c r="T10" s="883"/>
      <c r="U10" s="928"/>
      <c r="X10" s="222" t="str">
        <f t="shared" ref="X10:X31" si="9">IFERROR(IF((W10/R10)^(1/8)-1&lt;0,"",(W10/R10)^(1/8)-1),"")</f>
        <v/>
      </c>
    </row>
    <row r="11" spans="1:84" outlineLevel="1">
      <c r="U11" s="928"/>
      <c r="X11" s="222" t="str">
        <f t="shared" si="9"/>
        <v/>
      </c>
    </row>
    <row r="12" spans="1:84" s="88" customFormat="1" outlineLevel="1">
      <c r="A12" s="872" t="s">
        <v>673</v>
      </c>
      <c r="B12" s="835"/>
      <c r="C12" s="835"/>
      <c r="D12" s="835"/>
      <c r="E12" s="835"/>
      <c r="F12" s="835"/>
      <c r="G12" s="835"/>
      <c r="H12" s="835"/>
      <c r="I12" s="836">
        <f>SUM(I13:I16)</f>
        <v>0</v>
      </c>
      <c r="J12" s="836">
        <f>SUM(J13:J16)</f>
        <v>0</v>
      </c>
      <c r="K12" s="836">
        <f>SUM(K13:K16)</f>
        <v>0</v>
      </c>
      <c r="L12" s="451">
        <v>223</v>
      </c>
      <c r="M12" s="1109">
        <v>556</v>
      </c>
      <c r="N12" s="451">
        <f>SUM(N13:N17)</f>
        <v>716.32600000000002</v>
      </c>
      <c r="O12" s="451">
        <f t="shared" ref="O12:S12" si="10">SUM(O13:O17)</f>
        <v>914.08879999999999</v>
      </c>
      <c r="P12" s="451">
        <f t="shared" si="10"/>
        <v>1135.0329000000002</v>
      </c>
      <c r="Q12" s="451">
        <f t="shared" si="10"/>
        <v>1376.2638024999999</v>
      </c>
      <c r="R12" s="451">
        <f t="shared" si="10"/>
        <v>1633.7188994687499</v>
      </c>
      <c r="S12" s="451">
        <f t="shared" si="10"/>
        <v>1902.4397174351564</v>
      </c>
      <c r="T12" s="1110"/>
      <c r="U12" s="1123">
        <f>(S12/O12)^0.25-1</f>
        <v>0.20110404376550295</v>
      </c>
      <c r="V12" s="1119"/>
      <c r="W12" s="1119"/>
      <c r="X12" s="1118" t="str">
        <f t="shared" si="9"/>
        <v/>
      </c>
      <c r="Y12" s="1181"/>
      <c r="AB12" s="1182"/>
      <c r="AC12" s="1182"/>
      <c r="AD12" s="1183"/>
      <c r="AE12" s="1184"/>
      <c r="AF12" s="1184"/>
      <c r="AG12" s="1185"/>
      <c r="AH12" s="1184"/>
      <c r="AI12" s="1186"/>
      <c r="AJ12" s="1187"/>
      <c r="AK12" s="1188"/>
      <c r="AL12" s="1187"/>
      <c r="AM12" s="1187"/>
      <c r="AN12" s="1187"/>
      <c r="AO12" s="1188"/>
      <c r="AP12" s="1187"/>
      <c r="AQ12" s="1187"/>
      <c r="AR12" s="1187"/>
      <c r="AS12" s="1188"/>
      <c r="AT12" s="1187"/>
      <c r="AU12" s="1187"/>
      <c r="AV12" s="1187"/>
      <c r="AW12" s="1188"/>
      <c r="AX12" s="1187"/>
      <c r="AY12" s="1187"/>
      <c r="AZ12" s="1187"/>
      <c r="BA12" s="1187"/>
      <c r="BB12" s="1187"/>
      <c r="BC12" s="1187"/>
      <c r="BD12" s="1187"/>
      <c r="BE12" s="1187"/>
      <c r="BF12" s="1187"/>
      <c r="BG12" s="1187"/>
      <c r="BH12" s="1187"/>
      <c r="BI12" s="1183"/>
      <c r="BJ12" s="1184"/>
      <c r="BK12" s="1184"/>
      <c r="BL12" s="1185"/>
      <c r="BM12" s="1184"/>
      <c r="BN12" s="1186"/>
      <c r="BO12" s="1187"/>
      <c r="BP12" s="1188"/>
      <c r="BQ12" s="1187"/>
      <c r="BR12" s="1187"/>
      <c r="BS12" s="1187"/>
      <c r="BT12" s="1188"/>
      <c r="BU12" s="1187"/>
      <c r="BV12" s="1187"/>
      <c r="BW12" s="1187"/>
      <c r="BX12" s="1188"/>
      <c r="BY12" s="1187"/>
      <c r="BZ12" s="1187"/>
      <c r="CA12" s="1187"/>
      <c r="CB12" s="1188"/>
      <c r="CC12" s="1187"/>
      <c r="CD12" s="1187"/>
    </row>
    <row r="13" spans="1:84" s="427" customFormat="1" outlineLevel="1">
      <c r="A13" s="1128" t="s">
        <v>686</v>
      </c>
      <c r="B13" s="88"/>
      <c r="C13" s="88"/>
      <c r="D13" s="88"/>
      <c r="E13" s="88"/>
      <c r="F13" s="88"/>
      <c r="G13" s="88"/>
      <c r="H13" s="88"/>
      <c r="I13" s="1189">
        <v>0</v>
      </c>
      <c r="J13" s="1189">
        <v>0</v>
      </c>
      <c r="K13" s="1189">
        <v>0</v>
      </c>
      <c r="L13" s="90">
        <f t="shared" ref="L13:M15" si="11">L$12*L28</f>
        <v>218.54</v>
      </c>
      <c r="M13" s="984">
        <f t="shared" si="11"/>
        <v>500.40000000000003</v>
      </c>
      <c r="N13" s="90">
        <f t="shared" ref="N13:S15" si="12">M13*(1+N21)</f>
        <v>550.44000000000005</v>
      </c>
      <c r="O13" s="90">
        <f t="shared" si="12"/>
        <v>660.52800000000002</v>
      </c>
      <c r="P13" s="486">
        <f t="shared" si="12"/>
        <v>776.12040000000002</v>
      </c>
      <c r="Q13" s="486">
        <f t="shared" si="12"/>
        <v>892.53845999999999</v>
      </c>
      <c r="R13" s="486">
        <f t="shared" si="12"/>
        <v>1004.1057675</v>
      </c>
      <c r="S13" s="486">
        <f t="shared" si="12"/>
        <v>1104.51634425</v>
      </c>
      <c r="T13" s="629"/>
      <c r="U13" s="445">
        <f t="shared" ref="U13:U15" si="13">(S13/O13)^0.25-1</f>
        <v>0.13715647514352303</v>
      </c>
      <c r="V13" s="406"/>
      <c r="W13" s="406"/>
      <c r="X13" s="222" t="str">
        <f t="shared" si="9"/>
        <v/>
      </c>
      <c r="AA13" s="454"/>
      <c r="AB13" s="1190"/>
      <c r="AC13" s="1190"/>
      <c r="AD13" s="1191"/>
      <c r="AE13" s="1174"/>
      <c r="AF13" s="1174"/>
      <c r="AG13" s="1177"/>
      <c r="AH13" s="1174"/>
      <c r="AI13" s="1178"/>
      <c r="AJ13" s="1140"/>
      <c r="AK13" s="1141"/>
      <c r="AL13" s="1140"/>
      <c r="AM13" s="1140"/>
      <c r="AN13" s="1140"/>
      <c r="AO13" s="1141"/>
      <c r="AP13" s="1140"/>
      <c r="AQ13" s="1140"/>
      <c r="AR13" s="1140"/>
      <c r="AS13" s="1141"/>
      <c r="AT13" s="1140"/>
      <c r="AU13" s="1140"/>
      <c r="AV13" s="1140"/>
      <c r="AW13" s="1141"/>
      <c r="AX13" s="1140"/>
      <c r="AY13" s="1140"/>
      <c r="AZ13" s="1140"/>
      <c r="BA13" s="1140"/>
      <c r="BB13" s="1140"/>
      <c r="BC13" s="1140"/>
      <c r="BD13" s="1140"/>
      <c r="BE13" s="1140"/>
      <c r="BF13" s="1140"/>
      <c r="BG13" s="1140"/>
      <c r="BH13" s="1140"/>
      <c r="BI13" s="1191"/>
      <c r="BJ13" s="1174"/>
      <c r="BK13" s="1174"/>
      <c r="BL13" s="1177"/>
      <c r="BM13" s="1174"/>
      <c r="BN13" s="1178"/>
      <c r="BO13" s="1140"/>
      <c r="BP13" s="1141"/>
      <c r="BQ13" s="1140"/>
      <c r="BR13" s="1140"/>
      <c r="BS13" s="1140"/>
      <c r="BT13" s="1141"/>
      <c r="BU13" s="1140"/>
      <c r="BV13" s="1140"/>
      <c r="BW13" s="1140"/>
      <c r="BX13" s="1141"/>
      <c r="BY13" s="1140"/>
      <c r="BZ13" s="1140"/>
      <c r="CA13" s="1140"/>
      <c r="CB13" s="1141"/>
      <c r="CC13" s="1140"/>
      <c r="CD13" s="1140"/>
    </row>
    <row r="14" spans="1:84" outlineLevel="1">
      <c r="A14" s="1128" t="s">
        <v>687</v>
      </c>
      <c r="B14" s="88"/>
      <c r="C14" s="88"/>
      <c r="D14" s="88"/>
      <c r="E14" s="88"/>
      <c r="F14" s="88"/>
      <c r="G14" s="88"/>
      <c r="H14" s="88"/>
      <c r="I14" s="1189">
        <v>0</v>
      </c>
      <c r="J14" s="1189">
        <v>0</v>
      </c>
      <c r="K14" s="1189">
        <v>0</v>
      </c>
      <c r="L14" s="90">
        <f t="shared" si="11"/>
        <v>0</v>
      </c>
      <c r="M14" s="984">
        <f t="shared" si="11"/>
        <v>50.04</v>
      </c>
      <c r="N14" s="90">
        <f t="shared" si="12"/>
        <v>60.047999999999995</v>
      </c>
      <c r="O14" s="90">
        <f t="shared" si="12"/>
        <v>69.055199999999985</v>
      </c>
      <c r="P14" s="486">
        <f t="shared" si="12"/>
        <v>77.687099999999987</v>
      </c>
      <c r="Q14" s="486">
        <f t="shared" si="12"/>
        <v>85.455809999999985</v>
      </c>
      <c r="R14" s="486">
        <f t="shared" si="12"/>
        <v>91.864995749999977</v>
      </c>
      <c r="S14" s="486">
        <f t="shared" si="12"/>
        <v>96.458245537499977</v>
      </c>
      <c r="T14" s="486"/>
      <c r="U14" s="445">
        <f t="shared" si="13"/>
        <v>8.714066925283892E-2</v>
      </c>
      <c r="V14" s="406"/>
      <c r="W14" s="406"/>
      <c r="X14" s="222" t="str">
        <f t="shared" si="9"/>
        <v/>
      </c>
    </row>
    <row r="15" spans="1:84" outlineLevel="1">
      <c r="A15" s="1128" t="s">
        <v>688</v>
      </c>
      <c r="B15" s="88"/>
      <c r="C15" s="88"/>
      <c r="D15" s="88"/>
      <c r="E15" s="88"/>
      <c r="F15" s="88"/>
      <c r="G15" s="88"/>
      <c r="H15" s="88"/>
      <c r="I15" s="1189">
        <v>0</v>
      </c>
      <c r="J15" s="1189">
        <v>0</v>
      </c>
      <c r="K15" s="1189">
        <v>0</v>
      </c>
      <c r="L15" s="90">
        <f t="shared" si="11"/>
        <v>4.46</v>
      </c>
      <c r="M15" s="984">
        <f t="shared" si="11"/>
        <v>5.5600000000000005</v>
      </c>
      <c r="N15" s="90">
        <f t="shared" si="12"/>
        <v>5.838000000000001</v>
      </c>
      <c r="O15" s="90">
        <f t="shared" si="12"/>
        <v>7.0056000000000012</v>
      </c>
      <c r="P15" s="486">
        <f t="shared" si="12"/>
        <v>8.3191500000000005</v>
      </c>
      <c r="Q15" s="486">
        <f t="shared" si="12"/>
        <v>9.7750012500000008</v>
      </c>
      <c r="R15" s="486">
        <f t="shared" si="12"/>
        <v>11.363438953125002</v>
      </c>
      <c r="S15" s="486">
        <f t="shared" si="12"/>
        <v>13.067954796093751</v>
      </c>
      <c r="T15" s="486"/>
      <c r="U15" s="445">
        <f t="shared" si="13"/>
        <v>0.16866643703934425</v>
      </c>
      <c r="V15" s="406"/>
      <c r="W15" s="406"/>
      <c r="X15" s="222" t="str">
        <f>IFERROR(IF((W15/R15)^(1/8)-1&lt;0,"",(W15/R15)^(1/8)-1),"")</f>
        <v/>
      </c>
    </row>
    <row r="16" spans="1:84" outlineLevel="1">
      <c r="A16" s="1128" t="s">
        <v>908</v>
      </c>
      <c r="B16" s="88"/>
      <c r="C16" s="88"/>
      <c r="D16" s="88"/>
      <c r="E16" s="88"/>
      <c r="F16" s="88"/>
      <c r="G16" s="88"/>
      <c r="H16" s="88"/>
      <c r="I16" s="1189">
        <v>0</v>
      </c>
      <c r="J16" s="1189">
        <v>0</v>
      </c>
      <c r="K16" s="1189">
        <v>0</v>
      </c>
      <c r="L16" s="90">
        <f>L$6*L31</f>
        <v>0</v>
      </c>
      <c r="M16" s="984">
        <v>0</v>
      </c>
      <c r="N16" s="90">
        <f>I17</f>
        <v>50</v>
      </c>
      <c r="O16" s="90">
        <f>N16*(1+O24)</f>
        <v>65</v>
      </c>
      <c r="P16" s="486">
        <f>O16*(1+P24)</f>
        <v>83.6875</v>
      </c>
      <c r="Q16" s="486">
        <f>P16*(1+Q24)</f>
        <v>106.70156249999999</v>
      </c>
      <c r="R16" s="486">
        <f>Q16*(1+R24)</f>
        <v>134.71072265625</v>
      </c>
      <c r="S16" s="486">
        <f>R16*(1+S24)</f>
        <v>168.38840332031251</v>
      </c>
      <c r="T16" s="486"/>
      <c r="U16" s="445">
        <f>(S16/O16)^0.25-1</f>
        <v>0.26867302423271577</v>
      </c>
      <c r="V16" s="406"/>
      <c r="W16" s="406"/>
      <c r="X16" s="222" t="str">
        <f t="shared" si="9"/>
        <v/>
      </c>
    </row>
    <row r="17" spans="1:80" outlineLevel="1">
      <c r="A17" s="1128" t="s">
        <v>693</v>
      </c>
      <c r="B17" s="88"/>
      <c r="C17" s="88"/>
      <c r="D17" s="88"/>
      <c r="E17" s="88"/>
      <c r="F17" s="88"/>
      <c r="G17" s="88"/>
      <c r="H17" s="88"/>
      <c r="I17" s="1189">
        <v>50</v>
      </c>
      <c r="J17" s="1189"/>
      <c r="K17" s="1189"/>
      <c r="L17" s="90"/>
      <c r="M17" s="658"/>
      <c r="N17" s="90">
        <f>I17</f>
        <v>50</v>
      </c>
      <c r="O17" s="90">
        <f>N17*(1+O25)+$I$17</f>
        <v>112.5</v>
      </c>
      <c r="P17" s="90">
        <f>O17*(1+P25)+$I$17</f>
        <v>189.21875</v>
      </c>
      <c r="Q17" s="90">
        <f>P17*(1+Q25)+$I$17</f>
        <v>281.79296875</v>
      </c>
      <c r="R17" s="90">
        <f>Q17*(1+R25)+$I$17</f>
        <v>391.67397460937497</v>
      </c>
      <c r="S17" s="90">
        <f>R17*(1+S25)+$I$17</f>
        <v>520.00876953124998</v>
      </c>
      <c r="T17" s="486"/>
      <c r="U17" s="537"/>
      <c r="V17" s="406"/>
      <c r="W17" s="406"/>
      <c r="X17" s="222"/>
    </row>
    <row r="18" spans="1:80" outlineLevel="1">
      <c r="A18" s="1166" t="s">
        <v>909</v>
      </c>
      <c r="B18" s="88"/>
      <c r="C18" s="88"/>
      <c r="D18" s="88"/>
      <c r="E18" s="88"/>
      <c r="F18" s="88"/>
      <c r="G18" s="88"/>
      <c r="H18" s="88"/>
      <c r="I18" s="274" t="s">
        <v>910</v>
      </c>
      <c r="J18" s="274"/>
      <c r="K18" s="274"/>
      <c r="L18" s="274"/>
      <c r="M18" s="1537">
        <f>M12/L12-1</f>
        <v>1.493273542600897</v>
      </c>
      <c r="N18" s="1538">
        <f t="shared" ref="N18:S18" si="14">N12/M12-1</f>
        <v>0.2883561151079137</v>
      </c>
      <c r="O18" s="1538">
        <f t="shared" si="14"/>
        <v>0.27607932701032767</v>
      </c>
      <c r="P18" s="1538">
        <f t="shared" si="14"/>
        <v>0.2417096675946584</v>
      </c>
      <c r="Q18" s="1538">
        <f t="shared" si="14"/>
        <v>0.21253207946659503</v>
      </c>
      <c r="R18" s="1538">
        <f t="shared" si="14"/>
        <v>0.1870681307617621</v>
      </c>
      <c r="S18" s="1538">
        <f t="shared" si="14"/>
        <v>0.16448412150571845</v>
      </c>
      <c r="T18" s="406" t="s">
        <v>421</v>
      </c>
      <c r="U18" s="1539">
        <f t="shared" ref="U18:V18" si="15">U20+U22</f>
        <v>716.32600000000002</v>
      </c>
      <c r="V18" s="1539">
        <f t="shared" si="15"/>
        <v>914.08879999999999</v>
      </c>
      <c r="W18" s="1539">
        <f t="shared" ref="W18:Z18" si="16">W20+W22</f>
        <v>1135.0329000000002</v>
      </c>
      <c r="X18" s="1539">
        <f t="shared" si="16"/>
        <v>1376.2638024999999</v>
      </c>
      <c r="Y18" s="1539">
        <f t="shared" si="16"/>
        <v>1633.7188994687499</v>
      </c>
      <c r="Z18" s="1539">
        <f t="shared" si="16"/>
        <v>1902.4397174351564</v>
      </c>
      <c r="AA18" s="1539"/>
      <c r="AB18" s="1539" t="s">
        <v>420</v>
      </c>
    </row>
    <row r="19" spans="1:80" outlineLevel="1">
      <c r="A19" s="1166"/>
      <c r="B19" s="88"/>
      <c r="C19" s="88"/>
      <c r="D19" s="88"/>
      <c r="E19" s="88"/>
      <c r="F19" s="88"/>
      <c r="G19" s="88"/>
      <c r="H19" s="88"/>
      <c r="I19" s="274"/>
      <c r="J19" s="274"/>
      <c r="K19" s="274"/>
      <c r="L19" s="274"/>
      <c r="M19" s="1192"/>
      <c r="N19" s="274"/>
      <c r="O19" s="274"/>
      <c r="P19" s="274"/>
      <c r="Q19" s="274"/>
      <c r="R19" s="274"/>
      <c r="S19" s="274"/>
      <c r="T19" s="406"/>
      <c r="U19" s="416"/>
      <c r="V19" s="416">
        <f t="shared" ref="V19" si="17">V18/U18-1</f>
        <v>0.27607932701032767</v>
      </c>
      <c r="W19" s="416">
        <f>W18/V18-1</f>
        <v>0.2417096675946584</v>
      </c>
      <c r="X19" s="416">
        <f t="shared" ref="X19:Z19" si="18">X18/P12-1</f>
        <v>0.21253207946659503</v>
      </c>
      <c r="Y19" s="416">
        <f t="shared" si="18"/>
        <v>0.1870681307617621</v>
      </c>
      <c r="Z19" s="416">
        <f t="shared" si="18"/>
        <v>0.16448412150571845</v>
      </c>
      <c r="AA19" s="406"/>
      <c r="AB19" s="406"/>
    </row>
    <row r="20" spans="1:80" outlineLevel="1">
      <c r="A20" s="873" t="s">
        <v>684</v>
      </c>
      <c r="B20" s="455"/>
      <c r="C20" s="455"/>
      <c r="D20" s="455"/>
      <c r="E20" s="455"/>
      <c r="F20" s="455"/>
      <c r="G20" s="455"/>
      <c r="H20" s="455"/>
      <c r="I20" s="456" t="s">
        <v>104</v>
      </c>
      <c r="J20" s="456" t="s">
        <v>104</v>
      </c>
      <c r="K20" s="456" t="s">
        <v>104</v>
      </c>
      <c r="L20" s="456" t="s">
        <v>104</v>
      </c>
      <c r="M20" s="845">
        <f>M12/L12-1</f>
        <v>1.493273542600897</v>
      </c>
      <c r="N20" s="421">
        <f>N12/M12-1</f>
        <v>0.2883561151079137</v>
      </c>
      <c r="O20" s="853">
        <f>CHOOSE('D. Sensivity &amp; Scenario'!$E$62,'D. Sensivity &amp; Scenario'!D115,'D. Sensivity &amp; Scenario'!D116,'D. Sensivity &amp; Scenario'!D117)</f>
        <v>0.27607932701032767</v>
      </c>
      <c r="P20" s="853">
        <f>CHOOSE('D. Sensivity &amp; Scenario'!$E$62,'D. Sensivity &amp; Scenario'!E115,'D. Sensivity &amp; Scenario'!E116,'D. Sensivity &amp; Scenario'!E117)</f>
        <v>0.2417096675946584</v>
      </c>
      <c r="Q20" s="853">
        <f>CHOOSE('D. Sensivity &amp; Scenario'!$E$62,'D. Sensivity &amp; Scenario'!F115,'D. Sensivity &amp; Scenario'!F116,'D. Sensivity &amp; Scenario'!F117)</f>
        <v>0.21253207946659503</v>
      </c>
      <c r="R20" s="853">
        <f>CHOOSE('D. Sensivity &amp; Scenario'!$E$62,'D. Sensivity &amp; Scenario'!G115,'D. Sensivity &amp; Scenario'!G116,'D. Sensivity &amp; Scenario'!G117)</f>
        <v>0.1870681307617621</v>
      </c>
      <c r="S20" s="853">
        <f>CHOOSE('D. Sensivity &amp; Scenario'!$E$62,'D. Sensivity &amp; Scenario'!H115,'D. Sensivity &amp; Scenario'!H116,'D. Sensivity &amp; Scenario'!H117)</f>
        <v>0.16448412150571845</v>
      </c>
      <c r="T20" s="452" t="s">
        <v>911</v>
      </c>
      <c r="U20" s="418">
        <f t="shared" ref="U20" si="19">SUM(N13:N16)</f>
        <v>666.32600000000002</v>
      </c>
      <c r="V20" s="418">
        <f t="shared" ref="V20" si="20">SUM(O13:O16)</f>
        <v>801.58879999999999</v>
      </c>
      <c r="W20" s="418">
        <f t="shared" ref="W20:Z20" si="21">SUM(P13:P16)</f>
        <v>945.81415000000004</v>
      </c>
      <c r="X20" s="418">
        <f t="shared" si="21"/>
        <v>1094.4708337499999</v>
      </c>
      <c r="Y20" s="418">
        <f t="shared" si="21"/>
        <v>1242.044924859375</v>
      </c>
      <c r="Z20" s="418">
        <f t="shared" si="21"/>
        <v>1382.4309479039064</v>
      </c>
      <c r="AA20" s="1161"/>
      <c r="AB20" s="1161"/>
      <c r="AC20" s="1131">
        <f>U20*(1+AC21)</f>
        <v>828.64135999999996</v>
      </c>
      <c r="AD20" s="1131">
        <f t="shared" ref="AD20:AG20" si="22">V20*(1+AD21)</f>
        <v>974.65922000000012</v>
      </c>
      <c r="AE20" s="1131">
        <f t="shared" si="22"/>
        <v>1124.2021705</v>
      </c>
      <c r="AF20" s="1131">
        <f t="shared" si="22"/>
        <v>1271.55974308125</v>
      </c>
      <c r="AG20" s="1131">
        <f t="shared" si="22"/>
        <v>1410.5081525128128</v>
      </c>
    </row>
    <row r="21" spans="1:80" outlineLevel="1">
      <c r="A21" s="1128" t="s">
        <v>686</v>
      </c>
      <c r="B21" s="88"/>
      <c r="C21" s="88"/>
      <c r="D21" s="88"/>
      <c r="E21" s="88"/>
      <c r="F21" s="88"/>
      <c r="G21" s="88"/>
      <c r="H21" s="88"/>
      <c r="I21" s="274" t="s">
        <v>104</v>
      </c>
      <c r="J21" s="274" t="s">
        <v>104</v>
      </c>
      <c r="K21" s="274" t="s">
        <v>104</v>
      </c>
      <c r="L21" s="274" t="s">
        <v>104</v>
      </c>
      <c r="M21" s="855">
        <f>M13/L13-1</f>
        <v>1.2897410085110281</v>
      </c>
      <c r="N21" s="1518">
        <v>0.1</v>
      </c>
      <c r="O21" s="1518">
        <v>0.2</v>
      </c>
      <c r="P21" s="1519">
        <f>O21-($O21-$S21)/4</f>
        <v>0.17500000000000002</v>
      </c>
      <c r="Q21" s="1519">
        <f t="shared" ref="Q21:R21" si="23">P21-($O21-$S21)/4</f>
        <v>0.15000000000000002</v>
      </c>
      <c r="R21" s="1519">
        <f t="shared" si="23"/>
        <v>0.12500000000000003</v>
      </c>
      <c r="S21" s="1520">
        <v>0.1</v>
      </c>
      <c r="T21" s="546"/>
      <c r="U21" s="416"/>
      <c r="V21" s="416">
        <f t="shared" ref="V21" si="24">V20/U20-1</f>
        <v>0.20299793194322291</v>
      </c>
      <c r="W21" s="416">
        <f>W20/V20-1</f>
        <v>0.17992435772555715</v>
      </c>
      <c r="X21" s="416">
        <f t="shared" ref="X21:Z21" si="25">X20/W20-1</f>
        <v>0.1571732498926981</v>
      </c>
      <c r="Y21" s="416">
        <f t="shared" si="25"/>
        <v>0.13483601989076321</v>
      </c>
      <c r="Z21" s="416">
        <f t="shared" si="25"/>
        <v>0.11302813628937458</v>
      </c>
      <c r="AA21" s="402"/>
      <c r="AB21" s="402"/>
      <c r="AC21" s="57">
        <f>V21*1.2</f>
        <v>0.24359751833186749</v>
      </c>
      <c r="AD21" s="57">
        <f t="shared" ref="AD21:AG21" si="26">W21*1.2</f>
        <v>0.21590922927066858</v>
      </c>
      <c r="AE21" s="57">
        <f t="shared" si="26"/>
        <v>0.18860789987123772</v>
      </c>
      <c r="AF21" s="57">
        <f t="shared" si="26"/>
        <v>0.16180322386891585</v>
      </c>
      <c r="AG21" s="57">
        <f t="shared" si="26"/>
        <v>0.13563376354724949</v>
      </c>
    </row>
    <row r="22" spans="1:80" outlineLevel="1">
      <c r="A22" s="1128" t="s">
        <v>687</v>
      </c>
      <c r="B22" s="88"/>
      <c r="C22" s="88"/>
      <c r="D22" s="88"/>
      <c r="E22" s="88"/>
      <c r="F22" s="88"/>
      <c r="G22" s="88"/>
      <c r="H22" s="88"/>
      <c r="I22" s="274" t="s">
        <v>104</v>
      </c>
      <c r="J22" s="274" t="s">
        <v>104</v>
      </c>
      <c r="K22" s="274" t="s">
        <v>104</v>
      </c>
      <c r="L22" s="274" t="s">
        <v>104</v>
      </c>
      <c r="M22" s="855" t="s">
        <v>104</v>
      </c>
      <c r="N22" s="1518">
        <v>0.2</v>
      </c>
      <c r="O22" s="1518">
        <v>0.15</v>
      </c>
      <c r="P22" s="1519">
        <f>O22-($O22-$S22)/4</f>
        <v>0.125</v>
      </c>
      <c r="Q22" s="1519">
        <f t="shared" ref="Q22:R22" si="27">P22-($O22-$S22)/4</f>
        <v>0.1</v>
      </c>
      <c r="R22" s="1519">
        <f t="shared" si="27"/>
        <v>7.5000000000000011E-2</v>
      </c>
      <c r="S22" s="1520">
        <v>0.05</v>
      </c>
      <c r="T22" s="452" t="s">
        <v>912</v>
      </c>
      <c r="U22" s="418">
        <f t="shared" ref="U22" si="28">N17</f>
        <v>50</v>
      </c>
      <c r="V22" s="418">
        <f t="shared" ref="V22" si="29">O17</f>
        <v>112.5</v>
      </c>
      <c r="W22" s="418">
        <f t="shared" ref="W22:Z22" si="30">P17</f>
        <v>189.21875</v>
      </c>
      <c r="X22" s="418">
        <f t="shared" si="30"/>
        <v>281.79296875</v>
      </c>
      <c r="Y22" s="418">
        <f t="shared" si="30"/>
        <v>391.67397460937497</v>
      </c>
      <c r="Z22" s="418">
        <f t="shared" si="30"/>
        <v>520.00876953124998</v>
      </c>
      <c r="AA22" s="1161"/>
      <c r="AB22" s="1161"/>
      <c r="AC22" s="415">
        <f>V22+$I$17</f>
        <v>162.5</v>
      </c>
      <c r="AD22" s="415">
        <f t="shared" ref="AD22:AG22" si="31">W22+$I$17</f>
        <v>239.21875</v>
      </c>
      <c r="AE22" s="415">
        <f t="shared" si="31"/>
        <v>331.79296875</v>
      </c>
      <c r="AF22" s="415">
        <f t="shared" si="31"/>
        <v>441.67397460937497</v>
      </c>
      <c r="AG22" s="415">
        <f t="shared" si="31"/>
        <v>570.00876953124998</v>
      </c>
    </row>
    <row r="23" spans="1:80" outlineLevel="1">
      <c r="A23" s="1128" t="s">
        <v>688</v>
      </c>
      <c r="B23" s="88"/>
      <c r="C23" s="88"/>
      <c r="D23" s="88"/>
      <c r="E23" s="88"/>
      <c r="F23" s="88"/>
      <c r="G23" s="88"/>
      <c r="H23" s="88"/>
      <c r="I23" s="274" t="s">
        <v>104</v>
      </c>
      <c r="J23" s="274" t="s">
        <v>104</v>
      </c>
      <c r="K23" s="274" t="s">
        <v>104</v>
      </c>
      <c r="L23" s="274" t="s">
        <v>104</v>
      </c>
      <c r="M23" s="855">
        <f>M15/L15</f>
        <v>1.2466367713004485</v>
      </c>
      <c r="N23" s="1518">
        <v>0.05</v>
      </c>
      <c r="O23" s="1518">
        <v>0.2</v>
      </c>
      <c r="P23" s="1519">
        <f>O23-($O23-$S23)/4</f>
        <v>0.1875</v>
      </c>
      <c r="Q23" s="1519">
        <f t="shared" ref="Q23:R23" si="32">P23-($O23-$S23)/4</f>
        <v>0.17499999999999999</v>
      </c>
      <c r="R23" s="1519">
        <f t="shared" si="32"/>
        <v>0.16249999999999998</v>
      </c>
      <c r="S23" s="1520">
        <v>0.15</v>
      </c>
      <c r="T23" s="927"/>
      <c r="U23" s="416"/>
      <c r="V23" s="416">
        <v>0.25</v>
      </c>
      <c r="W23" s="416">
        <v>0.23749999999999999</v>
      </c>
      <c r="X23" s="416">
        <v>0.22499999999999998</v>
      </c>
      <c r="Y23" s="416">
        <v>0.21249999999999997</v>
      </c>
      <c r="Z23" s="416">
        <v>0.2</v>
      </c>
      <c r="AC23" s="416">
        <v>0.25</v>
      </c>
      <c r="AD23" s="416">
        <v>0.23749999999999999</v>
      </c>
      <c r="AE23" s="416">
        <v>0.22499999999999998</v>
      </c>
      <c r="AF23" s="416">
        <v>0.21249999999999997</v>
      </c>
      <c r="AG23" s="416">
        <v>0.2</v>
      </c>
    </row>
    <row r="24" spans="1:80" outlineLevel="1">
      <c r="A24" s="1128" t="s">
        <v>908</v>
      </c>
      <c r="B24" s="88"/>
      <c r="C24" s="88"/>
      <c r="D24" s="88"/>
      <c r="E24" s="88"/>
      <c r="F24" s="88"/>
      <c r="G24" s="88"/>
      <c r="H24" s="88"/>
      <c r="I24" s="274" t="s">
        <v>104</v>
      </c>
      <c r="J24" s="274" t="s">
        <v>104</v>
      </c>
      <c r="K24" s="274" t="s">
        <v>104</v>
      </c>
      <c r="L24" s="274" t="s">
        <v>104</v>
      </c>
      <c r="M24" s="855" t="s">
        <v>104</v>
      </c>
      <c r="N24" s="1519" t="s">
        <v>104</v>
      </c>
      <c r="O24" s="1518">
        <v>0.3</v>
      </c>
      <c r="P24" s="1519">
        <f>O24-($O24-$S24)/4</f>
        <v>0.28749999999999998</v>
      </c>
      <c r="Q24" s="1519">
        <f t="shared" ref="Q24:R25" si="33">P24-($O24-$S24)/4</f>
        <v>0.27499999999999997</v>
      </c>
      <c r="R24" s="1519">
        <f t="shared" si="33"/>
        <v>0.26249999999999996</v>
      </c>
      <c r="S24" s="1518">
        <v>0.25</v>
      </c>
      <c r="T24" s="927"/>
      <c r="X24" s="222" t="str">
        <f t="shared" si="9"/>
        <v/>
      </c>
    </row>
    <row r="25" spans="1:80" outlineLevel="1">
      <c r="A25" s="1128" t="s">
        <v>693</v>
      </c>
      <c r="B25" s="88"/>
      <c r="C25" s="88"/>
      <c r="D25" s="88"/>
      <c r="E25" s="88"/>
      <c r="F25" s="88"/>
      <c r="G25" s="88"/>
      <c r="H25" s="88"/>
      <c r="I25" s="274"/>
      <c r="J25" s="274"/>
      <c r="K25" s="274"/>
      <c r="L25" s="274"/>
      <c r="M25" s="855"/>
      <c r="N25" s="1519" t="s">
        <v>104</v>
      </c>
      <c r="O25" s="1518">
        <v>0.25</v>
      </c>
      <c r="P25" s="1519">
        <f>O25-($O25-$S25)/4</f>
        <v>0.23749999999999999</v>
      </c>
      <c r="Q25" s="1519">
        <f t="shared" si="33"/>
        <v>0.22499999999999998</v>
      </c>
      <c r="R25" s="1519">
        <f t="shared" si="33"/>
        <v>0.21249999999999997</v>
      </c>
      <c r="S25" s="1518">
        <v>0.2</v>
      </c>
      <c r="T25" s="927"/>
      <c r="X25" s="222" t="str">
        <f t="shared" si="9"/>
        <v/>
      </c>
    </row>
    <row r="26" spans="1:80" outlineLevel="1">
      <c r="A26" s="1166"/>
      <c r="B26" s="88"/>
      <c r="C26" s="88"/>
      <c r="D26" s="88"/>
      <c r="E26" s="88"/>
      <c r="F26" s="88"/>
      <c r="G26" s="88"/>
      <c r="H26" s="88"/>
      <c r="I26" s="274"/>
      <c r="J26" s="274"/>
      <c r="K26" s="274"/>
      <c r="L26" s="274"/>
      <c r="M26" s="1192"/>
      <c r="N26" s="274"/>
      <c r="O26" s="274"/>
      <c r="P26" s="274"/>
      <c r="Q26" s="274"/>
      <c r="R26" s="274"/>
      <c r="S26" s="274"/>
      <c r="T26" s="302"/>
      <c r="X26" s="222" t="str">
        <f t="shared" si="9"/>
        <v/>
      </c>
    </row>
    <row r="27" spans="1:80" s="88" customFormat="1" outlineLevel="1">
      <c r="A27" s="873" t="s">
        <v>675</v>
      </c>
      <c r="B27" s="835"/>
      <c r="C27" s="835"/>
      <c r="D27" s="835"/>
      <c r="E27" s="835"/>
      <c r="F27" s="835"/>
      <c r="G27" s="835"/>
      <c r="H27" s="835"/>
      <c r="I27" s="456" t="s">
        <v>104</v>
      </c>
      <c r="J27" s="456" t="s">
        <v>104</v>
      </c>
      <c r="K27" s="456" t="s">
        <v>104</v>
      </c>
      <c r="L27" s="421">
        <f>SUM(L28:L31)</f>
        <v>1</v>
      </c>
      <c r="M27" s="845">
        <f>SUM(M28:M31)</f>
        <v>1</v>
      </c>
      <c r="N27" s="421">
        <f>SUM(N28:N32)</f>
        <v>0.99999999999999989</v>
      </c>
      <c r="O27" s="421">
        <f t="shared" ref="O27:S27" si="34">SUM(O28:O32)</f>
        <v>1</v>
      </c>
      <c r="P27" s="421">
        <f t="shared" si="34"/>
        <v>0.99999999999999978</v>
      </c>
      <c r="Q27" s="421">
        <f t="shared" si="34"/>
        <v>1</v>
      </c>
      <c r="R27" s="421">
        <f t="shared" si="34"/>
        <v>0.99999999999999989</v>
      </c>
      <c r="S27" s="421">
        <f t="shared" si="34"/>
        <v>0.99999999999999978</v>
      </c>
      <c r="T27" s="1122"/>
      <c r="U27" s="1181"/>
      <c r="V27" s="1181"/>
      <c r="W27" s="1181"/>
      <c r="X27" s="1118" t="str">
        <f t="shared" si="9"/>
        <v/>
      </c>
      <c r="Y27" s="1181"/>
      <c r="AG27" s="1193"/>
      <c r="AK27" s="1193"/>
      <c r="AO27" s="1193"/>
      <c r="AS27" s="1193"/>
      <c r="AW27" s="1193"/>
      <c r="BL27" s="1193"/>
      <c r="BP27" s="1193"/>
      <c r="BT27" s="1193"/>
      <c r="BX27" s="1193"/>
      <c r="CB27" s="1193"/>
    </row>
    <row r="28" spans="1:80" outlineLevel="1">
      <c r="A28" s="1128" t="s">
        <v>686</v>
      </c>
      <c r="B28" s="88"/>
      <c r="C28" s="88"/>
      <c r="D28" s="88"/>
      <c r="E28" s="88"/>
      <c r="F28" s="88"/>
      <c r="G28" s="88"/>
      <c r="H28" s="88"/>
      <c r="I28" s="274" t="s">
        <v>104</v>
      </c>
      <c r="J28" s="274" t="s">
        <v>104</v>
      </c>
      <c r="K28" s="274" t="s">
        <v>104</v>
      </c>
      <c r="L28" s="1195">
        <v>0.98</v>
      </c>
      <c r="M28" s="1196">
        <v>0.9</v>
      </c>
      <c r="N28" s="1195">
        <f t="shared" ref="N28:S32" si="35">N13/N$12</f>
        <v>0.76842108202131432</v>
      </c>
      <c r="O28" s="1195">
        <f t="shared" si="35"/>
        <v>0.72260813172637062</v>
      </c>
      <c r="P28" s="1195">
        <f t="shared" si="35"/>
        <v>0.6837866990463447</v>
      </c>
      <c r="Q28" s="1195">
        <f t="shared" si="35"/>
        <v>0.6485228038248867</v>
      </c>
      <c r="R28" s="1195">
        <f t="shared" si="35"/>
        <v>0.61461354693669357</v>
      </c>
      <c r="S28" s="1195">
        <f t="shared" si="35"/>
        <v>0.58057889252811334</v>
      </c>
      <c r="T28" s="1197"/>
      <c r="X28" s="222" t="str">
        <f t="shared" si="9"/>
        <v/>
      </c>
    </row>
    <row r="29" spans="1:80" outlineLevel="1">
      <c r="A29" s="1128" t="s">
        <v>687</v>
      </c>
      <c r="B29" s="88"/>
      <c r="C29" s="88"/>
      <c r="D29" s="88"/>
      <c r="E29" s="88"/>
      <c r="F29" s="88"/>
      <c r="G29" s="88"/>
      <c r="H29" s="88"/>
      <c r="I29" s="274" t="s">
        <v>104</v>
      </c>
      <c r="J29" s="274" t="s">
        <v>104</v>
      </c>
      <c r="K29" s="274" t="s">
        <v>104</v>
      </c>
      <c r="L29" s="1195">
        <v>0</v>
      </c>
      <c r="M29" s="1196">
        <v>0.09</v>
      </c>
      <c r="N29" s="1195">
        <f t="shared" si="35"/>
        <v>8.3827754402325191E-2</v>
      </c>
      <c r="O29" s="1195">
        <f t="shared" si="35"/>
        <v>7.5545395589575084E-2</v>
      </c>
      <c r="P29" s="1195">
        <f t="shared" si="35"/>
        <v>6.8444800146321733E-2</v>
      </c>
      <c r="Q29" s="1195">
        <f t="shared" si="35"/>
        <v>6.2092608876850842E-2</v>
      </c>
      <c r="R29" s="1195">
        <f t="shared" si="35"/>
        <v>5.6230601102718769E-2</v>
      </c>
      <c r="S29" s="1195">
        <f t="shared" si="35"/>
        <v>5.070239264534683E-2</v>
      </c>
      <c r="T29" s="1197"/>
      <c r="X29" s="222" t="str">
        <f t="shared" si="9"/>
        <v/>
      </c>
    </row>
    <row r="30" spans="1:80" outlineLevel="1">
      <c r="A30" s="1128" t="s">
        <v>688</v>
      </c>
      <c r="B30" s="88"/>
      <c r="C30" s="88"/>
      <c r="D30" s="88"/>
      <c r="E30" s="88"/>
      <c r="F30" s="88"/>
      <c r="G30" s="88"/>
      <c r="H30" s="88"/>
      <c r="I30" s="274" t="s">
        <v>104</v>
      </c>
      <c r="J30" s="274" t="s">
        <v>104</v>
      </c>
      <c r="K30" s="274" t="s">
        <v>104</v>
      </c>
      <c r="L30" s="1195">
        <v>0.02</v>
      </c>
      <c r="M30" s="1196">
        <v>0.01</v>
      </c>
      <c r="N30" s="1195">
        <f t="shared" si="35"/>
        <v>8.1499205668927287E-3</v>
      </c>
      <c r="O30" s="1195">
        <f t="shared" si="35"/>
        <v>7.6640256395221137E-3</v>
      </c>
      <c r="P30" s="1195">
        <f t="shared" si="35"/>
        <v>7.3294351203388019E-3</v>
      </c>
      <c r="Q30" s="1195">
        <f t="shared" si="35"/>
        <v>7.1025636453153768E-3</v>
      </c>
      <c r="R30" s="1195">
        <f t="shared" si="35"/>
        <v>6.9555655852546888E-3</v>
      </c>
      <c r="S30" s="1195">
        <f t="shared" si="35"/>
        <v>6.8690506597033161E-3</v>
      </c>
      <c r="T30" s="1197"/>
      <c r="X30" s="222" t="str">
        <f>IFERROR(IF((W30/R30)^(1/8)-1&lt;0,"",(W30/R30)^(1/8)-1),"")</f>
        <v/>
      </c>
    </row>
    <row r="31" spans="1:80" outlineLevel="1">
      <c r="A31" s="1128" t="s">
        <v>908</v>
      </c>
      <c r="B31" s="88"/>
      <c r="C31" s="88"/>
      <c r="D31" s="88"/>
      <c r="E31" s="88"/>
      <c r="F31" s="88"/>
      <c r="G31" s="88"/>
      <c r="H31" s="88"/>
      <c r="I31" s="274" t="s">
        <v>104</v>
      </c>
      <c r="J31" s="274" t="s">
        <v>104</v>
      </c>
      <c r="K31" s="274" t="s">
        <v>104</v>
      </c>
      <c r="L31" s="1195">
        <v>0</v>
      </c>
      <c r="M31" s="1196">
        <v>0</v>
      </c>
      <c r="N31" s="1195">
        <f t="shared" si="35"/>
        <v>6.9800621504733873E-2</v>
      </c>
      <c r="O31" s="1195">
        <f t="shared" si="35"/>
        <v>7.1109065114899117E-2</v>
      </c>
      <c r="P31" s="1195">
        <f t="shared" si="35"/>
        <v>7.3731342941689162E-2</v>
      </c>
      <c r="Q31" s="1195">
        <f t="shared" si="35"/>
        <v>7.7529876398823624E-2</v>
      </c>
      <c r="R31" s="1195">
        <f t="shared" si="35"/>
        <v>8.2456487894003686E-2</v>
      </c>
      <c r="S31" s="1195">
        <f t="shared" si="35"/>
        <v>8.8511820783121309E-2</v>
      </c>
      <c r="T31" s="1197"/>
      <c r="X31" s="222" t="str">
        <f t="shared" si="9"/>
        <v/>
      </c>
    </row>
    <row r="32" spans="1:80" outlineLevel="1">
      <c r="A32" s="1128" t="s">
        <v>693</v>
      </c>
      <c r="B32" s="88"/>
      <c r="C32" s="88"/>
      <c r="D32" s="88"/>
      <c r="E32" s="88"/>
      <c r="F32" s="88"/>
      <c r="G32" s="88"/>
      <c r="H32" s="88"/>
      <c r="I32" s="274"/>
      <c r="J32" s="274"/>
      <c r="K32" s="274"/>
      <c r="L32" s="1195"/>
      <c r="M32" s="1196"/>
      <c r="N32" s="1195">
        <f t="shared" si="35"/>
        <v>6.9800621504733873E-2</v>
      </c>
      <c r="O32" s="1195">
        <f t="shared" si="35"/>
        <v>0.1230733819296331</v>
      </c>
      <c r="P32" s="1195">
        <f t="shared" si="35"/>
        <v>0.16670772274530543</v>
      </c>
      <c r="Q32" s="1195">
        <f t="shared" si="35"/>
        <v>0.20475214725412355</v>
      </c>
      <c r="R32" s="1195">
        <f t="shared" si="35"/>
        <v>0.23974379848132923</v>
      </c>
      <c r="S32" s="1195">
        <f t="shared" si="35"/>
        <v>0.27333784338371508</v>
      </c>
      <c r="T32" s="1197"/>
      <c r="X32" s="222"/>
    </row>
    <row r="33" spans="1:84">
      <c r="B33" s="88"/>
      <c r="C33" s="88"/>
      <c r="D33" s="88"/>
      <c r="E33" s="88"/>
      <c r="F33" s="88"/>
      <c r="G33" s="88"/>
      <c r="H33" s="88"/>
      <c r="I33" s="274"/>
      <c r="J33" s="274"/>
      <c r="K33" s="274"/>
      <c r="L33" s="1195"/>
      <c r="M33" s="1196"/>
      <c r="N33" s="1195"/>
      <c r="O33" s="1195"/>
      <c r="P33" s="1195"/>
      <c r="Q33" s="1195"/>
      <c r="R33" s="1195"/>
      <c r="S33" s="1195"/>
      <c r="T33" s="1197"/>
      <c r="X33" s="222"/>
    </row>
    <row r="34" spans="1:84">
      <c r="A34" s="864" t="s">
        <v>913</v>
      </c>
      <c r="B34" s="403"/>
      <c r="C34" s="403"/>
      <c r="D34" s="403"/>
      <c r="E34" s="403"/>
      <c r="F34" s="403"/>
      <c r="G34" s="403"/>
      <c r="H34" s="403"/>
      <c r="I34" s="404"/>
      <c r="J34" s="404"/>
      <c r="K34" s="404"/>
      <c r="L34" s="404"/>
      <c r="M34" s="838"/>
      <c r="N34" s="448"/>
      <c r="O34" s="448"/>
      <c r="P34" s="448"/>
      <c r="Q34" s="448"/>
      <c r="R34" s="448"/>
      <c r="S34" s="448"/>
      <c r="T34" s="883"/>
      <c r="X34" s="222"/>
    </row>
    <row r="35" spans="1:84" outlineLevel="1">
      <c r="M35" s="1310">
        <f>M36/2</f>
        <v>64.528750000000002</v>
      </c>
      <c r="U35" s="457"/>
      <c r="V35" s="457"/>
      <c r="W35" s="457"/>
      <c r="X35" s="222"/>
      <c r="Y35" s="401"/>
    </row>
    <row r="36" spans="1:84" s="454" customFormat="1" outlineLevel="1">
      <c r="A36" s="874" t="s">
        <v>673</v>
      </c>
      <c r="B36" s="420"/>
      <c r="C36" s="420"/>
      <c r="D36" s="420"/>
      <c r="E36" s="420"/>
      <c r="F36" s="420"/>
      <c r="G36" s="420"/>
      <c r="H36" s="420"/>
      <c r="I36" s="407">
        <v>76</v>
      </c>
      <c r="J36" s="407">
        <v>98.8</v>
      </c>
      <c r="K36" s="407">
        <v>123.5</v>
      </c>
      <c r="L36" s="407">
        <v>117.32499999999999</v>
      </c>
      <c r="M36" s="849">
        <v>129.0575</v>
      </c>
      <c r="N36" s="407">
        <f>SUM(N37:N38)</f>
        <v>322.64375000000001</v>
      </c>
      <c r="O36" s="407">
        <f t="shared" ref="O36:S36" si="36">SUM(O37:O38)</f>
        <v>467.17250000000001</v>
      </c>
      <c r="P36" s="407">
        <f t="shared" si="36"/>
        <v>638.76734375000001</v>
      </c>
      <c r="Q36" s="407">
        <f t="shared" si="36"/>
        <v>839.50162890625006</v>
      </c>
      <c r="R36" s="407">
        <f t="shared" si="36"/>
        <v>1070.8843936035157</v>
      </c>
      <c r="S36" s="407">
        <f t="shared" si="36"/>
        <v>1333.660599519043</v>
      </c>
      <c r="T36" s="537"/>
      <c r="U36" s="445">
        <f>(S36/O36)^0.25-1</f>
        <v>0.29984633107974945</v>
      </c>
      <c r="V36" s="428"/>
      <c r="W36" s="428"/>
      <c r="X36" s="222"/>
      <c r="Y36" s="427"/>
      <c r="AB36" s="1198"/>
      <c r="AC36" s="1198"/>
      <c r="AD36" s="1191"/>
      <c r="AE36" s="1199"/>
      <c r="AF36" s="1199"/>
      <c r="AG36" s="1200"/>
      <c r="AH36" s="1199"/>
      <c r="AI36" s="1201"/>
      <c r="AJ36" s="1191"/>
      <c r="AK36" s="1202"/>
      <c r="AL36" s="1191"/>
      <c r="AM36" s="1191"/>
      <c r="AN36" s="1191"/>
      <c r="AO36" s="1202"/>
      <c r="AP36" s="1191"/>
      <c r="AQ36" s="1191"/>
      <c r="AR36" s="1191"/>
      <c r="AS36" s="1202"/>
      <c r="AT36" s="1191"/>
      <c r="AU36" s="1191"/>
      <c r="AV36" s="1191"/>
      <c r="AW36" s="1202"/>
      <c r="AX36" s="1191"/>
      <c r="AY36" s="1191"/>
      <c r="AZ36" s="1191"/>
      <c r="BA36" s="1191"/>
      <c r="BB36" s="1191"/>
      <c r="BC36" s="1191"/>
      <c r="BD36" s="1191"/>
      <c r="BE36" s="1191"/>
      <c r="BF36" s="1191"/>
      <c r="BG36" s="1191"/>
      <c r="BH36" s="1191"/>
      <c r="BI36" s="1191"/>
      <c r="BJ36" s="1199"/>
      <c r="BK36" s="1199"/>
      <c r="BL36" s="1200"/>
      <c r="BM36" s="1199"/>
      <c r="BN36" s="1201"/>
      <c r="BO36" s="1191"/>
      <c r="BP36" s="1202"/>
      <c r="BQ36" s="1191"/>
      <c r="BR36" s="1191"/>
      <c r="BS36" s="1191"/>
      <c r="BT36" s="1202"/>
      <c r="BU36" s="1191"/>
      <c r="BV36" s="1191"/>
      <c r="BW36" s="1191"/>
      <c r="BX36" s="1202"/>
      <c r="BY36" s="1191"/>
      <c r="BZ36" s="1191"/>
      <c r="CA36" s="1191"/>
      <c r="CB36" s="1202"/>
      <c r="CC36" s="1191"/>
      <c r="CD36" s="1191"/>
    </row>
    <row r="37" spans="1:84" outlineLevel="1">
      <c r="A37" s="1203" t="s">
        <v>692</v>
      </c>
      <c r="I37" s="117"/>
      <c r="J37" s="117"/>
      <c r="K37" s="117"/>
      <c r="L37" s="117"/>
      <c r="M37" s="850">
        <f>M36</f>
        <v>129.0575</v>
      </c>
      <c r="N37" s="117">
        <f>M37*(1+N42)</f>
        <v>322.64375000000001</v>
      </c>
      <c r="O37" s="117">
        <f t="shared" ref="O37:S37" si="37">N37*(1+O42)</f>
        <v>387.17250000000001</v>
      </c>
      <c r="P37" s="604">
        <f t="shared" si="37"/>
        <v>459.76734375000001</v>
      </c>
      <c r="Q37" s="604">
        <f t="shared" si="37"/>
        <v>540.22662890625008</v>
      </c>
      <c r="R37" s="604">
        <f t="shared" si="37"/>
        <v>628.01345610351575</v>
      </c>
      <c r="S37" s="604">
        <f t="shared" si="37"/>
        <v>722.21547451904303</v>
      </c>
      <c r="T37" s="34"/>
      <c r="U37" s="537"/>
      <c r="X37" s="222"/>
    </row>
    <row r="38" spans="1:84" s="402" customFormat="1" outlineLevel="1">
      <c r="A38" s="1203" t="s">
        <v>693</v>
      </c>
      <c r="B38" s="303"/>
      <c r="C38" s="303"/>
      <c r="D38" s="303"/>
      <c r="E38" s="303"/>
      <c r="F38" s="303"/>
      <c r="G38" s="303"/>
      <c r="H38" s="303"/>
      <c r="I38" s="117">
        <v>40</v>
      </c>
      <c r="J38" s="117"/>
      <c r="K38" s="117"/>
      <c r="L38" s="117"/>
      <c r="M38" s="850"/>
      <c r="N38" s="3"/>
      <c r="O38" s="3">
        <f>N38*(1+O43)+$I$38*2</f>
        <v>80</v>
      </c>
      <c r="P38" s="3">
        <f t="shared" ref="P38:S38" si="38">O38*(1+P43)+$I$38*2</f>
        <v>179</v>
      </c>
      <c r="Q38" s="3">
        <f t="shared" si="38"/>
        <v>299.27499999999998</v>
      </c>
      <c r="R38" s="3">
        <f t="shared" si="38"/>
        <v>442.87093749999997</v>
      </c>
      <c r="S38" s="3">
        <f t="shared" si="38"/>
        <v>611.44512499999996</v>
      </c>
      <c r="T38" s="34"/>
      <c r="U38" s="537"/>
      <c r="X38" s="222"/>
      <c r="Z38" s="43"/>
      <c r="AA38" s="43"/>
      <c r="AB38" s="43"/>
      <c r="AC38" s="43"/>
      <c r="AD38" s="43"/>
      <c r="AE38" s="43"/>
      <c r="AF38" s="43"/>
      <c r="AG38" s="1130"/>
      <c r="AH38" s="43"/>
      <c r="AI38" s="43"/>
      <c r="AJ38" s="43"/>
      <c r="AK38" s="1130"/>
      <c r="AL38" s="43"/>
      <c r="AM38" s="43"/>
      <c r="AN38" s="43"/>
      <c r="AO38" s="1130"/>
      <c r="AP38" s="43"/>
      <c r="AQ38" s="43"/>
      <c r="AR38" s="43"/>
      <c r="AS38" s="1130"/>
      <c r="AT38" s="43"/>
      <c r="AU38" s="43"/>
      <c r="AV38" s="43"/>
      <c r="AW38" s="1130"/>
      <c r="AX38" s="43"/>
      <c r="AY38" s="43"/>
      <c r="AZ38" s="43"/>
      <c r="BA38" s="43"/>
      <c r="BB38" s="43"/>
      <c r="BC38" s="43"/>
      <c r="BD38" s="43"/>
      <c r="BE38" s="43"/>
      <c r="BF38" s="43"/>
      <c r="BG38" s="43"/>
      <c r="BH38" s="43"/>
      <c r="BI38" s="43"/>
      <c r="BJ38" s="43"/>
      <c r="BK38" s="43"/>
      <c r="BL38" s="1130"/>
      <c r="BM38" s="43"/>
      <c r="BN38" s="43"/>
      <c r="BO38" s="43"/>
      <c r="BP38" s="1130"/>
      <c r="BQ38" s="43"/>
      <c r="BR38" s="43"/>
      <c r="BS38" s="43"/>
      <c r="BT38" s="1130"/>
      <c r="BU38" s="43"/>
      <c r="BV38" s="43"/>
      <c r="BW38" s="43"/>
      <c r="BX38" s="1130"/>
      <c r="BY38" s="43"/>
      <c r="BZ38" s="43"/>
      <c r="CA38" s="43"/>
      <c r="CB38" s="1130"/>
      <c r="CC38" s="43"/>
      <c r="CD38" s="43"/>
      <c r="CE38" s="43"/>
      <c r="CF38" s="43"/>
    </row>
    <row r="39" spans="1:84" s="402" customFormat="1" outlineLevel="1">
      <c r="A39" s="1166" t="s">
        <v>909</v>
      </c>
      <c r="B39" s="88"/>
      <c r="C39" s="88"/>
      <c r="D39" s="88"/>
      <c r="E39" s="88"/>
      <c r="F39" s="88"/>
      <c r="G39" s="88"/>
      <c r="H39" s="88"/>
      <c r="I39" s="274" t="s">
        <v>914</v>
      </c>
      <c r="J39"/>
      <c r="K39"/>
      <c r="L39"/>
      <c r="M39" s="1204"/>
      <c r="N39" s="1"/>
      <c r="O39" s="1"/>
      <c r="P39" s="1"/>
      <c r="Q39" s="1"/>
      <c r="R39" s="1"/>
      <c r="S39" s="1"/>
      <c r="T39" s="1"/>
      <c r="U39" s="537"/>
      <c r="X39" s="222"/>
      <c r="Z39" s="43"/>
      <c r="AA39" s="43"/>
      <c r="AB39" s="43"/>
      <c r="AC39" s="43"/>
      <c r="AD39" s="43"/>
      <c r="AE39" s="43"/>
      <c r="AF39" s="43"/>
      <c r="AG39" s="1130"/>
      <c r="AH39" s="43"/>
      <c r="AI39" s="43"/>
      <c r="AJ39" s="43"/>
      <c r="AK39" s="1130"/>
      <c r="AL39" s="43"/>
      <c r="AM39" s="43"/>
      <c r="AN39" s="43"/>
      <c r="AO39" s="1130"/>
      <c r="AP39" s="43"/>
      <c r="AQ39" s="43"/>
      <c r="AR39" s="43"/>
      <c r="AS39" s="1130"/>
      <c r="AT39" s="43"/>
      <c r="AU39" s="43"/>
      <c r="AV39" s="43"/>
      <c r="AW39" s="1130"/>
      <c r="AX39" s="43"/>
      <c r="AY39" s="43"/>
      <c r="AZ39" s="43"/>
      <c r="BA39" s="43"/>
      <c r="BB39" s="43"/>
      <c r="BC39" s="43"/>
      <c r="BD39" s="43"/>
      <c r="BE39" s="43"/>
      <c r="BF39" s="43"/>
      <c r="BG39" s="43"/>
      <c r="BH39" s="43"/>
      <c r="BI39" s="43"/>
      <c r="BJ39" s="43"/>
      <c r="BK39" s="43"/>
      <c r="BL39" s="1130"/>
      <c r="BM39" s="43"/>
      <c r="BN39" s="43"/>
      <c r="BO39" s="43"/>
      <c r="BP39" s="1130"/>
      <c r="BQ39" s="43"/>
      <c r="BR39" s="43"/>
      <c r="BS39" s="43"/>
      <c r="BT39" s="1130"/>
      <c r="BU39" s="43"/>
      <c r="BV39" s="43"/>
      <c r="BW39" s="43"/>
      <c r="BX39" s="1130"/>
      <c r="BY39" s="43"/>
      <c r="BZ39" s="43"/>
      <c r="CA39" s="43"/>
      <c r="CB39" s="1130"/>
      <c r="CC39" s="43"/>
      <c r="CD39" s="43"/>
      <c r="CE39" s="43"/>
      <c r="CF39" s="43"/>
    </row>
    <row r="40" spans="1:84" s="402" customFormat="1" outlineLevel="1">
      <c r="A40" s="1203"/>
      <c r="B40" s="303"/>
      <c r="C40" s="303"/>
      <c r="D40" s="303"/>
      <c r="E40" s="303"/>
      <c r="F40" s="303"/>
      <c r="G40" s="303"/>
      <c r="H40" s="303"/>
      <c r="I40"/>
      <c r="J40"/>
      <c r="K40"/>
      <c r="L40"/>
      <c r="M40" s="1204"/>
      <c r="N40" s="1"/>
      <c r="O40" s="1"/>
      <c r="P40" s="1"/>
      <c r="Q40" s="1"/>
      <c r="R40" s="1"/>
      <c r="S40" s="1"/>
      <c r="T40" s="1"/>
      <c r="U40" s="537"/>
      <c r="X40" s="222"/>
      <c r="Z40" s="43"/>
      <c r="AA40" s="43"/>
      <c r="AB40" s="43"/>
      <c r="AC40" s="43"/>
      <c r="AD40" s="43"/>
      <c r="AE40" s="43"/>
      <c r="AF40" s="43"/>
      <c r="AG40" s="1130"/>
      <c r="AH40" s="43"/>
      <c r="AI40" s="43"/>
      <c r="AJ40" s="43"/>
      <c r="AK40" s="1130"/>
      <c r="AL40" s="43"/>
      <c r="AM40" s="43"/>
      <c r="AN40" s="43"/>
      <c r="AO40" s="1130"/>
      <c r="AP40" s="43"/>
      <c r="AQ40" s="43"/>
      <c r="AR40" s="43"/>
      <c r="AS40" s="1130"/>
      <c r="AT40" s="43"/>
      <c r="AU40" s="43"/>
      <c r="AV40" s="43"/>
      <c r="AW40" s="1130"/>
      <c r="AX40" s="43"/>
      <c r="AY40" s="43"/>
      <c r="AZ40" s="43"/>
      <c r="BA40" s="43"/>
      <c r="BB40" s="43"/>
      <c r="BC40" s="43"/>
      <c r="BD40" s="43"/>
      <c r="BE40" s="43"/>
      <c r="BF40" s="43"/>
      <c r="BG40" s="43"/>
      <c r="BH40" s="43"/>
      <c r="BI40" s="43"/>
      <c r="BJ40" s="43"/>
      <c r="BK40" s="43"/>
      <c r="BL40" s="1130"/>
      <c r="BM40" s="43"/>
      <c r="BN40" s="43"/>
      <c r="BO40" s="43"/>
      <c r="BP40" s="1130"/>
      <c r="BQ40" s="43"/>
      <c r="BR40" s="43"/>
      <c r="BS40" s="43"/>
      <c r="BT40" s="1130"/>
      <c r="BU40" s="43"/>
      <c r="BV40" s="43"/>
      <c r="BW40" s="43"/>
      <c r="BX40" s="1130"/>
      <c r="BY40" s="43"/>
      <c r="BZ40" s="43"/>
      <c r="CA40" s="43"/>
      <c r="CB40" s="1130"/>
      <c r="CC40" s="43"/>
      <c r="CD40" s="43"/>
      <c r="CE40" s="43"/>
      <c r="CF40" s="43"/>
    </row>
    <row r="41" spans="1:84" s="402" customFormat="1" outlineLevel="1">
      <c r="A41" s="873" t="s">
        <v>694</v>
      </c>
      <c r="B41" s="548"/>
      <c r="C41" s="548"/>
      <c r="D41" s="548"/>
      <c r="E41" s="548"/>
      <c r="F41" s="548"/>
      <c r="G41" s="548"/>
      <c r="H41" s="548"/>
      <c r="I41" s="25"/>
      <c r="J41" s="25">
        <f>J36/I36-1</f>
        <v>0.30000000000000004</v>
      </c>
      <c r="K41" s="25">
        <f t="shared" ref="K41:M41" si="39">K36/J36-1</f>
        <v>0.25</v>
      </c>
      <c r="L41" s="25">
        <f t="shared" si="39"/>
        <v>-5.0000000000000044E-2</v>
      </c>
      <c r="M41" s="851">
        <f t="shared" si="39"/>
        <v>0.10000000000000009</v>
      </c>
      <c r="N41" s="25">
        <f>N36/M36-1</f>
        <v>1.5</v>
      </c>
      <c r="O41" s="25">
        <f t="shared" ref="O41:S41" si="40">O36/N36-1</f>
        <v>0.44795149448889071</v>
      </c>
      <c r="P41" s="25">
        <f t="shared" si="40"/>
        <v>0.3673051041103661</v>
      </c>
      <c r="Q41" s="25">
        <f t="shared" si="40"/>
        <v>0.31425257900286963</v>
      </c>
      <c r="R41" s="25">
        <f t="shared" si="40"/>
        <v>0.27561919683077218</v>
      </c>
      <c r="S41" s="25">
        <f t="shared" si="40"/>
        <v>0.24538242174889469</v>
      </c>
      <c r="T41" s="45"/>
      <c r="U41" s="537"/>
      <c r="X41" s="222"/>
      <c r="Z41" s="43"/>
      <c r="AA41" s="43"/>
      <c r="AB41" s="43"/>
      <c r="AC41" s="43"/>
      <c r="AD41" s="43"/>
      <c r="AE41" s="43"/>
      <c r="AF41" s="43"/>
      <c r="AG41" s="1130"/>
      <c r="AH41" s="43"/>
      <c r="AI41" s="43"/>
      <c r="AJ41" s="43"/>
      <c r="AK41" s="1130"/>
      <c r="AL41" s="43"/>
      <c r="AM41" s="43"/>
      <c r="AN41" s="43"/>
      <c r="AO41" s="1130"/>
      <c r="AP41" s="43"/>
      <c r="AQ41" s="43"/>
      <c r="AR41" s="43"/>
      <c r="AS41" s="1130"/>
      <c r="AT41" s="43"/>
      <c r="AU41" s="43"/>
      <c r="AV41" s="43"/>
      <c r="AW41" s="1130"/>
      <c r="AX41" s="43"/>
      <c r="AY41" s="43"/>
      <c r="AZ41" s="43"/>
      <c r="BA41" s="43"/>
      <c r="BB41" s="43"/>
      <c r="BC41" s="43"/>
      <c r="BD41" s="43"/>
      <c r="BE41" s="43"/>
      <c r="BF41" s="43"/>
      <c r="BG41" s="43"/>
      <c r="BH41" s="43"/>
      <c r="BI41" s="43"/>
      <c r="BJ41" s="43"/>
      <c r="BK41" s="43"/>
      <c r="BL41" s="1130"/>
      <c r="BM41" s="43"/>
      <c r="BN41" s="43"/>
      <c r="BO41" s="43"/>
      <c r="BP41" s="1130"/>
      <c r="BQ41" s="43"/>
      <c r="BR41" s="43"/>
      <c r="BS41" s="43"/>
      <c r="BT41" s="1130"/>
      <c r="BU41" s="43"/>
      <c r="BV41" s="43"/>
      <c r="BW41" s="43"/>
      <c r="BX41" s="1130"/>
      <c r="BY41" s="43"/>
      <c r="BZ41" s="43"/>
      <c r="CA41" s="43"/>
      <c r="CB41" s="1130"/>
      <c r="CC41" s="43"/>
      <c r="CD41" s="43"/>
      <c r="CE41" s="43"/>
      <c r="CF41" s="43"/>
    </row>
    <row r="42" spans="1:84" s="402" customFormat="1" outlineLevel="1">
      <c r="A42" s="1203" t="s">
        <v>692</v>
      </c>
      <c r="B42" s="303"/>
      <c r="C42" s="303"/>
      <c r="D42" s="303"/>
      <c r="E42" s="303"/>
      <c r="F42" s="303"/>
      <c r="G42" s="303"/>
      <c r="H42" s="303"/>
      <c r="I42" s="547"/>
      <c r="J42" s="547"/>
      <c r="K42" s="547"/>
      <c r="L42" s="547"/>
      <c r="M42" s="852"/>
      <c r="N42" s="578">
        <v>1.5</v>
      </c>
      <c r="O42" s="578">
        <v>0.2</v>
      </c>
      <c r="P42" s="1108">
        <f>O42-($O42-$S42)/4</f>
        <v>0.1875</v>
      </c>
      <c r="Q42" s="1108">
        <f t="shared" ref="Q42:R43" si="41">P42-($O42-$S42)/4</f>
        <v>0.17499999999999999</v>
      </c>
      <c r="R42" s="1108">
        <f t="shared" si="41"/>
        <v>0.16249999999999998</v>
      </c>
      <c r="S42" s="578">
        <v>0.15</v>
      </c>
      <c r="T42" s="56"/>
      <c r="U42" s="537"/>
      <c r="X42" s="222"/>
      <c r="Z42" s="43"/>
      <c r="AA42" s="43"/>
      <c r="AB42" s="43"/>
      <c r="AC42" s="43"/>
      <c r="AD42" s="43"/>
      <c r="AE42" s="43"/>
      <c r="AF42" s="43"/>
      <c r="AG42" s="1130"/>
      <c r="AH42" s="43"/>
      <c r="AI42" s="43"/>
      <c r="AJ42" s="43"/>
      <c r="AK42" s="1130"/>
      <c r="AL42" s="43"/>
      <c r="AM42" s="43"/>
      <c r="AN42" s="43"/>
      <c r="AO42" s="1130"/>
      <c r="AP42" s="43"/>
      <c r="AQ42" s="43"/>
      <c r="AR42" s="43"/>
      <c r="AS42" s="1130"/>
      <c r="AT42" s="43"/>
      <c r="AU42" s="43"/>
      <c r="AV42" s="43"/>
      <c r="AW42" s="1130"/>
      <c r="AX42" s="43"/>
      <c r="AY42" s="43"/>
      <c r="AZ42" s="43"/>
      <c r="BA42" s="43"/>
      <c r="BB42" s="43"/>
      <c r="BC42" s="43"/>
      <c r="BD42" s="43"/>
      <c r="BE42" s="43"/>
      <c r="BF42" s="43"/>
      <c r="BG42" s="43"/>
      <c r="BH42" s="43"/>
      <c r="BI42" s="43"/>
      <c r="BJ42" s="43"/>
      <c r="BK42" s="43"/>
      <c r="BL42" s="1130"/>
      <c r="BM42" s="43"/>
      <c r="BN42" s="43"/>
      <c r="BO42" s="43"/>
      <c r="BP42" s="1130"/>
      <c r="BQ42" s="43"/>
      <c r="BR42" s="43"/>
      <c r="BS42" s="43"/>
      <c r="BT42" s="1130"/>
      <c r="BU42" s="43"/>
      <c r="BV42" s="43"/>
      <c r="BW42" s="43"/>
      <c r="BX42" s="1130"/>
      <c r="BY42" s="43"/>
      <c r="BZ42" s="43"/>
      <c r="CA42" s="43"/>
      <c r="CB42" s="1130"/>
      <c r="CC42" s="43"/>
      <c r="CD42" s="43"/>
      <c r="CE42" s="43"/>
      <c r="CF42" s="43"/>
    </row>
    <row r="43" spans="1:84" s="402" customFormat="1" outlineLevel="1">
      <c r="A43" s="1203" t="s">
        <v>693</v>
      </c>
      <c r="B43" s="303"/>
      <c r="C43" s="303"/>
      <c r="D43" s="303"/>
      <c r="E43" s="303"/>
      <c r="F43" s="303"/>
      <c r="G43" s="303"/>
      <c r="H43" s="303"/>
      <c r="I43" s="547"/>
      <c r="J43" s="547"/>
      <c r="K43" s="547"/>
      <c r="L43" s="547"/>
      <c r="M43" s="852"/>
      <c r="N43" s="61"/>
      <c r="O43" s="578">
        <v>0.25</v>
      </c>
      <c r="P43" s="1108">
        <f>O43-($O43-$S43)/4</f>
        <v>0.23749999999999999</v>
      </c>
      <c r="Q43" s="1108">
        <f t="shared" si="41"/>
        <v>0.22499999999999998</v>
      </c>
      <c r="R43" s="1108">
        <f t="shared" si="41"/>
        <v>0.21249999999999997</v>
      </c>
      <c r="S43" s="595">
        <v>0.2</v>
      </c>
      <c r="T43" s="56"/>
      <c r="U43" s="537"/>
      <c r="X43" s="222" t="str">
        <f t="shared" ref="X43:X48" si="42">IFERROR(IF((W43/R43)^(1/8)-1&lt;0,"",(W43/R43)^(1/8)-1),"")</f>
        <v/>
      </c>
      <c r="Z43" s="43"/>
      <c r="AA43" s="43"/>
      <c r="AB43" s="43"/>
      <c r="AC43" s="43"/>
      <c r="AD43" s="43"/>
      <c r="AE43" s="43"/>
      <c r="AF43" s="43"/>
      <c r="AG43" s="1130"/>
      <c r="AH43" s="43"/>
      <c r="AI43" s="43"/>
      <c r="AJ43" s="43"/>
      <c r="AK43" s="1130"/>
      <c r="AL43" s="43"/>
      <c r="AM43" s="43"/>
      <c r="AN43" s="43"/>
      <c r="AO43" s="1130"/>
      <c r="AP43" s="43"/>
      <c r="AQ43" s="43"/>
      <c r="AR43" s="43"/>
      <c r="AS43" s="1130"/>
      <c r="AT43" s="43"/>
      <c r="AU43" s="43"/>
      <c r="AV43" s="43"/>
      <c r="AW43" s="1130"/>
      <c r="AX43" s="43"/>
      <c r="AY43" s="43"/>
      <c r="AZ43" s="43"/>
      <c r="BA43" s="43"/>
      <c r="BB43" s="43"/>
      <c r="BC43" s="43"/>
      <c r="BD43" s="43"/>
      <c r="BE43" s="43"/>
      <c r="BF43" s="43"/>
      <c r="BG43" s="43"/>
      <c r="BH43" s="43"/>
      <c r="BI43" s="43"/>
      <c r="BJ43" s="43"/>
      <c r="BK43" s="43"/>
      <c r="BL43" s="1130"/>
      <c r="BM43" s="43"/>
      <c r="BN43" s="43"/>
      <c r="BO43" s="43"/>
      <c r="BP43" s="1130"/>
      <c r="BQ43" s="43"/>
      <c r="BR43" s="43"/>
      <c r="BS43" s="43"/>
      <c r="BT43" s="1130"/>
      <c r="BU43" s="43"/>
      <c r="BV43" s="43"/>
      <c r="BW43" s="43"/>
      <c r="BX43" s="1130"/>
      <c r="BY43" s="43"/>
      <c r="BZ43" s="43"/>
      <c r="CA43" s="43"/>
      <c r="CB43" s="1130"/>
      <c r="CC43" s="43"/>
      <c r="CD43" s="43"/>
      <c r="CE43" s="43"/>
      <c r="CF43" s="43"/>
    </row>
    <row r="44" spans="1:84" s="402" customFormat="1" outlineLevel="1">
      <c r="A44" s="1203"/>
      <c r="B44" s="303"/>
      <c r="C44" s="303"/>
      <c r="D44" s="303"/>
      <c r="E44" s="303"/>
      <c r="F44" s="303"/>
      <c r="G44" s="303"/>
      <c r="H44" s="303"/>
      <c r="I44"/>
      <c r="J44"/>
      <c r="K44"/>
      <c r="L44"/>
      <c r="M44" s="1204"/>
      <c r="N44" s="1"/>
      <c r="O44" s="1"/>
      <c r="P44" s="1"/>
      <c r="Q44" s="1"/>
      <c r="R44" s="1"/>
      <c r="S44" s="1"/>
      <c r="T44" s="1"/>
      <c r="U44" s="537"/>
      <c r="X44" s="222" t="str">
        <f t="shared" si="42"/>
        <v/>
      </c>
      <c r="Z44" s="43"/>
      <c r="AA44" s="43"/>
      <c r="AB44" s="43"/>
      <c r="AC44" s="43"/>
      <c r="AD44" s="43"/>
      <c r="AE44" s="43"/>
      <c r="AF44" s="43"/>
      <c r="AG44" s="1130"/>
      <c r="AH44" s="43"/>
      <c r="AI44" s="43"/>
      <c r="AJ44" s="43"/>
      <c r="AK44" s="1130"/>
      <c r="AL44" s="43"/>
      <c r="AM44" s="43"/>
      <c r="AN44" s="43"/>
      <c r="AO44" s="1130"/>
      <c r="AP44" s="43"/>
      <c r="AQ44" s="43"/>
      <c r="AR44" s="43"/>
      <c r="AS44" s="1130"/>
      <c r="AT44" s="43"/>
      <c r="AU44" s="43"/>
      <c r="AV44" s="43"/>
      <c r="AW44" s="1130"/>
      <c r="AX44" s="43"/>
      <c r="AY44" s="43"/>
      <c r="AZ44" s="43"/>
      <c r="BA44" s="43"/>
      <c r="BB44" s="43"/>
      <c r="BC44" s="43"/>
      <c r="BD44" s="43"/>
      <c r="BE44" s="43"/>
      <c r="BF44" s="43"/>
      <c r="BG44" s="43"/>
      <c r="BH44" s="43"/>
      <c r="BI44" s="43"/>
      <c r="BJ44" s="43"/>
      <c r="BK44" s="43"/>
      <c r="BL44" s="1130"/>
      <c r="BM44" s="43"/>
      <c r="BN44" s="43"/>
      <c r="BO44" s="43"/>
      <c r="BP44" s="1130"/>
      <c r="BQ44" s="43"/>
      <c r="BR44" s="43"/>
      <c r="BS44" s="43"/>
      <c r="BT44" s="1130"/>
      <c r="BU44" s="43"/>
      <c r="BV44" s="43"/>
      <c r="BW44" s="43"/>
      <c r="BX44" s="1130"/>
      <c r="BY44" s="43"/>
      <c r="BZ44" s="43"/>
      <c r="CA44" s="43"/>
      <c r="CB44" s="1130"/>
      <c r="CC44" s="43"/>
      <c r="CD44" s="43"/>
      <c r="CE44" s="43"/>
      <c r="CF44" s="43"/>
    </row>
    <row r="45" spans="1:84" s="402" customFormat="1" outlineLevel="1">
      <c r="A45" s="873" t="s">
        <v>695</v>
      </c>
      <c r="B45" s="548"/>
      <c r="C45" s="548"/>
      <c r="D45" s="548"/>
      <c r="E45" s="548"/>
      <c r="F45" s="548"/>
      <c r="G45" s="548"/>
      <c r="H45" s="548"/>
      <c r="I45" s="25">
        <f>I36/I$36</f>
        <v>1</v>
      </c>
      <c r="J45" s="25">
        <f t="shared" ref="J45:S45" si="43">J36/J$36</f>
        <v>1</v>
      </c>
      <c r="K45" s="25">
        <f t="shared" si="43"/>
        <v>1</v>
      </c>
      <c r="L45" s="25">
        <f t="shared" si="43"/>
        <v>1</v>
      </c>
      <c r="M45" s="851">
        <f t="shared" si="43"/>
        <v>1</v>
      </c>
      <c r="N45" s="25">
        <f t="shared" si="43"/>
        <v>1</v>
      </c>
      <c r="O45" s="25">
        <f t="shared" si="43"/>
        <v>1</v>
      </c>
      <c r="P45" s="605">
        <f t="shared" si="43"/>
        <v>1</v>
      </c>
      <c r="Q45" s="605">
        <f t="shared" si="43"/>
        <v>1</v>
      </c>
      <c r="R45" s="605">
        <f t="shared" si="43"/>
        <v>1</v>
      </c>
      <c r="S45" s="605">
        <f t="shared" si="43"/>
        <v>1</v>
      </c>
      <c r="T45" s="45"/>
      <c r="U45" s="537"/>
      <c r="X45" s="222" t="str">
        <f t="shared" si="42"/>
        <v/>
      </c>
      <c r="Z45" s="43"/>
      <c r="AA45" s="43"/>
      <c r="AB45" s="43"/>
      <c r="AC45" s="43"/>
      <c r="AD45" s="43"/>
      <c r="AE45" s="43"/>
      <c r="AF45" s="43"/>
      <c r="AG45" s="1130"/>
      <c r="AH45" s="43"/>
      <c r="AI45" s="43"/>
      <c r="AJ45" s="43"/>
      <c r="AK45" s="1130"/>
      <c r="AL45" s="43"/>
      <c r="AM45" s="43"/>
      <c r="AN45" s="43"/>
      <c r="AO45" s="1130"/>
      <c r="AP45" s="43"/>
      <c r="AQ45" s="43"/>
      <c r="AR45" s="43"/>
      <c r="AS45" s="1130"/>
      <c r="AT45" s="43"/>
      <c r="AU45" s="43"/>
      <c r="AV45" s="43"/>
      <c r="AW45" s="1130"/>
      <c r="AX45" s="43"/>
      <c r="AY45" s="43"/>
      <c r="AZ45" s="43"/>
      <c r="BA45" s="43"/>
      <c r="BB45" s="43"/>
      <c r="BC45" s="43"/>
      <c r="BD45" s="43"/>
      <c r="BE45" s="43"/>
      <c r="BF45" s="43"/>
      <c r="BG45" s="43"/>
      <c r="BH45" s="43"/>
      <c r="BI45" s="43"/>
      <c r="BJ45" s="43"/>
      <c r="BK45" s="43"/>
      <c r="BL45" s="1130"/>
      <c r="BM45" s="43"/>
      <c r="BN45" s="43"/>
      <c r="BO45" s="43"/>
      <c r="BP45" s="1130"/>
      <c r="BQ45" s="43"/>
      <c r="BR45" s="43"/>
      <c r="BS45" s="43"/>
      <c r="BT45" s="1130"/>
      <c r="BU45" s="43"/>
      <c r="BV45" s="43"/>
      <c r="BW45" s="43"/>
      <c r="BX45" s="1130"/>
      <c r="BY45" s="43"/>
      <c r="BZ45" s="43"/>
      <c r="CA45" s="43"/>
      <c r="CB45" s="1130"/>
      <c r="CC45" s="43"/>
      <c r="CD45" s="43"/>
      <c r="CE45" s="43"/>
      <c r="CF45" s="43"/>
    </row>
    <row r="46" spans="1:84" s="402" customFormat="1" outlineLevel="1">
      <c r="A46" s="1203" t="s">
        <v>692</v>
      </c>
      <c r="B46" s="303"/>
      <c r="C46" s="303"/>
      <c r="D46" s="303"/>
      <c r="E46" s="303"/>
      <c r="F46" s="303"/>
      <c r="G46" s="303"/>
      <c r="H46" s="303"/>
      <c r="I46" s="547">
        <f>I37/I$36</f>
        <v>0</v>
      </c>
      <c r="J46" s="547">
        <f t="shared" ref="J46:S46" si="44">J37/J$36</f>
        <v>0</v>
      </c>
      <c r="K46" s="547">
        <f t="shared" si="44"/>
        <v>0</v>
      </c>
      <c r="L46" s="547">
        <f t="shared" si="44"/>
        <v>0</v>
      </c>
      <c r="M46" s="852">
        <f t="shared" si="44"/>
        <v>1</v>
      </c>
      <c r="N46" s="547">
        <f t="shared" si="44"/>
        <v>1</v>
      </c>
      <c r="O46" s="547">
        <f t="shared" si="44"/>
        <v>0.82875704370441328</v>
      </c>
      <c r="P46" s="606">
        <f t="shared" si="44"/>
        <v>0.71977277524998706</v>
      </c>
      <c r="Q46" s="606">
        <f t="shared" si="44"/>
        <v>0.64350873221066618</v>
      </c>
      <c r="R46" s="606">
        <f t="shared" si="44"/>
        <v>0.58644374673372213</v>
      </c>
      <c r="S46" s="606">
        <f t="shared" si="44"/>
        <v>0.54152868786818409</v>
      </c>
      <c r="T46" s="45"/>
      <c r="U46" s="537"/>
      <c r="X46" s="222" t="str">
        <f t="shared" si="42"/>
        <v/>
      </c>
      <c r="Z46" s="43"/>
      <c r="AA46" s="43"/>
      <c r="AB46" s="43"/>
      <c r="AC46" s="43"/>
      <c r="AD46" s="43"/>
      <c r="AE46" s="43"/>
      <c r="AF46" s="43"/>
      <c r="AG46" s="1130"/>
      <c r="AH46" s="43"/>
      <c r="AI46" s="43"/>
      <c r="AJ46" s="43"/>
      <c r="AK46" s="1130"/>
      <c r="AL46" s="43"/>
      <c r="AM46" s="43"/>
      <c r="AN46" s="43"/>
      <c r="AO46" s="1130"/>
      <c r="AP46" s="43"/>
      <c r="AQ46" s="43"/>
      <c r="AR46" s="43"/>
      <c r="AS46" s="1130"/>
      <c r="AT46" s="43"/>
      <c r="AU46" s="43"/>
      <c r="AV46" s="43"/>
      <c r="AW46" s="1130"/>
      <c r="AX46" s="43"/>
      <c r="AY46" s="43"/>
      <c r="AZ46" s="43"/>
      <c r="BA46" s="43"/>
      <c r="BB46" s="43"/>
      <c r="BC46" s="43"/>
      <c r="BD46" s="43"/>
      <c r="BE46" s="43"/>
      <c r="BF46" s="43"/>
      <c r="BG46" s="43"/>
      <c r="BH46" s="43"/>
      <c r="BI46" s="43"/>
      <c r="BJ46" s="43"/>
      <c r="BK46" s="43"/>
      <c r="BL46" s="1130"/>
      <c r="BM46" s="43"/>
      <c r="BN46" s="43"/>
      <c r="BO46" s="43"/>
      <c r="BP46" s="1130"/>
      <c r="BQ46" s="43"/>
      <c r="BR46" s="43"/>
      <c r="BS46" s="43"/>
      <c r="BT46" s="1130"/>
      <c r="BU46" s="43"/>
      <c r="BV46" s="43"/>
      <c r="BW46" s="43"/>
      <c r="BX46" s="1130"/>
      <c r="BY46" s="43"/>
      <c r="BZ46" s="43"/>
      <c r="CA46" s="43"/>
      <c r="CB46" s="1130"/>
      <c r="CC46" s="43"/>
      <c r="CD46" s="43"/>
      <c r="CE46" s="43"/>
      <c r="CF46" s="43"/>
    </row>
    <row r="47" spans="1:84" s="402" customFormat="1" outlineLevel="1">
      <c r="A47" s="1203" t="s">
        <v>693</v>
      </c>
      <c r="B47" s="303"/>
      <c r="C47" s="303"/>
      <c r="D47" s="303"/>
      <c r="E47" s="303"/>
      <c r="F47" s="303"/>
      <c r="G47" s="303"/>
      <c r="H47" s="303"/>
      <c r="I47" s="547">
        <f>I38/I$36</f>
        <v>0.52631578947368418</v>
      </c>
      <c r="J47" s="547">
        <f t="shared" ref="J47:S47" si="45">J38/J$36</f>
        <v>0</v>
      </c>
      <c r="K47" s="547">
        <f t="shared" si="45"/>
        <v>0</v>
      </c>
      <c r="L47" s="547">
        <f t="shared" si="45"/>
        <v>0</v>
      </c>
      <c r="M47" s="852">
        <f t="shared" si="45"/>
        <v>0</v>
      </c>
      <c r="N47" s="547">
        <f t="shared" si="45"/>
        <v>0</v>
      </c>
      <c r="O47" s="547">
        <f t="shared" si="45"/>
        <v>0.17124295629558675</v>
      </c>
      <c r="P47" s="606">
        <f t="shared" si="45"/>
        <v>0.28022722475001288</v>
      </c>
      <c r="Q47" s="606">
        <f t="shared" si="45"/>
        <v>0.35649126778933388</v>
      </c>
      <c r="R47" s="606">
        <f t="shared" si="45"/>
        <v>0.41355625326627787</v>
      </c>
      <c r="S47" s="606">
        <f t="shared" si="45"/>
        <v>0.45847131213181597</v>
      </c>
      <c r="T47" s="45"/>
      <c r="U47" s="537"/>
      <c r="X47" s="222" t="str">
        <f t="shared" si="42"/>
        <v/>
      </c>
      <c r="Z47" s="43"/>
      <c r="AA47" s="43"/>
      <c r="AB47" s="43"/>
      <c r="AC47" s="43"/>
      <c r="AD47" s="43"/>
      <c r="AE47" s="43"/>
      <c r="AF47" s="43"/>
      <c r="AG47" s="1130"/>
      <c r="AH47" s="43"/>
      <c r="AI47" s="43"/>
      <c r="AJ47" s="43"/>
      <c r="AK47" s="1130"/>
      <c r="AL47" s="43"/>
      <c r="AM47" s="43"/>
      <c r="AN47" s="43"/>
      <c r="AO47" s="1130"/>
      <c r="AP47" s="43"/>
      <c r="AQ47" s="43"/>
      <c r="AR47" s="43"/>
      <c r="AS47" s="1130"/>
      <c r="AT47" s="43"/>
      <c r="AU47" s="43"/>
      <c r="AV47" s="43"/>
      <c r="AW47" s="1130"/>
      <c r="AX47" s="43"/>
      <c r="AY47" s="43"/>
      <c r="AZ47" s="43"/>
      <c r="BA47" s="43"/>
      <c r="BB47" s="43"/>
      <c r="BC47" s="43"/>
      <c r="BD47" s="43"/>
      <c r="BE47" s="43"/>
      <c r="BF47" s="43"/>
      <c r="BG47" s="43"/>
      <c r="BH47" s="43"/>
      <c r="BI47" s="43"/>
      <c r="BJ47" s="43"/>
      <c r="BK47" s="43"/>
      <c r="BL47" s="1130"/>
      <c r="BM47" s="43"/>
      <c r="BN47" s="43"/>
      <c r="BO47" s="43"/>
      <c r="BP47" s="1130"/>
      <c r="BQ47" s="43"/>
      <c r="BR47" s="43"/>
      <c r="BS47" s="43"/>
      <c r="BT47" s="1130"/>
      <c r="BU47" s="43"/>
      <c r="BV47" s="43"/>
      <c r="BW47" s="43"/>
      <c r="BX47" s="1130"/>
      <c r="BY47" s="43"/>
      <c r="BZ47" s="43"/>
      <c r="CA47" s="43"/>
      <c r="CB47" s="1130"/>
      <c r="CC47" s="43"/>
      <c r="CD47" s="43"/>
      <c r="CE47" s="43"/>
      <c r="CF47" s="43"/>
    </row>
    <row r="48" spans="1:84" s="402" customFormat="1" outlineLevel="1">
      <c r="A48" s="1128"/>
      <c r="B48" s="303"/>
      <c r="C48" s="303"/>
      <c r="D48" s="303"/>
      <c r="E48" s="303"/>
      <c r="F48" s="303"/>
      <c r="G48" s="303"/>
      <c r="H48" s="303"/>
      <c r="I48" s="43"/>
      <c r="J48" s="43"/>
      <c r="K48" s="43"/>
      <c r="L48" s="43"/>
      <c r="M48" s="1129"/>
      <c r="N48" s="43"/>
      <c r="O48" s="43"/>
      <c r="P48" s="43"/>
      <c r="Q48" s="43"/>
      <c r="R48" s="43"/>
      <c r="S48" s="43"/>
      <c r="T48" s="43"/>
      <c r="U48" s="537"/>
      <c r="X48" s="222" t="str">
        <f t="shared" si="42"/>
        <v/>
      </c>
      <c r="Z48" s="43"/>
      <c r="AA48" s="43"/>
      <c r="AB48" s="43"/>
      <c r="AC48" s="43"/>
      <c r="AD48" s="43"/>
      <c r="AE48" s="43"/>
      <c r="AF48" s="43"/>
      <c r="AG48" s="1130"/>
      <c r="AH48" s="43"/>
      <c r="AI48" s="43"/>
      <c r="AJ48" s="43"/>
      <c r="AK48" s="1130"/>
      <c r="AL48" s="43"/>
      <c r="AM48" s="43"/>
      <c r="AN48" s="43"/>
      <c r="AO48" s="1130"/>
      <c r="AP48" s="43"/>
      <c r="AQ48" s="43"/>
      <c r="AR48" s="43"/>
      <c r="AS48" s="1130"/>
      <c r="AT48" s="43"/>
      <c r="AU48" s="43"/>
      <c r="AV48" s="43"/>
      <c r="AW48" s="1130"/>
      <c r="AX48" s="43"/>
      <c r="AY48" s="43"/>
      <c r="AZ48" s="43"/>
      <c r="BA48" s="43"/>
      <c r="BB48" s="43"/>
      <c r="BC48" s="43"/>
      <c r="BD48" s="43"/>
      <c r="BE48" s="43"/>
      <c r="BF48" s="43"/>
      <c r="BG48" s="43"/>
      <c r="BH48" s="43"/>
      <c r="BI48" s="43"/>
      <c r="BJ48" s="43"/>
      <c r="BK48" s="43"/>
      <c r="BL48" s="1130"/>
      <c r="BM48" s="43"/>
      <c r="BN48" s="43"/>
      <c r="BO48" s="43"/>
      <c r="BP48" s="1130"/>
      <c r="BQ48" s="43"/>
      <c r="BR48" s="43"/>
      <c r="BS48" s="43"/>
      <c r="BT48" s="1130"/>
      <c r="BU48" s="43"/>
      <c r="BV48" s="43"/>
      <c r="BW48" s="43"/>
      <c r="BX48" s="1130"/>
      <c r="BY48" s="43"/>
      <c r="BZ48" s="43"/>
      <c r="CA48" s="43"/>
      <c r="CB48" s="1130"/>
      <c r="CC48" s="43"/>
      <c r="CD48" s="43"/>
      <c r="CE48" s="43"/>
      <c r="CF48" s="43"/>
    </row>
    <row r="49" spans="1:84" s="402" customFormat="1" outlineLevel="1">
      <c r="A49" s="864" t="s">
        <v>915</v>
      </c>
      <c r="B49" s="403"/>
      <c r="C49" s="403"/>
      <c r="D49" s="403"/>
      <c r="E49" s="403"/>
      <c r="F49" s="403"/>
      <c r="G49" s="403"/>
      <c r="H49" s="403"/>
      <c r="I49" s="404"/>
      <c r="J49" s="404"/>
      <c r="K49" s="404"/>
      <c r="L49" s="404"/>
      <c r="M49" s="838"/>
      <c r="N49" s="448"/>
      <c r="O49" s="448"/>
      <c r="P49" s="448"/>
      <c r="Q49" s="448"/>
      <c r="R49" s="448"/>
      <c r="S49" s="448"/>
      <c r="T49" s="43"/>
      <c r="U49" s="537"/>
      <c r="X49" s="222" t="str">
        <f t="shared" ref="X49:X69" si="46">IFERROR(IF((W49/R49)^(1/8)-1&lt;0,"",(W49/R49)^(1/8)-1),"")</f>
        <v/>
      </c>
      <c r="Z49" s="43"/>
      <c r="AA49" s="43"/>
      <c r="AB49" s="43"/>
      <c r="AC49" s="43"/>
      <c r="AD49" s="43"/>
      <c r="AE49" s="43"/>
      <c r="AF49" s="43"/>
      <c r="AG49" s="1130"/>
      <c r="AH49" s="43"/>
      <c r="AI49" s="43"/>
      <c r="AJ49" s="43"/>
      <c r="AK49" s="1130"/>
      <c r="AL49" s="43"/>
      <c r="AM49" s="43"/>
      <c r="AN49" s="43"/>
      <c r="AO49" s="1130"/>
      <c r="AP49" s="43"/>
      <c r="AQ49" s="43"/>
      <c r="AR49" s="43"/>
      <c r="AS49" s="1130"/>
      <c r="AT49" s="43"/>
      <c r="AU49" s="43"/>
      <c r="AV49" s="43"/>
      <c r="AW49" s="1130"/>
      <c r="AX49" s="43"/>
      <c r="AY49" s="43"/>
      <c r="AZ49" s="43"/>
      <c r="BA49" s="43"/>
      <c r="BB49" s="43"/>
      <c r="BC49" s="43"/>
      <c r="BD49" s="43"/>
      <c r="BE49" s="43"/>
      <c r="BF49" s="43"/>
      <c r="BG49" s="43"/>
      <c r="BH49" s="43"/>
      <c r="BI49" s="43"/>
      <c r="BJ49" s="43"/>
      <c r="BK49" s="43"/>
      <c r="BL49" s="1130"/>
      <c r="BM49" s="43"/>
      <c r="BN49" s="43"/>
      <c r="BO49" s="43"/>
      <c r="BP49" s="1130"/>
      <c r="BQ49" s="43"/>
      <c r="BR49" s="43"/>
      <c r="BS49" s="43"/>
      <c r="BT49" s="1130"/>
      <c r="BU49" s="43"/>
      <c r="BV49" s="43"/>
      <c r="BW49" s="43"/>
      <c r="BX49" s="1130"/>
      <c r="BY49" s="43"/>
      <c r="BZ49" s="43"/>
      <c r="CA49" s="43"/>
      <c r="CB49" s="1130"/>
      <c r="CC49" s="43"/>
      <c r="CD49" s="43"/>
      <c r="CE49" s="43"/>
      <c r="CF49" s="43"/>
    </row>
    <row r="50" spans="1:84" s="402" customFormat="1" outlineLevel="1">
      <c r="A50" s="1128"/>
      <c r="B50" s="303"/>
      <c r="C50" s="303"/>
      <c r="D50" s="303"/>
      <c r="E50" s="303"/>
      <c r="F50" s="303"/>
      <c r="G50" s="303"/>
      <c r="H50" s="303"/>
      <c r="I50" s="43"/>
      <c r="J50" s="43"/>
      <c r="K50" s="43"/>
      <c r="L50" s="43"/>
      <c r="M50" s="1310">
        <f>M51/5</f>
        <v>53.588499999999996</v>
      </c>
      <c r="N50" s="43"/>
      <c r="O50" s="43"/>
      <c r="P50" s="43"/>
      <c r="Q50" s="43"/>
      <c r="R50" s="43"/>
      <c r="S50" s="43"/>
      <c r="T50" s="43"/>
      <c r="U50" s="537"/>
      <c r="X50" s="222" t="str">
        <f t="shared" si="46"/>
        <v/>
      </c>
      <c r="Z50" s="43"/>
      <c r="AA50" s="43"/>
      <c r="AB50" s="43"/>
      <c r="AC50" s="43"/>
      <c r="AD50" s="43"/>
      <c r="AE50" s="43"/>
      <c r="AF50" s="43"/>
      <c r="AG50" s="1130"/>
      <c r="AH50" s="43"/>
      <c r="AI50" s="43"/>
      <c r="AJ50" s="43"/>
      <c r="AK50" s="1130"/>
      <c r="AL50" s="43"/>
      <c r="AM50" s="43"/>
      <c r="AN50" s="43"/>
      <c r="AO50" s="1130"/>
      <c r="AP50" s="43"/>
      <c r="AQ50" s="43"/>
      <c r="AR50" s="43"/>
      <c r="AS50" s="1130"/>
      <c r="AT50" s="43"/>
      <c r="AU50" s="43"/>
      <c r="AV50" s="43"/>
      <c r="AW50" s="1130"/>
      <c r="AX50" s="43"/>
      <c r="AY50" s="43"/>
      <c r="AZ50" s="43"/>
      <c r="BA50" s="43"/>
      <c r="BB50" s="43"/>
      <c r="BC50" s="43"/>
      <c r="BD50" s="43"/>
      <c r="BE50" s="43"/>
      <c r="BF50" s="43"/>
      <c r="BG50" s="43"/>
      <c r="BH50" s="43"/>
      <c r="BI50" s="43"/>
      <c r="BJ50" s="43"/>
      <c r="BK50" s="43"/>
      <c r="BL50" s="1130"/>
      <c r="BM50" s="43"/>
      <c r="BN50" s="43"/>
      <c r="BO50" s="43"/>
      <c r="BP50" s="1130"/>
      <c r="BQ50" s="43"/>
      <c r="BR50" s="43"/>
      <c r="BS50" s="43"/>
      <c r="BT50" s="1130"/>
      <c r="BU50" s="43"/>
      <c r="BV50" s="43"/>
      <c r="BW50" s="43"/>
      <c r="BX50" s="1130"/>
      <c r="BY50" s="43"/>
      <c r="BZ50" s="43"/>
      <c r="CA50" s="43"/>
      <c r="CB50" s="1130"/>
      <c r="CC50" s="43"/>
      <c r="CD50" s="43"/>
      <c r="CE50" s="43"/>
      <c r="CF50" s="43"/>
    </row>
    <row r="51" spans="1:84" s="402" customFormat="1">
      <c r="A51" s="874" t="s">
        <v>673</v>
      </c>
      <c r="B51" s="420"/>
      <c r="C51" s="420"/>
      <c r="D51" s="420"/>
      <c r="E51" s="420"/>
      <c r="F51" s="420"/>
      <c r="G51" s="420"/>
      <c r="H51" s="420"/>
      <c r="I51" s="407"/>
      <c r="J51" s="407">
        <v>156.19999999999999</v>
      </c>
      <c r="K51" s="407">
        <v>141.5</v>
      </c>
      <c r="L51" s="407">
        <v>258.67500000000001</v>
      </c>
      <c r="M51" s="849">
        <v>267.9425</v>
      </c>
      <c r="N51" s="407">
        <f>SUM(N52:N53)</f>
        <v>334.92812500000002</v>
      </c>
      <c r="O51" s="407">
        <f t="shared" ref="O51:S51" si="47">SUM(O52:O53)</f>
        <v>453.66015625</v>
      </c>
      <c r="P51" s="407">
        <f t="shared" si="47"/>
        <v>598.15444335937502</v>
      </c>
      <c r="Q51" s="407">
        <f t="shared" si="47"/>
        <v>771.74231811523441</v>
      </c>
      <c r="R51" s="407">
        <f t="shared" si="47"/>
        <v>977.59154508972165</v>
      </c>
      <c r="S51" s="407">
        <f t="shared" si="47"/>
        <v>1218.5130093811033</v>
      </c>
      <c r="T51" s="537"/>
      <c r="U51" s="445">
        <f>(S51/O51)^0.25-1</f>
        <v>0.28019133417634734</v>
      </c>
      <c r="X51" s="222" t="str">
        <f t="shared" si="46"/>
        <v/>
      </c>
      <c r="Z51" s="43"/>
      <c r="AA51" s="43"/>
      <c r="AB51" s="43"/>
      <c r="AC51" s="43"/>
      <c r="AD51" s="43"/>
      <c r="AE51" s="43"/>
      <c r="AF51" s="43"/>
      <c r="AG51" s="1130"/>
      <c r="AH51" s="43"/>
      <c r="AI51" s="43"/>
      <c r="AJ51" s="43"/>
      <c r="AK51" s="1130"/>
      <c r="AL51" s="43"/>
      <c r="AM51" s="43"/>
      <c r="AN51" s="43"/>
      <c r="AO51" s="1130"/>
      <c r="AP51" s="43"/>
      <c r="AQ51" s="43"/>
      <c r="AR51" s="43"/>
      <c r="AS51" s="1130"/>
      <c r="AT51" s="43"/>
      <c r="AU51" s="43"/>
      <c r="AV51" s="43"/>
      <c r="AW51" s="1130"/>
      <c r="AX51" s="43"/>
      <c r="AY51" s="43"/>
      <c r="AZ51" s="43"/>
      <c r="BA51" s="43"/>
      <c r="BB51" s="43"/>
      <c r="BC51" s="43"/>
      <c r="BD51" s="43"/>
      <c r="BE51" s="43"/>
      <c r="BF51" s="43"/>
      <c r="BG51" s="43"/>
      <c r="BH51" s="43"/>
      <c r="BI51" s="43"/>
      <c r="BJ51" s="43"/>
      <c r="BK51" s="43"/>
      <c r="BL51" s="1130"/>
      <c r="BM51" s="43"/>
      <c r="BN51" s="43"/>
      <c r="BO51" s="43"/>
      <c r="BP51" s="1130"/>
      <c r="BQ51" s="43"/>
      <c r="BR51" s="43"/>
      <c r="BS51" s="43"/>
      <c r="BT51" s="1130"/>
      <c r="BU51" s="43"/>
      <c r="BV51" s="43"/>
      <c r="BW51" s="43"/>
      <c r="BX51" s="1130"/>
      <c r="BY51" s="43"/>
      <c r="BZ51" s="43"/>
      <c r="CA51" s="43"/>
      <c r="CB51" s="1130"/>
      <c r="CC51" s="43"/>
      <c r="CD51" s="43"/>
      <c r="CE51" s="43"/>
      <c r="CF51" s="43"/>
    </row>
    <row r="52" spans="1:84" s="402" customFormat="1">
      <c r="A52" s="1203" t="s">
        <v>692</v>
      </c>
      <c r="B52" s="303"/>
      <c r="C52" s="303"/>
      <c r="D52" s="303"/>
      <c r="E52" s="303"/>
      <c r="F52" s="303"/>
      <c r="G52" s="303"/>
      <c r="H52" s="303"/>
      <c r="I52" s="117"/>
      <c r="J52" s="117"/>
      <c r="K52" s="117"/>
      <c r="L52" s="117"/>
      <c r="M52" s="850">
        <f>M51</f>
        <v>267.9425</v>
      </c>
      <c r="N52" s="117">
        <f t="shared" ref="N52" si="48">M52*(1+N57)</f>
        <v>334.92812500000002</v>
      </c>
      <c r="O52" s="117">
        <f t="shared" ref="O52" si="49">N52*(1+O57)</f>
        <v>418.66015625</v>
      </c>
      <c r="P52" s="604">
        <f t="shared" ref="P52" si="50">O52*(1+P57)</f>
        <v>518.09194335937502</v>
      </c>
      <c r="Q52" s="604">
        <f t="shared" ref="Q52" si="51">P52*(1+Q57)</f>
        <v>634.66263061523443</v>
      </c>
      <c r="R52" s="604">
        <f t="shared" ref="R52" si="52">Q52*(1+R57)</f>
        <v>769.52843962097165</v>
      </c>
      <c r="S52" s="604">
        <f t="shared" ref="S52" si="53">R52*(1+S57)</f>
        <v>923.43412754516589</v>
      </c>
      <c r="T52" s="537"/>
      <c r="X52" s="222" t="str">
        <f t="shared" si="46"/>
        <v/>
      </c>
      <c r="Z52" s="43"/>
      <c r="AA52" s="43"/>
      <c r="AB52" s="43"/>
      <c r="AC52" s="43"/>
      <c r="AD52" s="43"/>
      <c r="AE52" s="43"/>
      <c r="AF52" s="43"/>
      <c r="AG52" s="1130"/>
      <c r="AH52" s="43"/>
      <c r="AI52" s="43"/>
      <c r="AJ52" s="43"/>
      <c r="AK52" s="1130"/>
      <c r="AL52" s="43"/>
      <c r="AM52" s="43"/>
      <c r="AN52" s="43"/>
      <c r="AO52" s="1130"/>
      <c r="AP52" s="43"/>
      <c r="AQ52" s="43"/>
      <c r="AR52" s="43"/>
      <c r="AS52" s="1130"/>
      <c r="AT52" s="43"/>
      <c r="AU52" s="43"/>
      <c r="AV52" s="43"/>
      <c r="AW52" s="1130"/>
      <c r="AX52" s="43"/>
      <c r="AY52" s="43"/>
      <c r="AZ52" s="43"/>
      <c r="BA52" s="43"/>
      <c r="BB52" s="43"/>
      <c r="BC52" s="43"/>
      <c r="BD52" s="43"/>
      <c r="BE52" s="43"/>
      <c r="BF52" s="43"/>
      <c r="BG52" s="43"/>
      <c r="BH52" s="43"/>
      <c r="BI52" s="43"/>
      <c r="BJ52" s="43"/>
      <c r="BK52" s="43"/>
      <c r="BL52" s="1130"/>
      <c r="BM52" s="43"/>
      <c r="BN52" s="43"/>
      <c r="BO52" s="43"/>
      <c r="BP52" s="1130"/>
      <c r="BQ52" s="43"/>
      <c r="BR52" s="43"/>
      <c r="BS52" s="43"/>
      <c r="BT52" s="1130"/>
      <c r="BU52" s="43"/>
      <c r="BV52" s="43"/>
      <c r="BW52" s="43"/>
      <c r="BX52" s="1130"/>
      <c r="BY52" s="43"/>
      <c r="BZ52" s="43"/>
      <c r="CA52" s="43"/>
      <c r="CB52" s="1130"/>
      <c r="CC52" s="43"/>
      <c r="CD52" s="43"/>
      <c r="CE52" s="43"/>
      <c r="CF52" s="43"/>
    </row>
    <row r="53" spans="1:84" s="402" customFormat="1">
      <c r="A53" s="1203" t="s">
        <v>693</v>
      </c>
      <c r="B53" s="303"/>
      <c r="C53" s="303"/>
      <c r="D53" s="303"/>
      <c r="E53" s="303"/>
      <c r="F53" s="303"/>
      <c r="G53" s="303"/>
      <c r="H53" s="303"/>
      <c r="I53" s="1530">
        <v>35</v>
      </c>
      <c r="K53" s="117"/>
      <c r="L53" s="117"/>
      <c r="M53" s="850"/>
      <c r="N53" s="3"/>
      <c r="O53" s="3">
        <f>N53*(1+O58)+$I$53</f>
        <v>35</v>
      </c>
      <c r="P53" s="3">
        <f>O53*(1+P58)+$I$53</f>
        <v>80.0625</v>
      </c>
      <c r="Q53" s="3">
        <f t="shared" ref="Q53:S53" si="54">P53*(1+Q58)+$I$53</f>
        <v>137.07968749999998</v>
      </c>
      <c r="R53" s="3">
        <f t="shared" si="54"/>
        <v>208.06310546874997</v>
      </c>
      <c r="S53" s="3">
        <f t="shared" si="54"/>
        <v>295.07888183593747</v>
      </c>
      <c r="T53" s="537"/>
      <c r="X53" s="222" t="str">
        <f t="shared" si="46"/>
        <v/>
      </c>
      <c r="Z53" s="43"/>
      <c r="AA53" s="43"/>
      <c r="AB53" s="43"/>
      <c r="AC53" s="43"/>
      <c r="AD53" s="43"/>
      <c r="AE53" s="43"/>
      <c r="AF53" s="43"/>
      <c r="AG53" s="1130"/>
      <c r="AH53" s="43"/>
      <c r="AI53" s="43"/>
      <c r="AJ53" s="43"/>
      <c r="AK53" s="1130"/>
      <c r="AL53" s="43"/>
      <c r="AM53" s="43"/>
      <c r="AN53" s="43"/>
      <c r="AO53" s="1130"/>
      <c r="AP53" s="43"/>
      <c r="AQ53" s="43"/>
      <c r="AR53" s="43"/>
      <c r="AS53" s="1130"/>
      <c r="AT53" s="43"/>
      <c r="AU53" s="43"/>
      <c r="AV53" s="43"/>
      <c r="AW53" s="1130"/>
      <c r="AX53" s="43"/>
      <c r="AY53" s="43"/>
      <c r="AZ53" s="43"/>
      <c r="BA53" s="43"/>
      <c r="BB53" s="43"/>
      <c r="BC53" s="43"/>
      <c r="BD53" s="43"/>
      <c r="BE53" s="43"/>
      <c r="BF53" s="43"/>
      <c r="BG53" s="43"/>
      <c r="BH53" s="43"/>
      <c r="BI53" s="43"/>
      <c r="BJ53" s="43"/>
      <c r="BK53" s="43"/>
      <c r="BL53" s="1130"/>
      <c r="BM53" s="43"/>
      <c r="BN53" s="43"/>
      <c r="BO53" s="43"/>
      <c r="BP53" s="1130"/>
      <c r="BQ53" s="43"/>
      <c r="BR53" s="43"/>
      <c r="BS53" s="43"/>
      <c r="BT53" s="1130"/>
      <c r="BU53" s="43"/>
      <c r="BV53" s="43"/>
      <c r="BW53" s="43"/>
      <c r="BX53" s="1130"/>
      <c r="BY53" s="43"/>
      <c r="BZ53" s="43"/>
      <c r="CA53" s="43"/>
      <c r="CB53" s="1130"/>
      <c r="CC53" s="43"/>
      <c r="CD53" s="43"/>
      <c r="CE53" s="43"/>
      <c r="CF53" s="43"/>
    </row>
    <row r="54" spans="1:84" s="402" customFormat="1">
      <c r="A54" s="1166" t="s">
        <v>909</v>
      </c>
      <c r="B54" s="88"/>
      <c r="C54" s="88"/>
      <c r="D54" s="88"/>
      <c r="E54" s="88"/>
      <c r="F54" s="88"/>
      <c r="G54" s="88"/>
      <c r="H54" s="88"/>
      <c r="I54" s="1531" t="s">
        <v>916</v>
      </c>
      <c r="J54"/>
      <c r="K54"/>
      <c r="L54"/>
      <c r="M54" s="1204"/>
      <c r="N54" s="1"/>
      <c r="O54" s="1"/>
      <c r="P54" s="1"/>
      <c r="Q54" s="1"/>
      <c r="R54" s="1"/>
      <c r="S54" s="1"/>
      <c r="T54" s="43"/>
      <c r="U54" s="981">
        <f>'A. FCFF'!P30</f>
        <v>55.585220074041914</v>
      </c>
      <c r="X54" s="222" t="str">
        <f t="shared" si="46"/>
        <v/>
      </c>
      <c r="Z54" s="43"/>
      <c r="AA54" s="43"/>
      <c r="AB54" s="43"/>
      <c r="AC54" s="43"/>
      <c r="AD54" s="43"/>
      <c r="AE54" s="43"/>
      <c r="AF54" s="43"/>
      <c r="AG54" s="1130"/>
      <c r="AH54" s="43"/>
      <c r="AI54" s="43"/>
      <c r="AJ54" s="43"/>
      <c r="AK54" s="1130"/>
      <c r="AL54" s="43"/>
      <c r="AM54" s="43"/>
      <c r="AN54" s="43"/>
      <c r="AO54" s="1130"/>
      <c r="AP54" s="43"/>
      <c r="AQ54" s="43"/>
      <c r="AR54" s="43"/>
      <c r="AS54" s="1130"/>
      <c r="AT54" s="43"/>
      <c r="AU54" s="43"/>
      <c r="AV54" s="43"/>
      <c r="AW54" s="1130"/>
      <c r="AX54" s="43"/>
      <c r="AY54" s="43"/>
      <c r="AZ54" s="43"/>
      <c r="BA54" s="43"/>
      <c r="BB54" s="43"/>
      <c r="BC54" s="43"/>
      <c r="BD54" s="43"/>
      <c r="BE54" s="43"/>
      <c r="BF54" s="43"/>
      <c r="BG54" s="43"/>
      <c r="BH54" s="43"/>
      <c r="BI54" s="43"/>
      <c r="BJ54" s="43"/>
      <c r="BK54" s="43"/>
      <c r="BL54" s="1130"/>
      <c r="BM54" s="43"/>
      <c r="BN54" s="43"/>
      <c r="BO54" s="43"/>
      <c r="BP54" s="1130"/>
      <c r="BQ54" s="43"/>
      <c r="BR54" s="43"/>
      <c r="BS54" s="43"/>
      <c r="BT54" s="1130"/>
      <c r="BU54" s="43"/>
      <c r="BV54" s="43"/>
      <c r="BW54" s="43"/>
      <c r="BX54" s="1130"/>
      <c r="BY54" s="43"/>
      <c r="BZ54" s="43"/>
      <c r="CA54" s="43"/>
      <c r="CB54" s="1130"/>
      <c r="CC54" s="43"/>
      <c r="CD54" s="43"/>
      <c r="CE54" s="43"/>
      <c r="CF54" s="43"/>
    </row>
    <row r="55" spans="1:84" s="402" customFormat="1">
      <c r="A55" s="1166"/>
      <c r="B55" s="88"/>
      <c r="C55" s="88"/>
      <c r="D55" s="88"/>
      <c r="E55" s="88"/>
      <c r="F55" s="88"/>
      <c r="G55" s="88"/>
      <c r="H55" s="88"/>
      <c r="I55" s="274"/>
      <c r="J55"/>
      <c r="K55"/>
      <c r="L55"/>
      <c r="M55" s="1204"/>
      <c r="N55" s="1"/>
      <c r="O55" s="1"/>
      <c r="P55" s="1"/>
      <c r="Q55" s="1"/>
      <c r="R55" s="1"/>
      <c r="S55" s="1"/>
      <c r="T55" s="43"/>
      <c r="U55" s="402">
        <v>54.200447939688317</v>
      </c>
      <c r="X55" s="222"/>
      <c r="Z55" s="43"/>
      <c r="AA55" s="43"/>
      <c r="AB55" s="43"/>
      <c r="AC55" s="43"/>
      <c r="AD55" s="43"/>
      <c r="AE55" s="43"/>
      <c r="AF55" s="43"/>
      <c r="AG55" s="1130"/>
      <c r="AH55" s="43"/>
      <c r="AI55" s="43"/>
      <c r="AJ55" s="43"/>
      <c r="AK55" s="1130"/>
      <c r="AL55" s="43"/>
      <c r="AM55" s="43"/>
      <c r="AN55" s="43"/>
      <c r="AO55" s="1130"/>
      <c r="AP55" s="43"/>
      <c r="AQ55" s="43"/>
      <c r="AR55" s="43"/>
      <c r="AS55" s="1130"/>
      <c r="AT55" s="43"/>
      <c r="AU55" s="43"/>
      <c r="AV55" s="43"/>
      <c r="AW55" s="1130"/>
      <c r="AX55" s="43"/>
      <c r="AY55" s="43"/>
      <c r="AZ55" s="43"/>
      <c r="BA55" s="43"/>
      <c r="BB55" s="43"/>
      <c r="BC55" s="43"/>
      <c r="BD55" s="43"/>
      <c r="BE55" s="43"/>
      <c r="BF55" s="43"/>
      <c r="BG55" s="43"/>
      <c r="BH55" s="43"/>
      <c r="BI55" s="43"/>
      <c r="BJ55" s="43"/>
      <c r="BK55" s="43"/>
      <c r="BL55" s="1130"/>
      <c r="BM55" s="43"/>
      <c r="BN55" s="43"/>
      <c r="BO55" s="43"/>
      <c r="BP55" s="1130"/>
      <c r="BQ55" s="43"/>
      <c r="BR55" s="43"/>
      <c r="BS55" s="43"/>
      <c r="BT55" s="1130"/>
      <c r="BU55" s="43"/>
      <c r="BV55" s="43"/>
      <c r="BW55" s="43"/>
      <c r="BX55" s="1130"/>
      <c r="BY55" s="43"/>
      <c r="BZ55" s="43"/>
      <c r="CA55" s="43"/>
      <c r="CB55" s="1130"/>
      <c r="CC55" s="43"/>
      <c r="CD55" s="43"/>
      <c r="CE55" s="43"/>
      <c r="CF55" s="43"/>
    </row>
    <row r="56" spans="1:84" s="402" customFormat="1" ht="14.25" customHeight="1">
      <c r="A56" s="873" t="s">
        <v>694</v>
      </c>
      <c r="B56" s="548"/>
      <c r="C56" s="548"/>
      <c r="D56" s="548"/>
      <c r="E56" s="548"/>
      <c r="F56" s="548"/>
      <c r="G56" s="548"/>
      <c r="H56" s="548"/>
      <c r="I56" s="25"/>
      <c r="J56" s="25"/>
      <c r="K56" s="25">
        <f>K51/J51-1</f>
        <v>-9.4110115236875735E-2</v>
      </c>
      <c r="L56" s="25">
        <f t="shared" ref="L56" si="55">L51/K51-1</f>
        <v>0.82809187279151941</v>
      </c>
      <c r="M56" s="851">
        <f t="shared" ref="M56" si="56">M51/L51-1</f>
        <v>3.5826809703295659E-2</v>
      </c>
      <c r="N56" s="605">
        <f t="shared" ref="N56" si="57">N51/M51-1</f>
        <v>0.25</v>
      </c>
      <c r="O56" s="605">
        <f t="shared" ref="O56" si="58">O51/N51-1</f>
        <v>0.35450003265626018</v>
      </c>
      <c r="P56" s="605">
        <f t="shared" ref="P56" si="59">P51/O51-1</f>
        <v>0.31850777529986152</v>
      </c>
      <c r="Q56" s="605">
        <f t="shared" ref="Q56" si="60">Q51/P51-1</f>
        <v>0.29020577658998792</v>
      </c>
      <c r="R56" s="605">
        <f t="shared" ref="R56" si="61">R51/Q51-1</f>
        <v>0.26673310785550375</v>
      </c>
      <c r="S56" s="605">
        <f t="shared" ref="S56" si="62">S51/R51-1</f>
        <v>0.24644389111330778</v>
      </c>
      <c r="T56" s="43"/>
      <c r="U56" s="981">
        <f>U54/U55-1</f>
        <v>2.5549090219595616E-2</v>
      </c>
      <c r="X56" s="222" t="str">
        <f t="shared" si="46"/>
        <v/>
      </c>
      <c r="Z56" s="43"/>
      <c r="AA56" s="43"/>
      <c r="AB56" s="43"/>
      <c r="AC56" s="43"/>
      <c r="AD56" s="43"/>
      <c r="AE56" s="43"/>
      <c r="AF56" s="43"/>
      <c r="AG56" s="1130"/>
      <c r="AH56" s="43"/>
      <c r="AI56" s="43"/>
      <c r="AJ56" s="43"/>
      <c r="AK56" s="1130"/>
      <c r="AL56" s="43"/>
      <c r="AM56" s="43"/>
      <c r="AN56" s="43"/>
      <c r="AO56" s="1130"/>
      <c r="AP56" s="43"/>
      <c r="AQ56" s="43"/>
      <c r="AR56" s="43"/>
      <c r="AS56" s="1130"/>
      <c r="AT56" s="43"/>
      <c r="AU56" s="43"/>
      <c r="AV56" s="43"/>
      <c r="AW56" s="1130"/>
      <c r="AX56" s="43"/>
      <c r="AY56" s="43"/>
      <c r="AZ56" s="43"/>
      <c r="BA56" s="43"/>
      <c r="BB56" s="43"/>
      <c r="BC56" s="43"/>
      <c r="BD56" s="43"/>
      <c r="BE56" s="43"/>
      <c r="BF56" s="43"/>
      <c r="BG56" s="43"/>
      <c r="BH56" s="43"/>
      <c r="BI56" s="43"/>
      <c r="BJ56" s="43"/>
      <c r="BK56" s="43"/>
      <c r="BL56" s="1130"/>
      <c r="BM56" s="43"/>
      <c r="BN56" s="43"/>
      <c r="BO56" s="43"/>
      <c r="BP56" s="1130"/>
      <c r="BQ56" s="43"/>
      <c r="BR56" s="43"/>
      <c r="BS56" s="43"/>
      <c r="BT56" s="1130"/>
      <c r="BU56" s="43"/>
      <c r="BV56" s="43"/>
      <c r="BW56" s="43"/>
      <c r="BX56" s="1130"/>
      <c r="BY56" s="43"/>
      <c r="BZ56" s="43"/>
      <c r="CA56" s="43"/>
      <c r="CB56" s="1130"/>
      <c r="CC56" s="43"/>
      <c r="CD56" s="43"/>
      <c r="CE56" s="43"/>
      <c r="CF56" s="43"/>
    </row>
    <row r="57" spans="1:84" s="402" customFormat="1">
      <c r="A57" s="1203" t="s">
        <v>692</v>
      </c>
      <c r="B57" s="303"/>
      <c r="C57" s="303"/>
      <c r="D57" s="303"/>
      <c r="E57" s="303"/>
      <c r="F57" s="303"/>
      <c r="G57" s="303"/>
      <c r="H57" s="303"/>
      <c r="I57" s="547"/>
      <c r="J57" s="547"/>
      <c r="K57" s="547"/>
      <c r="L57" s="547"/>
      <c r="M57" s="852"/>
      <c r="N57" s="578">
        <v>0.25</v>
      </c>
      <c r="O57" s="578">
        <v>0.25</v>
      </c>
      <c r="P57" s="1108">
        <f>O57-($O57-$S57)/4</f>
        <v>0.23749999999999999</v>
      </c>
      <c r="Q57" s="1108">
        <f t="shared" ref="Q57:R57" si="63">P57-($O57-$S57)/4</f>
        <v>0.22499999999999998</v>
      </c>
      <c r="R57" s="1108">
        <f t="shared" si="63"/>
        <v>0.21249999999999997</v>
      </c>
      <c r="S57" s="578">
        <v>0.2</v>
      </c>
      <c r="T57" s="43"/>
      <c r="X57" s="222" t="str">
        <f t="shared" si="46"/>
        <v/>
      </c>
      <c r="Z57" s="43"/>
      <c r="AA57" s="43"/>
      <c r="AB57" s="43"/>
      <c r="AC57" s="43"/>
      <c r="AD57" s="43"/>
      <c r="AE57" s="43"/>
      <c r="AF57" s="43"/>
      <c r="AG57" s="1130"/>
      <c r="AH57" s="43"/>
      <c r="AI57" s="43"/>
      <c r="AJ57" s="43"/>
      <c r="AK57" s="1130"/>
      <c r="AL57" s="43"/>
      <c r="AM57" s="43"/>
      <c r="AN57" s="43"/>
      <c r="AO57" s="1130"/>
      <c r="AP57" s="43"/>
      <c r="AQ57" s="43"/>
      <c r="AR57" s="43"/>
      <c r="AS57" s="1130"/>
      <c r="AT57" s="43"/>
      <c r="AU57" s="43"/>
      <c r="AV57" s="43"/>
      <c r="AW57" s="1130"/>
      <c r="AX57" s="43"/>
      <c r="AY57" s="43"/>
      <c r="AZ57" s="43"/>
      <c r="BA57" s="43"/>
      <c r="BB57" s="43"/>
      <c r="BC57" s="43"/>
      <c r="BD57" s="43"/>
      <c r="BE57" s="43"/>
      <c r="BF57" s="43"/>
      <c r="BG57" s="43"/>
      <c r="BH57" s="43"/>
      <c r="BI57" s="43"/>
      <c r="BJ57" s="43"/>
      <c r="BK57" s="43"/>
      <c r="BL57" s="1130"/>
      <c r="BM57" s="43"/>
      <c r="BN57" s="43"/>
      <c r="BO57" s="43"/>
      <c r="BP57" s="1130"/>
      <c r="BQ57" s="43"/>
      <c r="BR57" s="43"/>
      <c r="BS57" s="43"/>
      <c r="BT57" s="1130"/>
      <c r="BU57" s="43"/>
      <c r="BV57" s="43"/>
      <c r="BW57" s="43"/>
      <c r="BX57" s="1130"/>
      <c r="BY57" s="43"/>
      <c r="BZ57" s="43"/>
      <c r="CA57" s="43"/>
      <c r="CB57" s="1130"/>
      <c r="CC57" s="43"/>
      <c r="CD57" s="43"/>
      <c r="CE57" s="43"/>
      <c r="CF57" s="43"/>
    </row>
    <row r="58" spans="1:84" s="402" customFormat="1">
      <c r="A58" s="1203" t="s">
        <v>693</v>
      </c>
      <c r="B58" s="303"/>
      <c r="C58" s="303"/>
      <c r="D58" s="303"/>
      <c r="E58" s="303"/>
      <c r="F58" s="303"/>
      <c r="G58" s="303"/>
      <c r="H58" s="303"/>
      <c r="I58" s="547"/>
      <c r="J58" s="547"/>
      <c r="K58" s="547"/>
      <c r="L58" s="547"/>
      <c r="M58" s="852"/>
      <c r="N58" s="61"/>
      <c r="O58" s="578">
        <v>0.3</v>
      </c>
      <c r="P58" s="1108">
        <f>O58-($O58-$S58)/4</f>
        <v>0.28749999999999998</v>
      </c>
      <c r="Q58" s="1108">
        <f t="shared" ref="Q58:R58" si="64">P58-($O58-$S58)/4</f>
        <v>0.27499999999999997</v>
      </c>
      <c r="R58" s="1108">
        <f t="shared" si="64"/>
        <v>0.26249999999999996</v>
      </c>
      <c r="S58" s="595">
        <v>0.25</v>
      </c>
      <c r="T58" s="43"/>
      <c r="X58" s="222" t="str">
        <f t="shared" si="46"/>
        <v/>
      </c>
      <c r="Z58" s="43"/>
      <c r="AA58" s="43"/>
      <c r="AB58" s="43"/>
      <c r="AC58" s="43"/>
      <c r="AD58" s="43"/>
      <c r="AE58" s="43"/>
      <c r="AF58" s="43"/>
      <c r="AG58" s="1130"/>
      <c r="AH58" s="43"/>
      <c r="AI58" s="43"/>
      <c r="AJ58" s="43"/>
      <c r="AK58" s="1130"/>
      <c r="AL58" s="43"/>
      <c r="AM58" s="43"/>
      <c r="AN58" s="43"/>
      <c r="AO58" s="1130"/>
      <c r="AP58" s="43"/>
      <c r="AQ58" s="43"/>
      <c r="AR58" s="43"/>
      <c r="AS58" s="1130"/>
      <c r="AT58" s="43"/>
      <c r="AU58" s="43"/>
      <c r="AV58" s="43"/>
      <c r="AW58" s="1130"/>
      <c r="AX58" s="43"/>
      <c r="AY58" s="43"/>
      <c r="AZ58" s="43"/>
      <c r="BA58" s="43"/>
      <c r="BB58" s="43"/>
      <c r="BC58" s="43"/>
      <c r="BD58" s="43"/>
      <c r="BE58" s="43"/>
      <c r="BF58" s="43"/>
      <c r="BG58" s="43"/>
      <c r="BH58" s="43"/>
      <c r="BI58" s="43"/>
      <c r="BJ58" s="43"/>
      <c r="BK58" s="43"/>
      <c r="BL58" s="1130"/>
      <c r="BM58" s="43"/>
      <c r="BN58" s="43"/>
      <c r="BO58" s="43"/>
      <c r="BP58" s="1130"/>
      <c r="BQ58" s="43"/>
      <c r="BR58" s="43"/>
      <c r="BS58" s="43"/>
      <c r="BT58" s="1130"/>
      <c r="BU58" s="43"/>
      <c r="BV58" s="43"/>
      <c r="BW58" s="43"/>
      <c r="BX58" s="1130"/>
      <c r="BY58" s="43"/>
      <c r="BZ58" s="43"/>
      <c r="CA58" s="43"/>
      <c r="CB58" s="1130"/>
      <c r="CC58" s="43"/>
      <c r="CD58" s="43"/>
      <c r="CE58" s="43"/>
      <c r="CF58" s="43"/>
    </row>
    <row r="59" spans="1:84" s="402" customFormat="1">
      <c r="A59" s="1203"/>
      <c r="B59" s="303"/>
      <c r="C59" s="303"/>
      <c r="D59" s="303"/>
      <c r="E59" s="303"/>
      <c r="F59" s="303"/>
      <c r="G59" s="303"/>
      <c r="H59" s="303"/>
      <c r="I59"/>
      <c r="J59"/>
      <c r="K59"/>
      <c r="L59"/>
      <c r="M59" s="1204"/>
      <c r="N59" s="1"/>
      <c r="O59" s="1"/>
      <c r="P59" s="1"/>
      <c r="Q59" s="1"/>
      <c r="R59" s="1"/>
      <c r="S59" s="1"/>
      <c r="T59" s="43"/>
      <c r="X59" s="222" t="str">
        <f t="shared" si="46"/>
        <v/>
      </c>
      <c r="Z59" s="43"/>
      <c r="AA59" s="43"/>
      <c r="AB59" s="43"/>
      <c r="AC59" s="43"/>
      <c r="AD59" s="43"/>
      <c r="AE59" s="43"/>
      <c r="AF59" s="43"/>
      <c r="AG59" s="1130"/>
      <c r="AH59" s="43"/>
      <c r="AI59" s="43"/>
      <c r="AJ59" s="43"/>
      <c r="AK59" s="1130"/>
      <c r="AL59" s="43"/>
      <c r="AM59" s="43"/>
      <c r="AN59" s="43"/>
      <c r="AO59" s="1130"/>
      <c r="AP59" s="43"/>
      <c r="AQ59" s="43"/>
      <c r="AR59" s="43"/>
      <c r="AS59" s="1130"/>
      <c r="AT59" s="43"/>
      <c r="AU59" s="43"/>
      <c r="AV59" s="43"/>
      <c r="AW59" s="1130"/>
      <c r="AX59" s="43"/>
      <c r="AY59" s="43"/>
      <c r="AZ59" s="43"/>
      <c r="BA59" s="43"/>
      <c r="BB59" s="43"/>
      <c r="BC59" s="43"/>
      <c r="BD59" s="43"/>
      <c r="BE59" s="43"/>
      <c r="BF59" s="43"/>
      <c r="BG59" s="43"/>
      <c r="BH59" s="43"/>
      <c r="BI59" s="43"/>
      <c r="BJ59" s="43"/>
      <c r="BK59" s="43"/>
      <c r="BL59" s="1130"/>
      <c r="BM59" s="43"/>
      <c r="BN59" s="43"/>
      <c r="BO59" s="43"/>
      <c r="BP59" s="1130"/>
      <c r="BQ59" s="43"/>
      <c r="BR59" s="43"/>
      <c r="BS59" s="43"/>
      <c r="BT59" s="1130"/>
      <c r="BU59" s="43"/>
      <c r="BV59" s="43"/>
      <c r="BW59" s="43"/>
      <c r="BX59" s="1130"/>
      <c r="BY59" s="43"/>
      <c r="BZ59" s="43"/>
      <c r="CA59" s="43"/>
      <c r="CB59" s="1130"/>
      <c r="CC59" s="43"/>
      <c r="CD59" s="43"/>
      <c r="CE59" s="43"/>
      <c r="CF59" s="43"/>
    </row>
    <row r="60" spans="1:84" s="402" customFormat="1">
      <c r="A60" s="873" t="s">
        <v>695</v>
      </c>
      <c r="B60" s="548"/>
      <c r="C60" s="548"/>
      <c r="D60" s="548"/>
      <c r="E60" s="548"/>
      <c r="F60" s="548"/>
      <c r="G60" s="548"/>
      <c r="H60" s="548"/>
      <c r="I60" s="25"/>
      <c r="J60" s="25">
        <f>J51/J51</f>
        <v>1</v>
      </c>
      <c r="K60" s="25">
        <f t="shared" ref="K60:S60" si="65">K51/K51</f>
        <v>1</v>
      </c>
      <c r="L60" s="25">
        <f t="shared" si="65"/>
        <v>1</v>
      </c>
      <c r="M60" s="1112">
        <f t="shared" si="65"/>
        <v>1</v>
      </c>
      <c r="N60" s="25">
        <f t="shared" si="65"/>
        <v>1</v>
      </c>
      <c r="O60" s="25">
        <f t="shared" si="65"/>
        <v>1</v>
      </c>
      <c r="P60" s="605">
        <f t="shared" si="65"/>
        <v>1</v>
      </c>
      <c r="Q60" s="605">
        <f t="shared" si="65"/>
        <v>1</v>
      </c>
      <c r="R60" s="605">
        <f t="shared" si="65"/>
        <v>1</v>
      </c>
      <c r="S60" s="605">
        <f t="shared" si="65"/>
        <v>1</v>
      </c>
      <c r="T60" s="43"/>
      <c r="X60" s="222" t="str">
        <f t="shared" si="46"/>
        <v/>
      </c>
      <c r="Z60" s="43"/>
      <c r="AA60" s="43"/>
      <c r="AB60" s="43"/>
      <c r="AC60" s="43"/>
      <c r="AD60" s="43"/>
      <c r="AE60" s="43"/>
      <c r="AF60" s="43"/>
      <c r="AG60" s="1130"/>
      <c r="AH60" s="43"/>
      <c r="AI60" s="43"/>
      <c r="AJ60" s="43"/>
      <c r="AK60" s="1130"/>
      <c r="AL60" s="43"/>
      <c r="AM60" s="43"/>
      <c r="AN60" s="43"/>
      <c r="AO60" s="1130"/>
      <c r="AP60" s="43"/>
      <c r="AQ60" s="43"/>
      <c r="AR60" s="43"/>
      <c r="AS60" s="1130"/>
      <c r="AT60" s="43"/>
      <c r="AU60" s="43"/>
      <c r="AV60" s="43"/>
      <c r="AW60" s="1130"/>
      <c r="AX60" s="43"/>
      <c r="AY60" s="43"/>
      <c r="AZ60" s="43"/>
      <c r="BA60" s="43"/>
      <c r="BB60" s="43"/>
      <c r="BC60" s="43"/>
      <c r="BD60" s="43"/>
      <c r="BE60" s="43"/>
      <c r="BF60" s="43"/>
      <c r="BG60" s="43"/>
      <c r="BH60" s="43"/>
      <c r="BI60" s="43"/>
      <c r="BJ60" s="43"/>
      <c r="BK60" s="43"/>
      <c r="BL60" s="1130"/>
      <c r="BM60" s="43"/>
      <c r="BN60" s="43"/>
      <c r="BO60" s="43"/>
      <c r="BP60" s="1130"/>
      <c r="BQ60" s="43"/>
      <c r="BR60" s="43"/>
      <c r="BS60" s="43"/>
      <c r="BT60" s="1130"/>
      <c r="BU60" s="43"/>
      <c r="BV60" s="43"/>
      <c r="BW60" s="43"/>
      <c r="BX60" s="1130"/>
      <c r="BY60" s="43"/>
      <c r="BZ60" s="43"/>
      <c r="CA60" s="43"/>
      <c r="CB60" s="1130"/>
      <c r="CC60" s="43"/>
      <c r="CD60" s="43"/>
      <c r="CE60" s="43"/>
      <c r="CF60" s="43"/>
    </row>
    <row r="61" spans="1:84" s="402" customFormat="1">
      <c r="A61" s="1203" t="s">
        <v>692</v>
      </c>
      <c r="B61" s="303"/>
      <c r="C61" s="303"/>
      <c r="D61" s="303"/>
      <c r="E61" s="303"/>
      <c r="F61" s="303"/>
      <c r="G61" s="303"/>
      <c r="H61" s="303"/>
      <c r="I61" s="547"/>
      <c r="J61" s="547"/>
      <c r="K61" s="547"/>
      <c r="L61" s="547"/>
      <c r="M61" s="852"/>
      <c r="N61" s="547">
        <f>N52/N51</f>
        <v>1</v>
      </c>
      <c r="O61" s="547">
        <f t="shared" ref="O61:S61" si="66">O52/O51</f>
        <v>0.92284973780965585</v>
      </c>
      <c r="P61" s="547">
        <f t="shared" si="66"/>
        <v>0.86615078950120261</v>
      </c>
      <c r="Q61" s="547">
        <f t="shared" si="66"/>
        <v>0.82237634987442576</v>
      </c>
      <c r="R61" s="547">
        <f t="shared" si="66"/>
        <v>0.78716765042228931</v>
      </c>
      <c r="S61" s="547">
        <f t="shared" si="66"/>
        <v>0.7578369048469894</v>
      </c>
      <c r="T61" s="43"/>
      <c r="X61" s="222" t="str">
        <f t="shared" si="46"/>
        <v/>
      </c>
      <c r="Z61" s="43"/>
      <c r="AA61" s="43"/>
      <c r="AB61" s="43"/>
      <c r="AC61" s="43"/>
      <c r="AD61" s="43"/>
      <c r="AE61" s="43"/>
      <c r="AF61" s="43"/>
      <c r="AG61" s="1130"/>
      <c r="AH61" s="43"/>
      <c r="AI61" s="43"/>
      <c r="AJ61" s="43"/>
      <c r="AK61" s="1130"/>
      <c r="AL61" s="43"/>
      <c r="AM61" s="43"/>
      <c r="AN61" s="43"/>
      <c r="AO61" s="1130"/>
      <c r="AP61" s="43"/>
      <c r="AQ61" s="43"/>
      <c r="AR61" s="43"/>
      <c r="AS61" s="1130"/>
      <c r="AT61" s="43"/>
      <c r="AU61" s="43"/>
      <c r="AV61" s="43"/>
      <c r="AW61" s="1130"/>
      <c r="AX61" s="43"/>
      <c r="AY61" s="43"/>
      <c r="AZ61" s="43"/>
      <c r="BA61" s="43"/>
      <c r="BB61" s="43"/>
      <c r="BC61" s="43"/>
      <c r="BD61" s="43"/>
      <c r="BE61" s="43"/>
      <c r="BF61" s="43"/>
      <c r="BG61" s="43"/>
      <c r="BH61" s="43"/>
      <c r="BI61" s="43"/>
      <c r="BJ61" s="43"/>
      <c r="BK61" s="43"/>
      <c r="BL61" s="1130"/>
      <c r="BM61" s="43"/>
      <c r="BN61" s="43"/>
      <c r="BO61" s="43"/>
      <c r="BP61" s="1130"/>
      <c r="BQ61" s="43"/>
      <c r="BR61" s="43"/>
      <c r="BS61" s="43"/>
      <c r="BT61" s="1130"/>
      <c r="BU61" s="43"/>
      <c r="BV61" s="43"/>
      <c r="BW61" s="43"/>
      <c r="BX61" s="1130"/>
      <c r="BY61" s="43"/>
      <c r="BZ61" s="43"/>
      <c r="CA61" s="43"/>
      <c r="CB61" s="1130"/>
      <c r="CC61" s="43"/>
      <c r="CD61" s="43"/>
      <c r="CE61" s="43"/>
      <c r="CF61" s="43"/>
    </row>
    <row r="62" spans="1:84" s="402" customFormat="1">
      <c r="A62" s="1203" t="s">
        <v>693</v>
      </c>
      <c r="B62" s="303"/>
      <c r="C62" s="303"/>
      <c r="D62" s="303"/>
      <c r="E62" s="303"/>
      <c r="F62" s="303"/>
      <c r="G62" s="303"/>
      <c r="H62" s="303"/>
      <c r="I62" s="547"/>
      <c r="J62" s="547"/>
      <c r="K62" s="547"/>
      <c r="L62" s="547"/>
      <c r="M62" s="852"/>
      <c r="N62" s="547">
        <f>N53/N51</f>
        <v>0</v>
      </c>
      <c r="O62" s="547">
        <f t="shared" ref="O62:S62" si="67">O53/O51</f>
        <v>7.7150262190344168E-2</v>
      </c>
      <c r="P62" s="547">
        <f t="shared" si="67"/>
        <v>0.13384921049879744</v>
      </c>
      <c r="Q62" s="547">
        <f t="shared" si="67"/>
        <v>0.17762365012557418</v>
      </c>
      <c r="R62" s="547">
        <f t="shared" si="67"/>
        <v>0.21283234957771069</v>
      </c>
      <c r="S62" s="547">
        <f t="shared" si="67"/>
        <v>0.24216309515301063</v>
      </c>
      <c r="T62" s="43"/>
      <c r="X62" s="222" t="str">
        <f t="shared" si="46"/>
        <v/>
      </c>
      <c r="Z62" s="43"/>
      <c r="AA62" s="43"/>
      <c r="AB62" s="43"/>
      <c r="AC62" s="43"/>
      <c r="AD62" s="43"/>
      <c r="AE62" s="43"/>
      <c r="AF62" s="43"/>
      <c r="AG62" s="1130"/>
      <c r="AH62" s="43"/>
      <c r="AI62" s="43"/>
      <c r="AJ62" s="43"/>
      <c r="AK62" s="1130"/>
      <c r="AL62" s="43"/>
      <c r="AM62" s="43"/>
      <c r="AN62" s="43"/>
      <c r="AO62" s="1130"/>
      <c r="AP62" s="43"/>
      <c r="AQ62" s="43"/>
      <c r="AR62" s="43"/>
      <c r="AS62" s="1130"/>
      <c r="AT62" s="43"/>
      <c r="AU62" s="43"/>
      <c r="AV62" s="43"/>
      <c r="AW62" s="1130"/>
      <c r="AX62" s="43"/>
      <c r="AY62" s="43"/>
      <c r="AZ62" s="43"/>
      <c r="BA62" s="43"/>
      <c r="BB62" s="43"/>
      <c r="BC62" s="43"/>
      <c r="BD62" s="43"/>
      <c r="BE62" s="43"/>
      <c r="BF62" s="43"/>
      <c r="BG62" s="43"/>
      <c r="BH62" s="43"/>
      <c r="BI62" s="43"/>
      <c r="BJ62" s="43"/>
      <c r="BK62" s="43"/>
      <c r="BL62" s="1130"/>
      <c r="BM62" s="43"/>
      <c r="BN62" s="43"/>
      <c r="BO62" s="43"/>
      <c r="BP62" s="1130"/>
      <c r="BQ62" s="43"/>
      <c r="BR62" s="43"/>
      <c r="BS62" s="43"/>
      <c r="BT62" s="1130"/>
      <c r="BU62" s="43"/>
      <c r="BV62" s="43"/>
      <c r="BW62" s="43"/>
      <c r="BX62" s="1130"/>
      <c r="BY62" s="43"/>
      <c r="BZ62" s="43"/>
      <c r="CA62" s="43"/>
      <c r="CB62" s="1130"/>
      <c r="CC62" s="43"/>
      <c r="CD62" s="43"/>
      <c r="CE62" s="43"/>
      <c r="CF62" s="43"/>
    </row>
    <row r="63" spans="1:84" s="402" customFormat="1">
      <c r="A63" s="1128"/>
      <c r="B63" s="303"/>
      <c r="C63" s="303"/>
      <c r="D63" s="303"/>
      <c r="E63" s="303"/>
      <c r="F63" s="303"/>
      <c r="G63" s="303"/>
      <c r="H63" s="303"/>
      <c r="I63" s="43"/>
      <c r="J63" s="43"/>
      <c r="K63" s="43"/>
      <c r="L63" s="43"/>
      <c r="M63" s="1129"/>
      <c r="N63" s="43"/>
      <c r="O63" s="43"/>
      <c r="P63" s="43"/>
      <c r="Q63" s="43"/>
      <c r="R63" s="43"/>
      <c r="S63" s="43"/>
      <c r="T63" s="43"/>
      <c r="X63" s="222" t="str">
        <f t="shared" si="46"/>
        <v/>
      </c>
      <c r="Z63" s="43"/>
      <c r="AA63" s="43"/>
      <c r="AB63" s="43"/>
      <c r="AC63" s="43"/>
      <c r="AD63" s="43"/>
      <c r="AE63" s="43"/>
      <c r="AF63" s="43"/>
      <c r="AG63" s="1130"/>
      <c r="AH63" s="43"/>
      <c r="AI63" s="43"/>
      <c r="AJ63" s="43"/>
      <c r="AK63" s="1130"/>
      <c r="AL63" s="43"/>
      <c r="AM63" s="43"/>
      <c r="AN63" s="43"/>
      <c r="AO63" s="1130"/>
      <c r="AP63" s="43"/>
      <c r="AQ63" s="43"/>
      <c r="AR63" s="43"/>
      <c r="AS63" s="1130"/>
      <c r="AT63" s="43"/>
      <c r="AU63" s="43"/>
      <c r="AV63" s="43"/>
      <c r="AW63" s="1130"/>
      <c r="AX63" s="43"/>
      <c r="AY63" s="43"/>
      <c r="AZ63" s="43"/>
      <c r="BA63" s="43"/>
      <c r="BB63" s="43"/>
      <c r="BC63" s="43"/>
      <c r="BD63" s="43"/>
      <c r="BE63" s="43"/>
      <c r="BF63" s="43"/>
      <c r="BG63" s="43"/>
      <c r="BH63" s="43"/>
      <c r="BI63" s="43"/>
      <c r="BJ63" s="43"/>
      <c r="BK63" s="43"/>
      <c r="BL63" s="1130"/>
      <c r="BM63" s="43"/>
      <c r="BN63" s="43"/>
      <c r="BO63" s="43"/>
      <c r="BP63" s="1130"/>
      <c r="BQ63" s="43"/>
      <c r="BR63" s="43"/>
      <c r="BS63" s="43"/>
      <c r="BT63" s="1130"/>
      <c r="BU63" s="43"/>
      <c r="BV63" s="43"/>
      <c r="BW63" s="43"/>
      <c r="BX63" s="1130"/>
      <c r="BY63" s="43"/>
      <c r="BZ63" s="43"/>
      <c r="CA63" s="43"/>
      <c r="CB63" s="1130"/>
      <c r="CC63" s="43"/>
      <c r="CD63" s="43"/>
      <c r="CE63" s="43"/>
      <c r="CF63" s="43"/>
    </row>
    <row r="64" spans="1:84" s="402" customFormat="1">
      <c r="A64" s="1128"/>
      <c r="B64" s="303"/>
      <c r="C64" s="303"/>
      <c r="D64" s="303"/>
      <c r="E64" s="303"/>
      <c r="F64" s="303"/>
      <c r="G64" s="303"/>
      <c r="H64" s="303"/>
      <c r="I64" s="43"/>
      <c r="J64" s="43"/>
      <c r="K64" s="43"/>
      <c r="L64" s="43"/>
      <c r="M64" s="1129"/>
      <c r="N64" s="43"/>
      <c r="O64" s="43"/>
      <c r="P64" s="43"/>
      <c r="Q64" s="43"/>
      <c r="R64" s="43"/>
      <c r="S64" s="43"/>
      <c r="T64" s="43"/>
      <c r="X64" s="222" t="str">
        <f t="shared" si="46"/>
        <v/>
      </c>
      <c r="Z64" s="43"/>
      <c r="AA64" s="43"/>
      <c r="AB64" s="43"/>
      <c r="AC64" s="43"/>
      <c r="AD64" s="43"/>
      <c r="AE64" s="43"/>
      <c r="AF64" s="43"/>
      <c r="AG64" s="1130"/>
      <c r="AH64" s="43"/>
      <c r="AI64" s="43"/>
      <c r="AJ64" s="43"/>
      <c r="AK64" s="1130"/>
      <c r="AL64" s="43"/>
      <c r="AM64" s="43"/>
      <c r="AN64" s="43"/>
      <c r="AO64" s="1130"/>
      <c r="AP64" s="43"/>
      <c r="AQ64" s="43"/>
      <c r="AR64" s="43"/>
      <c r="AS64" s="1130"/>
      <c r="AT64" s="43"/>
      <c r="AU64" s="43"/>
      <c r="AV64" s="43"/>
      <c r="AW64" s="1130"/>
      <c r="AX64" s="43"/>
      <c r="AY64" s="43"/>
      <c r="AZ64" s="43"/>
      <c r="BA64" s="43"/>
      <c r="BB64" s="43"/>
      <c r="BC64" s="43"/>
      <c r="BD64" s="43"/>
      <c r="BE64" s="43"/>
      <c r="BF64" s="43"/>
      <c r="BG64" s="43"/>
      <c r="BH64" s="43"/>
      <c r="BI64" s="43"/>
      <c r="BJ64" s="43"/>
      <c r="BK64" s="43"/>
      <c r="BL64" s="1130"/>
      <c r="BM64" s="43"/>
      <c r="BN64" s="43"/>
      <c r="BO64" s="43"/>
      <c r="BP64" s="1130"/>
      <c r="BQ64" s="43"/>
      <c r="BR64" s="43"/>
      <c r="BS64" s="43"/>
      <c r="BT64" s="1130"/>
      <c r="BU64" s="43"/>
      <c r="BV64" s="43"/>
      <c r="BW64" s="43"/>
      <c r="BX64" s="1130"/>
      <c r="BY64" s="43"/>
      <c r="BZ64" s="43"/>
      <c r="CA64" s="43"/>
      <c r="CB64" s="1130"/>
      <c r="CC64" s="43"/>
      <c r="CD64" s="43"/>
      <c r="CE64" s="43"/>
      <c r="CF64" s="43"/>
    </row>
    <row r="65" spans="1:84" s="402" customFormat="1">
      <c r="A65" s="1128"/>
      <c r="B65" s="303"/>
      <c r="C65" s="303"/>
      <c r="D65" s="303"/>
      <c r="E65" s="303"/>
      <c r="F65" s="303"/>
      <c r="G65" s="303"/>
      <c r="H65" s="303"/>
      <c r="I65" s="43"/>
      <c r="J65" s="43"/>
      <c r="K65" s="43"/>
      <c r="L65" s="43"/>
      <c r="M65" s="1129"/>
      <c r="N65" s="43"/>
      <c r="O65" s="43"/>
      <c r="P65" s="43"/>
      <c r="Q65" s="43"/>
      <c r="R65" s="43"/>
      <c r="S65" s="43"/>
      <c r="T65" s="43"/>
      <c r="X65" s="222" t="str">
        <f t="shared" si="46"/>
        <v/>
      </c>
      <c r="Z65" s="43"/>
      <c r="AA65" s="43"/>
      <c r="AB65" s="43"/>
      <c r="AC65" s="43"/>
      <c r="AD65" s="43"/>
      <c r="AE65" s="43"/>
      <c r="AF65" s="43"/>
      <c r="AG65" s="1130"/>
      <c r="AH65" s="43"/>
      <c r="AI65" s="43"/>
      <c r="AJ65" s="43"/>
      <c r="AK65" s="1130"/>
      <c r="AL65" s="43"/>
      <c r="AM65" s="43"/>
      <c r="AN65" s="43"/>
      <c r="AO65" s="1130"/>
      <c r="AP65" s="43"/>
      <c r="AQ65" s="43"/>
      <c r="AR65" s="43"/>
      <c r="AS65" s="1130"/>
      <c r="AT65" s="43"/>
      <c r="AU65" s="43"/>
      <c r="AV65" s="43"/>
      <c r="AW65" s="1130"/>
      <c r="AX65" s="43"/>
      <c r="AY65" s="43"/>
      <c r="AZ65" s="43"/>
      <c r="BA65" s="43"/>
      <c r="BB65" s="43"/>
      <c r="BC65" s="43"/>
      <c r="BD65" s="43"/>
      <c r="BE65" s="43"/>
      <c r="BF65" s="43"/>
      <c r="BG65" s="43"/>
      <c r="BH65" s="43"/>
      <c r="BI65" s="43"/>
      <c r="BJ65" s="43"/>
      <c r="BK65" s="43"/>
      <c r="BL65" s="1130"/>
      <c r="BM65" s="43"/>
      <c r="BN65" s="43"/>
      <c r="BO65" s="43"/>
      <c r="BP65" s="1130"/>
      <c r="BQ65" s="43"/>
      <c r="BR65" s="43"/>
      <c r="BS65" s="43"/>
      <c r="BT65" s="1130"/>
      <c r="BU65" s="43"/>
      <c r="BV65" s="43"/>
      <c r="BW65" s="43"/>
      <c r="BX65" s="1130"/>
      <c r="BY65" s="43"/>
      <c r="BZ65" s="43"/>
      <c r="CA65" s="43"/>
      <c r="CB65" s="1130"/>
      <c r="CC65" s="43"/>
      <c r="CD65" s="43"/>
      <c r="CE65" s="43"/>
      <c r="CF65" s="43"/>
    </row>
    <row r="66" spans="1:84" s="402" customFormat="1">
      <c r="A66" s="1128"/>
      <c r="B66" s="303"/>
      <c r="C66" s="303"/>
      <c r="D66" s="303"/>
      <c r="E66" s="303"/>
      <c r="F66" s="303"/>
      <c r="G66" s="303"/>
      <c r="H66" s="303"/>
      <c r="I66" s="43"/>
      <c r="J66" s="43"/>
      <c r="K66" s="43"/>
      <c r="L66" s="43"/>
      <c r="M66" s="1129"/>
      <c r="N66" s="43"/>
      <c r="O66" s="43"/>
      <c r="P66" s="43"/>
      <c r="Q66" s="43"/>
      <c r="R66" s="43"/>
      <c r="S66" s="43"/>
      <c r="T66" s="43"/>
      <c r="X66" s="222" t="str">
        <f t="shared" si="46"/>
        <v/>
      </c>
      <c r="Z66" s="43"/>
      <c r="AA66" s="43"/>
      <c r="AB66" s="43"/>
      <c r="AC66" s="43"/>
      <c r="AD66" s="43"/>
      <c r="AE66" s="43"/>
      <c r="AF66" s="43"/>
      <c r="AG66" s="1130"/>
      <c r="AH66" s="43"/>
      <c r="AI66" s="43"/>
      <c r="AJ66" s="43"/>
      <c r="AK66" s="1130"/>
      <c r="AL66" s="43"/>
      <c r="AM66" s="43"/>
      <c r="AN66" s="43"/>
      <c r="AO66" s="1130"/>
      <c r="AP66" s="43"/>
      <c r="AQ66" s="43"/>
      <c r="AR66" s="43"/>
      <c r="AS66" s="1130"/>
      <c r="AT66" s="43"/>
      <c r="AU66" s="43"/>
      <c r="AV66" s="43"/>
      <c r="AW66" s="1130"/>
      <c r="AX66" s="43"/>
      <c r="AY66" s="43"/>
      <c r="AZ66" s="43"/>
      <c r="BA66" s="43"/>
      <c r="BB66" s="43"/>
      <c r="BC66" s="43"/>
      <c r="BD66" s="43"/>
      <c r="BE66" s="43"/>
      <c r="BF66" s="43"/>
      <c r="BG66" s="43"/>
      <c r="BH66" s="43"/>
      <c r="BI66" s="43"/>
      <c r="BJ66" s="43"/>
      <c r="BK66" s="43"/>
      <c r="BL66" s="1130"/>
      <c r="BM66" s="43"/>
      <c r="BN66" s="43"/>
      <c r="BO66" s="43"/>
      <c r="BP66" s="1130"/>
      <c r="BQ66" s="43"/>
      <c r="BR66" s="43"/>
      <c r="BS66" s="43"/>
      <c r="BT66" s="1130"/>
      <c r="BU66" s="43"/>
      <c r="BV66" s="43"/>
      <c r="BW66" s="43"/>
      <c r="BX66" s="1130"/>
      <c r="BY66" s="43"/>
      <c r="BZ66" s="43"/>
      <c r="CA66" s="43"/>
      <c r="CB66" s="1130"/>
      <c r="CC66" s="43"/>
      <c r="CD66" s="43"/>
      <c r="CE66" s="43"/>
      <c r="CF66" s="43"/>
    </row>
    <row r="67" spans="1:84" s="402" customFormat="1">
      <c r="A67" s="1128"/>
      <c r="B67" s="303"/>
      <c r="C67" s="303"/>
      <c r="D67" s="303"/>
      <c r="E67" s="303"/>
      <c r="F67" s="303"/>
      <c r="G67" s="303"/>
      <c r="H67" s="303"/>
      <c r="I67" s="43"/>
      <c r="J67" s="43"/>
      <c r="K67" s="43"/>
      <c r="L67" s="43"/>
      <c r="M67" s="1129"/>
      <c r="N67" s="43"/>
      <c r="O67" s="43"/>
      <c r="P67" s="43"/>
      <c r="Q67" s="43"/>
      <c r="R67" s="43"/>
      <c r="S67" s="43"/>
      <c r="T67" s="43"/>
      <c r="X67" s="222" t="str">
        <f t="shared" si="46"/>
        <v/>
      </c>
      <c r="Z67" s="43"/>
      <c r="AA67" s="43"/>
      <c r="AB67" s="43"/>
      <c r="AC67" s="43"/>
      <c r="AD67" s="43"/>
      <c r="AE67" s="43"/>
      <c r="AF67" s="43"/>
      <c r="AG67" s="1130"/>
      <c r="AH67" s="43"/>
      <c r="AI67" s="43"/>
      <c r="AJ67" s="43"/>
      <c r="AK67" s="1130"/>
      <c r="AL67" s="43"/>
      <c r="AM67" s="43"/>
      <c r="AN67" s="43"/>
      <c r="AO67" s="1130"/>
      <c r="AP67" s="43"/>
      <c r="AQ67" s="43"/>
      <c r="AR67" s="43"/>
      <c r="AS67" s="1130"/>
      <c r="AT67" s="43"/>
      <c r="AU67" s="43"/>
      <c r="AV67" s="43"/>
      <c r="AW67" s="1130"/>
      <c r="AX67" s="43"/>
      <c r="AY67" s="43"/>
      <c r="AZ67" s="43"/>
      <c r="BA67" s="43"/>
      <c r="BB67" s="43"/>
      <c r="BC67" s="43"/>
      <c r="BD67" s="43"/>
      <c r="BE67" s="43"/>
      <c r="BF67" s="43"/>
      <c r="BG67" s="43"/>
      <c r="BH67" s="43"/>
      <c r="BI67" s="43"/>
      <c r="BJ67" s="43"/>
      <c r="BK67" s="43"/>
      <c r="BL67" s="1130"/>
      <c r="BM67" s="43"/>
      <c r="BN67" s="43"/>
      <c r="BO67" s="43"/>
      <c r="BP67" s="1130"/>
      <c r="BQ67" s="43"/>
      <c r="BR67" s="43"/>
      <c r="BS67" s="43"/>
      <c r="BT67" s="1130"/>
      <c r="BU67" s="43"/>
      <c r="BV67" s="43"/>
      <c r="BW67" s="43"/>
      <c r="BX67" s="1130"/>
      <c r="BY67" s="43"/>
      <c r="BZ67" s="43"/>
      <c r="CA67" s="43"/>
      <c r="CB67" s="1130"/>
      <c r="CC67" s="43"/>
      <c r="CD67" s="43"/>
      <c r="CE67" s="43"/>
      <c r="CF67" s="43"/>
    </row>
    <row r="68" spans="1:84" s="402" customFormat="1">
      <c r="A68" s="1128"/>
      <c r="B68" s="303"/>
      <c r="C68" s="303"/>
      <c r="D68" s="303"/>
      <c r="E68" s="303"/>
      <c r="F68" s="303"/>
      <c r="G68" s="303"/>
      <c r="H68" s="303"/>
      <c r="I68" s="43"/>
      <c r="J68" s="43"/>
      <c r="K68" s="43"/>
      <c r="L68" s="43"/>
      <c r="M68" s="1129"/>
      <c r="N68" s="43"/>
      <c r="O68" s="43"/>
      <c r="P68" s="43"/>
      <c r="Q68" s="43"/>
      <c r="R68" s="43"/>
      <c r="S68" s="43"/>
      <c r="T68" s="43"/>
      <c r="X68" s="222" t="str">
        <f t="shared" si="46"/>
        <v/>
      </c>
      <c r="Z68" s="43"/>
      <c r="AA68" s="43"/>
      <c r="AB68" s="43"/>
      <c r="AC68" s="43"/>
      <c r="AD68" s="43"/>
      <c r="AE68" s="43"/>
      <c r="AF68" s="43"/>
      <c r="AG68" s="1130"/>
      <c r="AH68" s="43"/>
      <c r="AI68" s="43"/>
      <c r="AJ68" s="43"/>
      <c r="AK68" s="1130"/>
      <c r="AL68" s="43"/>
      <c r="AM68" s="43"/>
      <c r="AN68" s="43"/>
      <c r="AO68" s="1130"/>
      <c r="AP68" s="43"/>
      <c r="AQ68" s="43"/>
      <c r="AR68" s="43"/>
      <c r="AS68" s="1130"/>
      <c r="AT68" s="43"/>
      <c r="AU68" s="43"/>
      <c r="AV68" s="43"/>
      <c r="AW68" s="1130"/>
      <c r="AX68" s="43"/>
      <c r="AY68" s="43"/>
      <c r="AZ68" s="43"/>
      <c r="BA68" s="43"/>
      <c r="BB68" s="43"/>
      <c r="BC68" s="43"/>
      <c r="BD68" s="43"/>
      <c r="BE68" s="43"/>
      <c r="BF68" s="43"/>
      <c r="BG68" s="43"/>
      <c r="BH68" s="43"/>
      <c r="BI68" s="43"/>
      <c r="BJ68" s="43"/>
      <c r="BK68" s="43"/>
      <c r="BL68" s="1130"/>
      <c r="BM68" s="43"/>
      <c r="BN68" s="43"/>
      <c r="BO68" s="43"/>
      <c r="BP68" s="1130"/>
      <c r="BQ68" s="43"/>
      <c r="BR68" s="43"/>
      <c r="BS68" s="43"/>
      <c r="BT68" s="1130"/>
      <c r="BU68" s="43"/>
      <c r="BV68" s="43"/>
      <c r="BW68" s="43"/>
      <c r="BX68" s="1130"/>
      <c r="BY68" s="43"/>
      <c r="BZ68" s="43"/>
      <c r="CA68" s="43"/>
      <c r="CB68" s="1130"/>
      <c r="CC68" s="43"/>
      <c r="CD68" s="43"/>
      <c r="CE68" s="43"/>
      <c r="CF68" s="43"/>
    </row>
    <row r="69" spans="1:84" s="402" customFormat="1">
      <c r="A69" s="1128"/>
      <c r="B69" s="303"/>
      <c r="C69" s="303"/>
      <c r="D69" s="303"/>
      <c r="E69" s="303"/>
      <c r="F69" s="303"/>
      <c r="G69" s="303"/>
      <c r="H69" s="303"/>
      <c r="I69" s="43"/>
      <c r="J69" s="43"/>
      <c r="K69" s="43"/>
      <c r="L69" s="43"/>
      <c r="M69" s="1129"/>
      <c r="N69" s="43"/>
      <c r="O69" s="43"/>
      <c r="P69" s="43"/>
      <c r="Q69" s="43"/>
      <c r="R69" s="43"/>
      <c r="S69" s="43"/>
      <c r="T69" s="43"/>
      <c r="X69" s="222" t="str">
        <f t="shared" si="46"/>
        <v/>
      </c>
      <c r="Z69" s="43"/>
      <c r="AA69" s="43"/>
      <c r="AB69" s="43"/>
      <c r="AC69" s="43"/>
      <c r="AD69" s="43"/>
      <c r="AE69" s="43"/>
      <c r="AF69" s="43"/>
      <c r="AG69" s="1130"/>
      <c r="AH69" s="43"/>
      <c r="AI69" s="43"/>
      <c r="AJ69" s="43"/>
      <c r="AK69" s="1130"/>
      <c r="AL69" s="43"/>
      <c r="AM69" s="43"/>
      <c r="AN69" s="43"/>
      <c r="AO69" s="1130"/>
      <c r="AP69" s="43"/>
      <c r="AQ69" s="43"/>
      <c r="AR69" s="43"/>
      <c r="AS69" s="1130"/>
      <c r="AT69" s="43"/>
      <c r="AU69" s="43"/>
      <c r="AV69" s="43"/>
      <c r="AW69" s="1130"/>
      <c r="AX69" s="43"/>
      <c r="AY69" s="43"/>
      <c r="AZ69" s="43"/>
      <c r="BA69" s="43"/>
      <c r="BB69" s="43"/>
      <c r="BC69" s="43"/>
      <c r="BD69" s="43"/>
      <c r="BE69" s="43"/>
      <c r="BF69" s="43"/>
      <c r="BG69" s="43"/>
      <c r="BH69" s="43"/>
      <c r="BI69" s="43"/>
      <c r="BJ69" s="43"/>
      <c r="BK69" s="43"/>
      <c r="BL69" s="1130"/>
      <c r="BM69" s="43"/>
      <c r="BN69" s="43"/>
      <c r="BO69" s="43"/>
      <c r="BP69" s="1130"/>
      <c r="BQ69" s="43"/>
      <c r="BR69" s="43"/>
      <c r="BS69" s="43"/>
      <c r="BT69" s="1130"/>
      <c r="BU69" s="43"/>
      <c r="BV69" s="43"/>
      <c r="BW69" s="43"/>
      <c r="BX69" s="1130"/>
      <c r="BY69" s="43"/>
      <c r="BZ69" s="43"/>
      <c r="CA69" s="43"/>
      <c r="CB69" s="1130"/>
      <c r="CC69" s="43"/>
      <c r="CD69" s="43"/>
      <c r="CE69" s="43"/>
      <c r="CF69" s="43"/>
    </row>
  </sheetData>
  <mergeCells count="1">
    <mergeCell ref="U1:W1"/>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85188-6636-487E-999E-A8F1968F57EE}">
  <sheetPr>
    <tabColor theme="5" tint="0.39997558519241921"/>
  </sheetPr>
  <dimension ref="A3:AG788"/>
  <sheetViews>
    <sheetView topLeftCell="A3" zoomScaleNormal="100" workbookViewId="0">
      <selection activeCell="B9" sqref="B9"/>
    </sheetView>
  </sheetViews>
  <sheetFormatPr defaultColWidth="9.140625" defaultRowHeight="15"/>
  <cols>
    <col min="1" max="1" width="39.140625" style="1" customWidth="1"/>
    <col min="2" max="2" width="13.42578125" style="1" customWidth="1"/>
    <col min="3" max="8" width="15" style="1" customWidth="1"/>
    <col min="9" max="12" width="11" style="1" customWidth="1"/>
    <col min="13" max="28" width="9.140625" style="1"/>
    <col min="29" max="29" width="18.85546875" style="1" customWidth="1"/>
    <col min="30" max="31" width="9.140625" style="1"/>
    <col min="32" max="32" width="15.85546875" style="1" customWidth="1"/>
    <col min="33" max="16384" width="9.140625" style="1"/>
  </cols>
  <sheetData>
    <row r="3" spans="1:33" ht="15.75" thickBot="1">
      <c r="A3" s="193" t="s">
        <v>917</v>
      </c>
      <c r="B3" s="196"/>
      <c r="C3" s="196"/>
      <c r="D3" s="196"/>
      <c r="E3" s="196"/>
      <c r="F3" s="196"/>
      <c r="G3" s="565"/>
      <c r="H3" s="1632"/>
      <c r="I3" s="1632"/>
      <c r="J3" s="1632"/>
      <c r="K3" s="1632"/>
      <c r="L3" s="1632"/>
      <c r="M3" s="1632"/>
      <c r="N3" s="1632"/>
      <c r="O3" s="1632"/>
      <c r="P3" s="1632"/>
      <c r="AC3" s="1" t="s">
        <v>918</v>
      </c>
      <c r="AF3" s="1" t="s">
        <v>919</v>
      </c>
    </row>
    <row r="4" spans="1:33" ht="26.25" customHeight="1" thickBot="1">
      <c r="A4" s="193" t="s">
        <v>920</v>
      </c>
      <c r="B4" s="196"/>
      <c r="C4" s="1611" t="s">
        <v>921</v>
      </c>
      <c r="D4" s="1612"/>
      <c r="E4" s="1612"/>
      <c r="F4" s="1612"/>
      <c r="G4" s="564"/>
      <c r="H4" s="564"/>
      <c r="I4" s="564"/>
      <c r="J4" s="564"/>
      <c r="K4" s="564"/>
      <c r="L4" s="564"/>
      <c r="M4" s="564"/>
      <c r="N4" s="564"/>
      <c r="O4" s="564"/>
      <c r="P4" s="564"/>
      <c r="AC4" s="561" t="s">
        <v>338</v>
      </c>
      <c r="AD4" s="561" t="s">
        <v>922</v>
      </c>
      <c r="AF4" s="955" t="s">
        <v>923</v>
      </c>
      <c r="AG4" s="955" t="s">
        <v>924</v>
      </c>
    </row>
    <row r="5" spans="1:33">
      <c r="A5" s="1311" t="s">
        <v>925</v>
      </c>
      <c r="B5" s="1312">
        <f>AVERAGE(AD5:AD786)/100</f>
        <v>3.0165511508951456E-2</v>
      </c>
      <c r="C5" s="1633" t="s">
        <v>926</v>
      </c>
      <c r="D5" s="1633"/>
      <c r="E5" s="1633"/>
      <c r="F5" s="1633"/>
      <c r="G5" s="1633"/>
      <c r="H5" s="1633"/>
      <c r="I5" s="1633"/>
      <c r="J5" s="1634"/>
      <c r="K5" s="1634"/>
      <c r="L5" s="1634"/>
      <c r="AC5" s="954">
        <v>45118</v>
      </c>
      <c r="AD5" s="561">
        <v>2.8559999999999999</v>
      </c>
      <c r="AF5" s="954">
        <v>45180</v>
      </c>
      <c r="AG5" s="955">
        <v>1.8819999999999999</v>
      </c>
    </row>
    <row r="6" spans="1:33">
      <c r="A6" s="1311" t="s">
        <v>927</v>
      </c>
      <c r="B6" s="1312">
        <f>ERP!E193</f>
        <v>9.5699999999999993E-2</v>
      </c>
      <c r="C6" s="1633" t="s">
        <v>928</v>
      </c>
      <c r="D6" s="1633"/>
      <c r="E6" s="1633"/>
      <c r="F6" s="1633"/>
      <c r="G6" s="1313"/>
      <c r="H6" s="1633"/>
      <c r="I6" s="1633"/>
      <c r="J6" s="1634"/>
      <c r="K6" s="1634"/>
      <c r="L6" s="1634"/>
      <c r="AC6" s="954">
        <v>45088</v>
      </c>
      <c r="AD6" s="561">
        <v>2.95</v>
      </c>
      <c r="AF6" s="954">
        <v>45149</v>
      </c>
      <c r="AG6" s="955">
        <v>1.8680000000000001</v>
      </c>
    </row>
    <row r="7" spans="1:33">
      <c r="A7" s="1311" t="s">
        <v>929</v>
      </c>
      <c r="B7" s="1314">
        <f>F56</f>
        <v>0.72501906187148646</v>
      </c>
      <c r="C7" s="1315" t="s">
        <v>930</v>
      </c>
      <c r="D7" s="1633"/>
      <c r="E7" s="1633"/>
      <c r="F7" s="1633"/>
      <c r="G7" s="1633"/>
      <c r="H7" s="1633"/>
      <c r="I7" s="1633"/>
      <c r="J7" s="1634"/>
      <c r="K7" s="1634"/>
      <c r="L7" s="1634"/>
      <c r="AC7" s="954">
        <v>44996</v>
      </c>
      <c r="AD7" s="561">
        <v>2.9910000000000001</v>
      </c>
      <c r="AF7" s="954">
        <v>45118</v>
      </c>
      <c r="AG7" s="955">
        <v>1.9950000000000001</v>
      </c>
    </row>
    <row r="8" spans="1:33">
      <c r="A8" s="1311" t="s">
        <v>931</v>
      </c>
      <c r="B8" s="1316">
        <f>F57</f>
        <v>1.1624061182030783</v>
      </c>
      <c r="C8" s="1633" t="s">
        <v>932</v>
      </c>
      <c r="D8" s="1633"/>
      <c r="E8" s="1633"/>
      <c r="F8" s="1633"/>
      <c r="G8" s="1633"/>
      <c r="H8" s="1633"/>
      <c r="I8" s="1633"/>
      <c r="J8" s="1634"/>
      <c r="K8" s="1634"/>
      <c r="L8" s="1634"/>
      <c r="AC8" s="954">
        <v>44968</v>
      </c>
      <c r="AD8" s="561">
        <v>3.0150000000000001</v>
      </c>
      <c r="AF8" s="954">
        <v>45088</v>
      </c>
      <c r="AG8" s="955">
        <v>1.9830000000000001</v>
      </c>
    </row>
    <row r="9" spans="1:33">
      <c r="A9" s="167" t="s">
        <v>933</v>
      </c>
      <c r="B9" s="159">
        <f>IF((B5+B8*B6) &lt; 16%, MAX((B5+B8*B6),12%), 16%)</f>
        <v>0.14140777702098606</v>
      </c>
      <c r="C9" s="1633" t="s">
        <v>934</v>
      </c>
      <c r="D9" s="1633"/>
      <c r="E9" s="1633"/>
      <c r="F9" s="1633"/>
      <c r="G9" s="1633"/>
      <c r="H9" s="1633"/>
      <c r="I9" s="1633"/>
      <c r="J9" s="1634"/>
      <c r="K9" s="1634"/>
      <c r="L9" s="1634"/>
      <c r="AC9" s="954">
        <v>44937</v>
      </c>
      <c r="AD9" s="561">
        <v>3.028</v>
      </c>
      <c r="AF9" s="954">
        <v>44996</v>
      </c>
      <c r="AG9" s="955">
        <v>2.0089999999999999</v>
      </c>
    </row>
    <row r="10" spans="1:33">
      <c r="A10" s="1311" t="s">
        <v>24</v>
      </c>
      <c r="B10" s="1312">
        <f>B26</f>
        <v>5.8488864012663774E-2</v>
      </c>
      <c r="C10" s="1317" t="s">
        <v>935</v>
      </c>
      <c r="D10" s="1633"/>
      <c r="E10" s="1633"/>
      <c r="F10" s="1633"/>
      <c r="G10" s="1633"/>
      <c r="H10" s="1633"/>
      <c r="I10" s="1633"/>
      <c r="J10" s="1634"/>
      <c r="K10" s="1634"/>
      <c r="L10" s="1634"/>
      <c r="AC10" s="955" t="s">
        <v>936</v>
      </c>
      <c r="AD10" s="561">
        <v>3.0670000000000002</v>
      </c>
      <c r="AF10" s="954">
        <v>44968</v>
      </c>
      <c r="AG10" s="955">
        <v>2.0099999999999998</v>
      </c>
    </row>
    <row r="11" spans="1:33" ht="16.5" customHeight="1">
      <c r="A11" s="1311" t="s">
        <v>25</v>
      </c>
      <c r="B11" s="160">
        <f>AVERAGE('A. FS'!L70:M70)</f>
        <v>0.20423041619018223</v>
      </c>
      <c r="C11" s="1318"/>
      <c r="D11" s="1635"/>
      <c r="E11" s="1633"/>
      <c r="F11" s="1633"/>
      <c r="G11" s="1633"/>
      <c r="H11" s="1633"/>
      <c r="I11" s="1633"/>
      <c r="J11" s="1634"/>
      <c r="K11" s="1634"/>
      <c r="L11" s="1634"/>
      <c r="AC11" s="955" t="s">
        <v>937</v>
      </c>
      <c r="AD11" s="561">
        <v>3.0670000000000002</v>
      </c>
      <c r="AF11" s="954">
        <v>44937</v>
      </c>
      <c r="AG11" s="955">
        <v>2.0089999999999999</v>
      </c>
    </row>
    <row r="12" spans="1:33" ht="16.5" customHeight="1">
      <c r="A12" s="1311" t="s">
        <v>938</v>
      </c>
      <c r="B12" s="160">
        <f>B10*(1-B11)</f>
        <v>4.6543658972866477E-2</v>
      </c>
      <c r="C12" s="1633"/>
      <c r="D12" s="1633"/>
      <c r="E12" s="1633"/>
      <c r="F12" s="1633"/>
      <c r="G12" s="1633"/>
      <c r="H12" s="1633"/>
      <c r="I12" s="1633"/>
      <c r="J12" s="1634"/>
      <c r="K12" s="1634"/>
      <c r="L12" s="1634"/>
      <c r="AC12" s="955" t="s">
        <v>939</v>
      </c>
      <c r="AD12" s="561">
        <v>3.0819999999999999</v>
      </c>
      <c r="AF12" s="955" t="s">
        <v>936</v>
      </c>
      <c r="AG12" s="955">
        <v>2.0179999999999998</v>
      </c>
    </row>
    <row r="13" spans="1:33" ht="16.5" customHeight="1">
      <c r="A13" s="1311" t="s">
        <v>940</v>
      </c>
      <c r="B13" s="160">
        <v>0.8</v>
      </c>
      <c r="C13" s="1633" t="s">
        <v>941</v>
      </c>
      <c r="D13" s="1633"/>
      <c r="E13" s="1633"/>
      <c r="F13" s="1633"/>
      <c r="G13" s="1633"/>
      <c r="H13" s="1633"/>
      <c r="I13" s="1633"/>
      <c r="J13" s="1634"/>
      <c r="K13" s="1634"/>
      <c r="L13" s="1634"/>
      <c r="AC13" s="955" t="s">
        <v>942</v>
      </c>
      <c r="AD13" s="561">
        <v>3.105</v>
      </c>
      <c r="AF13" s="955" t="s">
        <v>937</v>
      </c>
      <c r="AG13" s="955">
        <v>2.0190000000000001</v>
      </c>
    </row>
    <row r="14" spans="1:33">
      <c r="A14" s="1311" t="s">
        <v>943</v>
      </c>
      <c r="B14" s="160">
        <f>1-B13</f>
        <v>0.19999999999999996</v>
      </c>
      <c r="C14" s="1633" t="s">
        <v>944</v>
      </c>
      <c r="D14" s="1633"/>
      <c r="E14" s="1636" t="s">
        <v>945</v>
      </c>
      <c r="F14" s="1319">
        <f>'A. FCFF'!A39</f>
        <v>0</v>
      </c>
      <c r="G14" s="1633"/>
      <c r="H14" s="1633"/>
      <c r="I14" s="1633"/>
      <c r="J14" s="1634"/>
      <c r="K14" s="1634"/>
      <c r="L14" s="1634"/>
      <c r="AC14" s="955" t="s">
        <v>946</v>
      </c>
      <c r="AD14" s="561">
        <v>3.117</v>
      </c>
      <c r="AF14" s="955" t="s">
        <v>939</v>
      </c>
      <c r="AG14" s="955">
        <v>1.9970000000000001</v>
      </c>
    </row>
    <row r="15" spans="1:33">
      <c r="A15" s="193" t="s">
        <v>947</v>
      </c>
      <c r="B15" s="194">
        <f>B13*B9+B14*B12</f>
        <v>0.12243495341136215</v>
      </c>
      <c r="C15" s="1633"/>
      <c r="D15" s="1633"/>
      <c r="E15" s="1633"/>
      <c r="F15" s="1633"/>
      <c r="G15" s="1633"/>
      <c r="H15" s="1633"/>
      <c r="I15" s="1633"/>
      <c r="J15" s="1634"/>
      <c r="K15" s="1634"/>
      <c r="L15" s="1634"/>
      <c r="AC15" s="955" t="s">
        <v>948</v>
      </c>
      <c r="AD15" s="561">
        <v>3.218</v>
      </c>
      <c r="AF15" s="955" t="s">
        <v>942</v>
      </c>
      <c r="AG15" s="955">
        <v>2.0059999999999998</v>
      </c>
    </row>
    <row r="16" spans="1:33">
      <c r="A16" s="1637"/>
      <c r="B16" s="1634"/>
      <c r="C16" s="1634"/>
      <c r="D16" s="1634"/>
      <c r="E16" s="1634"/>
      <c r="F16" s="1634"/>
      <c r="G16" s="1634"/>
      <c r="H16" s="1634"/>
      <c r="I16" s="1634"/>
      <c r="J16" s="1634"/>
      <c r="K16" s="1634"/>
      <c r="L16" s="1634"/>
      <c r="AC16" s="955" t="s">
        <v>949</v>
      </c>
      <c r="AD16" s="561">
        <v>3.2469999999999999</v>
      </c>
      <c r="AF16" s="955" t="s">
        <v>946</v>
      </c>
      <c r="AG16" s="955">
        <v>2.0070000000000001</v>
      </c>
    </row>
    <row r="17" spans="1:33">
      <c r="A17" s="192" t="s">
        <v>950</v>
      </c>
      <c r="B17" s="195"/>
      <c r="C17" s="1634"/>
      <c r="D17" s="1634"/>
      <c r="E17" s="1634"/>
      <c r="F17" s="1634"/>
      <c r="G17" s="1634"/>
      <c r="H17" s="1634"/>
      <c r="I17" s="1634"/>
      <c r="J17" s="1634"/>
      <c r="K17" s="1634"/>
      <c r="L17" s="1634"/>
      <c r="AC17" s="955" t="s">
        <v>951</v>
      </c>
      <c r="AD17" s="561">
        <v>3.2530000000000001</v>
      </c>
      <c r="AF17" s="955" t="s">
        <v>948</v>
      </c>
      <c r="AG17" s="955">
        <v>2.032</v>
      </c>
    </row>
    <row r="18" spans="1:33">
      <c r="A18" s="1311" t="s">
        <v>952</v>
      </c>
      <c r="B18" s="161">
        <f>'A. FCFF'!K34*'A. FCFF'!K32</f>
        <v>8604.2581609999997</v>
      </c>
      <c r="C18" s="1634"/>
      <c r="D18" s="1634"/>
      <c r="E18" s="1634"/>
      <c r="F18" s="1634"/>
      <c r="G18" s="1634"/>
      <c r="H18" s="1634"/>
      <c r="I18" s="1634"/>
      <c r="J18" s="1634"/>
      <c r="K18" s="1634"/>
      <c r="L18" s="1634"/>
      <c r="AC18" s="955" t="s">
        <v>953</v>
      </c>
      <c r="AD18" s="561">
        <v>3.1880000000000002</v>
      </c>
      <c r="AF18" s="955" t="s">
        <v>949</v>
      </c>
      <c r="AG18" s="955">
        <v>2.0329999999999999</v>
      </c>
    </row>
    <row r="19" spans="1:33">
      <c r="A19" s="1637" t="s">
        <v>954</v>
      </c>
      <c r="B19" s="1638">
        <f>('A. FS'!AW121+'A. FS'!AW126)</f>
        <v>2031.94</v>
      </c>
      <c r="D19" s="1634"/>
      <c r="E19" s="1634"/>
      <c r="F19" s="1634"/>
      <c r="G19" s="1634"/>
      <c r="H19" s="1634"/>
      <c r="I19" s="1634"/>
      <c r="J19" s="1634"/>
      <c r="K19" s="1634"/>
      <c r="L19" s="1634"/>
      <c r="AC19" s="955" t="s">
        <v>955</v>
      </c>
      <c r="AD19" s="561">
        <v>3.0579999999999998</v>
      </c>
      <c r="AF19" s="955" t="s">
        <v>951</v>
      </c>
      <c r="AG19" s="955">
        <v>2.0270000000000001</v>
      </c>
    </row>
    <row r="20" spans="1:33">
      <c r="A20" s="1637" t="s">
        <v>956</v>
      </c>
      <c r="B20" s="1639">
        <f>B18/(B18+B19)</f>
        <v>0.80895993387462795</v>
      </c>
      <c r="C20" s="1634"/>
      <c r="D20" s="1634"/>
      <c r="E20" s="1634"/>
      <c r="F20" s="1634"/>
      <c r="G20" s="1634"/>
      <c r="H20" s="1634"/>
      <c r="I20" s="1634"/>
      <c r="J20" s="1634"/>
      <c r="K20" s="1634"/>
      <c r="L20" s="1634"/>
      <c r="AC20" s="955" t="s">
        <v>957</v>
      </c>
      <c r="AD20" s="561">
        <v>3.0459999999999998</v>
      </c>
      <c r="AF20" s="955" t="s">
        <v>953</v>
      </c>
      <c r="AG20" s="955">
        <v>2.0230000000000001</v>
      </c>
    </row>
    <row r="21" spans="1:33">
      <c r="A21" s="1637" t="s">
        <v>958</v>
      </c>
      <c r="B21" s="1639">
        <f>B19/(B18+B19)</f>
        <v>0.191040066125372</v>
      </c>
      <c r="C21" s="1634"/>
      <c r="D21" s="1634"/>
      <c r="E21" s="1634"/>
      <c r="F21" s="1634"/>
      <c r="G21" s="1634"/>
      <c r="H21" s="1634"/>
      <c r="I21" s="1634"/>
      <c r="J21" s="1634"/>
      <c r="K21" s="1634"/>
      <c r="L21" s="1634"/>
      <c r="AC21" s="955" t="s">
        <v>959</v>
      </c>
      <c r="AD21" s="561">
        <v>3.0339999999999998</v>
      </c>
      <c r="AF21" s="955" t="s">
        <v>955</v>
      </c>
      <c r="AG21" s="955">
        <v>1.9830000000000001</v>
      </c>
    </row>
    <row r="22" spans="1:33">
      <c r="AC22" s="955" t="s">
        <v>960</v>
      </c>
      <c r="AD22" s="561">
        <v>3.0270000000000001</v>
      </c>
      <c r="AF22" s="955" t="s">
        <v>957</v>
      </c>
      <c r="AG22" s="955">
        <v>1.982</v>
      </c>
    </row>
    <row r="23" spans="1:33">
      <c r="A23" s="192" t="s">
        <v>24</v>
      </c>
      <c r="B23" s="773"/>
      <c r="C23" s="775" t="s">
        <v>9</v>
      </c>
      <c r="AC23" s="954">
        <v>45270</v>
      </c>
      <c r="AD23" s="561">
        <v>2.9950000000000001</v>
      </c>
      <c r="AF23" s="955" t="s">
        <v>959</v>
      </c>
      <c r="AG23" s="955">
        <v>1.9830000000000001</v>
      </c>
    </row>
    <row r="24" spans="1:33">
      <c r="A24" s="1311" t="s">
        <v>961</v>
      </c>
      <c r="B24" s="774">
        <f>SUMPRODUCT('A. FS'!I200:M200,'A. FS'!I202:M202)/SUM('A. FS'!I200:M200)</f>
        <v>5.1800802004919405E-2</v>
      </c>
      <c r="C24" s="1243">
        <v>0.5</v>
      </c>
      <c r="AC24" s="954">
        <v>45240</v>
      </c>
      <c r="AD24" s="561">
        <v>3.0230000000000001</v>
      </c>
      <c r="AF24" s="955" t="s">
        <v>960</v>
      </c>
      <c r="AG24" s="955">
        <v>1.984</v>
      </c>
    </row>
    <row r="25" spans="1:33">
      <c r="A25" s="1637" t="s">
        <v>962</v>
      </c>
      <c r="B25" s="1640">
        <f>B69</f>
        <v>6.5176926020408144E-2</v>
      </c>
      <c r="C25" s="1243">
        <v>0.5</v>
      </c>
      <c r="AC25" s="954">
        <v>45209</v>
      </c>
      <c r="AD25" s="561">
        <v>3.0329999999999999</v>
      </c>
      <c r="AF25" s="954">
        <v>45270</v>
      </c>
      <c r="AG25" s="955">
        <v>1.9530000000000001</v>
      </c>
    </row>
    <row r="26" spans="1:33">
      <c r="A26" s="1320" t="s">
        <v>596</v>
      </c>
      <c r="B26" s="1321">
        <f>B24*C24+B25*C25</f>
        <v>5.8488864012663774E-2</v>
      </c>
      <c r="C26" s="1243">
        <v>1</v>
      </c>
      <c r="AC26" s="954">
        <v>45179</v>
      </c>
      <c r="AD26" s="561">
        <v>3.0409999999999999</v>
      </c>
      <c r="AF26" s="954">
        <v>45240</v>
      </c>
      <c r="AG26" s="955">
        <v>1.978</v>
      </c>
    </row>
    <row r="27" spans="1:33">
      <c r="A27" s="1637"/>
      <c r="B27" s="1639"/>
      <c r="AC27" s="954">
        <v>45087</v>
      </c>
      <c r="AD27" s="561">
        <v>3.036</v>
      </c>
      <c r="AF27" s="954">
        <v>45209</v>
      </c>
      <c r="AG27" s="955">
        <v>1.9870000000000001</v>
      </c>
    </row>
    <row r="28" spans="1:33">
      <c r="AC28" s="954">
        <v>45056</v>
      </c>
      <c r="AD28" s="561">
        <v>3.0489999999999999</v>
      </c>
      <c r="AF28" s="954">
        <v>45179</v>
      </c>
      <c r="AG28" s="955">
        <v>1.9390000000000001</v>
      </c>
    </row>
    <row r="29" spans="1:33">
      <c r="AC29" s="954">
        <v>45026</v>
      </c>
      <c r="AD29" s="561">
        <v>3.028</v>
      </c>
      <c r="AF29" s="954">
        <v>45087</v>
      </c>
      <c r="AG29" s="955">
        <v>1.9690000000000001</v>
      </c>
    </row>
    <row r="30" spans="1:33">
      <c r="AC30" s="954">
        <v>44995</v>
      </c>
      <c r="AD30" s="561">
        <v>2.9660000000000002</v>
      </c>
      <c r="AF30" s="954">
        <v>45056</v>
      </c>
      <c r="AG30" s="955">
        <v>1.9510000000000001</v>
      </c>
    </row>
    <row r="31" spans="1:33">
      <c r="AC31" s="954">
        <v>44967</v>
      </c>
      <c r="AD31" s="561">
        <v>2.8580000000000001</v>
      </c>
      <c r="AF31" s="954">
        <v>45026</v>
      </c>
      <c r="AG31" s="955">
        <v>1.9379999999999999</v>
      </c>
    </row>
    <row r="32" spans="1:33">
      <c r="AC32" s="955" t="s">
        <v>963</v>
      </c>
      <c r="AD32" s="561">
        <v>2.8380000000000001</v>
      </c>
      <c r="AF32" s="954">
        <v>44995</v>
      </c>
      <c r="AG32" s="955">
        <v>1.929</v>
      </c>
    </row>
    <row r="33" spans="1:33">
      <c r="AC33" s="955" t="s">
        <v>964</v>
      </c>
      <c r="AD33" s="561">
        <v>2.798</v>
      </c>
      <c r="AF33" s="954">
        <v>44967</v>
      </c>
      <c r="AG33" s="955">
        <v>1.907</v>
      </c>
    </row>
    <row r="34" spans="1:33">
      <c r="A34" s="193" t="s">
        <v>965</v>
      </c>
      <c r="B34" s="196"/>
      <c r="C34" s="196"/>
      <c r="D34" s="196"/>
      <c r="E34" s="196"/>
      <c r="F34" s="196"/>
      <c r="G34" s="565"/>
      <c r="H34" s="1632"/>
      <c r="I34" s="1632"/>
      <c r="J34" s="1632"/>
      <c r="K34" s="1632"/>
      <c r="L34" s="1632"/>
      <c r="M34" s="1632"/>
      <c r="N34" s="1632"/>
      <c r="O34" s="1632"/>
      <c r="P34" s="1632"/>
      <c r="AC34" s="955" t="s">
        <v>966</v>
      </c>
      <c r="AD34" s="561">
        <v>2.75</v>
      </c>
      <c r="AF34" s="955" t="s">
        <v>963</v>
      </c>
      <c r="AG34" s="955">
        <v>1.9059999999999999</v>
      </c>
    </row>
    <row r="35" spans="1:33">
      <c r="A35" s="1322"/>
      <c r="AC35" s="955" t="s">
        <v>967</v>
      </c>
      <c r="AD35" s="561">
        <v>2.7909999999999999</v>
      </c>
      <c r="AF35" s="955" t="s">
        <v>964</v>
      </c>
      <c r="AG35" s="955">
        <v>1.9</v>
      </c>
    </row>
    <row r="36" spans="1:33" ht="31.5" customHeight="1">
      <c r="A36" s="1323" t="s">
        <v>968</v>
      </c>
      <c r="B36" s="1324" t="s">
        <v>220</v>
      </c>
      <c r="C36" s="1324" t="s">
        <v>969</v>
      </c>
      <c r="D36" s="1324" t="s">
        <v>970</v>
      </c>
      <c r="E36" s="1324" t="s">
        <v>971</v>
      </c>
      <c r="F36" s="1324" t="s">
        <v>972</v>
      </c>
      <c r="AC36" s="955" t="s">
        <v>973</v>
      </c>
      <c r="AD36" s="561">
        <v>2.7719999999999998</v>
      </c>
      <c r="AF36" s="955" t="s">
        <v>966</v>
      </c>
      <c r="AG36" s="955">
        <v>1.9</v>
      </c>
    </row>
    <row r="37" spans="1:33">
      <c r="A37" s="1325" t="s">
        <v>974</v>
      </c>
      <c r="B37" s="1326" t="s">
        <v>975</v>
      </c>
      <c r="C37" s="1">
        <v>1.61</v>
      </c>
      <c r="D37" s="1326">
        <v>85.21</v>
      </c>
      <c r="E37" s="1326">
        <v>21.13</v>
      </c>
      <c r="F37" s="1327">
        <f>C37/(1+(1-E37/100)*D37/100)</f>
        <v>0.96288913437445023</v>
      </c>
      <c r="AC37" s="955" t="s">
        <v>976</v>
      </c>
      <c r="AD37" s="561">
        <v>2.74</v>
      </c>
      <c r="AF37" s="955" t="s">
        <v>967</v>
      </c>
      <c r="AG37" s="955">
        <v>1.9</v>
      </c>
    </row>
    <row r="38" spans="1:33">
      <c r="A38" s="1325" t="s">
        <v>977</v>
      </c>
      <c r="B38" s="1326" t="s">
        <v>978</v>
      </c>
      <c r="C38" s="1">
        <v>2.11</v>
      </c>
      <c r="D38" s="1326">
        <v>164.84</v>
      </c>
      <c r="E38" s="1326">
        <v>27.51</v>
      </c>
      <c r="F38" s="1327">
        <f t="shared" ref="F38:F52" si="0">C38/(1+(1-E38/100)*D38/100)</f>
        <v>0.96130840287966812</v>
      </c>
      <c r="AC38" s="955" t="s">
        <v>979</v>
      </c>
      <c r="AD38" s="561">
        <v>2.7109999999999999</v>
      </c>
      <c r="AF38" s="955" t="s">
        <v>973</v>
      </c>
      <c r="AG38" s="955">
        <v>1.9</v>
      </c>
    </row>
    <row r="39" spans="1:33">
      <c r="A39" s="1325" t="s">
        <v>980</v>
      </c>
      <c r="B39" s="1326" t="s">
        <v>981</v>
      </c>
      <c r="C39" s="1">
        <v>0.92</v>
      </c>
      <c r="D39" s="1326">
        <v>5.59</v>
      </c>
      <c r="E39" s="1326">
        <v>23.27</v>
      </c>
      <c r="F39" s="1327">
        <f t="shared" si="0"/>
        <v>0.88216223563767249</v>
      </c>
      <c r="AC39" s="955" t="s">
        <v>982</v>
      </c>
      <c r="AD39" s="561">
        <v>2.694</v>
      </c>
      <c r="AF39" s="955" t="s">
        <v>976</v>
      </c>
      <c r="AG39" s="955">
        <v>1.9</v>
      </c>
    </row>
    <row r="40" spans="1:33">
      <c r="A40" s="1325" t="s">
        <v>983</v>
      </c>
      <c r="B40" s="1326" t="s">
        <v>984</v>
      </c>
      <c r="C40" s="1">
        <v>0.75</v>
      </c>
      <c r="D40" s="1326">
        <v>2.91</v>
      </c>
      <c r="E40" s="1326">
        <v>24.73</v>
      </c>
      <c r="F40" s="1327">
        <f t="shared" si="0"/>
        <v>0.73392443476834113</v>
      </c>
      <c r="AC40" s="955" t="s">
        <v>985</v>
      </c>
      <c r="AD40" s="561">
        <v>2.7149999999999999</v>
      </c>
      <c r="AF40" s="955" t="s">
        <v>979</v>
      </c>
      <c r="AG40" s="955">
        <v>1.9</v>
      </c>
    </row>
    <row r="41" spans="1:33">
      <c r="A41" s="1325" t="s">
        <v>986</v>
      </c>
      <c r="B41" s="1326" t="s">
        <v>987</v>
      </c>
      <c r="C41" s="1">
        <v>1.21</v>
      </c>
      <c r="D41" s="1326">
        <v>110.37</v>
      </c>
      <c r="E41" s="1326">
        <v>19.829999999999998</v>
      </c>
      <c r="F41" s="1327">
        <f t="shared" si="0"/>
        <v>0.64196556826693951</v>
      </c>
      <c r="AC41" s="955" t="s">
        <v>988</v>
      </c>
      <c r="AD41" s="561">
        <v>2.6949999999999998</v>
      </c>
      <c r="AF41" s="955" t="s">
        <v>982</v>
      </c>
      <c r="AG41" s="955">
        <v>1.9</v>
      </c>
    </row>
    <row r="42" spans="1:33">
      <c r="A42" s="1325" t="s">
        <v>989</v>
      </c>
      <c r="B42" s="1326" t="s">
        <v>990</v>
      </c>
      <c r="C42" s="1">
        <v>1.34</v>
      </c>
      <c r="D42" s="1326">
        <v>119</v>
      </c>
      <c r="E42" s="1326">
        <v>21.18</v>
      </c>
      <c r="F42" s="1327">
        <f t="shared" si="0"/>
        <v>0.69144945349692821</v>
      </c>
      <c r="AC42" s="955" t="s">
        <v>991</v>
      </c>
      <c r="AD42" s="561">
        <v>2.7349999999999999</v>
      </c>
      <c r="AF42" s="955" t="s">
        <v>985</v>
      </c>
      <c r="AG42" s="955">
        <v>1.901</v>
      </c>
    </row>
    <row r="43" spans="1:33">
      <c r="A43" s="1325" t="s">
        <v>308</v>
      </c>
      <c r="B43" s="1326" t="s">
        <v>992</v>
      </c>
      <c r="C43" s="1">
        <v>1.18</v>
      </c>
      <c r="D43" s="1326">
        <v>97.49</v>
      </c>
      <c r="E43" s="1326">
        <v>44.51</v>
      </c>
      <c r="F43" s="1327">
        <f t="shared" si="0"/>
        <v>0.76575044344900201</v>
      </c>
      <c r="AC43" s="955" t="s">
        <v>993</v>
      </c>
      <c r="AD43" s="561">
        <v>2.7189999999999999</v>
      </c>
      <c r="AF43" s="955" t="s">
        <v>988</v>
      </c>
      <c r="AG43" s="955">
        <v>1.901</v>
      </c>
    </row>
    <row r="44" spans="1:33">
      <c r="A44" s="1325" t="s">
        <v>994</v>
      </c>
      <c r="B44" s="1326" t="s">
        <v>995</v>
      </c>
      <c r="C44" s="1">
        <v>1.24</v>
      </c>
      <c r="D44" s="1326">
        <v>112.43</v>
      </c>
      <c r="E44" s="1326">
        <v>16.57</v>
      </c>
      <c r="F44" s="1327">
        <f t="shared" si="0"/>
        <v>0.63983372909199443</v>
      </c>
      <c r="AC44" s="955" t="s">
        <v>996</v>
      </c>
      <c r="AD44" s="561">
        <v>2.7189999999999999</v>
      </c>
      <c r="AF44" s="955" t="s">
        <v>991</v>
      </c>
      <c r="AG44" s="955">
        <v>1.901</v>
      </c>
    </row>
    <row r="45" spans="1:33">
      <c r="A45" s="1325" t="s">
        <v>997</v>
      </c>
      <c r="B45" s="1326" t="s">
        <v>998</v>
      </c>
      <c r="C45" s="1">
        <v>1.1000000000000001</v>
      </c>
      <c r="D45" s="1326">
        <v>24.29</v>
      </c>
      <c r="E45" s="1326">
        <v>28.31</v>
      </c>
      <c r="F45" s="1327">
        <f t="shared" si="0"/>
        <v>0.93685989313954621</v>
      </c>
      <c r="AC45" s="954">
        <v>45269</v>
      </c>
      <c r="AD45" s="561">
        <v>2.7280000000000002</v>
      </c>
      <c r="AF45" s="955" t="s">
        <v>993</v>
      </c>
      <c r="AG45" s="955">
        <v>1.905</v>
      </c>
    </row>
    <row r="46" spans="1:33">
      <c r="A46" s="1325" t="s">
        <v>309</v>
      </c>
      <c r="B46" s="1326" t="s">
        <v>999</v>
      </c>
      <c r="C46" s="1">
        <v>1.34</v>
      </c>
      <c r="D46" s="1326">
        <v>316.82</v>
      </c>
      <c r="E46" s="1326">
        <v>21.42</v>
      </c>
      <c r="F46" s="1327">
        <f t="shared" si="0"/>
        <v>0.38400129556305762</v>
      </c>
      <c r="AC46" s="954">
        <v>45239</v>
      </c>
      <c r="AD46" s="561">
        <v>2.758</v>
      </c>
      <c r="AF46" s="955" t="s">
        <v>996</v>
      </c>
      <c r="AG46" s="955">
        <v>1.905</v>
      </c>
    </row>
    <row r="47" spans="1:33">
      <c r="A47" s="1325" t="s">
        <v>1000</v>
      </c>
      <c r="B47" s="1326" t="s">
        <v>1001</v>
      </c>
      <c r="C47" s="1">
        <v>1.1100000000000001</v>
      </c>
      <c r="D47" s="1326">
        <v>48.06</v>
      </c>
      <c r="E47" s="1326">
        <v>0.25</v>
      </c>
      <c r="F47" s="1327">
        <f t="shared" si="0"/>
        <v>0.75030493812181098</v>
      </c>
      <c r="AC47" s="954">
        <v>45147</v>
      </c>
      <c r="AD47" s="561">
        <v>2.7530000000000001</v>
      </c>
      <c r="AF47" s="954">
        <v>45269</v>
      </c>
      <c r="AG47" s="955">
        <v>1.91</v>
      </c>
    </row>
    <row r="48" spans="1:33">
      <c r="A48" s="1325" t="s">
        <v>1002</v>
      </c>
      <c r="B48" s="1326" t="s">
        <v>1003</v>
      </c>
      <c r="C48" s="1">
        <v>1.32</v>
      </c>
      <c r="D48" s="1326">
        <v>236.69</v>
      </c>
      <c r="E48" s="1326">
        <v>21.51</v>
      </c>
      <c r="F48" s="1327">
        <f t="shared" si="0"/>
        <v>0.46189702767898</v>
      </c>
      <c r="AC48" s="954">
        <v>45116</v>
      </c>
      <c r="AD48" s="561">
        <v>2.758</v>
      </c>
      <c r="AF48" s="954">
        <v>45239</v>
      </c>
      <c r="AG48" s="955">
        <v>1.9139999999999999</v>
      </c>
    </row>
    <row r="49" spans="1:33">
      <c r="A49" s="1325" t="s">
        <v>1004</v>
      </c>
      <c r="B49" s="1326" t="s">
        <v>1005</v>
      </c>
      <c r="C49" s="1">
        <v>1.42</v>
      </c>
      <c r="D49" s="1326">
        <v>34.520000000000003</v>
      </c>
      <c r="E49" s="1326">
        <v>9.41</v>
      </c>
      <c r="F49" s="1327">
        <f t="shared" si="0"/>
        <v>1.0817261802447729</v>
      </c>
      <c r="AC49" s="954">
        <v>45086</v>
      </c>
      <c r="AD49" s="561">
        <v>2.7519999999999998</v>
      </c>
      <c r="AF49" s="954">
        <v>45147</v>
      </c>
      <c r="AG49" s="955">
        <v>1.915</v>
      </c>
    </row>
    <row r="50" spans="1:33">
      <c r="A50" s="1325" t="s">
        <v>1006</v>
      </c>
      <c r="B50" s="1326" t="s">
        <v>1007</v>
      </c>
      <c r="C50" s="1">
        <v>1.2</v>
      </c>
      <c r="D50" s="1326">
        <v>210.19</v>
      </c>
      <c r="E50" s="1326">
        <v>26.58</v>
      </c>
      <c r="F50" s="1327">
        <f t="shared" si="0"/>
        <v>0.47184371334585323</v>
      </c>
      <c r="AC50" s="954">
        <v>45055</v>
      </c>
      <c r="AD50" s="561">
        <v>2.7429999999999999</v>
      </c>
      <c r="AF50" s="954">
        <v>45116</v>
      </c>
      <c r="AG50" s="955">
        <v>1.9259999999999999</v>
      </c>
    </row>
    <row r="51" spans="1:33">
      <c r="A51" s="1325" t="s">
        <v>1008</v>
      </c>
      <c r="B51" s="1326" t="s">
        <v>1009</v>
      </c>
      <c r="C51" s="1">
        <v>1.37</v>
      </c>
      <c r="D51" s="1326">
        <v>0</v>
      </c>
      <c r="E51" s="1326">
        <v>0.2</v>
      </c>
      <c r="F51" s="1327">
        <f t="shared" si="0"/>
        <v>1.37</v>
      </c>
      <c r="AC51" s="954">
        <v>45025</v>
      </c>
      <c r="AD51" s="561">
        <v>2.6669999999999998</v>
      </c>
      <c r="AF51" s="954">
        <v>45086</v>
      </c>
      <c r="AG51" s="955">
        <v>1.9159999999999999</v>
      </c>
    </row>
    <row r="52" spans="1:33">
      <c r="A52" s="1325" t="s">
        <v>1010</v>
      </c>
      <c r="B52" s="1326" t="s">
        <v>1011</v>
      </c>
      <c r="C52" s="1">
        <v>0.87</v>
      </c>
      <c r="D52" s="1326">
        <v>14.85</v>
      </c>
      <c r="E52" s="1326">
        <v>0.15</v>
      </c>
      <c r="F52" s="1327">
        <f t="shared" si="0"/>
        <v>0.75765674187135557</v>
      </c>
      <c r="AC52" s="954">
        <v>44935</v>
      </c>
      <c r="AD52" s="561">
        <v>2.6669999999999998</v>
      </c>
      <c r="AF52" s="954">
        <v>45055</v>
      </c>
      <c r="AG52" s="955">
        <v>1.9159999999999999</v>
      </c>
    </row>
    <row r="53" spans="1:33">
      <c r="A53" s="1328" t="s">
        <v>1012</v>
      </c>
      <c r="B53" s="1329" t="s">
        <v>1013</v>
      </c>
      <c r="C53" s="1">
        <v>0.42</v>
      </c>
      <c r="D53" s="1329">
        <v>121.89</v>
      </c>
      <c r="E53" s="1329">
        <v>84.91</v>
      </c>
      <c r="F53" s="1330">
        <f>C53/(1+(1-E53/100)*D53/100)</f>
        <v>0.35475010089472958</v>
      </c>
      <c r="AC53" s="956">
        <v>45237</v>
      </c>
      <c r="AD53" s="957">
        <v>2.7869999999999999</v>
      </c>
      <c r="AF53" s="954">
        <v>45025</v>
      </c>
      <c r="AG53" s="955">
        <v>1.8140000000000001</v>
      </c>
    </row>
    <row r="54" spans="1:33">
      <c r="A54" s="1328" t="s">
        <v>1014</v>
      </c>
      <c r="B54" s="1329" t="s">
        <v>1015</v>
      </c>
      <c r="C54" s="1">
        <v>1.77</v>
      </c>
      <c r="D54" s="1329">
        <v>244.35</v>
      </c>
      <c r="E54" s="1329">
        <v>14.95</v>
      </c>
      <c r="F54" s="1330">
        <f>C54/(1+(1-E54/100)*D54/100)</f>
        <v>0.57501197738578602</v>
      </c>
      <c r="AC54" s="956">
        <v>45206</v>
      </c>
      <c r="AD54" s="957">
        <v>2.8420000000000001</v>
      </c>
      <c r="AF54" s="954">
        <v>44935</v>
      </c>
      <c r="AG54" s="955">
        <v>1.8140000000000001</v>
      </c>
    </row>
    <row r="55" spans="1:33">
      <c r="A55" s="1328" t="s">
        <v>1016</v>
      </c>
      <c r="B55" s="1329" t="s">
        <v>1017</v>
      </c>
      <c r="C55" s="1">
        <v>0.51</v>
      </c>
      <c r="D55" s="1329">
        <v>67.89</v>
      </c>
      <c r="E55" s="1329">
        <v>33.9</v>
      </c>
      <c r="F55" s="1330">
        <f>C55/(1+(1-E55/100)*D55/100)</f>
        <v>0.35202690534735082</v>
      </c>
      <c r="AC55" s="956">
        <v>45114</v>
      </c>
      <c r="AD55" s="957">
        <v>2.9140000000000001</v>
      </c>
      <c r="AF55" s="955" t="s">
        <v>1018</v>
      </c>
      <c r="AG55" s="955">
        <v>1.9139999999999999</v>
      </c>
    </row>
    <row r="56" spans="1:33">
      <c r="A56" s="1331" t="s">
        <v>270</v>
      </c>
      <c r="B56" s="1266"/>
      <c r="C56" s="1266"/>
      <c r="D56" s="1266"/>
      <c r="E56" s="1266"/>
      <c r="F56" s="953">
        <f>AVERAGE(F37:F55)</f>
        <v>0.72501906187148646</v>
      </c>
      <c r="AC56" s="955" t="s">
        <v>1018</v>
      </c>
      <c r="AD56" s="561">
        <v>2.7170000000000001</v>
      </c>
      <c r="AF56" s="955" t="s">
        <v>1019</v>
      </c>
      <c r="AG56" s="955">
        <v>1.9139999999999999</v>
      </c>
    </row>
    <row r="57" spans="1:33">
      <c r="A57" s="1332" t="s">
        <v>1020</v>
      </c>
      <c r="B57" s="1333" t="s">
        <v>975</v>
      </c>
      <c r="C57" s="549" t="s">
        <v>1021</v>
      </c>
      <c r="D57" s="1333">
        <v>76.489999999999995</v>
      </c>
      <c r="E57" s="1333">
        <v>21.13</v>
      </c>
      <c r="F57" s="1334">
        <f>F56*(1+(1-E57/100)*D57/100)</f>
        <v>1.1624061182030783</v>
      </c>
      <c r="AC57" s="955" t="s">
        <v>1019</v>
      </c>
      <c r="AD57" s="561">
        <v>2.7509999999999999</v>
      </c>
      <c r="AF57" s="955" t="s">
        <v>1022</v>
      </c>
      <c r="AG57" s="955">
        <v>1.9139999999999999</v>
      </c>
    </row>
    <row r="58" spans="1:33">
      <c r="A58" s="1335"/>
      <c r="B58" s="951"/>
      <c r="C58" s="951"/>
      <c r="D58" s="951"/>
      <c r="E58" s="951"/>
      <c r="F58" s="952"/>
      <c r="AC58" s="955" t="s">
        <v>1022</v>
      </c>
      <c r="AD58" s="561">
        <v>2.7349999999999999</v>
      </c>
      <c r="AF58" s="955" t="s">
        <v>1023</v>
      </c>
      <c r="AG58" s="955">
        <v>1.9139999999999999</v>
      </c>
    </row>
    <row r="59" spans="1:33">
      <c r="A59" s="6" t="s">
        <v>1024</v>
      </c>
      <c r="AC59" s="955" t="s">
        <v>1023</v>
      </c>
      <c r="AD59" s="561">
        <v>2.7080000000000002</v>
      </c>
      <c r="AF59" s="955" t="s">
        <v>1025</v>
      </c>
      <c r="AG59" s="955">
        <v>1.915</v>
      </c>
    </row>
    <row r="60" spans="1:33">
      <c r="AC60" s="955" t="s">
        <v>1025</v>
      </c>
      <c r="AD60" s="561">
        <v>2.6619999999999999</v>
      </c>
      <c r="AF60" s="955" t="s">
        <v>1026</v>
      </c>
      <c r="AG60" s="955">
        <v>1.9139999999999999</v>
      </c>
    </row>
    <row r="61" spans="1:33">
      <c r="AC61" s="955" t="s">
        <v>1026</v>
      </c>
      <c r="AD61" s="561">
        <v>2.6850000000000001</v>
      </c>
      <c r="AF61" s="955" t="s">
        <v>1027</v>
      </c>
      <c r="AG61" s="955">
        <v>1.923</v>
      </c>
    </row>
    <row r="62" spans="1:33" ht="30.75" customHeight="1">
      <c r="A62" s="1613" t="s">
        <v>1028</v>
      </c>
      <c r="B62" s="1614"/>
      <c r="C62" s="1614"/>
      <c r="D62" s="1614"/>
      <c r="E62" s="1614"/>
      <c r="F62" s="1615"/>
      <c r="G62" s="565"/>
      <c r="AC62" s="955" t="s">
        <v>1027</v>
      </c>
      <c r="AD62" s="561">
        <v>2.694</v>
      </c>
      <c r="AF62" s="955" t="s">
        <v>1029</v>
      </c>
      <c r="AG62" s="955">
        <v>1.923</v>
      </c>
    </row>
    <row r="63" spans="1:33">
      <c r="I63" s="1336" t="s">
        <v>1030</v>
      </c>
      <c r="J63" s="1337" t="s">
        <v>1031</v>
      </c>
      <c r="K63" s="1337" t="s">
        <v>1032</v>
      </c>
      <c r="L63" s="1337" t="s">
        <v>1033</v>
      </c>
      <c r="AC63" s="955" t="s">
        <v>1029</v>
      </c>
      <c r="AD63" s="561">
        <v>2.6840000000000002</v>
      </c>
      <c r="AF63" s="955" t="s">
        <v>1034</v>
      </c>
      <c r="AG63" s="955">
        <v>1.923</v>
      </c>
    </row>
    <row r="64" spans="1:33">
      <c r="A64" s="1325" t="s">
        <v>918</v>
      </c>
      <c r="B64" s="203">
        <f>AVERAGE(AG5:AG788)/100</f>
        <v>1.8776926020408143E-2</v>
      </c>
      <c r="C64" s="958" t="s">
        <v>1035</v>
      </c>
      <c r="I64" s="1338">
        <v>-1000</v>
      </c>
      <c r="J64" s="1339">
        <v>0.19999900000000001</v>
      </c>
      <c r="K64" s="1340" t="s">
        <v>1036</v>
      </c>
      <c r="L64" s="1341">
        <v>0.2</v>
      </c>
      <c r="AC64" s="955" t="s">
        <v>1034</v>
      </c>
      <c r="AD64" s="561">
        <v>2.6509999999999998</v>
      </c>
      <c r="AF64" s="955" t="s">
        <v>1037</v>
      </c>
      <c r="AG64" s="955">
        <v>1.923</v>
      </c>
    </row>
    <row r="65" spans="1:33">
      <c r="A65" s="1325" t="s">
        <v>1038</v>
      </c>
      <c r="B65" s="5">
        <f>'G. FA'!N70</f>
        <v>5.042984091157992</v>
      </c>
      <c r="C65" s="1" t="s">
        <v>1039</v>
      </c>
      <c r="I65" s="1338">
        <v>0.2</v>
      </c>
      <c r="J65" s="1339">
        <v>0.64999899999999999</v>
      </c>
      <c r="K65" s="1340" t="s">
        <v>1040</v>
      </c>
      <c r="L65" s="1341">
        <v>0.17499999999999999</v>
      </c>
      <c r="AC65" s="955" t="s">
        <v>1037</v>
      </c>
      <c r="AD65" s="561">
        <v>2.5790000000000002</v>
      </c>
      <c r="AF65" s="955" t="s">
        <v>1041</v>
      </c>
      <c r="AG65" s="955">
        <v>1.9319999999999999</v>
      </c>
    </row>
    <row r="66" spans="1:33">
      <c r="A66" s="1325" t="s">
        <v>1042</v>
      </c>
      <c r="B66" s="1" t="s">
        <v>1043</v>
      </c>
      <c r="C66" s="1" t="s">
        <v>1044</v>
      </c>
      <c r="I66" s="1338">
        <v>0.65</v>
      </c>
      <c r="J66" s="1339">
        <v>0.79999900000000002</v>
      </c>
      <c r="K66" s="1340" t="s">
        <v>1045</v>
      </c>
      <c r="L66" s="1341">
        <v>0.1578</v>
      </c>
      <c r="AC66" s="955" t="s">
        <v>1041</v>
      </c>
      <c r="AD66" s="561">
        <v>2.6360000000000001</v>
      </c>
      <c r="AF66" s="955" t="s">
        <v>1046</v>
      </c>
      <c r="AG66" s="955">
        <v>1.927</v>
      </c>
    </row>
    <row r="67" spans="1:33">
      <c r="A67" s="1325" t="s">
        <v>1047</v>
      </c>
      <c r="B67" s="203">
        <v>1.4200000000000001E-2</v>
      </c>
      <c r="C67" s="1" t="s">
        <v>1048</v>
      </c>
      <c r="I67" s="1338">
        <v>0.8</v>
      </c>
      <c r="J67" s="1339">
        <v>1.2499990000000001</v>
      </c>
      <c r="K67" s="1340" t="s">
        <v>1049</v>
      </c>
      <c r="L67" s="1341">
        <v>0.1157</v>
      </c>
      <c r="AC67" s="955" t="s">
        <v>1046</v>
      </c>
      <c r="AD67" s="561">
        <v>2.6720000000000002</v>
      </c>
      <c r="AF67" s="955" t="s">
        <v>1050</v>
      </c>
      <c r="AG67" s="955">
        <v>1.9179999999999999</v>
      </c>
    </row>
    <row r="68" spans="1:33">
      <c r="A68" s="1325" t="s">
        <v>1051</v>
      </c>
      <c r="B68" s="203">
        <f>ERP!C193</f>
        <v>3.2199999999999999E-2</v>
      </c>
      <c r="C68" s="1" t="s">
        <v>1052</v>
      </c>
      <c r="I68" s="1338">
        <v>1.25</v>
      </c>
      <c r="J68" s="1339">
        <v>1.4999990000000001</v>
      </c>
      <c r="K68" s="1340" t="s">
        <v>1053</v>
      </c>
      <c r="L68" s="1341">
        <v>7.3700000000000002E-2</v>
      </c>
      <c r="AC68" s="955" t="s">
        <v>1050</v>
      </c>
      <c r="AD68" s="561">
        <v>2.6160000000000001</v>
      </c>
      <c r="AF68" s="955" t="s">
        <v>1054</v>
      </c>
      <c r="AG68" s="955">
        <v>1.9179999999999999</v>
      </c>
    </row>
    <row r="69" spans="1:33">
      <c r="A69" s="1342" t="s">
        <v>1055</v>
      </c>
      <c r="B69" s="959">
        <f>B64+B67+B68</f>
        <v>6.5176926020408144E-2</v>
      </c>
      <c r="I69" s="1338">
        <v>1.5</v>
      </c>
      <c r="J69" s="1339">
        <v>1.7499990000000001</v>
      </c>
      <c r="K69" s="1340" t="s">
        <v>1056</v>
      </c>
      <c r="L69" s="1341">
        <v>5.2600000000000001E-2</v>
      </c>
      <c r="AC69" s="955" t="s">
        <v>1054</v>
      </c>
      <c r="AD69" s="561">
        <v>2.5910000000000002</v>
      </c>
      <c r="AF69" s="954">
        <v>45238</v>
      </c>
      <c r="AG69" s="955">
        <v>1.91</v>
      </c>
    </row>
    <row r="70" spans="1:33">
      <c r="I70" s="1338">
        <v>1.75</v>
      </c>
      <c r="J70" s="1339">
        <v>1.9999990000000001</v>
      </c>
      <c r="K70" s="1340" t="s">
        <v>1057</v>
      </c>
      <c r="L70" s="1341">
        <v>4.5499999999999999E-2</v>
      </c>
      <c r="AC70" s="954">
        <v>45238</v>
      </c>
      <c r="AD70" s="561">
        <v>2.5550000000000002</v>
      </c>
      <c r="AF70" s="954">
        <v>45207</v>
      </c>
      <c r="AG70" s="955">
        <v>1.91</v>
      </c>
    </row>
    <row r="71" spans="1:33">
      <c r="I71" s="1338">
        <v>2</v>
      </c>
      <c r="J71" s="1339">
        <v>2.2499999000000002</v>
      </c>
      <c r="K71" s="1340" t="s">
        <v>1058</v>
      </c>
      <c r="L71" s="1341">
        <v>3.1300000000000001E-2</v>
      </c>
      <c r="AC71" s="954">
        <v>45207</v>
      </c>
      <c r="AD71" s="561">
        <v>2.5390000000000001</v>
      </c>
      <c r="AF71" s="954">
        <v>45177</v>
      </c>
      <c r="AG71" s="955">
        <v>1.923</v>
      </c>
    </row>
    <row r="72" spans="1:33">
      <c r="I72" s="1338">
        <v>2.25</v>
      </c>
      <c r="J72" s="1339">
        <v>2.4999899999999999</v>
      </c>
      <c r="K72" s="1340" t="s">
        <v>1059</v>
      </c>
      <c r="L72" s="1341">
        <v>2.4199999999999999E-2</v>
      </c>
      <c r="AC72" s="954">
        <v>45177</v>
      </c>
      <c r="AD72" s="561">
        <v>2.5979999999999999</v>
      </c>
      <c r="AF72" s="954">
        <v>45146</v>
      </c>
      <c r="AG72" s="955">
        <v>1.905</v>
      </c>
    </row>
    <row r="73" spans="1:33">
      <c r="I73" s="1338">
        <v>2.5</v>
      </c>
      <c r="J73" s="1339">
        <v>2.9999989999999999</v>
      </c>
      <c r="K73" s="1340" t="s">
        <v>1060</v>
      </c>
      <c r="L73" s="1341">
        <v>0.02</v>
      </c>
      <c r="AC73" s="954">
        <v>45146</v>
      </c>
      <c r="AD73" s="561">
        <v>2.5739999999999998</v>
      </c>
      <c r="AF73" s="954">
        <v>45115</v>
      </c>
      <c r="AG73" s="955">
        <v>1.905</v>
      </c>
    </row>
    <row r="74" spans="1:33">
      <c r="I74" s="1338">
        <v>3</v>
      </c>
      <c r="J74" s="1339">
        <v>4.2499989999999999</v>
      </c>
      <c r="K74" s="1340" t="s">
        <v>1061</v>
      </c>
      <c r="L74" s="1341">
        <v>1.6199999999999999E-2</v>
      </c>
      <c r="AC74" s="954">
        <v>45115</v>
      </c>
      <c r="AD74" s="561">
        <v>2.5739999999999998</v>
      </c>
      <c r="AF74" s="954">
        <v>45024</v>
      </c>
      <c r="AG74" s="955">
        <v>1.909</v>
      </c>
    </row>
    <row r="75" spans="1:33">
      <c r="I75" s="1338">
        <v>4.25</v>
      </c>
      <c r="J75" s="1339">
        <v>5.4999989999999999</v>
      </c>
      <c r="K75" s="1340" t="s">
        <v>1043</v>
      </c>
      <c r="L75" s="1341">
        <v>1.4200000000000001E-2</v>
      </c>
      <c r="AC75" s="954">
        <v>45024</v>
      </c>
      <c r="AD75" s="561">
        <v>2.4980000000000002</v>
      </c>
      <c r="AF75" s="954">
        <v>44993</v>
      </c>
      <c r="AG75" s="955">
        <v>1.9179999999999999</v>
      </c>
    </row>
    <row r="76" spans="1:33">
      <c r="I76" s="1338">
        <v>5.5</v>
      </c>
      <c r="J76" s="1339">
        <v>6.4999989999999999</v>
      </c>
      <c r="K76" s="1340" t="s">
        <v>1062</v>
      </c>
      <c r="L76" s="1341">
        <v>1.23E-2</v>
      </c>
      <c r="AC76" s="954">
        <v>44993</v>
      </c>
      <c r="AD76" s="561">
        <v>2.5270000000000001</v>
      </c>
      <c r="AF76" s="954">
        <v>44965</v>
      </c>
      <c r="AG76" s="955">
        <v>1.923</v>
      </c>
    </row>
    <row r="77" spans="1:33">
      <c r="I77" s="1338">
        <v>6.5</v>
      </c>
      <c r="J77" s="1339">
        <v>8.4999990000000007</v>
      </c>
      <c r="K77" s="1340" t="s">
        <v>1063</v>
      </c>
      <c r="L77" s="1341">
        <v>8.5000000000000006E-3</v>
      </c>
      <c r="AC77" s="954">
        <v>44965</v>
      </c>
      <c r="AD77" s="561">
        <v>2.5270000000000001</v>
      </c>
      <c r="AF77" s="954">
        <v>44934</v>
      </c>
      <c r="AG77" s="955">
        <v>1.923</v>
      </c>
    </row>
    <row r="78" spans="1:33">
      <c r="I78" s="1338">
        <v>8.5</v>
      </c>
      <c r="J78" s="1339">
        <v>100000</v>
      </c>
      <c r="K78" s="1340" t="s">
        <v>1064</v>
      </c>
      <c r="L78" s="1341">
        <v>6.8999999999999999E-3</v>
      </c>
      <c r="AC78" s="954">
        <v>44934</v>
      </c>
      <c r="AD78" s="561">
        <v>2.4969999999999999</v>
      </c>
      <c r="AF78" s="955" t="s">
        <v>1065</v>
      </c>
      <c r="AG78" s="955">
        <v>1.923</v>
      </c>
    </row>
    <row r="79" spans="1:33">
      <c r="I79" s="1" t="s">
        <v>1066</v>
      </c>
      <c r="AC79" s="955" t="s">
        <v>1065</v>
      </c>
      <c r="AD79" s="561">
        <v>2.5609999999999999</v>
      </c>
      <c r="AF79" s="955" t="s">
        <v>1067</v>
      </c>
      <c r="AG79" s="955">
        <v>1.923</v>
      </c>
    </row>
    <row r="80" spans="1:33">
      <c r="I80" s="1" t="s">
        <v>1068</v>
      </c>
      <c r="AC80" s="955" t="s">
        <v>1067</v>
      </c>
      <c r="AD80" s="561">
        <v>2.5510000000000002</v>
      </c>
      <c r="AF80" s="955" t="s">
        <v>1069</v>
      </c>
      <c r="AG80" s="955">
        <v>1.923</v>
      </c>
    </row>
    <row r="81" spans="9:33">
      <c r="I81" s="104" t="s">
        <v>1070</v>
      </c>
      <c r="AC81" s="955" t="s">
        <v>1069</v>
      </c>
      <c r="AD81" s="561">
        <v>2.5369999999999999</v>
      </c>
      <c r="AF81" s="955" t="s">
        <v>1071</v>
      </c>
      <c r="AG81" s="955">
        <v>1.9410000000000001</v>
      </c>
    </row>
    <row r="82" spans="9:33">
      <c r="AC82" s="955" t="s">
        <v>1071</v>
      </c>
      <c r="AD82" s="561">
        <v>2.5950000000000002</v>
      </c>
      <c r="AF82" s="955" t="s">
        <v>1072</v>
      </c>
      <c r="AG82" s="955">
        <v>1.95</v>
      </c>
    </row>
    <row r="83" spans="9:33">
      <c r="AC83" s="955" t="s">
        <v>1072</v>
      </c>
      <c r="AD83" s="561">
        <v>2.5640000000000001</v>
      </c>
      <c r="AF83" s="955" t="s">
        <v>1073</v>
      </c>
      <c r="AG83" s="955">
        <v>1.95</v>
      </c>
    </row>
    <row r="84" spans="9:33">
      <c r="AC84" s="955" t="s">
        <v>1073</v>
      </c>
      <c r="AD84" s="561">
        <v>2.5990000000000002</v>
      </c>
      <c r="AF84" s="955" t="s">
        <v>1074</v>
      </c>
      <c r="AG84" s="955">
        <v>1.95</v>
      </c>
    </row>
    <row r="85" spans="9:33">
      <c r="AC85" s="955" t="s">
        <v>1074</v>
      </c>
      <c r="AD85" s="561">
        <v>2.5609999999999999</v>
      </c>
      <c r="AF85" s="955" t="s">
        <v>1075</v>
      </c>
      <c r="AG85" s="955">
        <v>1.9590000000000001</v>
      </c>
    </row>
    <row r="86" spans="9:33">
      <c r="AC86" s="955" t="s">
        <v>1075</v>
      </c>
      <c r="AD86" s="561">
        <v>2.5779999999999998</v>
      </c>
      <c r="AF86" s="955" t="s">
        <v>1076</v>
      </c>
      <c r="AG86" s="955">
        <v>1.9950000000000001</v>
      </c>
    </row>
    <row r="87" spans="9:33">
      <c r="AC87" s="955" t="s">
        <v>1076</v>
      </c>
      <c r="AD87" s="561">
        <v>2.6030000000000002</v>
      </c>
      <c r="AF87" s="955" t="s">
        <v>1077</v>
      </c>
      <c r="AG87" s="955">
        <v>2.0270000000000001</v>
      </c>
    </row>
    <row r="88" spans="9:33">
      <c r="AC88" s="955" t="s">
        <v>1077</v>
      </c>
      <c r="AD88" s="561">
        <v>2.6579999999999999</v>
      </c>
      <c r="AF88" s="955" t="s">
        <v>1078</v>
      </c>
      <c r="AG88" s="955">
        <v>2.0270000000000001</v>
      </c>
    </row>
    <row r="89" spans="9:33">
      <c r="AC89" s="955" t="s">
        <v>1078</v>
      </c>
      <c r="AD89" s="561">
        <v>2.673</v>
      </c>
      <c r="AF89" s="955" t="s">
        <v>1079</v>
      </c>
      <c r="AG89" s="955">
        <v>2.032</v>
      </c>
    </row>
    <row r="90" spans="9:33">
      <c r="AC90" s="955" t="s">
        <v>1079</v>
      </c>
      <c r="AD90" s="561">
        <v>2.7930000000000001</v>
      </c>
      <c r="AF90" s="955" t="s">
        <v>1080</v>
      </c>
      <c r="AG90" s="955">
        <v>2.0409999999999999</v>
      </c>
    </row>
    <row r="91" spans="9:33">
      <c r="AC91" s="955" t="s">
        <v>1080</v>
      </c>
      <c r="AD91" s="561">
        <v>2.778</v>
      </c>
      <c r="AF91" s="954">
        <v>45267</v>
      </c>
      <c r="AG91" s="955">
        <v>2.1339999999999999</v>
      </c>
    </row>
    <row r="92" spans="9:33">
      <c r="AC92" s="954">
        <v>45267</v>
      </c>
      <c r="AD92" s="561">
        <v>2.8340000000000001</v>
      </c>
      <c r="AF92" s="954">
        <v>45237</v>
      </c>
      <c r="AG92" s="955">
        <v>2.2599999999999998</v>
      </c>
    </row>
    <row r="93" spans="9:33">
      <c r="AC93" s="954">
        <v>45084</v>
      </c>
      <c r="AD93" s="561">
        <v>2.8639999999999999</v>
      </c>
      <c r="AF93" s="954">
        <v>45206</v>
      </c>
      <c r="AG93" s="955">
        <v>2.3370000000000002</v>
      </c>
    </row>
    <row r="94" spans="9:33">
      <c r="AC94" s="954">
        <v>45053</v>
      </c>
      <c r="AD94" s="561">
        <v>2.839</v>
      </c>
      <c r="AF94" s="954">
        <v>45114</v>
      </c>
      <c r="AG94" s="955">
        <v>2.3290000000000002</v>
      </c>
    </row>
    <row r="95" spans="9:33">
      <c r="AC95" s="954">
        <v>45023</v>
      </c>
      <c r="AD95" s="561">
        <v>2.8759999999999999</v>
      </c>
      <c r="AF95" s="954">
        <v>45084</v>
      </c>
      <c r="AG95" s="955">
        <v>2.3319999999999999</v>
      </c>
    </row>
    <row r="96" spans="9:33">
      <c r="AC96" s="954">
        <v>44992</v>
      </c>
      <c r="AD96" s="561">
        <v>2.863</v>
      </c>
      <c r="AF96" s="954">
        <v>45053</v>
      </c>
      <c r="AG96" s="955">
        <v>2.323</v>
      </c>
    </row>
    <row r="97" spans="29:33">
      <c r="AC97" s="955" t="s">
        <v>1081</v>
      </c>
      <c r="AD97" s="561">
        <v>2.7469999999999999</v>
      </c>
      <c r="AF97" s="954">
        <v>45023</v>
      </c>
      <c r="AG97" s="955">
        <v>2.3330000000000002</v>
      </c>
    </row>
    <row r="98" spans="29:33">
      <c r="AC98" s="955" t="s">
        <v>1082</v>
      </c>
      <c r="AD98" s="561">
        <v>2.6989999999999998</v>
      </c>
      <c r="AF98" s="954">
        <v>44992</v>
      </c>
      <c r="AG98" s="955">
        <v>2.3330000000000002</v>
      </c>
    </row>
    <row r="99" spans="29:33">
      <c r="AC99" s="955" t="s">
        <v>1083</v>
      </c>
      <c r="AD99" s="561">
        <v>2.6619999999999999</v>
      </c>
      <c r="AF99" s="955" t="s">
        <v>1081</v>
      </c>
      <c r="AG99" s="955">
        <v>2.3359999999999999</v>
      </c>
    </row>
    <row r="100" spans="29:33">
      <c r="AC100" s="955" t="s">
        <v>1084</v>
      </c>
      <c r="AD100" s="561">
        <v>2.69</v>
      </c>
      <c r="AF100" s="955" t="s">
        <v>1082</v>
      </c>
      <c r="AG100" s="955">
        <v>2.3359999999999999</v>
      </c>
    </row>
    <row r="101" spans="29:33">
      <c r="AC101" s="955" t="s">
        <v>1085</v>
      </c>
      <c r="AD101" s="561">
        <v>2.6909999999999998</v>
      </c>
      <c r="AF101" s="955" t="s">
        <v>1083</v>
      </c>
      <c r="AG101" s="955">
        <v>2.3359999999999999</v>
      </c>
    </row>
    <row r="102" spans="29:33">
      <c r="AC102" s="955" t="s">
        <v>1086</v>
      </c>
      <c r="AD102" s="561">
        <v>2.7429999999999999</v>
      </c>
      <c r="AF102" s="955" t="s">
        <v>1084</v>
      </c>
      <c r="AG102" s="955">
        <v>2.3359999999999999</v>
      </c>
    </row>
    <row r="103" spans="29:33">
      <c r="AC103" s="955" t="s">
        <v>1087</v>
      </c>
      <c r="AD103" s="561">
        <v>2.6840000000000002</v>
      </c>
      <c r="AF103" s="955" t="s">
        <v>1085</v>
      </c>
      <c r="AG103" s="955">
        <v>2.3359999999999999</v>
      </c>
    </row>
    <row r="104" spans="29:33">
      <c r="AC104" s="955" t="s">
        <v>1088</v>
      </c>
      <c r="AD104" s="561">
        <v>2.8450000000000002</v>
      </c>
      <c r="AF104" s="955" t="s">
        <v>1086</v>
      </c>
      <c r="AG104" s="955">
        <v>2.327</v>
      </c>
    </row>
    <row r="105" spans="29:33">
      <c r="AC105" s="955" t="s">
        <v>1089</v>
      </c>
      <c r="AD105" s="561">
        <v>2.8570000000000002</v>
      </c>
      <c r="AF105" s="955" t="s">
        <v>1087</v>
      </c>
      <c r="AG105" s="955">
        <v>2.3450000000000002</v>
      </c>
    </row>
    <row r="106" spans="29:33">
      <c r="AC106" s="955" t="s">
        <v>1090</v>
      </c>
      <c r="AD106" s="561">
        <v>2.8980000000000001</v>
      </c>
      <c r="AF106" s="955" t="s">
        <v>1088</v>
      </c>
      <c r="AG106" s="955">
        <v>2.3679999999999999</v>
      </c>
    </row>
    <row r="107" spans="29:33">
      <c r="AC107" s="955" t="s">
        <v>1091</v>
      </c>
      <c r="AD107" s="561">
        <v>2.9359999999999999</v>
      </c>
      <c r="AF107" s="955" t="s">
        <v>1089</v>
      </c>
      <c r="AG107" s="955">
        <v>2.3769999999999998</v>
      </c>
    </row>
    <row r="108" spans="29:33">
      <c r="AC108" s="955" t="s">
        <v>1092</v>
      </c>
      <c r="AD108" s="561">
        <v>3.0649999999999999</v>
      </c>
      <c r="AF108" s="955" t="s">
        <v>1090</v>
      </c>
      <c r="AG108" s="955">
        <v>2.4049999999999998</v>
      </c>
    </row>
    <row r="109" spans="29:33">
      <c r="AC109" s="955" t="s">
        <v>1093</v>
      </c>
      <c r="AD109" s="561">
        <v>3.0579999999999998</v>
      </c>
      <c r="AF109" s="955" t="s">
        <v>1091</v>
      </c>
      <c r="AG109" s="955">
        <v>2.4180000000000001</v>
      </c>
    </row>
    <row r="110" spans="29:33">
      <c r="AC110" s="955" t="s">
        <v>1094</v>
      </c>
      <c r="AD110" s="561">
        <v>3.1030000000000002</v>
      </c>
      <c r="AF110" s="955" t="s">
        <v>1092</v>
      </c>
      <c r="AG110" s="955">
        <v>2.4910000000000001</v>
      </c>
    </row>
    <row r="111" spans="29:33">
      <c r="AC111" s="954">
        <v>45266</v>
      </c>
      <c r="AD111" s="561">
        <v>3.1640000000000001</v>
      </c>
      <c r="AF111" s="955" t="s">
        <v>1093</v>
      </c>
      <c r="AG111" s="955">
        <v>2.5499999999999998</v>
      </c>
    </row>
    <row r="112" spans="29:33">
      <c r="AC112" s="954">
        <v>45175</v>
      </c>
      <c r="AD112" s="561">
        <v>3.1629999999999998</v>
      </c>
      <c r="AF112" s="955" t="s">
        <v>1094</v>
      </c>
      <c r="AG112" s="955">
        <v>2.569</v>
      </c>
    </row>
    <row r="113" spans="29:33">
      <c r="AC113" s="954">
        <v>45144</v>
      </c>
      <c r="AD113" s="561">
        <v>3.2050000000000001</v>
      </c>
      <c r="AF113" s="954">
        <v>45266</v>
      </c>
      <c r="AG113" s="955">
        <v>2.6139999999999999</v>
      </c>
    </row>
    <row r="114" spans="29:33">
      <c r="AC114" s="954">
        <v>45113</v>
      </c>
      <c r="AD114" s="561">
        <v>3.1880000000000002</v>
      </c>
      <c r="AF114" s="954">
        <v>45175</v>
      </c>
      <c r="AG114" s="955">
        <v>2.6179999999999999</v>
      </c>
    </row>
    <row r="115" spans="29:33">
      <c r="AC115" s="954">
        <v>45083</v>
      </c>
      <c r="AD115" s="561">
        <v>3.1960000000000002</v>
      </c>
      <c r="AF115" s="954">
        <v>45144</v>
      </c>
      <c r="AG115" s="955">
        <v>2.6589999999999998</v>
      </c>
    </row>
    <row r="116" spans="29:33">
      <c r="AC116" s="954">
        <v>45052</v>
      </c>
      <c r="AD116" s="561">
        <v>3.2040000000000002</v>
      </c>
      <c r="AF116" s="954">
        <v>45113</v>
      </c>
      <c r="AG116" s="955">
        <v>2.6589999999999998</v>
      </c>
    </row>
    <row r="117" spans="29:33">
      <c r="AC117" s="954">
        <v>44963</v>
      </c>
      <c r="AD117" s="561">
        <v>3.181</v>
      </c>
      <c r="AF117" s="954">
        <v>45083</v>
      </c>
      <c r="AG117" s="955">
        <v>2.6680000000000001</v>
      </c>
    </row>
    <row r="118" spans="29:33">
      <c r="AC118" s="954">
        <v>44932</v>
      </c>
      <c r="AD118" s="561">
        <v>3.2320000000000002</v>
      </c>
      <c r="AF118" s="954">
        <v>45052</v>
      </c>
      <c r="AG118" s="955">
        <v>2.673</v>
      </c>
    </row>
    <row r="119" spans="29:33">
      <c r="AC119" s="955" t="s">
        <v>1095</v>
      </c>
      <c r="AD119" s="561">
        <v>3.27</v>
      </c>
      <c r="AF119" s="954">
        <v>44963</v>
      </c>
      <c r="AG119" s="955">
        <v>2.673</v>
      </c>
    </row>
    <row r="120" spans="29:33">
      <c r="AC120" s="955" t="s">
        <v>1096</v>
      </c>
      <c r="AD120" s="561">
        <v>3.282</v>
      </c>
      <c r="AF120" s="954">
        <v>44932</v>
      </c>
      <c r="AG120" s="955">
        <v>2.6960000000000002</v>
      </c>
    </row>
    <row r="121" spans="29:33">
      <c r="AC121" s="955" t="s">
        <v>1097</v>
      </c>
      <c r="AD121" s="561">
        <v>3.3610000000000002</v>
      </c>
      <c r="AF121" s="955" t="s">
        <v>1095</v>
      </c>
      <c r="AG121" s="955">
        <v>2.7</v>
      </c>
    </row>
    <row r="122" spans="29:33">
      <c r="AC122" s="955" t="s">
        <v>1098</v>
      </c>
      <c r="AD122" s="561">
        <v>3.3079999999999998</v>
      </c>
      <c r="AF122" s="955" t="s">
        <v>1096</v>
      </c>
      <c r="AG122" s="955">
        <v>2.7090000000000001</v>
      </c>
    </row>
    <row r="123" spans="29:33">
      <c r="AC123" s="955" t="s">
        <v>1099</v>
      </c>
      <c r="AD123" s="561">
        <v>3.238</v>
      </c>
      <c r="AF123" s="955" t="s">
        <v>1097</v>
      </c>
      <c r="AG123" s="955">
        <v>2.714</v>
      </c>
    </row>
    <row r="124" spans="29:33">
      <c r="AC124" s="955" t="s">
        <v>1100</v>
      </c>
      <c r="AD124" s="561">
        <v>3.1459999999999999</v>
      </c>
      <c r="AF124" s="955" t="s">
        <v>1098</v>
      </c>
      <c r="AG124" s="955">
        <v>2.6869999999999998</v>
      </c>
    </row>
    <row r="125" spans="29:33">
      <c r="AC125" s="955" t="s">
        <v>1101</v>
      </c>
      <c r="AD125" s="561">
        <v>3.1309999999999998</v>
      </c>
      <c r="AF125" s="955" t="s">
        <v>1099</v>
      </c>
      <c r="AG125" s="955">
        <v>2.6640000000000001</v>
      </c>
    </row>
    <row r="126" spans="29:33">
      <c r="AC126" s="955" t="s">
        <v>1102</v>
      </c>
      <c r="AD126" s="561">
        <v>3.1429999999999998</v>
      </c>
      <c r="AF126" s="955" t="s">
        <v>1100</v>
      </c>
      <c r="AG126" s="955">
        <v>2.6589999999999998</v>
      </c>
    </row>
    <row r="127" spans="29:33">
      <c r="AC127" s="955" t="s">
        <v>1103</v>
      </c>
      <c r="AD127" s="561">
        <v>3.0960000000000001</v>
      </c>
      <c r="AF127" s="955" t="s">
        <v>1101</v>
      </c>
      <c r="AG127" s="955">
        <v>2.6549999999999998</v>
      </c>
    </row>
    <row r="128" spans="29:33">
      <c r="AC128" s="955" t="s">
        <v>1104</v>
      </c>
      <c r="AD128" s="561">
        <v>3.093</v>
      </c>
      <c r="AF128" s="955" t="s">
        <v>1102</v>
      </c>
      <c r="AG128" s="955">
        <v>2.6549999999999998</v>
      </c>
    </row>
    <row r="129" spans="29:33">
      <c r="AC129" s="955" t="s">
        <v>1105</v>
      </c>
      <c r="AD129" s="561">
        <v>3.1179999999999999</v>
      </c>
      <c r="AF129" s="955" t="s">
        <v>1103</v>
      </c>
      <c r="AG129" s="955">
        <v>2.6680000000000001</v>
      </c>
    </row>
    <row r="130" spans="29:33">
      <c r="AC130" s="955" t="s">
        <v>1106</v>
      </c>
      <c r="AD130" s="561">
        <v>3.1040000000000001</v>
      </c>
      <c r="AF130" s="955" t="s">
        <v>1104</v>
      </c>
      <c r="AG130" s="955">
        <v>2.6509999999999998</v>
      </c>
    </row>
    <row r="131" spans="29:33">
      <c r="AC131" s="955" t="s">
        <v>1107</v>
      </c>
      <c r="AD131" s="561">
        <v>3.1179999999999999</v>
      </c>
      <c r="AF131" s="955" t="s">
        <v>1105</v>
      </c>
      <c r="AG131" s="955">
        <v>2.65</v>
      </c>
    </row>
    <row r="132" spans="29:33">
      <c r="AC132" s="954">
        <v>45265</v>
      </c>
      <c r="AD132" s="561">
        <v>3.1179999999999999</v>
      </c>
      <c r="AF132" s="955" t="s">
        <v>1106</v>
      </c>
      <c r="AG132" s="955">
        <v>2.649</v>
      </c>
    </row>
    <row r="133" spans="29:33">
      <c r="AC133" s="954">
        <v>45235</v>
      </c>
      <c r="AD133" s="561">
        <v>3.1309999999999998</v>
      </c>
      <c r="AF133" s="955" t="s">
        <v>1107</v>
      </c>
      <c r="AG133" s="955">
        <v>2.6850000000000001</v>
      </c>
    </row>
    <row r="134" spans="29:33">
      <c r="AC134" s="954">
        <v>45204</v>
      </c>
      <c r="AD134" s="561">
        <v>3.2029999999999998</v>
      </c>
      <c r="AF134" s="954">
        <v>45265</v>
      </c>
      <c r="AG134" s="955">
        <v>2.673</v>
      </c>
    </row>
    <row r="135" spans="29:33">
      <c r="AC135" s="954">
        <v>45174</v>
      </c>
      <c r="AD135" s="561">
        <v>3.165</v>
      </c>
      <c r="AF135" s="954">
        <v>45235</v>
      </c>
      <c r="AG135" s="955">
        <v>2.677</v>
      </c>
    </row>
    <row r="136" spans="29:33">
      <c r="AC136" s="954">
        <v>45143</v>
      </c>
      <c r="AD136" s="561">
        <v>3.194</v>
      </c>
      <c r="AF136" s="954">
        <v>45204</v>
      </c>
      <c r="AG136" s="955">
        <v>2.6819999999999999</v>
      </c>
    </row>
    <row r="137" spans="29:33">
      <c r="AC137" s="954">
        <v>45051</v>
      </c>
      <c r="AD137" s="561">
        <v>3.266</v>
      </c>
      <c r="AF137" s="954">
        <v>45174</v>
      </c>
      <c r="AG137" s="955">
        <v>2.6829999999999998</v>
      </c>
    </row>
    <row r="138" spans="29:33">
      <c r="AC138" s="954">
        <v>45021</v>
      </c>
      <c r="AD138" s="561">
        <v>3.331</v>
      </c>
      <c r="AF138" s="954">
        <v>45143</v>
      </c>
      <c r="AG138" s="955">
        <v>2.714</v>
      </c>
    </row>
    <row r="139" spans="29:33">
      <c r="AC139" s="954">
        <v>44990</v>
      </c>
      <c r="AD139" s="561">
        <v>3.3130000000000002</v>
      </c>
      <c r="AF139" s="954">
        <v>45051</v>
      </c>
      <c r="AG139" s="955">
        <v>2.7509999999999999</v>
      </c>
    </row>
    <row r="140" spans="29:33">
      <c r="AC140" s="954">
        <v>44962</v>
      </c>
      <c r="AD140" s="561">
        <v>3.3130000000000002</v>
      </c>
      <c r="AF140" s="954">
        <v>45021</v>
      </c>
      <c r="AG140" s="955">
        <v>2.8149999999999999</v>
      </c>
    </row>
    <row r="141" spans="29:33">
      <c r="AC141" s="954">
        <v>44931</v>
      </c>
      <c r="AD141" s="561">
        <v>3.3130000000000002</v>
      </c>
      <c r="AF141" s="954">
        <v>44990</v>
      </c>
      <c r="AG141" s="955">
        <v>2.6850000000000001</v>
      </c>
    </row>
    <row r="142" spans="29:33">
      <c r="AC142" s="955" t="s">
        <v>1108</v>
      </c>
      <c r="AD142" s="561">
        <v>3.363</v>
      </c>
      <c r="AF142" s="954">
        <v>44962</v>
      </c>
      <c r="AG142" s="955">
        <v>2.6859999999999999</v>
      </c>
    </row>
    <row r="143" spans="29:33">
      <c r="AC143" s="955" t="s">
        <v>1109</v>
      </c>
      <c r="AD143" s="561">
        <v>3.3359999999999999</v>
      </c>
      <c r="AF143" s="954">
        <v>44931</v>
      </c>
      <c r="AG143" s="955">
        <v>2.6869999999999998</v>
      </c>
    </row>
    <row r="144" spans="29:33">
      <c r="AC144" s="955" t="s">
        <v>1110</v>
      </c>
      <c r="AD144" s="561">
        <v>3.375</v>
      </c>
      <c r="AF144" s="955" t="s">
        <v>1108</v>
      </c>
      <c r="AG144" s="955">
        <v>2.786</v>
      </c>
    </row>
    <row r="145" spans="29:33">
      <c r="AC145" s="955" t="s">
        <v>1111</v>
      </c>
      <c r="AD145" s="561">
        <v>3.3919999999999999</v>
      </c>
      <c r="AF145" s="955" t="s">
        <v>1109</v>
      </c>
      <c r="AG145" s="955">
        <v>2.7719999999999998</v>
      </c>
    </row>
    <row r="146" spans="29:33">
      <c r="AC146" s="955" t="s">
        <v>1112</v>
      </c>
      <c r="AD146" s="561">
        <v>3.4910000000000001</v>
      </c>
      <c r="AF146" s="955" t="s">
        <v>1110</v>
      </c>
      <c r="AG146" s="955">
        <v>2.903</v>
      </c>
    </row>
    <row r="147" spans="29:33">
      <c r="AC147" s="955" t="s">
        <v>1113</v>
      </c>
      <c r="AD147" s="561">
        <v>3.419</v>
      </c>
      <c r="AF147" s="955" t="s">
        <v>1111</v>
      </c>
      <c r="AG147" s="955">
        <v>2.9009999999999998</v>
      </c>
    </row>
    <row r="148" spans="29:33">
      <c r="AC148" s="955" t="s">
        <v>1114</v>
      </c>
      <c r="AD148" s="561">
        <v>3.4489999999999998</v>
      </c>
      <c r="AF148" s="955" t="s">
        <v>1112</v>
      </c>
      <c r="AG148" s="955">
        <v>2.9420000000000002</v>
      </c>
    </row>
    <row r="149" spans="29:33">
      <c r="AC149" s="955" t="s">
        <v>1115</v>
      </c>
      <c r="AD149" s="561">
        <v>3.4430000000000001</v>
      </c>
      <c r="AF149" s="955" t="s">
        <v>1113</v>
      </c>
      <c r="AG149" s="955">
        <v>2.9380000000000002</v>
      </c>
    </row>
    <row r="150" spans="29:33">
      <c r="AC150" s="955" t="s">
        <v>1116</v>
      </c>
      <c r="AD150" s="561">
        <v>3.4769999999999999</v>
      </c>
      <c r="AF150" s="955" t="s">
        <v>1114</v>
      </c>
      <c r="AG150" s="955">
        <v>2.9380000000000002</v>
      </c>
    </row>
    <row r="151" spans="29:33">
      <c r="AC151" s="955" t="s">
        <v>1117</v>
      </c>
      <c r="AD151" s="561">
        <v>3.4119999999999999</v>
      </c>
      <c r="AF151" s="955" t="s">
        <v>1115</v>
      </c>
      <c r="AG151" s="955">
        <v>2.8919999999999999</v>
      </c>
    </row>
    <row r="152" spans="29:33">
      <c r="AC152" s="955" t="s">
        <v>1118</v>
      </c>
      <c r="AD152" s="561">
        <v>3.47</v>
      </c>
      <c r="AF152" s="955" t="s">
        <v>1116</v>
      </c>
      <c r="AG152" s="955">
        <v>2.9630000000000001</v>
      </c>
    </row>
    <row r="153" spans="29:33">
      <c r="AC153" s="955" t="s">
        <v>1119</v>
      </c>
      <c r="AD153" s="561">
        <v>3.4889999999999999</v>
      </c>
      <c r="AF153" s="955" t="s">
        <v>1117</v>
      </c>
      <c r="AG153" s="955">
        <v>2.948</v>
      </c>
    </row>
    <row r="154" spans="29:33">
      <c r="AC154" s="954">
        <v>45264</v>
      </c>
      <c r="AD154" s="561">
        <v>3.4289999999999998</v>
      </c>
      <c r="AF154" s="955" t="s">
        <v>1118</v>
      </c>
      <c r="AG154" s="955">
        <v>2.9430000000000001</v>
      </c>
    </row>
    <row r="155" spans="29:33">
      <c r="AC155" s="954">
        <v>45234</v>
      </c>
      <c r="AD155" s="561">
        <v>3.4449999999999998</v>
      </c>
      <c r="AF155" s="955" t="s">
        <v>1119</v>
      </c>
      <c r="AG155" s="955">
        <v>2.9430000000000001</v>
      </c>
    </row>
    <row r="156" spans="29:33">
      <c r="AC156" s="954">
        <v>45203</v>
      </c>
      <c r="AD156" s="561">
        <v>3.452</v>
      </c>
      <c r="AF156" s="954">
        <v>45264</v>
      </c>
      <c r="AG156" s="955">
        <v>2.9430000000000001</v>
      </c>
    </row>
    <row r="157" spans="29:33">
      <c r="AC157" s="954">
        <v>45111</v>
      </c>
      <c r="AD157" s="561">
        <v>3.5470000000000002</v>
      </c>
      <c r="AF157" s="954">
        <v>45234</v>
      </c>
      <c r="AG157" s="955">
        <v>2.948</v>
      </c>
    </row>
    <row r="158" spans="29:33">
      <c r="AC158" s="954">
        <v>45081</v>
      </c>
      <c r="AD158" s="561">
        <v>3.6</v>
      </c>
      <c r="AF158" s="954">
        <v>45203</v>
      </c>
      <c r="AG158" s="955">
        <v>2.9249999999999998</v>
      </c>
    </row>
    <row r="159" spans="29:33">
      <c r="AC159" s="954">
        <v>45050</v>
      </c>
      <c r="AD159" s="561">
        <v>3.5739999999999998</v>
      </c>
      <c r="AF159" s="954">
        <v>45111</v>
      </c>
      <c r="AG159" s="955">
        <v>3.0270000000000001</v>
      </c>
    </row>
    <row r="160" spans="29:33">
      <c r="AC160" s="954">
        <v>45020</v>
      </c>
      <c r="AD160" s="561">
        <v>3.5640000000000001</v>
      </c>
      <c r="AF160" s="954">
        <v>45081</v>
      </c>
      <c r="AG160" s="955">
        <v>3.008</v>
      </c>
    </row>
    <row r="161" spans="29:33">
      <c r="AC161" s="954">
        <v>44989</v>
      </c>
      <c r="AD161" s="561">
        <v>3.5920000000000001</v>
      </c>
      <c r="AF161" s="954">
        <v>45050</v>
      </c>
      <c r="AG161" s="955">
        <v>2.9249999999999998</v>
      </c>
    </row>
    <row r="162" spans="29:33">
      <c r="AC162" s="955" t="s">
        <v>1120</v>
      </c>
      <c r="AD162" s="561">
        <v>3.4689999999999999</v>
      </c>
      <c r="AF162" s="954">
        <v>45020</v>
      </c>
      <c r="AG162" s="955">
        <v>3.0510000000000002</v>
      </c>
    </row>
    <row r="163" spans="29:33">
      <c r="AC163" s="955" t="s">
        <v>1121</v>
      </c>
      <c r="AD163" s="561">
        <v>3.714</v>
      </c>
      <c r="AF163" s="954">
        <v>44989</v>
      </c>
      <c r="AG163" s="955">
        <v>3.0449999999999999</v>
      </c>
    </row>
    <row r="164" spans="29:33">
      <c r="AC164" s="955" t="s">
        <v>1122</v>
      </c>
      <c r="AD164" s="561">
        <v>3.746</v>
      </c>
      <c r="AF164" s="955" t="s">
        <v>1120</v>
      </c>
      <c r="AG164" s="955">
        <v>3.1680000000000001</v>
      </c>
    </row>
    <row r="165" spans="29:33">
      <c r="AC165" s="955" t="s">
        <v>1123</v>
      </c>
      <c r="AD165" s="561">
        <v>3.758</v>
      </c>
      <c r="AF165" s="955" t="s">
        <v>1121</v>
      </c>
      <c r="AG165" s="955">
        <v>3.3679999999999999</v>
      </c>
    </row>
    <row r="166" spans="29:33">
      <c r="AC166" s="955" t="s">
        <v>1124</v>
      </c>
      <c r="AD166" s="561">
        <v>3.7810000000000001</v>
      </c>
      <c r="AF166" s="955" t="s">
        <v>1122</v>
      </c>
      <c r="AG166" s="955">
        <v>3.5089999999999999</v>
      </c>
    </row>
    <row r="167" spans="29:33">
      <c r="AC167" s="955" t="s">
        <v>1125</v>
      </c>
      <c r="AD167" s="561">
        <v>3.7050000000000001</v>
      </c>
      <c r="AF167" s="955" t="s">
        <v>1123</v>
      </c>
      <c r="AG167" s="955">
        <v>3.5369999999999999</v>
      </c>
    </row>
    <row r="168" spans="29:33">
      <c r="AC168" s="955" t="s">
        <v>1126</v>
      </c>
      <c r="AD168" s="561">
        <v>3.8730000000000002</v>
      </c>
      <c r="AF168" s="955" t="s">
        <v>1124</v>
      </c>
      <c r="AG168" s="955">
        <v>3.5640000000000001</v>
      </c>
    </row>
    <row r="169" spans="29:33">
      <c r="AC169" s="955" t="s">
        <v>1127</v>
      </c>
      <c r="AD169" s="561">
        <v>3.9140000000000001</v>
      </c>
      <c r="AF169" s="955" t="s">
        <v>1125</v>
      </c>
      <c r="AG169" s="955">
        <v>3.6230000000000002</v>
      </c>
    </row>
    <row r="170" spans="29:33">
      <c r="AC170" s="955" t="s">
        <v>1128</v>
      </c>
      <c r="AD170" s="561">
        <v>3.988</v>
      </c>
      <c r="AF170" s="955" t="s">
        <v>1126</v>
      </c>
      <c r="AG170" s="955">
        <v>3.645</v>
      </c>
    </row>
    <row r="171" spans="29:33">
      <c r="AC171" s="955" t="s">
        <v>1129</v>
      </c>
      <c r="AD171" s="561">
        <v>4.03</v>
      </c>
      <c r="AF171" s="955" t="s">
        <v>1127</v>
      </c>
      <c r="AG171" s="955">
        <v>3.7930000000000001</v>
      </c>
    </row>
    <row r="172" spans="29:33">
      <c r="AC172" s="955" t="s">
        <v>1130</v>
      </c>
      <c r="AD172" s="561">
        <v>4.0979999999999999</v>
      </c>
      <c r="AF172" s="955" t="s">
        <v>1128</v>
      </c>
      <c r="AG172" s="955">
        <v>3.8159999999999998</v>
      </c>
    </row>
    <row r="173" spans="29:33">
      <c r="AC173" s="955" t="s">
        <v>1131</v>
      </c>
      <c r="AD173" s="561">
        <v>4.1029999999999998</v>
      </c>
      <c r="AF173" s="955" t="s">
        <v>1129</v>
      </c>
      <c r="AG173" s="955">
        <v>3.8380000000000001</v>
      </c>
    </row>
    <row r="174" spans="29:33">
      <c r="AC174" s="955" t="s">
        <v>1132</v>
      </c>
      <c r="AD174" s="561">
        <v>4.2729999999999997</v>
      </c>
      <c r="AF174" s="955" t="s">
        <v>1130</v>
      </c>
      <c r="AG174" s="955">
        <v>3.843</v>
      </c>
    </row>
    <row r="175" spans="29:33">
      <c r="AC175" s="955" t="s">
        <v>1133</v>
      </c>
      <c r="AD175" s="561">
        <v>4.3040000000000003</v>
      </c>
      <c r="AF175" s="955" t="s">
        <v>1131</v>
      </c>
      <c r="AG175" s="955">
        <v>3.8460000000000001</v>
      </c>
    </row>
    <row r="176" spans="29:33">
      <c r="AC176" s="955" t="s">
        <v>1134</v>
      </c>
      <c r="AD176" s="561">
        <v>4.3600000000000003</v>
      </c>
      <c r="AF176" s="955" t="s">
        <v>1132</v>
      </c>
      <c r="AG176" s="955">
        <v>3.9969999999999999</v>
      </c>
    </row>
    <row r="177" spans="29:33">
      <c r="AC177" s="954">
        <v>45202</v>
      </c>
      <c r="AD177" s="561">
        <v>4.4649999999999999</v>
      </c>
      <c r="AF177" s="955" t="s">
        <v>1133</v>
      </c>
      <c r="AG177" s="955">
        <v>4.0010000000000003</v>
      </c>
    </row>
    <row r="178" spans="29:33">
      <c r="AC178" s="954">
        <v>45172</v>
      </c>
      <c r="AD178" s="561">
        <v>4.5190000000000001</v>
      </c>
      <c r="AF178" s="955" t="s">
        <v>1134</v>
      </c>
      <c r="AG178" s="955">
        <v>4.0229999999999997</v>
      </c>
    </row>
    <row r="179" spans="29:33">
      <c r="AC179" s="954">
        <v>45141</v>
      </c>
      <c r="AD179" s="561">
        <v>4.5780000000000003</v>
      </c>
      <c r="AF179" s="954">
        <v>45202</v>
      </c>
      <c r="AG179" s="955">
        <v>4.0510000000000002</v>
      </c>
    </row>
    <row r="180" spans="29:33">
      <c r="AC180" s="954">
        <v>45110</v>
      </c>
      <c r="AD180" s="561">
        <v>4.5510000000000002</v>
      </c>
      <c r="AF180" s="954">
        <v>45172</v>
      </c>
      <c r="AG180" s="955">
        <v>4.0510000000000002</v>
      </c>
    </row>
    <row r="181" spans="29:33">
      <c r="AC181" s="954">
        <v>45080</v>
      </c>
      <c r="AD181" s="561">
        <v>4.585</v>
      </c>
      <c r="AF181" s="954">
        <v>45141</v>
      </c>
      <c r="AG181" s="955">
        <v>4.056</v>
      </c>
    </row>
    <row r="182" spans="29:33">
      <c r="AC182" s="954">
        <v>44988</v>
      </c>
      <c r="AD182" s="561">
        <v>4.5949999999999998</v>
      </c>
      <c r="AF182" s="954">
        <v>45110</v>
      </c>
      <c r="AG182" s="955">
        <v>4.0510000000000002</v>
      </c>
    </row>
    <row r="183" spans="29:33">
      <c r="AC183" s="954">
        <v>44960</v>
      </c>
      <c r="AD183" s="561">
        <v>4.59</v>
      </c>
      <c r="AF183" s="954">
        <v>45080</v>
      </c>
      <c r="AG183" s="955">
        <v>4.0549999999999997</v>
      </c>
    </row>
    <row r="184" spans="29:33">
      <c r="AC184" s="954">
        <v>44929</v>
      </c>
      <c r="AD184" s="561">
        <v>4.5369999999999999</v>
      </c>
      <c r="AF184" s="954">
        <v>44988</v>
      </c>
      <c r="AG184" s="955">
        <v>4.0549999999999997</v>
      </c>
    </row>
    <row r="185" spans="29:33">
      <c r="AC185" s="955" t="s">
        <v>1135</v>
      </c>
      <c r="AD185" s="561">
        <v>4.532</v>
      </c>
      <c r="AF185" s="954">
        <v>44960</v>
      </c>
      <c r="AG185" s="955">
        <v>4.056</v>
      </c>
    </row>
    <row r="186" spans="29:33">
      <c r="AC186" s="955" t="s">
        <v>1136</v>
      </c>
      <c r="AD186" s="561">
        <v>4.5449999999999999</v>
      </c>
      <c r="AF186" s="954">
        <v>44929</v>
      </c>
      <c r="AG186" s="955">
        <v>4.0549999999999997</v>
      </c>
    </row>
    <row r="187" spans="29:33">
      <c r="AC187" s="955" t="s">
        <v>1137</v>
      </c>
      <c r="AD187" s="561">
        <v>4.577</v>
      </c>
      <c r="AF187" s="955" t="s">
        <v>1135</v>
      </c>
      <c r="AG187" s="955">
        <v>4.056</v>
      </c>
    </row>
    <row r="188" spans="29:33">
      <c r="AC188" s="955" t="s">
        <v>1138</v>
      </c>
      <c r="AD188" s="561">
        <v>4.556</v>
      </c>
      <c r="AF188" s="955" t="s">
        <v>1136</v>
      </c>
      <c r="AG188" s="955">
        <v>4.0609999999999999</v>
      </c>
    </row>
    <row r="189" spans="29:33">
      <c r="AC189" s="955" t="s">
        <v>1139</v>
      </c>
      <c r="AD189" s="561">
        <v>4.5289999999999999</v>
      </c>
      <c r="AF189" s="955" t="s">
        <v>1137</v>
      </c>
      <c r="AG189" s="955">
        <v>4.0570000000000004</v>
      </c>
    </row>
    <row r="190" spans="29:33">
      <c r="AC190" s="955" t="s">
        <v>1140</v>
      </c>
      <c r="AD190" s="561">
        <v>4.4459999999999997</v>
      </c>
      <c r="AF190" s="955" t="s">
        <v>1138</v>
      </c>
      <c r="AG190" s="955">
        <v>4.0469999999999997</v>
      </c>
    </row>
    <row r="191" spans="29:33">
      <c r="AC191" s="955" t="s">
        <v>1141</v>
      </c>
      <c r="AD191" s="561">
        <v>4.375</v>
      </c>
      <c r="AF191" s="955" t="s">
        <v>1139</v>
      </c>
      <c r="AG191" s="955">
        <v>4.0449999999999999</v>
      </c>
    </row>
    <row r="192" spans="29:33">
      <c r="AC192" s="955" t="s">
        <v>1142</v>
      </c>
      <c r="AD192" s="561">
        <v>4.3470000000000004</v>
      </c>
      <c r="AF192" s="955" t="s">
        <v>1140</v>
      </c>
      <c r="AG192" s="955">
        <v>4.032</v>
      </c>
    </row>
    <row r="193" spans="29:33">
      <c r="AC193" s="955" t="s">
        <v>1143</v>
      </c>
      <c r="AD193" s="561">
        <v>4.3109999999999999</v>
      </c>
      <c r="AF193" s="955" t="s">
        <v>1141</v>
      </c>
      <c r="AG193" s="955">
        <v>4.0090000000000003</v>
      </c>
    </row>
    <row r="194" spans="29:33">
      <c r="AC194" s="955" t="s">
        <v>1144</v>
      </c>
      <c r="AD194" s="561">
        <v>4.2510000000000003</v>
      </c>
      <c r="AF194" s="955" t="s">
        <v>1142</v>
      </c>
      <c r="AG194" s="955">
        <v>3.9910000000000001</v>
      </c>
    </row>
    <row r="195" spans="29:33">
      <c r="AC195" s="955" t="s">
        <v>1145</v>
      </c>
      <c r="AD195" s="561">
        <v>4.2050000000000001</v>
      </c>
      <c r="AF195" s="955" t="s">
        <v>1143</v>
      </c>
      <c r="AG195" s="955">
        <v>3.9910000000000001</v>
      </c>
    </row>
    <row r="196" spans="29:33">
      <c r="AC196" s="955" t="s">
        <v>1146</v>
      </c>
      <c r="AD196" s="561">
        <v>4.2510000000000003</v>
      </c>
      <c r="AF196" s="955" t="s">
        <v>1144</v>
      </c>
      <c r="AG196" s="955">
        <v>3.9809999999999999</v>
      </c>
    </row>
    <row r="197" spans="29:33">
      <c r="AC197" s="954">
        <v>45201</v>
      </c>
      <c r="AD197" s="561">
        <v>4.2539999999999996</v>
      </c>
      <c r="AF197" s="955" t="s">
        <v>1145</v>
      </c>
      <c r="AG197" s="955">
        <v>3.9809999999999999</v>
      </c>
    </row>
    <row r="198" spans="29:33">
      <c r="AC198" s="954">
        <v>45171</v>
      </c>
      <c r="AD198" s="561">
        <v>4.2569999999999997</v>
      </c>
      <c r="AF198" s="955" t="s">
        <v>1146</v>
      </c>
      <c r="AG198" s="955">
        <v>3.9950000000000001</v>
      </c>
    </row>
    <row r="199" spans="29:33">
      <c r="AC199" s="954">
        <v>45140</v>
      </c>
      <c r="AD199" s="561">
        <v>4.3230000000000004</v>
      </c>
      <c r="AF199" s="954">
        <v>45201</v>
      </c>
      <c r="AG199" s="955">
        <v>3.9740000000000002</v>
      </c>
    </row>
    <row r="200" spans="29:33">
      <c r="AC200" s="954">
        <v>45109</v>
      </c>
      <c r="AD200" s="561">
        <v>4.3010000000000002</v>
      </c>
      <c r="AF200" s="954">
        <v>45171</v>
      </c>
      <c r="AG200" s="955">
        <v>4.008</v>
      </c>
    </row>
    <row r="201" spans="29:33">
      <c r="AC201" s="954">
        <v>45079</v>
      </c>
      <c r="AD201" s="561">
        <v>4.3220000000000001</v>
      </c>
      <c r="AF201" s="954">
        <v>45140</v>
      </c>
      <c r="AG201" s="955">
        <v>4.0129999999999999</v>
      </c>
    </row>
    <row r="202" spans="29:33">
      <c r="AC202" s="954">
        <v>44987</v>
      </c>
      <c r="AD202" s="561">
        <v>4.3259999999999996</v>
      </c>
      <c r="AF202" s="954">
        <v>45109</v>
      </c>
      <c r="AG202" s="955">
        <v>4.0220000000000002</v>
      </c>
    </row>
    <row r="203" spans="29:33">
      <c r="AC203" s="954">
        <v>44959</v>
      </c>
      <c r="AD203" s="561">
        <v>4.3579999999999997</v>
      </c>
      <c r="AF203" s="954">
        <v>45079</v>
      </c>
      <c r="AG203" s="955">
        <v>4.0170000000000003</v>
      </c>
    </row>
    <row r="204" spans="29:33">
      <c r="AC204" s="954">
        <v>44928</v>
      </c>
      <c r="AD204" s="561">
        <v>4.4749999999999996</v>
      </c>
      <c r="AF204" s="954">
        <v>44987</v>
      </c>
      <c r="AG204" s="955">
        <v>4.0019999999999998</v>
      </c>
    </row>
    <row r="205" spans="29:33">
      <c r="AC205" s="955" t="s">
        <v>1147</v>
      </c>
      <c r="AD205" s="561">
        <v>4.6390000000000002</v>
      </c>
      <c r="AF205" s="954">
        <v>44959</v>
      </c>
      <c r="AG205" s="955">
        <v>4.0179999999999998</v>
      </c>
    </row>
    <row r="206" spans="29:33">
      <c r="AC206" s="955" t="s">
        <v>1148</v>
      </c>
      <c r="AD206" s="561">
        <v>4.7210000000000001</v>
      </c>
      <c r="AF206" s="954">
        <v>44928</v>
      </c>
      <c r="AG206" s="955">
        <v>4.1769999999999996</v>
      </c>
    </row>
    <row r="207" spans="29:33">
      <c r="AC207" s="955" t="s">
        <v>1149</v>
      </c>
      <c r="AD207" s="561">
        <v>4.7619999999999996</v>
      </c>
      <c r="AF207" s="955" t="s">
        <v>1147</v>
      </c>
      <c r="AG207" s="955">
        <v>4.4909999999999997</v>
      </c>
    </row>
    <row r="208" spans="29:33">
      <c r="AC208" s="955" t="s">
        <v>1150</v>
      </c>
      <c r="AD208" s="561">
        <v>4.7389999999999999</v>
      </c>
      <c r="AF208" s="955" t="s">
        <v>1148</v>
      </c>
      <c r="AG208" s="955">
        <v>4.5640000000000001</v>
      </c>
    </row>
    <row r="209" spans="29:33">
      <c r="AC209" s="955" t="s">
        <v>1151</v>
      </c>
      <c r="AD209" s="561">
        <v>4.7389999999999999</v>
      </c>
      <c r="AF209" s="955" t="s">
        <v>1149</v>
      </c>
      <c r="AG209" s="955">
        <v>4.5999999999999996</v>
      </c>
    </row>
    <row r="210" spans="29:33">
      <c r="AC210" s="955" t="s">
        <v>1152</v>
      </c>
      <c r="AD210" s="561">
        <v>4.7389999999999999</v>
      </c>
      <c r="AF210" s="955" t="s">
        <v>1150</v>
      </c>
      <c r="AG210" s="955">
        <v>4.5359999999999996</v>
      </c>
    </row>
    <row r="211" spans="29:33">
      <c r="AC211" s="955" t="s">
        <v>1153</v>
      </c>
      <c r="AD211" s="561">
        <v>4.7389999999999999</v>
      </c>
      <c r="AF211" s="955" t="s">
        <v>1151</v>
      </c>
      <c r="AG211" s="955">
        <v>4.5359999999999996</v>
      </c>
    </row>
    <row r="212" spans="29:33">
      <c r="AC212" s="955" t="s">
        <v>1154</v>
      </c>
      <c r="AD212" s="561">
        <v>4.7389999999999999</v>
      </c>
      <c r="AF212" s="955" t="s">
        <v>1152</v>
      </c>
      <c r="AG212" s="955">
        <v>4.5359999999999996</v>
      </c>
    </row>
    <row r="213" spans="29:33">
      <c r="AC213" s="955" t="s">
        <v>1155</v>
      </c>
      <c r="AD213" s="561">
        <v>4.79</v>
      </c>
      <c r="AF213" s="955" t="s">
        <v>1153</v>
      </c>
      <c r="AG213" s="955">
        <v>4.5359999999999996</v>
      </c>
    </row>
    <row r="214" spans="29:33">
      <c r="AC214" s="955" t="s">
        <v>1156</v>
      </c>
      <c r="AD214" s="561">
        <v>4.7990000000000004</v>
      </c>
      <c r="AF214" s="955" t="s">
        <v>1154</v>
      </c>
      <c r="AG214" s="955">
        <v>4.5359999999999996</v>
      </c>
    </row>
    <row r="215" spans="29:33">
      <c r="AC215" s="955" t="s">
        <v>1157</v>
      </c>
      <c r="AD215" s="561">
        <v>4.8179999999999996</v>
      </c>
      <c r="AF215" s="955" t="s">
        <v>1155</v>
      </c>
      <c r="AG215" s="955">
        <v>4.6360000000000001</v>
      </c>
    </row>
    <row r="216" spans="29:33">
      <c r="AC216" s="955" t="s">
        <v>1158</v>
      </c>
      <c r="AD216" s="561">
        <v>4.8179999999999996</v>
      </c>
      <c r="AF216" s="955" t="s">
        <v>1156</v>
      </c>
      <c r="AG216" s="955">
        <v>4.641</v>
      </c>
    </row>
    <row r="217" spans="29:33">
      <c r="AC217" s="955" t="s">
        <v>1159</v>
      </c>
      <c r="AD217" s="561">
        <v>4.8220000000000001</v>
      </c>
      <c r="AF217" s="955" t="s">
        <v>1157</v>
      </c>
      <c r="AG217" s="955">
        <v>4.6950000000000003</v>
      </c>
    </row>
    <row r="218" spans="29:33">
      <c r="AC218" s="954">
        <v>45261</v>
      </c>
      <c r="AD218" s="561">
        <v>4.84</v>
      </c>
      <c r="AF218" s="955" t="s">
        <v>1158</v>
      </c>
      <c r="AG218" s="955">
        <v>4.7050000000000001</v>
      </c>
    </row>
    <row r="219" spans="29:33">
      <c r="AC219" s="954">
        <v>45231</v>
      </c>
      <c r="AD219" s="561">
        <v>4.91</v>
      </c>
      <c r="AF219" s="955" t="s">
        <v>1159</v>
      </c>
      <c r="AG219" s="955">
        <v>4.7050000000000001</v>
      </c>
    </row>
    <row r="220" spans="29:33">
      <c r="AC220" s="954">
        <v>45200</v>
      </c>
      <c r="AD220" s="561">
        <v>4.9189999999999996</v>
      </c>
      <c r="AF220" s="954">
        <v>45261</v>
      </c>
      <c r="AG220" s="955">
        <v>4.7279999999999998</v>
      </c>
    </row>
    <row r="221" spans="29:33">
      <c r="AC221" s="954">
        <v>45170</v>
      </c>
      <c r="AD221" s="561">
        <v>4.9409999999999998</v>
      </c>
      <c r="AF221" s="954">
        <v>45231</v>
      </c>
      <c r="AG221" s="955">
        <v>4.8150000000000004</v>
      </c>
    </row>
    <row r="222" spans="29:33">
      <c r="AC222" s="954">
        <v>45078</v>
      </c>
      <c r="AD222" s="561">
        <v>4.9820000000000002</v>
      </c>
      <c r="AF222" s="954">
        <v>45200</v>
      </c>
      <c r="AG222" s="955">
        <v>4.819</v>
      </c>
    </row>
    <row r="223" spans="29:33">
      <c r="AC223" s="954">
        <v>45047</v>
      </c>
      <c r="AD223" s="561">
        <v>5</v>
      </c>
      <c r="AF223" s="954">
        <v>45170</v>
      </c>
      <c r="AG223" s="955">
        <v>4.8380000000000001</v>
      </c>
    </row>
    <row r="224" spans="29:33">
      <c r="AC224" s="954">
        <v>45017</v>
      </c>
      <c r="AD224" s="561">
        <v>5.032</v>
      </c>
      <c r="AF224" s="954">
        <v>45078</v>
      </c>
      <c r="AG224" s="955">
        <v>4.8570000000000002</v>
      </c>
    </row>
    <row r="225" spans="29:33">
      <c r="AC225" s="954">
        <v>44986</v>
      </c>
      <c r="AD225" s="561">
        <v>5.0279999999999996</v>
      </c>
      <c r="AF225" s="954">
        <v>45047</v>
      </c>
      <c r="AG225" s="955">
        <v>4.8650000000000002</v>
      </c>
    </row>
    <row r="226" spans="29:33">
      <c r="AC226" s="954">
        <v>44958</v>
      </c>
      <c r="AD226" s="561">
        <v>4.9870000000000001</v>
      </c>
      <c r="AF226" s="954">
        <v>45017</v>
      </c>
      <c r="AG226" s="955">
        <v>4.8869999999999996</v>
      </c>
    </row>
    <row r="227" spans="29:33">
      <c r="AC227" s="955" t="s">
        <v>1160</v>
      </c>
      <c r="AD227" s="561">
        <v>5.0369999999999999</v>
      </c>
      <c r="AF227" s="954">
        <v>44986</v>
      </c>
      <c r="AG227" s="955">
        <v>4.883</v>
      </c>
    </row>
    <row r="228" spans="29:33">
      <c r="AC228" s="955" t="s">
        <v>1161</v>
      </c>
      <c r="AD228" s="561">
        <v>5.0419999999999998</v>
      </c>
      <c r="AF228" s="954">
        <v>44958</v>
      </c>
      <c r="AG228" s="955">
        <v>4.7859999999999996</v>
      </c>
    </row>
    <row r="229" spans="29:33">
      <c r="AC229" s="955" t="s">
        <v>1162</v>
      </c>
      <c r="AD229" s="561">
        <v>5.0780000000000003</v>
      </c>
      <c r="AF229" s="955" t="s">
        <v>1160</v>
      </c>
      <c r="AG229" s="955">
        <v>4.8860000000000001</v>
      </c>
    </row>
    <row r="230" spans="29:33">
      <c r="AC230" s="955" t="s">
        <v>1163</v>
      </c>
      <c r="AD230" s="561">
        <v>5.0869999999999997</v>
      </c>
      <c r="AF230" s="955" t="s">
        <v>1161</v>
      </c>
      <c r="AG230" s="955">
        <v>4.891</v>
      </c>
    </row>
    <row r="231" spans="29:33">
      <c r="AC231" s="955" t="s">
        <v>1164</v>
      </c>
      <c r="AD231" s="561">
        <v>5.0869999999999997</v>
      </c>
      <c r="AF231" s="955" t="s">
        <v>1162</v>
      </c>
      <c r="AG231" s="955">
        <v>4.9260000000000002</v>
      </c>
    </row>
    <row r="232" spans="29:33">
      <c r="AC232" s="955" t="s">
        <v>1165</v>
      </c>
      <c r="AD232" s="561">
        <v>5.0919999999999996</v>
      </c>
      <c r="AF232" s="955" t="s">
        <v>1163</v>
      </c>
      <c r="AG232" s="955">
        <v>4.9260000000000002</v>
      </c>
    </row>
    <row r="233" spans="29:33">
      <c r="AC233" s="955" t="s">
        <v>1166</v>
      </c>
      <c r="AD233" s="561">
        <v>5.0919999999999996</v>
      </c>
      <c r="AF233" s="955" t="s">
        <v>1164</v>
      </c>
      <c r="AG233" s="955">
        <v>4.9260000000000002</v>
      </c>
    </row>
    <row r="234" spans="29:33">
      <c r="AC234" s="955" t="s">
        <v>1167</v>
      </c>
      <c r="AD234" s="561">
        <v>5.117</v>
      </c>
      <c r="AF234" s="955" t="s">
        <v>1165</v>
      </c>
      <c r="AG234" s="955">
        <v>4.915</v>
      </c>
    </row>
    <row r="235" spans="29:33">
      <c r="AC235" s="955" t="s">
        <v>1168</v>
      </c>
      <c r="AD235" s="561">
        <v>5.117</v>
      </c>
      <c r="AF235" s="955" t="s">
        <v>1166</v>
      </c>
      <c r="AG235" s="955">
        <v>4.9390000000000001</v>
      </c>
    </row>
    <row r="236" spans="29:33">
      <c r="AC236" s="955" t="s">
        <v>1169</v>
      </c>
      <c r="AD236" s="561">
        <v>5.1219999999999999</v>
      </c>
      <c r="AF236" s="955" t="s">
        <v>1167</v>
      </c>
      <c r="AG236" s="955">
        <v>4.944</v>
      </c>
    </row>
    <row r="237" spans="29:33">
      <c r="AC237" s="955" t="s">
        <v>1170</v>
      </c>
      <c r="AD237" s="561">
        <v>5.1289999999999996</v>
      </c>
      <c r="AF237" s="955" t="s">
        <v>1168</v>
      </c>
      <c r="AG237" s="955">
        <v>4.944</v>
      </c>
    </row>
    <row r="238" spans="29:33">
      <c r="AC238" s="955" t="s">
        <v>1171</v>
      </c>
      <c r="AD238" s="561">
        <v>5.1289999999999996</v>
      </c>
      <c r="AF238" s="955" t="s">
        <v>1169</v>
      </c>
      <c r="AG238" s="955">
        <v>4.9530000000000003</v>
      </c>
    </row>
    <row r="239" spans="29:33">
      <c r="AC239" s="955" t="s">
        <v>1172</v>
      </c>
      <c r="AD239" s="561">
        <v>5.1379999999999999</v>
      </c>
      <c r="AF239" s="955" t="s">
        <v>1170</v>
      </c>
      <c r="AG239" s="955">
        <v>4.9560000000000004</v>
      </c>
    </row>
    <row r="240" spans="29:33">
      <c r="AC240" s="955" t="s">
        <v>1173</v>
      </c>
      <c r="AD240" s="561">
        <v>5.1379999999999999</v>
      </c>
      <c r="AF240" s="955" t="s">
        <v>1171</v>
      </c>
      <c r="AG240" s="955">
        <v>4.9560000000000004</v>
      </c>
    </row>
    <row r="241" spans="29:33">
      <c r="AC241" s="954">
        <v>44907</v>
      </c>
      <c r="AD241" s="561">
        <v>5.1429999999999998</v>
      </c>
      <c r="AF241" s="955" t="s">
        <v>1172</v>
      </c>
      <c r="AG241" s="955">
        <v>4.9569999999999999</v>
      </c>
    </row>
    <row r="242" spans="29:33">
      <c r="AC242" s="954">
        <v>44816</v>
      </c>
      <c r="AD242" s="561">
        <v>5.1429999999999998</v>
      </c>
      <c r="AF242" s="955" t="s">
        <v>1173</v>
      </c>
      <c r="AG242" s="955">
        <v>4.9569999999999999</v>
      </c>
    </row>
    <row r="243" spans="29:33">
      <c r="AC243" s="954">
        <v>44785</v>
      </c>
      <c r="AD243" s="561">
        <v>5.1520000000000001</v>
      </c>
      <c r="AF243" s="954">
        <v>44907</v>
      </c>
      <c r="AG243" s="955">
        <v>4.9569999999999999</v>
      </c>
    </row>
    <row r="244" spans="29:33">
      <c r="AC244" s="954">
        <v>44754</v>
      </c>
      <c r="AD244" s="561">
        <v>5.17</v>
      </c>
      <c r="AF244" s="954">
        <v>44816</v>
      </c>
      <c r="AG244" s="955">
        <v>4.9569999999999999</v>
      </c>
    </row>
    <row r="245" spans="29:33">
      <c r="AC245" s="954">
        <v>44724</v>
      </c>
      <c r="AD245" s="561">
        <v>5.17</v>
      </c>
      <c r="AF245" s="954">
        <v>44785</v>
      </c>
      <c r="AG245" s="955">
        <v>4.9580000000000002</v>
      </c>
    </row>
    <row r="246" spans="29:33">
      <c r="AC246" s="954">
        <v>44693</v>
      </c>
      <c r="AD246" s="561">
        <v>5.1630000000000003</v>
      </c>
      <c r="AF246" s="954">
        <v>44754</v>
      </c>
      <c r="AG246" s="955">
        <v>4.9669999999999996</v>
      </c>
    </row>
    <row r="247" spans="29:33">
      <c r="AC247" s="954">
        <v>44604</v>
      </c>
      <c r="AD247" s="561">
        <v>5.1680000000000001</v>
      </c>
      <c r="AF247" s="954">
        <v>44724</v>
      </c>
      <c r="AG247" s="955">
        <v>4.97</v>
      </c>
    </row>
    <row r="248" spans="29:33">
      <c r="AC248" s="954">
        <v>44573</v>
      </c>
      <c r="AD248" s="561">
        <v>5.1680000000000001</v>
      </c>
      <c r="AF248" s="954">
        <v>44693</v>
      </c>
      <c r="AG248" s="955">
        <v>4.97</v>
      </c>
    </row>
    <row r="249" spans="29:33">
      <c r="AC249" s="955" t="s">
        <v>1174</v>
      </c>
      <c r="AD249" s="561">
        <v>5.1639999999999997</v>
      </c>
      <c r="AF249" s="954">
        <v>44604</v>
      </c>
      <c r="AG249" s="955">
        <v>4.9790000000000001</v>
      </c>
    </row>
    <row r="250" spans="29:33">
      <c r="AC250" s="955" t="s">
        <v>1175</v>
      </c>
      <c r="AD250" s="561">
        <v>5.1550000000000002</v>
      </c>
      <c r="AF250" s="954">
        <v>44573</v>
      </c>
      <c r="AG250" s="955">
        <v>4.9790000000000001</v>
      </c>
    </row>
    <row r="251" spans="29:33">
      <c r="AC251" s="955" t="s">
        <v>1176</v>
      </c>
      <c r="AD251" s="561">
        <v>5.1589999999999998</v>
      </c>
      <c r="AF251" s="955" t="s">
        <v>1174</v>
      </c>
      <c r="AG251" s="955">
        <v>4.9790000000000001</v>
      </c>
    </row>
    <row r="252" spans="29:33">
      <c r="AC252" s="955" t="s">
        <v>1177</v>
      </c>
      <c r="AD252" s="561">
        <v>5.1589999999999998</v>
      </c>
      <c r="AF252" s="955" t="s">
        <v>1175</v>
      </c>
      <c r="AG252" s="955">
        <v>4.9790000000000001</v>
      </c>
    </row>
    <row r="253" spans="29:33">
      <c r="AC253" s="955" t="s">
        <v>1178</v>
      </c>
      <c r="AD253" s="561">
        <v>5.1589999999999998</v>
      </c>
      <c r="AF253" s="955" t="s">
        <v>1176</v>
      </c>
      <c r="AG253" s="955">
        <v>4.976</v>
      </c>
    </row>
    <row r="254" spans="29:33">
      <c r="AC254" s="955" t="s">
        <v>1179</v>
      </c>
      <c r="AD254" s="561">
        <v>5.1459999999999999</v>
      </c>
      <c r="AF254" s="955" t="s">
        <v>1177</v>
      </c>
      <c r="AG254" s="955">
        <v>4.9779999999999998</v>
      </c>
    </row>
    <row r="255" spans="29:33">
      <c r="AC255" s="955" t="s">
        <v>1180</v>
      </c>
      <c r="AD255" s="561">
        <v>5.1459999999999999</v>
      </c>
      <c r="AF255" s="955" t="s">
        <v>1178</v>
      </c>
      <c r="AG255" s="955">
        <v>4.9779999999999998</v>
      </c>
    </row>
    <row r="256" spans="29:33">
      <c r="AC256" s="955" t="s">
        <v>1181</v>
      </c>
      <c r="AD256" s="561">
        <v>5.1420000000000003</v>
      </c>
      <c r="AF256" s="955" t="s">
        <v>1179</v>
      </c>
      <c r="AG256" s="955">
        <v>4.9710000000000001</v>
      </c>
    </row>
    <row r="257" spans="29:33">
      <c r="AC257" s="955" t="s">
        <v>1182</v>
      </c>
      <c r="AD257" s="561">
        <v>5.1420000000000003</v>
      </c>
      <c r="AF257" s="955" t="s">
        <v>1180</v>
      </c>
      <c r="AG257" s="955">
        <v>4.9710000000000001</v>
      </c>
    </row>
    <row r="258" spans="29:33">
      <c r="AC258" s="955" t="s">
        <v>1183</v>
      </c>
      <c r="AD258" s="561">
        <v>5.1289999999999996</v>
      </c>
      <c r="AF258" s="955" t="s">
        <v>1181</v>
      </c>
      <c r="AG258" s="955">
        <v>4.9710000000000001</v>
      </c>
    </row>
    <row r="259" spans="29:33">
      <c r="AC259" s="955" t="s">
        <v>1184</v>
      </c>
      <c r="AD259" s="561">
        <v>5.1470000000000002</v>
      </c>
      <c r="AF259" s="955" t="s">
        <v>1182</v>
      </c>
      <c r="AG259" s="955">
        <v>4.976</v>
      </c>
    </row>
    <row r="260" spans="29:33">
      <c r="AC260" s="955" t="s">
        <v>1185</v>
      </c>
      <c r="AD260" s="561">
        <v>5.1509999999999998</v>
      </c>
      <c r="AF260" s="955" t="s">
        <v>1183</v>
      </c>
      <c r="AG260" s="955">
        <v>4.976</v>
      </c>
    </row>
    <row r="261" spans="29:33">
      <c r="AC261" s="955" t="s">
        <v>1186</v>
      </c>
      <c r="AD261" s="561">
        <v>5.141</v>
      </c>
      <c r="AF261" s="955" t="s">
        <v>1184</v>
      </c>
      <c r="AG261" s="955">
        <v>4.976</v>
      </c>
    </row>
    <row r="262" spans="29:33">
      <c r="AC262" s="954">
        <v>44876</v>
      </c>
      <c r="AD262" s="561">
        <v>5.1680000000000001</v>
      </c>
      <c r="AF262" s="955" t="s">
        <v>1185</v>
      </c>
      <c r="AG262" s="955">
        <v>4.9790000000000001</v>
      </c>
    </row>
    <row r="263" spans="29:33">
      <c r="AC263" s="954">
        <v>44845</v>
      </c>
      <c r="AD263" s="561">
        <v>5.1639999999999997</v>
      </c>
      <c r="AF263" s="955" t="s">
        <v>1186</v>
      </c>
      <c r="AG263" s="955">
        <v>5.0010000000000003</v>
      </c>
    </row>
    <row r="264" spans="29:33">
      <c r="AC264" s="954">
        <v>44815</v>
      </c>
      <c r="AD264" s="561">
        <v>5.1669999999999998</v>
      </c>
      <c r="AF264" s="954">
        <v>44876</v>
      </c>
      <c r="AG264" s="955">
        <v>5.0229999999999997</v>
      </c>
    </row>
    <row r="265" spans="29:33">
      <c r="AC265" s="954">
        <v>44784</v>
      </c>
      <c r="AD265" s="561">
        <v>5.1769999999999996</v>
      </c>
      <c r="AF265" s="954">
        <v>44845</v>
      </c>
      <c r="AG265" s="955">
        <v>5.0190000000000001</v>
      </c>
    </row>
    <row r="266" spans="29:33">
      <c r="AC266" s="954">
        <v>44753</v>
      </c>
      <c r="AD266" s="561">
        <v>5.2030000000000003</v>
      </c>
      <c r="AF266" s="954">
        <v>44815</v>
      </c>
      <c r="AG266" s="955">
        <v>5.0250000000000004</v>
      </c>
    </row>
    <row r="267" spans="29:33">
      <c r="AC267" s="954">
        <v>44662</v>
      </c>
      <c r="AD267" s="561">
        <v>5.2089999999999996</v>
      </c>
      <c r="AF267" s="954">
        <v>44784</v>
      </c>
      <c r="AG267" s="955">
        <v>5.032</v>
      </c>
    </row>
    <row r="268" spans="29:33">
      <c r="AC268" s="954">
        <v>44631</v>
      </c>
      <c r="AD268" s="561">
        <v>5.2089999999999996</v>
      </c>
      <c r="AF268" s="954">
        <v>44753</v>
      </c>
      <c r="AG268" s="955">
        <v>5.0339999999999998</v>
      </c>
    </row>
    <row r="269" spans="29:33">
      <c r="AC269" s="954">
        <v>44603</v>
      </c>
      <c r="AD269" s="561">
        <v>5.19</v>
      </c>
      <c r="AF269" s="954">
        <v>44662</v>
      </c>
      <c r="AG269" s="955">
        <v>5.032</v>
      </c>
    </row>
    <row r="270" spans="29:33">
      <c r="AC270" s="954">
        <v>44572</v>
      </c>
      <c r="AD270" s="561">
        <v>5.194</v>
      </c>
      <c r="AF270" s="954">
        <v>44631</v>
      </c>
      <c r="AG270" s="955">
        <v>5.0229999999999997</v>
      </c>
    </row>
    <row r="271" spans="29:33">
      <c r="AC271" s="955" t="s">
        <v>1187</v>
      </c>
      <c r="AD271" s="561">
        <v>5.194</v>
      </c>
      <c r="AF271" s="954">
        <v>44603</v>
      </c>
      <c r="AG271" s="955">
        <v>5.0149999999999997</v>
      </c>
    </row>
    <row r="272" spans="29:33">
      <c r="AC272" s="955" t="s">
        <v>1188</v>
      </c>
      <c r="AD272" s="561">
        <v>5.1890000000000001</v>
      </c>
      <c r="AF272" s="954">
        <v>44572</v>
      </c>
      <c r="AG272" s="955">
        <v>5.0060000000000002</v>
      </c>
    </row>
    <row r="273" spans="29:33">
      <c r="AC273" s="955" t="s">
        <v>1189</v>
      </c>
      <c r="AD273" s="561">
        <v>5.2039999999999997</v>
      </c>
      <c r="AF273" s="955" t="s">
        <v>1187</v>
      </c>
      <c r="AG273" s="955">
        <v>5.0049999999999999</v>
      </c>
    </row>
    <row r="274" spans="29:33">
      <c r="AC274" s="955" t="s">
        <v>1190</v>
      </c>
      <c r="AD274" s="561">
        <v>5.1719999999999997</v>
      </c>
      <c r="AF274" s="955" t="s">
        <v>1188</v>
      </c>
      <c r="AG274" s="955">
        <v>5</v>
      </c>
    </row>
    <row r="275" spans="29:33">
      <c r="AC275" s="955" t="s">
        <v>1191</v>
      </c>
      <c r="AD275" s="561">
        <v>5.1589999999999998</v>
      </c>
      <c r="AF275" s="955" t="s">
        <v>1189</v>
      </c>
      <c r="AG275" s="955">
        <v>5.0090000000000003</v>
      </c>
    </row>
    <row r="276" spans="29:33">
      <c r="AC276" s="955" t="s">
        <v>1192</v>
      </c>
      <c r="AD276" s="561">
        <v>5.0949999999999998</v>
      </c>
      <c r="AF276" s="955" t="s">
        <v>1190</v>
      </c>
      <c r="AG276" s="955">
        <v>4.9859999999999998</v>
      </c>
    </row>
    <row r="277" spans="29:33">
      <c r="AC277" s="955" t="s">
        <v>1193</v>
      </c>
      <c r="AD277" s="561">
        <v>5.0780000000000003</v>
      </c>
      <c r="AF277" s="955" t="s">
        <v>1191</v>
      </c>
      <c r="AG277" s="955">
        <v>4.9729999999999999</v>
      </c>
    </row>
    <row r="278" spans="29:33">
      <c r="AC278" s="955" t="s">
        <v>1194</v>
      </c>
      <c r="AD278" s="561">
        <v>5.05</v>
      </c>
      <c r="AF278" s="955" t="s">
        <v>1192</v>
      </c>
      <c r="AG278" s="955">
        <v>4.9139999999999997</v>
      </c>
    </row>
    <row r="279" spans="29:33">
      <c r="AC279" s="955" t="s">
        <v>1195</v>
      </c>
      <c r="AD279" s="561">
        <v>5.0510000000000002</v>
      </c>
      <c r="AF279" s="955" t="s">
        <v>1193</v>
      </c>
      <c r="AG279" s="955">
        <v>4.9180000000000001</v>
      </c>
    </row>
    <row r="280" spans="29:33">
      <c r="AC280" s="955" t="s">
        <v>1196</v>
      </c>
      <c r="AD280" s="561">
        <v>5.056</v>
      </c>
      <c r="AF280" s="955" t="s">
        <v>1194</v>
      </c>
      <c r="AG280" s="955">
        <v>4.8949999999999996</v>
      </c>
    </row>
    <row r="281" spans="29:33">
      <c r="AC281" s="955" t="s">
        <v>1197</v>
      </c>
      <c r="AD281" s="561">
        <v>5.1319999999999997</v>
      </c>
      <c r="AF281" s="955" t="s">
        <v>1195</v>
      </c>
      <c r="AG281" s="955">
        <v>4.8719999999999999</v>
      </c>
    </row>
    <row r="282" spans="29:33">
      <c r="AC282" s="955" t="s">
        <v>1198</v>
      </c>
      <c r="AD282" s="561">
        <v>5.1710000000000003</v>
      </c>
      <c r="AF282" s="955" t="s">
        <v>1196</v>
      </c>
      <c r="AG282" s="955">
        <v>4.8949999999999996</v>
      </c>
    </row>
    <row r="283" spans="29:33">
      <c r="AC283" s="955" t="s">
        <v>1199</v>
      </c>
      <c r="AD283" s="561">
        <v>5.1710000000000003</v>
      </c>
      <c r="AF283" s="955" t="s">
        <v>1197</v>
      </c>
      <c r="AG283" s="955">
        <v>4.9580000000000002</v>
      </c>
    </row>
    <row r="284" spans="29:33">
      <c r="AC284" s="954">
        <v>44905</v>
      </c>
      <c r="AD284" s="561">
        <v>5.18</v>
      </c>
      <c r="AF284" s="955" t="s">
        <v>1198</v>
      </c>
      <c r="AG284" s="955">
        <v>4.9640000000000004</v>
      </c>
    </row>
    <row r="285" spans="29:33">
      <c r="AC285" s="954">
        <v>44875</v>
      </c>
      <c r="AD285" s="561">
        <v>5.1539999999999999</v>
      </c>
      <c r="AF285" s="955" t="s">
        <v>1199</v>
      </c>
      <c r="AG285" s="955">
        <v>4.9729999999999999</v>
      </c>
    </row>
    <row r="286" spans="29:33">
      <c r="AC286" s="954">
        <v>44844</v>
      </c>
      <c r="AD286" s="561">
        <v>5.1310000000000002</v>
      </c>
      <c r="AF286" s="954">
        <v>44905</v>
      </c>
      <c r="AG286" s="955">
        <v>4.9770000000000003</v>
      </c>
    </row>
    <row r="287" spans="29:33">
      <c r="AC287" s="954">
        <v>44752</v>
      </c>
      <c r="AD287" s="561">
        <v>5.1420000000000003</v>
      </c>
      <c r="AF287" s="954">
        <v>44875</v>
      </c>
      <c r="AG287" s="955">
        <v>4.9409999999999998</v>
      </c>
    </row>
    <row r="288" spans="29:33">
      <c r="AC288" s="954">
        <v>44722</v>
      </c>
      <c r="AD288" s="561">
        <v>5.1230000000000002</v>
      </c>
      <c r="AF288" s="954">
        <v>44844</v>
      </c>
      <c r="AG288" s="955">
        <v>4.9550000000000001</v>
      </c>
    </row>
    <row r="289" spans="29:33">
      <c r="AC289" s="954">
        <v>44691</v>
      </c>
      <c r="AD289" s="561">
        <v>5.1280000000000001</v>
      </c>
      <c r="AF289" s="954">
        <v>44752</v>
      </c>
      <c r="AG289" s="955">
        <v>4.952</v>
      </c>
    </row>
    <row r="290" spans="29:33">
      <c r="AC290" s="954">
        <v>44661</v>
      </c>
      <c r="AD290" s="561">
        <v>5.1150000000000002</v>
      </c>
      <c r="AF290" s="954">
        <v>44722</v>
      </c>
      <c r="AG290" s="955">
        <v>4.9660000000000002</v>
      </c>
    </row>
    <row r="291" spans="29:33">
      <c r="AC291" s="954">
        <v>44630</v>
      </c>
      <c r="AD291" s="561">
        <v>5.0270000000000001</v>
      </c>
      <c r="AF291" s="954">
        <v>44691</v>
      </c>
      <c r="AG291" s="955">
        <v>4.9800000000000004</v>
      </c>
    </row>
    <row r="292" spans="29:33">
      <c r="AC292" s="955" t="s">
        <v>1200</v>
      </c>
      <c r="AD292" s="561">
        <v>5.016</v>
      </c>
      <c r="AF292" s="954">
        <v>44661</v>
      </c>
      <c r="AG292" s="955">
        <v>4.9290000000000003</v>
      </c>
    </row>
    <row r="293" spans="29:33">
      <c r="AC293" s="955" t="s">
        <v>1201</v>
      </c>
      <c r="AD293" s="561">
        <v>4.9749999999999996</v>
      </c>
      <c r="AF293" s="954">
        <v>44630</v>
      </c>
      <c r="AG293" s="955">
        <v>4.7469999999999999</v>
      </c>
    </row>
    <row r="294" spans="29:33">
      <c r="AC294" s="955" t="s">
        <v>1202</v>
      </c>
      <c r="AD294" s="561">
        <v>5.0250000000000004</v>
      </c>
      <c r="AF294" s="955" t="s">
        <v>1200</v>
      </c>
      <c r="AG294" s="955">
        <v>4.74</v>
      </c>
    </row>
    <row r="295" spans="29:33">
      <c r="AC295" s="955" t="s">
        <v>1203</v>
      </c>
      <c r="AD295" s="561">
        <v>4.8739999999999997</v>
      </c>
      <c r="AF295" s="955" t="s">
        <v>1201</v>
      </c>
      <c r="AG295" s="955">
        <v>4.7009999999999996</v>
      </c>
    </row>
    <row r="296" spans="29:33">
      <c r="AC296" s="955" t="s">
        <v>1204</v>
      </c>
      <c r="AD296" s="561">
        <v>4.6669999999999998</v>
      </c>
      <c r="AF296" s="955" t="s">
        <v>1202</v>
      </c>
      <c r="AG296" s="955">
        <v>4.7329999999999997</v>
      </c>
    </row>
    <row r="297" spans="29:33">
      <c r="AC297" s="955" t="s">
        <v>1205</v>
      </c>
      <c r="AD297" s="561">
        <v>4.6449999999999996</v>
      </c>
      <c r="AF297" s="955" t="s">
        <v>1203</v>
      </c>
      <c r="AG297" s="955">
        <v>4.601</v>
      </c>
    </row>
    <row r="298" spans="29:33">
      <c r="AC298" s="955" t="s">
        <v>1206</v>
      </c>
      <c r="AD298" s="561">
        <v>4.5309999999999997</v>
      </c>
      <c r="AF298" s="955" t="s">
        <v>1204</v>
      </c>
      <c r="AG298" s="955">
        <v>4.3170000000000002</v>
      </c>
    </row>
    <row r="299" spans="29:33">
      <c r="AC299" s="955" t="s">
        <v>1207</v>
      </c>
      <c r="AD299" s="561">
        <v>4.3049999999999997</v>
      </c>
      <c r="AF299" s="955" t="s">
        <v>1205</v>
      </c>
      <c r="AG299" s="955">
        <v>4.3</v>
      </c>
    </row>
    <row r="300" spans="29:33">
      <c r="AC300" s="955" t="s">
        <v>1208</v>
      </c>
      <c r="AD300" s="561">
        <v>3.9430000000000001</v>
      </c>
      <c r="AF300" s="955" t="s">
        <v>1206</v>
      </c>
      <c r="AG300" s="955">
        <v>4.117</v>
      </c>
    </row>
    <row r="301" spans="29:33">
      <c r="AC301" s="955" t="s">
        <v>1209</v>
      </c>
      <c r="AD301" s="561">
        <v>3.8959999999999999</v>
      </c>
      <c r="AF301" s="955" t="s">
        <v>1207</v>
      </c>
      <c r="AG301" s="955">
        <v>3.6150000000000002</v>
      </c>
    </row>
    <row r="302" spans="29:33">
      <c r="AC302" s="955" t="s">
        <v>1210</v>
      </c>
      <c r="AD302" s="561">
        <v>3.9</v>
      </c>
      <c r="AF302" s="955" t="s">
        <v>1208</v>
      </c>
      <c r="AG302" s="955">
        <v>3.33</v>
      </c>
    </row>
    <row r="303" spans="29:33">
      <c r="AC303" s="955" t="s">
        <v>1211</v>
      </c>
      <c r="AD303" s="561">
        <v>3.8620000000000001</v>
      </c>
      <c r="AF303" s="955" t="s">
        <v>1209</v>
      </c>
      <c r="AG303" s="955">
        <v>3.214</v>
      </c>
    </row>
    <row r="304" spans="29:33">
      <c r="AC304" s="955" t="s">
        <v>1212</v>
      </c>
      <c r="AD304" s="561">
        <v>3.8519999999999999</v>
      </c>
      <c r="AF304" s="955" t="s">
        <v>1210</v>
      </c>
      <c r="AG304" s="955">
        <v>3.1930000000000001</v>
      </c>
    </row>
    <row r="305" spans="29:33">
      <c r="AC305" s="955" t="s">
        <v>1213</v>
      </c>
      <c r="AD305" s="561">
        <v>3.8029999999999999</v>
      </c>
      <c r="AF305" s="955" t="s">
        <v>1211</v>
      </c>
      <c r="AG305" s="955">
        <v>3.113</v>
      </c>
    </row>
    <row r="306" spans="29:33">
      <c r="AC306" s="954">
        <v>44904</v>
      </c>
      <c r="AD306" s="561">
        <v>3.8</v>
      </c>
      <c r="AF306" s="955" t="s">
        <v>1212</v>
      </c>
      <c r="AG306" s="955">
        <v>3.1139999999999999</v>
      </c>
    </row>
    <row r="307" spans="29:33">
      <c r="AC307" s="954">
        <v>44813</v>
      </c>
      <c r="AD307" s="561">
        <v>3.8170000000000002</v>
      </c>
      <c r="AF307" s="955" t="s">
        <v>1213</v>
      </c>
      <c r="AG307" s="955">
        <v>3.08</v>
      </c>
    </row>
    <row r="308" spans="29:33">
      <c r="AC308" s="954">
        <v>44782</v>
      </c>
      <c r="AD308" s="561">
        <v>3.8330000000000002</v>
      </c>
      <c r="AF308" s="954">
        <v>44904</v>
      </c>
      <c r="AG308" s="955">
        <v>3.0219999999999998</v>
      </c>
    </row>
    <row r="309" spans="29:33">
      <c r="AC309" s="954">
        <v>44751</v>
      </c>
      <c r="AD309" s="561">
        <v>3.819</v>
      </c>
      <c r="AF309" s="954">
        <v>44813</v>
      </c>
      <c r="AG309" s="955">
        <v>3.0110000000000001</v>
      </c>
    </row>
    <row r="310" spans="29:33">
      <c r="AC310" s="954">
        <v>44721</v>
      </c>
      <c r="AD310" s="561">
        <v>3.7690000000000001</v>
      </c>
      <c r="AF310" s="954">
        <v>44782</v>
      </c>
      <c r="AG310" s="955">
        <v>3.01</v>
      </c>
    </row>
    <row r="311" spans="29:33">
      <c r="AC311" s="954">
        <v>44690</v>
      </c>
      <c r="AD311" s="561">
        <v>3.7160000000000002</v>
      </c>
      <c r="AF311" s="954">
        <v>44751</v>
      </c>
      <c r="AG311" s="955">
        <v>2.9340000000000002</v>
      </c>
    </row>
    <row r="312" spans="29:33">
      <c r="AC312" s="954">
        <v>44601</v>
      </c>
      <c r="AD312" s="561">
        <v>3.6309999999999998</v>
      </c>
      <c r="AF312" s="954">
        <v>44721</v>
      </c>
      <c r="AG312" s="955">
        <v>2.8820000000000001</v>
      </c>
    </row>
    <row r="313" spans="29:33">
      <c r="AC313" s="954">
        <v>44570</v>
      </c>
      <c r="AD313" s="561">
        <v>3.6309999999999998</v>
      </c>
      <c r="AF313" s="954">
        <v>44690</v>
      </c>
      <c r="AG313" s="955">
        <v>2.8090000000000002</v>
      </c>
    </row>
    <row r="314" spans="29:33">
      <c r="AC314" s="955" t="s">
        <v>1214</v>
      </c>
      <c r="AD314" s="561">
        <v>3.681</v>
      </c>
      <c r="AF314" s="954">
        <v>44601</v>
      </c>
      <c r="AG314" s="955">
        <v>2.645</v>
      </c>
    </row>
    <row r="315" spans="29:33">
      <c r="AC315" s="955" t="s">
        <v>1215</v>
      </c>
      <c r="AD315" s="561">
        <v>3.673</v>
      </c>
      <c r="AF315" s="954">
        <v>44570</v>
      </c>
      <c r="AG315" s="955">
        <v>2.645</v>
      </c>
    </row>
    <row r="316" spans="29:33">
      <c r="AC316" s="955" t="s">
        <v>1216</v>
      </c>
      <c r="AD316" s="561">
        <v>3.6680000000000001</v>
      </c>
      <c r="AF316" s="955" t="s">
        <v>1214</v>
      </c>
      <c r="AG316" s="955">
        <v>2.7429999999999999</v>
      </c>
    </row>
    <row r="317" spans="29:33">
      <c r="AC317" s="955" t="s">
        <v>1217</v>
      </c>
      <c r="AD317" s="561">
        <v>3.641</v>
      </c>
      <c r="AF317" s="955" t="s">
        <v>1215</v>
      </c>
      <c r="AG317" s="955">
        <v>2.7469999999999999</v>
      </c>
    </row>
    <row r="318" spans="29:33">
      <c r="AC318" s="955" t="s">
        <v>1218</v>
      </c>
      <c r="AD318" s="561">
        <v>3.645</v>
      </c>
      <c r="AF318" s="955" t="s">
        <v>1216</v>
      </c>
      <c r="AG318" s="955">
        <v>2.75</v>
      </c>
    </row>
    <row r="319" spans="29:33">
      <c r="AC319" s="955" t="s">
        <v>1219</v>
      </c>
      <c r="AD319" s="561">
        <v>3.6469999999999998</v>
      </c>
      <c r="AF319" s="955" t="s">
        <v>1217</v>
      </c>
      <c r="AG319" s="955">
        <v>2.7629999999999999</v>
      </c>
    </row>
    <row r="320" spans="29:33">
      <c r="AC320" s="955" t="s">
        <v>1220</v>
      </c>
      <c r="AD320" s="561">
        <v>3.6419999999999999</v>
      </c>
      <c r="AF320" s="955" t="s">
        <v>1218</v>
      </c>
      <c r="AG320" s="955">
        <v>2.7669999999999999</v>
      </c>
    </row>
    <row r="321" spans="29:33">
      <c r="AC321" s="955" t="s">
        <v>1221</v>
      </c>
      <c r="AD321" s="561">
        <v>3.609</v>
      </c>
      <c r="AF321" s="955" t="s">
        <v>1219</v>
      </c>
      <c r="AG321" s="955">
        <v>2.754</v>
      </c>
    </row>
    <row r="322" spans="29:33">
      <c r="AC322" s="955" t="s">
        <v>1222</v>
      </c>
      <c r="AD322" s="561">
        <v>3.6030000000000002</v>
      </c>
      <c r="AF322" s="955" t="s">
        <v>1220</v>
      </c>
      <c r="AG322" s="955">
        <v>2.7589999999999999</v>
      </c>
    </row>
    <row r="323" spans="29:33">
      <c r="AC323" s="955" t="s">
        <v>1223</v>
      </c>
      <c r="AD323" s="561">
        <v>3.5960000000000001</v>
      </c>
      <c r="AF323" s="955" t="s">
        <v>1221</v>
      </c>
      <c r="AG323" s="955">
        <v>2.7440000000000002</v>
      </c>
    </row>
    <row r="324" spans="29:33">
      <c r="AC324" s="955" t="s">
        <v>1224</v>
      </c>
      <c r="AD324" s="561">
        <v>3.6179999999999999</v>
      </c>
      <c r="AF324" s="955" t="s">
        <v>1222</v>
      </c>
      <c r="AG324" s="955">
        <v>2.7480000000000002</v>
      </c>
    </row>
    <row r="325" spans="29:33">
      <c r="AC325" s="955" t="s">
        <v>1225</v>
      </c>
      <c r="AD325" s="561">
        <v>3.5990000000000002</v>
      </c>
      <c r="AF325" s="955" t="s">
        <v>1223</v>
      </c>
      <c r="AG325" s="955">
        <v>2.7389999999999999</v>
      </c>
    </row>
    <row r="326" spans="29:33">
      <c r="AC326" s="955" t="s">
        <v>1226</v>
      </c>
      <c r="AD326" s="561">
        <v>3.621</v>
      </c>
      <c r="AF326" s="955" t="s">
        <v>1224</v>
      </c>
      <c r="AG326" s="955">
        <v>2.74</v>
      </c>
    </row>
    <row r="327" spans="29:33">
      <c r="AC327" s="954">
        <v>44903</v>
      </c>
      <c r="AD327" s="561">
        <v>3.6179999999999999</v>
      </c>
      <c r="AF327" s="955" t="s">
        <v>1225</v>
      </c>
      <c r="AG327" s="955">
        <v>2.7280000000000002</v>
      </c>
    </row>
    <row r="328" spans="29:33">
      <c r="AC328" s="954">
        <v>44873</v>
      </c>
      <c r="AD328" s="561">
        <v>3.5910000000000002</v>
      </c>
      <c r="AF328" s="955" t="s">
        <v>1226</v>
      </c>
      <c r="AG328" s="955">
        <v>2.73</v>
      </c>
    </row>
    <row r="329" spans="29:33">
      <c r="AC329" s="954">
        <v>44842</v>
      </c>
      <c r="AD329" s="561">
        <v>3.718</v>
      </c>
      <c r="AF329" s="954">
        <v>44903</v>
      </c>
      <c r="AG329" s="955">
        <v>2.7229999999999999</v>
      </c>
    </row>
    <row r="330" spans="29:33">
      <c r="AC330" s="954">
        <v>44812</v>
      </c>
      <c r="AD330" s="561">
        <v>3.71</v>
      </c>
      <c r="AF330" s="954">
        <v>44873</v>
      </c>
      <c r="AG330" s="955">
        <v>2.7370000000000001</v>
      </c>
    </row>
    <row r="331" spans="29:33">
      <c r="AC331" s="954">
        <v>44781</v>
      </c>
      <c r="AD331" s="561">
        <v>3.7</v>
      </c>
      <c r="AF331" s="954">
        <v>44842</v>
      </c>
      <c r="AG331" s="955">
        <v>2.77</v>
      </c>
    </row>
    <row r="332" spans="29:33">
      <c r="AC332" s="954">
        <v>44689</v>
      </c>
      <c r="AD332" s="561">
        <v>3.7120000000000002</v>
      </c>
      <c r="AF332" s="954">
        <v>44812</v>
      </c>
      <c r="AG332" s="955">
        <v>2.7869999999999999</v>
      </c>
    </row>
    <row r="333" spans="29:33">
      <c r="AC333" s="954">
        <v>44659</v>
      </c>
      <c r="AD333" s="561">
        <v>3.6859999999999999</v>
      </c>
      <c r="AF333" s="954">
        <v>44781</v>
      </c>
      <c r="AG333" s="955">
        <v>2.7519999999999998</v>
      </c>
    </row>
    <row r="334" spans="29:33">
      <c r="AC334" s="954">
        <v>44628</v>
      </c>
      <c r="AD334" s="561">
        <v>3.6</v>
      </c>
      <c r="AF334" s="954">
        <v>44689</v>
      </c>
      <c r="AG334" s="955">
        <v>2.7490000000000001</v>
      </c>
    </row>
    <row r="335" spans="29:33">
      <c r="AC335" s="954">
        <v>44600</v>
      </c>
      <c r="AD335" s="561">
        <v>3.5950000000000002</v>
      </c>
      <c r="AF335" s="954">
        <v>44659</v>
      </c>
      <c r="AG335" s="955">
        <v>2.746</v>
      </c>
    </row>
    <row r="336" spans="29:33">
      <c r="AC336" s="954">
        <v>44569</v>
      </c>
      <c r="AD336" s="561">
        <v>3.6859999999999999</v>
      </c>
      <c r="AF336" s="954">
        <v>44628</v>
      </c>
      <c r="AG336" s="955">
        <v>2.7469999999999999</v>
      </c>
    </row>
    <row r="337" spans="29:33">
      <c r="AC337" s="955" t="s">
        <v>1227</v>
      </c>
      <c r="AD337" s="561">
        <v>3.6320000000000001</v>
      </c>
      <c r="AF337" s="954">
        <v>44600</v>
      </c>
      <c r="AG337" s="955">
        <v>2.7349999999999999</v>
      </c>
    </row>
    <row r="338" spans="29:33">
      <c r="AC338" s="955" t="s">
        <v>1228</v>
      </c>
      <c r="AD338" s="561">
        <v>3.7069999999999999</v>
      </c>
      <c r="AF338" s="954">
        <v>44569</v>
      </c>
      <c r="AG338" s="955">
        <v>2.7349999999999999</v>
      </c>
    </row>
    <row r="339" spans="29:33">
      <c r="AC339" s="955" t="s">
        <v>1229</v>
      </c>
      <c r="AD339" s="561">
        <v>3.863</v>
      </c>
      <c r="AF339" s="955" t="s">
        <v>1227</v>
      </c>
      <c r="AG339" s="955">
        <v>2.7360000000000002</v>
      </c>
    </row>
    <row r="340" spans="29:33">
      <c r="AC340" s="955" t="s">
        <v>1230</v>
      </c>
      <c r="AD340" s="561">
        <v>3.4870000000000001</v>
      </c>
      <c r="AF340" s="955" t="s">
        <v>1228</v>
      </c>
      <c r="AG340" s="955">
        <v>2.7050000000000001</v>
      </c>
    </row>
    <row r="341" spans="29:33">
      <c r="AC341" s="955" t="s">
        <v>1231</v>
      </c>
      <c r="AD341" s="561">
        <v>3.431</v>
      </c>
      <c r="AF341" s="955" t="s">
        <v>1229</v>
      </c>
      <c r="AG341" s="955">
        <v>2.867</v>
      </c>
    </row>
    <row r="342" spans="29:33">
      <c r="AC342" s="955" t="s">
        <v>1232</v>
      </c>
      <c r="AD342" s="561">
        <v>3.427</v>
      </c>
      <c r="AF342" s="955" t="s">
        <v>1230</v>
      </c>
      <c r="AG342" s="955">
        <v>2.3010000000000002</v>
      </c>
    </row>
    <row r="343" spans="29:33">
      <c r="AC343" s="955" t="s">
        <v>1233</v>
      </c>
      <c r="AD343" s="561">
        <v>3.4279999999999999</v>
      </c>
      <c r="AF343" s="955" t="s">
        <v>1231</v>
      </c>
      <c r="AG343" s="955">
        <v>2.2229999999999999</v>
      </c>
    </row>
    <row r="344" spans="29:33">
      <c r="AC344" s="955" t="s">
        <v>1234</v>
      </c>
      <c r="AD344" s="561">
        <v>3.4140000000000001</v>
      </c>
      <c r="AF344" s="955" t="s">
        <v>1232</v>
      </c>
      <c r="AG344" s="955">
        <v>2.1989999999999998</v>
      </c>
    </row>
    <row r="345" spans="29:33">
      <c r="AC345" s="955" t="s">
        <v>1235</v>
      </c>
      <c r="AD345" s="561">
        <v>3.4220000000000002</v>
      </c>
      <c r="AF345" s="955" t="s">
        <v>1233</v>
      </c>
      <c r="AG345" s="955">
        <v>2.15</v>
      </c>
    </row>
    <row r="346" spans="29:33">
      <c r="AC346" s="955" t="s">
        <v>1236</v>
      </c>
      <c r="AD346" s="561">
        <v>3.4249999999999998</v>
      </c>
      <c r="AF346" s="955" t="s">
        <v>1234</v>
      </c>
      <c r="AG346" s="955">
        <v>2.1739999999999999</v>
      </c>
    </row>
    <row r="347" spans="29:33">
      <c r="AC347" s="955" t="s">
        <v>1237</v>
      </c>
      <c r="AD347" s="561">
        <v>3.4</v>
      </c>
      <c r="AF347" s="955" t="s">
        <v>1235</v>
      </c>
      <c r="AG347" s="955">
        <v>2.1949999999999998</v>
      </c>
    </row>
    <row r="348" spans="29:33">
      <c r="AC348" s="955" t="s">
        <v>1238</v>
      </c>
      <c r="AD348" s="561">
        <v>3.39</v>
      </c>
      <c r="AF348" s="955" t="s">
        <v>1236</v>
      </c>
      <c r="AG348" s="955">
        <v>2.0579999999999998</v>
      </c>
    </row>
    <row r="349" spans="29:33">
      <c r="AC349" s="955" t="s">
        <v>1239</v>
      </c>
      <c r="AD349" s="561">
        <v>3.36</v>
      </c>
      <c r="AF349" s="955" t="s">
        <v>1237</v>
      </c>
      <c r="AG349" s="955">
        <v>2.0249999999999999</v>
      </c>
    </row>
    <row r="350" spans="29:33">
      <c r="AC350" s="954">
        <v>44902</v>
      </c>
      <c r="AD350" s="561">
        <v>3.3639999999999999</v>
      </c>
      <c r="AF350" s="955" t="s">
        <v>1238</v>
      </c>
      <c r="AG350" s="955">
        <v>2.0190000000000001</v>
      </c>
    </row>
    <row r="351" spans="29:33">
      <c r="AC351" s="954">
        <v>44872</v>
      </c>
      <c r="AD351" s="561">
        <v>3.3610000000000002</v>
      </c>
      <c r="AF351" s="955" t="s">
        <v>1239</v>
      </c>
      <c r="AG351" s="955">
        <v>2.0110000000000001</v>
      </c>
    </row>
    <row r="352" spans="29:33">
      <c r="AC352" s="954">
        <v>44780</v>
      </c>
      <c r="AD352" s="561">
        <v>3.3780000000000001</v>
      </c>
      <c r="AF352" s="954">
        <v>44902</v>
      </c>
      <c r="AG352" s="955">
        <v>2.0190000000000001</v>
      </c>
    </row>
    <row r="353" spans="29:33">
      <c r="AC353" s="954">
        <v>44749</v>
      </c>
      <c r="AD353" s="561">
        <v>3.3610000000000002</v>
      </c>
      <c r="AF353" s="954">
        <v>44872</v>
      </c>
      <c r="AG353" s="955">
        <v>2.0289999999999999</v>
      </c>
    </row>
    <row r="354" spans="29:33">
      <c r="AC354" s="954">
        <v>44719</v>
      </c>
      <c r="AD354" s="561">
        <v>3.36</v>
      </c>
      <c r="AF354" s="954">
        <v>44780</v>
      </c>
      <c r="AG354" s="955">
        <v>2.0470000000000002</v>
      </c>
    </row>
    <row r="355" spans="29:33">
      <c r="AC355" s="954">
        <v>44688</v>
      </c>
      <c r="AD355" s="561">
        <v>3.3679999999999999</v>
      </c>
      <c r="AF355" s="954">
        <v>44749</v>
      </c>
      <c r="AG355" s="955">
        <v>1.974</v>
      </c>
    </row>
    <row r="356" spans="29:33">
      <c r="AC356" s="954">
        <v>44658</v>
      </c>
      <c r="AD356" s="561">
        <v>3.375</v>
      </c>
      <c r="AF356" s="954">
        <v>44719</v>
      </c>
      <c r="AG356" s="955">
        <v>1.9790000000000001</v>
      </c>
    </row>
    <row r="357" spans="29:33">
      <c r="AC357" s="954">
        <v>44568</v>
      </c>
      <c r="AD357" s="561">
        <v>3.3650000000000002</v>
      </c>
      <c r="AF357" s="954">
        <v>44688</v>
      </c>
      <c r="AG357" s="955">
        <v>2.0369999999999999</v>
      </c>
    </row>
    <row r="358" spans="29:33">
      <c r="AC358" s="955" t="s">
        <v>1240</v>
      </c>
      <c r="AD358" s="561">
        <v>3.3679999999999999</v>
      </c>
      <c r="AF358" s="954">
        <v>44658</v>
      </c>
      <c r="AG358" s="955">
        <v>1.9279999999999999</v>
      </c>
    </row>
    <row r="359" spans="29:33">
      <c r="AC359" s="955" t="s">
        <v>1241</v>
      </c>
      <c r="AD359" s="561">
        <v>3.3730000000000002</v>
      </c>
      <c r="AF359" s="954">
        <v>44568</v>
      </c>
      <c r="AG359" s="955">
        <v>1.952</v>
      </c>
    </row>
    <row r="360" spans="29:33">
      <c r="AC360" s="955" t="s">
        <v>1242</v>
      </c>
      <c r="AD360" s="561">
        <v>3.395</v>
      </c>
      <c r="AF360" s="955" t="s">
        <v>1240</v>
      </c>
      <c r="AG360" s="955">
        <v>1.95</v>
      </c>
    </row>
    <row r="361" spans="29:33">
      <c r="AC361" s="955" t="s">
        <v>1243</v>
      </c>
      <c r="AD361" s="561">
        <v>3.4009999999999998</v>
      </c>
      <c r="AF361" s="955" t="s">
        <v>1241</v>
      </c>
      <c r="AG361" s="955">
        <v>1.988</v>
      </c>
    </row>
    <row r="362" spans="29:33">
      <c r="AC362" s="955" t="s">
        <v>1244</v>
      </c>
      <c r="AD362" s="561">
        <v>3.4279999999999999</v>
      </c>
      <c r="AF362" s="955" t="s">
        <v>1242</v>
      </c>
      <c r="AG362" s="955">
        <v>1.956</v>
      </c>
    </row>
    <row r="363" spans="29:33">
      <c r="AC363" s="955" t="s">
        <v>1245</v>
      </c>
      <c r="AD363" s="561">
        <v>3.4180000000000001</v>
      </c>
      <c r="AF363" s="955" t="s">
        <v>1243</v>
      </c>
      <c r="AG363" s="955">
        <v>1.94</v>
      </c>
    </row>
    <row r="364" spans="29:33">
      <c r="AC364" s="955" t="s">
        <v>1246</v>
      </c>
      <c r="AD364" s="561">
        <v>3.4209999999999998</v>
      </c>
      <c r="AF364" s="955" t="s">
        <v>1244</v>
      </c>
      <c r="AG364" s="955">
        <v>1.9410000000000001</v>
      </c>
    </row>
    <row r="365" spans="29:33">
      <c r="AC365" s="955" t="s">
        <v>1247</v>
      </c>
      <c r="AD365" s="561">
        <v>3.4260000000000002</v>
      </c>
      <c r="AF365" s="955" t="s">
        <v>1245</v>
      </c>
      <c r="AG365" s="955">
        <v>1.9419999999999999</v>
      </c>
    </row>
    <row r="366" spans="29:33">
      <c r="AC366" s="955" t="s">
        <v>1248</v>
      </c>
      <c r="AD366" s="561">
        <v>3.4390000000000001</v>
      </c>
      <c r="AF366" s="955" t="s">
        <v>1246</v>
      </c>
      <c r="AG366" s="955">
        <v>1.9430000000000001</v>
      </c>
    </row>
    <row r="367" spans="29:33">
      <c r="AC367" s="955" t="s">
        <v>1249</v>
      </c>
      <c r="AD367" s="561">
        <v>3.4319999999999999</v>
      </c>
      <c r="AF367" s="955" t="s">
        <v>1247</v>
      </c>
      <c r="AG367" s="955">
        <v>1.944</v>
      </c>
    </row>
    <row r="368" spans="29:33">
      <c r="AC368" s="955" t="s">
        <v>1250</v>
      </c>
      <c r="AD368" s="561">
        <v>3.4449999999999998</v>
      </c>
      <c r="AF368" s="955" t="s">
        <v>1248</v>
      </c>
      <c r="AG368" s="955">
        <v>1.9450000000000001</v>
      </c>
    </row>
    <row r="369" spans="29:33">
      <c r="AC369" s="955" t="s">
        <v>1251</v>
      </c>
      <c r="AD369" s="561">
        <v>3.4510000000000001</v>
      </c>
      <c r="AF369" s="955" t="s">
        <v>1249</v>
      </c>
      <c r="AG369" s="955">
        <v>1.857</v>
      </c>
    </row>
    <row r="370" spans="29:33">
      <c r="AC370" s="955" t="s">
        <v>1252</v>
      </c>
      <c r="AD370" s="561">
        <v>3.3919999999999999</v>
      </c>
      <c r="AF370" s="955" t="s">
        <v>1250</v>
      </c>
      <c r="AG370" s="955">
        <v>1.8939999999999999</v>
      </c>
    </row>
    <row r="371" spans="29:33">
      <c r="AC371" s="955" t="s">
        <v>1253</v>
      </c>
      <c r="AD371" s="561">
        <v>3.3170000000000002</v>
      </c>
      <c r="AF371" s="955" t="s">
        <v>1251</v>
      </c>
      <c r="AG371" s="955">
        <v>1.9350000000000001</v>
      </c>
    </row>
    <row r="372" spans="29:33">
      <c r="AC372" s="954">
        <v>44840</v>
      </c>
      <c r="AD372" s="561">
        <v>3.2730000000000001</v>
      </c>
      <c r="AF372" s="955" t="s">
        <v>1252</v>
      </c>
      <c r="AG372" s="955">
        <v>1.9339999999999999</v>
      </c>
    </row>
    <row r="373" spans="29:33">
      <c r="AC373" s="954">
        <v>44810</v>
      </c>
      <c r="AD373" s="561">
        <v>3.2829999999999999</v>
      </c>
      <c r="AF373" s="955" t="s">
        <v>1253</v>
      </c>
      <c r="AG373" s="955">
        <v>1.931</v>
      </c>
    </row>
    <row r="374" spans="29:33">
      <c r="AC374" s="954">
        <v>44779</v>
      </c>
      <c r="AD374" s="561">
        <v>3.2669999999999999</v>
      </c>
      <c r="AF374" s="954">
        <v>44840</v>
      </c>
      <c r="AG374" s="955">
        <v>1.869</v>
      </c>
    </row>
    <row r="375" spans="29:33">
      <c r="AC375" s="954">
        <v>44748</v>
      </c>
      <c r="AD375" s="561">
        <v>3.2679999999999998</v>
      </c>
      <c r="AF375" s="954">
        <v>44810</v>
      </c>
      <c r="AG375" s="955">
        <v>1.8939999999999999</v>
      </c>
    </row>
    <row r="376" spans="29:33">
      <c r="AC376" s="954">
        <v>44718</v>
      </c>
      <c r="AD376" s="561">
        <v>3.2629999999999999</v>
      </c>
      <c r="AF376" s="954">
        <v>44779</v>
      </c>
      <c r="AG376" s="955">
        <v>1.931</v>
      </c>
    </row>
    <row r="377" spans="29:33">
      <c r="AC377" s="954">
        <v>44626</v>
      </c>
      <c r="AD377" s="561">
        <v>3.2669999999999999</v>
      </c>
      <c r="AF377" s="954">
        <v>44748</v>
      </c>
      <c r="AG377" s="955">
        <v>1.9330000000000001</v>
      </c>
    </row>
    <row r="378" spans="29:33">
      <c r="AC378" s="954">
        <v>44598</v>
      </c>
      <c r="AD378" s="561">
        <v>3.2629999999999999</v>
      </c>
      <c r="AF378" s="954">
        <v>44718</v>
      </c>
      <c r="AG378" s="955">
        <v>1.9159999999999999</v>
      </c>
    </row>
    <row r="379" spans="29:33">
      <c r="AC379" s="954">
        <v>44567</v>
      </c>
      <c r="AD379" s="561">
        <v>3.262</v>
      </c>
      <c r="AF379" s="954">
        <v>44626</v>
      </c>
      <c r="AG379" s="955">
        <v>2.0750000000000002</v>
      </c>
    </row>
    <row r="380" spans="29:33">
      <c r="AC380" s="955" t="s">
        <v>1254</v>
      </c>
      <c r="AD380" s="561">
        <v>3.2490000000000001</v>
      </c>
      <c r="AF380" s="954">
        <v>44598</v>
      </c>
      <c r="AG380" s="955">
        <v>2.06</v>
      </c>
    </row>
    <row r="381" spans="29:33">
      <c r="AC381" s="955" t="s">
        <v>1255</v>
      </c>
      <c r="AD381" s="561">
        <v>3.2509999999999999</v>
      </c>
      <c r="AF381" s="954">
        <v>44567</v>
      </c>
      <c r="AG381" s="955">
        <v>2.0739999999999998</v>
      </c>
    </row>
    <row r="382" spans="29:33">
      <c r="AC382" s="955" t="s">
        <v>1256</v>
      </c>
      <c r="AD382" s="561">
        <v>3.2469999999999999</v>
      </c>
      <c r="AF382" s="955" t="s">
        <v>1254</v>
      </c>
      <c r="AG382" s="955">
        <v>2.0859999999999999</v>
      </c>
    </row>
    <row r="383" spans="29:33">
      <c r="AC383" s="955" t="s">
        <v>1257</v>
      </c>
      <c r="AD383" s="561">
        <v>3.2490000000000001</v>
      </c>
      <c r="AF383" s="955" t="s">
        <v>1255</v>
      </c>
      <c r="AG383" s="955">
        <v>2.1019999999999999</v>
      </c>
    </row>
    <row r="384" spans="29:33">
      <c r="AC384" s="955" t="s">
        <v>1258</v>
      </c>
      <c r="AD384" s="561">
        <v>3.23</v>
      </c>
      <c r="AF384" s="955" t="s">
        <v>1256</v>
      </c>
      <c r="AG384" s="955">
        <v>2.0870000000000002</v>
      </c>
    </row>
    <row r="385" spans="29:33">
      <c r="AC385" s="955" t="s">
        <v>1259</v>
      </c>
      <c r="AD385" s="561">
        <v>3.2429999999999999</v>
      </c>
      <c r="AF385" s="955" t="s">
        <v>1257</v>
      </c>
      <c r="AG385" s="955">
        <v>2.105</v>
      </c>
    </row>
    <row r="386" spans="29:33">
      <c r="AC386" s="955" t="s">
        <v>1260</v>
      </c>
      <c r="AD386" s="561">
        <v>3.2669999999999999</v>
      </c>
      <c r="AF386" s="955" t="s">
        <v>1258</v>
      </c>
      <c r="AG386" s="955">
        <v>2.085</v>
      </c>
    </row>
    <row r="387" spans="29:33">
      <c r="AC387" s="955" t="s">
        <v>1261</v>
      </c>
      <c r="AD387" s="561">
        <v>3.2490000000000001</v>
      </c>
      <c r="AF387" s="955" t="s">
        <v>1259</v>
      </c>
      <c r="AG387" s="955">
        <v>2.1</v>
      </c>
    </row>
    <row r="388" spans="29:33">
      <c r="AC388" s="955" t="s">
        <v>1262</v>
      </c>
      <c r="AD388" s="561">
        <v>3.2789999999999999</v>
      </c>
      <c r="AF388" s="955" t="s">
        <v>1260</v>
      </c>
      <c r="AG388" s="955">
        <v>2.109</v>
      </c>
    </row>
    <row r="389" spans="29:33">
      <c r="AC389" s="955" t="s">
        <v>1263</v>
      </c>
      <c r="AD389" s="561">
        <v>3.3319999999999999</v>
      </c>
      <c r="AF389" s="955" t="s">
        <v>1261</v>
      </c>
      <c r="AG389" s="955">
        <v>2.1560000000000001</v>
      </c>
    </row>
    <row r="390" spans="29:33">
      <c r="AC390" s="955" t="s">
        <v>1264</v>
      </c>
      <c r="AD390" s="561">
        <v>3.3420000000000001</v>
      </c>
      <c r="AF390" s="955" t="s">
        <v>1262</v>
      </c>
      <c r="AG390" s="955">
        <v>2.17</v>
      </c>
    </row>
    <row r="391" spans="29:33">
      <c r="AC391" s="955" t="s">
        <v>1265</v>
      </c>
      <c r="AD391" s="561">
        <v>3.343</v>
      </c>
      <c r="AF391" s="955" t="s">
        <v>1263</v>
      </c>
      <c r="AG391" s="955">
        <v>2.1800000000000002</v>
      </c>
    </row>
    <row r="392" spans="29:33">
      <c r="AC392" s="955" t="s">
        <v>1266</v>
      </c>
      <c r="AD392" s="561">
        <v>3.415</v>
      </c>
      <c r="AF392" s="955" t="s">
        <v>1264</v>
      </c>
      <c r="AG392" s="955">
        <v>2.1800000000000002</v>
      </c>
    </row>
    <row r="393" spans="29:33">
      <c r="AC393" s="954">
        <v>44900</v>
      </c>
      <c r="AD393" s="561">
        <v>3.3879999999999999</v>
      </c>
      <c r="AF393" s="955" t="s">
        <v>1265</v>
      </c>
      <c r="AG393" s="955">
        <v>2.181</v>
      </c>
    </row>
    <row r="394" spans="29:33">
      <c r="AC394" s="954">
        <v>44870</v>
      </c>
      <c r="AD394" s="561">
        <v>3.302</v>
      </c>
      <c r="AF394" s="955" t="s">
        <v>1266</v>
      </c>
      <c r="AG394" s="955">
        <v>2.1869999999999998</v>
      </c>
    </row>
    <row r="395" spans="29:33">
      <c r="AC395" s="954">
        <v>44839</v>
      </c>
      <c r="AD395" s="561">
        <v>3.2349999999999999</v>
      </c>
      <c r="AF395" s="954">
        <v>44900</v>
      </c>
      <c r="AG395" s="955">
        <v>2.1680000000000001</v>
      </c>
    </row>
    <row r="396" spans="29:33">
      <c r="AC396" s="954">
        <v>44809</v>
      </c>
      <c r="AD396" s="561">
        <v>3.2389999999999999</v>
      </c>
      <c r="AF396" s="954">
        <v>44870</v>
      </c>
      <c r="AG396" s="955">
        <v>2.11</v>
      </c>
    </row>
    <row r="397" spans="29:33">
      <c r="AC397" s="954">
        <v>44717</v>
      </c>
      <c r="AD397" s="561">
        <v>3.1909999999999998</v>
      </c>
      <c r="AF397" s="954">
        <v>44839</v>
      </c>
      <c r="AG397" s="955">
        <v>2.0790000000000002</v>
      </c>
    </row>
    <row r="398" spans="29:33">
      <c r="AC398" s="954">
        <v>44686</v>
      </c>
      <c r="AD398" s="561">
        <v>3.1589999999999998</v>
      </c>
      <c r="AF398" s="954">
        <v>44809</v>
      </c>
      <c r="AG398" s="955">
        <v>2.0779999999999998</v>
      </c>
    </row>
    <row r="399" spans="29:33">
      <c r="AC399" s="954">
        <v>44656</v>
      </c>
      <c r="AD399" s="561">
        <v>3.137</v>
      </c>
      <c r="AF399" s="954">
        <v>44717</v>
      </c>
      <c r="AG399" s="955">
        <v>2.016</v>
      </c>
    </row>
    <row r="400" spans="29:33">
      <c r="AC400" s="954">
        <v>44625</v>
      </c>
      <c r="AD400" s="561">
        <v>3.0529999999999999</v>
      </c>
      <c r="AF400" s="954">
        <v>44686</v>
      </c>
      <c r="AG400" s="955">
        <v>2.0179999999999998</v>
      </c>
    </row>
    <row r="401" spans="29:33">
      <c r="AC401" s="954">
        <v>44597</v>
      </c>
      <c r="AD401" s="561">
        <v>3.0529999999999999</v>
      </c>
      <c r="AF401" s="954">
        <v>44656</v>
      </c>
      <c r="AG401" s="955">
        <v>1.988</v>
      </c>
    </row>
    <row r="402" spans="29:33">
      <c r="AC402" s="955" t="s">
        <v>1267</v>
      </c>
      <c r="AD402" s="561">
        <v>3.1030000000000002</v>
      </c>
      <c r="AF402" s="954">
        <v>44625</v>
      </c>
      <c r="AG402" s="955">
        <v>1.8859999999999999</v>
      </c>
    </row>
    <row r="403" spans="29:33">
      <c r="AC403" s="955" t="s">
        <v>1268</v>
      </c>
      <c r="AD403" s="561">
        <v>3.1269999999999998</v>
      </c>
      <c r="AF403" s="954">
        <v>44597</v>
      </c>
      <c r="AG403" s="955">
        <v>1.8859999999999999</v>
      </c>
    </row>
    <row r="404" spans="29:33">
      <c r="AC404" s="955" t="s">
        <v>1269</v>
      </c>
      <c r="AD404" s="561">
        <v>3.1280000000000001</v>
      </c>
      <c r="AF404" s="955" t="s">
        <v>1267</v>
      </c>
      <c r="AG404" s="955">
        <v>1.986</v>
      </c>
    </row>
    <row r="405" spans="29:33">
      <c r="AC405" s="955" t="s">
        <v>1270</v>
      </c>
      <c r="AD405" s="561">
        <v>3.1230000000000002</v>
      </c>
      <c r="AF405" s="955" t="s">
        <v>1268</v>
      </c>
      <c r="AG405" s="955">
        <v>1.9910000000000001</v>
      </c>
    </row>
    <row r="406" spans="29:33">
      <c r="AC406" s="955" t="s">
        <v>1271</v>
      </c>
      <c r="AD406" s="561">
        <v>3.1629999999999998</v>
      </c>
      <c r="AF406" s="955" t="s">
        <v>1269</v>
      </c>
      <c r="AG406" s="955">
        <v>1.9930000000000001</v>
      </c>
    </row>
    <row r="407" spans="29:33">
      <c r="AC407" s="955" t="s">
        <v>1272</v>
      </c>
      <c r="AD407" s="561">
        <v>3.1829999999999998</v>
      </c>
      <c r="AF407" s="955" t="s">
        <v>1270</v>
      </c>
      <c r="AG407" s="955">
        <v>1.9950000000000001</v>
      </c>
    </row>
    <row r="408" spans="29:33">
      <c r="AC408" s="955" t="s">
        <v>1273</v>
      </c>
      <c r="AD408" s="561">
        <v>3.181</v>
      </c>
      <c r="AF408" s="955" t="s">
        <v>1271</v>
      </c>
      <c r="AG408" s="955">
        <v>1.994</v>
      </c>
    </row>
    <row r="409" spans="29:33">
      <c r="AC409" s="955" t="s">
        <v>1274</v>
      </c>
      <c r="AD409" s="561">
        <v>3.1920000000000002</v>
      </c>
      <c r="AF409" s="955" t="s">
        <v>1272</v>
      </c>
      <c r="AG409" s="955">
        <v>2.0059999999999998</v>
      </c>
    </row>
    <row r="410" spans="29:33">
      <c r="AC410" s="955" t="s">
        <v>1275</v>
      </c>
      <c r="AD410" s="561">
        <v>3.1669999999999998</v>
      </c>
      <c r="AF410" s="955" t="s">
        <v>1273</v>
      </c>
      <c r="AG410" s="955">
        <v>1.964</v>
      </c>
    </row>
    <row r="411" spans="29:33">
      <c r="AC411" s="955" t="s">
        <v>1276</v>
      </c>
      <c r="AD411" s="561">
        <v>3.1709999999999998</v>
      </c>
      <c r="AF411" s="955" t="s">
        <v>1274</v>
      </c>
      <c r="AG411" s="955">
        <v>1.9770000000000001</v>
      </c>
    </row>
    <row r="412" spans="29:33">
      <c r="AC412" s="955" t="s">
        <v>1277</v>
      </c>
      <c r="AD412" s="561">
        <v>3.165</v>
      </c>
      <c r="AF412" s="955" t="s">
        <v>1275</v>
      </c>
      <c r="AG412" s="955">
        <v>2.0059999999999998</v>
      </c>
    </row>
    <row r="413" spans="29:33">
      <c r="AC413" s="955" t="s">
        <v>1278</v>
      </c>
      <c r="AD413" s="561">
        <v>3.1120000000000001</v>
      </c>
      <c r="AF413" s="955" t="s">
        <v>1276</v>
      </c>
      <c r="AG413" s="955">
        <v>2.113</v>
      </c>
    </row>
    <row r="414" spans="29:33">
      <c r="AC414" s="955" t="s">
        <v>1279</v>
      </c>
      <c r="AD414" s="561">
        <v>3.1339999999999999</v>
      </c>
      <c r="AF414" s="955" t="s">
        <v>1277</v>
      </c>
      <c r="AG414" s="955">
        <v>2.0819999999999999</v>
      </c>
    </row>
    <row r="415" spans="29:33">
      <c r="AC415" s="954">
        <v>44899</v>
      </c>
      <c r="AD415" s="561">
        <v>3.149</v>
      </c>
      <c r="AF415" s="955" t="s">
        <v>1278</v>
      </c>
      <c r="AG415" s="955">
        <v>2.1110000000000002</v>
      </c>
    </row>
    <row r="416" spans="29:33">
      <c r="AC416" s="954">
        <v>44869</v>
      </c>
      <c r="AD416" s="561">
        <v>2.823</v>
      </c>
      <c r="AF416" s="955" t="s">
        <v>1279</v>
      </c>
      <c r="AG416" s="955">
        <v>2.1030000000000002</v>
      </c>
    </row>
    <row r="417" spans="29:33">
      <c r="AC417" s="954">
        <v>44777</v>
      </c>
      <c r="AD417" s="561">
        <v>2.8730000000000002</v>
      </c>
      <c r="AF417" s="954">
        <v>44899</v>
      </c>
      <c r="AG417" s="955">
        <v>2.1549999999999998</v>
      </c>
    </row>
    <row r="418" spans="29:33">
      <c r="AC418" s="954">
        <v>44746</v>
      </c>
      <c r="AD418" s="561">
        <v>2.802</v>
      </c>
      <c r="AF418" s="954">
        <v>44869</v>
      </c>
      <c r="AG418" s="955">
        <v>1.9259999999999999</v>
      </c>
    </row>
    <row r="419" spans="29:33">
      <c r="AC419" s="954">
        <v>44716</v>
      </c>
      <c r="AD419" s="561">
        <v>2.8410000000000002</v>
      </c>
      <c r="AF419" s="954">
        <v>44777</v>
      </c>
      <c r="AG419" s="955">
        <v>2.0259999999999998</v>
      </c>
    </row>
    <row r="420" spans="29:33">
      <c r="AC420" s="954">
        <v>44685</v>
      </c>
      <c r="AD420" s="561">
        <v>2.5379999999999998</v>
      </c>
      <c r="AF420" s="954">
        <v>44746</v>
      </c>
      <c r="AG420" s="955">
        <v>2.0129999999999999</v>
      </c>
    </row>
    <row r="421" spans="29:33">
      <c r="AC421" s="954">
        <v>44655</v>
      </c>
      <c r="AD421" s="561">
        <v>2.5070000000000001</v>
      </c>
      <c r="AF421" s="954">
        <v>44716</v>
      </c>
      <c r="AG421" s="955">
        <v>1.925</v>
      </c>
    </row>
    <row r="422" spans="29:33">
      <c r="AC422" s="954">
        <v>44565</v>
      </c>
      <c r="AD422" s="561">
        <v>2.5009999999999999</v>
      </c>
      <c r="AF422" s="954">
        <v>44685</v>
      </c>
      <c r="AG422" s="955">
        <v>1.754</v>
      </c>
    </row>
    <row r="423" spans="29:33">
      <c r="AC423" s="955" t="s">
        <v>1280</v>
      </c>
      <c r="AD423" s="561">
        <v>2.4790000000000001</v>
      </c>
      <c r="AF423" s="954">
        <v>44655</v>
      </c>
      <c r="AG423" s="955">
        <v>1.7410000000000001</v>
      </c>
    </row>
    <row r="424" spans="29:33">
      <c r="AC424" s="955" t="s">
        <v>1281</v>
      </c>
      <c r="AD424" s="561">
        <v>2.4980000000000002</v>
      </c>
      <c r="AF424" s="954">
        <v>44565</v>
      </c>
      <c r="AG424" s="955">
        <v>1.7310000000000001</v>
      </c>
    </row>
    <row r="425" spans="29:33">
      <c r="AC425" s="955" t="s">
        <v>1282</v>
      </c>
      <c r="AD425" s="561">
        <v>2.5019999999999998</v>
      </c>
      <c r="AF425" s="955" t="s">
        <v>1280</v>
      </c>
      <c r="AG425" s="955">
        <v>1.724</v>
      </c>
    </row>
    <row r="426" spans="29:33">
      <c r="AC426" s="955" t="s">
        <v>1283</v>
      </c>
      <c r="AD426" s="561">
        <v>2.5190000000000001</v>
      </c>
      <c r="AF426" s="955" t="s">
        <v>1281</v>
      </c>
      <c r="AG426" s="955">
        <v>1.64</v>
      </c>
    </row>
    <row r="427" spans="29:33">
      <c r="AC427" s="955" t="s">
        <v>1284</v>
      </c>
      <c r="AD427" s="561">
        <v>2.4929999999999999</v>
      </c>
      <c r="AF427" s="955" t="s">
        <v>1282</v>
      </c>
      <c r="AG427" s="955">
        <v>1.74</v>
      </c>
    </row>
    <row r="428" spans="29:33">
      <c r="AC428" s="955" t="s">
        <v>1285</v>
      </c>
      <c r="AD428" s="561">
        <v>2.5110000000000001</v>
      </c>
      <c r="AF428" s="955" t="s">
        <v>1283</v>
      </c>
      <c r="AG428" s="955">
        <v>1.72</v>
      </c>
    </row>
    <row r="429" spans="29:33">
      <c r="AC429" s="955" t="s">
        <v>1286</v>
      </c>
      <c r="AD429" s="561">
        <v>2.5249999999999999</v>
      </c>
      <c r="AF429" s="955" t="s">
        <v>1284</v>
      </c>
      <c r="AG429" s="955">
        <v>1.77</v>
      </c>
    </row>
    <row r="430" spans="29:33">
      <c r="AC430" s="955" t="s">
        <v>1287</v>
      </c>
      <c r="AD430" s="561">
        <v>2.5379999999999998</v>
      </c>
      <c r="AF430" s="955" t="s">
        <v>1285</v>
      </c>
      <c r="AG430" s="955">
        <v>1.76</v>
      </c>
    </row>
    <row r="431" spans="29:33">
      <c r="AC431" s="955" t="s">
        <v>1288</v>
      </c>
      <c r="AD431" s="561">
        <v>2.5059999999999998</v>
      </c>
      <c r="AF431" s="955" t="s">
        <v>1286</v>
      </c>
      <c r="AG431" s="955">
        <v>1.7749999999999999</v>
      </c>
    </row>
    <row r="432" spans="29:33">
      <c r="AC432" s="955" t="s">
        <v>1289</v>
      </c>
      <c r="AD432" s="561">
        <v>2.4319999999999999</v>
      </c>
      <c r="AF432" s="955" t="s">
        <v>1287</v>
      </c>
      <c r="AG432" s="955">
        <v>1.78</v>
      </c>
    </row>
    <row r="433" spans="29:33">
      <c r="AC433" s="955" t="s">
        <v>1290</v>
      </c>
      <c r="AD433" s="561">
        <v>2.4279999999999999</v>
      </c>
      <c r="AF433" s="955" t="s">
        <v>1288</v>
      </c>
      <c r="AG433" s="955">
        <v>1.714</v>
      </c>
    </row>
    <row r="434" spans="29:33">
      <c r="AC434" s="955" t="s">
        <v>1291</v>
      </c>
      <c r="AD434" s="561">
        <v>2.4159999999999999</v>
      </c>
      <c r="AF434" s="955" t="s">
        <v>1289</v>
      </c>
      <c r="AG434" s="955">
        <v>1.617</v>
      </c>
    </row>
    <row r="435" spans="29:33">
      <c r="AC435" s="955" t="s">
        <v>1292</v>
      </c>
      <c r="AD435" s="561">
        <v>2.3940000000000001</v>
      </c>
      <c r="AF435" s="955" t="s">
        <v>1290</v>
      </c>
      <c r="AG435" s="955">
        <v>1.601</v>
      </c>
    </row>
    <row r="436" spans="29:33">
      <c r="AC436" s="955" t="s">
        <v>1293</v>
      </c>
      <c r="AD436" s="561">
        <v>2.3719999999999999</v>
      </c>
      <c r="AF436" s="955" t="s">
        <v>1291</v>
      </c>
      <c r="AG436" s="955">
        <v>1.601</v>
      </c>
    </row>
    <row r="437" spans="29:33">
      <c r="AC437" s="954">
        <v>44868</v>
      </c>
      <c r="AD437" s="561">
        <v>2.3660000000000001</v>
      </c>
      <c r="AF437" s="955" t="s">
        <v>1292</v>
      </c>
      <c r="AG437" s="955">
        <v>1.601</v>
      </c>
    </row>
    <row r="438" spans="29:33">
      <c r="AC438" s="954">
        <v>44837</v>
      </c>
      <c r="AD438" s="561">
        <v>2.3530000000000002</v>
      </c>
      <c r="AF438" s="955" t="s">
        <v>1293</v>
      </c>
      <c r="AG438" s="955">
        <v>1.4950000000000001</v>
      </c>
    </row>
    <row r="439" spans="29:33">
      <c r="AC439" s="954">
        <v>44807</v>
      </c>
      <c r="AD439" s="561">
        <v>2.399</v>
      </c>
      <c r="AF439" s="954">
        <v>44868</v>
      </c>
      <c r="AG439" s="955">
        <v>1.4850000000000001</v>
      </c>
    </row>
    <row r="440" spans="29:33">
      <c r="AC440" s="954">
        <v>44776</v>
      </c>
      <c r="AD440" s="561">
        <v>2.3730000000000002</v>
      </c>
      <c r="AF440" s="954">
        <v>44837</v>
      </c>
      <c r="AG440" s="955">
        <v>1.4750000000000001</v>
      </c>
    </row>
    <row r="441" spans="29:33">
      <c r="AC441" s="954">
        <v>44745</v>
      </c>
      <c r="AD441" s="561">
        <v>2.3849999999999998</v>
      </c>
      <c r="AF441" s="954">
        <v>44807</v>
      </c>
      <c r="AG441" s="955">
        <v>1.49</v>
      </c>
    </row>
    <row r="442" spans="29:33">
      <c r="AC442" s="954">
        <v>44654</v>
      </c>
      <c r="AD442" s="561">
        <v>2.3450000000000002</v>
      </c>
      <c r="AF442" s="954">
        <v>44776</v>
      </c>
      <c r="AG442" s="955">
        <v>1.4790000000000001</v>
      </c>
    </row>
    <row r="443" spans="29:33">
      <c r="AC443" s="954">
        <v>44623</v>
      </c>
      <c r="AD443" s="561">
        <v>2.415</v>
      </c>
      <c r="AF443" s="954">
        <v>44745</v>
      </c>
      <c r="AG443" s="955">
        <v>1.48</v>
      </c>
    </row>
    <row r="444" spans="29:33">
      <c r="AC444" s="954">
        <v>44595</v>
      </c>
      <c r="AD444" s="561">
        <v>2.355</v>
      </c>
      <c r="AF444" s="954">
        <v>44654</v>
      </c>
      <c r="AG444" s="955">
        <v>1.4850000000000001</v>
      </c>
    </row>
    <row r="445" spans="29:33">
      <c r="AC445" s="954">
        <v>44564</v>
      </c>
      <c r="AD445" s="561">
        <v>2.355</v>
      </c>
      <c r="AF445" s="954">
        <v>44623</v>
      </c>
      <c r="AG445" s="955">
        <v>1.5569999999999999</v>
      </c>
    </row>
    <row r="446" spans="29:33">
      <c r="AC446" s="955" t="s">
        <v>1294</v>
      </c>
      <c r="AD446" s="561">
        <v>2.34</v>
      </c>
      <c r="AF446" s="954">
        <v>44595</v>
      </c>
      <c r="AG446" s="955">
        <v>1.431</v>
      </c>
    </row>
    <row r="447" spans="29:33">
      <c r="AC447" s="955" t="s">
        <v>1295</v>
      </c>
      <c r="AD447" s="561">
        <v>2.2839999999999998</v>
      </c>
      <c r="AF447" s="954">
        <v>44564</v>
      </c>
      <c r="AG447" s="955">
        <v>1.468</v>
      </c>
    </row>
    <row r="448" spans="29:33">
      <c r="AC448" s="955" t="s">
        <v>1296</v>
      </c>
      <c r="AD448" s="561">
        <v>2.2890000000000001</v>
      </c>
      <c r="AF448" s="955" t="s">
        <v>1294</v>
      </c>
      <c r="AG448" s="955">
        <v>1.383</v>
      </c>
    </row>
    <row r="449" spans="29:33">
      <c r="AC449" s="955" t="s">
        <v>1297</v>
      </c>
      <c r="AD449" s="561">
        <v>2.2959999999999998</v>
      </c>
      <c r="AF449" s="955" t="s">
        <v>1295</v>
      </c>
      <c r="AG449" s="955">
        <v>1.2689999999999999</v>
      </c>
    </row>
    <row r="450" spans="29:33">
      <c r="AC450" s="955" t="s">
        <v>1298</v>
      </c>
      <c r="AD450" s="561">
        <v>2.2850000000000001</v>
      </c>
      <c r="AF450" s="955" t="s">
        <v>1296</v>
      </c>
      <c r="AG450" s="955">
        <v>1.083</v>
      </c>
    </row>
    <row r="451" spans="29:33">
      <c r="AC451" s="955" t="s">
        <v>1299</v>
      </c>
      <c r="AD451" s="561">
        <v>2.294</v>
      </c>
      <c r="AF451" s="955" t="s">
        <v>1297</v>
      </c>
      <c r="AG451" s="955">
        <v>1.0349999999999999</v>
      </c>
    </row>
    <row r="452" spans="29:33">
      <c r="AC452" s="955" t="s">
        <v>1300</v>
      </c>
      <c r="AD452" s="561">
        <v>2.3069999999999999</v>
      </c>
      <c r="AF452" s="955" t="s">
        <v>1298</v>
      </c>
      <c r="AG452" s="955">
        <v>1.016</v>
      </c>
    </row>
    <row r="453" spans="29:33">
      <c r="AC453" s="955" t="s">
        <v>1301</v>
      </c>
      <c r="AD453" s="561">
        <v>2.3479999999999999</v>
      </c>
      <c r="AF453" s="955" t="s">
        <v>1299</v>
      </c>
      <c r="AG453" s="955">
        <v>1.0149999999999999</v>
      </c>
    </row>
    <row r="454" spans="29:33">
      <c r="AC454" s="955" t="s">
        <v>1302</v>
      </c>
      <c r="AD454" s="561">
        <v>2.2610000000000001</v>
      </c>
      <c r="AF454" s="955" t="s">
        <v>1300</v>
      </c>
      <c r="AG454" s="955">
        <v>1</v>
      </c>
    </row>
    <row r="455" spans="29:33">
      <c r="AC455" s="955" t="s">
        <v>1303</v>
      </c>
      <c r="AD455" s="561">
        <v>2.222</v>
      </c>
      <c r="AF455" s="955" t="s">
        <v>1301</v>
      </c>
      <c r="AG455" s="955">
        <v>0.92500000000000004</v>
      </c>
    </row>
    <row r="456" spans="29:33">
      <c r="AC456" s="955" t="s">
        <v>1304</v>
      </c>
      <c r="AD456" s="561">
        <v>2.1909999999999998</v>
      </c>
      <c r="AF456" s="955" t="s">
        <v>1302</v>
      </c>
      <c r="AG456" s="955">
        <v>0.83199999999999996</v>
      </c>
    </row>
    <row r="457" spans="29:33">
      <c r="AC457" s="954">
        <v>44867</v>
      </c>
      <c r="AD457" s="561">
        <v>2.1920000000000002</v>
      </c>
      <c r="AF457" s="955" t="s">
        <v>1303</v>
      </c>
      <c r="AG457" s="955">
        <v>0.76</v>
      </c>
    </row>
    <row r="458" spans="29:33">
      <c r="AC458" s="954">
        <v>44836</v>
      </c>
      <c r="AD458" s="561">
        <v>2.1800000000000002</v>
      </c>
      <c r="AF458" s="955" t="s">
        <v>1304</v>
      </c>
      <c r="AG458" s="955">
        <v>0.73699999999999999</v>
      </c>
    </row>
    <row r="459" spans="29:33">
      <c r="AC459" s="954">
        <v>44806</v>
      </c>
      <c r="AD459" s="561">
        <v>2.19</v>
      </c>
      <c r="AF459" s="954">
        <v>44867</v>
      </c>
      <c r="AG459" s="955">
        <v>0.72099999999999997</v>
      </c>
    </row>
    <row r="460" spans="29:33">
      <c r="AC460" s="954">
        <v>44775</v>
      </c>
      <c r="AD460" s="561">
        <v>2.1459999999999999</v>
      </c>
      <c r="AF460" s="954">
        <v>44836</v>
      </c>
      <c r="AG460" s="955">
        <v>0.70599999999999996</v>
      </c>
    </row>
    <row r="461" spans="29:33">
      <c r="AC461" s="954">
        <v>44744</v>
      </c>
      <c r="AD461" s="561">
        <v>2.157</v>
      </c>
      <c r="AF461" s="954">
        <v>44806</v>
      </c>
      <c r="AG461" s="955">
        <v>0.70299999999999996</v>
      </c>
    </row>
    <row r="462" spans="29:33">
      <c r="AC462" s="954">
        <v>44653</v>
      </c>
      <c r="AD462" s="561">
        <v>2.113</v>
      </c>
      <c r="AF462" s="954">
        <v>44775</v>
      </c>
      <c r="AG462" s="955">
        <v>0.64500000000000002</v>
      </c>
    </row>
    <row r="463" spans="29:33">
      <c r="AC463" s="954">
        <v>44622</v>
      </c>
      <c r="AD463" s="561">
        <v>2.113</v>
      </c>
      <c r="AF463" s="954">
        <v>44744</v>
      </c>
      <c r="AG463" s="955">
        <v>0.63400000000000001</v>
      </c>
    </row>
    <row r="464" spans="29:33">
      <c r="AC464" s="954">
        <v>44594</v>
      </c>
      <c r="AD464" s="561">
        <v>2.113</v>
      </c>
      <c r="AF464" s="954">
        <v>44653</v>
      </c>
      <c r="AG464" s="955">
        <v>0.52800000000000002</v>
      </c>
    </row>
    <row r="465" spans="29:33">
      <c r="AC465" s="954">
        <v>44563</v>
      </c>
      <c r="AD465" s="561">
        <v>2.113</v>
      </c>
      <c r="AF465" s="954">
        <v>44622</v>
      </c>
      <c r="AG465" s="955">
        <v>0.52800000000000002</v>
      </c>
    </row>
    <row r="466" spans="29:33">
      <c r="AC466" s="955" t="s">
        <v>1305</v>
      </c>
      <c r="AD466" s="561">
        <v>2.113</v>
      </c>
      <c r="AF466" s="954">
        <v>44594</v>
      </c>
      <c r="AG466" s="955">
        <v>0.52800000000000002</v>
      </c>
    </row>
    <row r="467" spans="29:33">
      <c r="AC467" s="955" t="s">
        <v>1306</v>
      </c>
      <c r="AD467" s="561">
        <v>2.1629999999999998</v>
      </c>
      <c r="AF467" s="954">
        <v>44563</v>
      </c>
      <c r="AG467" s="955">
        <v>0.52800000000000002</v>
      </c>
    </row>
    <row r="468" spans="29:33">
      <c r="AC468" s="955" t="s">
        <v>1307</v>
      </c>
      <c r="AD468" s="561">
        <v>2.1589999999999998</v>
      </c>
      <c r="AF468" s="955" t="s">
        <v>1305</v>
      </c>
      <c r="AG468" s="955">
        <v>0.52800000000000002</v>
      </c>
    </row>
    <row r="469" spans="29:33">
      <c r="AC469" s="955" t="s">
        <v>1308</v>
      </c>
      <c r="AD469" s="561">
        <v>2.1360000000000001</v>
      </c>
      <c r="AF469" s="955" t="s">
        <v>1306</v>
      </c>
      <c r="AG469" s="955">
        <v>0.628</v>
      </c>
    </row>
    <row r="470" spans="29:33">
      <c r="AC470" s="955" t="s">
        <v>1309</v>
      </c>
      <c r="AD470" s="561">
        <v>2.1549999999999998</v>
      </c>
      <c r="AF470" s="955" t="s">
        <v>1307</v>
      </c>
      <c r="AG470" s="955">
        <v>0.628</v>
      </c>
    </row>
    <row r="471" spans="29:33">
      <c r="AC471" s="955" t="s">
        <v>1310</v>
      </c>
      <c r="AD471" s="561">
        <v>2.1389999999999998</v>
      </c>
      <c r="AF471" s="955" t="s">
        <v>1308</v>
      </c>
      <c r="AG471" s="955">
        <v>0.629</v>
      </c>
    </row>
    <row r="472" spans="29:33">
      <c r="AC472" s="955" t="s">
        <v>1311</v>
      </c>
      <c r="AD472" s="561">
        <v>2.137</v>
      </c>
      <c r="AF472" s="955" t="s">
        <v>1309</v>
      </c>
      <c r="AG472" s="955">
        <v>0.64600000000000002</v>
      </c>
    </row>
    <row r="473" spans="29:33">
      <c r="AC473" s="955" t="s">
        <v>1312</v>
      </c>
      <c r="AD473" s="561">
        <v>2.1440000000000001</v>
      </c>
      <c r="AF473" s="955" t="s">
        <v>1310</v>
      </c>
      <c r="AG473" s="955">
        <v>0.63900000000000001</v>
      </c>
    </row>
    <row r="474" spans="29:33">
      <c r="AC474" s="955" t="s">
        <v>1313</v>
      </c>
      <c r="AD474" s="561">
        <v>2.1349999999999998</v>
      </c>
      <c r="AF474" s="955" t="s">
        <v>1311</v>
      </c>
      <c r="AG474" s="955">
        <v>0.66300000000000003</v>
      </c>
    </row>
    <row r="475" spans="29:33">
      <c r="AC475" s="955" t="s">
        <v>1314</v>
      </c>
      <c r="AD475" s="561">
        <v>2.125</v>
      </c>
      <c r="AF475" s="955" t="s">
        <v>1312</v>
      </c>
      <c r="AG475" s="955">
        <v>0.65500000000000003</v>
      </c>
    </row>
    <row r="476" spans="29:33">
      <c r="AC476" s="955" t="s">
        <v>1315</v>
      </c>
      <c r="AD476" s="561">
        <v>2.141</v>
      </c>
      <c r="AF476" s="955" t="s">
        <v>1313</v>
      </c>
      <c r="AG476" s="955">
        <v>0.67100000000000004</v>
      </c>
    </row>
    <row r="477" spans="29:33">
      <c r="AC477" s="955" t="s">
        <v>1316</v>
      </c>
      <c r="AD477" s="561">
        <v>2.14</v>
      </c>
      <c r="AF477" s="955" t="s">
        <v>1314</v>
      </c>
      <c r="AG477" s="955">
        <v>0.70399999999999996</v>
      </c>
    </row>
    <row r="478" spans="29:33">
      <c r="AC478" s="955" t="s">
        <v>1317</v>
      </c>
      <c r="AD478" s="561">
        <v>2.1509999999999998</v>
      </c>
      <c r="AF478" s="955" t="s">
        <v>1315</v>
      </c>
      <c r="AG478" s="955">
        <v>0.70499999999999996</v>
      </c>
    </row>
    <row r="479" spans="29:33">
      <c r="AC479" s="954">
        <v>44896</v>
      </c>
      <c r="AD479" s="561">
        <v>2.1419999999999999</v>
      </c>
      <c r="AF479" s="955" t="s">
        <v>1316</v>
      </c>
      <c r="AG479" s="955">
        <v>0.69699999999999995</v>
      </c>
    </row>
    <row r="480" spans="29:33">
      <c r="AC480" s="954">
        <v>44866</v>
      </c>
      <c r="AD480" s="561">
        <v>2.165</v>
      </c>
      <c r="AF480" s="955" t="s">
        <v>1317</v>
      </c>
      <c r="AG480" s="955">
        <v>0.70599999999999996</v>
      </c>
    </row>
    <row r="481" spans="29:33">
      <c r="AC481" s="954">
        <v>44835</v>
      </c>
      <c r="AD481" s="561">
        <v>2.1459999999999999</v>
      </c>
      <c r="AF481" s="954">
        <v>44896</v>
      </c>
      <c r="AG481" s="955">
        <v>0.69799999999999995</v>
      </c>
    </row>
    <row r="482" spans="29:33">
      <c r="AC482" s="954">
        <v>44743</v>
      </c>
      <c r="AD482" s="561">
        <v>2.1760000000000002</v>
      </c>
      <c r="AF482" s="954">
        <v>44866</v>
      </c>
      <c r="AG482" s="955">
        <v>0.69899999999999995</v>
      </c>
    </row>
    <row r="483" spans="29:33">
      <c r="AC483" s="954">
        <v>44713</v>
      </c>
      <c r="AD483" s="561">
        <v>2.15</v>
      </c>
      <c r="AF483" s="954">
        <v>44835</v>
      </c>
      <c r="AG483" s="955">
        <v>0.72</v>
      </c>
    </row>
    <row r="484" spans="29:33">
      <c r="AC484" s="954">
        <v>44682</v>
      </c>
      <c r="AD484" s="561">
        <v>2.1480000000000001</v>
      </c>
      <c r="AF484" s="954">
        <v>44743</v>
      </c>
      <c r="AG484" s="955">
        <v>0.72</v>
      </c>
    </row>
    <row r="485" spans="29:33">
      <c r="AC485" s="954">
        <v>44652</v>
      </c>
      <c r="AD485" s="561">
        <v>2.1789999999999998</v>
      </c>
      <c r="AF485" s="954">
        <v>44713</v>
      </c>
      <c r="AG485" s="955">
        <v>0.72</v>
      </c>
    </row>
    <row r="486" spans="29:33">
      <c r="AC486" s="954">
        <v>44621</v>
      </c>
      <c r="AD486" s="561">
        <v>2.0499999999999998</v>
      </c>
      <c r="AF486" s="954">
        <v>44682</v>
      </c>
      <c r="AG486" s="955">
        <v>0.72099999999999997</v>
      </c>
    </row>
    <row r="487" spans="29:33">
      <c r="AC487" s="955" t="s">
        <v>1318</v>
      </c>
      <c r="AD487" s="561">
        <v>2.1</v>
      </c>
      <c r="AF487" s="954">
        <v>44652</v>
      </c>
      <c r="AG487" s="955">
        <v>0.71899999999999997</v>
      </c>
    </row>
    <row r="488" spans="29:33">
      <c r="AC488" s="955" t="s">
        <v>1319</v>
      </c>
      <c r="AD488" s="561">
        <v>2.1230000000000002</v>
      </c>
      <c r="AF488" s="954">
        <v>44621</v>
      </c>
      <c r="AG488" s="955">
        <v>0.61499999999999999</v>
      </c>
    </row>
    <row r="489" spans="29:33">
      <c r="AC489" s="955" t="s">
        <v>1320</v>
      </c>
      <c r="AD489" s="561">
        <v>2.13</v>
      </c>
      <c r="AF489" s="955" t="s">
        <v>1318</v>
      </c>
      <c r="AG489" s="955">
        <v>0.71499999999999997</v>
      </c>
    </row>
    <row r="490" spans="29:33">
      <c r="AC490" s="955" t="s">
        <v>1321</v>
      </c>
      <c r="AD490" s="561">
        <v>2.13</v>
      </c>
      <c r="AF490" s="955" t="s">
        <v>1319</v>
      </c>
      <c r="AG490" s="955">
        <v>0.71399999999999997</v>
      </c>
    </row>
    <row r="491" spans="29:33">
      <c r="AC491" s="955" t="s">
        <v>1322</v>
      </c>
      <c r="AD491" s="561">
        <v>2.093</v>
      </c>
      <c r="AF491" s="955" t="s">
        <v>1320</v>
      </c>
      <c r="AG491" s="955">
        <v>0.71499999999999997</v>
      </c>
    </row>
    <row r="492" spans="29:33">
      <c r="AC492" s="955" t="s">
        <v>1323</v>
      </c>
      <c r="AD492" s="561">
        <v>2.089</v>
      </c>
      <c r="AF492" s="955" t="s">
        <v>1321</v>
      </c>
      <c r="AG492" s="955">
        <v>0.71499999999999997</v>
      </c>
    </row>
    <row r="493" spans="29:33">
      <c r="AC493" s="955" t="s">
        <v>1324</v>
      </c>
      <c r="AD493" s="561">
        <v>2.0979999999999999</v>
      </c>
      <c r="AF493" s="955" t="s">
        <v>1322</v>
      </c>
      <c r="AG493" s="955">
        <v>0.72499999999999998</v>
      </c>
    </row>
    <row r="494" spans="29:33">
      <c r="AC494" s="955" t="s">
        <v>1325</v>
      </c>
      <c r="AD494" s="561">
        <v>2.1120000000000001</v>
      </c>
      <c r="AF494" s="955" t="s">
        <v>1323</v>
      </c>
      <c r="AG494" s="955">
        <v>0.73299999999999998</v>
      </c>
    </row>
    <row r="495" spans="29:33">
      <c r="AC495" s="955" t="s">
        <v>1326</v>
      </c>
      <c r="AD495" s="561">
        <v>2.0790000000000002</v>
      </c>
      <c r="AF495" s="955" t="s">
        <v>1324</v>
      </c>
      <c r="AG495" s="955">
        <v>0.69</v>
      </c>
    </row>
    <row r="496" spans="29:33">
      <c r="AC496" s="955" t="s">
        <v>1327</v>
      </c>
      <c r="AD496" s="561">
        <v>2.0699999999999998</v>
      </c>
      <c r="AF496" s="955" t="s">
        <v>1325</v>
      </c>
      <c r="AG496" s="955">
        <v>0.67800000000000005</v>
      </c>
    </row>
    <row r="497" spans="29:33">
      <c r="AC497" s="955" t="s">
        <v>1328</v>
      </c>
      <c r="AD497" s="561">
        <v>2.0920000000000001</v>
      </c>
      <c r="AF497" s="955" t="s">
        <v>1326</v>
      </c>
      <c r="AG497" s="955">
        <v>0.65600000000000003</v>
      </c>
    </row>
    <row r="498" spans="29:33">
      <c r="AC498" s="955" t="s">
        <v>1329</v>
      </c>
      <c r="AD498" s="561">
        <v>2.0779999999999998</v>
      </c>
      <c r="AF498" s="955" t="s">
        <v>1327</v>
      </c>
      <c r="AG498" s="955">
        <v>0.67</v>
      </c>
    </row>
    <row r="499" spans="29:33">
      <c r="AC499" s="955" t="s">
        <v>1330</v>
      </c>
      <c r="AD499" s="561">
        <v>2.0379999999999998</v>
      </c>
      <c r="AF499" s="955" t="s">
        <v>1328</v>
      </c>
      <c r="AG499" s="955">
        <v>0.72799999999999998</v>
      </c>
    </row>
    <row r="500" spans="29:33">
      <c r="AC500" s="955" t="s">
        <v>1331</v>
      </c>
      <c r="AD500" s="561">
        <v>2.0579999999999998</v>
      </c>
      <c r="AF500" s="955" t="s">
        <v>1329</v>
      </c>
      <c r="AG500" s="955">
        <v>0.61</v>
      </c>
    </row>
    <row r="501" spans="29:33">
      <c r="AC501" s="955" t="s">
        <v>1332</v>
      </c>
      <c r="AD501" s="561">
        <v>2.0569999999999999</v>
      </c>
      <c r="AF501" s="955" t="s">
        <v>1330</v>
      </c>
      <c r="AG501" s="955">
        <v>0.61</v>
      </c>
    </row>
    <row r="502" spans="29:33">
      <c r="AC502" s="954">
        <v>44481</v>
      </c>
      <c r="AD502" s="561">
        <v>2.0760000000000001</v>
      </c>
      <c r="AF502" s="955" t="s">
        <v>1331</v>
      </c>
      <c r="AG502" s="955">
        <v>0.623</v>
      </c>
    </row>
    <row r="503" spans="29:33">
      <c r="AC503" s="954">
        <v>44451</v>
      </c>
      <c r="AD503" s="561">
        <v>2.077</v>
      </c>
      <c r="AF503" s="955" t="s">
        <v>1332</v>
      </c>
      <c r="AG503" s="955">
        <v>0.63300000000000001</v>
      </c>
    </row>
    <row r="504" spans="29:33">
      <c r="AC504" s="954">
        <v>44420</v>
      </c>
      <c r="AD504" s="561">
        <v>2.0880000000000001</v>
      </c>
      <c r="AF504" s="954">
        <v>44481</v>
      </c>
      <c r="AG504" s="955">
        <v>0.66500000000000004</v>
      </c>
    </row>
    <row r="505" spans="29:33">
      <c r="AC505" s="954">
        <v>44389</v>
      </c>
      <c r="AD505" s="561">
        <v>2.0720000000000001</v>
      </c>
      <c r="AF505" s="954">
        <v>44451</v>
      </c>
      <c r="AG505" s="955">
        <v>0.66500000000000004</v>
      </c>
    </row>
    <row r="506" spans="29:33">
      <c r="AC506" s="954">
        <v>44359</v>
      </c>
      <c r="AD506" s="561">
        <v>2.09</v>
      </c>
      <c r="AF506" s="954">
        <v>44420</v>
      </c>
      <c r="AG506" s="955">
        <v>0.60899999999999999</v>
      </c>
    </row>
    <row r="507" spans="29:33">
      <c r="AC507" s="954">
        <v>44267</v>
      </c>
      <c r="AD507" s="561">
        <v>2.093</v>
      </c>
      <c r="AF507" s="954">
        <v>44389</v>
      </c>
      <c r="AG507" s="955">
        <v>0.57999999999999996</v>
      </c>
    </row>
    <row r="508" spans="29:33">
      <c r="AC508" s="954">
        <v>44239</v>
      </c>
      <c r="AD508" s="561">
        <v>2.0760000000000001</v>
      </c>
      <c r="AF508" s="954">
        <v>44359</v>
      </c>
      <c r="AG508" s="955">
        <v>0.59</v>
      </c>
    </row>
    <row r="509" spans="29:33">
      <c r="AC509" s="954">
        <v>44208</v>
      </c>
      <c r="AD509" s="561">
        <v>2.0960000000000001</v>
      </c>
      <c r="AF509" s="954">
        <v>44267</v>
      </c>
      <c r="AG509" s="955">
        <v>0.63800000000000001</v>
      </c>
    </row>
    <row r="510" spans="29:33">
      <c r="AC510" s="955" t="s">
        <v>1333</v>
      </c>
      <c r="AD510" s="561">
        <v>2.0819999999999999</v>
      </c>
      <c r="AF510" s="954">
        <v>44239</v>
      </c>
      <c r="AG510" s="955">
        <v>0.57999999999999996</v>
      </c>
    </row>
    <row r="511" spans="29:33">
      <c r="AC511" s="955" t="s">
        <v>1334</v>
      </c>
      <c r="AD511" s="561">
        <v>2.0649999999999999</v>
      </c>
      <c r="AF511" s="954">
        <v>44208</v>
      </c>
      <c r="AG511" s="955">
        <v>0.58099999999999996</v>
      </c>
    </row>
    <row r="512" spans="29:33">
      <c r="AC512" s="955" t="s">
        <v>1335</v>
      </c>
      <c r="AD512" s="561">
        <v>2.0680000000000001</v>
      </c>
      <c r="AF512" s="955" t="s">
        <v>1333</v>
      </c>
      <c r="AG512" s="955">
        <v>0.57999999999999996</v>
      </c>
    </row>
    <row r="513" spans="29:33">
      <c r="AC513" s="955" t="s">
        <v>1336</v>
      </c>
      <c r="AD513" s="561">
        <v>2.0760000000000001</v>
      </c>
      <c r="AF513" s="955" t="s">
        <v>1334</v>
      </c>
      <c r="AG513" s="955">
        <v>0.57999999999999996</v>
      </c>
    </row>
    <row r="514" spans="29:33">
      <c r="AC514" s="955" t="s">
        <v>1337</v>
      </c>
      <c r="AD514" s="561">
        <v>2.0819999999999999</v>
      </c>
      <c r="AF514" s="955" t="s">
        <v>1335</v>
      </c>
      <c r="AG514" s="955">
        <v>0.58099999999999996</v>
      </c>
    </row>
    <row r="515" spans="29:33">
      <c r="AC515" s="955" t="s">
        <v>1338</v>
      </c>
      <c r="AD515" s="561">
        <v>2.056</v>
      </c>
      <c r="AF515" s="955" t="s">
        <v>1336</v>
      </c>
      <c r="AG515" s="955">
        <v>0.58099999999999996</v>
      </c>
    </row>
    <row r="516" spans="29:33">
      <c r="AC516" s="955" t="s">
        <v>1339</v>
      </c>
      <c r="AD516" s="561">
        <v>2.0619999999999998</v>
      </c>
      <c r="AF516" s="955" t="s">
        <v>1337</v>
      </c>
      <c r="AG516" s="955">
        <v>0.58099999999999996</v>
      </c>
    </row>
    <row r="517" spans="29:33">
      <c r="AC517" s="955" t="s">
        <v>1340</v>
      </c>
      <c r="AD517" s="561">
        <v>2.0489999999999999</v>
      </c>
      <c r="AF517" s="955" t="s">
        <v>1338</v>
      </c>
      <c r="AG517" s="955">
        <v>0.58199999999999996</v>
      </c>
    </row>
    <row r="518" spans="29:33">
      <c r="AC518" s="955" t="s">
        <v>1341</v>
      </c>
      <c r="AD518" s="561">
        <v>2.0649999999999999</v>
      </c>
      <c r="AF518" s="955" t="s">
        <v>1339</v>
      </c>
      <c r="AG518" s="955">
        <v>0.58199999999999996</v>
      </c>
    </row>
    <row r="519" spans="29:33">
      <c r="AC519" s="955" t="s">
        <v>1342</v>
      </c>
      <c r="AD519" s="561">
        <v>2.0569999999999999</v>
      </c>
      <c r="AF519" s="955" t="s">
        <v>1340</v>
      </c>
      <c r="AG519" s="955">
        <v>0.58199999999999996</v>
      </c>
    </row>
    <row r="520" spans="29:33">
      <c r="AC520" s="955" t="s">
        <v>1343</v>
      </c>
      <c r="AD520" s="561">
        <v>2.056</v>
      </c>
      <c r="AF520" s="955" t="s">
        <v>1341</v>
      </c>
      <c r="AG520" s="955">
        <v>0.58199999999999996</v>
      </c>
    </row>
    <row r="521" spans="29:33">
      <c r="AC521" s="955" t="s">
        <v>1344</v>
      </c>
      <c r="AD521" s="561">
        <v>2.0750000000000002</v>
      </c>
      <c r="AF521" s="955" t="s">
        <v>1342</v>
      </c>
      <c r="AG521" s="955">
        <v>0.58299999999999996</v>
      </c>
    </row>
    <row r="522" spans="29:33">
      <c r="AC522" s="954">
        <v>44541</v>
      </c>
      <c r="AD522" s="561">
        <v>2.0920000000000001</v>
      </c>
      <c r="AF522" s="955" t="s">
        <v>1343</v>
      </c>
      <c r="AG522" s="955">
        <v>0.58299999999999996</v>
      </c>
    </row>
    <row r="523" spans="29:33">
      <c r="AC523" s="954">
        <v>44511</v>
      </c>
      <c r="AD523" s="561">
        <v>2.0960000000000001</v>
      </c>
      <c r="AF523" s="955" t="s">
        <v>1344</v>
      </c>
      <c r="AG523" s="955">
        <v>0.58399999999999996</v>
      </c>
    </row>
    <row r="524" spans="29:33">
      <c r="AC524" s="954">
        <v>44480</v>
      </c>
      <c r="AD524" s="561">
        <v>2.1070000000000002</v>
      </c>
      <c r="AF524" s="954">
        <v>44541</v>
      </c>
      <c r="AG524" s="955">
        <v>0.58299999999999996</v>
      </c>
    </row>
    <row r="525" spans="29:33">
      <c r="AC525" s="954">
        <v>44450</v>
      </c>
      <c r="AD525" s="561">
        <v>2.1070000000000002</v>
      </c>
      <c r="AF525" s="954">
        <v>44511</v>
      </c>
      <c r="AG525" s="955">
        <v>0.58299999999999996</v>
      </c>
    </row>
    <row r="526" spans="29:33">
      <c r="AC526" s="954">
        <v>44419</v>
      </c>
      <c r="AD526" s="561">
        <v>2.0990000000000002</v>
      </c>
      <c r="AF526" s="954">
        <v>44480</v>
      </c>
      <c r="AG526" s="955">
        <v>0.58299999999999996</v>
      </c>
    </row>
    <row r="527" spans="29:33">
      <c r="AC527" s="954">
        <v>44327</v>
      </c>
      <c r="AD527" s="561">
        <v>2.1339999999999999</v>
      </c>
      <c r="AF527" s="954">
        <v>44450</v>
      </c>
      <c r="AG527" s="955">
        <v>0.58599999999999997</v>
      </c>
    </row>
    <row r="528" spans="29:33">
      <c r="AC528" s="954">
        <v>44297</v>
      </c>
      <c r="AD528" s="561">
        <v>2.1360000000000001</v>
      </c>
      <c r="AF528" s="954">
        <v>44419</v>
      </c>
      <c r="AG528" s="955">
        <v>0.58699999999999997</v>
      </c>
    </row>
    <row r="529" spans="29:33">
      <c r="AC529" s="954">
        <v>44266</v>
      </c>
      <c r="AD529" s="561">
        <v>2.1579999999999999</v>
      </c>
      <c r="AF529" s="954">
        <v>44327</v>
      </c>
      <c r="AG529" s="955">
        <v>0.58199999999999996</v>
      </c>
    </row>
    <row r="530" spans="29:33">
      <c r="AC530" s="954">
        <v>44238</v>
      </c>
      <c r="AD530" s="561">
        <v>2.153</v>
      </c>
      <c r="AF530" s="954">
        <v>44297</v>
      </c>
      <c r="AG530" s="955">
        <v>0.58299999999999996</v>
      </c>
    </row>
    <row r="531" spans="29:33">
      <c r="AC531" s="954">
        <v>44207</v>
      </c>
      <c r="AD531" s="561">
        <v>2.1589999999999998</v>
      </c>
      <c r="AF531" s="954">
        <v>44266</v>
      </c>
      <c r="AG531" s="955">
        <v>0.58399999999999996</v>
      </c>
    </row>
    <row r="532" spans="29:33">
      <c r="AC532" s="955" t="s">
        <v>1345</v>
      </c>
      <c r="AD532" s="561">
        <v>2.1160000000000001</v>
      </c>
      <c r="AF532" s="954">
        <v>44238</v>
      </c>
      <c r="AG532" s="955">
        <v>0.58299999999999996</v>
      </c>
    </row>
    <row r="533" spans="29:33">
      <c r="AC533" s="955" t="s">
        <v>1346</v>
      </c>
      <c r="AD533" s="561">
        <v>2.1139999999999999</v>
      </c>
      <c r="AF533" s="954">
        <v>44207</v>
      </c>
      <c r="AG533" s="955">
        <v>0.58399999999999996</v>
      </c>
    </row>
    <row r="534" spans="29:33">
      <c r="AC534" s="955" t="s">
        <v>1347</v>
      </c>
      <c r="AD534" s="561">
        <v>2.1280000000000001</v>
      </c>
      <c r="AF534" s="955" t="s">
        <v>1345</v>
      </c>
      <c r="AG534" s="955">
        <v>0.58499999999999996</v>
      </c>
    </row>
    <row r="535" spans="29:33">
      <c r="AC535" s="955" t="s">
        <v>1348</v>
      </c>
      <c r="AD535" s="561">
        <v>2.1139999999999999</v>
      </c>
      <c r="AF535" s="955" t="s">
        <v>1346</v>
      </c>
      <c r="AG535" s="955">
        <v>0.58499999999999996</v>
      </c>
    </row>
    <row r="536" spans="29:33">
      <c r="AC536" s="955" t="s">
        <v>1349</v>
      </c>
      <c r="AD536" s="561">
        <v>2.1080000000000001</v>
      </c>
      <c r="AF536" s="955" t="s">
        <v>1347</v>
      </c>
      <c r="AG536" s="955">
        <v>0.58599999999999997</v>
      </c>
    </row>
    <row r="537" spans="29:33">
      <c r="AC537" s="955" t="s">
        <v>1350</v>
      </c>
      <c r="AD537" s="561">
        <v>2.1139999999999999</v>
      </c>
      <c r="AF537" s="955" t="s">
        <v>1348</v>
      </c>
      <c r="AG537" s="955">
        <v>0.58499999999999996</v>
      </c>
    </row>
    <row r="538" spans="29:33">
      <c r="AC538" s="955" t="s">
        <v>1351</v>
      </c>
      <c r="AD538" s="561">
        <v>2.1309999999999998</v>
      </c>
      <c r="AF538" s="955" t="s">
        <v>1349</v>
      </c>
      <c r="AG538" s="955">
        <v>0.60599999999999998</v>
      </c>
    </row>
    <row r="539" spans="29:33">
      <c r="AC539" s="955" t="s">
        <v>1352</v>
      </c>
      <c r="AD539" s="561">
        <v>2.14</v>
      </c>
      <c r="AF539" s="955" t="s">
        <v>1350</v>
      </c>
      <c r="AG539" s="955">
        <v>0.60799999999999998</v>
      </c>
    </row>
    <row r="540" spans="29:33">
      <c r="AC540" s="955" t="s">
        <v>1353</v>
      </c>
      <c r="AD540" s="561">
        <v>2.13</v>
      </c>
      <c r="AF540" s="955" t="s">
        <v>1351</v>
      </c>
      <c r="AG540" s="955">
        <v>0.60699999999999998</v>
      </c>
    </row>
    <row r="541" spans="29:33">
      <c r="AC541" s="955" t="s">
        <v>1354</v>
      </c>
      <c r="AD541" s="561">
        <v>2.125</v>
      </c>
      <c r="AF541" s="955" t="s">
        <v>1352</v>
      </c>
      <c r="AG541" s="955">
        <v>0.60799999999999998</v>
      </c>
    </row>
    <row r="542" spans="29:33">
      <c r="AC542" s="955" t="s">
        <v>1355</v>
      </c>
      <c r="AD542" s="561">
        <v>2.1230000000000002</v>
      </c>
      <c r="AF542" s="955" t="s">
        <v>1353</v>
      </c>
      <c r="AG542" s="955">
        <v>0.60899999999999999</v>
      </c>
    </row>
    <row r="543" spans="29:33">
      <c r="AC543" s="955" t="s">
        <v>1356</v>
      </c>
      <c r="AD543" s="561">
        <v>2.129</v>
      </c>
      <c r="AF543" s="955" t="s">
        <v>1354</v>
      </c>
      <c r="AG543" s="955">
        <v>0.60799999999999998</v>
      </c>
    </row>
    <row r="544" spans="29:33">
      <c r="AC544" s="955" t="s">
        <v>1357</v>
      </c>
      <c r="AD544" s="561">
        <v>2.1339999999999999</v>
      </c>
      <c r="AF544" s="955" t="s">
        <v>1355</v>
      </c>
      <c r="AG544" s="955">
        <v>0.60899999999999999</v>
      </c>
    </row>
    <row r="545" spans="29:33">
      <c r="AC545" s="954">
        <v>44540</v>
      </c>
      <c r="AD545" s="561">
        <v>2.1339999999999999</v>
      </c>
      <c r="AF545" s="955" t="s">
        <v>1356</v>
      </c>
      <c r="AG545" s="955">
        <v>0.61899999999999999</v>
      </c>
    </row>
    <row r="546" spans="29:33">
      <c r="AC546" s="954">
        <v>44510</v>
      </c>
      <c r="AD546" s="561">
        <v>2.1349999999999998</v>
      </c>
      <c r="AF546" s="955" t="s">
        <v>1357</v>
      </c>
      <c r="AG546" s="955">
        <v>0.62</v>
      </c>
    </row>
    <row r="547" spans="29:33">
      <c r="AC547" s="954">
        <v>44418</v>
      </c>
      <c r="AD547" s="561">
        <v>2.1320000000000001</v>
      </c>
      <c r="AF547" s="954">
        <v>44540</v>
      </c>
      <c r="AG547" s="955">
        <v>0.61899999999999999</v>
      </c>
    </row>
    <row r="548" spans="29:33">
      <c r="AC548" s="954">
        <v>44387</v>
      </c>
      <c r="AD548" s="561">
        <v>2.12</v>
      </c>
      <c r="AF548" s="954">
        <v>44510</v>
      </c>
      <c r="AG548" s="955">
        <v>0.62</v>
      </c>
    </row>
    <row r="549" spans="29:33">
      <c r="AC549" s="954">
        <v>44357</v>
      </c>
      <c r="AD549" s="561">
        <v>2.11</v>
      </c>
      <c r="AF549" s="954">
        <v>44418</v>
      </c>
      <c r="AG549" s="955">
        <v>0.622</v>
      </c>
    </row>
    <row r="550" spans="29:33">
      <c r="AC550" s="954">
        <v>44326</v>
      </c>
      <c r="AD550" s="561">
        <v>2.1139999999999999</v>
      </c>
      <c r="AF550" s="954">
        <v>44387</v>
      </c>
      <c r="AG550" s="955">
        <v>0.61199999999999999</v>
      </c>
    </row>
    <row r="551" spans="29:33">
      <c r="AC551" s="954">
        <v>44296</v>
      </c>
      <c r="AD551" s="561">
        <v>2.125</v>
      </c>
      <c r="AF551" s="954">
        <v>44357</v>
      </c>
      <c r="AG551" s="955">
        <v>0.61199999999999999</v>
      </c>
    </row>
    <row r="552" spans="29:33">
      <c r="AC552" s="954">
        <v>44265</v>
      </c>
      <c r="AD552" s="561">
        <v>2.0710000000000002</v>
      </c>
      <c r="AF552" s="954">
        <v>44326</v>
      </c>
      <c r="AG552" s="955">
        <v>0.61199999999999999</v>
      </c>
    </row>
    <row r="553" spans="29:33">
      <c r="AC553" s="954">
        <v>44206</v>
      </c>
      <c r="AD553" s="561">
        <v>2.121</v>
      </c>
      <c r="AF553" s="954">
        <v>44296</v>
      </c>
      <c r="AG553" s="955">
        <v>0.61299999999999999</v>
      </c>
    </row>
    <row r="554" spans="29:33">
      <c r="AC554" s="955" t="s">
        <v>1358</v>
      </c>
      <c r="AD554" s="561">
        <v>2.1320000000000001</v>
      </c>
      <c r="AF554" s="954">
        <v>44265</v>
      </c>
      <c r="AG554" s="955">
        <v>0.51400000000000001</v>
      </c>
    </row>
    <row r="555" spans="29:33">
      <c r="AC555" s="955" t="s">
        <v>1359</v>
      </c>
      <c r="AD555" s="561">
        <v>2.145</v>
      </c>
      <c r="AF555" s="954">
        <v>44206</v>
      </c>
      <c r="AG555" s="955">
        <v>0.61399999999999999</v>
      </c>
    </row>
    <row r="556" spans="29:33">
      <c r="AC556" s="955" t="s">
        <v>1360</v>
      </c>
      <c r="AD556" s="561">
        <v>2.11</v>
      </c>
      <c r="AF556" s="955" t="s">
        <v>1358</v>
      </c>
      <c r="AG556" s="955">
        <v>0.61499999999999999</v>
      </c>
    </row>
    <row r="557" spans="29:33">
      <c r="AC557" s="955" t="s">
        <v>1361</v>
      </c>
      <c r="AD557" s="561">
        <v>2.1429999999999998</v>
      </c>
      <c r="AF557" s="955" t="s">
        <v>1359</v>
      </c>
      <c r="AG557" s="955">
        <v>0.61499999999999999</v>
      </c>
    </row>
    <row r="558" spans="29:33">
      <c r="AC558" s="955" t="s">
        <v>1362</v>
      </c>
      <c r="AD558" s="561">
        <v>2.1179999999999999</v>
      </c>
      <c r="AF558" s="955" t="s">
        <v>1360</v>
      </c>
      <c r="AG558" s="955">
        <v>0.55200000000000005</v>
      </c>
    </row>
    <row r="559" spans="29:33">
      <c r="AC559" s="955" t="s">
        <v>1363</v>
      </c>
      <c r="AD559" s="561">
        <v>2.1190000000000002</v>
      </c>
      <c r="AF559" s="955" t="s">
        <v>1361</v>
      </c>
      <c r="AG559" s="955">
        <v>0.52400000000000002</v>
      </c>
    </row>
    <row r="560" spans="29:33">
      <c r="AC560" s="955" t="s">
        <v>1364</v>
      </c>
      <c r="AD560" s="561">
        <v>2.1139999999999999</v>
      </c>
      <c r="AF560" s="955" t="s">
        <v>1362</v>
      </c>
      <c r="AG560" s="955">
        <v>0.52</v>
      </c>
    </row>
    <row r="561" spans="29:33">
      <c r="AC561" s="955" t="s">
        <v>1365</v>
      </c>
      <c r="AD561" s="561">
        <v>2.0880000000000001</v>
      </c>
      <c r="AF561" s="955" t="s">
        <v>1363</v>
      </c>
      <c r="AG561" s="955">
        <v>0.501</v>
      </c>
    </row>
    <row r="562" spans="29:33">
      <c r="AC562" s="955" t="s">
        <v>1366</v>
      </c>
      <c r="AD562" s="561">
        <v>2.0870000000000002</v>
      </c>
      <c r="AF562" s="955" t="s">
        <v>1364</v>
      </c>
      <c r="AG562" s="955">
        <v>0.501</v>
      </c>
    </row>
    <row r="563" spans="29:33">
      <c r="AC563" s="955" t="s">
        <v>1367</v>
      </c>
      <c r="AD563" s="561">
        <v>2.0710000000000002</v>
      </c>
      <c r="AF563" s="955" t="s">
        <v>1365</v>
      </c>
      <c r="AG563" s="955">
        <v>0.45400000000000001</v>
      </c>
    </row>
    <row r="564" spans="29:33">
      <c r="AC564" s="955" t="s">
        <v>1368</v>
      </c>
      <c r="AD564" s="561">
        <v>2.0539999999999998</v>
      </c>
      <c r="AF564" s="955" t="s">
        <v>1366</v>
      </c>
      <c r="AG564" s="955">
        <v>0.46400000000000002</v>
      </c>
    </row>
    <row r="565" spans="29:33">
      <c r="AC565" s="955" t="s">
        <v>1369</v>
      </c>
      <c r="AD565" s="561">
        <v>2.0430000000000001</v>
      </c>
      <c r="AF565" s="955" t="s">
        <v>1367</v>
      </c>
      <c r="AG565" s="955">
        <v>0.46600000000000003</v>
      </c>
    </row>
    <row r="566" spans="29:33">
      <c r="AC566" s="955" t="s">
        <v>1370</v>
      </c>
      <c r="AD566" s="561">
        <v>2.093</v>
      </c>
      <c r="AF566" s="955" t="s">
        <v>1368</v>
      </c>
      <c r="AG566" s="955">
        <v>0.46600000000000003</v>
      </c>
    </row>
    <row r="567" spans="29:33">
      <c r="AC567" s="955" t="s">
        <v>1371</v>
      </c>
      <c r="AD567" s="561">
        <v>2.0510000000000002</v>
      </c>
      <c r="AF567" s="955" t="s">
        <v>1369</v>
      </c>
      <c r="AG567" s="955">
        <v>0.46400000000000002</v>
      </c>
    </row>
    <row r="568" spans="29:33">
      <c r="AC568" s="954">
        <v>44478</v>
      </c>
      <c r="AD568" s="561">
        <v>2.077</v>
      </c>
      <c r="AF568" s="955" t="s">
        <v>1370</v>
      </c>
      <c r="AG568" s="955">
        <v>0.46800000000000003</v>
      </c>
    </row>
    <row r="569" spans="29:33">
      <c r="AC569" s="954">
        <v>44448</v>
      </c>
      <c r="AD569" s="561">
        <v>2.0590000000000002</v>
      </c>
      <c r="AF569" s="955" t="s">
        <v>1371</v>
      </c>
      <c r="AG569" s="955">
        <v>0.46800000000000003</v>
      </c>
    </row>
    <row r="570" spans="29:33">
      <c r="AC570" s="954">
        <v>44417</v>
      </c>
      <c r="AD570" s="561">
        <v>2.0590000000000002</v>
      </c>
      <c r="AF570" s="954">
        <v>44478</v>
      </c>
      <c r="AG570" s="955">
        <v>0.46800000000000003</v>
      </c>
    </row>
    <row r="571" spans="29:33">
      <c r="AC571" s="954">
        <v>44386</v>
      </c>
      <c r="AD571" s="561">
        <v>2.0819999999999999</v>
      </c>
      <c r="AF571" s="954">
        <v>44448</v>
      </c>
      <c r="AG571" s="955">
        <v>0.47</v>
      </c>
    </row>
    <row r="572" spans="29:33">
      <c r="AC572" s="954">
        <v>44356</v>
      </c>
      <c r="AD572" s="561">
        <v>2.1110000000000002</v>
      </c>
      <c r="AF572" s="954">
        <v>44417</v>
      </c>
      <c r="AG572" s="955">
        <v>0.47</v>
      </c>
    </row>
    <row r="573" spans="29:33">
      <c r="AC573" s="954">
        <v>44264</v>
      </c>
      <c r="AD573" s="561">
        <v>2.02</v>
      </c>
      <c r="AF573" s="954">
        <v>44386</v>
      </c>
      <c r="AG573" s="955">
        <v>0.47199999999999998</v>
      </c>
    </row>
    <row r="574" spans="29:33">
      <c r="AC574" s="954">
        <v>44236</v>
      </c>
      <c r="AD574" s="561">
        <v>2.02</v>
      </c>
      <c r="AF574" s="954">
        <v>44356</v>
      </c>
      <c r="AG574" s="955">
        <v>0.47199999999999998</v>
      </c>
    </row>
    <row r="575" spans="29:33">
      <c r="AC575" s="954">
        <v>44205</v>
      </c>
      <c r="AD575" s="561">
        <v>2.0699999999999998</v>
      </c>
      <c r="AF575" s="954">
        <v>44264</v>
      </c>
      <c r="AG575" s="955">
        <v>0.373</v>
      </c>
    </row>
    <row r="576" spans="29:33">
      <c r="AC576" s="955" t="s">
        <v>1372</v>
      </c>
      <c r="AD576" s="561">
        <v>2.0950000000000002</v>
      </c>
      <c r="AF576" s="954">
        <v>44236</v>
      </c>
      <c r="AG576" s="955">
        <v>0.373</v>
      </c>
    </row>
    <row r="577" spans="29:33">
      <c r="AC577" s="955" t="s">
        <v>1373</v>
      </c>
      <c r="AD577" s="561">
        <v>2.0779999999999998</v>
      </c>
      <c r="AF577" s="954">
        <v>44205</v>
      </c>
      <c r="AG577" s="955">
        <v>0.47299999999999998</v>
      </c>
    </row>
    <row r="578" spans="29:33">
      <c r="AC578" s="955" t="s">
        <v>1374</v>
      </c>
      <c r="AD578" s="561">
        <v>2.101</v>
      </c>
      <c r="AF578" s="955" t="s">
        <v>1372</v>
      </c>
      <c r="AG578" s="955">
        <v>0.4</v>
      </c>
    </row>
    <row r="579" spans="29:33">
      <c r="AC579" s="955" t="s">
        <v>1375</v>
      </c>
      <c r="AD579" s="561">
        <v>2.0840000000000001</v>
      </c>
      <c r="AF579" s="955" t="s">
        <v>1373</v>
      </c>
      <c r="AG579" s="955">
        <v>0.41</v>
      </c>
    </row>
    <row r="580" spans="29:33">
      <c r="AC580" s="955" t="s">
        <v>1376</v>
      </c>
      <c r="AD580" s="561">
        <v>2.0750000000000002</v>
      </c>
      <c r="AF580" s="955" t="s">
        <v>1374</v>
      </c>
      <c r="AG580" s="955">
        <v>0.41099999999999998</v>
      </c>
    </row>
    <row r="581" spans="29:33">
      <c r="AC581" s="955" t="s">
        <v>1377</v>
      </c>
      <c r="AD581" s="561">
        <v>2.081</v>
      </c>
      <c r="AF581" s="955" t="s">
        <v>1375</v>
      </c>
      <c r="AG581" s="955">
        <v>0.41</v>
      </c>
    </row>
    <row r="582" spans="29:33">
      <c r="AC582" s="955" t="s">
        <v>1378</v>
      </c>
      <c r="AD582" s="561">
        <v>2.0920000000000001</v>
      </c>
      <c r="AF582" s="955" t="s">
        <v>1376</v>
      </c>
      <c r="AG582" s="955">
        <v>0.41</v>
      </c>
    </row>
    <row r="583" spans="29:33">
      <c r="AC583" s="955" t="s">
        <v>1379</v>
      </c>
      <c r="AD583" s="561">
        <v>2.069</v>
      </c>
      <c r="AF583" s="955" t="s">
        <v>1377</v>
      </c>
      <c r="AG583" s="955">
        <v>0.41</v>
      </c>
    </row>
    <row r="584" spans="29:33">
      <c r="AC584" s="955" t="s">
        <v>1380</v>
      </c>
      <c r="AD584" s="561">
        <v>2.113</v>
      </c>
      <c r="AF584" s="955" t="s">
        <v>1378</v>
      </c>
      <c r="AG584" s="955">
        <v>0.41</v>
      </c>
    </row>
    <row r="585" spans="29:33">
      <c r="AC585" s="955" t="s">
        <v>1381</v>
      </c>
      <c r="AD585" s="561">
        <v>2.1150000000000002</v>
      </c>
      <c r="AF585" s="955" t="s">
        <v>1379</v>
      </c>
      <c r="AG585" s="955">
        <v>0.41</v>
      </c>
    </row>
    <row r="586" spans="29:33">
      <c r="AC586" s="955" t="s">
        <v>1382</v>
      </c>
      <c r="AD586" s="561">
        <v>2.089</v>
      </c>
      <c r="AF586" s="955" t="s">
        <v>1380</v>
      </c>
      <c r="AG586" s="955">
        <v>0.42099999999999999</v>
      </c>
    </row>
    <row r="587" spans="29:33">
      <c r="AC587" s="955" t="s">
        <v>1383</v>
      </c>
      <c r="AD587" s="561">
        <v>2.0859999999999999</v>
      </c>
      <c r="AF587" s="955" t="s">
        <v>1381</v>
      </c>
      <c r="AG587" s="955">
        <v>0.42</v>
      </c>
    </row>
    <row r="588" spans="29:33">
      <c r="AC588" s="955" t="s">
        <v>1384</v>
      </c>
      <c r="AD588" s="561">
        <v>2.16</v>
      </c>
      <c r="AF588" s="955" t="s">
        <v>1382</v>
      </c>
      <c r="AG588" s="955">
        <v>0.42099999999999999</v>
      </c>
    </row>
    <row r="589" spans="29:33">
      <c r="AC589" s="954">
        <v>44538</v>
      </c>
      <c r="AD589" s="561">
        <v>2.1059999999999999</v>
      </c>
      <c r="AF589" s="955" t="s">
        <v>1383</v>
      </c>
      <c r="AG589" s="955">
        <v>0.42</v>
      </c>
    </row>
    <row r="590" spans="29:33">
      <c r="AC590" s="954">
        <v>44508</v>
      </c>
      <c r="AD590" s="561">
        <v>2.1429999999999998</v>
      </c>
      <c r="AF590" s="955" t="s">
        <v>1384</v>
      </c>
      <c r="AG590" s="955">
        <v>0.42</v>
      </c>
    </row>
    <row r="591" spans="29:33">
      <c r="AC591" s="954">
        <v>44477</v>
      </c>
      <c r="AD591" s="561">
        <v>2.1269999999999998</v>
      </c>
      <c r="AF591" s="954">
        <v>44538</v>
      </c>
      <c r="AG591" s="955">
        <v>0.42</v>
      </c>
    </row>
    <row r="592" spans="29:33">
      <c r="AC592" s="954">
        <v>44447</v>
      </c>
      <c r="AD592" s="561">
        <v>2.1419999999999999</v>
      </c>
      <c r="AF592" s="954">
        <v>44508</v>
      </c>
      <c r="AG592" s="955">
        <v>0.42</v>
      </c>
    </row>
    <row r="593" spans="29:33">
      <c r="AC593" s="954">
        <v>44355</v>
      </c>
      <c r="AD593" s="561">
        <v>2.1179999999999999</v>
      </c>
      <c r="AF593" s="954">
        <v>44477</v>
      </c>
      <c r="AG593" s="955">
        <v>0.42</v>
      </c>
    </row>
    <row r="594" spans="29:33">
      <c r="AC594" s="954">
        <v>44324</v>
      </c>
      <c r="AD594" s="561">
        <v>2.149</v>
      </c>
      <c r="AF594" s="954">
        <v>44447</v>
      </c>
      <c r="AG594" s="955">
        <v>0.42</v>
      </c>
    </row>
    <row r="595" spans="29:33">
      <c r="AC595" s="954">
        <v>44294</v>
      </c>
      <c r="AD595" s="561">
        <v>2.1720000000000002</v>
      </c>
      <c r="AF595" s="954">
        <v>44355</v>
      </c>
      <c r="AG595" s="955">
        <v>0.42399999999999999</v>
      </c>
    </row>
    <row r="596" spans="29:33">
      <c r="AC596" s="954">
        <v>44263</v>
      </c>
      <c r="AD596" s="561">
        <v>2.105</v>
      </c>
      <c r="AF596" s="954">
        <v>44324</v>
      </c>
      <c r="AG596" s="955">
        <v>0.42499999999999999</v>
      </c>
    </row>
    <row r="597" spans="29:33">
      <c r="AC597" s="954">
        <v>44235</v>
      </c>
      <c r="AD597" s="561">
        <v>2.2120000000000002</v>
      </c>
      <c r="AF597" s="954">
        <v>44294</v>
      </c>
      <c r="AG597" s="955">
        <v>0.41399999999999998</v>
      </c>
    </row>
    <row r="598" spans="29:33">
      <c r="AC598" s="955" t="s">
        <v>1385</v>
      </c>
      <c r="AD598" s="561">
        <v>2.153</v>
      </c>
      <c r="AF598" s="954">
        <v>44263</v>
      </c>
      <c r="AG598" s="955">
        <v>0.39300000000000002</v>
      </c>
    </row>
    <row r="599" spans="29:33">
      <c r="AC599" s="955" t="s">
        <v>1386</v>
      </c>
      <c r="AD599" s="561">
        <v>2.1190000000000002</v>
      </c>
      <c r="AF599" s="954">
        <v>44235</v>
      </c>
      <c r="AG599" s="955">
        <v>0.45200000000000001</v>
      </c>
    </row>
    <row r="600" spans="29:33">
      <c r="AC600" s="955" t="s">
        <v>1387</v>
      </c>
      <c r="AD600" s="561">
        <v>2.1520000000000001</v>
      </c>
      <c r="AF600" s="955" t="s">
        <v>1385</v>
      </c>
      <c r="AG600" s="955">
        <v>0.45300000000000001</v>
      </c>
    </row>
    <row r="601" spans="29:33">
      <c r="AC601" s="955" t="s">
        <v>1388</v>
      </c>
      <c r="AD601" s="561">
        <v>2.1160000000000001</v>
      </c>
      <c r="AF601" s="955" t="s">
        <v>1386</v>
      </c>
      <c r="AG601" s="955">
        <v>0.45300000000000001</v>
      </c>
    </row>
    <row r="602" spans="29:33">
      <c r="AC602" s="955" t="s">
        <v>1389</v>
      </c>
      <c r="AD602" s="561">
        <v>2.1139999999999999</v>
      </c>
      <c r="AF602" s="955" t="s">
        <v>1387</v>
      </c>
      <c r="AG602" s="955">
        <v>0.45400000000000001</v>
      </c>
    </row>
    <row r="603" spans="29:33">
      <c r="AC603" s="955" t="s">
        <v>1390</v>
      </c>
      <c r="AD603" s="561">
        <v>2.1269999999999998</v>
      </c>
      <c r="AF603" s="955" t="s">
        <v>1388</v>
      </c>
      <c r="AG603" s="955">
        <v>0.45400000000000001</v>
      </c>
    </row>
    <row r="604" spans="29:33">
      <c r="AC604" s="955" t="s">
        <v>1391</v>
      </c>
      <c r="AD604" s="561">
        <v>2.1190000000000002</v>
      </c>
      <c r="AF604" s="955" t="s">
        <v>1389</v>
      </c>
      <c r="AG604" s="955">
        <v>0.45600000000000002</v>
      </c>
    </row>
    <row r="605" spans="29:33">
      <c r="AC605" s="955" t="s">
        <v>1392</v>
      </c>
      <c r="AD605" s="561">
        <v>2.1230000000000002</v>
      </c>
      <c r="AF605" s="955" t="s">
        <v>1390</v>
      </c>
      <c r="AG605" s="955">
        <v>0.45700000000000002</v>
      </c>
    </row>
    <row r="606" spans="29:33">
      <c r="AC606" s="955" t="s">
        <v>1393</v>
      </c>
      <c r="AD606" s="561">
        <v>2.1320000000000001</v>
      </c>
      <c r="AF606" s="955" t="s">
        <v>1391</v>
      </c>
      <c r="AG606" s="955">
        <v>0.45400000000000001</v>
      </c>
    </row>
    <row r="607" spans="29:33">
      <c r="AC607" s="955" t="s">
        <v>1394</v>
      </c>
      <c r="AD607" s="561">
        <v>2.133</v>
      </c>
      <c r="AF607" s="955" t="s">
        <v>1392</v>
      </c>
      <c r="AG607" s="955">
        <v>0.45400000000000001</v>
      </c>
    </row>
    <row r="608" spans="29:33">
      <c r="AC608" s="955" t="s">
        <v>1395</v>
      </c>
      <c r="AD608" s="561">
        <v>2.1240000000000001</v>
      </c>
      <c r="AF608" s="955" t="s">
        <v>1393</v>
      </c>
      <c r="AG608" s="955">
        <v>0.45400000000000001</v>
      </c>
    </row>
    <row r="609" spans="29:33">
      <c r="AC609" s="955" t="s">
        <v>1396</v>
      </c>
      <c r="AD609" s="561">
        <v>2.1030000000000002</v>
      </c>
      <c r="AF609" s="955" t="s">
        <v>1394</v>
      </c>
      <c r="AG609" s="955">
        <v>0.46400000000000002</v>
      </c>
    </row>
    <row r="610" spans="29:33">
      <c r="AC610" s="955" t="s">
        <v>1397</v>
      </c>
      <c r="AD610" s="561">
        <v>2.101</v>
      </c>
      <c r="AF610" s="955" t="s">
        <v>1395</v>
      </c>
      <c r="AG610" s="955">
        <v>0.46400000000000002</v>
      </c>
    </row>
    <row r="611" spans="29:33">
      <c r="AC611" s="955" t="s">
        <v>1398</v>
      </c>
      <c r="AD611" s="561">
        <v>2.1440000000000001</v>
      </c>
      <c r="AF611" s="955" t="s">
        <v>1396</v>
      </c>
      <c r="AG611" s="955">
        <v>0.46400000000000002</v>
      </c>
    </row>
    <row r="612" spans="29:33">
      <c r="AC612" s="954">
        <v>44537</v>
      </c>
      <c r="AD612" s="561">
        <v>2.1509999999999998</v>
      </c>
      <c r="AF612" s="955" t="s">
        <v>1397</v>
      </c>
      <c r="AG612" s="955">
        <v>0.46400000000000002</v>
      </c>
    </row>
    <row r="613" spans="29:33">
      <c r="AC613" s="954">
        <v>44446</v>
      </c>
      <c r="AD613" s="561">
        <v>2.1269999999999998</v>
      </c>
      <c r="AF613" s="955" t="s">
        <v>1398</v>
      </c>
      <c r="AG613" s="955">
        <v>0.46300000000000002</v>
      </c>
    </row>
    <row r="614" spans="29:33">
      <c r="AC614" s="954">
        <v>44415</v>
      </c>
      <c r="AD614" s="561">
        <v>2.1280000000000001</v>
      </c>
      <c r="AF614" s="954">
        <v>44537</v>
      </c>
      <c r="AG614" s="955">
        <v>0.46400000000000002</v>
      </c>
    </row>
    <row r="615" spans="29:33">
      <c r="AC615" s="954">
        <v>44384</v>
      </c>
      <c r="AD615" s="561">
        <v>2.1539999999999999</v>
      </c>
      <c r="AF615" s="954">
        <v>44446</v>
      </c>
      <c r="AG615" s="955">
        <v>0.46400000000000002</v>
      </c>
    </row>
    <row r="616" spans="29:33">
      <c r="AC616" s="954">
        <v>44354</v>
      </c>
      <c r="AD616" s="561">
        <v>2.1280000000000001</v>
      </c>
      <c r="AF616" s="954">
        <v>44415</v>
      </c>
      <c r="AG616" s="955">
        <v>0.46400000000000002</v>
      </c>
    </row>
    <row r="617" spans="29:33">
      <c r="AC617" s="954">
        <v>44323</v>
      </c>
      <c r="AD617" s="561">
        <v>2.1339999999999999</v>
      </c>
      <c r="AF617" s="954">
        <v>44384</v>
      </c>
      <c r="AG617" s="955">
        <v>0.46400000000000002</v>
      </c>
    </row>
    <row r="618" spans="29:33">
      <c r="AC618" s="954">
        <v>44234</v>
      </c>
      <c r="AD618" s="561">
        <v>2.149</v>
      </c>
      <c r="AF618" s="954">
        <v>44354</v>
      </c>
      <c r="AG618" s="955">
        <v>0.48</v>
      </c>
    </row>
    <row r="619" spans="29:33">
      <c r="AC619" s="954">
        <v>44203</v>
      </c>
      <c r="AD619" s="561">
        <v>2.161</v>
      </c>
      <c r="AF619" s="954">
        <v>44323</v>
      </c>
      <c r="AG619" s="955">
        <v>0.52</v>
      </c>
    </row>
    <row r="620" spans="29:33">
      <c r="AC620" s="955" t="s">
        <v>1399</v>
      </c>
      <c r="AD620" s="561">
        <v>2.1739999999999999</v>
      </c>
      <c r="AF620" s="954">
        <v>44234</v>
      </c>
      <c r="AG620" s="955">
        <v>0.52</v>
      </c>
    </row>
    <row r="621" spans="29:33">
      <c r="AC621" s="955" t="s">
        <v>1400</v>
      </c>
      <c r="AD621" s="561">
        <v>2.1789999999999998</v>
      </c>
      <c r="AF621" s="954">
        <v>44203</v>
      </c>
      <c r="AG621" s="955">
        <v>0.52</v>
      </c>
    </row>
    <row r="622" spans="29:33">
      <c r="AC622" s="955" t="s">
        <v>1401</v>
      </c>
      <c r="AD622" s="561">
        <v>2.2120000000000002</v>
      </c>
      <c r="AF622" s="955" t="s">
        <v>1399</v>
      </c>
      <c r="AG622" s="955">
        <v>0.49</v>
      </c>
    </row>
    <row r="623" spans="29:33">
      <c r="AC623" s="955" t="s">
        <v>1402</v>
      </c>
      <c r="AD623" s="561">
        <v>2.2240000000000002</v>
      </c>
      <c r="AF623" s="955" t="s">
        <v>1400</v>
      </c>
      <c r="AG623" s="955">
        <v>0.5</v>
      </c>
    </row>
    <row r="624" spans="29:33">
      <c r="AC624" s="955" t="s">
        <v>1403</v>
      </c>
      <c r="AD624" s="561">
        <v>2.173</v>
      </c>
      <c r="AF624" s="955" t="s">
        <v>1401</v>
      </c>
      <c r="AG624" s="955">
        <v>0.498</v>
      </c>
    </row>
    <row r="625" spans="29:33">
      <c r="AC625" s="955" t="s">
        <v>1404</v>
      </c>
      <c r="AD625" s="561">
        <v>2.1789999999999998</v>
      </c>
      <c r="AF625" s="955" t="s">
        <v>1402</v>
      </c>
      <c r="AG625" s="955">
        <v>0.48699999999999999</v>
      </c>
    </row>
    <row r="626" spans="29:33">
      <c r="AC626" s="955" t="s">
        <v>1405</v>
      </c>
      <c r="AD626" s="561">
        <v>2.1579999999999999</v>
      </c>
      <c r="AF626" s="955" t="s">
        <v>1403</v>
      </c>
      <c r="AG626" s="955">
        <v>0.48899999999999999</v>
      </c>
    </row>
    <row r="627" spans="29:33">
      <c r="AC627" s="955" t="s">
        <v>1406</v>
      </c>
      <c r="AD627" s="561">
        <v>2.1760000000000002</v>
      </c>
      <c r="AF627" s="955" t="s">
        <v>1404</v>
      </c>
      <c r="AG627" s="955">
        <v>0.48299999999999998</v>
      </c>
    </row>
    <row r="628" spans="29:33">
      <c r="AC628" s="955" t="s">
        <v>1407</v>
      </c>
      <c r="AD628" s="561">
        <v>2.1269999999999998</v>
      </c>
      <c r="AF628" s="955" t="s">
        <v>1405</v>
      </c>
      <c r="AG628" s="955">
        <v>0.48399999999999999</v>
      </c>
    </row>
    <row r="629" spans="29:33">
      <c r="AC629" s="955" t="s">
        <v>1408</v>
      </c>
      <c r="AD629" s="561">
        <v>2.1669999999999998</v>
      </c>
      <c r="AF629" s="955" t="s">
        <v>1406</v>
      </c>
      <c r="AG629" s="955">
        <v>0.495</v>
      </c>
    </row>
    <row r="630" spans="29:33">
      <c r="AC630" s="955" t="s">
        <v>1409</v>
      </c>
      <c r="AD630" s="561">
        <v>2.1680000000000001</v>
      </c>
      <c r="AF630" s="955" t="s">
        <v>1407</v>
      </c>
      <c r="AG630" s="955">
        <v>0.499</v>
      </c>
    </row>
    <row r="631" spans="29:33">
      <c r="AC631" s="955" t="s">
        <v>1410</v>
      </c>
      <c r="AD631" s="561">
        <v>2.21</v>
      </c>
      <c r="AF631" s="955" t="s">
        <v>1408</v>
      </c>
      <c r="AG631" s="955">
        <v>0.51200000000000001</v>
      </c>
    </row>
    <row r="632" spans="29:33">
      <c r="AC632" s="955" t="s">
        <v>1411</v>
      </c>
      <c r="AD632" s="561">
        <v>2.169</v>
      </c>
      <c r="AF632" s="955" t="s">
        <v>1409</v>
      </c>
      <c r="AG632" s="955">
        <v>0.51</v>
      </c>
    </row>
    <row r="633" spans="29:33">
      <c r="AC633" s="954">
        <v>44506</v>
      </c>
      <c r="AD633" s="561">
        <v>2.181</v>
      </c>
      <c r="AF633" s="955" t="s">
        <v>1410</v>
      </c>
      <c r="AG633" s="955">
        <v>0.51100000000000001</v>
      </c>
    </row>
    <row r="634" spans="29:33">
      <c r="AC634" s="954">
        <v>44475</v>
      </c>
      <c r="AD634" s="561">
        <v>2.2149999999999999</v>
      </c>
      <c r="AF634" s="955" t="s">
        <v>1411</v>
      </c>
      <c r="AG634" s="955">
        <v>0.51</v>
      </c>
    </row>
    <row r="635" spans="29:33">
      <c r="AC635" s="954">
        <v>44445</v>
      </c>
      <c r="AD635" s="561">
        <v>2.2050000000000001</v>
      </c>
      <c r="AF635" s="954">
        <v>44506</v>
      </c>
      <c r="AG635" s="955">
        <v>0.51200000000000001</v>
      </c>
    </row>
    <row r="636" spans="29:33">
      <c r="AC636" s="954">
        <v>44414</v>
      </c>
      <c r="AD636" s="561">
        <v>2.2210000000000001</v>
      </c>
      <c r="AF636" s="954">
        <v>44475</v>
      </c>
      <c r="AG636" s="955">
        <v>0.51300000000000001</v>
      </c>
    </row>
    <row r="637" spans="29:33">
      <c r="AC637" s="954">
        <v>44383</v>
      </c>
      <c r="AD637" s="561">
        <v>2.242</v>
      </c>
      <c r="AF637" s="954">
        <v>44445</v>
      </c>
      <c r="AG637" s="955">
        <v>0.51200000000000001</v>
      </c>
    </row>
    <row r="638" spans="29:33">
      <c r="AC638" s="954">
        <v>44292</v>
      </c>
      <c r="AD638" s="561">
        <v>2.2389999999999999</v>
      </c>
      <c r="AF638" s="954">
        <v>44414</v>
      </c>
      <c r="AG638" s="955">
        <v>0.51300000000000001</v>
      </c>
    </row>
    <row r="639" spans="29:33">
      <c r="AC639" s="954">
        <v>44261</v>
      </c>
      <c r="AD639" s="561">
        <v>2.2530000000000001</v>
      </c>
      <c r="AF639" s="954">
        <v>44383</v>
      </c>
      <c r="AG639" s="955">
        <v>0.51400000000000001</v>
      </c>
    </row>
    <row r="640" spans="29:33">
      <c r="AC640" s="954">
        <v>44233</v>
      </c>
      <c r="AD640" s="561">
        <v>2.2120000000000002</v>
      </c>
      <c r="AF640" s="954">
        <v>44292</v>
      </c>
      <c r="AG640" s="955">
        <v>0.51600000000000001</v>
      </c>
    </row>
    <row r="641" spans="29:33">
      <c r="AC641" s="954">
        <v>44202</v>
      </c>
      <c r="AD641" s="561">
        <v>2.2530000000000001</v>
      </c>
      <c r="AF641" s="954">
        <v>44261</v>
      </c>
      <c r="AG641" s="955">
        <v>0.51700000000000002</v>
      </c>
    </row>
    <row r="642" spans="29:33">
      <c r="AC642" s="955" t="s">
        <v>1412</v>
      </c>
      <c r="AD642" s="561">
        <v>2.2730000000000001</v>
      </c>
      <c r="AF642" s="954">
        <v>44233</v>
      </c>
      <c r="AG642" s="955">
        <v>0.48299999999999998</v>
      </c>
    </row>
    <row r="643" spans="29:33">
      <c r="AC643" s="955" t="s">
        <v>1413</v>
      </c>
      <c r="AD643" s="561">
        <v>2.298</v>
      </c>
      <c r="AF643" s="954">
        <v>44202</v>
      </c>
      <c r="AG643" s="955">
        <v>0.52900000000000003</v>
      </c>
    </row>
    <row r="644" spans="29:33">
      <c r="AC644" s="955" t="s">
        <v>1414</v>
      </c>
      <c r="AD644" s="561">
        <v>2.3039999999999998</v>
      </c>
      <c r="AF644" s="955" t="s">
        <v>1412</v>
      </c>
      <c r="AG644" s="955">
        <v>0.64200000000000002</v>
      </c>
    </row>
    <row r="645" spans="29:33">
      <c r="AC645" s="955" t="s">
        <v>1415</v>
      </c>
      <c r="AD645" s="561">
        <v>2.3170000000000002</v>
      </c>
      <c r="AF645" s="955" t="s">
        <v>1413</v>
      </c>
      <c r="AG645" s="955">
        <v>0.60099999999999998</v>
      </c>
    </row>
    <row r="646" spans="29:33">
      <c r="AC646" s="955" t="s">
        <v>1416</v>
      </c>
      <c r="AD646" s="561">
        <v>2.3159999999999998</v>
      </c>
      <c r="AF646" s="955" t="s">
        <v>1414</v>
      </c>
      <c r="AG646" s="955">
        <v>0.63300000000000001</v>
      </c>
    </row>
    <row r="647" spans="29:33">
      <c r="AC647" s="955" t="s">
        <v>1417</v>
      </c>
      <c r="AD647" s="561">
        <v>2.3239999999999998</v>
      </c>
      <c r="AF647" s="955" t="s">
        <v>1415</v>
      </c>
      <c r="AG647" s="955">
        <v>0.41499999999999998</v>
      </c>
    </row>
    <row r="648" spans="29:33">
      <c r="AC648" s="955" t="s">
        <v>1418</v>
      </c>
      <c r="AD648" s="561">
        <v>2.3460000000000001</v>
      </c>
      <c r="AF648" s="955" t="s">
        <v>1416</v>
      </c>
      <c r="AG648" s="955">
        <v>0.42199999999999999</v>
      </c>
    </row>
    <row r="649" spans="29:33">
      <c r="AC649" s="955" t="s">
        <v>1419</v>
      </c>
      <c r="AD649" s="561">
        <v>2.3450000000000002</v>
      </c>
      <c r="AF649" s="955" t="s">
        <v>1417</v>
      </c>
      <c r="AG649" s="955">
        <v>0.42199999999999999</v>
      </c>
    </row>
    <row r="650" spans="29:33">
      <c r="AC650" s="955" t="s">
        <v>1420</v>
      </c>
      <c r="AD650" s="561">
        <v>2.3559999999999999</v>
      </c>
      <c r="AF650" s="955" t="s">
        <v>1418</v>
      </c>
      <c r="AG650" s="955">
        <v>0.42299999999999999</v>
      </c>
    </row>
    <row r="651" spans="29:33">
      <c r="AC651" s="955" t="s">
        <v>1421</v>
      </c>
      <c r="AD651" s="561">
        <v>2.3660000000000001</v>
      </c>
      <c r="AF651" s="955" t="s">
        <v>1419</v>
      </c>
      <c r="AG651" s="955">
        <v>0.42499999999999999</v>
      </c>
    </row>
    <row r="652" spans="29:33">
      <c r="AC652" s="955" t="s">
        <v>1422</v>
      </c>
      <c r="AD652" s="561">
        <v>2.3690000000000002</v>
      </c>
      <c r="AF652" s="955" t="s">
        <v>1420</v>
      </c>
      <c r="AG652" s="955">
        <v>0.42499999999999999</v>
      </c>
    </row>
    <row r="653" spans="29:33">
      <c r="AC653" s="955" t="s">
        <v>1423</v>
      </c>
      <c r="AD653" s="561">
        <v>2.379</v>
      </c>
      <c r="AF653" s="955" t="s">
        <v>1421</v>
      </c>
      <c r="AG653" s="955">
        <v>0.41399999999999998</v>
      </c>
    </row>
    <row r="654" spans="29:33">
      <c r="AC654" s="955" t="s">
        <v>1424</v>
      </c>
      <c r="AD654" s="561">
        <v>2.39</v>
      </c>
      <c r="AF654" s="955" t="s">
        <v>1422</v>
      </c>
      <c r="AG654" s="955">
        <v>0.374</v>
      </c>
    </row>
    <row r="655" spans="29:33">
      <c r="AC655" s="954">
        <v>44535</v>
      </c>
      <c r="AD655" s="561">
        <v>2.3719999999999999</v>
      </c>
      <c r="AF655" s="955" t="s">
        <v>1423</v>
      </c>
      <c r="AG655" s="955">
        <v>0.40899999999999997</v>
      </c>
    </row>
    <row r="656" spans="29:33">
      <c r="AC656" s="954">
        <v>44505</v>
      </c>
      <c r="AD656" s="561">
        <v>2.3889999999999998</v>
      </c>
      <c r="AF656" s="955" t="s">
        <v>1424</v>
      </c>
      <c r="AG656" s="955">
        <v>0.40899999999999997</v>
      </c>
    </row>
    <row r="657" spans="29:33">
      <c r="AC657" s="954">
        <v>44474</v>
      </c>
      <c r="AD657" s="561">
        <v>2.3929999999999998</v>
      </c>
      <c r="AF657" s="954">
        <v>44535</v>
      </c>
      <c r="AG657" s="955">
        <v>0.38600000000000001</v>
      </c>
    </row>
    <row r="658" spans="29:33">
      <c r="AC658" s="954">
        <v>44382</v>
      </c>
      <c r="AD658" s="561">
        <v>2.4</v>
      </c>
      <c r="AF658" s="954">
        <v>44505</v>
      </c>
      <c r="AG658" s="955">
        <v>0.38800000000000001</v>
      </c>
    </row>
    <row r="659" spans="29:33">
      <c r="AC659" s="954">
        <v>44352</v>
      </c>
      <c r="AD659" s="561">
        <v>2.3980000000000001</v>
      </c>
      <c r="AF659" s="954">
        <v>44474</v>
      </c>
      <c r="AG659" s="955">
        <v>0.38800000000000001</v>
      </c>
    </row>
    <row r="660" spans="29:33">
      <c r="AC660" s="954">
        <v>44321</v>
      </c>
      <c r="AD660" s="561">
        <v>2.3740000000000001</v>
      </c>
      <c r="AF660" s="954">
        <v>44382</v>
      </c>
      <c r="AG660" s="955">
        <v>0.39</v>
      </c>
    </row>
    <row r="661" spans="29:33">
      <c r="AC661" s="954">
        <v>44291</v>
      </c>
      <c r="AD661" s="561">
        <v>2.3780000000000001</v>
      </c>
      <c r="AF661" s="954">
        <v>44352</v>
      </c>
      <c r="AG661" s="955">
        <v>0.38500000000000001</v>
      </c>
    </row>
    <row r="662" spans="29:33">
      <c r="AC662" s="954">
        <v>44260</v>
      </c>
      <c r="AD662" s="561">
        <v>2.262</v>
      </c>
      <c r="AF662" s="954">
        <v>44321</v>
      </c>
      <c r="AG662" s="955">
        <v>0.38500000000000001</v>
      </c>
    </row>
    <row r="663" spans="29:33">
      <c r="AC663" s="955" t="s">
        <v>1425</v>
      </c>
      <c r="AD663" s="561">
        <v>2.2629999999999999</v>
      </c>
      <c r="AF663" s="954">
        <v>44291</v>
      </c>
      <c r="AG663" s="955">
        <v>0.39200000000000002</v>
      </c>
    </row>
    <row r="664" spans="29:33">
      <c r="AC664" s="955" t="s">
        <v>1426</v>
      </c>
      <c r="AD664" s="561">
        <v>2.3130000000000002</v>
      </c>
      <c r="AF664" s="954">
        <v>44260</v>
      </c>
      <c r="AG664" s="955">
        <v>0.27600000000000002</v>
      </c>
    </row>
    <row r="665" spans="29:33">
      <c r="AC665" s="955" t="s">
        <v>1427</v>
      </c>
      <c r="AD665" s="561">
        <v>2.3130000000000002</v>
      </c>
      <c r="AF665" s="955" t="s">
        <v>1425</v>
      </c>
      <c r="AG665" s="955">
        <v>0.28000000000000003</v>
      </c>
    </row>
    <row r="666" spans="29:33">
      <c r="AC666" s="955" t="s">
        <v>1428</v>
      </c>
      <c r="AD666" s="561">
        <v>2.3079999999999998</v>
      </c>
      <c r="AF666" s="955" t="s">
        <v>1426</v>
      </c>
      <c r="AG666" s="955">
        <v>0.38</v>
      </c>
    </row>
    <row r="667" spans="29:33">
      <c r="AC667" s="955" t="s">
        <v>1429</v>
      </c>
      <c r="AD667" s="561">
        <v>2.2810000000000001</v>
      </c>
      <c r="AF667" s="955" t="s">
        <v>1427</v>
      </c>
      <c r="AG667" s="955">
        <v>0.38500000000000001</v>
      </c>
    </row>
    <row r="668" spans="29:33">
      <c r="AC668" s="955" t="s">
        <v>1430</v>
      </c>
      <c r="AD668" s="561">
        <v>2.2949999999999999</v>
      </c>
      <c r="AF668" s="955" t="s">
        <v>1428</v>
      </c>
      <c r="AG668" s="955">
        <v>0.39400000000000002</v>
      </c>
    </row>
    <row r="669" spans="29:33">
      <c r="AC669" s="955" t="s">
        <v>1431</v>
      </c>
      <c r="AD669" s="561">
        <v>2.2429999999999999</v>
      </c>
      <c r="AF669" s="955" t="s">
        <v>1429</v>
      </c>
      <c r="AG669" s="955">
        <v>0.377</v>
      </c>
    </row>
    <row r="670" spans="29:33">
      <c r="AC670" s="955" t="s">
        <v>1432</v>
      </c>
      <c r="AD670" s="561">
        <v>2.2690000000000001</v>
      </c>
      <c r="AF670" s="955" t="s">
        <v>1430</v>
      </c>
      <c r="AG670" s="955">
        <v>0.38800000000000001</v>
      </c>
    </row>
    <row r="671" spans="29:33">
      <c r="AC671" s="955" t="s">
        <v>1433</v>
      </c>
      <c r="AD671" s="561">
        <v>2.319</v>
      </c>
      <c r="AF671" s="955" t="s">
        <v>1431</v>
      </c>
      <c r="AG671" s="955">
        <v>0.38800000000000001</v>
      </c>
    </row>
    <row r="672" spans="29:33">
      <c r="AC672" s="955" t="s">
        <v>1434</v>
      </c>
      <c r="AD672" s="561">
        <v>2.3370000000000002</v>
      </c>
      <c r="AF672" s="955" t="s">
        <v>1432</v>
      </c>
      <c r="AG672" s="955">
        <v>0.28899999999999998</v>
      </c>
    </row>
    <row r="673" spans="29:33">
      <c r="AC673" s="955" t="s">
        <v>1435</v>
      </c>
      <c r="AD673" s="561">
        <v>2.2869999999999999</v>
      </c>
      <c r="AF673" s="955" t="s">
        <v>1433</v>
      </c>
      <c r="AG673" s="955">
        <v>0.38900000000000001</v>
      </c>
    </row>
    <row r="674" spans="29:33">
      <c r="AC674" s="955" t="s">
        <v>1436</v>
      </c>
      <c r="AD674" s="561">
        <v>2.3730000000000002</v>
      </c>
      <c r="AF674" s="955" t="s">
        <v>1434</v>
      </c>
      <c r="AG674" s="955">
        <v>0.38900000000000001</v>
      </c>
    </row>
    <row r="675" spans="29:33">
      <c r="AC675" s="955" t="s">
        <v>1437</v>
      </c>
      <c r="AD675" s="561">
        <v>2.3759999999999999</v>
      </c>
      <c r="AF675" s="955" t="s">
        <v>1435</v>
      </c>
      <c r="AG675" s="955">
        <v>0.39</v>
      </c>
    </row>
    <row r="676" spans="29:33">
      <c r="AC676" s="955" t="s">
        <v>1438</v>
      </c>
      <c r="AD676" s="561">
        <v>2.363</v>
      </c>
      <c r="AF676" s="955" t="s">
        <v>1436</v>
      </c>
      <c r="AG676" s="955">
        <v>0.39</v>
      </c>
    </row>
    <row r="677" spans="29:33">
      <c r="AC677" s="954">
        <v>44534</v>
      </c>
      <c r="AD677" s="561">
        <v>2.3860000000000001</v>
      </c>
      <c r="AF677" s="955" t="s">
        <v>1437</v>
      </c>
      <c r="AG677" s="955">
        <v>0.40899999999999997</v>
      </c>
    </row>
    <row r="678" spans="29:33">
      <c r="AC678" s="954">
        <v>44443</v>
      </c>
      <c r="AD678" s="561">
        <v>2.3730000000000002</v>
      </c>
      <c r="AF678" s="955" t="s">
        <v>1438</v>
      </c>
      <c r="AG678" s="955">
        <v>0.41</v>
      </c>
    </row>
    <row r="679" spans="29:33">
      <c r="AC679" s="954">
        <v>44412</v>
      </c>
      <c r="AD679" s="561">
        <v>2.3650000000000002</v>
      </c>
      <c r="AF679" s="954">
        <v>44534</v>
      </c>
      <c r="AG679" s="955">
        <v>0.40100000000000002</v>
      </c>
    </row>
    <row r="680" spans="29:33">
      <c r="AC680" s="954">
        <v>44381</v>
      </c>
      <c r="AD680" s="561">
        <v>2.363</v>
      </c>
      <c r="AF680" s="954">
        <v>44443</v>
      </c>
      <c r="AG680" s="955">
        <v>0.39300000000000002</v>
      </c>
    </row>
    <row r="681" spans="29:33">
      <c r="AC681" s="954">
        <v>44351</v>
      </c>
      <c r="AD681" s="561">
        <v>2.367</v>
      </c>
      <c r="AF681" s="954">
        <v>44412</v>
      </c>
      <c r="AG681" s="955">
        <v>0.39500000000000002</v>
      </c>
    </row>
    <row r="682" spans="29:33">
      <c r="AC682" s="954">
        <v>44320</v>
      </c>
      <c r="AD682" s="561">
        <v>2.3849999999999998</v>
      </c>
      <c r="AF682" s="954">
        <v>44381</v>
      </c>
      <c r="AG682" s="955">
        <v>0.39400000000000002</v>
      </c>
    </row>
    <row r="683" spans="29:33">
      <c r="AC683" s="954">
        <v>44231</v>
      </c>
      <c r="AD683" s="561">
        <v>2.3620000000000001</v>
      </c>
      <c r="AF683" s="954">
        <v>44351</v>
      </c>
      <c r="AG683" s="955">
        <v>0.39600000000000002</v>
      </c>
    </row>
    <row r="684" spans="29:33">
      <c r="AC684" s="954">
        <v>44200</v>
      </c>
      <c r="AD684" s="561">
        <v>2.351</v>
      </c>
      <c r="AF684" s="954">
        <v>44320</v>
      </c>
      <c r="AG684" s="955">
        <v>0.40500000000000003</v>
      </c>
    </row>
    <row r="685" spans="29:33">
      <c r="AC685" s="955" t="s">
        <v>1439</v>
      </c>
      <c r="AD685" s="561">
        <v>2.3860000000000001</v>
      </c>
      <c r="AF685" s="954">
        <v>44231</v>
      </c>
      <c r="AG685" s="955">
        <v>0.39800000000000002</v>
      </c>
    </row>
    <row r="686" spans="29:33">
      <c r="AC686" s="955" t="s">
        <v>1440</v>
      </c>
      <c r="AD686" s="561">
        <v>2.3849999999999998</v>
      </c>
      <c r="AF686" s="954">
        <v>44200</v>
      </c>
      <c r="AG686" s="955">
        <v>0.39800000000000002</v>
      </c>
    </row>
    <row r="687" spans="29:33">
      <c r="AC687" s="955" t="s">
        <v>1441</v>
      </c>
      <c r="AD687" s="561">
        <v>2.3820000000000001</v>
      </c>
      <c r="AF687" s="955" t="s">
        <v>1439</v>
      </c>
      <c r="AG687" s="955">
        <v>0.34899999999999998</v>
      </c>
    </row>
    <row r="688" spans="29:33">
      <c r="AC688" s="955" t="s">
        <v>1442</v>
      </c>
      <c r="AD688" s="561">
        <v>2.359</v>
      </c>
      <c r="AF688" s="955" t="s">
        <v>1440</v>
      </c>
      <c r="AG688" s="955">
        <v>0.34899999999999998</v>
      </c>
    </row>
    <row r="689" spans="29:33">
      <c r="AC689" s="955" t="s">
        <v>1443</v>
      </c>
      <c r="AD689" s="561">
        <v>2.395</v>
      </c>
      <c r="AF689" s="955" t="s">
        <v>1441</v>
      </c>
      <c r="AG689" s="955">
        <v>0.34899999999999998</v>
      </c>
    </row>
    <row r="690" spans="29:33">
      <c r="AC690" s="955" t="s">
        <v>1444</v>
      </c>
      <c r="AD690" s="561">
        <v>2.3460000000000001</v>
      </c>
      <c r="AF690" s="955" t="s">
        <v>1442</v>
      </c>
      <c r="AG690" s="955">
        <v>0.35099999999999998</v>
      </c>
    </row>
    <row r="691" spans="29:33">
      <c r="AC691" s="955" t="s">
        <v>1445</v>
      </c>
      <c r="AD691" s="561">
        <v>2.3889999999999998</v>
      </c>
      <c r="AF691" s="955" t="s">
        <v>1443</v>
      </c>
      <c r="AG691" s="955">
        <v>0.34799999999999998</v>
      </c>
    </row>
    <row r="692" spans="29:33">
      <c r="AC692" s="955" t="s">
        <v>1446</v>
      </c>
      <c r="AD692" s="561">
        <v>2.4079999999999999</v>
      </c>
      <c r="AF692" s="955" t="s">
        <v>1444</v>
      </c>
      <c r="AG692" s="955">
        <v>0.34799999999999998</v>
      </c>
    </row>
    <row r="693" spans="29:33">
      <c r="AC693" s="955" t="s">
        <v>1447</v>
      </c>
      <c r="AD693" s="561">
        <v>2.431</v>
      </c>
      <c r="AF693" s="955" t="s">
        <v>1445</v>
      </c>
      <c r="AG693" s="955">
        <v>0.35899999999999999</v>
      </c>
    </row>
    <row r="694" spans="29:33">
      <c r="AC694" s="955" t="s">
        <v>1448</v>
      </c>
      <c r="AD694" s="561">
        <v>2.4119999999999999</v>
      </c>
      <c r="AF694" s="955" t="s">
        <v>1446</v>
      </c>
      <c r="AG694" s="955">
        <v>0.35599999999999998</v>
      </c>
    </row>
    <row r="695" spans="29:33">
      <c r="AC695" s="955" t="s">
        <v>1449</v>
      </c>
      <c r="AD695" s="561">
        <v>2.42</v>
      </c>
      <c r="AF695" s="955" t="s">
        <v>1447</v>
      </c>
      <c r="AG695" s="955">
        <v>0.36299999999999999</v>
      </c>
    </row>
    <row r="696" spans="29:33">
      <c r="AC696" s="955" t="s">
        <v>1450</v>
      </c>
      <c r="AD696" s="561">
        <v>2.3759999999999999</v>
      </c>
      <c r="AF696" s="955" t="s">
        <v>1448</v>
      </c>
      <c r="AG696" s="955">
        <v>0.37</v>
      </c>
    </row>
    <row r="697" spans="29:33">
      <c r="AC697" s="955" t="s">
        <v>1451</v>
      </c>
      <c r="AD697" s="561">
        <v>2.3620000000000001</v>
      </c>
      <c r="AF697" s="955" t="s">
        <v>1449</v>
      </c>
      <c r="AG697" s="955">
        <v>0.36599999999999999</v>
      </c>
    </row>
    <row r="698" spans="29:33">
      <c r="AC698" s="954">
        <v>44533</v>
      </c>
      <c r="AD698" s="561">
        <v>2.359</v>
      </c>
      <c r="AF698" s="955" t="s">
        <v>1450</v>
      </c>
      <c r="AG698" s="955">
        <v>0.375</v>
      </c>
    </row>
    <row r="699" spans="29:33">
      <c r="AC699" s="954">
        <v>44503</v>
      </c>
      <c r="AD699" s="561">
        <v>2.3929999999999998</v>
      </c>
      <c r="AF699" s="955" t="s">
        <v>1451</v>
      </c>
      <c r="AG699" s="955">
        <v>0.376</v>
      </c>
    </row>
    <row r="700" spans="29:33">
      <c r="AC700" s="954">
        <v>44472</v>
      </c>
      <c r="AD700" s="561">
        <v>2.3319999999999999</v>
      </c>
      <c r="AF700" s="954">
        <v>44533</v>
      </c>
      <c r="AG700" s="955">
        <v>0.35899999999999999</v>
      </c>
    </row>
    <row r="701" spans="29:33">
      <c r="AC701" s="954">
        <v>44442</v>
      </c>
      <c r="AD701" s="561">
        <v>2.3879999999999999</v>
      </c>
      <c r="AF701" s="954">
        <v>44503</v>
      </c>
      <c r="AG701" s="955">
        <v>0.35599999999999998</v>
      </c>
    </row>
    <row r="702" spans="29:33">
      <c r="AC702" s="954">
        <v>44411</v>
      </c>
      <c r="AD702" s="561">
        <v>2.3650000000000002</v>
      </c>
      <c r="AF702" s="954">
        <v>44472</v>
      </c>
      <c r="AG702" s="955">
        <v>0.35399999999999998</v>
      </c>
    </row>
    <row r="703" spans="29:33">
      <c r="AC703" s="954">
        <v>44319</v>
      </c>
      <c r="AD703" s="561">
        <v>2.343</v>
      </c>
      <c r="AF703" s="954">
        <v>44442</v>
      </c>
      <c r="AG703" s="955">
        <v>0.35699999999999998</v>
      </c>
    </row>
    <row r="704" spans="29:33">
      <c r="AC704" s="954">
        <v>44289</v>
      </c>
      <c r="AD704" s="561">
        <v>2.3769999999999998</v>
      </c>
      <c r="AF704" s="954">
        <v>44411</v>
      </c>
      <c r="AG704" s="955">
        <v>0.35399999999999998</v>
      </c>
    </row>
    <row r="705" spans="29:33">
      <c r="AC705" s="954">
        <v>44258</v>
      </c>
      <c r="AD705" s="561">
        <v>2.2949999999999999</v>
      </c>
      <c r="AF705" s="954">
        <v>44319</v>
      </c>
      <c r="AG705" s="955">
        <v>0.36499999999999999</v>
      </c>
    </row>
    <row r="706" spans="29:33">
      <c r="AC706" s="954">
        <v>44230</v>
      </c>
      <c r="AD706" s="561">
        <v>2.3039999999999998</v>
      </c>
      <c r="AF706" s="954">
        <v>44289</v>
      </c>
      <c r="AG706" s="955">
        <v>0.36399999999999999</v>
      </c>
    </row>
    <row r="707" spans="29:33">
      <c r="AC707" s="954">
        <v>44199</v>
      </c>
      <c r="AD707" s="561">
        <v>2.335</v>
      </c>
      <c r="AF707" s="954">
        <v>44258</v>
      </c>
      <c r="AG707" s="955">
        <v>0.36499999999999999</v>
      </c>
    </row>
    <row r="708" spans="29:33">
      <c r="AC708" s="955" t="s">
        <v>1452</v>
      </c>
      <c r="AD708" s="561">
        <v>2.355</v>
      </c>
      <c r="AF708" s="954">
        <v>44230</v>
      </c>
      <c r="AG708" s="955">
        <v>0.374</v>
      </c>
    </row>
    <row r="709" spans="29:33">
      <c r="AC709" s="955" t="s">
        <v>1453</v>
      </c>
      <c r="AD709" s="561">
        <v>2.31</v>
      </c>
      <c r="AF709" s="954">
        <v>44199</v>
      </c>
      <c r="AG709" s="955">
        <v>0.373</v>
      </c>
    </row>
    <row r="710" spans="29:33">
      <c r="AC710" s="955" t="s">
        <v>1454</v>
      </c>
      <c r="AD710" s="561">
        <v>2.27</v>
      </c>
      <c r="AF710" s="955" t="s">
        <v>1452</v>
      </c>
      <c r="AG710" s="955">
        <v>0.376</v>
      </c>
    </row>
    <row r="711" spans="29:33">
      <c r="AC711" s="955" t="s">
        <v>1455</v>
      </c>
      <c r="AD711" s="561">
        <v>2.2759999999999998</v>
      </c>
      <c r="AF711" s="955" t="s">
        <v>1453</v>
      </c>
      <c r="AG711" s="955">
        <v>0.34699999999999998</v>
      </c>
    </row>
    <row r="712" spans="29:33">
      <c r="AC712" s="955" t="s">
        <v>1456</v>
      </c>
      <c r="AD712" s="561">
        <v>2.2429999999999999</v>
      </c>
      <c r="AF712" s="955" t="s">
        <v>1454</v>
      </c>
      <c r="AG712" s="955">
        <v>0.34699999999999998</v>
      </c>
    </row>
    <row r="713" spans="29:33">
      <c r="AC713" s="955" t="s">
        <v>1457</v>
      </c>
      <c r="AD713" s="561">
        <v>2.2210000000000001</v>
      </c>
      <c r="AF713" s="955" t="s">
        <v>1455</v>
      </c>
      <c r="AG713" s="955">
        <v>0.33500000000000002</v>
      </c>
    </row>
    <row r="714" spans="29:33">
      <c r="AC714" s="955" t="s">
        <v>1458</v>
      </c>
      <c r="AD714" s="561">
        <v>2.254</v>
      </c>
      <c r="AF714" s="955" t="s">
        <v>1456</v>
      </c>
      <c r="AG714" s="955">
        <v>0.35299999999999998</v>
      </c>
    </row>
    <row r="715" spans="29:33">
      <c r="AC715" s="955" t="s">
        <v>1459</v>
      </c>
      <c r="AD715" s="561">
        <v>2.2090000000000001</v>
      </c>
      <c r="AF715" s="955" t="s">
        <v>1457</v>
      </c>
      <c r="AG715" s="955">
        <v>0.35899999999999999</v>
      </c>
    </row>
    <row r="716" spans="29:33">
      <c r="AC716" s="955" t="s">
        <v>1460</v>
      </c>
      <c r="AD716" s="561">
        <v>2.2170000000000001</v>
      </c>
      <c r="AF716" s="955" t="s">
        <v>1458</v>
      </c>
      <c r="AG716" s="955">
        <v>0.35099999999999998</v>
      </c>
    </row>
    <row r="717" spans="29:33">
      <c r="AC717" s="955" t="s">
        <v>1461</v>
      </c>
      <c r="AD717" s="561">
        <v>2.2170000000000001</v>
      </c>
      <c r="AF717" s="955" t="s">
        <v>1459</v>
      </c>
      <c r="AG717" s="955">
        <v>0.35499999999999998</v>
      </c>
    </row>
    <row r="718" spans="29:33">
      <c r="AC718" s="954">
        <v>44532</v>
      </c>
      <c r="AD718" s="561">
        <v>2.2170000000000001</v>
      </c>
      <c r="AF718" s="955" t="s">
        <v>1460</v>
      </c>
      <c r="AG718" s="955">
        <v>0.25900000000000001</v>
      </c>
    </row>
    <row r="719" spans="29:33">
      <c r="AC719" s="954">
        <v>44502</v>
      </c>
      <c r="AD719" s="561">
        <v>2.0510000000000002</v>
      </c>
      <c r="AF719" s="955" t="s">
        <v>1461</v>
      </c>
      <c r="AG719" s="955">
        <v>0.25900000000000001</v>
      </c>
    </row>
    <row r="720" spans="29:33">
      <c r="AC720" s="954">
        <v>44471</v>
      </c>
      <c r="AD720" s="561">
        <v>2.2170000000000001</v>
      </c>
      <c r="AF720" s="954">
        <v>44532</v>
      </c>
      <c r="AG720" s="955">
        <v>0.25900000000000001</v>
      </c>
    </row>
    <row r="721" spans="29:33">
      <c r="AC721" s="954">
        <v>44441</v>
      </c>
      <c r="AD721" s="561">
        <v>2.2730000000000001</v>
      </c>
      <c r="AF721" s="954">
        <v>44502</v>
      </c>
      <c r="AG721" s="955">
        <v>0.25900000000000001</v>
      </c>
    </row>
    <row r="722" spans="29:33">
      <c r="AC722" s="954">
        <v>44410</v>
      </c>
      <c r="AD722" s="561">
        <v>2.2679999999999998</v>
      </c>
      <c r="AF722" s="954">
        <v>44471</v>
      </c>
      <c r="AG722" s="955">
        <v>0.25900000000000001</v>
      </c>
    </row>
    <row r="723" spans="29:33">
      <c r="AC723" s="954">
        <v>44318</v>
      </c>
      <c r="AD723" s="561">
        <v>2.2469999999999999</v>
      </c>
      <c r="AF723" s="954">
        <v>44441</v>
      </c>
      <c r="AG723" s="955">
        <v>0.35899999999999999</v>
      </c>
    </row>
    <row r="724" spans="29:33">
      <c r="AC724" s="954">
        <v>44288</v>
      </c>
      <c r="AD724" s="561">
        <v>2.2509999999999999</v>
      </c>
      <c r="AF724" s="954">
        <v>44410</v>
      </c>
      <c r="AG724" s="955">
        <v>0.36</v>
      </c>
    </row>
    <row r="725" spans="29:33">
      <c r="AC725" s="954">
        <v>44257</v>
      </c>
      <c r="AD725" s="561">
        <v>2.2949999999999999</v>
      </c>
      <c r="AF725" s="954">
        <v>44318</v>
      </c>
      <c r="AG725" s="955">
        <v>0.35599999999999998</v>
      </c>
    </row>
    <row r="726" spans="29:33">
      <c r="AC726" s="954">
        <v>44229</v>
      </c>
      <c r="AD726" s="561">
        <v>2.302</v>
      </c>
      <c r="AF726" s="954">
        <v>44288</v>
      </c>
      <c r="AG726" s="955">
        <v>0.36099999999999999</v>
      </c>
    </row>
    <row r="727" spans="29:33">
      <c r="AC727" s="954">
        <v>44198</v>
      </c>
      <c r="AD727" s="561">
        <v>2.2789999999999999</v>
      </c>
      <c r="AF727" s="954">
        <v>44257</v>
      </c>
      <c r="AG727" s="955">
        <v>0.36199999999999999</v>
      </c>
    </row>
    <row r="728" spans="29:33">
      <c r="AC728" s="955" t="s">
        <v>1462</v>
      </c>
      <c r="AD728" s="561">
        <v>2.3039999999999998</v>
      </c>
      <c r="AF728" s="954">
        <v>44229</v>
      </c>
      <c r="AG728" s="955">
        <v>0.35699999999999998</v>
      </c>
    </row>
    <row r="729" spans="29:33">
      <c r="AC729" s="955" t="s">
        <v>1463</v>
      </c>
      <c r="AD729" s="561">
        <v>2.3149999999999999</v>
      </c>
      <c r="AF729" s="954">
        <v>44198</v>
      </c>
      <c r="AG729" s="955">
        <v>0.34899999999999998</v>
      </c>
    </row>
    <row r="730" spans="29:33">
      <c r="AC730" s="955" t="s">
        <v>1464</v>
      </c>
      <c r="AD730" s="561">
        <v>2.23</v>
      </c>
      <c r="AF730" s="955" t="s">
        <v>1462</v>
      </c>
      <c r="AG730" s="955">
        <v>0.32300000000000001</v>
      </c>
    </row>
    <row r="731" spans="29:33">
      <c r="AC731" s="955" t="s">
        <v>1465</v>
      </c>
      <c r="AD731" s="561">
        <v>2.2309999999999999</v>
      </c>
      <c r="AF731" s="955" t="s">
        <v>1463</v>
      </c>
      <c r="AG731" s="955">
        <v>0.32900000000000001</v>
      </c>
    </row>
    <row r="732" spans="29:33">
      <c r="AC732" s="955" t="s">
        <v>1466</v>
      </c>
      <c r="AD732" s="561">
        <v>2.2069999999999999</v>
      </c>
      <c r="AF732" s="955" t="s">
        <v>1464</v>
      </c>
      <c r="AG732" s="955">
        <v>0.32200000000000001</v>
      </c>
    </row>
    <row r="733" spans="29:33">
      <c r="AC733" s="955" t="s">
        <v>1467</v>
      </c>
      <c r="AD733" s="561">
        <v>2.1880000000000002</v>
      </c>
      <c r="AF733" s="955" t="s">
        <v>1465</v>
      </c>
      <c r="AG733" s="955">
        <v>0.32900000000000001</v>
      </c>
    </row>
    <row r="734" spans="29:33">
      <c r="AC734" s="955" t="s">
        <v>1468</v>
      </c>
      <c r="AD734" s="561">
        <v>2.1880000000000002</v>
      </c>
      <c r="AF734" s="955" t="s">
        <v>1466</v>
      </c>
      <c r="AG734" s="955">
        <v>0.33500000000000002</v>
      </c>
    </row>
    <row r="735" spans="29:33">
      <c r="AC735" s="955" t="s">
        <v>1469</v>
      </c>
      <c r="AD735" s="561">
        <v>2.2120000000000002</v>
      </c>
      <c r="AF735" s="955" t="s">
        <v>1467</v>
      </c>
      <c r="AG735" s="955">
        <v>0.34899999999999998</v>
      </c>
    </row>
    <row r="736" spans="29:33">
      <c r="AC736" s="955" t="s">
        <v>1470</v>
      </c>
      <c r="AD736" s="561">
        <v>2.06</v>
      </c>
      <c r="AF736" s="955" t="s">
        <v>1468</v>
      </c>
      <c r="AG736" s="955">
        <v>0.35</v>
      </c>
    </row>
    <row r="737" spans="29:33">
      <c r="AC737" s="955" t="s">
        <v>1471</v>
      </c>
      <c r="AD737" s="561">
        <v>2.1970000000000001</v>
      </c>
      <c r="AF737" s="955" t="s">
        <v>1469</v>
      </c>
      <c r="AG737" s="955">
        <v>0.33700000000000002</v>
      </c>
    </row>
    <row r="738" spans="29:33">
      <c r="AC738" s="955" t="s">
        <v>1472</v>
      </c>
      <c r="AD738" s="561">
        <v>2.2069999999999999</v>
      </c>
      <c r="AF738" s="955" t="s">
        <v>1470</v>
      </c>
      <c r="AG738" s="955">
        <v>0.33800000000000002</v>
      </c>
    </row>
    <row r="739" spans="29:33">
      <c r="AC739" s="955" t="s">
        <v>1473</v>
      </c>
      <c r="AD739" s="561">
        <v>2.3220000000000001</v>
      </c>
      <c r="AF739" s="955" t="s">
        <v>1471</v>
      </c>
      <c r="AG739" s="955">
        <v>0.34100000000000003</v>
      </c>
    </row>
    <row r="740" spans="29:33">
      <c r="AC740" s="955" t="s">
        <v>1474</v>
      </c>
      <c r="AD740" s="561">
        <v>2.331</v>
      </c>
      <c r="AF740" s="955" t="s">
        <v>1472</v>
      </c>
      <c r="AG740" s="955">
        <v>0.35</v>
      </c>
    </row>
    <row r="741" spans="29:33">
      <c r="AC741" s="954">
        <v>44531</v>
      </c>
      <c r="AD741" s="561">
        <v>2.3839999999999999</v>
      </c>
      <c r="AF741" s="955" t="s">
        <v>1473</v>
      </c>
      <c r="AG741" s="955">
        <v>0.374</v>
      </c>
    </row>
    <row r="742" spans="29:33">
      <c r="AC742" s="954">
        <v>44501</v>
      </c>
      <c r="AD742" s="561">
        <v>2.4020000000000001</v>
      </c>
      <c r="AF742" s="955" t="s">
        <v>1474</v>
      </c>
      <c r="AG742" s="955">
        <v>0.40400000000000003</v>
      </c>
    </row>
    <row r="743" spans="29:33">
      <c r="AC743" s="954">
        <v>44409</v>
      </c>
      <c r="AD743" s="561">
        <v>2.4359999999999999</v>
      </c>
      <c r="AF743" s="954">
        <v>44531</v>
      </c>
      <c r="AG743" s="955">
        <v>0.40699999999999997</v>
      </c>
    </row>
    <row r="744" spans="29:33">
      <c r="AC744" s="954">
        <v>44378</v>
      </c>
      <c r="AD744" s="561">
        <v>2.4220000000000002</v>
      </c>
      <c r="AF744" s="954">
        <v>44501</v>
      </c>
      <c r="AG744" s="955">
        <v>0.39500000000000002</v>
      </c>
    </row>
    <row r="745" spans="29:33">
      <c r="AC745" s="954">
        <v>44348</v>
      </c>
      <c r="AD745" s="561">
        <v>2.427</v>
      </c>
      <c r="AF745" s="954">
        <v>44409</v>
      </c>
      <c r="AG745" s="955">
        <v>0.36799999999999999</v>
      </c>
    </row>
    <row r="746" spans="29:33">
      <c r="AC746" s="954">
        <v>44317</v>
      </c>
      <c r="AD746" s="561">
        <v>2.415</v>
      </c>
      <c r="AF746" s="954">
        <v>44378</v>
      </c>
      <c r="AG746" s="955">
        <v>0.36499999999999999</v>
      </c>
    </row>
    <row r="747" spans="29:33">
      <c r="AC747" s="954">
        <v>44287</v>
      </c>
      <c r="AD747" s="561">
        <v>2.4319999999999999</v>
      </c>
      <c r="AF747" s="954">
        <v>44348</v>
      </c>
      <c r="AG747" s="955">
        <v>0.35</v>
      </c>
    </row>
    <row r="748" spans="29:33">
      <c r="AC748" s="955" t="s">
        <v>1475</v>
      </c>
      <c r="AD748" s="561">
        <v>2.4510000000000001</v>
      </c>
      <c r="AF748" s="954">
        <v>44317</v>
      </c>
      <c r="AG748" s="955">
        <v>0.34</v>
      </c>
    </row>
    <row r="749" spans="29:33">
      <c r="AC749" s="955" t="s">
        <v>1476</v>
      </c>
      <c r="AD749" s="561">
        <v>2.419</v>
      </c>
      <c r="AF749" s="954">
        <v>44287</v>
      </c>
      <c r="AG749" s="955">
        <v>0.30399999999999999</v>
      </c>
    </row>
    <row r="750" spans="29:33">
      <c r="AC750" s="955" t="s">
        <v>1477</v>
      </c>
      <c r="AD750" s="561">
        <v>2.31</v>
      </c>
      <c r="AF750" s="955" t="s">
        <v>1475</v>
      </c>
      <c r="AG750" s="955">
        <v>0.30399999999999999</v>
      </c>
    </row>
    <row r="751" spans="29:33">
      <c r="AC751" s="955" t="s">
        <v>1478</v>
      </c>
      <c r="AD751" s="561">
        <v>2.3220000000000001</v>
      </c>
      <c r="AF751" s="955" t="s">
        <v>1476</v>
      </c>
      <c r="AG751" s="955">
        <v>0.29499999999999998</v>
      </c>
    </row>
    <row r="752" spans="29:33">
      <c r="AC752" s="955" t="s">
        <v>1479</v>
      </c>
      <c r="AD752" s="561">
        <v>2.3069999999999999</v>
      </c>
      <c r="AF752" s="955" t="s">
        <v>1477</v>
      </c>
      <c r="AG752" s="955">
        <v>0.29499999999999998</v>
      </c>
    </row>
    <row r="753" spans="29:33">
      <c r="AC753" s="955" t="s">
        <v>1480</v>
      </c>
      <c r="AD753" s="561">
        <v>2.2839999999999998</v>
      </c>
      <c r="AF753" s="955" t="s">
        <v>1478</v>
      </c>
      <c r="AG753" s="955">
        <v>0.29699999999999999</v>
      </c>
    </row>
    <row r="754" spans="29:33">
      <c r="AC754" s="955" t="s">
        <v>1481</v>
      </c>
      <c r="AD754" s="561">
        <v>2.302</v>
      </c>
      <c r="AF754" s="955" t="s">
        <v>1479</v>
      </c>
      <c r="AG754" s="955">
        <v>0.28699999999999998</v>
      </c>
    </row>
    <row r="755" spans="29:33">
      <c r="AC755" s="955" t="s">
        <v>1482</v>
      </c>
      <c r="AD755" s="561">
        <v>2.2930000000000001</v>
      </c>
      <c r="AF755" s="955" t="s">
        <v>1480</v>
      </c>
      <c r="AG755" s="955">
        <v>0.28699999999999998</v>
      </c>
    </row>
    <row r="756" spans="29:33">
      <c r="AC756" s="955" t="s">
        <v>1483</v>
      </c>
      <c r="AD756" s="561">
        <v>2.3370000000000002</v>
      </c>
      <c r="AF756" s="955" t="s">
        <v>1481</v>
      </c>
      <c r="AG756" s="955">
        <v>0.28699999999999998</v>
      </c>
    </row>
    <row r="757" spans="29:33">
      <c r="AC757" s="955" t="s">
        <v>1484</v>
      </c>
      <c r="AD757" s="561">
        <v>2.33</v>
      </c>
      <c r="AF757" s="955" t="s">
        <v>1482</v>
      </c>
      <c r="AG757" s="955">
        <v>0.28799999999999998</v>
      </c>
    </row>
    <row r="758" spans="29:33">
      <c r="AC758" s="955" t="s">
        <v>1485</v>
      </c>
      <c r="AD758" s="561">
        <v>2.3149999999999999</v>
      </c>
      <c r="AF758" s="955" t="s">
        <v>1483</v>
      </c>
      <c r="AG758" s="955">
        <v>0.28799999999999998</v>
      </c>
    </row>
    <row r="759" spans="29:33">
      <c r="AC759" s="955" t="s">
        <v>1486</v>
      </c>
      <c r="AD759" s="561">
        <v>2.3220000000000001</v>
      </c>
      <c r="AF759" s="955" t="s">
        <v>1484</v>
      </c>
      <c r="AG759" s="955">
        <v>0.28899999999999998</v>
      </c>
    </row>
    <row r="760" spans="29:33">
      <c r="AC760" s="955" t="s">
        <v>1487</v>
      </c>
      <c r="AD760" s="561">
        <v>2.2959999999999998</v>
      </c>
      <c r="AF760" s="955" t="s">
        <v>1485</v>
      </c>
      <c r="AG760" s="955">
        <v>0.28899999999999998</v>
      </c>
    </row>
    <row r="761" spans="29:33">
      <c r="AC761" s="955" t="s">
        <v>1488</v>
      </c>
      <c r="AD761" s="561">
        <v>2.3460000000000001</v>
      </c>
      <c r="AF761" s="955" t="s">
        <v>1486</v>
      </c>
      <c r="AG761" s="955">
        <v>0.28899999999999998</v>
      </c>
    </row>
    <row r="762" spans="29:33">
      <c r="AC762" s="954">
        <v>44147</v>
      </c>
      <c r="AD762" s="561">
        <v>2.371</v>
      </c>
      <c r="AF762" s="955" t="s">
        <v>1487</v>
      </c>
      <c r="AG762" s="955">
        <v>0.28999999999999998</v>
      </c>
    </row>
    <row r="763" spans="29:33">
      <c r="AC763" s="954">
        <v>44116</v>
      </c>
      <c r="AD763" s="561">
        <v>2.339</v>
      </c>
      <c r="AF763" s="955" t="s">
        <v>1488</v>
      </c>
      <c r="AG763" s="955">
        <v>0.28899999999999998</v>
      </c>
    </row>
    <row r="764" spans="29:33">
      <c r="AC764" s="954">
        <v>44086</v>
      </c>
      <c r="AD764" s="561">
        <v>2.3919999999999999</v>
      </c>
      <c r="AF764" s="954">
        <v>44147</v>
      </c>
      <c r="AG764" s="955">
        <v>0.28999999999999998</v>
      </c>
    </row>
    <row r="765" spans="29:33">
      <c r="AC765" s="954">
        <v>44055</v>
      </c>
      <c r="AD765" s="561">
        <v>2.3849999999999998</v>
      </c>
      <c r="AF765" s="954">
        <v>44116</v>
      </c>
      <c r="AG765" s="955">
        <v>0.29099999999999998</v>
      </c>
    </row>
    <row r="766" spans="29:33">
      <c r="AC766" s="954">
        <v>44024</v>
      </c>
      <c r="AD766" s="561">
        <v>2.3610000000000002</v>
      </c>
      <c r="AF766" s="954">
        <v>44086</v>
      </c>
      <c r="AG766" s="955">
        <v>0.29099999999999998</v>
      </c>
    </row>
    <row r="767" spans="29:33">
      <c r="AC767" s="954">
        <v>43933</v>
      </c>
      <c r="AD767" s="561">
        <v>2.379</v>
      </c>
      <c r="AF767" s="954">
        <v>44055</v>
      </c>
      <c r="AG767" s="955">
        <v>0.29199999999999998</v>
      </c>
    </row>
    <row r="768" spans="29:33">
      <c r="AC768" s="954">
        <v>43902</v>
      </c>
      <c r="AD768" s="561">
        <v>2.3940000000000001</v>
      </c>
      <c r="AF768" s="954">
        <v>44024</v>
      </c>
      <c r="AG768" s="955">
        <v>0.29199999999999998</v>
      </c>
    </row>
    <row r="769" spans="29:33">
      <c r="AC769" s="954">
        <v>43873</v>
      </c>
      <c r="AD769" s="561">
        <v>2.42</v>
      </c>
      <c r="AF769" s="954">
        <v>43933</v>
      </c>
      <c r="AG769" s="955">
        <v>0.29199999999999998</v>
      </c>
    </row>
    <row r="770" spans="29:33">
      <c r="AC770" s="954">
        <v>43842</v>
      </c>
      <c r="AD770" s="561">
        <v>2.42</v>
      </c>
      <c r="AF770" s="954">
        <v>43902</v>
      </c>
      <c r="AG770" s="955">
        <v>0.29299999999999998</v>
      </c>
    </row>
    <row r="771" spans="29:33">
      <c r="AC771" s="955" t="s">
        <v>1489</v>
      </c>
      <c r="AD771" s="561">
        <v>2.4209999999999998</v>
      </c>
      <c r="AF771" s="954">
        <v>43873</v>
      </c>
      <c r="AG771" s="955">
        <v>0.29299999999999998</v>
      </c>
    </row>
    <row r="772" spans="29:33">
      <c r="AC772" s="955" t="s">
        <v>1490</v>
      </c>
      <c r="AD772" s="561">
        <v>2.4340000000000002</v>
      </c>
      <c r="AF772" s="954">
        <v>43842</v>
      </c>
      <c r="AG772" s="955">
        <v>0.29299999999999998</v>
      </c>
    </row>
    <row r="773" spans="29:33">
      <c r="AC773" s="955" t="s">
        <v>1491</v>
      </c>
      <c r="AD773" s="561">
        <v>2.38</v>
      </c>
      <c r="AF773" s="955" t="s">
        <v>1489</v>
      </c>
      <c r="AG773" s="955">
        <v>0.29399999999999998</v>
      </c>
    </row>
    <row r="774" spans="29:33">
      <c r="AC774" s="955" t="s">
        <v>1492</v>
      </c>
      <c r="AD774" s="561">
        <v>2.4929999999999999</v>
      </c>
      <c r="AF774" s="955" t="s">
        <v>1490</v>
      </c>
      <c r="AG774" s="955">
        <v>0.29399999999999998</v>
      </c>
    </row>
    <row r="775" spans="29:33">
      <c r="AC775" s="955" t="s">
        <v>1493</v>
      </c>
      <c r="AD775" s="561">
        <v>2.5139999999999998</v>
      </c>
      <c r="AF775" s="955" t="s">
        <v>1491</v>
      </c>
      <c r="AG775" s="955">
        <v>0.29399999999999998</v>
      </c>
    </row>
    <row r="776" spans="29:33">
      <c r="AC776" s="955" t="s">
        <v>1494</v>
      </c>
      <c r="AD776" s="561">
        <v>2.5299999999999998</v>
      </c>
      <c r="AF776" s="955" t="s">
        <v>1492</v>
      </c>
      <c r="AG776" s="955">
        <v>0.29499999999999998</v>
      </c>
    </row>
    <row r="777" spans="29:33">
      <c r="AC777" s="955" t="s">
        <v>1495</v>
      </c>
      <c r="AD777" s="561">
        <v>2.536</v>
      </c>
      <c r="AF777" s="955" t="s">
        <v>1493</v>
      </c>
      <c r="AG777" s="955">
        <v>0.29499999999999998</v>
      </c>
    </row>
    <row r="778" spans="29:33">
      <c r="AC778" s="955" t="s">
        <v>1496</v>
      </c>
      <c r="AD778" s="561">
        <v>2.5419999999999998</v>
      </c>
      <c r="AF778" s="955" t="s">
        <v>1494</v>
      </c>
      <c r="AG778" s="955">
        <v>0.29599999999999999</v>
      </c>
    </row>
    <row r="779" spans="29:33">
      <c r="AC779" s="955" t="s">
        <v>1497</v>
      </c>
      <c r="AD779" s="561">
        <v>2.5379999999999998</v>
      </c>
      <c r="AF779" s="955" t="s">
        <v>1495</v>
      </c>
      <c r="AG779" s="955">
        <v>0.29599999999999999</v>
      </c>
    </row>
    <row r="780" spans="29:33">
      <c r="AC780" s="955" t="s">
        <v>1498</v>
      </c>
      <c r="AD780" s="561">
        <v>2.5680000000000001</v>
      </c>
      <c r="AF780" s="955" t="s">
        <v>1496</v>
      </c>
      <c r="AG780" s="955">
        <v>0.29599999999999999</v>
      </c>
    </row>
    <row r="781" spans="29:33">
      <c r="AC781" s="955" t="s">
        <v>1499</v>
      </c>
      <c r="AD781" s="561">
        <v>2.5640000000000001</v>
      </c>
      <c r="AF781" s="955" t="s">
        <v>1497</v>
      </c>
      <c r="AG781" s="955">
        <v>0.29699999999999999</v>
      </c>
    </row>
    <row r="782" spans="29:33">
      <c r="AC782" s="955" t="s">
        <v>1500</v>
      </c>
      <c r="AD782" s="561">
        <v>2.5760000000000001</v>
      </c>
      <c r="AF782" s="955" t="s">
        <v>1498</v>
      </c>
      <c r="AG782" s="955">
        <v>0.30299999999999999</v>
      </c>
    </row>
    <row r="783" spans="29:33">
      <c r="AC783" s="954">
        <v>44176</v>
      </c>
      <c r="AD783" s="561">
        <v>2.57</v>
      </c>
      <c r="AF783" s="955" t="s">
        <v>1499</v>
      </c>
      <c r="AG783" s="955">
        <v>0.308</v>
      </c>
    </row>
    <row r="784" spans="29:33">
      <c r="AC784" s="954">
        <v>44146</v>
      </c>
      <c r="AD784" s="561">
        <v>2.5539999999999998</v>
      </c>
      <c r="AF784" s="955" t="s">
        <v>1500</v>
      </c>
      <c r="AG784" s="955">
        <v>0.309</v>
      </c>
    </row>
    <row r="785" spans="29:33">
      <c r="AC785" s="954">
        <v>44115</v>
      </c>
      <c r="AD785" s="561">
        <v>2.577</v>
      </c>
      <c r="AF785" s="954">
        <v>44176</v>
      </c>
      <c r="AG785" s="955">
        <v>0.309</v>
      </c>
    </row>
    <row r="786" spans="29:33">
      <c r="AC786" s="954">
        <v>44085</v>
      </c>
      <c r="AD786" s="561">
        <v>2.589</v>
      </c>
      <c r="AF786" s="954">
        <v>44146</v>
      </c>
      <c r="AG786" s="955">
        <v>0.31</v>
      </c>
    </row>
    <row r="787" spans="29:33">
      <c r="AF787" s="954">
        <v>44115</v>
      </c>
      <c r="AG787" s="955">
        <v>0.31</v>
      </c>
    </row>
    <row r="788" spans="29:33">
      <c r="AF788" s="954">
        <v>44085</v>
      </c>
      <c r="AG788" s="955">
        <v>0.311</v>
      </c>
    </row>
  </sheetData>
  <mergeCells count="2">
    <mergeCell ref="C4:F4"/>
    <mergeCell ref="A62:F62"/>
  </mergeCells>
  <hyperlinks>
    <hyperlink ref="I81" r:id="rId1" xr:uid="{0C314085-05C4-4CED-AF37-A3AD27A552CF}"/>
    <hyperlink ref="F14" location="'DCF'!A39" display="=DCF!A39" xr:uid="{996F7AD4-F5D4-4C60-AE8E-C224F49B871B}"/>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F534B-5FBE-44C7-BFAD-9DAFD68C9E62}">
  <sheetPr>
    <tabColor theme="5" tint="0.39997558519241921"/>
  </sheetPr>
  <dimension ref="A1:BS262"/>
  <sheetViews>
    <sheetView topLeftCell="B1" zoomScale="98" zoomScaleNormal="100" workbookViewId="0">
      <selection activeCell="T37" sqref="T37"/>
    </sheetView>
  </sheetViews>
  <sheetFormatPr defaultColWidth="8.85546875" defaultRowHeight="15"/>
  <cols>
    <col min="1" max="1" width="29.42578125" style="1322" customWidth="1"/>
    <col min="2" max="2" width="8.85546875" style="60" customWidth="1"/>
    <col min="3" max="8" width="8.85546875" style="60"/>
    <col min="9" max="12" width="8.5703125" style="60" customWidth="1"/>
    <col min="13" max="13" width="8.5703125" style="1356" customWidth="1"/>
    <col min="14" max="14" width="8.5703125" style="1322" customWidth="1"/>
    <col min="15" max="19" width="8.5703125" style="60" customWidth="1"/>
    <col min="20" max="20" width="8.85546875" style="60"/>
    <col min="21" max="21" width="11.42578125" style="60" customWidth="1"/>
    <col min="22" max="24" width="8.85546875" style="60"/>
    <col min="25" max="25" width="8.85546875" style="1322"/>
    <col min="26" max="30" width="8.85546875" style="60"/>
    <col min="31" max="31" width="18.5703125" style="60" customWidth="1"/>
    <col min="32" max="33" width="9.42578125" style="60" bestFit="1" customWidth="1"/>
    <col min="34" max="36" width="10.42578125" style="60" bestFit="1" customWidth="1"/>
    <col min="37" max="16384" width="8.85546875" style="60"/>
  </cols>
  <sheetData>
    <row r="1" spans="1:48" s="381" customFormat="1">
      <c r="A1" s="1223" t="s">
        <v>1501</v>
      </c>
      <c r="B1" s="1343"/>
      <c r="C1" s="381" t="str">
        <f>'A. FS'!C1</f>
        <v>2012A</v>
      </c>
      <c r="D1" s="381" t="str">
        <f>'A. FS'!D1</f>
        <v>2013A</v>
      </c>
      <c r="E1" s="381" t="str">
        <f>'A. FS'!E1</f>
        <v>2014A</v>
      </c>
      <c r="F1" s="381" t="str">
        <f>'A. FS'!F1</f>
        <v>2015A</v>
      </c>
      <c r="G1" s="381" t="str">
        <f>'A. FS'!G1</f>
        <v>2016A</v>
      </c>
      <c r="H1" s="381" t="str">
        <f>'A. FS'!H1</f>
        <v>2017A</v>
      </c>
      <c r="I1" s="381" t="str">
        <f>'A. FS'!I1</f>
        <v>2018A</v>
      </c>
      <c r="J1" s="381" t="s">
        <v>110</v>
      </c>
      <c r="K1" s="381" t="s">
        <v>111</v>
      </c>
      <c r="L1" s="381" t="s">
        <v>112</v>
      </c>
      <c r="M1" s="1226" t="s">
        <v>113</v>
      </c>
      <c r="N1" s="381" t="s">
        <v>114</v>
      </c>
      <c r="O1" s="381" t="s">
        <v>287</v>
      </c>
      <c r="P1" s="381" t="s">
        <v>288</v>
      </c>
      <c r="Q1" s="381" t="s">
        <v>413</v>
      </c>
      <c r="R1" s="381" t="s">
        <v>414</v>
      </c>
      <c r="S1" s="381" t="s">
        <v>415</v>
      </c>
      <c r="X1" s="381" t="s">
        <v>109</v>
      </c>
      <c r="Y1" s="381" t="s">
        <v>110</v>
      </c>
      <c r="Z1" s="381" t="s">
        <v>111</v>
      </c>
      <c r="AA1" s="381" t="s">
        <v>112</v>
      </c>
      <c r="AB1" s="381" t="s">
        <v>113</v>
      </c>
      <c r="AD1" s="1226"/>
      <c r="AH1" s="1226"/>
      <c r="AN1" s="1226"/>
    </row>
    <row r="2" spans="1:48" s="1" customFormat="1">
      <c r="A2" s="1622" t="s">
        <v>1502</v>
      </c>
      <c r="M2" s="1259"/>
      <c r="N2" s="1322"/>
      <c r="U2" s="1622" t="s">
        <v>1503</v>
      </c>
      <c r="Y2" s="1322"/>
    </row>
    <row r="3" spans="1:48" s="1" customFormat="1">
      <c r="A3" s="1622"/>
      <c r="B3" s="1322"/>
      <c r="M3" s="1259"/>
      <c r="N3" s="1322"/>
      <c r="U3" s="1622"/>
      <c r="Y3" s="1322"/>
    </row>
    <row r="4" spans="1:48" s="1266" customFormat="1">
      <c r="A4" s="44" t="s">
        <v>1504</v>
      </c>
      <c r="I4" s="1344"/>
      <c r="J4" s="1344"/>
      <c r="K4" s="1344"/>
      <c r="L4" s="1344"/>
      <c r="M4" s="1345"/>
      <c r="N4" s="1346"/>
      <c r="S4" s="25"/>
      <c r="T4" s="25"/>
      <c r="U4" s="44" t="s">
        <v>1504</v>
      </c>
      <c r="X4" s="1344"/>
      <c r="Y4" s="1344"/>
      <c r="Z4" s="1344"/>
      <c r="AA4" s="1344"/>
      <c r="AB4" s="1344"/>
      <c r="AE4" s="1"/>
      <c r="AF4" s="1"/>
      <c r="AG4" s="1"/>
      <c r="AH4" s="1"/>
      <c r="AI4" s="1"/>
      <c r="AJ4" s="1"/>
      <c r="AK4" s="1"/>
      <c r="AL4" s="1"/>
      <c r="AM4" s="1"/>
      <c r="AN4" s="1"/>
      <c r="AO4" s="1"/>
      <c r="AP4" s="1"/>
      <c r="AQ4" s="1"/>
      <c r="AR4" s="1"/>
      <c r="AS4" s="1"/>
      <c r="AT4" s="1"/>
      <c r="AU4" s="1"/>
      <c r="AV4" s="1"/>
    </row>
    <row r="5" spans="1:48" s="1" customFormat="1">
      <c r="A5" s="1322" t="s">
        <v>473</v>
      </c>
      <c r="C5" s="18"/>
      <c r="D5" s="18">
        <f>'A. FS'!D7/'A. FS'!C7-1</f>
        <v>0.42884682707206889</v>
      </c>
      <c r="E5" s="18">
        <f>'A. FS'!E7/'A. FS'!D7-1</f>
        <v>0.59507256676327702</v>
      </c>
      <c r="F5" s="18">
        <f>'A. FS'!F7/'A. FS'!E7-1</f>
        <v>-0.1380498426052037</v>
      </c>
      <c r="G5" s="18">
        <f>'A. FS'!G7/'A. FS'!F7-1</f>
        <v>-9.5942944920031081E-2</v>
      </c>
      <c r="H5" s="18">
        <f>'A. FS'!H7/'A. FS'!G7-1</f>
        <v>5.4920883672309184E-3</v>
      </c>
      <c r="I5" s="18">
        <f>'A. FS'!I7/'A. FS'!H7-1</f>
        <v>0.55390160852502368</v>
      </c>
      <c r="J5" s="18">
        <f>'A. FS'!J7/'A. FS'!I7-1</f>
        <v>0.42960059512004545</v>
      </c>
      <c r="K5" s="18">
        <f>'A. FS'!K7/'A. FS'!J7-1</f>
        <v>0.4768539715255864</v>
      </c>
      <c r="L5" s="18">
        <f>'A. FS'!L7/'A. FS'!K7-1</f>
        <v>0.66906652378755238</v>
      </c>
      <c r="M5" s="141">
        <f>'A. FS'!M7/'A. FS'!L7-1</f>
        <v>5.282852912703917E-2</v>
      </c>
      <c r="N5" s="18">
        <f>'A. FS'!N7/'A. FS'!M7-1</f>
        <v>-8.7071052447706743E-2</v>
      </c>
      <c r="O5" s="18">
        <f>'A. FS'!O7/'A. FS'!N7-1</f>
        <v>0.14123588653053054</v>
      </c>
      <c r="P5" s="18">
        <f>'A. FS'!P7/'A. FS'!O7-1</f>
        <v>0.13270979306104191</v>
      </c>
      <c r="Q5" s="18">
        <f>'A. FS'!Q7/'A. FS'!P7-1</f>
        <v>0.11095408859718159</v>
      </c>
      <c r="R5" s="18">
        <f>'A. FS'!R7/'A. FS'!Q7-1</f>
        <v>0.1100360851737503</v>
      </c>
      <c r="S5" s="18">
        <f>'A. FS'!S7/'A. FS'!R7-1</f>
        <v>0.10923652235523673</v>
      </c>
      <c r="T5" s="18"/>
      <c r="U5" s="1322" t="s">
        <v>473</v>
      </c>
      <c r="X5" s="18">
        <v>3.631773173806585E-2</v>
      </c>
      <c r="Y5" s="18">
        <v>-9.7682095223429299E-2</v>
      </c>
      <c r="Z5" s="18">
        <v>0.34418381326810477</v>
      </c>
      <c r="AA5" s="18">
        <v>0.30810319417807586</v>
      </c>
      <c r="AB5" s="18">
        <v>-3.1204826158440779E-3</v>
      </c>
      <c r="AD5" s="3"/>
      <c r="AO5" s="3"/>
      <c r="AP5" s="3"/>
      <c r="AQ5" s="3"/>
      <c r="AR5" s="3"/>
      <c r="AS5" s="3"/>
    </row>
    <row r="6" spans="1:48" s="1" customFormat="1">
      <c r="A6" s="1322" t="s">
        <v>1505</v>
      </c>
      <c r="J6" s="18">
        <f>'B. Sales &amp; COGS'!J20</f>
        <v>0.65435244161358774</v>
      </c>
      <c r="K6" s="18">
        <f>'B. Sales &amp; COGS'!K20</f>
        <v>0.6386036960985626</v>
      </c>
      <c r="L6" s="18">
        <f>'B. Sales &amp; COGS'!L20</f>
        <v>0.54401629072681712</v>
      </c>
      <c r="M6" s="141">
        <f>'B. Sales &amp; COGS'!M20</f>
        <v>9.4140334520564029E-2</v>
      </c>
      <c r="N6" s="18">
        <f>'B. Sales &amp; COGS'!N20</f>
        <v>-0.16924374830937872</v>
      </c>
      <c r="O6" s="18">
        <f>'B. Sales &amp; COGS'!O20</f>
        <v>0.13827671841122302</v>
      </c>
      <c r="P6" s="18">
        <f>'B. Sales &amp; COGS'!P20</f>
        <v>0.13359731065306368</v>
      </c>
      <c r="Q6" s="18">
        <f>'B. Sales &amp; COGS'!Q20</f>
        <v>8.6059335558686056E-2</v>
      </c>
      <c r="R6" s="18">
        <f>'B. Sales &amp; COGS'!R20</f>
        <v>8.4798431957884945E-2</v>
      </c>
      <c r="S6" s="18">
        <f>'B. Sales &amp; COGS'!S20</f>
        <v>8.3710914145437521E-2</v>
      </c>
      <c r="T6" s="18"/>
      <c r="U6" s="1322" t="s">
        <v>1505</v>
      </c>
      <c r="X6" s="18"/>
      <c r="Y6" s="18"/>
      <c r="Z6" s="18"/>
      <c r="AA6" s="18"/>
      <c r="AB6" s="18"/>
      <c r="AD6" s="3"/>
      <c r="AO6" s="3"/>
      <c r="AP6" s="3"/>
      <c r="AQ6" s="3"/>
      <c r="AR6" s="3"/>
      <c r="AS6" s="3"/>
    </row>
    <row r="7" spans="1:48" s="1" customFormat="1">
      <c r="A7" s="1322" t="s">
        <v>1506</v>
      </c>
      <c r="C7" s="18"/>
      <c r="D7" s="18"/>
      <c r="E7" s="18"/>
      <c r="F7" s="18"/>
      <c r="G7" s="18"/>
      <c r="H7" s="18"/>
      <c r="I7" s="18"/>
      <c r="J7" s="18">
        <f>'B. Sales &amp; COGS'!J24</f>
        <v>0.23813488759367196</v>
      </c>
      <c r="K7" s="18">
        <f>'B. Sales &amp; COGS'!K24</f>
        <v>0.46267652992602559</v>
      </c>
      <c r="L7" s="18">
        <f>'B. Sales &amp; COGS'!L24</f>
        <v>0.81586206896551716</v>
      </c>
      <c r="M7" s="141">
        <f>'B. Sales &amp; COGS'!M24</f>
        <v>-0.11039372072414233</v>
      </c>
      <c r="N7" s="18">
        <f>'B. Sales &amp; COGS'!N24</f>
        <v>-5.6537217672024354E-2</v>
      </c>
      <c r="O7" s="18">
        <f>'B. Sales &amp; COGS'!O24</f>
        <v>0.10602527063421707</v>
      </c>
      <c r="P7" s="18">
        <f>'B. Sales &amp; COGS'!P24</f>
        <v>6.2386431235648132E-2</v>
      </c>
      <c r="Q7" s="18">
        <f>'B. Sales &amp; COGS'!Q24</f>
        <v>6.2022732509571687E-2</v>
      </c>
      <c r="R7" s="18">
        <f>'B. Sales &amp; COGS'!R24</f>
        <v>6.1578700725606339E-2</v>
      </c>
      <c r="S7" s="18">
        <f>'B. Sales &amp; COGS'!S24</f>
        <v>6.1066580423569938E-2</v>
      </c>
      <c r="T7" s="18"/>
      <c r="U7" s="1322" t="s">
        <v>1506</v>
      </c>
      <c r="X7" s="18"/>
      <c r="Y7" s="18"/>
      <c r="Z7" s="18"/>
      <c r="AA7" s="18"/>
      <c r="AB7" s="18"/>
      <c r="AD7" s="3"/>
      <c r="AO7" s="3"/>
      <c r="AP7" s="3"/>
      <c r="AQ7" s="3"/>
      <c r="AR7" s="3"/>
      <c r="AS7" s="3"/>
    </row>
    <row r="8" spans="1:48" s="1" customFormat="1">
      <c r="A8" s="1322" t="s">
        <v>1507</v>
      </c>
      <c r="C8" s="18"/>
      <c r="D8" s="18"/>
      <c r="E8" s="18"/>
      <c r="F8" s="18"/>
      <c r="G8" s="18"/>
      <c r="H8" s="18"/>
      <c r="I8" s="18"/>
      <c r="J8" s="18">
        <f>'B. Sales &amp; COGS'!J25</f>
        <v>0.23042304230423039</v>
      </c>
      <c r="K8" s="18">
        <f>'B. Sales &amp; COGS'!K25</f>
        <v>0.12362838332114112</v>
      </c>
      <c r="L8" s="18">
        <f>'B. Sales &amp; COGS'!L25</f>
        <v>0.703125</v>
      </c>
      <c r="M8" s="141">
        <f>'B. Sales &amp; COGS'!M25</f>
        <v>0.26911314984709489</v>
      </c>
      <c r="N8" s="18">
        <f>'B. Sales &amp; COGS'!N25</f>
        <v>-5.1999999999999935E-2</v>
      </c>
      <c r="O8" s="18">
        <f>'B. Sales &amp; COGS'!O25</f>
        <v>0.13881856540084381</v>
      </c>
      <c r="P8" s="18">
        <f>'B. Sales &amp; COGS'!P25</f>
        <v>0.19215913301222654</v>
      </c>
      <c r="Q8" s="18">
        <f>'B. Sales &amp; COGS'!Q25</f>
        <v>0.18505023742834092</v>
      </c>
      <c r="R8" s="18">
        <f>'B. Sales &amp; COGS'!R25</f>
        <v>0.17951641701494858</v>
      </c>
      <c r="S8" s="18">
        <f>'B. Sales &amp; COGS'!S25</f>
        <v>0.17629947123769196</v>
      </c>
      <c r="T8" s="18"/>
      <c r="U8" s="1322" t="s">
        <v>1507</v>
      </c>
      <c r="X8" s="18"/>
      <c r="Y8" s="18"/>
      <c r="Z8" s="18"/>
      <c r="AA8" s="18"/>
      <c r="AB8" s="18"/>
      <c r="AD8" s="3"/>
      <c r="AO8" s="3"/>
      <c r="AP8" s="3"/>
      <c r="AQ8" s="3"/>
      <c r="AR8" s="3"/>
      <c r="AS8" s="3"/>
    </row>
    <row r="9" spans="1:48" s="1" customFormat="1">
      <c r="A9" s="1322" t="s">
        <v>491</v>
      </c>
      <c r="C9" s="18"/>
      <c r="D9" s="18"/>
      <c r="E9" s="18"/>
      <c r="F9" s="18"/>
      <c r="G9" s="18"/>
      <c r="H9" s="18"/>
      <c r="I9" s="18"/>
      <c r="J9" s="18" t="str">
        <f>'B. Sales &amp; COGS'!J26</f>
        <v>n/a</v>
      </c>
      <c r="K9" s="18" t="str">
        <f>'B. Sales &amp; COGS'!K26</f>
        <v>n/a</v>
      </c>
      <c r="L9" s="18" t="str">
        <f>'B. Sales &amp; COGS'!L26</f>
        <v>n/a</v>
      </c>
      <c r="M9" s="141">
        <f>'B. Sales &amp; COGS'!M26</f>
        <v>1.493273542600897</v>
      </c>
      <c r="N9" s="18">
        <f>'B. Sales &amp; COGS'!N26</f>
        <v>0.2883561151079137</v>
      </c>
      <c r="O9" s="18">
        <f>'B. Sales &amp; COGS'!O26</f>
        <v>0.27607932701032767</v>
      </c>
      <c r="P9" s="18">
        <f>'B. Sales &amp; COGS'!P26</f>
        <v>0.2417096675946584</v>
      </c>
      <c r="Q9" s="18">
        <f>'B. Sales &amp; COGS'!Q26</f>
        <v>0.21253207946659503</v>
      </c>
      <c r="R9" s="18">
        <f>'B. Sales &amp; COGS'!R26</f>
        <v>0.1870681307617621</v>
      </c>
      <c r="S9" s="18">
        <f>'B. Sales &amp; COGS'!S26</f>
        <v>0.16448412150571845</v>
      </c>
      <c r="T9" s="18"/>
      <c r="U9" s="1322" t="s">
        <v>491</v>
      </c>
      <c r="X9" s="18"/>
      <c r="Y9" s="18"/>
      <c r="Z9" s="18"/>
      <c r="AA9" s="18"/>
      <c r="AB9" s="18"/>
      <c r="AD9" s="3"/>
      <c r="AO9" s="3"/>
      <c r="AP9" s="3"/>
      <c r="AQ9" s="3"/>
      <c r="AR9" s="3"/>
      <c r="AS9" s="3"/>
    </row>
    <row r="10" spans="1:48" s="1" customFormat="1">
      <c r="A10" s="1322" t="s">
        <v>481</v>
      </c>
      <c r="C10" s="18"/>
      <c r="D10" s="18">
        <f>'A. FS'!D13/'A. FS'!C13-1</f>
        <v>3.4516374084819335E-2</v>
      </c>
      <c r="E10" s="18">
        <f>'A. FS'!E13/'A. FS'!D13-1</f>
        <v>0.83412314559955436</v>
      </c>
      <c r="F10" s="18">
        <f>'A. FS'!F13/'A. FS'!E13-1</f>
        <v>-7.9617859202972263E-2</v>
      </c>
      <c r="G10" s="18">
        <f>'A. FS'!G13/'A. FS'!F13-1</f>
        <v>-8.9632303833277582E-2</v>
      </c>
      <c r="H10" s="18">
        <f>'A. FS'!H13/'A. FS'!G13-1</f>
        <v>0.14117147855903434</v>
      </c>
      <c r="I10" s="18">
        <f>'A. FS'!I13/'A. FS'!H13-1</f>
        <v>0.34269637674840481</v>
      </c>
      <c r="J10" s="18">
        <f>'A. FS'!J13/'A. FS'!I13-1</f>
        <v>0.48581485114568568</v>
      </c>
      <c r="K10" s="18">
        <f>'A. FS'!K13/'A. FS'!J13-1</f>
        <v>0.46459333267724201</v>
      </c>
      <c r="L10" s="18">
        <f>'A. FS'!L13/'A. FS'!K13-1</f>
        <v>0.87845962362655627</v>
      </c>
      <c r="M10" s="141">
        <f>'A. FS'!M13/'A. FS'!L13-1</f>
        <v>0.10285333206690805</v>
      </c>
      <c r="N10" s="18">
        <f>'A. FS'!N13/'A. FS'!M13-1</f>
        <v>-0.13364809015167345</v>
      </c>
      <c r="O10" s="18">
        <f>'A. FS'!O13/'A. FS'!N13-1</f>
        <v>0.11197927059367374</v>
      </c>
      <c r="P10" s="18">
        <f>'A. FS'!P13/'A. FS'!O13-1</f>
        <v>0.1333870064578957</v>
      </c>
      <c r="Q10" s="18">
        <f>'A. FS'!Q13/'A. FS'!P13-1</f>
        <v>0.11611506918614811</v>
      </c>
      <c r="R10" s="18">
        <f>'A. FS'!R13/'A. FS'!Q13-1</f>
        <v>0.12592163113421573</v>
      </c>
      <c r="S10" s="18">
        <f>'A. FS'!S13/'A. FS'!R13-1</f>
        <v>0.12445559867710143</v>
      </c>
      <c r="T10" s="18"/>
      <c r="U10" s="1322" t="s">
        <v>481</v>
      </c>
      <c r="X10" s="18">
        <v>-0.11427520765101251</v>
      </c>
      <c r="Y10" s="18">
        <v>-7.7451147446905302E-2</v>
      </c>
      <c r="Z10" s="18">
        <v>9.4521889927073666E-2</v>
      </c>
      <c r="AA10" s="18">
        <v>0.4040957662597402</v>
      </c>
      <c r="AB10" s="18">
        <v>2.9710869101948312E-2</v>
      </c>
      <c r="AD10" s="3"/>
      <c r="AO10" s="3"/>
      <c r="AP10" s="3"/>
      <c r="AQ10" s="3"/>
      <c r="AR10" s="3"/>
      <c r="AS10" s="3"/>
    </row>
    <row r="11" spans="1:48" s="1" customFormat="1">
      <c r="A11" s="1322" t="s">
        <v>122</v>
      </c>
      <c r="C11" s="18"/>
      <c r="D11" s="18">
        <f>'A. FS'!D32/'A. FS'!C32-1</f>
        <v>6.6453559812045704E-2</v>
      </c>
      <c r="E11" s="18">
        <f>'A. FS'!E32/'A. FS'!D32-1</f>
        <v>0.94552499282578584</v>
      </c>
      <c r="F11" s="18">
        <f>'A. FS'!F32/'A. FS'!E32-1</f>
        <v>-0.14606955488473783</v>
      </c>
      <c r="G11" s="18">
        <f>'A. FS'!G32/'A. FS'!F32-1</f>
        <v>-0.42687295192167229</v>
      </c>
      <c r="H11" s="18">
        <f>'A. FS'!H32/'A. FS'!G32-1</f>
        <v>5.0294633654818677E-2</v>
      </c>
      <c r="I11" s="18">
        <f>'A. FS'!I32/'A. FS'!H32-1</f>
        <v>0.53732181213320551</v>
      </c>
      <c r="J11" s="18">
        <f>'A. FS'!J32/'A. FS'!I32-1</f>
        <v>0.39206207192618692</v>
      </c>
      <c r="K11" s="18">
        <f>'A. FS'!K32/'A. FS'!J32-1</f>
        <v>0.39571751786013443</v>
      </c>
      <c r="L11" s="18">
        <f>'A. FS'!L32/'A. FS'!K32-1</f>
        <v>1.4661205702846285</v>
      </c>
      <c r="M11" s="141">
        <f>'A. FS'!M32/'A. FS'!L32-1</f>
        <v>0.17345361116621216</v>
      </c>
      <c r="N11" s="18">
        <f>'A. FS'!N32/'A. FS'!M32-1</f>
        <v>-0.40154654530878542</v>
      </c>
      <c r="O11" s="18">
        <f>'A. FS'!O32/'A. FS'!N32-1</f>
        <v>0.17885491733466341</v>
      </c>
      <c r="P11" s="18">
        <f>'A. FS'!P32/'A. FS'!O32-1</f>
        <v>0.1766331853198122</v>
      </c>
      <c r="Q11" s="18">
        <f>'A. FS'!Q32/'A. FS'!P32-1</f>
        <v>0.19625257052553802</v>
      </c>
      <c r="R11" s="18">
        <f>'A. FS'!R32/'A. FS'!Q32-1</f>
        <v>0.19176852578512271</v>
      </c>
      <c r="S11" s="18">
        <f>'A. FS'!S32/'A. FS'!R32-1</f>
        <v>0.18749355725988859</v>
      </c>
      <c r="T11" s="18"/>
      <c r="U11" s="1322" t="s">
        <v>122</v>
      </c>
      <c r="X11" s="18">
        <v>-0.10855006326865968</v>
      </c>
      <c r="Y11" s="18">
        <v>-0.37804642834855584</v>
      </c>
      <c r="Z11" s="18">
        <v>0.72384356959804275</v>
      </c>
      <c r="AA11" s="18">
        <v>0.63244047129511638</v>
      </c>
      <c r="AB11" s="18">
        <v>0.26430289806068785</v>
      </c>
      <c r="AD11" s="3"/>
      <c r="AO11" s="3"/>
      <c r="AP11" s="3"/>
      <c r="AQ11" s="3"/>
      <c r="AR11" s="3"/>
      <c r="AS11" s="3"/>
    </row>
    <row r="12" spans="1:48" s="1" customFormat="1">
      <c r="A12" s="1322" t="s">
        <v>1508</v>
      </c>
      <c r="C12" s="18"/>
      <c r="D12" s="18">
        <f>'A. FS'!D72/'A. FS'!C72-1</f>
        <v>-0.19295072111294664</v>
      </c>
      <c r="E12" s="18">
        <f>'A. FS'!E72/'A. FS'!D72-1</f>
        <v>1.4889424747493396</v>
      </c>
      <c r="F12" s="18">
        <f>'A. FS'!F72/'A. FS'!E72-1</f>
        <v>-0.19047194824211866</v>
      </c>
      <c r="G12" s="18">
        <f>'A. FS'!G72/'A. FS'!F72-1</f>
        <v>-0.35573520061466368</v>
      </c>
      <c r="H12" s="18">
        <f>'A. FS'!H72/'A. FS'!G72-1</f>
        <v>0.17600110501594934</v>
      </c>
      <c r="I12" s="18">
        <f>'A. FS'!I72/'A. FS'!H72-1</f>
        <v>0.39613007298365277</v>
      </c>
      <c r="J12" s="18">
        <f>'A. FS'!J72/'A. FS'!I72-1</f>
        <v>0.48930732367884788</v>
      </c>
      <c r="K12" s="18">
        <f>'A. FS'!K72/'A. FS'!J72-1</f>
        <v>0.63822261298589078</v>
      </c>
      <c r="L12" s="18">
        <f>'A. FS'!L72/'A. FS'!K72-1</f>
        <v>1.4500198022522479</v>
      </c>
      <c r="M12" s="141">
        <f>'A. FS'!M72/'A. FS'!L72-1</f>
        <v>4.4020615558738152E-2</v>
      </c>
      <c r="N12" s="18">
        <f>'A. FS'!N72/'A. FS'!M72-1</f>
        <v>-0.41729862070728441</v>
      </c>
      <c r="O12" s="18">
        <f>'A. FS'!O72/'A. FS'!N72-1</f>
        <v>0.28411910990470601</v>
      </c>
      <c r="P12" s="18">
        <f>'A. FS'!P72/'A. FS'!O72-1</f>
        <v>0.16173070936758815</v>
      </c>
      <c r="Q12" s="18">
        <f>'A. FS'!Q72/'A. FS'!P72-1</f>
        <v>0.1678251904383925</v>
      </c>
      <c r="R12" s="18">
        <f>'A. FS'!R72/'A. FS'!Q72-1</f>
        <v>0.20411179285567793</v>
      </c>
      <c r="S12" s="18">
        <f>'A. FS'!S72/'A. FS'!R72-1</f>
        <v>0.19781726352757523</v>
      </c>
      <c r="T12" s="18"/>
      <c r="U12" s="1322" t="s">
        <v>1508</v>
      </c>
      <c r="X12" s="18">
        <v>-9.6487546720445905E-2</v>
      </c>
      <c r="Y12" s="18">
        <v>-2.0207211551652282E-2</v>
      </c>
      <c r="Z12" s="18">
        <v>0.10092843855219091</v>
      </c>
      <c r="AA12" s="18">
        <v>1.2220610650091168</v>
      </c>
      <c r="AB12" s="18">
        <v>-0.46246979284785683</v>
      </c>
      <c r="AD12" s="3"/>
      <c r="AO12" s="3"/>
      <c r="AP12" s="3"/>
      <c r="AQ12" s="3"/>
      <c r="AR12" s="3"/>
      <c r="AS12" s="3"/>
    </row>
    <row r="13" spans="1:48" s="1" customFormat="1">
      <c r="A13" s="1322"/>
      <c r="C13" s="18"/>
      <c r="D13" s="18"/>
      <c r="E13" s="18"/>
      <c r="F13" s="18"/>
      <c r="G13" s="18"/>
      <c r="H13" s="18"/>
      <c r="I13" s="18"/>
      <c r="J13" s="18"/>
      <c r="K13" s="18"/>
      <c r="L13" s="18"/>
      <c r="M13" s="141"/>
      <c r="N13" s="18"/>
      <c r="O13" s="18"/>
      <c r="P13" s="18"/>
      <c r="Q13" s="18"/>
      <c r="R13" s="18"/>
      <c r="S13" s="18"/>
      <c r="T13" s="18"/>
      <c r="U13" s="1322"/>
      <c r="X13" s="18"/>
      <c r="Y13" s="18"/>
      <c r="Z13" s="18"/>
      <c r="AA13" s="18"/>
      <c r="AB13" s="18"/>
      <c r="AD13" s="3"/>
      <c r="AO13" s="3"/>
      <c r="AP13" s="3"/>
      <c r="AQ13" s="3"/>
      <c r="AR13" s="3"/>
      <c r="AS13" s="3"/>
    </row>
    <row r="14" spans="1:48" s="1" customFormat="1">
      <c r="A14" s="1322" t="s">
        <v>478</v>
      </c>
      <c r="C14" s="18"/>
      <c r="D14" s="18">
        <f>'A. FS'!D10/'A. FS'!C10-1</f>
        <v>0.45888189803917823</v>
      </c>
      <c r="E14" s="18">
        <f>'A. FS'!E10/'A. FS'!D10-1</f>
        <v>0.5821611060585401</v>
      </c>
      <c r="F14" s="18">
        <f>'A. FS'!F10/'A. FS'!E10-1</f>
        <v>-0.14170843471699479</v>
      </c>
      <c r="G14" s="18">
        <f>'A. FS'!G10/'A. FS'!F10-1</f>
        <v>-9.6366656354852309E-2</v>
      </c>
      <c r="H14" s="18">
        <f>'A. FS'!H10/'A. FS'!G10-1</f>
        <v>-3.6856395347281135E-3</v>
      </c>
      <c r="I14" s="18">
        <f>'A. FS'!I10/'A. FS'!H10-1</f>
        <v>0.57026526995903115</v>
      </c>
      <c r="J14" s="18">
        <f>'A. FS'!J10/'A. FS'!I10-1</f>
        <v>0.42587644591502039</v>
      </c>
      <c r="K14" s="18">
        <f>'A. FS'!K10/'A. FS'!J10-1</f>
        <v>0.47770037318264347</v>
      </c>
      <c r="L14" s="18">
        <f>'A. FS'!L10/'A. FS'!K10-1</f>
        <v>0.65473948485869049</v>
      </c>
      <c r="M14" s="141">
        <f>'A. FS'!M10/'A. FS'!L10-1</f>
        <v>4.8942986338970984E-2</v>
      </c>
      <c r="N14" s="18">
        <f>'A. FS'!N10/'A. FS'!M10-1</f>
        <v>-8.3267371777677068E-2</v>
      </c>
      <c r="O14" s="18">
        <f>'A. FS'!O10/'A. FS'!N10-1</f>
        <v>0.14349380327504879</v>
      </c>
      <c r="P14" s="18">
        <f>'A. FS'!P10/'A. FS'!O10-1</f>
        <v>0.13265896866221083</v>
      </c>
      <c r="Q14" s="18">
        <f>'A. FS'!Q10/'A. FS'!P10-1</f>
        <v>0.11056651159755582</v>
      </c>
      <c r="R14" s="18">
        <f>'A. FS'!R10/'A. FS'!Q10-1</f>
        <v>0.1088371593503914</v>
      </c>
      <c r="S14" s="18">
        <f>'A. FS'!S10/'A. FS'!R10-1</f>
        <v>0.10807019931430584</v>
      </c>
      <c r="T14" s="18"/>
      <c r="U14" s="1322" t="s">
        <v>478</v>
      </c>
      <c r="X14" s="18">
        <v>4.7631220751056524E-2</v>
      </c>
      <c r="Y14" s="18">
        <v>-9.8967081669799506E-2</v>
      </c>
      <c r="Z14" s="18">
        <v>0.36041997411222915</v>
      </c>
      <c r="AA14" s="18">
        <v>0.30308069223292078</v>
      </c>
      <c r="AB14" s="18">
        <v>-4.9714410606125359E-3</v>
      </c>
      <c r="AD14" s="3"/>
      <c r="AO14" s="3"/>
      <c r="AP14" s="3"/>
      <c r="AQ14" s="3"/>
      <c r="AR14" s="3"/>
      <c r="AS14" s="3"/>
    </row>
    <row r="15" spans="1:48" s="1" customFormat="1">
      <c r="A15" s="1322" t="s">
        <v>484</v>
      </c>
      <c r="C15" s="18"/>
      <c r="D15" s="18">
        <f>'A. FS'!D17/'A. FS'!C17-1</f>
        <v>0.119796220954558</v>
      </c>
      <c r="E15" s="18">
        <f>'A. FS'!E17/'A. FS'!D17-1</f>
        <v>1.133464345728457</v>
      </c>
      <c r="F15" s="18">
        <f>'A. FS'!F17/'A. FS'!E17-1</f>
        <v>-4.3323507870644207E-2</v>
      </c>
      <c r="G15" s="18">
        <f>'A. FS'!G17/'A. FS'!F17-1</f>
        <v>0.52785827306603261</v>
      </c>
      <c r="H15" s="18">
        <f>'A. FS'!H17/'A. FS'!G17-1</f>
        <v>0.28120568717187333</v>
      </c>
      <c r="I15" s="18">
        <f>'A. FS'!I17/'A. FS'!H17-1</f>
        <v>6.8308181096107923E-2</v>
      </c>
      <c r="J15" s="18">
        <f>'A. FS'!J17/'A. FS'!I17-1</f>
        <v>0.84609665427509295</v>
      </c>
      <c r="K15" s="18">
        <f>'A. FS'!K17/'A. FS'!J17-1</f>
        <v>0.74949657672170744</v>
      </c>
      <c r="L15" s="18">
        <f>'A. FS'!L17/'A. FS'!K17-1</f>
        <v>0.63052486187845291</v>
      </c>
      <c r="M15" s="141">
        <f>'A. FS'!M17/'A. FS'!L17-1</f>
        <v>1.9765636029930755E-2</v>
      </c>
      <c r="N15" s="18">
        <f>'A. FS'!N17/'A. FS'!M17-1</f>
        <v>8.2076419630512598E-2</v>
      </c>
      <c r="O15" s="18">
        <f>'A. FS'!O17/'A. FS'!N17-1</f>
        <v>9.1319689835750451E-2</v>
      </c>
      <c r="P15" s="18">
        <f>'A. FS'!P17/'A. FS'!O17-1</f>
        <v>0.1260717783808798</v>
      </c>
      <c r="Q15" s="18">
        <f>'A. FS'!Q17/'A. FS'!P17-1</f>
        <v>7.6403359447999142E-2</v>
      </c>
      <c r="R15" s="18">
        <f>'A. FS'!R17/'A. FS'!Q17-1</f>
        <v>9.0387695567344606E-2</v>
      </c>
      <c r="S15" s="18">
        <f>'A. FS'!S17/'A. FS'!R17-1</f>
        <v>8.9684148910235573E-2</v>
      </c>
      <c r="T15" s="18"/>
      <c r="U15" s="1322" t="s">
        <v>484</v>
      </c>
      <c r="X15" s="18">
        <v>-5.8622287438122034E-2</v>
      </c>
      <c r="Y15" s="18">
        <v>-7.1424228289994285E-2</v>
      </c>
      <c r="Z15" s="18">
        <v>3.9483148301688642E-2</v>
      </c>
      <c r="AA15" s="18">
        <v>0.22567757608407724</v>
      </c>
      <c r="AB15" s="18">
        <v>0.18025522783745695</v>
      </c>
      <c r="AD15" s="3"/>
      <c r="AO15" s="3"/>
      <c r="AP15" s="3"/>
      <c r="AQ15" s="3"/>
      <c r="AR15" s="3"/>
      <c r="AS15" s="3"/>
    </row>
    <row r="16" spans="1:48" s="1" customFormat="1">
      <c r="A16" s="1322" t="s">
        <v>1509</v>
      </c>
      <c r="C16" s="18"/>
      <c r="D16" s="18">
        <f>'A. FS'!D29/'A. FS'!C29-1</f>
        <v>-0.1097051931895402</v>
      </c>
      <c r="E16" s="18">
        <f>'A. FS'!E29/'A. FS'!D29-1</f>
        <v>0.21573362826747711</v>
      </c>
      <c r="F16" s="18">
        <f>'A. FS'!F29/'A. FS'!E29-1</f>
        <v>0.16689929441160256</v>
      </c>
      <c r="G16" s="18">
        <f>'A. FS'!G29/'A. FS'!F29-1</f>
        <v>0.18457813875260376</v>
      </c>
      <c r="H16" s="18">
        <f>'A. FS'!H29/'A. FS'!G29-1</f>
        <v>3.5223196382292654E-2</v>
      </c>
      <c r="I16" s="18">
        <f>'A. FS'!I29/'A. FS'!H29-1</f>
        <v>0.63737979444108839</v>
      </c>
      <c r="J16" s="18">
        <f>'A. FS'!J29/'A. FS'!I29-1</f>
        <v>0.10181318275756701</v>
      </c>
      <c r="K16" s="18">
        <f>'A. FS'!K29/'A. FS'!J29-1</f>
        <v>-0.10256349431943523</v>
      </c>
      <c r="L16" s="18">
        <f>'A. FS'!L29/'A. FS'!K29-1</f>
        <v>0.26034400886496045</v>
      </c>
      <c r="M16" s="141">
        <f>'A. FS'!M29/'A. FS'!L29-1</f>
        <v>0.19449407680241659</v>
      </c>
      <c r="N16" s="18">
        <f>'A. FS'!N29/'A. FS'!M29-1</f>
        <v>0.30689867179044983</v>
      </c>
      <c r="O16" s="18">
        <f>'A. FS'!O29/'A. FS'!N29-1</f>
        <v>2.1446977906846465E-2</v>
      </c>
      <c r="P16" s="18">
        <f>'A. FS'!P29/'A. FS'!O29-1</f>
        <v>3.2343102536645629E-2</v>
      </c>
      <c r="Q16" s="18">
        <f>'A. FS'!Q29/'A. FS'!P29-1</f>
        <v>3.3804499111266262E-2</v>
      </c>
      <c r="R16" s="18">
        <f>'A. FS'!R29/'A. FS'!Q29-1</f>
        <v>4.3765274118600983E-2</v>
      </c>
      <c r="S16" s="18">
        <f>'A. FS'!S29/'A. FS'!R29-1</f>
        <v>2.1201877723868723E-2</v>
      </c>
      <c r="T16" s="18"/>
      <c r="U16" s="1322" t="s">
        <v>1509</v>
      </c>
      <c r="X16" s="18">
        <v>-0.17765931409755542</v>
      </c>
      <c r="Y16" s="18">
        <v>0.23948707157603932</v>
      </c>
      <c r="Z16" s="18">
        <v>-0.19701368680539755</v>
      </c>
      <c r="AA16" s="18">
        <v>0.34421985919347797</v>
      </c>
      <c r="AB16" s="18">
        <v>-0.45914032187604681</v>
      </c>
      <c r="AD16" s="3"/>
      <c r="AO16" s="3"/>
      <c r="AP16" s="3"/>
      <c r="AQ16" s="3"/>
      <c r="AR16" s="3"/>
      <c r="AS16" s="3"/>
    </row>
    <row r="17" spans="1:48" s="1" customFormat="1">
      <c r="A17" s="1322"/>
      <c r="C17" s="18"/>
      <c r="D17" s="18"/>
      <c r="E17" s="18"/>
      <c r="F17" s="18"/>
      <c r="G17" s="18"/>
      <c r="H17" s="18"/>
      <c r="I17" s="18"/>
      <c r="J17" s="18"/>
      <c r="K17" s="18"/>
      <c r="L17" s="18"/>
      <c r="M17" s="141"/>
      <c r="N17" s="18"/>
      <c r="O17" s="18"/>
      <c r="P17" s="18"/>
      <c r="Q17" s="18"/>
      <c r="R17" s="18"/>
      <c r="S17" s="18"/>
      <c r="T17" s="18"/>
      <c r="U17" s="1322"/>
      <c r="X17" s="18"/>
      <c r="Y17" s="18"/>
      <c r="Z17" s="18"/>
      <c r="AA17" s="18"/>
      <c r="AB17" s="18"/>
      <c r="AD17" s="3"/>
      <c r="AO17" s="3"/>
      <c r="AP17" s="3"/>
      <c r="AQ17" s="3"/>
      <c r="AR17" s="3"/>
      <c r="AS17" s="3"/>
    </row>
    <row r="18" spans="1:48" s="1" customFormat="1">
      <c r="A18" s="1322" t="s">
        <v>1510</v>
      </c>
      <c r="C18" s="18"/>
      <c r="D18" s="18">
        <f>'A. FS'!D117/'A. FS'!C117-1</f>
        <v>0.14082605254530578</v>
      </c>
      <c r="E18" s="18">
        <f>'A. FS'!E117/'A. FS'!D117-1</f>
        <v>0.32377177442090166</v>
      </c>
      <c r="F18" s="18">
        <f>'A. FS'!F117/'A. FS'!E117-1</f>
        <v>-2.8786688646001646E-2</v>
      </c>
      <c r="G18" s="18">
        <f>'A. FS'!G117/'A. FS'!F117-1</f>
        <v>4.0384857898071669E-2</v>
      </c>
      <c r="H18" s="18">
        <f>'A. FS'!H117/'A. FS'!G117-1</f>
        <v>0.22028357044297109</v>
      </c>
      <c r="I18" s="18">
        <f>'A. FS'!I117/'A. FS'!H117-1</f>
        <v>0.39486032696190754</v>
      </c>
      <c r="J18" s="18">
        <f>'A. FS'!J117/'A. FS'!I117-1</f>
        <v>8.1732621239292813E-2</v>
      </c>
      <c r="K18" s="18">
        <f>'A. FS'!K117/'A. FS'!J117-1</f>
        <v>0.27595704530715004</v>
      </c>
      <c r="L18" s="18">
        <f>'A. FS'!L117/'A. FS'!K117-1</f>
        <v>1.1327344000584554</v>
      </c>
      <c r="M18" s="141">
        <f>'A. FS'!M117/'A. FS'!L117-1</f>
        <v>-2.893912592735326E-2</v>
      </c>
      <c r="N18" s="18">
        <f>'A. FS'!N117/'A. FS'!M117-1</f>
        <v>0.1751090993944926</v>
      </c>
      <c r="O18" s="18">
        <f>'A. FS'!O117/'A. FS'!N117-1</f>
        <v>7.7017318870187701E-2</v>
      </c>
      <c r="P18" s="18">
        <f>'A. FS'!P117/'A. FS'!O117-1</f>
        <v>0.12536189117486374</v>
      </c>
      <c r="Q18" s="18">
        <f>'A. FS'!Q117/'A. FS'!P117-1</f>
        <v>0.10947243287949937</v>
      </c>
      <c r="R18" s="18">
        <f>'A. FS'!R117/'A. FS'!Q117-1</f>
        <v>0.10053987180239266</v>
      </c>
      <c r="S18" s="18">
        <f>'A. FS'!S117/'A. FS'!R117-1</f>
        <v>0.10753383588539833</v>
      </c>
      <c r="T18" s="18"/>
      <c r="U18" s="1322" t="s">
        <v>1510</v>
      </c>
      <c r="X18" s="18">
        <v>-9.877522709377351E-2</v>
      </c>
      <c r="Y18" s="18">
        <v>-0.10726594788065857</v>
      </c>
      <c r="Z18" s="18">
        <v>0.27272066317314003</v>
      </c>
      <c r="AA18" s="18">
        <v>0.34369047630679361</v>
      </c>
      <c r="AB18" s="18">
        <v>6.4328998413164085E-2</v>
      </c>
      <c r="AD18" s="3"/>
      <c r="AO18" s="3"/>
      <c r="AP18" s="3"/>
      <c r="AQ18" s="3"/>
      <c r="AR18" s="3"/>
      <c r="AS18" s="3"/>
    </row>
    <row r="19" spans="1:48" s="1" customFormat="1">
      <c r="A19" s="1322" t="s">
        <v>1511</v>
      </c>
      <c r="C19" s="18"/>
      <c r="D19" s="18">
        <f>'A. FS'!D129/'A. FS'!C129-1</f>
        <v>-0.15663048490213749</v>
      </c>
      <c r="E19" s="18">
        <f>'A. FS'!E129/'A. FS'!D129-1</f>
        <v>0.33876754948421817</v>
      </c>
      <c r="F19" s="18">
        <f>'A. FS'!F129/'A. FS'!E129-1</f>
        <v>0.81785715146744953</v>
      </c>
      <c r="G19" s="18">
        <f>'A. FS'!G129/'A. FS'!F129-1</f>
        <v>3.4564978790616374E-2</v>
      </c>
      <c r="H19" s="18">
        <f>'A. FS'!H129/'A. FS'!G129-1</f>
        <v>9.5073660951059402E-2</v>
      </c>
      <c r="I19" s="18">
        <f>'A. FS'!I129/'A. FS'!H129-1</f>
        <v>0.11175031234106036</v>
      </c>
      <c r="J19" s="18">
        <f>'A. FS'!J129/'A. FS'!I129-1</f>
        <v>0.20661862106730466</v>
      </c>
      <c r="K19" s="18">
        <f>'A. FS'!K129/'A. FS'!J129-1</f>
        <v>0.25273101781648499</v>
      </c>
      <c r="L19" s="18">
        <f>'A. FS'!L129/'A. FS'!K129-1</f>
        <v>0.53746395669148717</v>
      </c>
      <c r="M19" s="141">
        <f>'A. FS'!M129/'A. FS'!L129-1</f>
        <v>0.36041239092826194</v>
      </c>
      <c r="N19" s="18">
        <f>'A. FS'!N129/'A. FS'!M129-1</f>
        <v>0.10365178224457439</v>
      </c>
      <c r="O19" s="18">
        <f>'A. FS'!O129/'A. FS'!N129-1</f>
        <v>0.14912143634564612</v>
      </c>
      <c r="P19" s="18">
        <f>'A. FS'!P129/'A. FS'!O129-1</f>
        <v>0.14111544082485583</v>
      </c>
      <c r="Q19" s="18">
        <f>'A. FS'!Q129/'A. FS'!P129-1</f>
        <v>0.13926566633607873</v>
      </c>
      <c r="R19" s="18">
        <f>'A. FS'!R129/'A. FS'!Q129-1</f>
        <v>0.1378881442623594</v>
      </c>
      <c r="S19" s="18">
        <f>'A. FS'!S129/'A. FS'!R129-1</f>
        <v>0.14476590342182005</v>
      </c>
      <c r="T19" s="18"/>
      <c r="U19" s="1322" t="s">
        <v>1511</v>
      </c>
      <c r="X19" s="18">
        <v>-2.4191061374448486E-2</v>
      </c>
      <c r="Y19" s="18">
        <v>1.2285814341230328E-2</v>
      </c>
      <c r="Z19" s="18">
        <v>1.3929251035032175E-2</v>
      </c>
      <c r="AA19" s="18">
        <v>0.1662864532454893</v>
      </c>
      <c r="AB19" s="18">
        <v>6.3247666020570747E-2</v>
      </c>
      <c r="AD19" s="3"/>
      <c r="AO19" s="3"/>
      <c r="AP19" s="3"/>
      <c r="AQ19" s="3"/>
      <c r="AR19" s="3"/>
      <c r="AS19" s="3"/>
    </row>
    <row r="20" spans="1:48" s="1" customFormat="1">
      <c r="A20" s="1322" t="s">
        <v>1512</v>
      </c>
      <c r="C20" s="18"/>
      <c r="D20" s="18">
        <f>'A. FS'!D119/'A. FS'!C119-1</f>
        <v>0.29919214770301128</v>
      </c>
      <c r="E20" s="18">
        <f>'A. FS'!E119/'A. FS'!D119-1</f>
        <v>0.31869424314950301</v>
      </c>
      <c r="F20" s="18">
        <f>'A. FS'!F119/'A. FS'!E119-1</f>
        <v>-0.3246456234773436</v>
      </c>
      <c r="G20" s="18">
        <f>'A. FS'!G119/'A. FS'!F119-1</f>
        <v>4.5859124375911886E-2</v>
      </c>
      <c r="H20" s="18">
        <f>'A. FS'!H119/'A. FS'!G119-1</f>
        <v>0.33678607336283584</v>
      </c>
      <c r="I20" s="18">
        <f>'A. FS'!I119/'A. FS'!H119-1</f>
        <v>0.61065126715245954</v>
      </c>
      <c r="J20" s="18">
        <f>'A. FS'!J119/'A. FS'!I119-1</f>
        <v>1.602776465611111E-2</v>
      </c>
      <c r="K20" s="18">
        <f>'A. FS'!K119/'A. FS'!J119-1</f>
        <v>0.2904689059636294</v>
      </c>
      <c r="L20" s="18">
        <f>'A. FS'!L119/'A. FS'!K119-1</f>
        <v>1.4937889059892302</v>
      </c>
      <c r="M20" s="141">
        <f>'A. FS'!M119/'A. FS'!L119-1</f>
        <v>-0.17453382920546201</v>
      </c>
      <c r="N20" s="18">
        <f>'A. FS'!N119/'A. FS'!M119-1</f>
        <v>0.2191465035075868</v>
      </c>
      <c r="O20" s="18">
        <f>'A. FS'!O119/'A. FS'!N119-1</f>
        <v>3.6790912087807381E-2</v>
      </c>
      <c r="P20" s="18">
        <f>'A. FS'!P119/'A. FS'!O119-1</f>
        <v>0.11562087317278613</v>
      </c>
      <c r="Q20" s="18">
        <f>'A. FS'!Q119/'A. FS'!P119-1</f>
        <v>9.0629152497677445E-2</v>
      </c>
      <c r="R20" s="18">
        <f>'A. FS'!R119/'A. FS'!Q119-1</f>
        <v>7.5864864140323007E-2</v>
      </c>
      <c r="S20" s="18">
        <f>'A. FS'!S119/'A. FS'!R119-1</f>
        <v>8.1517521046655883E-2</v>
      </c>
      <c r="T20" s="18"/>
      <c r="U20" s="1322" t="s">
        <v>1512</v>
      </c>
      <c r="X20" s="18">
        <v>-0.12972724589356266</v>
      </c>
      <c r="Y20" s="18">
        <v>-0.14911607325772158</v>
      </c>
      <c r="Z20" s="18">
        <v>0.40434515444912167</v>
      </c>
      <c r="AA20" s="18">
        <v>0.41033622973277506</v>
      </c>
      <c r="AB20" s="18">
        <v>6.5727686564179599E-2</v>
      </c>
      <c r="AD20" s="3"/>
      <c r="AO20" s="3"/>
      <c r="AP20" s="3"/>
      <c r="AQ20" s="3"/>
      <c r="AR20" s="3"/>
      <c r="AS20" s="3"/>
    </row>
    <row r="21" spans="1:48" s="1" customFormat="1">
      <c r="A21" s="1322"/>
      <c r="I21" s="18"/>
      <c r="J21" s="18"/>
      <c r="K21" s="18"/>
      <c r="L21" s="18"/>
      <c r="M21" s="141"/>
      <c r="N21" s="1322"/>
      <c r="U21" s="1322"/>
      <c r="X21" s="18"/>
      <c r="Y21" s="18"/>
      <c r="Z21" s="18"/>
      <c r="AA21" s="18"/>
      <c r="AB21" s="18"/>
      <c r="AD21" s="3"/>
      <c r="AO21" s="3"/>
      <c r="AP21" s="3"/>
      <c r="AQ21" s="3"/>
      <c r="AR21" s="3"/>
      <c r="AS21" s="3"/>
    </row>
    <row r="22" spans="1:48" s="1266" customFormat="1">
      <c r="A22" s="44" t="s">
        <v>1513</v>
      </c>
      <c r="M22" s="1347"/>
      <c r="N22" s="1346"/>
      <c r="U22" s="44" t="s">
        <v>1513</v>
      </c>
      <c r="AD22" s="22"/>
      <c r="AE22" s="1"/>
      <c r="AF22" s="1"/>
      <c r="AG22" s="1"/>
      <c r="AH22" s="1"/>
      <c r="AI22" s="1"/>
      <c r="AJ22" s="1"/>
      <c r="AK22" s="1"/>
      <c r="AL22" s="1"/>
      <c r="AM22" s="1"/>
      <c r="AN22" s="1"/>
      <c r="AO22" s="3"/>
      <c r="AP22" s="3"/>
      <c r="AQ22" s="3"/>
      <c r="AR22" s="3"/>
      <c r="AS22" s="3"/>
      <c r="AT22" s="1"/>
      <c r="AU22" s="1"/>
      <c r="AV22" s="1"/>
    </row>
    <row r="23" spans="1:48" s="1" customFormat="1">
      <c r="A23" s="1322" t="s">
        <v>412</v>
      </c>
      <c r="D23" s="1232">
        <f>PRODUCT(D24:D26)</f>
        <v>0.18810459419783088</v>
      </c>
      <c r="E23" s="1232">
        <f>PRODUCT(E24:E26)</f>
        <v>0.43754397187407085</v>
      </c>
      <c r="F23" s="1232">
        <f>PRODUCT(F24:F26)</f>
        <v>0.21959200122881659</v>
      </c>
      <c r="G23" s="1232">
        <f>PRODUCT(G24:G26)</f>
        <v>0.10778754380546461</v>
      </c>
      <c r="H23" s="1232">
        <f>PRODUCT(H24:H26)</f>
        <v>0.11898461238680137</v>
      </c>
      <c r="I23" s="1232">
        <f t="shared" ref="I23:N23" si="0">PRODUCT(I24:I26)</f>
        <v>0.15049777482563118</v>
      </c>
      <c r="J23" s="1232">
        <f t="shared" si="0"/>
        <v>0.19294007015649881</v>
      </c>
      <c r="K23" s="1232">
        <f t="shared" si="0"/>
        <v>0.25659209052977727</v>
      </c>
      <c r="L23" s="1232">
        <f t="shared" si="0"/>
        <v>0.44551721056714222</v>
      </c>
      <c r="M23" s="1348">
        <f t="shared" si="0"/>
        <v>0.32522252191419282</v>
      </c>
      <c r="N23" s="1232">
        <f t="shared" si="0"/>
        <v>0.15630400766204794</v>
      </c>
      <c r="O23" s="1232">
        <f>PRODUCT(O24:O26)</f>
        <v>0.17801485720035995</v>
      </c>
      <c r="P23" s="1232">
        <f>PRODUCT(P24:P26)</f>
        <v>0.18064114037613344</v>
      </c>
      <c r="Q23" s="1232">
        <f>PRODUCT(Q24:Q26)</f>
        <v>0.18502920613990115</v>
      </c>
      <c r="R23" s="1232">
        <f>PRODUCT(R24:R26)</f>
        <v>0.1956869337006949</v>
      </c>
      <c r="S23" s="1232">
        <f>PRODUCT(S24:S26)</f>
        <v>0.20533259972175652</v>
      </c>
      <c r="U23" s="1322" t="s">
        <v>412</v>
      </c>
      <c r="X23" s="1232">
        <v>7.920931519947301E-2</v>
      </c>
      <c r="Y23" s="1232">
        <v>7.809100021206089E-2</v>
      </c>
      <c r="Z23" s="1232">
        <v>8.4859873625697593E-2</v>
      </c>
      <c r="AA23" s="1232">
        <v>0.17289365045339838</v>
      </c>
      <c r="AB23" s="1232">
        <v>8.3664497927976353E-2</v>
      </c>
      <c r="AD23" s="3"/>
      <c r="AO23" s="3"/>
      <c r="AP23" s="3"/>
      <c r="AQ23" s="3"/>
      <c r="AR23" s="3"/>
      <c r="AS23" s="3"/>
    </row>
    <row r="24" spans="1:48" s="1" customFormat="1">
      <c r="A24" s="1322" t="s">
        <v>54</v>
      </c>
      <c r="D24" s="1232">
        <f>D29</f>
        <v>1.68134794387544E-2</v>
      </c>
      <c r="E24" s="1232">
        <f>E29</f>
        <v>2.623566099463304E-2</v>
      </c>
      <c r="F24" s="1232">
        <f>F29</f>
        <v>2.464005992615385E-2</v>
      </c>
      <c r="G24" s="1232">
        <f>G29</f>
        <v>1.7559426339261261E-2</v>
      </c>
      <c r="H24" s="1232">
        <f>H29</f>
        <v>2.0537113138254296E-2</v>
      </c>
      <c r="I24" s="1232">
        <f t="shared" ref="I24:N24" si="1">I29</f>
        <v>1.8451928427952822E-2</v>
      </c>
      <c r="J24" s="1232">
        <f t="shared" si="1"/>
        <v>1.922256624511302E-2</v>
      </c>
      <c r="K24" s="1232">
        <f t="shared" si="1"/>
        <v>2.1322922448340286E-2</v>
      </c>
      <c r="L24" s="1232">
        <f t="shared" si="1"/>
        <v>3.1299880199965158E-2</v>
      </c>
      <c r="M24" s="1348">
        <f t="shared" si="1"/>
        <v>3.1038026885895055E-2</v>
      </c>
      <c r="N24" s="1232">
        <f t="shared" si="1"/>
        <v>1.9810852887759332E-2</v>
      </c>
      <c r="O24" s="1232">
        <f>O29</f>
        <v>2.2291180181882607E-2</v>
      </c>
      <c r="P24" s="1232">
        <f>P29</f>
        <v>2.2862297760626531E-2</v>
      </c>
      <c r="Q24" s="1232">
        <f>Q29</f>
        <v>2.4032646812503614E-2</v>
      </c>
      <c r="R24" s="1232">
        <f>R29</f>
        <v>2.6069416865796259E-2</v>
      </c>
      <c r="S24" s="1232">
        <f>S29</f>
        <v>2.8151252634239655E-2</v>
      </c>
      <c r="U24" s="1322" t="s">
        <v>54</v>
      </c>
      <c r="X24" s="1232">
        <v>1.171499955450068E-2</v>
      </c>
      <c r="Y24" s="1232">
        <v>1.2720873673694405E-2</v>
      </c>
      <c r="Z24" s="1232">
        <v>1.0418792022610621E-2</v>
      </c>
      <c r="AA24" s="1232">
        <v>1.7698291848004623E-2</v>
      </c>
      <c r="AB24" s="1232">
        <v>9.5431457035654553E-3</v>
      </c>
      <c r="AD24" s="3"/>
      <c r="AO24" s="3"/>
      <c r="AP24" s="3"/>
      <c r="AQ24" s="3"/>
      <c r="AR24" s="3"/>
      <c r="AS24" s="3"/>
    </row>
    <row r="25" spans="1:48" s="1" customFormat="1">
      <c r="A25" s="1322" t="s">
        <v>1514</v>
      </c>
      <c r="D25" s="1239">
        <f>'A. FS'!D7/AVERAGE('A. FS'!C135:D135)</f>
        <v>3.3373724960655027</v>
      </c>
      <c r="E25" s="1239">
        <f>'A. FS'!E7/AVERAGE('A. FS'!D135:E135)</f>
        <v>4.2980106346103346</v>
      </c>
      <c r="F25" s="1239">
        <f>'A. FS'!F7/AVERAGE('A. FS'!E135:F135)</f>
        <v>3.2990396304927119</v>
      </c>
      <c r="G25" s="1239">
        <f>'A. FS'!G7/AVERAGE('A. FS'!F135:G135)</f>
        <v>2.966813711569515</v>
      </c>
      <c r="H25" s="1239">
        <f>'A. FS'!H7/AVERAGE('A. FS'!G135:H135)</f>
        <v>2.6349874989376345</v>
      </c>
      <c r="I25" s="1239">
        <f>'A. FS'!I7/AVERAGE('A. FS'!H135:I135)</f>
        <v>3.1107819261167613</v>
      </c>
      <c r="J25" s="1239">
        <f>'A. FS'!J7/AVERAGE('A. FS'!I135:J135)</f>
        <v>3.6678266945027209</v>
      </c>
      <c r="K25" s="1239">
        <f>'A. FS'!K7/AVERAGE('A. FS'!J135:K135)</f>
        <v>4.5802303694082056</v>
      </c>
      <c r="L25" s="1239">
        <f>'A. FS'!L7/AVERAGE('A. FS'!K135:L135)</f>
        <v>4.3527667926176239</v>
      </c>
      <c r="M25" s="1349">
        <f>'A. FS'!M7/AVERAGE('A. FS'!L135:M135)</f>
        <v>3.4151502027731624</v>
      </c>
      <c r="N25" s="1239">
        <f>'A. FS'!N7/AVERAGE('A. FS'!M135:N135)</f>
        <v>2.9095064441491276</v>
      </c>
      <c r="O25" s="1239">
        <f>'A. FS'!O7/AVERAGE('A. FS'!N135:O135)</f>
        <v>2.9590852782975867</v>
      </c>
      <c r="P25" s="1239">
        <f>'A. FS'!P7/AVERAGE('A. FS'!O135:P135)</f>
        <v>3.0413099185964878</v>
      </c>
      <c r="Q25" s="1239">
        <f>'A. FS'!Q7/AVERAGE('A. FS'!P135:Q135)</f>
        <v>3.0249877518914015</v>
      </c>
      <c r="R25" s="1239">
        <f>'A. FS'!R7/AVERAGE('A. FS'!Q135:R135)</f>
        <v>3.0393948732204286</v>
      </c>
      <c r="S25" s="1239">
        <f>'A. FS'!S7/AVERAGE('A. FS'!R135:S135)</f>
        <v>3.0532465817047858</v>
      </c>
      <c r="U25" s="1322" t="s">
        <v>1514</v>
      </c>
      <c r="X25" s="1239">
        <v>1.9134109431901114</v>
      </c>
      <c r="Y25" s="1239">
        <v>1.9209685047215024</v>
      </c>
      <c r="Z25" s="1239">
        <v>2.3987144009606065</v>
      </c>
      <c r="AA25" s="1239">
        <v>2.3871786827503181</v>
      </c>
      <c r="AB25" s="1239">
        <v>2.0085853274533436</v>
      </c>
      <c r="AD25" s="3"/>
      <c r="AO25" s="3"/>
      <c r="AP25" s="3"/>
      <c r="AQ25" s="3"/>
      <c r="AR25" s="3"/>
      <c r="AS25" s="3"/>
    </row>
    <row r="26" spans="1:48" s="1" customFormat="1">
      <c r="A26" s="1322" t="s">
        <v>1515</v>
      </c>
      <c r="D26" s="20">
        <f>AVERAGE('A. FS'!C135:D135)/AVERAGE('A. FS'!C129:D129)</f>
        <v>3.3522555856780341</v>
      </c>
      <c r="E26" s="20">
        <f>AVERAGE('A. FS'!D135:E135)/AVERAGE('A. FS'!D129:E129)</f>
        <v>3.8802723457994155</v>
      </c>
      <c r="F26" s="20">
        <f>AVERAGE('A. FS'!E135:F135)/AVERAGE('A. FS'!E129:F129)</f>
        <v>2.7013896043996231</v>
      </c>
      <c r="G26" s="20">
        <f>AVERAGE('A. FS'!F135:G135)/AVERAGE('A. FS'!F129:G129)</f>
        <v>2.0690356539672727</v>
      </c>
      <c r="H26" s="20">
        <f>AVERAGE('A. FS'!G135:H135)/AVERAGE('A. FS'!G129:H129)</f>
        <v>2.1987347757365856</v>
      </c>
      <c r="I26" s="20">
        <f>AVERAGE('A. FS'!H135:I135)/AVERAGE('A. FS'!H129:I129)</f>
        <v>2.6219158584421116</v>
      </c>
      <c r="J26" s="20">
        <f>AVERAGE('A. FS'!I135:J135)/AVERAGE('A. FS'!I129:J129)</f>
        <v>2.7365428875556201</v>
      </c>
      <c r="K26" s="20">
        <f>AVERAGE('A. FS'!J135:K135)/AVERAGE('A. FS'!J129:K129)</f>
        <v>2.62729727678694</v>
      </c>
      <c r="L26" s="20">
        <f>AVERAGE('A. FS'!K135:L135)/AVERAGE('A. FS'!K129:L129)</f>
        <v>3.2700651914640377</v>
      </c>
      <c r="M26" s="125">
        <f>AVERAGE('A. FS'!L135:M135)/AVERAGE('A. FS'!L129:M129)</f>
        <v>3.0681507823356258</v>
      </c>
      <c r="N26" s="20">
        <f>AVERAGE('A. FS'!M135:N135)/AVERAGE('A. FS'!M129:N129)</f>
        <v>2.7117373140203966</v>
      </c>
      <c r="O26" s="20">
        <f>AVERAGE('A. FS'!N135:O135)/AVERAGE('A. FS'!N129:O129)</f>
        <v>2.6987689607051708</v>
      </c>
      <c r="P26" s="20">
        <f>AVERAGE('A. FS'!O135:P135)/AVERAGE('A. FS'!O129:P129)</f>
        <v>2.5979818412029534</v>
      </c>
      <c r="Q26" s="20">
        <f>AVERAGE('A. FS'!P135:Q135)/AVERAGE('A. FS'!P129:Q129)</f>
        <v>2.5451598342626731</v>
      </c>
      <c r="R26" s="20">
        <f>AVERAGE('A. FS'!Q135:R135)/AVERAGE('A. FS'!Q129:R129)</f>
        <v>2.469695354479466</v>
      </c>
      <c r="S26" s="20">
        <f>AVERAGE('A. FS'!R135:S135)/AVERAGE('A. FS'!R129:S129)</f>
        <v>2.3889018238528075</v>
      </c>
      <c r="U26" s="1322" t="s">
        <v>1515</v>
      </c>
      <c r="X26" s="20">
        <v>3.5336678787886338</v>
      </c>
      <c r="Y26" s="20">
        <v>3.1956838006818056</v>
      </c>
      <c r="Z26" s="20">
        <v>3.3955213800103401</v>
      </c>
      <c r="AA26" s="20">
        <v>4.092255716176183</v>
      </c>
      <c r="AB26" s="20">
        <v>4.3647499500223388</v>
      </c>
      <c r="AD26" s="3"/>
      <c r="AO26" s="3"/>
      <c r="AP26" s="3"/>
      <c r="AQ26" s="3"/>
      <c r="AR26" s="3"/>
      <c r="AS26" s="3"/>
    </row>
    <row r="27" spans="1:48" s="1" customFormat="1">
      <c r="A27" s="1322"/>
      <c r="M27" s="1259"/>
      <c r="N27" s="1322"/>
      <c r="U27" s="1322"/>
      <c r="AD27" s="3"/>
      <c r="AO27" s="3"/>
      <c r="AP27" s="3"/>
      <c r="AQ27" s="3"/>
      <c r="AR27" s="3"/>
      <c r="AS27" s="3"/>
    </row>
    <row r="28" spans="1:48" s="1266" customFormat="1">
      <c r="A28" s="44" t="s">
        <v>1516</v>
      </c>
      <c r="M28" s="1347"/>
      <c r="N28" s="1346"/>
      <c r="U28" s="44" t="s">
        <v>1516</v>
      </c>
      <c r="AD28" s="22"/>
      <c r="AE28" s="1"/>
      <c r="AF28" s="1"/>
      <c r="AG28" s="1"/>
      <c r="AH28" s="1"/>
      <c r="AI28" s="1"/>
      <c r="AJ28" s="1"/>
      <c r="AK28" s="1"/>
      <c r="AL28" s="1"/>
      <c r="AM28" s="1"/>
      <c r="AN28" s="1"/>
      <c r="AO28" s="3"/>
      <c r="AP28" s="3"/>
      <c r="AQ28" s="3"/>
      <c r="AR28" s="3"/>
      <c r="AS28" s="3"/>
      <c r="AT28" s="1"/>
      <c r="AU28" s="1"/>
      <c r="AV28" s="1"/>
    </row>
    <row r="29" spans="1:48" s="1" customFormat="1">
      <c r="A29" s="1322" t="s">
        <v>1517</v>
      </c>
      <c r="D29" s="17">
        <f>'A. FS'!D72/'A. FS'!D7</f>
        <v>1.68134794387544E-2</v>
      </c>
      <c r="E29" s="17">
        <f>'A. FS'!E72/'A. FS'!E7</f>
        <v>2.623566099463304E-2</v>
      </c>
      <c r="F29" s="17">
        <f>'A. FS'!F72/'A. FS'!F7</f>
        <v>2.464005992615385E-2</v>
      </c>
      <c r="G29" s="17">
        <f>'A. FS'!G72/'A. FS'!G7</f>
        <v>1.7559426339261261E-2</v>
      </c>
      <c r="H29" s="17">
        <f>'A. FS'!H72/'A. FS'!H7</f>
        <v>2.0537113138254296E-2</v>
      </c>
      <c r="I29" s="17">
        <f>'A. FS'!I72/'A. FS'!I7</f>
        <v>1.8451928427952822E-2</v>
      </c>
      <c r="J29" s="17">
        <f>'A. FS'!J72/'A. FS'!J7</f>
        <v>1.922256624511302E-2</v>
      </c>
      <c r="K29" s="17">
        <f>'A. FS'!K72/'A. FS'!K7</f>
        <v>2.1322922448340286E-2</v>
      </c>
      <c r="L29" s="17">
        <f>'A. FS'!L72/'A. FS'!L7</f>
        <v>3.1299880199965158E-2</v>
      </c>
      <c r="M29" s="153">
        <f>'A. FS'!M72/'A. FS'!M7</f>
        <v>3.1038026885895055E-2</v>
      </c>
      <c r="N29" s="17">
        <f>'A. FS'!N72/'A. FS'!N7</f>
        <v>1.9810852887759332E-2</v>
      </c>
      <c r="O29" s="17">
        <f>'A. FS'!O72/'A. FS'!O7</f>
        <v>2.2291180181882607E-2</v>
      </c>
      <c r="P29" s="17">
        <f>'A. FS'!P72/'A. FS'!P7</f>
        <v>2.2862297760626531E-2</v>
      </c>
      <c r="Q29" s="17">
        <f>'A. FS'!Q72/'A. FS'!Q7</f>
        <v>2.4032646812503614E-2</v>
      </c>
      <c r="R29" s="17">
        <f>'A. FS'!R72/'A. FS'!R7</f>
        <v>2.6069416865796259E-2</v>
      </c>
      <c r="S29" s="17">
        <f>'A. FS'!S72/'A. FS'!S7</f>
        <v>2.8151252634239655E-2</v>
      </c>
      <c r="U29" s="1322" t="s">
        <v>1517</v>
      </c>
      <c r="X29" s="17">
        <v>1.171499955450068E-2</v>
      </c>
      <c r="Y29" s="17">
        <v>1.2720873673694405E-2</v>
      </c>
      <c r="Z29" s="17">
        <v>1.0418792022610621E-2</v>
      </c>
      <c r="AA29" s="17">
        <v>1.7698291848004623E-2</v>
      </c>
      <c r="AB29" s="17">
        <v>9.5431457035654553E-3</v>
      </c>
      <c r="AD29" s="3"/>
      <c r="AO29" s="3"/>
      <c r="AP29" s="3"/>
      <c r="AQ29" s="3"/>
      <c r="AR29" s="3"/>
      <c r="AS29" s="3"/>
    </row>
    <row r="30" spans="1:48" s="1" customFormat="1">
      <c r="A30" s="1322" t="s">
        <v>55</v>
      </c>
      <c r="D30" s="17">
        <f>'A. FS'!D32/'A. FS'!D7</f>
        <v>3.045985274495858E-2</v>
      </c>
      <c r="E30" s="17">
        <f>'A. FS'!E32/'A. FS'!E7</f>
        <v>3.715216851441519E-2</v>
      </c>
      <c r="F30" s="17">
        <f>'A. FS'!F32/'A. FS'!F7</f>
        <v>3.6806499220790469E-2</v>
      </c>
      <c r="G30" s="17">
        <f>'A. FS'!G32/'A. FS'!G7</f>
        <v>2.3333483357024357E-2</v>
      </c>
      <c r="H30" s="17">
        <f>'A. FS'!H32/'A. FS'!H7</f>
        <v>2.4373172735901349E-2</v>
      </c>
      <c r="I30" s="17">
        <f>'A. FS'!I32/'A. FS'!I7</f>
        <v>2.4113116218058218E-2</v>
      </c>
      <c r="J30" s="17">
        <f>'A. FS'!J32/'A. FS'!J7</f>
        <v>2.3479952818772017E-2</v>
      </c>
      <c r="K30" s="17">
        <f>'A. FS'!K32/'A. FS'!K7</f>
        <v>2.2189994474427821E-2</v>
      </c>
      <c r="L30" s="17">
        <f>'A. FS'!L32/'A. FS'!L7</f>
        <v>3.2786711043552241E-2</v>
      </c>
      <c r="M30" s="153">
        <f>'A. FS'!M32/'A. FS'!M7</f>
        <v>3.6543162925324849E-2</v>
      </c>
      <c r="N30" s="17">
        <f>'A. FS'!N32/'A. FS'!N7</f>
        <v>2.3955185293050279E-2</v>
      </c>
      <c r="O30" s="17">
        <f>'A. FS'!O32/'A. FS'!O7</f>
        <v>2.4744829979213821E-2</v>
      </c>
      <c r="P30" s="17">
        <f>'A. FS'!P32/'A. FS'!P7</f>
        <v>2.5704366905805052E-2</v>
      </c>
      <c r="Q30" s="17">
        <f>'A. FS'!Q32/'A. FS'!Q7</f>
        <v>2.7677934939352878E-2</v>
      </c>
      <c r="R30" s="17">
        <f>'A. FS'!R32/'A. FS'!R7</f>
        <v>2.9715873348645217E-2</v>
      </c>
      <c r="S30" s="17">
        <f>'A. FS'!S32/'A. FS'!S7</f>
        <v>3.1812338882370589E-2</v>
      </c>
      <c r="U30" s="1322" t="s">
        <v>55</v>
      </c>
      <c r="X30" s="17">
        <v>1.9722552632920585E-2</v>
      </c>
      <c r="Y30" s="17">
        <v>1.3594446023063178E-2</v>
      </c>
      <c r="Z30" s="17">
        <v>1.7434147121686082E-2</v>
      </c>
      <c r="AA30" s="17">
        <v>2.1756851806967802E-2</v>
      </c>
      <c r="AB30" s="17">
        <v>2.7593355377996148E-2</v>
      </c>
      <c r="AD30" s="3"/>
      <c r="AO30" s="3"/>
      <c r="AP30" s="3"/>
      <c r="AQ30" s="3"/>
      <c r="AR30" s="3"/>
      <c r="AS30" s="3"/>
    </row>
    <row r="31" spans="1:48" s="1" customFormat="1">
      <c r="A31" s="1322" t="s">
        <v>1518</v>
      </c>
      <c r="D31" s="17">
        <f>'A. FS'!D13/'A. FS'!D7</f>
        <v>5.1243674357680506E-2</v>
      </c>
      <c r="E31" s="17">
        <f>'A. FS'!E13/'A. FS'!E7</f>
        <v>5.8923469165861934E-2</v>
      </c>
      <c r="F31" s="17">
        <f>'A. FS'!F13/'A. FS'!F7</f>
        <v>6.291791727027192E-2</v>
      </c>
      <c r="G31" s="17">
        <f>'A. FS'!G13/'A. FS'!G7</f>
        <v>6.3357106801051721E-2</v>
      </c>
      <c r="H31" s="17">
        <f>'A. FS'!H13/'A. FS'!H7</f>
        <v>7.1906406904489309E-2</v>
      </c>
      <c r="I31" s="17">
        <f>'A. FS'!I13/'A. FS'!I7</f>
        <v>6.2132937816634926E-2</v>
      </c>
      <c r="J31" s="17">
        <f>'A. FS'!J13/'A. FS'!J7</f>
        <v>6.457610752849155E-2</v>
      </c>
      <c r="K31" s="17">
        <f>'A. FS'!K13/'A. FS'!K7</f>
        <v>6.4040005552328791E-2</v>
      </c>
      <c r="L31" s="17">
        <f>'A. FS'!L13/'A. FS'!L7</f>
        <v>7.2074158227010313E-2</v>
      </c>
      <c r="M31" s="153">
        <f>'A. FS'!M13/'A. FS'!M7</f>
        <v>7.5498738263184512E-2</v>
      </c>
      <c r="N31" s="17">
        <f>'A. FS'!N13/'A. FS'!N7</f>
        <v>7.1646842025131621E-2</v>
      </c>
      <c r="O31" s="17">
        <f>'A. FS'!O13/'A. FS'!O7</f>
        <v>6.9810110316150392E-2</v>
      </c>
      <c r="P31" s="17">
        <f>'A. FS'!P13/'A. FS'!P7</f>
        <v>6.9851847698692279E-2</v>
      </c>
      <c r="Q31" s="17">
        <f>'A. FS'!Q13/'A. FS'!Q7</f>
        <v>7.0176347184113502E-2</v>
      </c>
      <c r="R31" s="17">
        <f>'A. FS'!R13/'A. FS'!R7</f>
        <v>7.1180629480356444E-2</v>
      </c>
      <c r="S31" s="17">
        <f>'A. FS'!S13/'A. FS'!S7</f>
        <v>7.2157250255878463E-2</v>
      </c>
      <c r="T31" s="17"/>
      <c r="U31" s="1322" t="s">
        <v>1518</v>
      </c>
      <c r="X31" s="17">
        <v>5.9722549486271245E-2</v>
      </c>
      <c r="Y31" s="17">
        <v>6.1061593933180239E-2</v>
      </c>
      <c r="Z31" s="17">
        <v>4.9720321383139379E-2</v>
      </c>
      <c r="AA31" s="17">
        <v>5.3368949072098909E-2</v>
      </c>
      <c r="AB31" s="17">
        <v>5.512660855575726E-2</v>
      </c>
      <c r="AC31" s="17"/>
      <c r="AD31" s="3"/>
      <c r="AO31" s="3"/>
      <c r="AP31" s="3"/>
      <c r="AQ31" s="3"/>
      <c r="AR31" s="3"/>
      <c r="AS31" s="3"/>
    </row>
    <row r="32" spans="1:48" s="1" customFormat="1">
      <c r="A32" s="1322" t="s">
        <v>1519</v>
      </c>
      <c r="D32" s="17"/>
      <c r="E32" s="17"/>
      <c r="F32" s="17"/>
      <c r="G32" s="17"/>
      <c r="H32" s="17"/>
      <c r="I32" s="17"/>
      <c r="J32" s="17"/>
      <c r="K32" s="17"/>
      <c r="L32" s="17"/>
      <c r="M32" s="153"/>
      <c r="N32" s="1322"/>
      <c r="U32" s="1322" t="s">
        <v>1519</v>
      </c>
      <c r="X32" s="17"/>
      <c r="Y32" s="17"/>
      <c r="Z32" s="17"/>
      <c r="AA32" s="17"/>
      <c r="AB32" s="17"/>
      <c r="AD32" s="3"/>
      <c r="AO32" s="3"/>
      <c r="AP32" s="3"/>
      <c r="AQ32" s="3"/>
      <c r="AR32" s="3"/>
      <c r="AS32" s="3"/>
    </row>
    <row r="33" spans="1:70" s="1" customFormat="1">
      <c r="A33" s="1322" t="s">
        <v>1520</v>
      </c>
      <c r="D33" s="17"/>
      <c r="E33" s="17"/>
      <c r="F33" s="17"/>
      <c r="G33" s="17"/>
      <c r="H33" s="17"/>
      <c r="I33" s="17"/>
      <c r="J33" s="17"/>
      <c r="K33" s="17"/>
      <c r="L33" s="17"/>
      <c r="M33" s="153"/>
      <c r="N33" s="1322"/>
      <c r="U33" s="1322" t="s">
        <v>1520</v>
      </c>
      <c r="X33" s="17"/>
      <c r="Y33" s="17"/>
      <c r="Z33" s="17"/>
      <c r="AA33" s="17"/>
      <c r="AB33" s="17"/>
      <c r="AD33" s="3"/>
      <c r="AO33" s="3"/>
      <c r="AP33" s="3"/>
      <c r="AQ33" s="3"/>
      <c r="AR33" s="3"/>
      <c r="AS33" s="3"/>
    </row>
    <row r="34" spans="1:70" s="1" customFormat="1">
      <c r="A34" s="1322" t="s">
        <v>1521</v>
      </c>
      <c r="D34" s="17"/>
      <c r="E34" s="17"/>
      <c r="F34" s="17"/>
      <c r="G34" s="17"/>
      <c r="H34" s="17"/>
      <c r="I34" s="17"/>
      <c r="J34" s="17"/>
      <c r="K34" s="17"/>
      <c r="L34" s="17"/>
      <c r="M34" s="153"/>
      <c r="N34" s="1322"/>
      <c r="U34" s="1322" t="s">
        <v>1521</v>
      </c>
      <c r="X34" s="17"/>
      <c r="Y34" s="17"/>
      <c r="Z34" s="17"/>
      <c r="AA34" s="17"/>
      <c r="AB34" s="17"/>
      <c r="AD34" s="3"/>
      <c r="AO34" s="3"/>
      <c r="AP34" s="3"/>
      <c r="AQ34" s="3"/>
      <c r="AR34" s="3"/>
      <c r="AS34" s="3"/>
    </row>
    <row r="35" spans="1:70" s="1" customFormat="1">
      <c r="A35" s="1322" t="s">
        <v>1522</v>
      </c>
      <c r="D35" s="17"/>
      <c r="E35" s="17"/>
      <c r="F35" s="17"/>
      <c r="G35" s="17"/>
      <c r="H35" s="17"/>
      <c r="I35" s="17"/>
      <c r="J35" s="17"/>
      <c r="K35" s="17"/>
      <c r="L35" s="17"/>
      <c r="M35" s="153"/>
      <c r="N35" s="1322"/>
      <c r="U35" s="1322" t="s">
        <v>1522</v>
      </c>
      <c r="X35" s="17"/>
      <c r="Y35" s="17"/>
      <c r="Z35" s="17"/>
      <c r="AA35" s="17"/>
      <c r="AB35" s="17"/>
      <c r="AD35" s="3"/>
      <c r="AO35" s="3"/>
      <c r="AP35" s="3"/>
      <c r="AQ35" s="3"/>
      <c r="AR35" s="3"/>
      <c r="AS35" s="3"/>
    </row>
    <row r="36" spans="1:70" s="1" customFormat="1">
      <c r="A36" s="1322"/>
      <c r="D36" s="17"/>
      <c r="E36" s="17"/>
      <c r="F36" s="17"/>
      <c r="G36" s="17"/>
      <c r="H36" s="17"/>
      <c r="I36" s="17"/>
      <c r="J36" s="17"/>
      <c r="K36" s="17"/>
      <c r="L36" s="17"/>
      <c r="M36" s="153"/>
      <c r="N36" s="1322"/>
      <c r="U36" s="1322"/>
      <c r="X36" s="17"/>
      <c r="Y36" s="17"/>
      <c r="Z36" s="17"/>
      <c r="AA36" s="17"/>
      <c r="AB36" s="17"/>
      <c r="AD36" s="3"/>
      <c r="AO36" s="3"/>
      <c r="AP36" s="3"/>
      <c r="AQ36" s="3"/>
      <c r="AR36" s="3"/>
      <c r="AS36" s="3"/>
    </row>
    <row r="37" spans="1:70" s="1" customFormat="1">
      <c r="A37" s="1322" t="s">
        <v>1523</v>
      </c>
      <c r="D37" s="17">
        <f>'A. FS'!D72/AVERAGE('A. FS'!C129:D129)</f>
        <v>0.18810459419783085</v>
      </c>
      <c r="E37" s="17">
        <f>'A. FS'!E72/AVERAGE('A. FS'!D129:E129)</f>
        <v>0.43754397187407085</v>
      </c>
      <c r="F37" s="17">
        <f>'A. FS'!F72/AVERAGE('A. FS'!E129:F129)</f>
        <v>0.21959200122881661</v>
      </c>
      <c r="G37" s="17">
        <f>'A. FS'!G72/AVERAGE('A. FS'!F129:G129)</f>
        <v>0.10778754380546463</v>
      </c>
      <c r="H37" s="17">
        <f>'A. FS'!H72/AVERAGE('A. FS'!G129:H129)</f>
        <v>0.11898461238680139</v>
      </c>
      <c r="I37" s="17">
        <f>'A. FS'!I72/AVERAGE('A. FS'!H129:I129)</f>
        <v>0.15049777482563118</v>
      </c>
      <c r="J37" s="17">
        <f>'A. FS'!J72/AVERAGE('A. FS'!I129:J129)</f>
        <v>0.19294007015649878</v>
      </c>
      <c r="K37" s="17">
        <f>'A. FS'!K72/AVERAGE('A. FS'!J129:K129)</f>
        <v>0.25659209052977727</v>
      </c>
      <c r="L37" s="17">
        <f>'A. FS'!L72/AVERAGE('A. FS'!K129:L129)</f>
        <v>0.44551721056714227</v>
      </c>
      <c r="M37" s="153">
        <f>'A. FS'!M72/AVERAGE('A. FS'!L129:M129)</f>
        <v>0.32522252191419282</v>
      </c>
      <c r="N37" s="17">
        <f>'A. FS'!N72/AVERAGE('A. FS'!M129:N129)</f>
        <v>0.15630400766204791</v>
      </c>
      <c r="O37" s="17">
        <f>'A. FS'!O72/AVERAGE('A. FS'!N129:O129)</f>
        <v>0.17801485720035992</v>
      </c>
      <c r="P37" s="17">
        <f>'A. FS'!P72/AVERAGE('A. FS'!O129:P129)</f>
        <v>0.18064114037613346</v>
      </c>
      <c r="Q37" s="17">
        <f>'A. FS'!Q72/AVERAGE('A. FS'!P129:Q129)</f>
        <v>0.18502920613990112</v>
      </c>
      <c r="R37" s="17">
        <f>'A. FS'!R72/AVERAGE('A. FS'!Q129:R129)</f>
        <v>0.19568693370069493</v>
      </c>
      <c r="S37" s="17">
        <f>'A. FS'!S72/AVERAGE('A. FS'!R129:S129)</f>
        <v>0.20533259972175652</v>
      </c>
      <c r="U37" s="1322" t="s">
        <v>1523</v>
      </c>
      <c r="X37" s="17">
        <v>7.920931519947301E-2</v>
      </c>
      <c r="Y37" s="17">
        <v>7.809100021206089E-2</v>
      </c>
      <c r="Z37" s="17">
        <v>8.4859873625697607E-2</v>
      </c>
      <c r="AA37" s="17">
        <v>0.17289365045339841</v>
      </c>
      <c r="AB37" s="17">
        <v>8.3664497927976339E-2</v>
      </c>
      <c r="AD37" s="3"/>
      <c r="AO37" s="3"/>
      <c r="AP37" s="3"/>
      <c r="AQ37" s="3"/>
      <c r="AR37" s="3"/>
      <c r="AS37" s="3"/>
    </row>
    <row r="38" spans="1:70" s="1" customFormat="1">
      <c r="A38" s="1322" t="s">
        <v>1524</v>
      </c>
      <c r="D38" s="17">
        <f>'A. FS'!D72/AVERAGE('A. FS'!C117:D117)</f>
        <v>5.6100575947158907E-2</v>
      </c>
      <c r="E38" s="17">
        <f>'A. FS'!E72/AVERAGE('A. FS'!D117:E117)</f>
        <v>0.11275885509920305</v>
      </c>
      <c r="F38" s="17">
        <f>'A. FS'!F72/AVERAGE('A. FS'!E117:F117)</f>
        <v>8.1288534194096887E-2</v>
      </c>
      <c r="G38" s="17">
        <f>'A. FS'!G72/AVERAGE('A. FS'!F117:G117)</f>
        <v>5.2095546830615215E-2</v>
      </c>
      <c r="H38" s="17">
        <f>'A. FS'!H72/AVERAGE('A. FS'!G117:H117)</f>
        <v>5.4115036383567933E-2</v>
      </c>
      <c r="I38" s="17">
        <f>'A. FS'!I72/AVERAGE('A. FS'!H117:I117)</f>
        <v>5.7399925455675703E-2</v>
      </c>
      <c r="J38" s="17">
        <f>'A. FS'!J72/AVERAGE('A. FS'!I117:J117)</f>
        <v>7.0505041610672461E-2</v>
      </c>
      <c r="K38" s="17">
        <f>'A. FS'!K72/AVERAGE('A. FS'!J117:K117)</f>
        <v>9.7663896962424127E-2</v>
      </c>
      <c r="L38" s="17">
        <f>'A. FS'!L72/AVERAGE('A. FS'!K117:L117)</f>
        <v>0.1362410791473182</v>
      </c>
      <c r="M38" s="153">
        <f>'A. FS'!M72/AVERAGE('A. FS'!L117:M117)</f>
        <v>0.10599952381304335</v>
      </c>
      <c r="N38" s="17">
        <f>'A. FS'!N72/AVERAGE('A. FS'!M117:N117)</f>
        <v>5.7639804141026138E-2</v>
      </c>
      <c r="O38" s="17">
        <f>'A. FS'!O72/AVERAGE('A. FS'!N117:O117)</f>
        <v>6.5961503112087733E-2</v>
      </c>
      <c r="P38" s="17">
        <f>'A. FS'!P72/AVERAGE('A. FS'!O117:P117)</f>
        <v>6.9531332941299734E-2</v>
      </c>
      <c r="Q38" s="17">
        <f>'A. FS'!Q72/AVERAGE('A. FS'!P117:Q117)</f>
        <v>7.2698462253355342E-2</v>
      </c>
      <c r="R38" s="17">
        <f>'A. FS'!R72/AVERAGE('A. FS'!Q117:R117)</f>
        <v>7.9235251969747317E-2</v>
      </c>
      <c r="S38" s="17">
        <f>'A. FS'!S72/AVERAGE('A. FS'!R117:S117)</f>
        <v>8.5952715876200084E-2</v>
      </c>
      <c r="U38" s="1322" t="s">
        <v>1524</v>
      </c>
      <c r="X38" s="17">
        <v>2.2144556970334482E-2</v>
      </c>
      <c r="Y38" s="17">
        <v>2.4183100600060983E-2</v>
      </c>
      <c r="Z38" s="17">
        <v>2.4836620834024211E-2</v>
      </c>
      <c r="AA38" s="17">
        <v>4.2049535921860663E-2</v>
      </c>
      <c r="AB38" s="17">
        <v>1.9097925066035276E-2</v>
      </c>
      <c r="AD38" s="3"/>
      <c r="AO38" s="3"/>
      <c r="AP38" s="3"/>
      <c r="AQ38" s="3"/>
      <c r="AR38" s="3"/>
      <c r="AS38" s="3"/>
    </row>
    <row r="39" spans="1:70" s="1" customFormat="1">
      <c r="A39" s="1322" t="s">
        <v>1525</v>
      </c>
      <c r="D39" s="17">
        <f>'A. FS'!D32*(1-'A. FS'!D70)/(AVERAGE('A. FS'!D111,'A. FS'!C111)+AVERAGE('A. FS'!D101,'A. FS'!C101)-AVERAGE('A. FS'!D120,'A. FS'!C120)-AVERAGE('A. FS'!D102, 'A. FS'!C102))</f>
        <v>0.31889996352140332</v>
      </c>
      <c r="E39" s="17">
        <f>'A. FS'!E32*(1-'A. FS'!E70)/(AVERAGE('A. FS'!E111,'A. FS'!D111)+AVERAGE('A. FS'!E101,'A. FS'!D101)-AVERAGE('A. FS'!E120,'A. FS'!D120)-AVERAGE('A. FS'!E102, 'A. FS'!D102))</f>
        <v>0.656676777491221</v>
      </c>
      <c r="F39" s="17">
        <f>'A. FS'!F32*(1-'A. FS'!F70)/(AVERAGE('A. FS'!F111,'A. FS'!E111)+AVERAGE('A. FS'!F101,'A. FS'!E101)-AVERAGE('A. FS'!F120,'A. FS'!E120)-AVERAGE('A. FS'!F102, 'A. FS'!E102))</f>
        <v>0.26824925132023436</v>
      </c>
      <c r="G39" s="17">
        <f>'A. FS'!G32*(1-'A. FS'!G70)/(AVERAGE('A. FS'!G111,'A. FS'!F111)+AVERAGE('A. FS'!G101,'A. FS'!F101)-AVERAGE('A. FS'!G120,'A. FS'!F120)-AVERAGE('A. FS'!G102, 'A. FS'!F102))</f>
        <v>0.11704952232673997</v>
      </c>
      <c r="H39" s="17">
        <f>'A. FS'!H32*(1-'A. FS'!H70)/(AVERAGE('A. FS'!H111,'A. FS'!G111)+AVERAGE('A. FS'!H101,'A. FS'!G101)-AVERAGE('A. FS'!H120,'A. FS'!G120)-AVERAGE('A. FS'!H102, 'A. FS'!G102))</f>
        <v>0.11764670189853883</v>
      </c>
      <c r="I39" s="17">
        <f>'A. FS'!I32*(1-'A. FS'!I70)/(AVERAGE('A. FS'!I111,'A. FS'!H111)+AVERAGE('A. FS'!I101,'A. FS'!H101)-AVERAGE('A. FS'!I120,'A. FS'!H120)-AVERAGE('A. FS'!I102, 'A. FS'!H102))</f>
        <v>0.16898489881394835</v>
      </c>
      <c r="J39" s="17">
        <f>'A. FS'!J32*(1-'A. FS'!J70)/(AVERAGE('A. FS'!J111,'A. FS'!I111)+AVERAGE('A. FS'!J101,'A. FS'!I101)-AVERAGE('A. FS'!J120,'A. FS'!I120)-AVERAGE('A. FS'!J102, 'A. FS'!I102))</f>
        <v>0.21446394595305152</v>
      </c>
      <c r="K39" s="17">
        <f>'A. FS'!K32*(1-'A. FS'!K70)/(AVERAGE('A. FS'!K111,'A. FS'!J111)+AVERAGE('A. FS'!K101,'A. FS'!J101)-AVERAGE('A. FS'!K120,'A. FS'!J120)-AVERAGE('A. FS'!K102, 'A. FS'!J102))</f>
        <v>0.47974245348616235</v>
      </c>
      <c r="L39" s="17">
        <f>'A. FS'!L32*(1-'A. FS'!L70)/(AVERAGE('A. FS'!L111,'A. FS'!K111)+AVERAGE('A. FS'!L101,'A. FS'!K101)-AVERAGE('A. FS'!L120,'A. FS'!K120)-AVERAGE('A. FS'!L102, 'A. FS'!K102))</f>
        <v>4.0690598965438207</v>
      </c>
      <c r="M39" s="153">
        <f>'A. FS'!M32*(1-'A. FS'!M70)/(AVERAGE('A. FS'!M111,'A. FS'!L111)+AVERAGE('A. FS'!M101,'A. FS'!L101)-AVERAGE('A. FS'!M120,'A. FS'!L120)-AVERAGE('A. FS'!M102, 'A. FS'!L102))</f>
        <v>1.004451316108772</v>
      </c>
      <c r="N39" s="17">
        <f>'A. FS'!N32*(1-'A. FS'!N70)/(AVERAGE('A. FS'!N111,'A. FS'!M111)+AVERAGE('A. FS'!N101,'A. FS'!M101)-AVERAGE('A. FS'!N120,'A. FS'!M120)-AVERAGE('A. FS'!N102, 'A. FS'!M102))</f>
        <v>0.41142228907615058</v>
      </c>
      <c r="O39" s="17">
        <f>'A. FS'!O32*(1-'A. FS'!O70)/(AVERAGE('A. FS'!O111,'A. FS'!N111)+AVERAGE('A. FS'!O101,'A. FS'!N101)-AVERAGE('A. FS'!O120,'A. FS'!N120)-AVERAGE('A. FS'!O102, 'A. FS'!N102))</f>
        <v>0.69680645070830283</v>
      </c>
      <c r="P39" s="17">
        <f>'A. FS'!P32*(1-'A. FS'!P70)/(AVERAGE('A. FS'!P111,'A. FS'!O111)+AVERAGE('A. FS'!P101,'A. FS'!O101)-AVERAGE('A. FS'!P120,'A. FS'!O120)-AVERAGE('A. FS'!P102, 'A. FS'!O102))</f>
        <v>0.85070200466502388</v>
      </c>
      <c r="Q39" s="17">
        <f>'A. FS'!Q32*(1-'A. FS'!Q70)/(AVERAGE('A. FS'!Q111,'A. FS'!P111)+AVERAGE('A. FS'!Q101,'A. FS'!P101)-AVERAGE('A. FS'!Q120,'A. FS'!P120)-AVERAGE('A. FS'!Q102, 'A. FS'!P102))</f>
        <v>1.1400337962205256</v>
      </c>
      <c r="R39" s="17">
        <f>'A. FS'!R32*(1-'A. FS'!R70)/(AVERAGE('A. FS'!R111,'A. FS'!Q111)+AVERAGE('A. FS'!R101,'A. FS'!Q101)-AVERAGE('A. FS'!R120,'A. FS'!Q120)-AVERAGE('A. FS'!R102, 'A. FS'!Q102))</f>
        <v>1.6237663820243102</v>
      </c>
      <c r="S39" s="17">
        <f>'A. FS'!S32*(1-'A. FS'!S70)/(AVERAGE('A. FS'!S111,'A. FS'!R111)+AVERAGE('A. FS'!S101,'A. FS'!R101)-AVERAGE('A. FS'!S120,'A. FS'!R120)-AVERAGE('A. FS'!S102, 'A. FS'!R102))</f>
        <v>2.6327400941571515</v>
      </c>
      <c r="U39" s="1322" t="s">
        <v>1525</v>
      </c>
      <c r="X39" s="17">
        <v>-0.8112639001912455</v>
      </c>
      <c r="Y39" s="17">
        <v>1.4364538672745899</v>
      </c>
      <c r="Z39" s="17">
        <v>-0.42619037138182692</v>
      </c>
      <c r="AA39" s="17">
        <v>-0.24188205818003908</v>
      </c>
      <c r="AB39" s="17">
        <v>-0.54591708142149309</v>
      </c>
      <c r="AD39" s="3"/>
      <c r="AO39" s="3"/>
      <c r="AP39" s="3"/>
      <c r="AQ39" s="3"/>
      <c r="AR39" s="3"/>
      <c r="AS39" s="3"/>
    </row>
    <row r="40" spans="1:70" s="1" customFormat="1">
      <c r="A40" s="1322" t="s">
        <v>1526</v>
      </c>
      <c r="D40" s="17">
        <f>'A. FS'!D32/(AVERAGE('A. FS'!C117:D117)-AVERAGE('A. FS'!C120:D120))</f>
        <v>0.29986427852923259</v>
      </c>
      <c r="E40" s="17">
        <f>'A. FS'!E32/(AVERAGE('A. FS'!D117:E117)-AVERAGE('A. FS'!D120:E120))</f>
        <v>0.55816565171799959</v>
      </c>
      <c r="F40" s="17">
        <f>'A. FS'!F32/(AVERAGE('A. FS'!E117:F117)-AVERAGE('A. FS'!E120:F120))</f>
        <v>0.30913456581150445</v>
      </c>
      <c r="G40" s="17">
        <f>'A. FS'!G32/(AVERAGE('A. FS'!F117:G117)-AVERAGE('A. FS'!F120:G120))</f>
        <v>0.13965032309881237</v>
      </c>
      <c r="H40" s="17">
        <f>'A. FS'!H32/(AVERAGE('A. FS'!G117:H117)-AVERAGE('A. FS'!G120:H120))</f>
        <v>0.1405005886628333</v>
      </c>
      <c r="I40" s="17">
        <f>'A. FS'!I32/(AVERAGE('A. FS'!H117:I117)-AVERAGE('A. FS'!H120:I120))</f>
        <v>0.19565513003454865</v>
      </c>
      <c r="J40" s="17">
        <f>'A. FS'!J32/(AVERAGE('A. FS'!I117:J117)-AVERAGE('A. FS'!I120:J120))</f>
        <v>0.2343654816511887</v>
      </c>
      <c r="K40" s="17">
        <f>'A. FS'!K32/(AVERAGE('A. FS'!J117:K117)-AVERAGE('A. FS'!J120:K120))</f>
        <v>0.26586803533867037</v>
      </c>
      <c r="L40" s="17">
        <f>'A. FS'!L32/(AVERAGE('A. FS'!K117:L117)-AVERAGE('A. FS'!K120:L120))</f>
        <v>0.46433485692047782</v>
      </c>
      <c r="M40" s="153">
        <f>'A. FS'!M32/(AVERAGE('A. FS'!L117:M117)-AVERAGE('A. FS'!L120:M120))</f>
        <v>0.3775089768009296</v>
      </c>
      <c r="N40" s="17">
        <f>'A. FS'!N32/(AVERAGE('A. FS'!M117:N117)-AVERAGE('A. FS'!M120:N120))</f>
        <v>0.18642006563743693</v>
      </c>
      <c r="O40" s="17">
        <f>'A. FS'!O32/(AVERAGE('A. FS'!N117:O117)-AVERAGE('A. FS'!N120:O120))</f>
        <v>0.19545315174718036</v>
      </c>
      <c r="P40" s="17">
        <f>'A. FS'!P32/(AVERAGE('A. FS'!O117:P117)-AVERAGE('A. FS'!O120:P120))</f>
        <v>0.20005994765232499</v>
      </c>
      <c r="Q40" s="17">
        <f>'A. FS'!Q32/(AVERAGE('A. FS'!P117:Q117)-AVERAGE('A. FS'!P120:Q120))</f>
        <v>0.2095998879337658</v>
      </c>
      <c r="R40" s="17">
        <f>'A. FS'!R32/(AVERAGE('A. FS'!Q117:R117)-AVERAGE('A. FS'!Q120:R120))</f>
        <v>0.21934067325425483</v>
      </c>
      <c r="S40" s="17">
        <f>'A. FS'!S32/(AVERAGE('A. FS'!R117:S117)-AVERAGE('A. FS'!R120:S120))</f>
        <v>0.22823349780509503</v>
      </c>
      <c r="U40" s="1322" t="s">
        <v>1526</v>
      </c>
      <c r="X40" s="17">
        <v>0.10363981618669889</v>
      </c>
      <c r="Y40" s="17">
        <v>6.6764438477558405E-2</v>
      </c>
      <c r="Z40" s="17">
        <v>0.11816167956639217</v>
      </c>
      <c r="AA40" s="17">
        <v>0.18586004738079781</v>
      </c>
      <c r="AB40" s="17">
        <v>0.22234946903160155</v>
      </c>
      <c r="AD40" s="3"/>
      <c r="AO40" s="3"/>
      <c r="AP40" s="3"/>
      <c r="AQ40" s="3"/>
      <c r="AR40" s="3"/>
      <c r="AS40" s="3"/>
    </row>
    <row r="41" spans="1:70" s="1" customFormat="1">
      <c r="A41" s="1322"/>
      <c r="I41" s="17"/>
      <c r="J41" s="17"/>
      <c r="K41" s="17"/>
      <c r="L41" s="17"/>
      <c r="M41" s="153"/>
      <c r="N41" s="1322"/>
      <c r="U41" s="1322"/>
      <c r="X41" s="17"/>
      <c r="Y41" s="17"/>
      <c r="Z41" s="17"/>
      <c r="AA41" s="17"/>
      <c r="AB41" s="17"/>
      <c r="AD41" s="3"/>
      <c r="AO41" s="3"/>
      <c r="AP41" s="3"/>
      <c r="AQ41" s="3"/>
      <c r="AR41" s="3"/>
      <c r="AS41" s="3"/>
    </row>
    <row r="42" spans="1:70" s="1" customFormat="1">
      <c r="A42" s="1322" t="s">
        <v>1527</v>
      </c>
      <c r="D42" s="17">
        <f>-'A. FS'!D17/'A. FS'!D7</f>
        <v>1.030717766487086E-2</v>
      </c>
      <c r="E42" s="17">
        <f>-'A. FS'!E17/'A. FS'!E7</f>
        <v>1.3786204158543583E-2</v>
      </c>
      <c r="F42" s="17">
        <f>-'A. FS'!F17/'A. FS'!F7</f>
        <v>1.5301276206083137E-2</v>
      </c>
      <c r="G42" s="17">
        <f>-'A. FS'!G17/'A. FS'!G7</f>
        <v>2.5859188099433199E-2</v>
      </c>
      <c r="H42" s="17">
        <f>-'A. FS'!H17/'A. FS'!H7</f>
        <v>3.2949974685967678E-2</v>
      </c>
      <c r="I42" s="17">
        <f>-'A. FS'!I17/'A. FS'!I7</f>
        <v>2.2653125095443951E-2</v>
      </c>
      <c r="J42" s="17">
        <f>-'A. FS'!J17/'A. FS'!J7</f>
        <v>2.9252826691823358E-2</v>
      </c>
      <c r="K42" s="17">
        <f>-'A. FS'!K17/'A. FS'!K7</f>
        <v>3.4653202783422044E-2</v>
      </c>
      <c r="L42" s="17">
        <f>-'A. FS'!L17/'A. FS'!L7</f>
        <v>3.3852999791683103E-2</v>
      </c>
      <c r="M42" s="153">
        <f>-'A. FS'!M17/'A. FS'!M7</f>
        <v>3.2789884495921781E-2</v>
      </c>
      <c r="N42" s="17">
        <f>-'A. FS'!N17/'A. FS'!N7</f>
        <v>3.8865194175927591E-2</v>
      </c>
      <c r="O42" s="17">
        <f>-'A. FS'!O17/'A. FS'!O7</f>
        <v>3.7165280336936578E-2</v>
      </c>
      <c r="P42" s="17">
        <f>-'A. FS'!P17/'A. FS'!P7</f>
        <v>3.6947480792887226E-2</v>
      </c>
      <c r="Q42" s="17">
        <f>-'A. FS'!Q17/'A. FS'!Q7</f>
        <v>3.579841224476063E-2</v>
      </c>
      <c r="R42" s="17">
        <f>-'A. FS'!R17/'A. FS'!R7</f>
        <v>3.5164756131711224E-2</v>
      </c>
      <c r="S42" s="17">
        <f>-'A. FS'!S17/'A. FS'!S7</f>
        <v>3.4544911373507875E-2</v>
      </c>
      <c r="U42" s="1322" t="s">
        <v>1528</v>
      </c>
      <c r="X42" s="17">
        <v>4.4419816396234692E-2</v>
      </c>
      <c r="Y42" s="17">
        <v>3.9583837561051001E-2</v>
      </c>
      <c r="Z42" s="17">
        <v>3.6042673902221808E-2</v>
      </c>
      <c r="AA42" s="17">
        <v>2.6432081939139141E-2</v>
      </c>
      <c r="AB42" s="17">
        <v>4.9362133661528564E-2</v>
      </c>
      <c r="AD42" s="3"/>
      <c r="AO42" s="3"/>
      <c r="AP42" s="3"/>
      <c r="AQ42" s="3"/>
      <c r="AR42" s="3"/>
      <c r="AS42" s="3"/>
    </row>
    <row r="43" spans="1:70" s="1" customFormat="1">
      <c r="A43" s="1322" t="s">
        <v>1529</v>
      </c>
      <c r="D43" s="17">
        <f>-'A. FS'!D29/'A. FS'!D7</f>
        <v>1.0476643947851064E-2</v>
      </c>
      <c r="E43" s="17">
        <f>-'A. FS'!E29/'A. FS'!E7</f>
        <v>7.9850964929031581E-3</v>
      </c>
      <c r="F43" s="17">
        <f>-'A. FS'!F29/'A. FS'!F7</f>
        <v>1.081014184339832E-2</v>
      </c>
      <c r="G43" s="17">
        <f>-'A. FS'!G29/'A. FS'!G7</f>
        <v>1.4164435344594162E-2</v>
      </c>
      <c r="H43" s="17">
        <f>-'A. FS'!H29/'A. FS'!H7</f>
        <v>1.458325948262028E-2</v>
      </c>
      <c r="I43" s="17">
        <f>-'A. FS'!I29/'A. FS'!I7</f>
        <v>1.5366696503132757E-2</v>
      </c>
      <c r="J43" s="17">
        <f>-'A. FS'!J29/'A. FS'!J7</f>
        <v>1.1843328017896174E-2</v>
      </c>
      <c r="K43" s="17">
        <f>-'A. FS'!K29/'A. FS'!K7</f>
        <v>7.1968082944789185E-3</v>
      </c>
      <c r="L43" s="17">
        <f>-'A. FS'!L29/'A. FS'!L7</f>
        <v>5.4344473917749573E-3</v>
      </c>
      <c r="M43" s="153">
        <f>-'A. FS'!M29/'A. FS'!M7</f>
        <v>6.1656908419378932E-3</v>
      </c>
      <c r="N43" s="17">
        <f>-'A. FS'!N29/'A. FS'!N7</f>
        <v>8.8264625561537569E-3</v>
      </c>
      <c r="O43" s="17">
        <f>-'A. FS'!O29/'A. FS'!O7</f>
        <v>7.9000000000000008E-3</v>
      </c>
      <c r="P43" s="17">
        <f>-'A. FS'!P29/'A. FS'!P7</f>
        <v>7.1999999999999998E-3</v>
      </c>
      <c r="Q43" s="17">
        <f>-'A. FS'!Q29/'A. FS'!Q7</f>
        <v>6.7000000000000002E-3</v>
      </c>
      <c r="R43" s="17">
        <f>-'A. FS'!R29/'A. FS'!R7</f>
        <v>6.3E-3</v>
      </c>
      <c r="S43" s="17">
        <f>-'A. FS'!S29/'A. FS'!S7</f>
        <v>5.7999999999999996E-3</v>
      </c>
      <c r="U43" s="1322" t="s">
        <v>1527</v>
      </c>
      <c r="X43" s="17">
        <v>2.1707224915086837E-2</v>
      </c>
      <c r="Y43" s="17">
        <v>2.233891516560407E-2</v>
      </c>
      <c r="Z43" s="17">
        <v>1.7275111957738565E-2</v>
      </c>
      <c r="AA43" s="17">
        <v>1.61865802676571E-2</v>
      </c>
      <c r="AB43" s="17">
        <v>1.9164097213917292E-2</v>
      </c>
      <c r="AD43" s="3"/>
      <c r="AO43" s="3"/>
      <c r="AP43" s="3"/>
      <c r="AQ43" s="3"/>
      <c r="AR43" s="3"/>
      <c r="AS43" s="3"/>
    </row>
    <row r="44" spans="1:70" s="1" customFormat="1">
      <c r="A44" s="1322" t="s">
        <v>1530</v>
      </c>
      <c r="D44" s="17">
        <f>-'A. FS'!D6/'A. FS'!D5</f>
        <v>2.9832447159409928E-2</v>
      </c>
      <c r="E44" s="17">
        <f>-'A. FS'!E6/'A. FS'!E5</f>
        <v>1.6041971271103728E-2</v>
      </c>
      <c r="F44" s="17">
        <f>-'A. FS'!F6/'A. FS'!F5</f>
        <v>1.0134217676447165E-2</v>
      </c>
      <c r="G44" s="17">
        <f>-'A. FS'!G6/'A. FS'!G5</f>
        <v>1.1404028332540301E-2</v>
      </c>
      <c r="H44" s="17">
        <f>-'A. FS'!H6/'A. FS'!H5</f>
        <v>1.1497207802737188E-2</v>
      </c>
      <c r="I44" s="17">
        <f>-'A. FS'!I6/'A. FS'!I5</f>
        <v>1.0152267241256573E-2</v>
      </c>
      <c r="J44" s="17">
        <f>-'A. FS'!J6/'A. FS'!J5</f>
        <v>1.3382706644951552E-2</v>
      </c>
      <c r="K44" s="17">
        <f>-'A. FS'!K6/'A. FS'!K5</f>
        <v>1.3660749347107023E-2</v>
      </c>
      <c r="L44" s="17">
        <f>-'A. FS'!L6/'A. FS'!L5</f>
        <v>1.7831050348181502E-2</v>
      </c>
      <c r="M44" s="153">
        <f>-'A. FS'!M6/'A. FS'!M5</f>
        <v>3.5838588991472672E-3</v>
      </c>
      <c r="N44" s="17"/>
      <c r="O44" s="17"/>
      <c r="P44" s="17"/>
      <c r="Q44" s="17"/>
      <c r="R44" s="17"/>
      <c r="S44" s="17"/>
      <c r="U44" s="1322" t="s">
        <v>1529</v>
      </c>
      <c r="X44" s="17">
        <v>1.8292771938263824E-2</v>
      </c>
      <c r="Y44" s="17">
        <v>2.512823274451299E-2</v>
      </c>
      <c r="Z44" s="17">
        <v>1.5011062303714734E-2</v>
      </c>
      <c r="AA44" s="17">
        <v>1.5425516997474005E-2</v>
      </c>
      <c r="AB44" s="17">
        <v>8.3691559638438204E-3</v>
      </c>
      <c r="AD44" s="3"/>
      <c r="AE44" s="3"/>
      <c r="AF44" s="3"/>
      <c r="AG44" s="3"/>
      <c r="AH44" s="3"/>
      <c r="AI44" s="3"/>
      <c r="AJ44" s="3"/>
      <c r="AK44" s="3"/>
      <c r="AL44" s="3"/>
      <c r="AM44" s="3"/>
      <c r="AN44" s="3"/>
      <c r="AO44" s="3"/>
      <c r="AP44" s="3"/>
      <c r="AQ44" s="3"/>
      <c r="AR44" s="3"/>
      <c r="AS44" s="3"/>
    </row>
    <row r="45" spans="1:70" s="1" customFormat="1">
      <c r="A45" s="1322" t="s">
        <v>1531</v>
      </c>
      <c r="D45" s="17">
        <f t="shared" ref="D45:M45" si="2">D42+D43</f>
        <v>2.0783821612721923E-2</v>
      </c>
      <c r="E45" s="17">
        <f t="shared" si="2"/>
        <v>2.1771300651446741E-2</v>
      </c>
      <c r="F45" s="17">
        <f t="shared" si="2"/>
        <v>2.6111418049481458E-2</v>
      </c>
      <c r="G45" s="17">
        <f t="shared" si="2"/>
        <v>4.0023623444027365E-2</v>
      </c>
      <c r="H45" s="17">
        <f t="shared" si="2"/>
        <v>4.7533234168587957E-2</v>
      </c>
      <c r="I45" s="17">
        <f t="shared" si="2"/>
        <v>3.8019821598576711E-2</v>
      </c>
      <c r="J45" s="17">
        <f t="shared" si="2"/>
        <v>4.1096154709719529E-2</v>
      </c>
      <c r="K45" s="17">
        <f t="shared" si="2"/>
        <v>4.1850011077900963E-2</v>
      </c>
      <c r="L45" s="17">
        <f t="shared" si="2"/>
        <v>3.9287447183458057E-2</v>
      </c>
      <c r="M45" s="153">
        <f t="shared" si="2"/>
        <v>3.8955575337859677E-2</v>
      </c>
      <c r="N45" s="17">
        <f t="shared" ref="N45:S45" si="3">N42+N43</f>
        <v>4.7691656732081346E-2</v>
      </c>
      <c r="O45" s="17">
        <f t="shared" si="3"/>
        <v>4.5065280336936575E-2</v>
      </c>
      <c r="P45" s="17">
        <f t="shared" si="3"/>
        <v>4.4147480792887224E-2</v>
      </c>
      <c r="Q45" s="17">
        <f t="shared" si="3"/>
        <v>4.2498412244760628E-2</v>
      </c>
      <c r="R45" s="17">
        <f t="shared" si="3"/>
        <v>4.1464756131711224E-2</v>
      </c>
      <c r="S45" s="17">
        <f t="shared" si="3"/>
        <v>4.0344911373507875E-2</v>
      </c>
      <c r="U45" s="1322" t="s">
        <v>1530</v>
      </c>
      <c r="X45" s="17">
        <v>1.2936955669211301E-2</v>
      </c>
      <c r="Y45" s="17">
        <v>1.3808734770495388E-2</v>
      </c>
      <c r="Z45" s="17">
        <v>1.5597432317468083E-2</v>
      </c>
      <c r="AA45" s="17">
        <v>1.8001710653153927E-2</v>
      </c>
      <c r="AB45" s="17">
        <v>1.2971918078702899E-2</v>
      </c>
      <c r="AD45" s="3"/>
      <c r="AE45" s="3"/>
      <c r="AF45" s="3"/>
      <c r="AG45" s="3"/>
      <c r="AH45" s="3"/>
      <c r="AI45" s="3"/>
      <c r="AJ45" s="3"/>
      <c r="AK45" s="3"/>
      <c r="AL45" s="3"/>
      <c r="AM45" s="3"/>
      <c r="AN45" s="3"/>
      <c r="AO45" s="3"/>
      <c r="AP45" s="3"/>
      <c r="AQ45" s="3"/>
      <c r="AR45" s="3"/>
      <c r="AS45" s="3"/>
    </row>
    <row r="46" spans="1:70" s="1" customFormat="1">
      <c r="A46" s="1322" t="s">
        <v>1528</v>
      </c>
      <c r="D46" s="17">
        <f>-'A. FS'!D55/(AVERAGE('A. FS'!C121:D121)+AVERAGE('A. FS'!C126:D126))</f>
        <v>8.925889464255217E-2</v>
      </c>
      <c r="E46" s="17">
        <f>-'A. FS'!E55/(AVERAGE('A. FS'!D121:E121)+AVERAGE('A. FS'!D126:E126))</f>
        <v>4.4896530483282633E-2</v>
      </c>
      <c r="F46" s="17">
        <f>-'A. FS'!F55/(AVERAGE('A. FS'!E121:F121)+AVERAGE('A. FS'!E126:F126))</f>
        <v>4.2943282575118855E-2</v>
      </c>
      <c r="G46" s="17">
        <f>-'A. FS'!G55/(AVERAGE('A. FS'!F121:G121)+AVERAGE('A. FS'!F126:G126))</f>
        <v>5.7828998737901406E-2</v>
      </c>
      <c r="H46" s="17">
        <f>-'A. FS'!H55/(AVERAGE('A. FS'!G121:H121)+AVERAGE('A. FS'!G126:H126))</f>
        <v>4.6935962576310768E-2</v>
      </c>
      <c r="I46" s="17">
        <f>-'A. FS'!I55/(AVERAGE('A. FS'!H121:I121)+AVERAGE('A. FS'!H126:I126))</f>
        <v>4.4085965231428284E-2</v>
      </c>
      <c r="J46" s="17">
        <f>-'A. FS'!J55/(AVERAGE('A. FS'!I121:J121)+AVERAGE('A. FS'!I126:J126))</f>
        <v>6.530942100527902E-2</v>
      </c>
      <c r="K46" s="17">
        <f>-'A. FS'!K55/(AVERAGE('A. FS'!J121:K121)+AVERAGE('A. FS'!J126:K126))</f>
        <v>4.3233960724000375E-2</v>
      </c>
      <c r="L46" s="17">
        <f>-'A. FS'!L55/(AVERAGE('A. FS'!K121:L121)+AVERAGE('A. FS'!K126:L126))</f>
        <v>3.6507892283093916E-2</v>
      </c>
      <c r="M46" s="153">
        <f>-'A. FS'!M55/(AVERAGE('A. FS'!L121:M121)+AVERAGE('A. FS'!L126:M126))</f>
        <v>6.147567977814837E-2</v>
      </c>
      <c r="N46" s="17">
        <f>-'A. FS'!N55/(AVERAGE('A. FS'!M121:N121)+AVERAGE('A. FS'!M126:N126))</f>
        <v>6.3628977438676335E-2</v>
      </c>
      <c r="O46" s="17">
        <f>-'A. FS'!O55/(AVERAGE('A. FS'!N121:O121)+AVERAGE('A. FS'!N126:O126))</f>
        <v>6.0070208188423978E-2</v>
      </c>
      <c r="P46" s="17">
        <f>-'A. FS'!P55/(AVERAGE('A. FS'!O121:P121)+AVERAGE('A. FS'!O126:P126))</f>
        <v>5.7978868155779816E-2</v>
      </c>
      <c r="Q46" s="17">
        <f>-'A. FS'!Q55/(AVERAGE('A. FS'!P121:Q121)+AVERAGE('A. FS'!P126:Q126))</f>
        <v>5.5858554979330788E-2</v>
      </c>
      <c r="R46" s="17">
        <f>-'A. FS'!R55/(AVERAGE('A. FS'!Q121:R121)+AVERAGE('A. FS'!Q126:R126))</f>
        <v>5.5112086039104016E-2</v>
      </c>
      <c r="S46" s="17">
        <f>-'A. FS'!S55/(AVERAGE('A. FS'!R121:S121)+AVERAGE('A. FS'!R126:S126))</f>
        <v>5.5119438239458585E-2</v>
      </c>
      <c r="U46" s="1322" t="s">
        <v>1531</v>
      </c>
      <c r="X46" s="17">
        <v>3.9999996853350664E-2</v>
      </c>
      <c r="Y46" s="17">
        <v>4.7467147910117059E-2</v>
      </c>
      <c r="Z46" s="17">
        <v>3.2286174261453297E-2</v>
      </c>
      <c r="AA46" s="17">
        <v>3.1612097265131103E-2</v>
      </c>
      <c r="AB46" s="17">
        <v>2.7533253177761112E-2</v>
      </c>
      <c r="AD46" s="3"/>
      <c r="AE46" s="3"/>
      <c r="AF46" s="3"/>
      <c r="AG46" s="3"/>
      <c r="AH46" s="3"/>
      <c r="AI46" s="3"/>
      <c r="AJ46" s="3"/>
      <c r="AK46" s="3"/>
      <c r="AL46" s="3"/>
      <c r="AM46" s="3"/>
      <c r="AN46" s="3"/>
      <c r="AO46" s="3"/>
      <c r="AP46" s="3"/>
      <c r="AQ46" s="3"/>
      <c r="AR46" s="3"/>
      <c r="AS46" s="3"/>
    </row>
    <row r="47" spans="1:70" s="1" customFormat="1">
      <c r="M47" s="1259"/>
      <c r="N47" s="1322"/>
      <c r="U47" s="1322"/>
      <c r="AD47" s="3"/>
      <c r="AE47" s="3"/>
      <c r="AF47" s="3"/>
      <c r="AG47" s="3"/>
      <c r="AH47" s="3"/>
      <c r="AI47" s="3"/>
      <c r="AJ47" s="3"/>
      <c r="AK47" s="3"/>
      <c r="AL47" s="3"/>
      <c r="AM47" s="3"/>
      <c r="AN47" s="3"/>
      <c r="AO47" s="3"/>
      <c r="AP47" s="3"/>
      <c r="AQ47" s="3"/>
      <c r="AR47" s="3"/>
      <c r="AS47" s="3"/>
      <c r="AW47" s="1350" t="s">
        <v>446</v>
      </c>
      <c r="AX47" s="1350" t="s">
        <v>447</v>
      </c>
      <c r="AY47" s="1351" t="s">
        <v>448</v>
      </c>
      <c r="AZ47" s="1352" t="s">
        <v>449</v>
      </c>
      <c r="BA47" s="1350" t="s">
        <v>450</v>
      </c>
      <c r="BB47" s="1350" t="s">
        <v>451</v>
      </c>
      <c r="BC47" s="1350" t="s">
        <v>452</v>
      </c>
      <c r="BD47" s="1352" t="s">
        <v>453</v>
      </c>
      <c r="BE47" s="1350" t="s">
        <v>454</v>
      </c>
      <c r="BF47" s="1350" t="s">
        <v>455</v>
      </c>
      <c r="BG47" s="1350" t="s">
        <v>456</v>
      </c>
      <c r="BH47" s="1352" t="s">
        <v>457</v>
      </c>
      <c r="BI47" s="1350" t="s">
        <v>458</v>
      </c>
      <c r="BJ47" s="1350" t="s">
        <v>459</v>
      </c>
      <c r="BK47" s="1350" t="s">
        <v>460</v>
      </c>
      <c r="BL47" s="1352" t="s">
        <v>461</v>
      </c>
      <c r="BM47" s="1350" t="s">
        <v>462</v>
      </c>
      <c r="BN47" s="1350" t="s">
        <v>463</v>
      </c>
      <c r="BO47" s="1350" t="s">
        <v>464</v>
      </c>
      <c r="BP47" s="1352" t="s">
        <v>465</v>
      </c>
      <c r="BQ47" s="1350" t="s">
        <v>466</v>
      </c>
      <c r="BR47" s="1350" t="s">
        <v>467</v>
      </c>
    </row>
    <row r="48" spans="1:70" s="1266" customFormat="1">
      <c r="A48" s="44" t="s">
        <v>1532</v>
      </c>
      <c r="M48" s="1347"/>
      <c r="N48" s="1346"/>
      <c r="U48" s="44" t="s">
        <v>1532</v>
      </c>
      <c r="AD48" s="22"/>
      <c r="AE48" s="3"/>
      <c r="AF48" s="3"/>
      <c r="AG48" s="3"/>
      <c r="AH48" s="3"/>
      <c r="AI48" s="3"/>
      <c r="AJ48" s="3"/>
      <c r="AK48" s="3"/>
      <c r="AL48" s="3"/>
      <c r="AM48" s="3"/>
      <c r="AN48" s="3"/>
      <c r="AO48" s="3"/>
      <c r="AP48" s="3"/>
      <c r="AQ48" s="3"/>
      <c r="AR48" s="3"/>
      <c r="AS48" s="3"/>
      <c r="AT48" s="1"/>
      <c r="AU48" s="1"/>
      <c r="AV48" s="1"/>
      <c r="AY48" s="1346"/>
    </row>
    <row r="49" spans="1:71" s="1" customFormat="1">
      <c r="A49" s="1322" t="s">
        <v>1514</v>
      </c>
      <c r="D49" s="1239">
        <f>'A. FS'!D7/AVERAGE('A. FS'!C117:D117)</f>
        <v>3.3366428496560512</v>
      </c>
      <c r="E49" s="1239">
        <f>'A. FS'!E7/AVERAGE('A. FS'!D117:E117)</f>
        <v>4.297923163524251</v>
      </c>
      <c r="F49" s="1239">
        <f>'A. FS'!F7/AVERAGE('A. FS'!E117:F117)</f>
        <v>3.2990396304927119</v>
      </c>
      <c r="G49" s="1239">
        <f>'A. FS'!G7/AVERAGE('A. FS'!F117:G117)</f>
        <v>2.9668137115695155</v>
      </c>
      <c r="H49" s="1239">
        <f>'A. FS'!H7/AVERAGE('A. FS'!G117:H117)</f>
        <v>2.634987498937635</v>
      </c>
      <c r="I49" s="1239">
        <f>'A. FS'!I7/AVERAGE('A. FS'!H117:I117)</f>
        <v>3.1107819261167613</v>
      </c>
      <c r="J49" s="1239">
        <f>'A. FS'!J7/AVERAGE('A. FS'!I117:J117)</f>
        <v>3.6678266945027209</v>
      </c>
      <c r="K49" s="1239">
        <f>'A. FS'!K7/AVERAGE('A. FS'!J117:K117)</f>
        <v>4.5802303694082047</v>
      </c>
      <c r="L49" s="1239">
        <f>'A. FS'!L7/AVERAGE('A. FS'!K117:L117)</f>
        <v>4.352766792617623</v>
      </c>
      <c r="M49" s="1349">
        <f>'A. FS'!M7/AVERAGE('A. FS'!L117:M117)</f>
        <v>3.4151502027731624</v>
      </c>
      <c r="N49" s="1239">
        <f>'A. FS'!N7/AVERAGE('A. FS'!M117:N117)</f>
        <v>2.9095064441491281</v>
      </c>
      <c r="O49" s="1239">
        <f>'A. FS'!O7/AVERAGE('A. FS'!N117:O117)</f>
        <v>2.9590852782975867</v>
      </c>
      <c r="P49" s="1239">
        <f>'A. FS'!P7/AVERAGE('A. FS'!O117:P117)</f>
        <v>3.0413099185964874</v>
      </c>
      <c r="Q49" s="1239">
        <f>'A. FS'!Q7/AVERAGE('A. FS'!P117:Q117)</f>
        <v>3.024987751891401</v>
      </c>
      <c r="R49" s="1239">
        <f>'A. FS'!R7/AVERAGE('A. FS'!Q117:R117)</f>
        <v>3.0393948732204286</v>
      </c>
      <c r="S49" s="1239">
        <f>'A. FS'!S7/AVERAGE('A. FS'!R117:S117)</f>
        <v>3.0532465817047862</v>
      </c>
      <c r="T49" s="1239"/>
      <c r="U49" s="1322" t="s">
        <v>1514</v>
      </c>
      <c r="X49" s="1239">
        <v>1.8902738209517871</v>
      </c>
      <c r="Y49" s="1239">
        <v>1.9010565799477601</v>
      </c>
      <c r="Z49" s="1239">
        <v>2.3838292174490432</v>
      </c>
      <c r="AA49" s="1239">
        <v>2.3759092845223648</v>
      </c>
      <c r="AB49" s="1239">
        <v>2.0012190591305781</v>
      </c>
      <c r="AD49" s="3"/>
      <c r="AE49" s="3"/>
      <c r="AF49" s="3"/>
      <c r="AG49" s="3"/>
      <c r="AH49" s="3"/>
      <c r="AI49" s="3"/>
      <c r="AJ49" s="3"/>
      <c r="AK49" s="3"/>
      <c r="AL49" s="3"/>
      <c r="AM49" s="3"/>
      <c r="AN49" s="3"/>
      <c r="AO49" s="3"/>
      <c r="AP49" s="3"/>
      <c r="AQ49" s="3"/>
      <c r="AR49" s="3"/>
      <c r="AS49" s="3"/>
      <c r="AW49" s="1239">
        <f>'A. FS'!AA7/AVERAGE('A. FS'!Z117:AA117)</f>
        <v>0.90538607678737493</v>
      </c>
      <c r="AX49" s="1239">
        <f>'A. FS'!AB7/AVERAGE('A. FS'!AA117:AB117)</f>
        <v>0.9588522227637547</v>
      </c>
      <c r="AY49" s="1239">
        <f>'A. FS'!AC7/AVERAGE('A. FS'!AB117:AC117)</f>
        <v>1.1139538181641588</v>
      </c>
      <c r="AZ49" s="1239">
        <f>'A. FS'!AD7/AVERAGE('A. FS'!AC117:AD117)</f>
        <v>0.80380675059396234</v>
      </c>
      <c r="BA49" s="1239">
        <f>'A. FS'!AE7/AVERAGE('A. FS'!AD117:AE117)</f>
        <v>0.67560886602476533</v>
      </c>
      <c r="BB49" s="1239">
        <f>'A. FS'!AF7/AVERAGE('A. FS'!AE117:AF117)</f>
        <v>1.0042797746753724</v>
      </c>
      <c r="BC49" s="1239">
        <f>'A. FS'!AG7/AVERAGE('A. FS'!AF117:AG117)</f>
        <v>1.2466456612520274</v>
      </c>
      <c r="BD49" s="1239">
        <f>'A. FS'!AH7/AVERAGE('A. FS'!AG117:AH117)</f>
        <v>1.1196385804781743</v>
      </c>
      <c r="BE49" s="1239">
        <f>'A. FS'!AI7/AVERAGE('A. FS'!AH117:AI117)</f>
        <v>1.0676426936828221</v>
      </c>
      <c r="BF49" s="1239">
        <f>'A. FS'!AJ7/AVERAGE('A. FS'!AI117:AJ117)</f>
        <v>1.2491188301458453</v>
      </c>
      <c r="BG49" s="1239">
        <f>'A. FS'!AK7/AVERAGE('A. FS'!AJ117:AK117)</f>
        <v>1.5944629410115609</v>
      </c>
      <c r="BH49" s="1239">
        <f>'A. FS'!AL7/AVERAGE('A. FS'!AK117:AL117)</f>
        <v>1.4911801396959488</v>
      </c>
      <c r="BI49" s="1239">
        <f>'A. FS'!AM7/AVERAGE('A. FS'!AL117:AM117)</f>
        <v>1.5594766127960709</v>
      </c>
      <c r="BJ49" s="1239">
        <f>'A. FS'!AN7/AVERAGE('A. FS'!AM117:AN117)</f>
        <v>1.2441846265096492</v>
      </c>
      <c r="BK49" s="1239">
        <f>'A. FS'!AO7/AVERAGE('A. FS'!AN117:AO117)</f>
        <v>1.0647020649289285</v>
      </c>
      <c r="BL49" s="1239">
        <f>'A. FS'!AP7/AVERAGE('A. FS'!AO117:AP117)</f>
        <v>1.5369553035081527</v>
      </c>
      <c r="BM49" s="1239">
        <f>'A. FS'!AQ7/AVERAGE('A. FS'!AP117:AQ117)</f>
        <v>1.0606001410521289</v>
      </c>
      <c r="BN49" s="1239">
        <f>'A. FS'!AR7/AVERAGE('A. FS'!AQ117:AR117)</f>
        <v>0.76690579863208685</v>
      </c>
      <c r="BO49" s="1239">
        <f>'A. FS'!AS7/AVERAGE('A. FS'!AR117:AS117)</f>
        <v>0.95176793017846562</v>
      </c>
      <c r="BP49" s="1239">
        <f>'A. FS'!AT7/AVERAGE('A. FS'!AS117:AT117)</f>
        <v>0.62867073429141307</v>
      </c>
      <c r="BQ49" s="1239">
        <f>'A. FS'!AU7/AVERAGE('A. FS'!AT117:AU117)</f>
        <v>0.64537886370885211</v>
      </c>
      <c r="BR49" s="1239">
        <f>'A. FS'!AV7/AVERAGE('A. FS'!AU117:AV117)</f>
        <v>0.73674414642309416</v>
      </c>
    </row>
    <row r="50" spans="1:71" s="1" customFormat="1">
      <c r="A50" s="1322" t="s">
        <v>1533</v>
      </c>
      <c r="D50" s="1239">
        <f>-'A. FS'!D10/AVERAGE('A. FS'!C105:D105)</f>
        <v>6.834957408736325</v>
      </c>
      <c r="E50" s="1239">
        <f>-'A. FS'!E10/AVERAGE('A. FS'!D105:E105)</f>
        <v>8.2114708327266221</v>
      </c>
      <c r="F50" s="1239">
        <f>-'A. FS'!F10/AVERAGE('A. FS'!E105:F105)</f>
        <v>5.6208862832679678</v>
      </c>
      <c r="G50" s="1239">
        <f>-'A. FS'!G10/AVERAGE('A. FS'!F105:G105)</f>
        <v>5.1440659601718259</v>
      </c>
      <c r="H50" s="1239">
        <f>-'A. FS'!H10/AVERAGE('A. FS'!G105:H105)</f>
        <v>4.4402046129846555</v>
      </c>
      <c r="I50" s="1239">
        <f>-'A. FS'!I10/AVERAGE('A. FS'!H105:I105)</f>
        <v>5.0686670284141631</v>
      </c>
      <c r="J50" s="1239">
        <f>-'A. FS'!J10/AVERAGE('A. FS'!I105:J105)</f>
        <v>5.7373232256357571</v>
      </c>
      <c r="K50" s="1239">
        <f>-'A. FS'!K10/AVERAGE('A. FS'!J105:K105)</f>
        <v>10.287389670651578</v>
      </c>
      <c r="L50" s="1239">
        <f>-'A. FS'!L10/AVERAGE('A. FS'!K105:L105)</f>
        <v>10.450766255844794</v>
      </c>
      <c r="M50" s="1349">
        <f>-'A. FS'!M10/AVERAGE('A. FS'!L105:M105)</f>
        <v>6.6309172963118508</v>
      </c>
      <c r="N50" s="1239">
        <f>-'A. FS'!N10/AVERAGE('A. FS'!M105:N105)</f>
        <v>5.8348943741289983</v>
      </c>
      <c r="O50" s="1239">
        <f>-'A. FS'!O10/AVERAGE('A. FS'!N105:O105)</f>
        <v>6.7405447173031003</v>
      </c>
      <c r="P50" s="1239">
        <f>-'A. FS'!P10/AVERAGE('A. FS'!O105:P105)</f>
        <v>7.1913187341181706</v>
      </c>
      <c r="Q50" s="1239">
        <f>-'A. FS'!Q10/AVERAGE('A. FS'!P105:Q105)</f>
        <v>7.3472156075789297</v>
      </c>
      <c r="R50" s="1239">
        <f>-'A. FS'!R10/AVERAGE('A. FS'!Q105:R105)</f>
        <v>7.6542466508776972</v>
      </c>
      <c r="S50" s="1239">
        <f>-'A. FS'!S10/AVERAGE('A. FS'!R105:S105)</f>
        <v>8.029633877257897</v>
      </c>
      <c r="T50" s="1239"/>
      <c r="U50" s="1322" t="s">
        <v>1533</v>
      </c>
      <c r="X50" s="1239">
        <v>11.715871509474502</v>
      </c>
      <c r="Y50" s="1239">
        <v>8.8346596809740117</v>
      </c>
      <c r="Z50" s="1239">
        <v>13.419285421602416</v>
      </c>
      <c r="AA50" s="1239">
        <v>14.934534504073889</v>
      </c>
      <c r="AB50" s="1239">
        <v>8.5759687514052523</v>
      </c>
      <c r="AD50" s="3"/>
      <c r="AE50" s="3"/>
      <c r="AF50" s="3"/>
      <c r="AG50" s="3"/>
      <c r="AH50" s="3"/>
      <c r="AI50" s="3"/>
      <c r="AJ50" s="3"/>
      <c r="AK50" s="3"/>
      <c r="AL50" s="3"/>
      <c r="AM50" s="3"/>
      <c r="AN50" s="3"/>
      <c r="AO50" s="3"/>
      <c r="AP50" s="3"/>
      <c r="AQ50" s="3"/>
      <c r="AR50" s="3"/>
      <c r="AS50" s="3"/>
      <c r="AW50" s="1239">
        <f>-'A. FS'!AA10/AVERAGE('A. FS'!Z105:AA105)</f>
        <v>1.9970511212317235</v>
      </c>
      <c r="AX50" s="1239">
        <f>-'A. FS'!AB10/AVERAGE('A. FS'!AA105:AB105)</f>
        <v>2.0435198282568514</v>
      </c>
      <c r="AY50" s="1239">
        <f>-'A. FS'!AC10/AVERAGE('A. FS'!AB105:AC105)</f>
        <v>2.4562126880353015</v>
      </c>
      <c r="AZ50" s="1239">
        <f>-'A. FS'!AD10/AVERAGE('A. FS'!AC105:AD105)</f>
        <v>1.4622265344872452</v>
      </c>
      <c r="BA50" s="1239">
        <f>-'A. FS'!AE10/AVERAGE('A. FS'!AD105:AE105)</f>
        <v>1.1657223401244285</v>
      </c>
      <c r="BB50" s="1239">
        <f>-'A. FS'!AF10/AVERAGE('A. FS'!AE105:AF105)</f>
        <v>2.0007229249611904</v>
      </c>
      <c r="BC50" s="1239">
        <f>-'A. FS'!AG10/AVERAGE('A. FS'!AF105:AG105)</f>
        <v>2.6798018260246579</v>
      </c>
      <c r="BD50" s="1239">
        <f>-'A. FS'!AH10/AVERAGE('A. FS'!AG105:AH105)</f>
        <v>2.0090947494068145</v>
      </c>
      <c r="BE50" s="1239">
        <f>-'A. FS'!AI10/AVERAGE('A. FS'!AH105:AI105)</f>
        <v>1.8682287919487688</v>
      </c>
      <c r="BF50" s="1239">
        <f>-'A. FS'!AJ10/AVERAGE('A. FS'!AI105:AJ105)</f>
        <v>2.5927965491988028</v>
      </c>
      <c r="BG50" s="1239">
        <f>-'A. FS'!AK10/AVERAGE('A. FS'!AJ105:AK105)</f>
        <v>3.7215042397307476</v>
      </c>
      <c r="BH50" s="1239">
        <f>-'A. FS'!AL10/AVERAGE('A. FS'!AK105:AL105)</f>
        <v>4.6373848420407748</v>
      </c>
      <c r="BI50" s="1239">
        <f>-'A. FS'!AM10/AVERAGE('A. FS'!AL105:AM105)</f>
        <v>6.2763407666242337</v>
      </c>
      <c r="BJ50" s="1239">
        <f>-'A. FS'!AN10/AVERAGE('A. FS'!AM105:AN105)</f>
        <v>4.7670764595895516</v>
      </c>
      <c r="BK50" s="1239">
        <f>-'A. FS'!AO10/AVERAGE('A. FS'!AN105:AO105)</f>
        <v>3.7185437567069353</v>
      </c>
      <c r="BL50" s="1239">
        <f>-'A. FS'!AP10/AVERAGE('A. FS'!AO105:AP105)</f>
        <v>3.8691322027973669</v>
      </c>
      <c r="BM50" s="1239">
        <f>-'A. FS'!AQ10/AVERAGE('A. FS'!AP105:AQ105)</f>
        <v>2.0588679175477669</v>
      </c>
      <c r="BN50" s="1239">
        <f>-'A. FS'!AR10/AVERAGE('A. FS'!AQ105:AR105)</f>
        <v>1.3287151309192506</v>
      </c>
      <c r="BO50" s="1239">
        <f>-'A. FS'!AS10/AVERAGE('A. FS'!AR105:AS105)</f>
        <v>1.8495160853969965</v>
      </c>
      <c r="BP50" s="1239">
        <f>-'A. FS'!AT10/AVERAGE('A. FS'!AS105:AT105)</f>
        <v>1.2062986156212583</v>
      </c>
      <c r="BQ50" s="1239">
        <f>-'A. FS'!AU10/AVERAGE('A. FS'!AT105:AU105)</f>
        <v>1.176755733698764</v>
      </c>
      <c r="BR50" s="1239">
        <f>-'A. FS'!AV10/AVERAGE('A. FS'!AU105:AV105)</f>
        <v>1.4941514191292711</v>
      </c>
    </row>
    <row r="51" spans="1:71" s="1" customFormat="1">
      <c r="A51" s="1322" t="s">
        <v>1534</v>
      </c>
      <c r="D51" s="1239">
        <f>'A. FS'!D7/AVERAGE('A. FS'!C104:D104)</f>
        <v>12.23140832324062</v>
      </c>
      <c r="E51" s="1239">
        <f>'A. FS'!E7/AVERAGE('A. FS'!D104:E104)</f>
        <v>16.404783026015981</v>
      </c>
      <c r="F51" s="1239">
        <f>'A. FS'!F7/AVERAGE('A. FS'!E104:F104)</f>
        <v>12.670296476612464</v>
      </c>
      <c r="G51" s="1239">
        <f>'A. FS'!G7/AVERAGE('A. FS'!F104:G104)</f>
        <v>10.706341064510118</v>
      </c>
      <c r="H51" s="1239">
        <f>'A. FS'!H7/AVERAGE('A. FS'!G104:H104)</f>
        <v>9.0638726119344746</v>
      </c>
      <c r="I51" s="1239">
        <f>'A. FS'!I7/AVERAGE('A. FS'!H104:I104)</f>
        <v>10.964114468364553</v>
      </c>
      <c r="J51" s="1239">
        <f>'A. FS'!J7/AVERAGE('A. FS'!I104:J104)</f>
        <v>14.320251240484442</v>
      </c>
      <c r="K51" s="1239">
        <f>'A. FS'!K7/AVERAGE('A. FS'!J104:K104)</f>
        <v>14.611304015870905</v>
      </c>
      <c r="L51" s="1239">
        <f>'A. FS'!L7/AVERAGE('A. FS'!K104:L104)</f>
        <v>14.342669964739555</v>
      </c>
      <c r="M51" s="1349">
        <f>'A. FS'!M7/AVERAGE('A. FS'!L104:M104)</f>
        <v>13.092119713058816</v>
      </c>
      <c r="N51" s="1239">
        <f>'A. FS'!N7/AVERAGE('A. FS'!M104:N104)</f>
        <v>11.17866759106124</v>
      </c>
      <c r="O51" s="1239">
        <f>'A. FS'!O7/AVERAGE('A. FS'!N104:O104)</f>
        <v>11.211358232579947</v>
      </c>
      <c r="P51" s="1239">
        <f>'A. FS'!P7/AVERAGE('A. FS'!O104:P104)</f>
        <v>12.08936006490833</v>
      </c>
      <c r="Q51" s="1239">
        <f>'A. FS'!Q7/AVERAGE('A. FS'!P104:Q104)</f>
        <v>12.667238963395366</v>
      </c>
      <c r="R51" s="1239">
        <f>'A. FS'!R7/AVERAGE('A. FS'!Q104:R104)</f>
        <v>13.437467540920331</v>
      </c>
      <c r="S51" s="1239">
        <f>'A. FS'!S7/AVERAGE('A. FS'!R104:S104)</f>
        <v>14.308897702362898</v>
      </c>
      <c r="T51" s="1239"/>
      <c r="U51" s="1322" t="s">
        <v>1534</v>
      </c>
      <c r="X51" s="1239">
        <v>5.4417778509103947</v>
      </c>
      <c r="Y51" s="1239">
        <v>6.0690010975853959</v>
      </c>
      <c r="Z51" s="1239">
        <v>7.6066742499341196</v>
      </c>
      <c r="AA51" s="1239">
        <v>7.6831705738702682</v>
      </c>
      <c r="AB51" s="1239">
        <v>7.7463729997737358</v>
      </c>
      <c r="AD51" s="3"/>
      <c r="AE51" s="3"/>
      <c r="AF51" s="3"/>
      <c r="AG51" s="3"/>
      <c r="AH51" s="3"/>
      <c r="AI51" s="3"/>
      <c r="AJ51" s="3"/>
      <c r="AK51" s="3"/>
      <c r="AL51" s="3"/>
      <c r="AM51" s="3"/>
      <c r="AN51" s="3"/>
      <c r="AO51" s="3"/>
      <c r="AP51" s="3"/>
      <c r="AQ51" s="3"/>
      <c r="AR51" s="3"/>
      <c r="AS51" s="3"/>
      <c r="AW51" s="1239">
        <f>'A. FS'!AA7/AVERAGE('A. FS'!Z104:AA104)</f>
        <v>2.1726807483761426</v>
      </c>
      <c r="AX51" s="1239">
        <f>'A. FS'!AB7/AVERAGE('A. FS'!AA104:AB104)</f>
        <v>2.5720129143641919</v>
      </c>
      <c r="AY51" s="1239">
        <f>'A. FS'!AC7/AVERAGE('A. FS'!AB104:AC104)</f>
        <v>2.7950056084322688</v>
      </c>
      <c r="AZ51" s="1239">
        <f>'A. FS'!AD7/AVERAGE('A. FS'!AC104:AD104)</f>
        <v>2.2909744738336175</v>
      </c>
      <c r="BA51" s="1239">
        <f>'A. FS'!AE7/AVERAGE('A. FS'!AD104:AE104)</f>
        <v>2.2422327546135605</v>
      </c>
      <c r="BB51" s="1239">
        <f>'A. FS'!AF7/AVERAGE('A. FS'!AE104:AF104)</f>
        <v>2.6635784398752165</v>
      </c>
      <c r="BC51" s="1239">
        <f>'A. FS'!AG7/AVERAGE('A. FS'!AF104:AG104)</f>
        <v>2.8691842880017115</v>
      </c>
      <c r="BD51" s="1239">
        <f>'A. FS'!AH7/AVERAGE('A. FS'!AG104:AH104)</f>
        <v>3.3074704987960253</v>
      </c>
      <c r="BE51" s="1239">
        <f>'A. FS'!AI7/AVERAGE('A. FS'!AH104:AI104)</f>
        <v>3.4068388953636837</v>
      </c>
      <c r="BF51" s="1239">
        <f>'A. FS'!AJ7/AVERAGE('A. FS'!AI104:AJ104)</f>
        <v>3.4405810648938058</v>
      </c>
      <c r="BG51" s="1239">
        <f>'A. FS'!AK7/AVERAGE('A. FS'!AJ104:AK104)</f>
        <v>4.0184823944671226</v>
      </c>
      <c r="BH51" s="1239">
        <f>'A. FS'!AL7/AVERAGE('A. FS'!AK104:AL104)</f>
        <v>3.6201302503687263</v>
      </c>
      <c r="BI51" s="1239">
        <f>'A. FS'!AM7/AVERAGE('A. FS'!AL104:AM104)</f>
        <v>3.6226285840439401</v>
      </c>
      <c r="BJ51" s="1239">
        <f>'A. FS'!AN7/AVERAGE('A. FS'!AM104:AN104)</f>
        <v>2.9894047678381175</v>
      </c>
      <c r="BK51" s="1239">
        <f>'A. FS'!AO7/AVERAGE('A. FS'!AN104:AO104)</f>
        <v>2.3935873849498686</v>
      </c>
      <c r="BL51" s="1239">
        <f>'A. FS'!AP7/AVERAGE('A. FS'!AO104:AP104)</f>
        <v>4.1227566051331221</v>
      </c>
      <c r="BM51" s="1239">
        <f>'A. FS'!AQ7/AVERAGE('A. FS'!AP104:AQ104)</f>
        <v>3.4981616532876507</v>
      </c>
      <c r="BN51" s="1239">
        <f>'A. FS'!AR7/AVERAGE('A. FS'!AQ104:AR104)</f>
        <v>2.2779736885740727</v>
      </c>
      <c r="BO51" s="1239">
        <f>'A. FS'!AS7/AVERAGE('A. FS'!AR104:AS104)</f>
        <v>2.7583835242245645</v>
      </c>
      <c r="BP51" s="1239">
        <f>'A. FS'!AT7/AVERAGE('A. FS'!AS104:AT104)</f>
        <v>2.123458487210848</v>
      </c>
      <c r="BQ51" s="1239">
        <f>'A. FS'!AU7/AVERAGE('A. FS'!AT104:AU104)</f>
        <v>2.1612495101555846</v>
      </c>
      <c r="BR51" s="1239">
        <f>'A. FS'!AV7/AVERAGE('A. FS'!AU104:AV104)</f>
        <v>2.0693421760247732</v>
      </c>
    </row>
    <row r="52" spans="1:71" s="1" customFormat="1">
      <c r="A52" s="1322" t="s">
        <v>1535</v>
      </c>
      <c r="D52" s="20">
        <f>'A. FS'!D141/AVERAGE('A. FS'!C122:D122)</f>
        <v>13.21356103068652</v>
      </c>
      <c r="E52" s="20">
        <f>'A. FS'!E141/AVERAGE('A. FS'!D122:E122)</f>
        <v>25.433549877174642</v>
      </c>
      <c r="F52" s="20">
        <f>'A. FS'!F141/AVERAGE('A. FS'!E122:F122)</f>
        <v>21.549950532832113</v>
      </c>
      <c r="G52" s="20">
        <f>'A. FS'!G141/AVERAGE('A. FS'!F122:G122)</f>
        <v>16.798464373246816</v>
      </c>
      <c r="H52" s="20">
        <f>'A. FS'!H141/AVERAGE('A. FS'!G122:H122)</f>
        <v>14.702545000490028</v>
      </c>
      <c r="I52" s="20">
        <f>'A. FS'!I141/AVERAGE('A. FS'!H122:I122)</f>
        <v>15.452096875628373</v>
      </c>
      <c r="J52" s="20">
        <f>'A. FS'!J141/AVERAGE('A. FS'!I122:J122)</f>
        <v>12.953865764648693</v>
      </c>
      <c r="K52" s="20">
        <f>'A. FS'!K141/AVERAGE('A. FS'!J122:K122)</f>
        <v>13.530585869141303</v>
      </c>
      <c r="L52" s="20">
        <f>'A. FS'!L141/AVERAGE('A. FS'!K122:L122)</f>
        <v>11.345242732260266</v>
      </c>
      <c r="M52" s="125">
        <f>'A. FS'!M141/AVERAGE('A. FS'!L122:M122)</f>
        <v>10.225398527706059</v>
      </c>
      <c r="N52" s="20">
        <f>'A. FS'!N141/AVERAGE('A. FS'!M122:N122)</f>
        <v>12.232875885658506</v>
      </c>
      <c r="O52" s="20">
        <f>'A. FS'!O141/AVERAGE('A. FS'!N122:O122)</f>
        <v>11.943525593704591</v>
      </c>
      <c r="P52" s="20">
        <f>'A. FS'!P141/AVERAGE('A. FS'!O122:P122)</f>
        <v>13.232496992640355</v>
      </c>
      <c r="Q52" s="20">
        <f>'A. FS'!Q141/AVERAGE('A. FS'!P122:Q122)</f>
        <v>13.455543613393646</v>
      </c>
      <c r="R52" s="20">
        <f>'A. FS'!R141/AVERAGE('A. FS'!Q122:R122)</f>
        <v>13.963262933519156</v>
      </c>
      <c r="S52" s="20">
        <f>'A. FS'!S141/AVERAGE('A. FS'!R122:S122)</f>
        <v>14.483156217909015</v>
      </c>
      <c r="T52" s="20"/>
      <c r="U52" s="1322" t="s">
        <v>1535</v>
      </c>
      <c r="X52" s="20">
        <v>5.3916184063040191</v>
      </c>
      <c r="Y52" s="20">
        <v>5.2666627537143533</v>
      </c>
      <c r="Z52" s="20">
        <v>7.2255280118469871</v>
      </c>
      <c r="AA52" s="20">
        <v>6.8518740959355702</v>
      </c>
      <c r="AB52" s="20">
        <v>5.3227551714548307</v>
      </c>
      <c r="AD52" s="3"/>
      <c r="AE52" s="3"/>
      <c r="AF52" s="3"/>
      <c r="AG52" s="3"/>
      <c r="AH52" s="3"/>
      <c r="AI52" s="3"/>
      <c r="AJ52" s="3"/>
      <c r="AK52" s="3"/>
      <c r="AL52" s="3"/>
      <c r="AM52" s="3"/>
      <c r="AN52" s="3"/>
      <c r="AO52" s="3"/>
      <c r="AP52" s="3"/>
      <c r="AQ52" s="3"/>
      <c r="AR52" s="3"/>
      <c r="AS52" s="3"/>
      <c r="AW52" s="20">
        <f>-2*'A. FS'!AA10/SUM('A. FS'!Z122:AA123)</f>
        <v>19.206673155376194</v>
      </c>
      <c r="AX52" s="20">
        <f>-2*'A. FS'!AB10/SUM('A. FS'!AA122:AB123)</f>
        <v>6.7883609740107982</v>
      </c>
      <c r="AY52" s="20">
        <f>-2*'A. FS'!AC10/SUM('A. FS'!AB122:AC123)</f>
        <v>6.140284967724428</v>
      </c>
      <c r="AZ52" s="20">
        <f>-2*'A. FS'!AD10/SUM('A. FS'!AC122:AD123)</f>
        <v>3.2505353644378521</v>
      </c>
      <c r="BA52" s="20">
        <f>-2*'A. FS'!AE10/SUM('A. FS'!AD122:AE123)</f>
        <v>3.1067474219108488</v>
      </c>
      <c r="BB52" s="20">
        <f>-2*'A. FS'!AF10/SUM('A. FS'!AE122:AF123)</f>
        <v>6.3805714543627206</v>
      </c>
      <c r="BC52" s="20">
        <f>-2*'A. FS'!AG10/SUM('A. FS'!AF122:AG123)</f>
        <v>5.2401884187004546</v>
      </c>
      <c r="BD52" s="20">
        <f>-2*'A. FS'!AH10/SUM('A. FS'!AG122:AH123)</f>
        <v>3.2662664366693144</v>
      </c>
      <c r="BE52" s="20">
        <f>-2*'A. FS'!AI10/SUM('A. FS'!AH122:AI123)</f>
        <v>3.3452934605529467</v>
      </c>
      <c r="BF52" s="20">
        <f>-2*'A. FS'!AJ10/SUM('A. FS'!AI122:AJ123)</f>
        <v>4.4535279803789107</v>
      </c>
      <c r="BG52" s="20">
        <f>-2*'A. FS'!AK10/SUM('A. FS'!AJ122:AK123)</f>
        <v>4.6970106146857455</v>
      </c>
      <c r="BH52" s="20">
        <f>-2*'A. FS'!AL10/SUM('A. FS'!AK122:AL123)</f>
        <v>3.6331748597581499</v>
      </c>
      <c r="BI52" s="20">
        <f>-2*'A. FS'!AM10/SUM('A. FS'!AL122:AM123)</f>
        <v>3.4765261104108101</v>
      </c>
      <c r="BJ52" s="20">
        <f>-2*'A. FS'!AN10/SUM('A. FS'!AM122:AN123)</f>
        <v>2.7716138560489108</v>
      </c>
      <c r="BK52" s="20">
        <f>-2*'A. FS'!AO10/SUM('A. FS'!AN122:AO123)</f>
        <v>2.6847399386880628</v>
      </c>
      <c r="BL52" s="20">
        <f>-2*'A. FS'!AP10/SUM('A. FS'!AO122:AP123)</f>
        <v>3.0030136648512262</v>
      </c>
      <c r="BM52" s="20">
        <f>-2*'A. FS'!AQ10/SUM('A. FS'!AP122:AQ123)</f>
        <v>2.0701724522281633</v>
      </c>
      <c r="BN52" s="20">
        <f>-2*'A. FS'!AR10/SUM('A. FS'!AQ122:AR123)</f>
        <v>1.6668752010135495</v>
      </c>
      <c r="BO52" s="20">
        <f>-2*'A. FS'!AS10/SUM('A. FS'!AR122:AS123)</f>
        <v>2.3533344813009944</v>
      </c>
      <c r="BP52" s="20">
        <f>-2*'A. FS'!AT10/SUM('A. FS'!AS122:AT123)</f>
        <v>1.8235734016656224</v>
      </c>
      <c r="BQ52" s="20">
        <f>-2*'A. FS'!AU10/SUM('A. FS'!AT122:AU123)</f>
        <v>2.0585461158674598</v>
      </c>
      <c r="BR52" s="20">
        <f>-2*'A. FS'!AV10/SUM('A. FS'!AU122:AV123)</f>
        <v>2.4074585079245834</v>
      </c>
    </row>
    <row r="53" spans="1:71" s="1" customFormat="1">
      <c r="A53" s="1322"/>
      <c r="M53" s="1259"/>
      <c r="U53" s="1322"/>
      <c r="AE53" s="3"/>
      <c r="AF53" s="3"/>
      <c r="AG53" s="3"/>
      <c r="AH53" s="3"/>
      <c r="AI53" s="3"/>
      <c r="AJ53" s="3"/>
      <c r="AK53" s="3"/>
      <c r="AL53" s="3"/>
      <c r="AM53" s="3"/>
      <c r="AN53" s="3"/>
      <c r="AO53" s="3"/>
      <c r="AP53" s="3"/>
      <c r="AQ53" s="3"/>
      <c r="AR53" s="3"/>
      <c r="AS53" s="3"/>
    </row>
    <row r="54" spans="1:71" s="1" customFormat="1">
      <c r="A54" s="1322" t="s">
        <v>1536</v>
      </c>
      <c r="D54" s="4">
        <f t="shared" ref="D54:H56" si="4">365/D50</f>
        <v>53.401942129655886</v>
      </c>
      <c r="E54" s="4">
        <f t="shared" si="4"/>
        <v>44.45001479458481</v>
      </c>
      <c r="F54" s="4">
        <f t="shared" si="4"/>
        <v>64.936378643082961</v>
      </c>
      <c r="G54" s="4">
        <f t="shared" si="4"/>
        <v>70.955544276848272</v>
      </c>
      <c r="H54" s="4">
        <f t="shared" si="4"/>
        <v>82.203418944392098</v>
      </c>
      <c r="I54" s="4">
        <f t="shared" ref="I54:M56" si="5">365/I50</f>
        <v>72.011043131037511</v>
      </c>
      <c r="J54" s="4">
        <f t="shared" si="5"/>
        <v>63.618517842796642</v>
      </c>
      <c r="K54" s="4">
        <f t="shared" si="5"/>
        <v>35.480331909783857</v>
      </c>
      <c r="L54" s="4">
        <f t="shared" si="5"/>
        <v>34.925668708346308</v>
      </c>
      <c r="M54" s="1304">
        <f t="shared" si="5"/>
        <v>55.045174549683317</v>
      </c>
      <c r="N54" s="4">
        <f>'A. FS'!N145</f>
        <v>61.484394506237408</v>
      </c>
      <c r="O54" s="4">
        <f>'A. FS'!O145</f>
        <v>54.530960966237934</v>
      </c>
      <c r="P54" s="4">
        <f>'A. FS'!P145</f>
        <v>53.367083304419793</v>
      </c>
      <c r="Q54" s="4">
        <f>'A. FS'!Q145</f>
        <v>51.303439228151028</v>
      </c>
      <c r="R54" s="4">
        <f>'A. FS'!R145</f>
        <v>49.104109023716681</v>
      </c>
      <c r="S54" s="4">
        <f>'A. FS'!S145</f>
        <v>46.598255767254457</v>
      </c>
      <c r="T54" s="4"/>
      <c r="U54" s="1322" t="s">
        <v>1536</v>
      </c>
      <c r="X54" s="4">
        <v>31.154319139197487</v>
      </c>
      <c r="Y54" s="4">
        <v>41.314551231220619</v>
      </c>
      <c r="Z54" s="4">
        <v>27.199659932146734</v>
      </c>
      <c r="AA54" s="4">
        <v>24.439998441225882</v>
      </c>
      <c r="AB54" s="4">
        <v>42.560789408215996</v>
      </c>
      <c r="AE54" s="3"/>
      <c r="AF54" s="3"/>
      <c r="AG54" s="3"/>
      <c r="AH54" s="3"/>
      <c r="AI54" s="3"/>
      <c r="AJ54" s="3"/>
      <c r="AK54" s="3"/>
      <c r="AL54" s="3"/>
      <c r="AM54" s="3"/>
      <c r="AN54" s="3"/>
      <c r="AO54" s="3"/>
      <c r="AP54" s="3"/>
      <c r="AQ54" s="3"/>
      <c r="AR54" s="3"/>
      <c r="AS54" s="3"/>
      <c r="AT54" s="1322" t="s">
        <v>1536</v>
      </c>
      <c r="AW54" s="4">
        <f t="shared" ref="AW54:BN54" si="6">365/AW50</f>
        <v>182.76948252325084</v>
      </c>
      <c r="AX54" s="4">
        <f t="shared" si="6"/>
        <v>178.6133880146148</v>
      </c>
      <c r="AY54" s="4">
        <f t="shared" si="6"/>
        <v>148.60276627426742</v>
      </c>
      <c r="AZ54" s="4">
        <f t="shared" si="6"/>
        <v>249.61932463357567</v>
      </c>
      <c r="BA54" s="4">
        <f t="shared" si="6"/>
        <v>313.11058168537812</v>
      </c>
      <c r="BB54" s="4">
        <f t="shared" si="6"/>
        <v>182.43405693323587</v>
      </c>
      <c r="BC54" s="4">
        <f t="shared" si="6"/>
        <v>136.20410153293236</v>
      </c>
      <c r="BD54" s="4">
        <f t="shared" si="6"/>
        <v>181.67386088076049</v>
      </c>
      <c r="BE54" s="4">
        <f t="shared" si="6"/>
        <v>195.3722164934974</v>
      </c>
      <c r="BF54" s="4">
        <f t="shared" si="6"/>
        <v>140.77463968886732</v>
      </c>
      <c r="BG54" s="4">
        <f t="shared" si="6"/>
        <v>98.078619957828636</v>
      </c>
      <c r="BH54" s="4">
        <f t="shared" si="6"/>
        <v>78.708153934314055</v>
      </c>
      <c r="BI54" s="4">
        <f t="shared" si="6"/>
        <v>58.154904835786567</v>
      </c>
      <c r="BJ54" s="4">
        <f t="shared" si="6"/>
        <v>76.56684408024509</v>
      </c>
      <c r="BK54" s="4">
        <f t="shared" si="6"/>
        <v>98.156704312452788</v>
      </c>
      <c r="BL54" s="4">
        <f t="shared" si="6"/>
        <v>94.336399189489171</v>
      </c>
      <c r="BM54" s="4">
        <f t="shared" si="6"/>
        <v>177.28189209667056</v>
      </c>
      <c r="BN54" s="4">
        <f t="shared" si="6"/>
        <v>274.7014702447774</v>
      </c>
      <c r="BO54" s="4">
        <f t="shared" ref="BO54:BR56" si="7">365/BO50</f>
        <v>197.34891893176109</v>
      </c>
      <c r="BP54" s="4">
        <f t="shared" si="7"/>
        <v>302.57847872271708</v>
      </c>
      <c r="BQ54" s="4">
        <f t="shared" si="7"/>
        <v>310.17482179817944</v>
      </c>
      <c r="BR54" s="4">
        <f t="shared" si="7"/>
        <v>244.28581690382273</v>
      </c>
      <c r="BS54" s="1353">
        <f>AVERAGE(AW54:BR54)</f>
        <v>178.16124743947387</v>
      </c>
    </row>
    <row r="55" spans="1:71" s="1" customFormat="1">
      <c r="A55" s="1322" t="s">
        <v>1537</v>
      </c>
      <c r="D55" s="4">
        <f t="shared" si="4"/>
        <v>29.84120800762344</v>
      </c>
      <c r="E55" s="4">
        <f t="shared" si="4"/>
        <v>22.249608508759586</v>
      </c>
      <c r="F55" s="4">
        <f t="shared" si="4"/>
        <v>28.807534273072239</v>
      </c>
      <c r="G55" s="4">
        <f t="shared" si="4"/>
        <v>34.091945866540634</v>
      </c>
      <c r="H55" s="4">
        <f t="shared" si="4"/>
        <v>40.269762785434729</v>
      </c>
      <c r="I55" s="4">
        <f t="shared" si="5"/>
        <v>33.290422227272195</v>
      </c>
      <c r="J55" s="4">
        <f t="shared" si="5"/>
        <v>25.488379628991225</v>
      </c>
      <c r="K55" s="4">
        <f t="shared" si="5"/>
        <v>24.980658783332025</v>
      </c>
      <c r="L55" s="4">
        <f t="shared" si="5"/>
        <v>25.448539281551263</v>
      </c>
      <c r="M55" s="1304">
        <f t="shared" si="5"/>
        <v>27.879366214160758</v>
      </c>
      <c r="N55" s="4">
        <f>'A. FS'!N144</f>
        <v>36.647981897937811</v>
      </c>
      <c r="O55" s="4">
        <f>'A. FS'!O144</f>
        <v>33</v>
      </c>
      <c r="P55" s="4">
        <f>'A. FS'!P144</f>
        <v>31.25</v>
      </c>
      <c r="Q55" s="4">
        <f>'A. FS'!Q144</f>
        <v>29.5</v>
      </c>
      <c r="R55" s="4">
        <f>'A. FS'!R144</f>
        <v>27.75</v>
      </c>
      <c r="S55" s="4">
        <f>'A. FS'!S144</f>
        <v>26</v>
      </c>
      <c r="T55" s="4"/>
      <c r="U55" s="1322" t="s">
        <v>1537</v>
      </c>
      <c r="X55" s="4">
        <v>67.073667834297297</v>
      </c>
      <c r="Y55" s="4">
        <v>60.141692863627654</v>
      </c>
      <c r="Z55" s="4">
        <v>47.984176528022246</v>
      </c>
      <c r="AA55" s="4">
        <v>47.506429343288339</v>
      </c>
      <c r="AB55" s="4">
        <v>47.118825805400967</v>
      </c>
      <c r="AE55" s="3"/>
      <c r="AF55" s="3"/>
      <c r="AG55" s="3"/>
      <c r="AH55" s="3"/>
      <c r="AI55" s="3"/>
      <c r="AJ55" s="3"/>
      <c r="AK55" s="3"/>
      <c r="AL55" s="3"/>
      <c r="AM55" s="3"/>
      <c r="AN55" s="3"/>
      <c r="AO55" s="3"/>
      <c r="AP55" s="3"/>
      <c r="AQ55" s="3"/>
      <c r="AR55" s="3"/>
      <c r="AS55" s="3"/>
      <c r="AT55" s="1322" t="s">
        <v>1537</v>
      </c>
      <c r="AW55" s="4">
        <f t="shared" ref="AW55:BN55" si="8">365/AW51</f>
        <v>167.99522906105756</v>
      </c>
      <c r="AX55" s="4">
        <f t="shared" si="8"/>
        <v>141.91219568204576</v>
      </c>
      <c r="AY55" s="4">
        <f t="shared" si="8"/>
        <v>130.59007785130353</v>
      </c>
      <c r="AZ55" s="4">
        <f t="shared" si="8"/>
        <v>159.32084978198156</v>
      </c>
      <c r="BA55" s="4">
        <f t="shared" si="8"/>
        <v>162.78417093363095</v>
      </c>
      <c r="BB55" s="4">
        <f t="shared" si="8"/>
        <v>137.03369667502622</v>
      </c>
      <c r="BC55" s="4">
        <f t="shared" si="8"/>
        <v>127.21385709741566</v>
      </c>
      <c r="BD55" s="4">
        <f t="shared" si="8"/>
        <v>110.35623753344622</v>
      </c>
      <c r="BE55" s="4">
        <f t="shared" si="8"/>
        <v>107.13744066287462</v>
      </c>
      <c r="BF55" s="4">
        <f t="shared" si="8"/>
        <v>106.08673160597824</v>
      </c>
      <c r="BG55" s="4">
        <f t="shared" si="8"/>
        <v>90.830309597113811</v>
      </c>
      <c r="BH55" s="4">
        <f t="shared" si="8"/>
        <v>100.82510151750013</v>
      </c>
      <c r="BI55" s="4">
        <f t="shared" si="8"/>
        <v>100.75556782377909</v>
      </c>
      <c r="BJ55" s="4">
        <f t="shared" si="8"/>
        <v>122.09788514653413</v>
      </c>
      <c r="BK55" s="4">
        <f t="shared" si="8"/>
        <v>152.49077693799953</v>
      </c>
      <c r="BL55" s="4">
        <f t="shared" si="8"/>
        <v>88.532997447763307</v>
      </c>
      <c r="BM55" s="4">
        <f t="shared" si="8"/>
        <v>104.34051829965171</v>
      </c>
      <c r="BN55" s="4">
        <f t="shared" si="8"/>
        <v>160.23012110753416</v>
      </c>
      <c r="BO55" s="4">
        <f t="shared" si="7"/>
        <v>132.3238762102919</v>
      </c>
      <c r="BP55" s="4">
        <f t="shared" si="7"/>
        <v>171.88939750803684</v>
      </c>
      <c r="BQ55" s="4">
        <f t="shared" si="7"/>
        <v>168.88378610839999</v>
      </c>
      <c r="BR55" s="4">
        <f t="shared" si="7"/>
        <v>176.3845555504835</v>
      </c>
      <c r="BS55" s="1353">
        <f>AVERAGE(AW55:BR55)</f>
        <v>132.72797182453857</v>
      </c>
    </row>
    <row r="56" spans="1:71" s="1" customFormat="1">
      <c r="A56" s="1322" t="s">
        <v>1538</v>
      </c>
      <c r="D56" s="4">
        <f t="shared" si="4"/>
        <v>27.623136499868739</v>
      </c>
      <c r="E56" s="4">
        <f t="shared" si="4"/>
        <v>14.35112289722362</v>
      </c>
      <c r="F56" s="4">
        <f t="shared" si="4"/>
        <v>16.937393867513041</v>
      </c>
      <c r="G56" s="4">
        <f t="shared" si="4"/>
        <v>21.728176569597512</v>
      </c>
      <c r="H56" s="4">
        <f t="shared" si="4"/>
        <v>24.825633928536504</v>
      </c>
      <c r="I56" s="4">
        <f t="shared" si="5"/>
        <v>23.621389571773374</v>
      </c>
      <c r="J56" s="4">
        <f>365/J52</f>
        <v>28.176916962972616</v>
      </c>
      <c r="K56" s="4">
        <f t="shared" si="5"/>
        <v>26.975919855210538</v>
      </c>
      <c r="L56" s="4">
        <f t="shared" si="5"/>
        <v>32.172074993346797</v>
      </c>
      <c r="M56" s="1304">
        <f t="shared" si="5"/>
        <v>35.695430257414451</v>
      </c>
      <c r="N56" s="4">
        <f>'A. FS'!N148</f>
        <v>35.871320643801496</v>
      </c>
      <c r="O56" s="4">
        <f>'A. FS'!O148</f>
        <v>30</v>
      </c>
      <c r="P56" s="4">
        <f>'A. FS'!P148</f>
        <v>29</v>
      </c>
      <c r="Q56" s="4">
        <f>'A. FS'!Q148</f>
        <v>28</v>
      </c>
      <c r="R56" s="4">
        <f>'A. FS'!R148</f>
        <v>27</v>
      </c>
      <c r="S56" s="4">
        <f>'A. FS'!S148</f>
        <v>26</v>
      </c>
      <c r="T56" s="4"/>
      <c r="U56" s="1322" t="s">
        <v>1538</v>
      </c>
      <c r="X56" s="4">
        <v>67.697669325639325</v>
      </c>
      <c r="Y56" s="4">
        <v>69.303848958732175</v>
      </c>
      <c r="Z56" s="4">
        <v>50.515339419007915</v>
      </c>
      <c r="AA56" s="4">
        <v>53.270097332423632</v>
      </c>
      <c r="AB56" s="4">
        <v>68.573509064899781</v>
      </c>
      <c r="AE56" s="3"/>
      <c r="AF56" s="3"/>
      <c r="AG56" s="3"/>
      <c r="AH56" s="3"/>
      <c r="AI56" s="3"/>
      <c r="AJ56" s="3"/>
      <c r="AK56" s="3"/>
      <c r="AL56" s="3"/>
      <c r="AM56" s="3"/>
      <c r="AN56" s="3"/>
      <c r="AO56" s="3"/>
      <c r="AP56" s="3"/>
      <c r="AQ56" s="3"/>
      <c r="AR56" s="3"/>
      <c r="AS56" s="3"/>
      <c r="AT56" s="1322" t="s">
        <v>1538</v>
      </c>
      <c r="AW56" s="4">
        <f t="shared" ref="AW56:BN56" si="9">365/AW52</f>
        <v>19.003811698531031</v>
      </c>
      <c r="AX56" s="4">
        <f t="shared" si="9"/>
        <v>53.768501910461218</v>
      </c>
      <c r="AY56" s="4">
        <f t="shared" si="9"/>
        <v>59.443495199094635</v>
      </c>
      <c r="AZ56" s="4">
        <f t="shared" si="9"/>
        <v>112.28919518712055</v>
      </c>
      <c r="BA56" s="4">
        <f t="shared" si="9"/>
        <v>117.48621642872455</v>
      </c>
      <c r="BB56" s="4">
        <f t="shared" si="9"/>
        <v>57.204907524455507</v>
      </c>
      <c r="BC56" s="4">
        <f t="shared" si="9"/>
        <v>69.653983947874636</v>
      </c>
      <c r="BD56" s="4">
        <f t="shared" si="9"/>
        <v>111.74838522120037</v>
      </c>
      <c r="BE56" s="4">
        <f t="shared" si="9"/>
        <v>109.10851448580203</v>
      </c>
      <c r="BF56" s="4">
        <f t="shared" si="9"/>
        <v>81.957495632248268</v>
      </c>
      <c r="BG56" s="4">
        <f t="shared" si="9"/>
        <v>77.70900045632969</v>
      </c>
      <c r="BH56" s="4">
        <f t="shared" si="9"/>
        <v>100.46309745309011</v>
      </c>
      <c r="BI56" s="4">
        <f t="shared" si="9"/>
        <v>104.98986298620639</v>
      </c>
      <c r="BJ56" s="4">
        <f t="shared" si="9"/>
        <v>131.69222660775975</v>
      </c>
      <c r="BK56" s="4">
        <f t="shared" si="9"/>
        <v>135.95357775262306</v>
      </c>
      <c r="BL56" s="4">
        <f t="shared" si="9"/>
        <v>121.54456846871612</v>
      </c>
      <c r="BM56" s="4">
        <f t="shared" si="9"/>
        <v>176.31381366665568</v>
      </c>
      <c r="BN56" s="4">
        <f t="shared" si="9"/>
        <v>218.97260201487217</v>
      </c>
      <c r="BO56" s="4">
        <f t="shared" si="7"/>
        <v>155.09907448354599</v>
      </c>
      <c r="BP56" s="4">
        <f t="shared" si="7"/>
        <v>200.15646184936395</v>
      </c>
      <c r="BQ56" s="4">
        <f t="shared" si="7"/>
        <v>177.30960564183962</v>
      </c>
      <c r="BR56" s="4">
        <f t="shared" si="7"/>
        <v>151.61216643964445</v>
      </c>
      <c r="BS56" s="1353">
        <f>AVERAGE(AW56:BR56)</f>
        <v>115.61275295709815</v>
      </c>
    </row>
    <row r="57" spans="1:71" s="1" customFormat="1">
      <c r="A57" s="1322" t="s">
        <v>577</v>
      </c>
      <c r="D57" s="4">
        <f t="shared" ref="D57:M57" si="10">D54+D55-D56</f>
        <v>55.620013637410594</v>
      </c>
      <c r="E57" s="4">
        <f t="shared" si="10"/>
        <v>52.348500406120777</v>
      </c>
      <c r="F57" s="4">
        <f t="shared" si="10"/>
        <v>76.806519048642159</v>
      </c>
      <c r="G57" s="4">
        <f t="shared" si="10"/>
        <v>83.319313573791391</v>
      </c>
      <c r="H57" s="4">
        <f t="shared" si="10"/>
        <v>97.647547801290315</v>
      </c>
      <c r="I57" s="4">
        <f t="shared" si="10"/>
        <v>81.680075786536335</v>
      </c>
      <c r="J57" s="4">
        <f t="shared" si="10"/>
        <v>60.929980508815262</v>
      </c>
      <c r="K57" s="4">
        <f t="shared" si="10"/>
        <v>33.48507083790534</v>
      </c>
      <c r="L57" s="4">
        <f t="shared" si="10"/>
        <v>28.202132996550773</v>
      </c>
      <c r="M57" s="1304">
        <f t="shared" si="10"/>
        <v>47.229110506429627</v>
      </c>
      <c r="N57" s="4">
        <f t="shared" ref="N57:S57" si="11">N54+N55-N56</f>
        <v>62.261055760373722</v>
      </c>
      <c r="O57" s="4">
        <f t="shared" si="11"/>
        <v>57.530960966237927</v>
      </c>
      <c r="P57" s="4">
        <f t="shared" si="11"/>
        <v>55.617083304419793</v>
      </c>
      <c r="Q57" s="4">
        <f t="shared" si="11"/>
        <v>52.803439228151035</v>
      </c>
      <c r="R57" s="4">
        <f t="shared" si="11"/>
        <v>49.854109023716688</v>
      </c>
      <c r="S57" s="4">
        <f t="shared" si="11"/>
        <v>46.598255767254457</v>
      </c>
      <c r="T57" s="4"/>
      <c r="U57" s="1322" t="s">
        <v>577</v>
      </c>
      <c r="X57" s="4">
        <v>30.530317647855455</v>
      </c>
      <c r="Y57" s="4">
        <v>32.152395136116098</v>
      </c>
      <c r="Z57" s="4">
        <v>24.668497041161061</v>
      </c>
      <c r="AA57" s="4">
        <v>18.676330452090582</v>
      </c>
      <c r="AB57" s="4">
        <v>21.106106148717174</v>
      </c>
      <c r="AE57" s="3"/>
      <c r="AF57" s="3"/>
      <c r="AG57" s="3"/>
      <c r="AH57" s="3"/>
      <c r="AI57" s="3"/>
      <c r="AJ57" s="3"/>
      <c r="AK57" s="3"/>
      <c r="AL57" s="3"/>
      <c r="AM57" s="3"/>
      <c r="AN57" s="3"/>
      <c r="AO57" s="3"/>
      <c r="AP57" s="3"/>
      <c r="AQ57" s="3"/>
      <c r="AR57" s="3"/>
      <c r="AS57" s="3"/>
      <c r="AT57" s="1322" t="s">
        <v>577</v>
      </c>
      <c r="AW57" s="4">
        <f t="shared" ref="AW57:BI57" si="12">AW54+AW55-AW56</f>
        <v>331.76089988577741</v>
      </c>
      <c r="AX57" s="4">
        <f t="shared" si="12"/>
        <v>266.75708178619931</v>
      </c>
      <c r="AY57" s="4">
        <f t="shared" si="12"/>
        <v>219.74934892647633</v>
      </c>
      <c r="AZ57" s="4">
        <f t="shared" si="12"/>
        <v>296.65097922843665</v>
      </c>
      <c r="BA57" s="4">
        <f t="shared" si="12"/>
        <v>358.40853619028451</v>
      </c>
      <c r="BB57" s="4">
        <f t="shared" si="12"/>
        <v>262.26284608380661</v>
      </c>
      <c r="BC57" s="4">
        <f t="shared" si="12"/>
        <v>193.76397468247342</v>
      </c>
      <c r="BD57" s="4">
        <f t="shared" si="12"/>
        <v>180.28171319300634</v>
      </c>
      <c r="BE57" s="4">
        <f t="shared" si="12"/>
        <v>193.40114267057001</v>
      </c>
      <c r="BF57" s="4">
        <f t="shared" si="12"/>
        <v>164.90387566259733</v>
      </c>
      <c r="BG57" s="4">
        <f t="shared" si="12"/>
        <v>111.19992909861277</v>
      </c>
      <c r="BH57" s="4">
        <f t="shared" si="12"/>
        <v>79.070157998724056</v>
      </c>
      <c r="BI57" s="4">
        <f t="shared" si="12"/>
        <v>53.920609673359252</v>
      </c>
      <c r="BJ57" s="4">
        <f t="shared" ref="BJ57:BR57" si="13">BJ54+BJ55-BJ56</f>
        <v>66.97250261901948</v>
      </c>
      <c r="BK57" s="4">
        <f t="shared" si="13"/>
        <v>114.69390349782924</v>
      </c>
      <c r="BL57" s="4">
        <f t="shared" si="13"/>
        <v>61.324828168536342</v>
      </c>
      <c r="BM57" s="4">
        <f t="shared" si="13"/>
        <v>105.30859672966659</v>
      </c>
      <c r="BN57" s="4">
        <f t="shared" si="13"/>
        <v>215.95898933743939</v>
      </c>
      <c r="BO57" s="4">
        <f t="shared" si="13"/>
        <v>174.57372065850703</v>
      </c>
      <c r="BP57" s="4">
        <f t="shared" si="13"/>
        <v>274.31141438138997</v>
      </c>
      <c r="BQ57" s="4">
        <f t="shared" si="13"/>
        <v>301.74900226473983</v>
      </c>
      <c r="BR57" s="4">
        <f t="shared" si="13"/>
        <v>269.05820601466178</v>
      </c>
      <c r="BS57" s="4">
        <f>AVERAGE(AW57:BR57)</f>
        <v>195.27646630691427</v>
      </c>
    </row>
    <row r="58" spans="1:71" s="1" customFormat="1">
      <c r="A58" s="1322"/>
      <c r="M58" s="1259"/>
      <c r="U58" s="1322"/>
      <c r="AD58" s="3"/>
      <c r="AE58" s="3"/>
      <c r="AF58" s="3"/>
      <c r="AG58" s="3"/>
      <c r="AH58" s="3"/>
      <c r="AI58" s="3"/>
      <c r="AJ58" s="3"/>
      <c r="AK58" s="3"/>
      <c r="AL58" s="3"/>
      <c r="AM58" s="3"/>
      <c r="AN58" s="3"/>
      <c r="AO58" s="3"/>
      <c r="AP58" s="3"/>
      <c r="AQ58" s="3"/>
      <c r="AR58" s="3"/>
      <c r="AS58" s="3"/>
    </row>
    <row r="59" spans="1:71" s="1" customFormat="1">
      <c r="A59" s="1322" t="s">
        <v>1539</v>
      </c>
      <c r="D59" s="18">
        <f t="shared" ref="D59:M59" si="14">1/D51</f>
        <v>8.1756734267461481E-2</v>
      </c>
      <c r="E59" s="18">
        <f t="shared" si="14"/>
        <v>6.0957831530848182E-2</v>
      </c>
      <c r="F59" s="18">
        <f t="shared" si="14"/>
        <v>7.8924751433074633E-2</v>
      </c>
      <c r="G59" s="18">
        <f t="shared" si="14"/>
        <v>9.3402591415179828E-2</v>
      </c>
      <c r="H59" s="18">
        <f t="shared" si="14"/>
        <v>0.11032811722036913</v>
      </c>
      <c r="I59" s="18">
        <f t="shared" si="14"/>
        <v>9.1206636239101913E-2</v>
      </c>
      <c r="J59" s="18">
        <f t="shared" si="14"/>
        <v>6.9831177065729388E-2</v>
      </c>
      <c r="K59" s="18">
        <f t="shared" si="14"/>
        <v>6.8440161050224727E-2</v>
      </c>
      <c r="L59" s="18">
        <f t="shared" si="14"/>
        <v>6.9722025428907569E-2</v>
      </c>
      <c r="M59" s="141">
        <f t="shared" si="14"/>
        <v>7.6381825244276058E-2</v>
      </c>
      <c r="N59" s="18">
        <f t="shared" ref="N59:S59" si="15">1/N51</f>
        <v>8.9456099472859055E-2</v>
      </c>
      <c r="O59" s="18">
        <f t="shared" si="15"/>
        <v>8.9195258884335993E-2</v>
      </c>
      <c r="P59" s="18">
        <f t="shared" si="15"/>
        <v>8.2717364246821495E-2</v>
      </c>
      <c r="Q59" s="18">
        <f t="shared" si="15"/>
        <v>7.8943801635834684E-2</v>
      </c>
      <c r="R59" s="18">
        <f t="shared" si="15"/>
        <v>7.4418784414158307E-2</v>
      </c>
      <c r="S59" s="18">
        <f t="shared" si="15"/>
        <v>6.9886585312219057E-2</v>
      </c>
      <c r="U59" s="1322" t="s">
        <v>1539</v>
      </c>
      <c r="X59" s="18">
        <v>0.18376347351862274</v>
      </c>
      <c r="Y59" s="18">
        <v>0.16477176127021276</v>
      </c>
      <c r="Z59" s="18">
        <v>0.13146349733704724</v>
      </c>
      <c r="AA59" s="18">
        <v>0.13015460094051598</v>
      </c>
      <c r="AB59" s="18">
        <v>0.12909267343945471</v>
      </c>
      <c r="AD59" s="3"/>
      <c r="AE59" s="3"/>
      <c r="AF59" s="3"/>
      <c r="AG59" s="3"/>
      <c r="AH59" s="3"/>
      <c r="AI59" s="3"/>
      <c r="AJ59" s="3"/>
      <c r="AK59" s="3"/>
      <c r="AL59" s="3"/>
      <c r="AM59" s="3"/>
      <c r="AN59" s="3"/>
      <c r="AO59" s="3"/>
      <c r="AP59" s="3"/>
      <c r="AQ59" s="3"/>
      <c r="AR59" s="3"/>
      <c r="AS59" s="3"/>
    </row>
    <row r="60" spans="1:71" s="1" customFormat="1">
      <c r="A60" s="1322" t="s">
        <v>1540</v>
      </c>
      <c r="D60" s="4">
        <f>'A. FS'!D7/AVERAGE('A. Raw FS'!C53:D53)</f>
        <v>12.527993980615804</v>
      </c>
      <c r="E60" s="4">
        <f>'A. FS'!E7/AVERAGE('A. Raw FS'!D53:E53)</f>
        <v>16.954401269884951</v>
      </c>
      <c r="F60" s="4">
        <f>'A. FS'!F7/AVERAGE('A. Raw FS'!E53:F53)</f>
        <v>13.807456759771195</v>
      </c>
      <c r="G60" s="4">
        <f>'A. FS'!G7/AVERAGE('A. Raw FS'!F53:G53)</f>
        <v>11.815158119627919</v>
      </c>
      <c r="H60" s="4">
        <f>'A. FS'!H7/AVERAGE('A. Raw FS'!G53:H53)</f>
        <v>10.926437679204204</v>
      </c>
      <c r="I60" s="4">
        <f>'A. FS'!I7/AVERAGE('A. Raw FS'!H53:I53)</f>
        <v>12.945396743574477</v>
      </c>
      <c r="J60" s="4">
        <f>'A. FS'!J7/AVERAGE('A. Raw FS'!I53:J53)</f>
        <v>15.50522684427551</v>
      </c>
      <c r="K60" s="4">
        <f>'A. FS'!K7/AVERAGE('A. Raw FS'!J53:K53)</f>
        <v>15.185786646158817</v>
      </c>
      <c r="L60" s="4">
        <f>'A. FS'!L7/AVERAGE('A. Raw FS'!K53:L53)</f>
        <v>15.058484372468362</v>
      </c>
      <c r="M60" s="1304">
        <f>'A. FS'!M7/AVERAGE('A. Raw FS'!L53:M53)</f>
        <v>13.876665814389657</v>
      </c>
      <c r="N60" s="4"/>
      <c r="O60" s="4"/>
      <c r="P60" s="4"/>
      <c r="Q60" s="4"/>
      <c r="R60" s="4"/>
      <c r="S60" s="4"/>
      <c r="U60" s="1322" t="s">
        <v>1540</v>
      </c>
      <c r="X60" s="4">
        <v>6.7484932670487421</v>
      </c>
      <c r="Y60" s="4">
        <v>6.8142651413431397</v>
      </c>
      <c r="Z60" s="4">
        <v>8.9997137296803569</v>
      </c>
      <c r="AA60" s="4">
        <v>8.4372572155951833</v>
      </c>
      <c r="AB60" s="4">
        <v>7.6395183880307354</v>
      </c>
      <c r="AD60" s="3"/>
      <c r="AE60" s="3"/>
      <c r="AF60" s="3"/>
      <c r="AG60" s="3"/>
      <c r="AH60" s="3"/>
      <c r="AI60" s="3"/>
      <c r="AJ60" s="3"/>
      <c r="AK60" s="3"/>
      <c r="AL60" s="3"/>
      <c r="AM60" s="3"/>
      <c r="AN60" s="3"/>
      <c r="AO60" s="3"/>
      <c r="AP60" s="3"/>
      <c r="AQ60" s="3"/>
      <c r="AR60" s="3"/>
      <c r="AS60" s="3"/>
    </row>
    <row r="61" spans="1:71" s="1" customFormat="1">
      <c r="A61" s="1322" t="s">
        <v>1541</v>
      </c>
      <c r="D61" s="1239">
        <f>-2*'A. FS'!D10/SUM('A. Raw FS'!C112:D113)</f>
        <v>13.186207370188672</v>
      </c>
      <c r="E61" s="1239">
        <f>-2*'A. FS'!E10/SUM('A. Raw FS'!D112:E113)</f>
        <v>19.662685450008414</v>
      </c>
      <c r="F61" s="1239">
        <f>-2*'A. FS'!F10/SUM('A. Raw FS'!E112:F113)</f>
        <v>18.321974928932949</v>
      </c>
      <c r="G61" s="1239">
        <f>-2*'A. FS'!G10/SUM('A. Raw FS'!F112:G113)</f>
        <v>16.058724541283858</v>
      </c>
      <c r="H61" s="1239">
        <f>-2*'A. FS'!H10/SUM('A. Raw FS'!G112:H113)</f>
        <v>13.682172246656437</v>
      </c>
      <c r="I61" s="1239">
        <f>-2*'A. FS'!I10/SUM('A. Raw FS'!H112:I113)</f>
        <v>14.060470136270581</v>
      </c>
      <c r="J61" s="1239">
        <f>-2*'A. FS'!J10/SUM('A. Raw FS'!I112:J113)</f>
        <v>12.57771568133581</v>
      </c>
      <c r="K61" s="1239">
        <f>-2*'A. FS'!K10/SUM('A. Raw FS'!J112:K113)</f>
        <v>13.715885832682417</v>
      </c>
      <c r="L61" s="1239">
        <f>-2*'A. FS'!L10/SUM('A. Raw FS'!K112:L113)</f>
        <v>9.893494353630766</v>
      </c>
      <c r="M61" s="1349">
        <f>-2*'A. FS'!M10/SUM('A. Raw FS'!L112:M113)</f>
        <v>9.6448755902620515</v>
      </c>
      <c r="N61" s="1239"/>
      <c r="O61" s="1239"/>
      <c r="P61" s="1239"/>
      <c r="Q61" s="1239"/>
      <c r="R61" s="1239"/>
      <c r="S61" s="1239"/>
      <c r="U61" s="1322" t="s">
        <v>1541</v>
      </c>
      <c r="X61" s="1239">
        <v>6.5233489377697627</v>
      </c>
      <c r="Y61" s="1239">
        <v>6.460391303084533</v>
      </c>
      <c r="Z61" s="1239">
        <v>8.8833531952990565</v>
      </c>
      <c r="AA61" s="1239">
        <v>8.6659052465736011</v>
      </c>
      <c r="AB61" s="1239">
        <v>7.916984231161873</v>
      </c>
      <c r="AD61" s="3"/>
      <c r="AE61" s="3"/>
      <c r="AF61" s="3"/>
      <c r="AG61" s="3"/>
      <c r="AH61" s="3"/>
      <c r="AI61" s="3"/>
      <c r="AJ61" s="3"/>
      <c r="AK61" s="3"/>
      <c r="AL61" s="3"/>
      <c r="AM61" s="3"/>
      <c r="AN61" s="3"/>
      <c r="AO61" s="3"/>
      <c r="AP61" s="3"/>
      <c r="AQ61" s="3"/>
      <c r="AR61" s="3"/>
      <c r="AS61" s="3"/>
    </row>
    <row r="62" spans="1:71" s="1" customFormat="1">
      <c r="A62" s="1322"/>
      <c r="M62" s="1259"/>
      <c r="N62" s="1322"/>
      <c r="U62" s="1322"/>
      <c r="AD62" s="3"/>
      <c r="AE62" s="3"/>
      <c r="AF62" s="3"/>
      <c r="AG62" s="3"/>
      <c r="AH62" s="3"/>
      <c r="AI62" s="3"/>
      <c r="AJ62" s="3"/>
      <c r="AK62" s="3"/>
      <c r="AL62" s="3"/>
      <c r="AM62" s="3"/>
      <c r="AN62" s="3"/>
      <c r="AO62" s="3"/>
      <c r="AP62" s="3"/>
      <c r="AQ62" s="3"/>
      <c r="AR62" s="3"/>
      <c r="AS62" s="3"/>
    </row>
    <row r="63" spans="1:71" s="1266" customFormat="1">
      <c r="A63" s="44" t="s">
        <v>1542</v>
      </c>
      <c r="M63" s="1347"/>
      <c r="N63" s="1346"/>
      <c r="U63" s="44" t="s">
        <v>1542</v>
      </c>
      <c r="AD63" s="22"/>
      <c r="AE63" s="3"/>
      <c r="AF63" s="3"/>
      <c r="AG63" s="3"/>
      <c r="AH63" s="3"/>
      <c r="AI63" s="3"/>
      <c r="AJ63" s="3"/>
      <c r="AK63" s="3"/>
      <c r="AL63" s="3"/>
      <c r="AM63" s="3"/>
      <c r="AN63" s="3"/>
      <c r="AO63" s="3"/>
      <c r="AP63" s="3"/>
      <c r="AQ63" s="3"/>
      <c r="AR63" s="3"/>
      <c r="AS63" s="3"/>
      <c r="AT63" s="1"/>
      <c r="AU63" s="1"/>
      <c r="AV63" s="1"/>
    </row>
    <row r="64" spans="1:71" s="1" customFormat="1">
      <c r="A64" s="1322" t="s">
        <v>1543</v>
      </c>
      <c r="D64" s="17">
        <f>SUM('A. FS'!D102:D103)/'A. FS'!D120</f>
        <v>0.22598233259391984</v>
      </c>
      <c r="E64" s="17">
        <f>SUM('A. FS'!E102:E103)/'A. FS'!E120</f>
        <v>7.8841052928160918E-2</v>
      </c>
      <c r="F64" s="17">
        <f>SUM('A. FS'!F102:F103)/'A. FS'!F120</f>
        <v>5.9051603795835704E-2</v>
      </c>
      <c r="G64" s="17">
        <f>SUM('A. FS'!G102:G103)/'A. FS'!G120</f>
        <v>5.608722396640918E-2</v>
      </c>
      <c r="H64" s="17">
        <f>SUM('A. FS'!H102:H103)/'A. FS'!H120</f>
        <v>3.780528354009078E-2</v>
      </c>
      <c r="I64" s="17">
        <f>SUM('A. FS'!I102:I103)/'A. FS'!I120</f>
        <v>4.9083604155503155E-2</v>
      </c>
      <c r="J64" s="17">
        <f>SUM('A. FS'!J102:J103)/'A. FS'!J120</f>
        <v>8.8807826571888238E-2</v>
      </c>
      <c r="K64" s="17">
        <f>SUM('A. FS'!K102:K103)/'A. FS'!K120</f>
        <v>0.46078834087466264</v>
      </c>
      <c r="L64" s="17">
        <f>SUM('A. FS'!L102:L103)/'A. FS'!L120</f>
        <v>0.31437814362747157</v>
      </c>
      <c r="M64" s="153">
        <f>SUM('A. FS'!M102:M103)/'A. FS'!M120</f>
        <v>0.21322174596756449</v>
      </c>
      <c r="N64" s="17">
        <f>SUM('A. FS'!N102:N103)/'A. FS'!N120</f>
        <v>0.34386586408416697</v>
      </c>
      <c r="O64" s="17">
        <f>SUM('A. FS'!O102:O103)/'A. FS'!O120</f>
        <v>0.42829503850296569</v>
      </c>
      <c r="P64" s="17">
        <f>SUM('A. FS'!P102:P103)/'A. FS'!P120</f>
        <v>0.47614651567488242</v>
      </c>
      <c r="Q64" s="17">
        <f>SUM('A. FS'!Q102:Q103)/'A. FS'!Q120</f>
        <v>0.54299102304737235</v>
      </c>
      <c r="R64" s="17">
        <f>SUM('A. FS'!R102:R103)/'A. FS'!R120</f>
        <v>0.60794732518489891</v>
      </c>
      <c r="S64" s="17">
        <f>SUM('A. FS'!S102:S103)/'A. FS'!S120</f>
        <v>0.68729562128291877</v>
      </c>
      <c r="U64" s="1322" t="s">
        <v>1543</v>
      </c>
      <c r="X64" s="17">
        <v>0.30617791143428702</v>
      </c>
      <c r="Y64" s="17">
        <v>0.30818333766351813</v>
      </c>
      <c r="Z64" s="17">
        <v>0.46620289512394814</v>
      </c>
      <c r="AA64" s="17">
        <v>0.47151917212670469</v>
      </c>
      <c r="AB64" s="17">
        <v>0.42755255027226613</v>
      </c>
      <c r="AD64" s="3"/>
      <c r="AE64" s="3"/>
      <c r="AF64" s="3"/>
      <c r="AG64" s="3"/>
      <c r="AH64" s="3"/>
      <c r="AI64" s="3"/>
      <c r="AJ64" s="3"/>
      <c r="AK64" s="3"/>
      <c r="AL64" s="3"/>
      <c r="AM64" s="3"/>
      <c r="AN64" s="3"/>
      <c r="AO64" s="3"/>
      <c r="AP64" s="3"/>
      <c r="AQ64" s="3"/>
      <c r="AR64" s="3"/>
      <c r="AS64" s="3"/>
    </row>
    <row r="65" spans="1:48" s="1" customFormat="1">
      <c r="A65" s="1322" t="s">
        <v>1544</v>
      </c>
      <c r="D65" s="18">
        <f>('A. FS'!D101-'A. FS'!D105)/'A. FS'!D120</f>
        <v>0.72794921850025207</v>
      </c>
      <c r="E65" s="18">
        <f>('A. FS'!E101-'A. FS'!E105)/'A. FS'!E120</f>
        <v>0.51207235455015054</v>
      </c>
      <c r="F65" s="18">
        <f>('A. FS'!F101-'A. FS'!F105)/'A. FS'!F120</f>
        <v>0.81013101443857882</v>
      </c>
      <c r="G65" s="18">
        <f>('A. FS'!G101-'A. FS'!G105)/'A. FS'!G120</f>
        <v>0.74965113108274506</v>
      </c>
      <c r="H65" s="18">
        <f>('A. FS'!H101-'A. FS'!H105)/'A. FS'!H120</f>
        <v>0.68615669125250334</v>
      </c>
      <c r="I65" s="18">
        <f>('A. FS'!I101-'A. FS'!I105)/'A. FS'!I120</f>
        <v>0.55386805509543069</v>
      </c>
      <c r="J65" s="18">
        <f>('A. FS'!J101-'A. FS'!J105)/'A. FS'!J120</f>
        <v>0.56507780722521583</v>
      </c>
      <c r="K65" s="18">
        <f>('A. FS'!K101-'A. FS'!K105)/'A. FS'!K120</f>
        <v>1.0677394754342124</v>
      </c>
      <c r="L65" s="18">
        <f>('A. FS'!L101-'A. FS'!L105)/'A. FS'!L120</f>
        <v>0.70849865677959933</v>
      </c>
      <c r="M65" s="141">
        <f>('A. FS'!M101-'A. FS'!M105)/'A. FS'!M120</f>
        <v>0.65116887727379724</v>
      </c>
      <c r="N65" s="18">
        <f>('A. FS'!N101-'A. FS'!N105)/'A. FS'!N120</f>
        <v>0.79831814196710316</v>
      </c>
      <c r="O65" s="18">
        <f>('A. FS'!O101-'A. FS'!O105)/'A. FS'!O120</f>
        <v>0.88412863601479341</v>
      </c>
      <c r="P65" s="18">
        <f>('A. FS'!P101-'A. FS'!P105)/'A. FS'!P120</f>
        <v>0.91706013888600701</v>
      </c>
      <c r="Q65" s="18">
        <f>('A. FS'!Q101-'A. FS'!Q105)/'A. FS'!Q120</f>
        <v>0.96937496563080183</v>
      </c>
      <c r="R65" s="18">
        <f>('A. FS'!R101-'A. FS'!R105)/'A. FS'!R120</f>
        <v>1.0242337865004567</v>
      </c>
      <c r="S65" s="18">
        <f>('A. FS'!S101-'A. FS'!S105)/'A. FS'!S120</f>
        <v>1.0898681755049076</v>
      </c>
      <c r="U65" s="1322" t="s">
        <v>1544</v>
      </c>
      <c r="X65" s="18">
        <v>0.95470986879131448</v>
      </c>
      <c r="Y65" s="18">
        <v>0.87301749396292683</v>
      </c>
      <c r="Z65" s="18">
        <v>0.98921538400010944</v>
      </c>
      <c r="AA65" s="18">
        <v>0.90068597216274682</v>
      </c>
      <c r="AB65" s="18">
        <v>0.78141393416149074</v>
      </c>
      <c r="AD65" s="3"/>
      <c r="AE65" s="3"/>
      <c r="AF65" s="3"/>
      <c r="AG65" s="3"/>
      <c r="AH65" s="3"/>
      <c r="AI65" s="3"/>
      <c r="AJ65" s="3"/>
      <c r="AK65" s="3"/>
      <c r="AL65" s="3"/>
      <c r="AM65" s="3"/>
      <c r="AN65" s="3"/>
      <c r="AO65" s="3"/>
      <c r="AP65" s="3"/>
      <c r="AQ65" s="3"/>
      <c r="AR65" s="3"/>
      <c r="AS65" s="3"/>
    </row>
    <row r="66" spans="1:48" s="1" customFormat="1">
      <c r="A66" s="1322" t="s">
        <v>1545</v>
      </c>
      <c r="D66" s="18">
        <f>'A. FS'!D101/'A. FS'!D120</f>
        <v>1.2854428004834519</v>
      </c>
      <c r="E66" s="18">
        <f>'A. FS'!E101/'A. FS'!E120</f>
        <v>1.3007767807353323</v>
      </c>
      <c r="F66" s="18">
        <f>'A. FS'!F101/'A. FS'!F120</f>
        <v>1.8913665398164612</v>
      </c>
      <c r="G66" s="18">
        <f>'A. FS'!G101/'A. FS'!G120</f>
        <v>1.8116446724541149</v>
      </c>
      <c r="H66" s="18">
        <f>'A. FS'!H101/'A. FS'!H120</f>
        <v>1.6652253506335681</v>
      </c>
      <c r="I66" s="18">
        <f>'A. FS'!I101/'A. FS'!I120</f>
        <v>1.4590139645086573</v>
      </c>
      <c r="J66" s="18">
        <f>'A. FS'!J101/'A. FS'!J120</f>
        <v>1.550106019002069</v>
      </c>
      <c r="K66" s="18">
        <f>'A. FS'!K101/'A. FS'!K120</f>
        <v>1.501929193068271</v>
      </c>
      <c r="L66" s="18">
        <f>'A. FS'!L101/'A. FS'!L120</f>
        <v>1.3161005533154693</v>
      </c>
      <c r="M66" s="141">
        <f>'A. FS'!M101/'A. FS'!M120</f>
        <v>1.4894261394974087</v>
      </c>
      <c r="N66" s="18">
        <f>'A. FS'!N101/'A. FS'!N120</f>
        <v>1.4571847494761945</v>
      </c>
      <c r="O66" s="18">
        <f>'A. FS'!O101/'A. FS'!O120</f>
        <v>1.5313923530862539</v>
      </c>
      <c r="P66" s="18">
        <f>'A. FS'!P101/'A. FS'!P120</f>
        <v>1.5613090888696155</v>
      </c>
      <c r="Q66" s="18">
        <f>'A. FS'!Q101/'A. FS'!Q120</f>
        <v>1.6006097261787431</v>
      </c>
      <c r="R66" s="18">
        <f>'A. FS'!R101/'A. FS'!R120</f>
        <v>1.647302087344799</v>
      </c>
      <c r="S66" s="18">
        <f>'A. FS'!S101/'A. FS'!S120</f>
        <v>1.6958623707370692</v>
      </c>
      <c r="U66" s="1322" t="s">
        <v>1545</v>
      </c>
      <c r="X66" s="18">
        <v>1.2435194073460079</v>
      </c>
      <c r="Y66" s="18">
        <v>1.2505278140993887</v>
      </c>
      <c r="Z66" s="18">
        <v>1.1695553819281317</v>
      </c>
      <c r="AA66" s="18">
        <v>1.1286699975214061</v>
      </c>
      <c r="AB66" s="18">
        <v>1.1354834935861271</v>
      </c>
      <c r="AD66" s="3"/>
      <c r="AE66" s="3"/>
      <c r="AF66" s="3"/>
      <c r="AG66" s="3"/>
      <c r="AH66" s="3"/>
      <c r="AI66" s="3"/>
      <c r="AJ66" s="3"/>
      <c r="AK66" s="3"/>
      <c r="AL66" s="3"/>
      <c r="AM66" s="3"/>
      <c r="AN66" s="3"/>
      <c r="AO66" s="3"/>
      <c r="AP66" s="3"/>
      <c r="AQ66" s="3"/>
      <c r="AR66" s="3"/>
      <c r="AS66" s="3"/>
    </row>
    <row r="67" spans="1:48" s="1" customFormat="1">
      <c r="A67" s="1322" t="s">
        <v>1546</v>
      </c>
      <c r="D67" s="17">
        <f>'A. FS'!D39/AVERAGE('A. FS'!C119:D119)</f>
        <v>0.15018780063084866</v>
      </c>
      <c r="E67" s="17">
        <f>'A. FS'!E39/AVERAGE('A. FS'!D119:E119)</f>
        <v>0.21862731839521948</v>
      </c>
      <c r="F67" s="17">
        <f>'A. FS'!F39/AVERAGE('A. FS'!E119:F119)</f>
        <v>0.19684699710684764</v>
      </c>
      <c r="G67" s="17">
        <f>'A. FS'!G39/AVERAGE('A. FS'!F119:G119)</f>
        <v>0.14003182774432138</v>
      </c>
      <c r="H67" s="17">
        <f>'A. FS'!H39/AVERAGE('A. FS'!G119:H119)</f>
        <v>0.12387078568742516</v>
      </c>
      <c r="I67" s="17">
        <f>'A. FS'!I39/AVERAGE('A. FS'!H119:I119)</f>
        <v>0.12588465046684411</v>
      </c>
      <c r="J67" s="17">
        <f>'A. FS'!J39/AVERAGE('A. FS'!I119:J119)</f>
        <v>0.13994759619776559</v>
      </c>
      <c r="K67" s="17">
        <f>'A. FS'!K39/AVERAGE('A. FS'!J119:K119)</f>
        <v>0.16780046526847034</v>
      </c>
      <c r="L67" s="17">
        <f>'A. FS'!L39/AVERAGE('A. FS'!K119:L119)</f>
        <v>0.2074651265720808</v>
      </c>
      <c r="M67" s="153">
        <f>'A. FS'!M39/AVERAGE('A. FS'!L119:M119)</f>
        <v>0.18809638313656568</v>
      </c>
      <c r="N67" s="17">
        <f>'A. FS'!N39/AVERAGE('A. FS'!M119:N119)</f>
        <v>0.1198011687138046</v>
      </c>
      <c r="O67" s="17">
        <f>'A. FS'!O39/AVERAGE('A. FS'!N119:O119)</f>
        <v>0.12500785914643839</v>
      </c>
      <c r="P67" s="17">
        <f>'A. FS'!P39/AVERAGE('A. FS'!O119:P119)</f>
        <v>0.13547414482249226</v>
      </c>
      <c r="Q67" s="17">
        <f>'A. FS'!Q39/AVERAGE('A. FS'!P119:Q119)</f>
        <v>0.14582747034744037</v>
      </c>
      <c r="R67" s="17">
        <f>'A. FS'!R39/AVERAGE('A. FS'!Q119:R119)</f>
        <v>0.15940582343041537</v>
      </c>
      <c r="S67" s="17">
        <f>'A. FS'!S39/AVERAGE('A. FS'!R119:S119)</f>
        <v>0.17447226805844507</v>
      </c>
      <c r="U67" s="1322" t="s">
        <v>1546</v>
      </c>
      <c r="X67" s="17">
        <v>6.9056612188325414E-2</v>
      </c>
      <c r="Y67" s="17">
        <v>5.6526956103635478E-2</v>
      </c>
      <c r="Z67" s="17">
        <v>7.5511345592892937E-2</v>
      </c>
      <c r="AA67" s="17">
        <v>7.9919553787126618E-2</v>
      </c>
      <c r="AB67" s="17">
        <v>8.1770908469217335E-2</v>
      </c>
      <c r="AD67" s="3"/>
      <c r="AE67" s="3"/>
      <c r="AF67" s="3"/>
      <c r="AG67" s="3"/>
      <c r="AH67" s="3"/>
      <c r="AI67" s="3"/>
      <c r="AJ67" s="3"/>
      <c r="AK67" s="3"/>
      <c r="AL67" s="3"/>
      <c r="AM67" s="3"/>
      <c r="AN67" s="3"/>
      <c r="AO67" s="3"/>
      <c r="AP67" s="3"/>
      <c r="AQ67" s="3"/>
      <c r="AR67" s="3"/>
      <c r="AS67" s="3"/>
    </row>
    <row r="68" spans="1:48" s="1" customFormat="1">
      <c r="A68" s="1322"/>
      <c r="M68" s="1259"/>
      <c r="N68" s="1322"/>
      <c r="U68" s="1322"/>
      <c r="AD68" s="3"/>
      <c r="AE68" s="3"/>
      <c r="AF68" s="3"/>
      <c r="AG68" s="3"/>
      <c r="AH68" s="3"/>
      <c r="AI68" s="3"/>
      <c r="AJ68" s="3"/>
      <c r="AK68" s="3"/>
      <c r="AL68" s="3"/>
      <c r="AM68" s="3"/>
      <c r="AN68" s="3"/>
      <c r="AO68" s="3"/>
      <c r="AP68" s="3"/>
      <c r="AQ68" s="3"/>
      <c r="AR68" s="3"/>
      <c r="AS68" s="3"/>
    </row>
    <row r="69" spans="1:48" s="1266" customFormat="1">
      <c r="A69" s="44" t="s">
        <v>1547</v>
      </c>
      <c r="M69" s="1347"/>
      <c r="N69" s="1346"/>
      <c r="U69" s="44" t="s">
        <v>1547</v>
      </c>
      <c r="AD69" s="22"/>
      <c r="AE69" s="3"/>
      <c r="AF69" s="3"/>
      <c r="AG69" s="3"/>
      <c r="AH69" s="3"/>
      <c r="AI69" s="3"/>
      <c r="AJ69" s="3"/>
      <c r="AK69" s="3"/>
      <c r="AL69" s="3"/>
      <c r="AM69" s="3"/>
      <c r="AN69" s="3"/>
      <c r="AO69" s="3"/>
      <c r="AP69" s="3"/>
      <c r="AQ69" s="3"/>
      <c r="AR69" s="3"/>
      <c r="AS69" s="3"/>
      <c r="AT69" s="1"/>
      <c r="AU69" s="1"/>
      <c r="AV69" s="1"/>
    </row>
    <row r="70" spans="1:48" s="1" customFormat="1">
      <c r="A70" s="1322" t="s">
        <v>1548</v>
      </c>
      <c r="D70" s="5">
        <f>AVERAGE('A. FS'!C32:D32)/-'A. FS'!D55</f>
        <v>2.6379191632593262</v>
      </c>
      <c r="E70" s="5">
        <f>AVERAGE('A. FS'!D32:E32)/-'A. FS'!E55</f>
        <v>5.4604036933497131</v>
      </c>
      <c r="F70" s="5">
        <f>AVERAGE('A. FS'!E32:F32)/-'A. FS'!F55</f>
        <v>7.2596345127450119</v>
      </c>
      <c r="G70" s="5">
        <f>AVERAGE('A. FS'!F32:G32)/-'A. FS'!G55</f>
        <v>5.3383295467491525</v>
      </c>
      <c r="H70" s="5">
        <f>AVERAGE('A. FS'!G32:H32)/-'A. FS'!H55</f>
        <v>4.0199839157623156</v>
      </c>
      <c r="I70" s="5">
        <f>AVERAGE('A. FS'!H32:I32)/-'A. FS'!I55</f>
        <v>3.6766428944205298</v>
      </c>
      <c r="J70" s="5">
        <f>AVERAGE('A. FS'!I32:J32)/-'A. FS'!J55</f>
        <v>3.5986869221709057</v>
      </c>
      <c r="K70" s="5">
        <f>AVERAGE('A. FS'!J32:K32)/-'A. FS'!K55</f>
        <v>8.8360429636301223</v>
      </c>
      <c r="L70" s="5">
        <f>AVERAGE('A. FS'!K32:L32)/-'A. FS'!L55</f>
        <v>15.118549969919025</v>
      </c>
      <c r="M70" s="5">
        <f>AVERAGE('A. FS'!L32:M32)/-'A. FS'!M55</f>
        <v>7.8918823765658672</v>
      </c>
      <c r="N70" s="5">
        <f>AVERAGE('A. FS'!M32:N32)/-'A. FS'!N55</f>
        <v>5.042984091157992</v>
      </c>
      <c r="O70" s="5">
        <f>AVERAGE('A. FS'!N32:O32)/-'A. FS'!O55</f>
        <v>4.1383687649195826</v>
      </c>
      <c r="P70" s="5">
        <f>AVERAGE('A. FS'!O32:P32)/-'A. FS'!P55</f>
        <v>4.6511302543405169</v>
      </c>
      <c r="Q70" s="5">
        <f>AVERAGE('A. FS'!P32:Q32)/-'A. FS'!Q55</f>
        <v>5.1777931618155728</v>
      </c>
      <c r="R70" s="5">
        <f>AVERAGE('A. FS'!Q32:R32)/-'A. FS'!R55</f>
        <v>5.7888203793194366</v>
      </c>
      <c r="S70" s="5">
        <f>AVERAGE('A. FS'!R32:S32)/-'A. FS'!S55</f>
        <v>6.4150415820328517</v>
      </c>
      <c r="U70" s="1322" t="s">
        <v>1548</v>
      </c>
      <c r="X70" s="5">
        <v>2.3428063165622928</v>
      </c>
      <c r="Y70" s="5">
        <v>2.0103067291959431</v>
      </c>
      <c r="Z70" s="5">
        <v>3.0691716007841885</v>
      </c>
      <c r="AA70" s="5">
        <v>4.7231243113796619</v>
      </c>
      <c r="AB70" s="5">
        <v>2.7540942322652158</v>
      </c>
      <c r="AD70" s="3"/>
      <c r="AE70" s="3"/>
      <c r="AF70" s="3"/>
      <c r="AG70" s="3"/>
      <c r="AH70" s="3"/>
      <c r="AI70" s="3"/>
      <c r="AJ70" s="3"/>
      <c r="AK70" s="3"/>
      <c r="AL70" s="3"/>
      <c r="AM70" s="3"/>
      <c r="AN70" s="3"/>
      <c r="AO70" s="3"/>
      <c r="AP70" s="3"/>
      <c r="AQ70" s="3"/>
      <c r="AR70" s="3"/>
      <c r="AS70" s="3"/>
    </row>
    <row r="71" spans="1:48" s="1" customFormat="1">
      <c r="A71" s="1322"/>
      <c r="M71" s="1259"/>
      <c r="N71" s="1322"/>
      <c r="U71" s="1322"/>
      <c r="AD71" s="3"/>
      <c r="AE71" s="3"/>
      <c r="AF71" s="3"/>
      <c r="AG71" s="3"/>
      <c r="AH71" s="3"/>
      <c r="AI71" s="3"/>
      <c r="AJ71" s="3"/>
      <c r="AK71" s="3"/>
      <c r="AL71" s="3"/>
      <c r="AM71" s="3"/>
      <c r="AN71" s="3"/>
      <c r="AO71" s="3"/>
      <c r="AP71" s="3"/>
      <c r="AQ71" s="3"/>
      <c r="AR71" s="3"/>
      <c r="AS71" s="3"/>
    </row>
    <row r="72" spans="1:48" s="1266" customFormat="1">
      <c r="A72" s="44" t="s">
        <v>1549</v>
      </c>
      <c r="M72" s="1347"/>
      <c r="N72" s="1346"/>
      <c r="U72" s="44" t="s">
        <v>1549</v>
      </c>
      <c r="AD72" s="22"/>
      <c r="AE72" s="3"/>
      <c r="AF72" s="3"/>
      <c r="AG72" s="3"/>
      <c r="AH72" s="3"/>
      <c r="AI72" s="3"/>
      <c r="AJ72" s="3"/>
      <c r="AK72" s="3"/>
      <c r="AL72" s="3"/>
      <c r="AM72" s="3"/>
      <c r="AN72" s="3"/>
      <c r="AO72" s="3"/>
      <c r="AP72" s="3"/>
      <c r="AQ72" s="3"/>
      <c r="AR72" s="3"/>
      <c r="AS72" s="3"/>
      <c r="AT72" s="1"/>
      <c r="AU72" s="1"/>
      <c r="AV72" s="1"/>
    </row>
    <row r="73" spans="1:48" s="1" customFormat="1">
      <c r="A73" s="1322" t="s">
        <v>1550</v>
      </c>
      <c r="D73" s="18">
        <f>('A. FS'!D121+'A. FS'!D126)/'A. FS'!D129</f>
        <v>1.9487416178231567</v>
      </c>
      <c r="E73" s="18">
        <f>('A. FS'!E121+'A. FS'!E126)/'A. FS'!E129</f>
        <v>1.8867432589170858</v>
      </c>
      <c r="F73" s="18">
        <f>('A. FS'!F121+'A. FS'!F126)/'A. FS'!F129</f>
        <v>0.73257940018181256</v>
      </c>
      <c r="G73" s="18">
        <f>('A. FS'!G121+'A. FS'!G126)/'A. FS'!G129</f>
        <v>0.54412435285142557</v>
      </c>
      <c r="H73" s="18">
        <f>('A. FS'!H121+'A. FS'!H126)/'A. FS'!H129</f>
        <v>0.90065709662273363</v>
      </c>
      <c r="I73" s="18">
        <f>('A. FS'!I121+'A. FS'!I126)/'A. FS'!I129</f>
        <v>1.0918545855466892</v>
      </c>
      <c r="J73" s="18">
        <f>('A. FS'!J121+'A. FS'!J126)/'A. FS'!J129</f>
        <v>0.67065231044941875</v>
      </c>
      <c r="K73" s="18">
        <f>('A. FS'!K121+'A. FS'!K126)/'A. FS'!K129</f>
        <v>0.54342182157314622</v>
      </c>
      <c r="L73" s="18">
        <f>('A. FS'!L121+'A. FS'!L126)/'A. FS'!L129</f>
        <v>0.62720347754074524</v>
      </c>
      <c r="M73" s="141">
        <f>('A. FS'!M121+'A. FS'!M126)/'A. FS'!M129</f>
        <v>0.80713948738762764</v>
      </c>
      <c r="N73" s="18">
        <f>('A. FS'!N121+'A. FS'!N126)/'A. FS'!N129</f>
        <v>0.76802270423869756</v>
      </c>
      <c r="O73" s="18">
        <f>('A. FS'!O121+'A. FS'!O126)/'A. FS'!O129</f>
        <v>0.70553471421607761</v>
      </c>
      <c r="P73" s="18">
        <f>('A. FS'!P121+'A. FS'!P126)/'A. FS'!P129</f>
        <v>0.68878871312369605</v>
      </c>
      <c r="Q73" s="18">
        <f>('A. FS'!Q121+'A. FS'!Q126)/'A. FS'!Q129</f>
        <v>0.66541976735513486</v>
      </c>
      <c r="R73" s="18">
        <f>('A. FS'!R121+'A. FS'!R126)/'A. FS'!R129</f>
        <v>0.62314097158867632</v>
      </c>
      <c r="S73" s="18">
        <f>('A. FS'!S121+'A. FS'!S126)/'A. FS'!S129</f>
        <v>0.58806182574102872</v>
      </c>
      <c r="U73" s="1322" t="s">
        <v>1550</v>
      </c>
      <c r="X73" s="18">
        <v>2.3871531331883755</v>
      </c>
      <c r="Y73" s="18">
        <v>2.0065382749873906</v>
      </c>
      <c r="Z73" s="18">
        <v>2.7791606769591866</v>
      </c>
      <c r="AA73" s="18">
        <v>3.3607103812764492</v>
      </c>
      <c r="AB73" s="18">
        <v>3.3685492235829453</v>
      </c>
      <c r="AD73" s="3"/>
      <c r="AE73" s="3"/>
      <c r="AF73" s="3"/>
      <c r="AG73" s="3"/>
      <c r="AH73" s="3"/>
      <c r="AI73" s="3"/>
      <c r="AJ73" s="3"/>
      <c r="AK73" s="3"/>
      <c r="AL73" s="3"/>
      <c r="AM73" s="3"/>
      <c r="AN73" s="3"/>
      <c r="AO73" s="3"/>
      <c r="AP73" s="3"/>
      <c r="AQ73" s="3"/>
      <c r="AR73" s="3"/>
      <c r="AS73" s="3"/>
    </row>
    <row r="74" spans="1:48" s="1" customFormat="1">
      <c r="A74" s="1322" t="s">
        <v>1551</v>
      </c>
      <c r="D74" s="18">
        <f>('A. FS'!D121+'A. FS'!D126)/'A. FS'!D117</f>
        <v>0.49898745340238021</v>
      </c>
      <c r="E74" s="18">
        <f>('A. FS'!E121+'A. FS'!E126)/'A. FS'!E117</f>
        <v>0.4885851160496284</v>
      </c>
      <c r="F74" s="18">
        <f>('A. FS'!F121+'A. FS'!F126)/'A. FS'!F117</f>
        <v>0.3550808533930071</v>
      </c>
      <c r="G74" s="18">
        <f>('A. FS'!G121+'A. FS'!G126)/'A. FS'!G117</f>
        <v>0.2622614551496415</v>
      </c>
      <c r="H74" s="18">
        <f>('A. FS'!H121+'A. FS'!H126)/'A. FS'!H117</f>
        <v>0.38956357929397933</v>
      </c>
      <c r="I74" s="18">
        <f>('A. FS'!I121+'A. FS'!I126)/'A. FS'!I117</f>
        <v>0.3764091851198641</v>
      </c>
      <c r="J74" s="18">
        <f>('A. FS'!J121+'A. FS'!J126)/'A. FS'!J117</f>
        <v>0.25789500568341672</v>
      </c>
      <c r="K74" s="18">
        <f>('A. FS'!K121+'A. FS'!K126)/'A. FS'!K117</f>
        <v>0.20516551141342959</v>
      </c>
      <c r="L74" s="18">
        <f>('A. FS'!L121+'A. FS'!L126)/'A. FS'!L117</f>
        <v>0.17070408345854929</v>
      </c>
      <c r="M74" s="141">
        <f>('A. FS'!M121+'A. FS'!M126)/'A. FS'!M117</f>
        <v>0.30775716321077984</v>
      </c>
      <c r="N74" s="18">
        <f>('A. FS'!N121+'A. FS'!N126)/'A. FS'!N117</f>
        <v>0.27503471494439874</v>
      </c>
      <c r="O74" s="18">
        <f>('A. FS'!O121+'A. FS'!O126)/'A. FS'!O117</f>
        <v>0.26957218675216088</v>
      </c>
      <c r="P74" s="18">
        <f>('A. FS'!P121+'A. FS'!P126)/'A. FS'!P117</f>
        <v>0.26685791848379803</v>
      </c>
      <c r="Q74" s="18">
        <f>('A. FS'!Q121+'A. FS'!Q126)/'A. FS'!Q117</f>
        <v>0.26472701581848518</v>
      </c>
      <c r="R74" s="18">
        <f>('A. FS'!R121+'A. FS'!R126)/'A. FS'!R117</f>
        <v>0.25632010016649687</v>
      </c>
      <c r="S74" s="18">
        <f>('A. FS'!S121+'A. FS'!S126)/'A. FS'!S117</f>
        <v>0.25002246202234107</v>
      </c>
      <c r="U74" s="1322" t="s">
        <v>1551</v>
      </c>
      <c r="X74" s="18">
        <v>0.69533038265616109</v>
      </c>
      <c r="Y74" s="18">
        <v>0.66273426556668835</v>
      </c>
      <c r="Z74" s="18">
        <v>0.73127409766062967</v>
      </c>
      <c r="AA74" s="18">
        <v>0.7675445885652401</v>
      </c>
      <c r="AB74" s="18">
        <v>0.7685532574289119</v>
      </c>
      <c r="AD74" s="3"/>
      <c r="AE74" s="3"/>
      <c r="AF74" s="3"/>
      <c r="AG74" s="3"/>
      <c r="AH74" s="3"/>
      <c r="AI74" s="3"/>
      <c r="AJ74" s="3"/>
      <c r="AK74" s="3"/>
      <c r="AL74" s="3"/>
      <c r="AM74" s="3"/>
      <c r="AN74" s="3"/>
      <c r="AO74" s="3"/>
      <c r="AP74" s="3"/>
      <c r="AQ74" s="3"/>
      <c r="AR74" s="3"/>
      <c r="AS74" s="3"/>
    </row>
    <row r="75" spans="1:48" s="1" customFormat="1">
      <c r="A75" s="1322" t="s">
        <v>1552</v>
      </c>
      <c r="D75" s="18">
        <f>1-D74</f>
        <v>0.50101254659761985</v>
      </c>
      <c r="E75" s="18">
        <f>1-E74</f>
        <v>0.5114148839503716</v>
      </c>
      <c r="F75" s="18">
        <f>1-F74</f>
        <v>0.6449191466069929</v>
      </c>
      <c r="G75" s="18">
        <f>1-G74</f>
        <v>0.7377385448503585</v>
      </c>
      <c r="H75" s="18">
        <f>1-H74</f>
        <v>0.61043642070602067</v>
      </c>
      <c r="I75" s="18">
        <f t="shared" ref="I75:S75" si="16">1-I74</f>
        <v>0.6235908148801359</v>
      </c>
      <c r="J75" s="18">
        <f t="shared" si="16"/>
        <v>0.74210499431658328</v>
      </c>
      <c r="K75" s="18">
        <f t="shared" si="16"/>
        <v>0.79483448858657035</v>
      </c>
      <c r="L75" s="18">
        <f t="shared" si="16"/>
        <v>0.82929591654145074</v>
      </c>
      <c r="M75" s="141">
        <f t="shared" si="16"/>
        <v>0.69224283678922016</v>
      </c>
      <c r="N75" s="18">
        <f t="shared" si="16"/>
        <v>0.72496528505560121</v>
      </c>
      <c r="O75" s="18">
        <f t="shared" si="16"/>
        <v>0.73042781324783912</v>
      </c>
      <c r="P75" s="18">
        <f t="shared" si="16"/>
        <v>0.73314208151620197</v>
      </c>
      <c r="Q75" s="18">
        <f t="shared" si="16"/>
        <v>0.73527298418151488</v>
      </c>
      <c r="R75" s="18">
        <f t="shared" si="16"/>
        <v>0.74367989983350313</v>
      </c>
      <c r="S75" s="18">
        <f t="shared" si="16"/>
        <v>0.74997753797765898</v>
      </c>
      <c r="U75" s="1322" t="s">
        <v>1552</v>
      </c>
      <c r="X75" s="18">
        <v>0.30466961734383891</v>
      </c>
      <c r="Y75" s="18">
        <v>0.33726573443331165</v>
      </c>
      <c r="Z75" s="18">
        <v>0.26872590233937033</v>
      </c>
      <c r="AA75" s="18">
        <v>0.2324554114347599</v>
      </c>
      <c r="AB75" s="18">
        <v>0.2314467425710881</v>
      </c>
      <c r="AD75" s="3"/>
      <c r="AE75" s="3"/>
      <c r="AF75" s="3"/>
      <c r="AG75" s="3"/>
      <c r="AH75" s="3"/>
      <c r="AI75" s="3"/>
      <c r="AJ75" s="3"/>
      <c r="AK75" s="3"/>
      <c r="AL75" s="3"/>
      <c r="AM75" s="3"/>
      <c r="AN75" s="3"/>
      <c r="AO75" s="3"/>
      <c r="AP75" s="3"/>
      <c r="AQ75" s="3"/>
      <c r="AR75" s="3"/>
      <c r="AS75" s="3"/>
    </row>
    <row r="76" spans="1:48" s="1" customFormat="1">
      <c r="A76" s="1322" t="s">
        <v>1553</v>
      </c>
      <c r="D76" s="18">
        <f>'A. FS'!D121/'A. FS'!D129</f>
        <v>1.815568368156963</v>
      </c>
      <c r="E76" s="18">
        <f>'A. FS'!E121/'A. FS'!E129</f>
        <v>1.801607414674314</v>
      </c>
      <c r="F76" s="18">
        <f>'A. FS'!F121/'A. FS'!F129</f>
        <v>0.69494861186629664</v>
      </c>
      <c r="G76" s="18">
        <f>'A. FS'!G121/'A. FS'!G129</f>
        <v>0.54412435285142557</v>
      </c>
      <c r="H76" s="18">
        <f>'A. FS'!H121/'A. FS'!H129</f>
        <v>0.90065709662273363</v>
      </c>
      <c r="I76" s="18">
        <f>'A. FS'!I121/'A. FS'!I129</f>
        <v>1.0918545855466892</v>
      </c>
      <c r="J76" s="18">
        <f>'A. FS'!J121/'A. FS'!J129</f>
        <v>0.67065231044941875</v>
      </c>
      <c r="K76" s="18">
        <f>'A. FS'!K121/'A. FS'!K129</f>
        <v>0.54342182157314622</v>
      </c>
      <c r="L76" s="18">
        <f>'A. FS'!L121/'A. FS'!L129</f>
        <v>0.62720347754074524</v>
      </c>
      <c r="M76" s="141">
        <f>'A. FS'!M121/'A. FS'!M129</f>
        <v>0.79017901620691167</v>
      </c>
      <c r="N76" s="18">
        <f>'A. FS'!N121/'A. FS'!N129</f>
        <v>0.76432372465688392</v>
      </c>
      <c r="O76" s="18">
        <f>'A. FS'!O121/'A. FS'!O129</f>
        <v>0.69517529641454789</v>
      </c>
      <c r="P76" s="18">
        <f>'A. FS'!P121/'A. FS'!P129</f>
        <v>0.6755640674815323</v>
      </c>
      <c r="Q76" s="18">
        <f>'A. FS'!Q121/'A. FS'!Q129</f>
        <v>0.65114610332838596</v>
      </c>
      <c r="R76" s="18">
        <f>'A. FS'!R121/'A. FS'!R129</f>
        <v>0.60860664276138898</v>
      </c>
      <c r="S76" s="18">
        <f>'A. FS'!S121/'A. FS'!S129</f>
        <v>0.5737077611888094</v>
      </c>
      <c r="U76" s="1322" t="s">
        <v>1553</v>
      </c>
      <c r="X76" s="18">
        <v>2.149205344423919</v>
      </c>
      <c r="Y76" s="18">
        <v>1.8112253817635273</v>
      </c>
      <c r="Z76" s="18">
        <v>2.6132034288918389</v>
      </c>
      <c r="AA76" s="18">
        <v>3.2724136544654145</v>
      </c>
      <c r="AB76" s="18">
        <v>3.3120575467468489</v>
      </c>
      <c r="AD76" s="3"/>
      <c r="AE76" s="3"/>
      <c r="AF76" s="3"/>
      <c r="AG76" s="3"/>
      <c r="AH76" s="3"/>
      <c r="AI76" s="3"/>
      <c r="AJ76" s="3"/>
      <c r="AK76" s="3"/>
      <c r="AL76" s="3"/>
      <c r="AM76" s="3"/>
      <c r="AN76" s="3"/>
      <c r="AO76" s="3"/>
      <c r="AP76" s="3"/>
      <c r="AQ76" s="3"/>
      <c r="AR76" s="3"/>
      <c r="AS76" s="3"/>
    </row>
    <row r="77" spans="1:48" s="1" customFormat="1">
      <c r="A77" s="1322" t="s">
        <v>1554</v>
      </c>
      <c r="D77" s="18">
        <f>('A. FS'!D121+'A. FS'!D126-SUM('A. FS'!D102:D103))/'A. FS'!D129</f>
        <v>1.3232995303246855</v>
      </c>
      <c r="E77" s="18">
        <f>('A. FS'!E121+'A. FS'!E126-SUM('A. FS'!E102:E103))/'A. FS'!E129</f>
        <v>1.668177082912556</v>
      </c>
      <c r="F77" s="18">
        <f>('A. FS'!F121+'A. FS'!F126-SUM('A. FS'!F102:F103))/'A. FS'!F129</f>
        <v>0.67248706040823358</v>
      </c>
      <c r="G77" s="18">
        <f>('A. FS'!G121+'A. FS'!G126-SUM('A. FS'!G102:G103))/'A. FS'!G129</f>
        <v>0.48420627282516565</v>
      </c>
      <c r="H77" s="18">
        <f>('A. FS'!H121+'A. FS'!H126-SUM('A. FS'!H102:H103))/'A. FS'!H129</f>
        <v>0.85120050916379864</v>
      </c>
      <c r="I77" s="18">
        <f>('A. FS'!I121+'A. FS'!I126-SUM('A. FS'!I102:I103))/'A. FS'!I129</f>
        <v>0.99887863960532797</v>
      </c>
      <c r="J77" s="18">
        <f>('A. FS'!J121+'A. FS'!J126-SUM('A. FS'!J102:J103))/'A. FS'!J129</f>
        <v>0.52894552987839638</v>
      </c>
      <c r="K77" s="18">
        <f>('A. FS'!K121+'A. FS'!K126-SUM('A. FS'!K102:K103))/'A. FS'!K129</f>
        <v>-0.21444683636502657</v>
      </c>
      <c r="L77" s="18">
        <f>('A. FS'!L121+'A. FS'!L126-SUM('A. FS'!L102:L103))/'A. FS'!L129</f>
        <v>-0.21170351930791606</v>
      </c>
      <c r="M77" s="141">
        <f>('A. FS'!M121+'A. FS'!M126-SUM('A. FS'!M102:M103))/'A. FS'!M129</f>
        <v>0.46554331274160776</v>
      </c>
      <c r="N77" s="18">
        <f>('A. FS'!N121+'A. FS'!N126-SUM('A. FS'!N102:N103))/'A. FS'!N129</f>
        <v>0.15432351226789326</v>
      </c>
      <c r="O77" s="18">
        <f>('A. FS'!O121+'A. FS'!O126-SUM('A. FS'!O102:O103))/'A. FS'!O129</f>
        <v>1.8827035143106123E-2</v>
      </c>
      <c r="P77" s="18">
        <f>('A. FS'!P121+'A. FS'!P126-SUM('A. FS'!P102:P103))/'A. FS'!P129</f>
        <v>-5.6281013221517559E-2</v>
      </c>
      <c r="Q77" s="18">
        <f>('A. FS'!Q121+'A. FS'!Q126-SUM('A. FS'!Q102:Q103))/'A. FS'!Q129</f>
        <v>-0.14723174106680084</v>
      </c>
      <c r="R77" s="18">
        <f>('A. FS'!R121+'A. FS'!R126-SUM('A. FS'!R102:R103))/'A. FS'!R129</f>
        <v>-0.23660955868153447</v>
      </c>
      <c r="S77" s="18">
        <f>('A. FS'!S121+'A. FS'!S126-SUM('A. FS'!S102:S103))/'A. FS'!S129</f>
        <v>-0.32988956651779994</v>
      </c>
      <c r="U77" s="1322"/>
      <c r="X77" s="18"/>
      <c r="Y77" s="18"/>
      <c r="Z77" s="18"/>
      <c r="AA77" s="18"/>
      <c r="AB77" s="18"/>
      <c r="AD77" s="3"/>
      <c r="AE77" s="3"/>
      <c r="AF77" s="3"/>
      <c r="AG77" s="3"/>
      <c r="AH77" s="3"/>
      <c r="AI77" s="3"/>
      <c r="AJ77" s="3"/>
      <c r="AK77" s="3"/>
      <c r="AL77" s="3"/>
      <c r="AM77" s="3"/>
      <c r="AN77" s="3"/>
      <c r="AO77" s="3"/>
      <c r="AP77" s="3"/>
      <c r="AQ77" s="3"/>
      <c r="AR77" s="3"/>
      <c r="AS77" s="3"/>
    </row>
    <row r="78" spans="1:48" s="1" customFormat="1">
      <c r="A78" s="1322" t="s">
        <v>1555</v>
      </c>
      <c r="D78" s="18">
        <f>('A. FS'!D121+'A. FS'!D126-SUM('A. FS'!D102:D103))/'A. FS'!D117</f>
        <v>0.33883910349432589</v>
      </c>
      <c r="E78" s="18">
        <f>('A. FS'!E121+'A. FS'!E126-SUM('A. FS'!E102:E103))/'A. FS'!E117</f>
        <v>0.43198590470330622</v>
      </c>
      <c r="F78" s="18">
        <f>('A. FS'!F121+'A. FS'!F126-SUM('A. FS'!F102:F103))/'A. FS'!F117</f>
        <v>0.32595412762937065</v>
      </c>
      <c r="G78" s="18">
        <f>('A. FS'!G121+'A. FS'!G126-SUM('A. FS'!G102:G103))/'A. FS'!G117</f>
        <v>0.23338165446600917</v>
      </c>
      <c r="H78" s="18">
        <f>('A. FS'!H121+'A. FS'!H126-SUM('A. FS'!H102:H103))/'A. FS'!H117</f>
        <v>0.36817199163824049</v>
      </c>
      <c r="I78" s="18">
        <f>('A. FS'!I121+'A. FS'!I126-SUM('A. FS'!I102:I103))/'A. FS'!I117</f>
        <v>0.34435638201695506</v>
      </c>
      <c r="J78" s="18">
        <f>('A. FS'!J121+'A. FS'!J126-SUM('A. FS'!J102:J103))/'A. FS'!J117</f>
        <v>0.20340258030691638</v>
      </c>
      <c r="K78" s="18">
        <f>('A. FS'!K121+'A. FS'!K126-SUM('A. FS'!K102:K103))/'A. FS'!K117</f>
        <v>-8.0963062407865743E-2</v>
      </c>
      <c r="L78" s="18">
        <f>('A. FS'!L121+'A. FS'!L126-SUM('A. FS'!L102:L103))/'A. FS'!L117</f>
        <v>-5.7618709912301815E-2</v>
      </c>
      <c r="M78" s="141">
        <f>('A. FS'!M121+'A. FS'!M126-SUM('A. FS'!M102:M103))/'A. FS'!M117</f>
        <v>0.17750871010514549</v>
      </c>
      <c r="N78" s="18">
        <f>('A. FS'!N121+'A. FS'!N126-SUM('A. FS'!N102:N103))/'A. FS'!N117</f>
        <v>5.5264412069551225E-2</v>
      </c>
      <c r="O78" s="18">
        <f>('A. FS'!O121+'A. FS'!O126-SUM('A. FS'!O102:O103))/'A. FS'!O117</f>
        <v>7.1934731648548638E-3</v>
      </c>
      <c r="P78" s="18">
        <f>('A. FS'!P121+'A. FS'!P126-SUM('A. FS'!P102:P103))/'A. FS'!P117</f>
        <v>-2.1804994408722404E-2</v>
      </c>
      <c r="Q78" s="18">
        <f>('A. FS'!Q121+'A. FS'!Q126-SUM('A. FS'!Q102:Q103))/'A. FS'!Q117</f>
        <v>-5.8573882770711967E-2</v>
      </c>
      <c r="R78" s="18">
        <f>('A. FS'!R121+'A. FS'!R126-SUM('A. FS'!R102:R103))/'A. FS'!R117</f>
        <v>-9.7325947974472138E-2</v>
      </c>
      <c r="S78" s="18">
        <f>('A. FS'!S121+'A. FS'!S126-SUM('A. FS'!S102:S103))/'A. FS'!S117</f>
        <v>-0.14025702401669879</v>
      </c>
      <c r="U78" s="1322"/>
      <c r="X78" s="18"/>
      <c r="Y78" s="18"/>
      <c r="Z78" s="18"/>
      <c r="AA78" s="18"/>
      <c r="AB78" s="18"/>
      <c r="AD78" s="3"/>
      <c r="AE78" s="3"/>
      <c r="AF78" s="3"/>
      <c r="AG78" s="3"/>
      <c r="AH78" s="3"/>
      <c r="AI78" s="3"/>
      <c r="AJ78" s="3"/>
      <c r="AK78" s="3"/>
      <c r="AL78" s="3"/>
      <c r="AM78" s="3"/>
      <c r="AN78" s="3"/>
      <c r="AO78" s="3"/>
      <c r="AP78" s="3"/>
      <c r="AQ78" s="3"/>
      <c r="AR78" s="3"/>
      <c r="AS78" s="3"/>
    </row>
    <row r="79" spans="1:48" s="1" customFormat="1">
      <c r="A79" s="1322"/>
      <c r="M79" s="1259"/>
      <c r="N79" s="1322"/>
      <c r="U79" s="1322"/>
      <c r="AD79" s="3"/>
      <c r="AE79" s="3"/>
      <c r="AF79" s="3"/>
      <c r="AG79" s="3"/>
      <c r="AH79" s="3"/>
      <c r="AI79" s="3"/>
      <c r="AJ79" s="3"/>
      <c r="AK79" s="3"/>
      <c r="AL79" s="3"/>
      <c r="AM79" s="3"/>
      <c r="AN79" s="3"/>
      <c r="AO79" s="3"/>
      <c r="AP79" s="3"/>
      <c r="AQ79" s="3"/>
      <c r="AR79" s="3"/>
      <c r="AS79" s="3"/>
    </row>
    <row r="80" spans="1:48" s="1266" customFormat="1">
      <c r="A80" s="44" t="s">
        <v>1556</v>
      </c>
      <c r="M80" s="1347"/>
      <c r="N80" s="1346"/>
      <c r="U80" s="44" t="s">
        <v>1556</v>
      </c>
      <c r="AD80" s="22"/>
      <c r="AE80" s="3"/>
      <c r="AF80" s="3"/>
      <c r="AG80" s="3"/>
      <c r="AH80" s="3"/>
      <c r="AI80" s="3"/>
      <c r="AJ80" s="3"/>
      <c r="AK80" s="3"/>
      <c r="AL80" s="3"/>
      <c r="AM80" s="3"/>
      <c r="AN80" s="3"/>
      <c r="AO80" s="3"/>
      <c r="AP80" s="3"/>
      <c r="AQ80" s="3"/>
      <c r="AR80" s="3"/>
      <c r="AS80" s="3"/>
      <c r="AT80" s="1"/>
      <c r="AU80" s="1"/>
      <c r="AV80" s="1"/>
    </row>
    <row r="81" spans="1:45" s="1" customFormat="1">
      <c r="A81" s="1322" t="s">
        <v>1557</v>
      </c>
      <c r="I81" s="17">
        <f>'A. FS'!I$219/'A. FS'!I135</f>
        <v>-5.9497667807613383E-2</v>
      </c>
      <c r="J81" s="17">
        <f>'A. FS'!J$219/'A. FS'!J135</f>
        <v>0.12498369413960167</v>
      </c>
      <c r="K81" s="17">
        <f>'A. FS'!K$219/'A. FS'!K135</f>
        <v>0.2808995422780608</v>
      </c>
      <c r="L81" s="17">
        <f>'A. FS'!L$219/'A. FS'!L135</f>
        <v>3.5897132251092104E-2</v>
      </c>
      <c r="M81" s="153">
        <f>'A. FS'!M$219/'A. FS'!M135</f>
        <v>-0.18408366806979945</v>
      </c>
      <c r="N81" s="1322"/>
      <c r="U81" s="1322" t="s">
        <v>1557</v>
      </c>
      <c r="X81" s="17">
        <v>3.8053624378590785E-2</v>
      </c>
      <c r="Y81" s="17">
        <v>8.2287815487000315E-2</v>
      </c>
      <c r="Z81" s="17">
        <v>1.2353707780808684E-2</v>
      </c>
      <c r="AA81" s="17">
        <v>4.9887593602734759E-2</v>
      </c>
      <c r="AB81" s="17">
        <v>-2.7208714949635327E-2</v>
      </c>
      <c r="AD81" s="3"/>
      <c r="AE81" s="3"/>
      <c r="AF81" s="3"/>
      <c r="AG81" s="3"/>
      <c r="AH81" s="3"/>
      <c r="AI81" s="3"/>
      <c r="AJ81" s="3"/>
      <c r="AK81" s="3"/>
      <c r="AL81" s="3"/>
      <c r="AM81" s="3"/>
      <c r="AN81" s="3"/>
      <c r="AO81" s="3"/>
      <c r="AP81" s="3"/>
      <c r="AQ81" s="3"/>
      <c r="AR81" s="3"/>
      <c r="AS81" s="3"/>
    </row>
    <row r="82" spans="1:45" s="1" customFormat="1">
      <c r="A82" s="1322" t="s">
        <v>1558</v>
      </c>
      <c r="I82" s="18">
        <f>'A. FS'!I$219/('A. FS'!I121+'A. FS'!I126)</f>
        <v>-0.15806646107391586</v>
      </c>
      <c r="J82" s="18">
        <f>'A. FS'!J$219/('A. FS'!J121+'A. FS'!J126)</f>
        <v>0.4846301455446852</v>
      </c>
      <c r="K82" s="18">
        <f>'A. FS'!K$219/('A. FS'!K121+'A. FS'!K126)</f>
        <v>1.3691362663387379</v>
      </c>
      <c r="L82" s="18">
        <f>'A. FS'!L$219/('A. FS'!L121+'A. FS'!L126)</f>
        <v>0.2102886558059914</v>
      </c>
      <c r="M82" s="141">
        <f>'A. FS'!M$219/('A. FS'!M121+'A. FS'!M126)</f>
        <v>-0.59814584378568103</v>
      </c>
      <c r="N82" s="1322"/>
      <c r="U82" s="1322" t="s">
        <v>1558</v>
      </c>
      <c r="X82" s="18">
        <v>0.11026293516768554</v>
      </c>
      <c r="Y82" s="18">
        <v>0.26603375577167732</v>
      </c>
      <c r="Z82" s="18">
        <v>2.8598536095926996E-2</v>
      </c>
      <c r="AA82" s="18">
        <v>0.1234297439353061</v>
      </c>
      <c r="AB82" s="18">
        <v>-6.6205668254335312E-2</v>
      </c>
      <c r="AD82" s="3"/>
      <c r="AE82" s="3"/>
      <c r="AF82" s="3"/>
      <c r="AG82" s="3"/>
      <c r="AH82" s="3"/>
      <c r="AI82" s="3"/>
      <c r="AJ82" s="3"/>
      <c r="AK82" s="3"/>
      <c r="AL82" s="3"/>
      <c r="AM82" s="3"/>
      <c r="AN82" s="3"/>
      <c r="AO82" s="3"/>
      <c r="AP82" s="3"/>
      <c r="AQ82" s="3"/>
      <c r="AR82" s="3"/>
      <c r="AS82" s="3"/>
    </row>
    <row r="83" spans="1:45" s="1" customFormat="1">
      <c r="A83" s="1322" t="s">
        <v>1559</v>
      </c>
      <c r="I83" s="20">
        <f>'A. FS'!I219/'A. FS'!I162</f>
        <v>-21.465024156043537</v>
      </c>
      <c r="J83" s="20">
        <f>'A. FS'!J219/'A. FS'!J162</f>
        <v>359.0151382238306</v>
      </c>
      <c r="K83" s="20">
        <f>'A. FS'!K219/'A. FS'!K162</f>
        <v>68.591837541367255</v>
      </c>
      <c r="L83" s="20">
        <f>'A. FS'!L219/'A. FS'!L162</f>
        <v>19.697733106421946</v>
      </c>
      <c r="M83" s="125">
        <f>'A. FS'!M219/'A. FS'!M162</f>
        <v>-81.396961697521618</v>
      </c>
      <c r="N83" s="1322"/>
      <c r="U83" s="1322" t="s">
        <v>1559</v>
      </c>
      <c r="X83" s="20">
        <v>-3.7860633325576734</v>
      </c>
      <c r="Y83" s="20">
        <v>-5.2796528777272353</v>
      </c>
      <c r="Z83" s="20">
        <v>-1.3873011084486269</v>
      </c>
      <c r="AA83" s="20">
        <v>-3.3845961513174041</v>
      </c>
      <c r="AB83" s="20">
        <v>3.3213954472451448</v>
      </c>
      <c r="AD83" s="3"/>
      <c r="AE83" s="3"/>
      <c r="AF83" s="3"/>
      <c r="AG83" s="3"/>
      <c r="AH83" s="3"/>
      <c r="AI83" s="3"/>
      <c r="AJ83" s="3"/>
      <c r="AK83" s="3"/>
      <c r="AL83" s="3"/>
      <c r="AM83" s="3"/>
      <c r="AN83" s="3"/>
      <c r="AO83" s="3"/>
      <c r="AP83" s="3"/>
      <c r="AQ83" s="3"/>
      <c r="AR83" s="3"/>
      <c r="AS83" s="3"/>
    </row>
    <row r="84" spans="1:45" s="1" customFormat="1">
      <c r="A84" s="1322" t="s">
        <v>1560</v>
      </c>
      <c r="I84" s="5" t="e">
        <f>('A. FS'!#REF!-'A. FS'!#REF!)/-'A. FS'!#REF!</f>
        <v>#REF!</v>
      </c>
      <c r="J84" s="5" t="e">
        <f>('A. FS'!#REF!-'A. FS'!#REF!)/-'A. FS'!#REF!</f>
        <v>#REF!</v>
      </c>
      <c r="K84" s="5" t="e">
        <f>('A. FS'!#REF!-'A. FS'!#REF!)/-'A. FS'!#REF!</f>
        <v>#REF!</v>
      </c>
      <c r="L84" s="5" t="e">
        <f>('A. FS'!#REF!-'A. FS'!#REF!)/-'A. FS'!#REF!</f>
        <v>#REF!</v>
      </c>
      <c r="M84" s="1354" t="e">
        <f>('A. FS'!#REF!-'A. FS'!#REF!)/-'A. FS'!#REF!</f>
        <v>#REF!</v>
      </c>
      <c r="N84" s="1322"/>
      <c r="U84" s="1322" t="s">
        <v>1560</v>
      </c>
      <c r="X84" s="5">
        <v>3.2367630545793133</v>
      </c>
      <c r="Y84" s="5">
        <v>6.9960123299379111</v>
      </c>
      <c r="Z84" s="5">
        <v>2.0160651878349136</v>
      </c>
      <c r="AA84" s="5">
        <v>6.2054079782172265</v>
      </c>
      <c r="AB84" s="5">
        <v>-0.39470694163639503</v>
      </c>
      <c r="AD84" s="3"/>
      <c r="AE84" s="3"/>
      <c r="AF84" s="3"/>
      <c r="AG84" s="3"/>
      <c r="AH84" s="3"/>
      <c r="AI84" s="3"/>
      <c r="AJ84" s="3"/>
      <c r="AK84" s="3"/>
      <c r="AL84" s="3"/>
      <c r="AM84" s="3"/>
      <c r="AN84" s="3"/>
      <c r="AO84" s="3"/>
      <c r="AP84" s="3"/>
      <c r="AQ84" s="3"/>
      <c r="AR84" s="3"/>
      <c r="AS84" s="3"/>
    </row>
    <row r="85" spans="1:45" s="1" customFormat="1">
      <c r="A85" s="1322" t="s">
        <v>1561</v>
      </c>
      <c r="I85" s="17" t="e">
        <f>'A. FS'!#REF!/'A. FS'!I7</f>
        <v>#REF!</v>
      </c>
      <c r="J85" s="17" t="e">
        <f>'A. FS'!#REF!/'A. FS'!J7</f>
        <v>#REF!</v>
      </c>
      <c r="K85" s="17" t="e">
        <f>'A. FS'!#REF!/'A. FS'!K7</f>
        <v>#REF!</v>
      </c>
      <c r="L85" s="17" t="e">
        <f>'A. FS'!#REF!/'A. FS'!L7</f>
        <v>#REF!</v>
      </c>
      <c r="M85" s="153" t="e">
        <f>'A. FS'!#REF!/'A. FS'!M7</f>
        <v>#REF!</v>
      </c>
      <c r="N85" s="1322"/>
      <c r="U85" s="1322" t="s">
        <v>1561</v>
      </c>
      <c r="X85" s="17">
        <v>1.882984383277753E-2</v>
      </c>
      <c r="Y85" s="17">
        <v>4.0547278079084245E-2</v>
      </c>
      <c r="Z85" s="17">
        <v>5.7716648900997935E-3</v>
      </c>
      <c r="AA85" s="17">
        <v>2.3978469019757365E-2</v>
      </c>
      <c r="AB85" s="17">
        <v>-1.3973612027457004E-2</v>
      </c>
      <c r="AD85" s="3"/>
      <c r="AE85" s="3"/>
      <c r="AF85" s="3"/>
      <c r="AG85" s="3"/>
      <c r="AH85" s="3"/>
      <c r="AI85" s="3"/>
      <c r="AJ85" s="3"/>
      <c r="AK85" s="3"/>
      <c r="AL85" s="3"/>
      <c r="AM85" s="3"/>
      <c r="AN85" s="3"/>
      <c r="AO85" s="3"/>
      <c r="AP85" s="3"/>
      <c r="AQ85" s="3"/>
      <c r="AR85" s="3"/>
      <c r="AS85" s="3"/>
    </row>
    <row r="86" spans="1:45" s="1" customFormat="1">
      <c r="A86" s="1322"/>
      <c r="M86" s="1259"/>
      <c r="N86" s="1322"/>
      <c r="Y86" s="1322"/>
      <c r="AD86" s="3"/>
      <c r="AE86" s="3"/>
      <c r="AF86" s="3"/>
      <c r="AG86" s="3"/>
      <c r="AH86" s="3"/>
      <c r="AI86" s="3"/>
      <c r="AJ86" s="3"/>
      <c r="AK86" s="3"/>
      <c r="AL86" s="3"/>
      <c r="AM86" s="3"/>
      <c r="AN86" s="3"/>
      <c r="AO86" s="3"/>
      <c r="AP86" s="3"/>
      <c r="AQ86" s="3"/>
      <c r="AR86" s="3"/>
      <c r="AS86" s="3"/>
    </row>
    <row r="87" spans="1:45" s="1" customFormat="1">
      <c r="A87" s="1322"/>
      <c r="M87" s="1259"/>
      <c r="N87" s="1322"/>
      <c r="Y87" s="1322"/>
      <c r="AD87" s="3"/>
      <c r="AE87" s="3"/>
      <c r="AF87" s="3"/>
      <c r="AG87" s="3"/>
      <c r="AH87" s="3"/>
      <c r="AI87" s="3"/>
      <c r="AJ87" s="3"/>
      <c r="AK87" s="3"/>
      <c r="AL87" s="3"/>
      <c r="AM87" s="3"/>
      <c r="AN87" s="3"/>
      <c r="AO87" s="3"/>
      <c r="AP87" s="3"/>
      <c r="AQ87" s="3"/>
      <c r="AR87" s="3"/>
      <c r="AS87" s="3"/>
    </row>
    <row r="88" spans="1:45" s="1" customFormat="1">
      <c r="A88" s="1322"/>
      <c r="M88" s="1259"/>
      <c r="N88" s="1322"/>
      <c r="Y88" s="1322"/>
      <c r="AD88" s="3"/>
      <c r="AE88" s="3"/>
      <c r="AF88" s="3"/>
      <c r="AG88" s="3"/>
      <c r="AH88" s="3"/>
      <c r="AI88" s="3"/>
      <c r="AJ88" s="3"/>
      <c r="AK88" s="3"/>
      <c r="AL88" s="3"/>
      <c r="AM88" s="3"/>
      <c r="AN88" s="3"/>
      <c r="AO88" s="3"/>
      <c r="AP88" s="3"/>
      <c r="AQ88" s="3"/>
      <c r="AR88" s="3"/>
      <c r="AS88" s="3"/>
    </row>
    <row r="89" spans="1:45" s="1" customFormat="1">
      <c r="A89" s="1322"/>
      <c r="M89" s="1259"/>
      <c r="N89" s="1322"/>
      <c r="Y89" s="1322"/>
      <c r="AD89" s="3"/>
      <c r="AE89" s="3"/>
      <c r="AF89" s="3"/>
      <c r="AG89" s="3"/>
      <c r="AH89" s="3"/>
      <c r="AI89" s="3"/>
      <c r="AJ89" s="3"/>
      <c r="AK89" s="3"/>
      <c r="AL89" s="3"/>
      <c r="AM89" s="3"/>
      <c r="AN89" s="3"/>
      <c r="AO89" s="3"/>
      <c r="AP89" s="3"/>
      <c r="AQ89" s="3"/>
      <c r="AR89" s="3"/>
      <c r="AS89" s="3"/>
    </row>
    <row r="90" spans="1:45" s="1" customFormat="1">
      <c r="A90" s="1231"/>
      <c r="B90" s="1322"/>
      <c r="M90" s="1259"/>
      <c r="N90" s="1322"/>
      <c r="Y90" s="1322"/>
    </row>
    <row r="91" spans="1:45" s="1" customFormat="1">
      <c r="A91" s="1322"/>
      <c r="M91" s="1259"/>
      <c r="N91" s="1322"/>
      <c r="Y91" s="1322"/>
    </row>
    <row r="92" spans="1:45" s="1" customFormat="1">
      <c r="A92" s="1322"/>
      <c r="M92" s="1259"/>
      <c r="N92" s="1322"/>
      <c r="Y92" s="1322"/>
    </row>
    <row r="93" spans="1:45" s="1" customFormat="1">
      <c r="A93" s="1322"/>
      <c r="M93" s="1259"/>
      <c r="N93" s="1322"/>
      <c r="Y93" s="1322"/>
    </row>
    <row r="94" spans="1:45" s="1" customFormat="1">
      <c r="A94" s="1322"/>
      <c r="M94" s="1259"/>
      <c r="N94" s="1322"/>
      <c r="Y94" s="1322"/>
    </row>
    <row r="95" spans="1:45" s="1" customFormat="1">
      <c r="A95" s="1322"/>
      <c r="M95" s="1259"/>
      <c r="N95" s="1322"/>
      <c r="Y95" s="1322"/>
    </row>
    <row r="96" spans="1:45" s="1" customFormat="1">
      <c r="A96" s="1322"/>
      <c r="M96" s="1259"/>
      <c r="N96" s="1322"/>
      <c r="Y96" s="1322"/>
    </row>
    <row r="97" spans="1:37" s="1" customFormat="1">
      <c r="A97" s="1322"/>
      <c r="M97" s="1259"/>
      <c r="N97" s="1322"/>
      <c r="Y97" s="1322"/>
    </row>
    <row r="98" spans="1:37" s="1" customFormat="1">
      <c r="A98" s="1322"/>
      <c r="M98" s="1259"/>
      <c r="N98" s="1322"/>
      <c r="Y98" s="1322"/>
    </row>
    <row r="99" spans="1:37" s="1" customFormat="1">
      <c r="A99" s="1322"/>
      <c r="M99" s="1259"/>
      <c r="N99" s="1322"/>
      <c r="Y99" s="1322"/>
    </row>
    <row r="100" spans="1:37" s="1" customFormat="1">
      <c r="A100" s="1322"/>
      <c r="M100" s="1259"/>
      <c r="N100" s="1322"/>
      <c r="Y100" s="1322"/>
    </row>
    <row r="101" spans="1:37" s="1" customFormat="1">
      <c r="A101" s="1322"/>
      <c r="M101" s="1259"/>
      <c r="N101" s="1322"/>
      <c r="Y101" s="1322"/>
    </row>
    <row r="102" spans="1:37" s="1" customFormat="1">
      <c r="A102" s="1322"/>
      <c r="M102" s="1259"/>
      <c r="N102" s="1322"/>
      <c r="Y102" s="1322"/>
    </row>
    <row r="103" spans="1:37" s="1" customFormat="1">
      <c r="A103" s="1322"/>
      <c r="M103" s="1259"/>
      <c r="N103" s="1322"/>
      <c r="Y103" s="1322"/>
    </row>
    <row r="104" spans="1:37" s="1" customFormat="1">
      <c r="A104" s="1322"/>
      <c r="M104" s="1259"/>
      <c r="N104" s="1322"/>
      <c r="Y104" s="1322"/>
    </row>
    <row r="105" spans="1:37" s="1" customFormat="1">
      <c r="A105" s="1322"/>
      <c r="M105" s="1259"/>
      <c r="N105" s="1322"/>
      <c r="Y105" s="1322"/>
    </row>
    <row r="106" spans="1:37" s="1" customFormat="1" ht="26.25" customHeight="1">
      <c r="A106" s="1543" t="s">
        <v>1562</v>
      </c>
      <c r="B106" s="1543"/>
      <c r="C106" s="1543"/>
      <c r="D106" s="1543"/>
      <c r="E106" s="1543"/>
      <c r="F106" s="1543"/>
      <c r="G106" s="1543"/>
      <c r="H106" s="1543"/>
      <c r="I106" s="1543"/>
      <c r="J106" s="1543"/>
      <c r="K106" s="1543"/>
      <c r="L106" s="1543"/>
      <c r="M106" s="1543"/>
      <c r="N106" s="1543"/>
      <c r="O106" s="1543"/>
      <c r="P106" s="1543"/>
      <c r="Q106" s="1543"/>
      <c r="R106" s="1543"/>
      <c r="S106" s="1543"/>
      <c r="T106" s="1543"/>
      <c r="U106" s="1543"/>
      <c r="V106" s="1543"/>
      <c r="W106" s="1543"/>
      <c r="X106" s="1543"/>
      <c r="Y106" s="1616" t="s">
        <v>1563</v>
      </c>
      <c r="Z106" s="1616"/>
      <c r="AA106" s="1616"/>
      <c r="AB106" s="1616"/>
    </row>
    <row r="107" spans="1:37" s="42" customFormat="1" ht="288.75" customHeight="1">
      <c r="A107" s="1618" t="s">
        <v>1564</v>
      </c>
      <c r="B107" s="1618"/>
      <c r="C107" s="1618"/>
      <c r="D107" s="1618"/>
      <c r="E107" s="1618"/>
      <c r="F107" s="1618"/>
      <c r="G107" s="1618"/>
      <c r="H107" s="1618"/>
      <c r="I107" s="1618"/>
      <c r="J107" s="1618"/>
      <c r="K107" s="1618"/>
      <c r="L107" s="1618"/>
      <c r="M107" s="1355"/>
      <c r="N107" s="1618" t="s">
        <v>1565</v>
      </c>
      <c r="O107" s="1619"/>
      <c r="P107" s="1619"/>
      <c r="Q107" s="1619"/>
      <c r="R107" s="1619"/>
      <c r="S107" s="1619"/>
      <c r="T107" s="1619"/>
      <c r="U107" s="1619"/>
      <c r="V107" s="1619"/>
      <c r="W107" s="1619"/>
      <c r="X107" s="1619"/>
      <c r="Y107" s="1619"/>
      <c r="Z107" s="1619"/>
      <c r="AA107" s="1619"/>
      <c r="AB107" s="1619"/>
      <c r="AC107" s="1619"/>
      <c r="AD107" s="1619"/>
      <c r="AE107" s="1619"/>
      <c r="AF107" s="1619"/>
      <c r="AG107" s="1619"/>
      <c r="AH107" s="1619"/>
      <c r="AI107" s="1619"/>
    </row>
    <row r="108" spans="1:37" s="43" customFormat="1">
      <c r="A108" s="1128"/>
      <c r="M108" s="1130"/>
      <c r="N108" s="1128"/>
      <c r="Y108" s="1128"/>
    </row>
    <row r="109" spans="1:37" s="43" customFormat="1">
      <c r="A109" s="1128"/>
      <c r="M109" s="1130"/>
      <c r="N109" s="1128"/>
      <c r="Y109" s="1128"/>
    </row>
    <row r="110" spans="1:37" s="43" customFormat="1">
      <c r="A110" s="1128"/>
      <c r="M110" s="1130"/>
      <c r="N110" s="1128"/>
      <c r="Y110" s="1128"/>
    </row>
    <row r="111" spans="1:37" s="43" customFormat="1">
      <c r="A111" s="1128"/>
      <c r="M111" s="1130"/>
      <c r="N111" s="1128"/>
      <c r="Y111" s="1128"/>
      <c r="AK111" s="57"/>
    </row>
    <row r="112" spans="1:37" s="43" customFormat="1">
      <c r="A112" s="1128"/>
      <c r="M112" s="1130"/>
      <c r="N112" s="1128"/>
      <c r="Y112" s="1128"/>
    </row>
    <row r="113" spans="1:39" s="43" customFormat="1">
      <c r="A113" s="1128"/>
      <c r="M113" s="1130"/>
      <c r="N113" s="1128"/>
      <c r="Y113" s="1128"/>
      <c r="AM113" s="58"/>
    </row>
    <row r="114" spans="1:39" s="43" customFormat="1">
      <c r="A114" s="1128"/>
      <c r="M114" s="1130"/>
      <c r="N114" s="1128"/>
      <c r="Y114" s="1128"/>
    </row>
    <row r="115" spans="1:39" s="43" customFormat="1">
      <c r="A115" s="1128"/>
      <c r="M115" s="1130"/>
      <c r="N115" s="1128"/>
      <c r="Y115" s="1128"/>
    </row>
    <row r="116" spans="1:39" s="43" customFormat="1">
      <c r="A116" s="1128"/>
      <c r="M116" s="1130"/>
      <c r="N116" s="1128"/>
      <c r="Y116" s="1128"/>
    </row>
    <row r="117" spans="1:39" s="43" customFormat="1">
      <c r="A117" s="1128"/>
      <c r="M117" s="1130"/>
      <c r="N117" s="1128"/>
      <c r="Y117" s="1128"/>
    </row>
    <row r="118" spans="1:39" s="43" customFormat="1">
      <c r="A118" s="1128"/>
      <c r="M118" s="1130"/>
      <c r="N118" s="1128"/>
      <c r="Y118" s="1128"/>
    </row>
    <row r="119" spans="1:39" s="43" customFormat="1">
      <c r="A119" s="1128"/>
      <c r="M119" s="1130"/>
      <c r="N119" s="1128"/>
      <c r="Y119" s="1128"/>
    </row>
    <row r="120" spans="1:39" s="43" customFormat="1">
      <c r="A120" s="1128"/>
      <c r="M120" s="1130"/>
      <c r="N120" s="1128"/>
      <c r="Y120" s="1128"/>
    </row>
    <row r="121" spans="1:39" s="43" customFormat="1">
      <c r="A121" s="1128"/>
      <c r="M121" s="1130"/>
      <c r="N121" s="1128"/>
      <c r="Y121" s="1128"/>
    </row>
    <row r="122" spans="1:39" s="43" customFormat="1">
      <c r="A122" s="1128"/>
      <c r="M122" s="1130"/>
      <c r="N122" s="1128"/>
      <c r="Y122" s="1128"/>
    </row>
    <row r="123" spans="1:39" s="43" customFormat="1">
      <c r="A123" s="1128"/>
      <c r="M123" s="1130"/>
      <c r="N123" s="1128"/>
      <c r="Y123" s="1128"/>
    </row>
    <row r="124" spans="1:39" s="43" customFormat="1">
      <c r="A124" s="1128"/>
      <c r="M124" s="1130"/>
      <c r="N124" s="1128"/>
      <c r="Y124" s="1128"/>
    </row>
    <row r="125" spans="1:39" s="43" customFormat="1">
      <c r="A125" s="1128"/>
      <c r="M125" s="1130"/>
      <c r="N125" s="1128"/>
      <c r="Y125" s="1128"/>
    </row>
    <row r="126" spans="1:39" s="42" customFormat="1" ht="108" customHeight="1">
      <c r="A126" s="1618"/>
      <c r="B126" s="1618"/>
      <c r="C126" s="1618"/>
      <c r="D126" s="1618"/>
      <c r="E126" s="1618"/>
      <c r="F126" s="1618"/>
      <c r="G126" s="1618"/>
      <c r="H126" s="1618"/>
      <c r="I126" s="1618"/>
      <c r="J126" s="1618"/>
      <c r="K126" s="1618"/>
      <c r="L126" s="1618"/>
      <c r="M126" s="1355"/>
      <c r="N126" s="1619"/>
      <c r="O126" s="1619"/>
      <c r="P126" s="1619"/>
      <c r="Q126" s="1619"/>
      <c r="R126" s="1619"/>
      <c r="S126" s="1619"/>
      <c r="T126" s="1619"/>
      <c r="U126" s="1619"/>
      <c r="V126" s="1619"/>
      <c r="W126" s="1619"/>
      <c r="X126" s="1619"/>
      <c r="Y126" s="1619"/>
      <c r="Z126" s="1619"/>
      <c r="AA126" s="1619"/>
      <c r="AB126" s="1619"/>
      <c r="AC126" s="1619"/>
      <c r="AD126" s="1619"/>
      <c r="AE126" s="1619"/>
      <c r="AF126" s="1619"/>
      <c r="AG126" s="1619"/>
      <c r="AH126" s="1619"/>
      <c r="AI126" s="1619"/>
    </row>
    <row r="127" spans="1:39" s="43" customFormat="1">
      <c r="A127" s="1128"/>
      <c r="M127" s="1130"/>
      <c r="N127" s="1128"/>
      <c r="Y127" s="1128"/>
    </row>
    <row r="128" spans="1:39" s="43" customFormat="1">
      <c r="A128" s="1625"/>
      <c r="B128" s="1625"/>
      <c r="C128" s="1625"/>
      <c r="D128" s="1625"/>
      <c r="E128" s="1625"/>
      <c r="F128" s="1625"/>
      <c r="G128" s="1625"/>
      <c r="H128" s="1625"/>
      <c r="I128" s="1625"/>
      <c r="J128" s="1625"/>
      <c r="K128" s="1625"/>
      <c r="L128" s="1625"/>
      <c r="M128" s="1130"/>
      <c r="N128" s="1620"/>
      <c r="O128" s="1620"/>
      <c r="P128" s="1620"/>
      <c r="Q128" s="1620"/>
      <c r="R128" s="1620"/>
      <c r="S128" s="1620"/>
      <c r="T128" s="1620"/>
      <c r="U128" s="1620"/>
      <c r="V128" s="1620"/>
      <c r="W128" s="1620"/>
      <c r="X128" s="1620"/>
      <c r="Y128" s="1620"/>
      <c r="Z128" s="1620"/>
      <c r="AA128" s="1620"/>
      <c r="AB128" s="1620"/>
      <c r="AC128" s="1620"/>
      <c r="AD128" s="1620"/>
      <c r="AE128" s="1620"/>
      <c r="AF128" s="1620"/>
      <c r="AG128" s="1620"/>
      <c r="AH128" s="1620"/>
      <c r="AI128" s="1620"/>
    </row>
    <row r="129" spans="1:35" s="43" customFormat="1">
      <c r="A129" s="1128"/>
      <c r="M129" s="1130"/>
      <c r="N129" s="1128"/>
      <c r="Y129" s="1128"/>
    </row>
    <row r="130" spans="1:35" s="43" customFormat="1">
      <c r="A130" s="1128"/>
      <c r="M130" s="1130"/>
      <c r="N130" s="1128"/>
      <c r="Y130" s="1128"/>
    </row>
    <row r="131" spans="1:35" s="43" customFormat="1">
      <c r="A131" s="1128"/>
      <c r="M131" s="1130"/>
      <c r="N131" s="1128"/>
      <c r="Y131" s="1128"/>
    </row>
    <row r="132" spans="1:35" s="43" customFormat="1">
      <c r="A132" s="1128"/>
      <c r="M132" s="1130"/>
      <c r="N132" s="1128"/>
      <c r="Y132" s="1128"/>
    </row>
    <row r="133" spans="1:35" s="43" customFormat="1">
      <c r="A133" s="1128"/>
      <c r="M133" s="1130"/>
      <c r="N133" s="1128"/>
      <c r="Y133" s="1128"/>
    </row>
    <row r="134" spans="1:35" s="43" customFormat="1">
      <c r="A134" s="1128"/>
      <c r="M134" s="1130"/>
      <c r="N134" s="1128"/>
      <c r="Y134" s="1128"/>
    </row>
    <row r="135" spans="1:35" s="43" customFormat="1">
      <c r="A135" s="1128"/>
      <c r="M135" s="1130"/>
      <c r="N135" s="1128"/>
      <c r="Y135" s="1128"/>
    </row>
    <row r="136" spans="1:35" s="43" customFormat="1">
      <c r="A136" s="1128"/>
      <c r="M136" s="1130"/>
      <c r="N136" s="1128"/>
      <c r="Y136" s="1128"/>
    </row>
    <row r="137" spans="1:35" s="42" customFormat="1" ht="127.5" customHeight="1">
      <c r="A137" s="1618" t="s">
        <v>1566</v>
      </c>
      <c r="B137" s="1618"/>
      <c r="C137" s="1618"/>
      <c r="D137" s="1618"/>
      <c r="E137" s="1618"/>
      <c r="F137" s="1618"/>
      <c r="G137" s="1618"/>
      <c r="H137" s="1618"/>
      <c r="I137" s="1618"/>
      <c r="J137" s="1618"/>
      <c r="K137" s="1618"/>
      <c r="L137" s="1618"/>
      <c r="M137" s="1355"/>
      <c r="N137" s="1619" t="s">
        <v>1567</v>
      </c>
      <c r="O137" s="1619"/>
      <c r="P137" s="1619"/>
      <c r="Q137" s="1619"/>
      <c r="R137" s="1619"/>
      <c r="S137" s="1619"/>
      <c r="T137" s="1619"/>
      <c r="U137" s="1619"/>
      <c r="V137" s="1619"/>
      <c r="W137" s="1619"/>
      <c r="X137" s="1619"/>
      <c r="Y137" s="1619"/>
      <c r="Z137" s="1619"/>
      <c r="AA137" s="1619"/>
      <c r="AB137" s="1619"/>
      <c r="AC137" s="1619"/>
      <c r="AD137" s="1619"/>
      <c r="AE137" s="1619"/>
      <c r="AF137" s="1619"/>
      <c r="AG137" s="1619"/>
      <c r="AH137" s="1619"/>
      <c r="AI137" s="1619"/>
    </row>
    <row r="138" spans="1:35" s="43" customFormat="1">
      <c r="A138" s="1128"/>
      <c r="M138" s="1130"/>
      <c r="N138" s="1128"/>
      <c r="Y138" s="1128"/>
    </row>
    <row r="139" spans="1:35" s="43" customFormat="1">
      <c r="A139" s="1128"/>
      <c r="M139" s="1130"/>
      <c r="N139" s="1128"/>
      <c r="Y139" s="1128"/>
    </row>
    <row r="140" spans="1:35" s="43" customFormat="1">
      <c r="A140" s="1128"/>
      <c r="M140" s="1130"/>
      <c r="N140" s="1128"/>
      <c r="Y140" s="1128"/>
    </row>
    <row r="141" spans="1:35" s="43" customFormat="1">
      <c r="A141" s="1128"/>
      <c r="M141" s="1130"/>
      <c r="N141" s="1128"/>
      <c r="Y141" s="1128"/>
    </row>
    <row r="142" spans="1:35" s="43" customFormat="1">
      <c r="A142" s="1128"/>
      <c r="M142" s="1130"/>
      <c r="N142" s="1128"/>
      <c r="Y142" s="1128"/>
    </row>
    <row r="143" spans="1:35" s="43" customFormat="1">
      <c r="A143" s="1128"/>
      <c r="M143" s="1130"/>
      <c r="N143" s="1128"/>
      <c r="Y143" s="1128"/>
    </row>
    <row r="144" spans="1:35" s="43" customFormat="1">
      <c r="A144" s="1128"/>
      <c r="M144" s="1130"/>
      <c r="N144" s="1128"/>
      <c r="Y144" s="1128"/>
    </row>
    <row r="145" spans="1:35" s="43" customFormat="1">
      <c r="A145" s="1128"/>
      <c r="M145" s="1130"/>
      <c r="N145" s="1128"/>
      <c r="Y145" s="1128"/>
    </row>
    <row r="146" spans="1:35" s="43" customFormat="1">
      <c r="A146" s="1128"/>
      <c r="M146" s="1130"/>
      <c r="N146" s="1128"/>
      <c r="Y146" s="1128"/>
    </row>
    <row r="147" spans="1:35" s="42" customFormat="1">
      <c r="A147" s="1618"/>
      <c r="B147" s="1618"/>
      <c r="C147" s="1618"/>
      <c r="D147" s="1618"/>
      <c r="E147" s="1618"/>
      <c r="F147" s="1618"/>
      <c r="G147" s="1618"/>
      <c r="H147" s="1618"/>
      <c r="I147" s="1618"/>
      <c r="J147" s="1618"/>
      <c r="K147" s="1618"/>
      <c r="L147" s="1618"/>
      <c r="M147" s="1355"/>
      <c r="N147" s="1619"/>
      <c r="O147" s="1619"/>
      <c r="P147" s="1619"/>
      <c r="Q147" s="1619"/>
      <c r="R147" s="1619"/>
      <c r="S147" s="1619"/>
      <c r="T147" s="1619"/>
      <c r="U147" s="1619"/>
      <c r="V147" s="1619"/>
      <c r="W147" s="1619"/>
      <c r="X147" s="1619"/>
      <c r="Y147" s="1619"/>
      <c r="Z147" s="1619"/>
      <c r="AA147" s="1619"/>
      <c r="AB147" s="1619"/>
      <c r="AC147" s="1619"/>
      <c r="AD147" s="1619"/>
      <c r="AE147" s="1619"/>
      <c r="AF147" s="1619"/>
      <c r="AG147" s="1619"/>
      <c r="AH147" s="1619"/>
      <c r="AI147" s="1619"/>
    </row>
    <row r="148" spans="1:35" s="43" customFormat="1">
      <c r="A148" s="1128"/>
      <c r="M148" s="1130"/>
      <c r="N148" s="1128"/>
      <c r="Y148" s="1128"/>
    </row>
    <row r="149" spans="1:35" s="43" customFormat="1">
      <c r="A149" s="1128"/>
      <c r="M149" s="1130"/>
      <c r="N149" s="1128"/>
      <c r="Y149" s="1128"/>
    </row>
    <row r="150" spans="1:35" s="43" customFormat="1">
      <c r="A150" s="1128"/>
      <c r="M150" s="1130"/>
      <c r="N150" s="1128"/>
      <c r="Y150" s="1128"/>
    </row>
    <row r="151" spans="1:35" s="43" customFormat="1">
      <c r="A151" s="1128"/>
      <c r="M151" s="1130"/>
      <c r="N151" s="1128"/>
      <c r="Y151" s="1128"/>
    </row>
    <row r="152" spans="1:35" s="43" customFormat="1">
      <c r="A152" s="1128"/>
      <c r="M152" s="1130"/>
      <c r="N152" s="1128"/>
      <c r="Y152" s="1128"/>
    </row>
    <row r="153" spans="1:35" s="43" customFormat="1">
      <c r="A153" s="1128"/>
      <c r="M153" s="1130"/>
      <c r="N153" s="1128"/>
      <c r="Y153" s="1128"/>
    </row>
    <row r="154" spans="1:35" s="43" customFormat="1">
      <c r="A154" s="1128"/>
      <c r="M154" s="1130"/>
      <c r="N154" s="1128"/>
      <c r="Y154" s="1128"/>
    </row>
    <row r="155" spans="1:35" s="43" customFormat="1">
      <c r="A155" s="1128"/>
      <c r="M155" s="1130"/>
      <c r="N155" s="1128"/>
      <c r="Y155" s="1128"/>
    </row>
    <row r="156" spans="1:35" s="43" customFormat="1">
      <c r="A156" s="1128"/>
      <c r="M156" s="1130"/>
      <c r="N156" s="1128"/>
      <c r="Y156" s="1128"/>
    </row>
    <row r="157" spans="1:35" s="43" customFormat="1">
      <c r="A157" s="1128"/>
      <c r="M157" s="1130"/>
      <c r="N157" s="1128"/>
      <c r="Y157" s="1128"/>
    </row>
    <row r="158" spans="1:35" s="43" customFormat="1">
      <c r="A158" s="1128"/>
      <c r="M158" s="1130"/>
      <c r="N158" s="1128"/>
      <c r="Y158" s="1128"/>
    </row>
    <row r="159" spans="1:35" s="43" customFormat="1">
      <c r="A159" s="1128"/>
      <c r="M159" s="1130"/>
      <c r="N159" s="1128"/>
      <c r="Y159" s="1128"/>
    </row>
    <row r="160" spans="1:35" s="43" customFormat="1">
      <c r="A160" s="1128"/>
      <c r="M160" s="1130"/>
      <c r="N160" s="1128"/>
      <c r="Y160" s="1128"/>
    </row>
    <row r="161" spans="1:35" s="43" customFormat="1">
      <c r="A161" s="1128"/>
      <c r="M161" s="1130"/>
      <c r="N161" s="1128"/>
      <c r="Y161" s="1128"/>
    </row>
    <row r="162" spans="1:35" s="43" customFormat="1">
      <c r="A162" s="1128"/>
      <c r="M162" s="1130"/>
      <c r="N162" s="1128"/>
      <c r="Y162" s="1128"/>
    </row>
    <row r="163" spans="1:35" s="43" customFormat="1">
      <c r="A163" s="1128"/>
      <c r="M163" s="1130"/>
      <c r="N163" s="1128"/>
      <c r="Y163" s="1128"/>
    </row>
    <row r="164" spans="1:35" s="43" customFormat="1">
      <c r="A164" s="1128"/>
      <c r="M164" s="1130"/>
      <c r="N164" s="1128"/>
      <c r="Y164" s="1128"/>
    </row>
    <row r="165" spans="1:35" s="43" customFormat="1">
      <c r="A165" s="1128"/>
      <c r="M165" s="1130"/>
      <c r="N165" s="1128"/>
      <c r="Y165" s="1128"/>
    </row>
    <row r="166" spans="1:35" s="42" customFormat="1">
      <c r="A166" s="1617"/>
      <c r="B166" s="1617"/>
      <c r="C166" s="1617"/>
      <c r="D166" s="1617"/>
      <c r="E166" s="1617"/>
      <c r="F166" s="1617"/>
      <c r="G166" s="1617"/>
      <c r="H166" s="1617"/>
      <c r="I166" s="1617"/>
      <c r="J166" s="1617"/>
      <c r="K166" s="1617"/>
      <c r="L166" s="1617"/>
      <c r="M166" s="1355"/>
      <c r="N166" s="1604"/>
      <c r="O166" s="1604"/>
      <c r="P166" s="1604"/>
      <c r="Q166" s="1604"/>
      <c r="R166" s="1604"/>
      <c r="S166" s="1604"/>
      <c r="T166" s="1604"/>
      <c r="U166" s="1604"/>
      <c r="V166" s="1604"/>
      <c r="W166" s="1604"/>
      <c r="X166" s="1604"/>
      <c r="Y166" s="1604"/>
      <c r="Z166" s="1604"/>
      <c r="AA166" s="1604"/>
      <c r="AB166" s="1604"/>
      <c r="AC166" s="1604"/>
      <c r="AD166" s="1604"/>
      <c r="AE166" s="1604"/>
      <c r="AF166" s="1604"/>
      <c r="AG166" s="1604"/>
      <c r="AH166" s="1604"/>
      <c r="AI166" s="1604"/>
    </row>
    <row r="167" spans="1:35" s="1" customFormat="1">
      <c r="A167" s="1322"/>
      <c r="M167" s="1259"/>
      <c r="N167" s="1322"/>
      <c r="Y167" s="1322"/>
    </row>
    <row r="168" spans="1:35" s="1" customFormat="1">
      <c r="A168" s="1322"/>
      <c r="M168" s="1259"/>
      <c r="N168" s="1322"/>
      <c r="Y168" s="1322"/>
    </row>
    <row r="169" spans="1:35" s="1" customFormat="1">
      <c r="A169" s="1322"/>
      <c r="M169" s="1259"/>
      <c r="N169" s="1322"/>
      <c r="Y169" s="1322"/>
    </row>
    <row r="170" spans="1:35" s="1" customFormat="1">
      <c r="A170" s="1322"/>
      <c r="M170" s="1259"/>
      <c r="N170" s="1322"/>
      <c r="Y170" s="1322"/>
    </row>
    <row r="171" spans="1:35" s="1" customFormat="1">
      <c r="A171" s="1322"/>
      <c r="M171" s="1259"/>
      <c r="N171" s="1322"/>
      <c r="Y171" s="1322"/>
    </row>
    <row r="172" spans="1:35" s="1" customFormat="1">
      <c r="A172" s="1322"/>
      <c r="M172" s="1259"/>
      <c r="N172" s="1322"/>
      <c r="Y172" s="1322"/>
    </row>
    <row r="173" spans="1:35" s="1" customFormat="1">
      <c r="A173" s="1322"/>
      <c r="M173" s="1259"/>
      <c r="N173" s="1322"/>
      <c r="Y173" s="1322"/>
    </row>
    <row r="174" spans="1:35" s="1" customFormat="1">
      <c r="A174" s="1322"/>
      <c r="M174" s="1259"/>
      <c r="N174" s="1322"/>
      <c r="Y174" s="1322"/>
    </row>
    <row r="175" spans="1:35" s="1" customFormat="1">
      <c r="A175" s="1322"/>
      <c r="M175" s="1259"/>
      <c r="N175" s="1322"/>
      <c r="Y175" s="1322"/>
    </row>
    <row r="176" spans="1:35" s="1" customFormat="1">
      <c r="A176" s="1322"/>
      <c r="M176" s="1259"/>
      <c r="N176" s="1322"/>
      <c r="Y176" s="1322"/>
    </row>
    <row r="177" spans="1:21" ht="152.25" customHeight="1">
      <c r="A177" s="1605" t="s">
        <v>1568</v>
      </c>
      <c r="B177" s="1616"/>
      <c r="C177" s="1616"/>
      <c r="D177" s="1616"/>
      <c r="E177" s="1616"/>
      <c r="F177" s="1616"/>
      <c r="G177" s="1616"/>
      <c r="H177" s="1616"/>
      <c r="I177" s="1616"/>
      <c r="J177" s="1616"/>
      <c r="K177" s="1616"/>
      <c r="L177" s="1616"/>
      <c r="M177" s="1616"/>
    </row>
    <row r="180" spans="1:21">
      <c r="N180" s="1357"/>
      <c r="O180" s="1351"/>
      <c r="P180" s="1350" t="s">
        <v>444</v>
      </c>
      <c r="Q180" s="1350" t="s">
        <v>109</v>
      </c>
      <c r="R180" s="1350" t="s">
        <v>110</v>
      </c>
      <c r="S180" s="1350" t="s">
        <v>111</v>
      </c>
      <c r="T180" s="1350" t="s">
        <v>112</v>
      </c>
      <c r="U180" s="1350" t="s">
        <v>113</v>
      </c>
    </row>
    <row r="181" spans="1:21">
      <c r="N181" s="1322" t="s">
        <v>1543</v>
      </c>
      <c r="O181" s="1"/>
      <c r="P181" s="1"/>
      <c r="Q181" s="17">
        <v>4.9083604155503155E-2</v>
      </c>
      <c r="R181" s="17">
        <v>8.8807826571888238E-2</v>
      </c>
      <c r="S181" s="17">
        <v>0.46078834087466264</v>
      </c>
      <c r="T181" s="17">
        <v>0.31437814362747157</v>
      </c>
      <c r="U181" s="17">
        <v>0.21322174596756449</v>
      </c>
    </row>
    <row r="182" spans="1:21">
      <c r="N182" s="1322" t="s">
        <v>1545</v>
      </c>
      <c r="O182" s="1"/>
      <c r="P182" s="1"/>
      <c r="Q182" s="18">
        <v>1.4590139645086573</v>
      </c>
      <c r="R182" s="18">
        <v>1.550106019002069</v>
      </c>
      <c r="S182" s="18">
        <v>1.501929193068271</v>
      </c>
      <c r="T182" s="18">
        <v>1.3160335907015335</v>
      </c>
      <c r="U182" s="18">
        <v>1.4894261394974087</v>
      </c>
    </row>
    <row r="183" spans="1:21">
      <c r="N183" s="1322" t="s">
        <v>1548</v>
      </c>
      <c r="O183" s="1"/>
      <c r="P183" s="1"/>
      <c r="Q183" s="5">
        <v>4.4542663782071985</v>
      </c>
      <c r="R183" s="5">
        <v>4.1888737940320349</v>
      </c>
      <c r="S183" s="5">
        <v>10.297061684387071</v>
      </c>
      <c r="T183" s="5">
        <v>21.514021530746241</v>
      </c>
      <c r="U183" s="5">
        <v>8.5205602150997493</v>
      </c>
    </row>
    <row r="184" spans="1:21">
      <c r="N184" s="1322" t="s">
        <v>1528</v>
      </c>
      <c r="O184" s="1"/>
      <c r="P184" s="1"/>
      <c r="Q184" s="17">
        <v>4.4085965231428284E-2</v>
      </c>
      <c r="R184" s="17">
        <v>6.530942100527902E-2</v>
      </c>
      <c r="S184" s="17">
        <v>4.3233960724000375E-2</v>
      </c>
      <c r="T184" s="17">
        <v>3.6507892283093916E-2</v>
      </c>
      <c r="U184" s="17">
        <v>6.147567977814837E-2</v>
      </c>
    </row>
    <row r="185" spans="1:21">
      <c r="N185" s="1322" t="s">
        <v>1569</v>
      </c>
      <c r="Q185" s="1358"/>
      <c r="R185" s="1358"/>
      <c r="S185" s="1358"/>
      <c r="T185" s="1358"/>
      <c r="U185" s="1358"/>
    </row>
    <row r="187" spans="1:21">
      <c r="N187" s="9" t="s">
        <v>1570</v>
      </c>
    </row>
    <row r="188" spans="1:21">
      <c r="N188" s="1322" t="s">
        <v>1571</v>
      </c>
    </row>
    <row r="189" spans="1:21">
      <c r="N189" s="1322" t="s">
        <v>1572</v>
      </c>
    </row>
    <row r="190" spans="1:21" ht="96" customHeight="1">
      <c r="N190" s="1623" t="s">
        <v>1573</v>
      </c>
      <c r="O190" s="1624"/>
      <c r="P190" s="1624"/>
      <c r="Q190" s="1624"/>
      <c r="R190" s="1624"/>
      <c r="S190" s="1624"/>
      <c r="T190" s="1624"/>
      <c r="U190" s="1624"/>
    </row>
    <row r="191" spans="1:21" ht="84.75" customHeight="1">
      <c r="N191" s="1621" t="s">
        <v>1574</v>
      </c>
      <c r="O191" s="1621"/>
      <c r="P191" s="1621"/>
      <c r="Q191" s="1621"/>
      <c r="R191" s="1621"/>
      <c r="S191" s="1621"/>
      <c r="T191" s="1621"/>
      <c r="U191" s="1621"/>
    </row>
    <row r="204" spans="1:15">
      <c r="A204" s="24" t="s">
        <v>1575</v>
      </c>
      <c r="B204" s="1266" t="s">
        <v>109</v>
      </c>
      <c r="C204" s="1266"/>
      <c r="D204" s="1266"/>
      <c r="E204" s="1266"/>
      <c r="F204" s="1266"/>
      <c r="G204" s="1266"/>
      <c r="H204" s="1266"/>
      <c r="I204" s="1266" t="s">
        <v>111</v>
      </c>
      <c r="J204" s="1266" t="s">
        <v>112</v>
      </c>
      <c r="K204" s="1266" t="s">
        <v>113</v>
      </c>
      <c r="L204" s="1266" t="s">
        <v>716</v>
      </c>
      <c r="M204" s="1347" t="s">
        <v>717</v>
      </c>
      <c r="N204" s="1266"/>
      <c r="O204" s="1266"/>
    </row>
    <row r="205" spans="1:15">
      <c r="A205" s="7" t="s">
        <v>1576</v>
      </c>
      <c r="B205" s="3"/>
      <c r="C205" s="3"/>
      <c r="D205" s="3"/>
      <c r="E205" s="3"/>
      <c r="F205" s="3"/>
      <c r="G205" s="3"/>
      <c r="H205" s="3"/>
      <c r="I205" s="3"/>
      <c r="J205" s="3"/>
      <c r="K205" s="3"/>
      <c r="L205" s="3"/>
      <c r="M205" s="10"/>
      <c r="N205" s="3"/>
      <c r="O205" s="3"/>
    </row>
    <row r="206" spans="1:15">
      <c r="A206" s="3" t="s">
        <v>268</v>
      </c>
      <c r="B206" s="3">
        <v>5937.3706468009996</v>
      </c>
      <c r="C206" s="3"/>
      <c r="D206" s="3"/>
      <c r="E206" s="3"/>
      <c r="F206" s="3"/>
      <c r="G206" s="3"/>
      <c r="H206" s="3"/>
      <c r="I206" s="3">
        <v>12535.63783743</v>
      </c>
      <c r="J206" s="3">
        <v>20922.813468779001</v>
      </c>
      <c r="K206" s="3">
        <v>22028.134929534001</v>
      </c>
      <c r="L206" s="3">
        <v>3959.9272131719999</v>
      </c>
      <c r="M206" s="10">
        <v>4595.8065878779998</v>
      </c>
      <c r="N206" s="3"/>
      <c r="O206" s="3"/>
    </row>
    <row r="207" spans="1:15">
      <c r="A207" s="3" t="s">
        <v>247</v>
      </c>
      <c r="B207" s="3">
        <v>11091.976334739</v>
      </c>
      <c r="C207" s="3"/>
      <c r="D207" s="3"/>
      <c r="E207" s="3"/>
      <c r="F207" s="3"/>
      <c r="G207" s="3"/>
      <c r="H207" s="3"/>
      <c r="I207" s="3">
        <v>13453.248702327001</v>
      </c>
      <c r="J207" s="3">
        <v>17598.237599586002</v>
      </c>
      <c r="K207" s="3">
        <v>17543.322605087</v>
      </c>
      <c r="L207" s="3">
        <v>4245.7729708790002</v>
      </c>
      <c r="M207" s="10">
        <v>4526.1302454500001</v>
      </c>
      <c r="N207" s="3"/>
      <c r="O207" s="3"/>
    </row>
    <row r="208" spans="1:15">
      <c r="A208" s="3" t="s">
        <v>1577</v>
      </c>
      <c r="B208" s="63"/>
      <c r="C208" s="63"/>
      <c r="D208" s="63"/>
      <c r="E208" s="63"/>
      <c r="F208" s="63"/>
      <c r="G208" s="63"/>
      <c r="H208" s="63"/>
      <c r="I208" s="3">
        <v>13110</v>
      </c>
      <c r="J208" s="3">
        <v>19550</v>
      </c>
      <c r="K208" s="3">
        <v>24000</v>
      </c>
      <c r="L208" s="26"/>
      <c r="M208" s="523"/>
      <c r="N208" s="3"/>
      <c r="O208" s="3"/>
    </row>
    <row r="209" spans="1:15">
      <c r="A209" s="3"/>
      <c r="B209" s="3"/>
      <c r="C209" s="3"/>
      <c r="D209" s="3"/>
      <c r="E209" s="3"/>
      <c r="F209" s="3"/>
      <c r="G209" s="3"/>
      <c r="H209" s="3"/>
      <c r="I209" s="3"/>
      <c r="J209" s="3"/>
      <c r="K209" s="3"/>
      <c r="L209" s="3"/>
      <c r="M209" s="10"/>
      <c r="N209" s="3"/>
      <c r="O209" s="3"/>
    </row>
    <row r="210" spans="1:15">
      <c r="A210" s="7" t="s">
        <v>1518</v>
      </c>
      <c r="B210" s="3"/>
      <c r="C210" s="3"/>
      <c r="D210" s="3"/>
      <c r="E210" s="3"/>
      <c r="F210" s="3"/>
      <c r="G210" s="3"/>
      <c r="H210" s="3"/>
      <c r="I210" s="3"/>
      <c r="J210" s="3"/>
      <c r="K210" s="3"/>
      <c r="L210" s="3"/>
      <c r="M210" s="10"/>
      <c r="N210" s="3"/>
      <c r="O210" s="3"/>
    </row>
    <row r="211" spans="1:15">
      <c r="A211" s="3" t="s">
        <v>268</v>
      </c>
      <c r="B211" s="17">
        <v>6.2132937816634821E-2</v>
      </c>
      <c r="C211" s="17"/>
      <c r="D211" s="17"/>
      <c r="E211" s="17"/>
      <c r="F211" s="17"/>
      <c r="G211" s="17"/>
      <c r="H211" s="17"/>
      <c r="I211" s="17">
        <v>6.4040005552328791E-2</v>
      </c>
      <c r="J211" s="17">
        <v>7.2074158227010257E-2</v>
      </c>
      <c r="K211" s="17">
        <v>7.5498738263184595E-2</v>
      </c>
      <c r="L211" s="17">
        <v>6.584303091827437E-2</v>
      </c>
      <c r="M211" s="153">
        <v>8.5507618694512288E-2</v>
      </c>
      <c r="N211" s="3"/>
      <c r="O211" s="3"/>
    </row>
    <row r="212" spans="1:15">
      <c r="A212" s="3" t="s">
        <v>247</v>
      </c>
      <c r="B212" s="17">
        <v>5.9722549486271245E-2</v>
      </c>
      <c r="C212" s="17"/>
      <c r="D212" s="17"/>
      <c r="E212" s="17"/>
      <c r="F212" s="17"/>
      <c r="G212" s="17"/>
      <c r="H212" s="17"/>
      <c r="I212" s="17">
        <v>4.9720321383139379E-2</v>
      </c>
      <c r="J212" s="17">
        <v>5.3368949072098909E-2</v>
      </c>
      <c r="K212" s="17">
        <v>5.512660855575726E-2</v>
      </c>
      <c r="L212" s="17">
        <v>4.2942759286126751E-2</v>
      </c>
      <c r="M212" s="153">
        <v>2.9726508059562763E-2</v>
      </c>
      <c r="N212" s="3"/>
      <c r="O212" s="3"/>
    </row>
    <row r="213" spans="1:15">
      <c r="A213" s="3" t="s">
        <v>1577</v>
      </c>
      <c r="B213" s="3"/>
      <c r="C213" s="3"/>
      <c r="D213" s="3"/>
      <c r="E213" s="3"/>
      <c r="F213" s="3"/>
      <c r="G213" s="3"/>
      <c r="H213" s="3"/>
      <c r="I213" s="3"/>
      <c r="J213" s="3"/>
      <c r="K213" s="3"/>
      <c r="L213" s="3"/>
      <c r="M213" s="10"/>
      <c r="N213" s="3"/>
      <c r="O213" s="3"/>
    </row>
    <row r="214" spans="1:15">
      <c r="A214" s="3"/>
      <c r="B214" s="3"/>
      <c r="C214" s="3"/>
      <c r="D214" s="3"/>
      <c r="E214" s="3"/>
      <c r="F214" s="3"/>
      <c r="G214" s="3"/>
      <c r="H214" s="3"/>
      <c r="I214" s="3"/>
      <c r="J214" s="3"/>
      <c r="K214" s="3"/>
      <c r="L214" s="3"/>
      <c r="M214" s="10"/>
      <c r="N214" s="3"/>
      <c r="O214" s="3"/>
    </row>
    <row r="215" spans="1:15">
      <c r="A215" s="7" t="s">
        <v>1517</v>
      </c>
      <c r="B215" s="3"/>
      <c r="C215" s="3"/>
      <c r="D215" s="3"/>
      <c r="E215" s="3"/>
      <c r="F215" s="3"/>
      <c r="G215" s="3"/>
      <c r="H215" s="3"/>
      <c r="I215" s="3"/>
      <c r="J215" s="3"/>
      <c r="K215" s="3"/>
      <c r="L215" s="3"/>
      <c r="M215" s="10"/>
      <c r="N215" s="3"/>
      <c r="O215" s="3"/>
    </row>
    <row r="216" spans="1:15">
      <c r="A216" s="3" t="s">
        <v>268</v>
      </c>
      <c r="B216" s="17">
        <v>1.8446682160732267E-2</v>
      </c>
      <c r="C216" s="17"/>
      <c r="D216" s="17"/>
      <c r="E216" s="17"/>
      <c r="F216" s="17"/>
      <c r="G216" s="17"/>
      <c r="H216" s="17"/>
      <c r="I216" s="17">
        <v>2.1326171210032999E-2</v>
      </c>
      <c r="J216" s="17">
        <v>3.1300697327022391E-2</v>
      </c>
      <c r="K216" s="17">
        <v>3.1033146881376181E-2</v>
      </c>
      <c r="L216" s="17">
        <v>2.0684340803928392E-2</v>
      </c>
      <c r="M216" s="153">
        <v>1.8959912746291732E-2</v>
      </c>
      <c r="N216" s="3"/>
      <c r="O216" s="3"/>
    </row>
    <row r="217" spans="1:15">
      <c r="A217" s="3" t="s">
        <v>247</v>
      </c>
      <c r="B217" s="17">
        <v>1.171499955450068E-2</v>
      </c>
      <c r="C217" s="17"/>
      <c r="D217" s="17"/>
      <c r="E217" s="17"/>
      <c r="F217" s="17"/>
      <c r="G217" s="17"/>
      <c r="H217" s="17"/>
      <c r="I217" s="17">
        <v>1.0418792022610621E-2</v>
      </c>
      <c r="J217" s="17">
        <v>1.7698291848004623E-2</v>
      </c>
      <c r="K217" s="17">
        <v>9.5431457035654553E-3</v>
      </c>
      <c r="L217" s="17">
        <v>9.3496873246102386E-3</v>
      </c>
      <c r="M217" s="153">
        <v>8.9807086331341061E-4</v>
      </c>
      <c r="N217" s="3"/>
      <c r="O217" s="3"/>
    </row>
    <row r="218" spans="1:15">
      <c r="A218" s="3" t="s">
        <v>1577</v>
      </c>
      <c r="B218" s="3"/>
      <c r="C218" s="3"/>
      <c r="D218" s="3"/>
      <c r="E218" s="3"/>
      <c r="F218" s="3"/>
      <c r="G218" s="3"/>
      <c r="H218" s="3"/>
      <c r="I218" s="3"/>
      <c r="J218" s="3"/>
      <c r="K218" s="3"/>
      <c r="L218" s="3"/>
      <c r="M218" s="10"/>
      <c r="N218" s="3"/>
      <c r="O218" s="3"/>
    </row>
    <row r="219" spans="1:15">
      <c r="A219" s="1"/>
      <c r="B219" s="3"/>
      <c r="C219" s="3"/>
      <c r="D219" s="3"/>
      <c r="E219" s="3"/>
      <c r="F219" s="3"/>
      <c r="G219" s="3"/>
      <c r="H219" s="3"/>
      <c r="I219" s="3"/>
      <c r="J219" s="3"/>
      <c r="K219" s="3"/>
      <c r="L219" s="3"/>
      <c r="M219" s="10"/>
      <c r="N219" s="3"/>
      <c r="O219" s="3"/>
    </row>
    <row r="220" spans="1:15">
      <c r="A220" s="1"/>
      <c r="B220" s="3"/>
      <c r="C220" s="3"/>
      <c r="D220" s="3"/>
      <c r="E220" s="3"/>
      <c r="F220" s="3"/>
      <c r="G220" s="3"/>
      <c r="H220" s="3"/>
      <c r="I220" s="3"/>
      <c r="J220" s="3"/>
      <c r="K220" s="3"/>
      <c r="L220" s="3"/>
      <c r="M220" s="10"/>
      <c r="N220" s="3"/>
      <c r="O220" s="3"/>
    </row>
    <row r="221" spans="1:15">
      <c r="A221" s="1"/>
      <c r="B221" s="3"/>
      <c r="C221" s="3"/>
      <c r="D221" s="3"/>
      <c r="E221" s="3"/>
      <c r="F221" s="3"/>
      <c r="G221" s="3"/>
      <c r="H221" s="3"/>
      <c r="I221" s="3"/>
      <c r="J221" s="3"/>
      <c r="K221" s="3"/>
      <c r="L221" s="3"/>
      <c r="M221" s="10"/>
      <c r="N221" s="3"/>
      <c r="O221" s="3"/>
    </row>
    <row r="222" spans="1:15">
      <c r="A222" s="2" t="s">
        <v>440</v>
      </c>
      <c r="B222" s="3"/>
      <c r="C222" s="3"/>
      <c r="D222" s="3"/>
      <c r="E222" s="3"/>
      <c r="F222" s="3"/>
      <c r="G222" s="3"/>
      <c r="H222" s="3"/>
      <c r="I222" s="3"/>
      <c r="J222" s="3"/>
      <c r="K222" s="3"/>
      <c r="L222" s="3"/>
      <c r="M222" s="10"/>
      <c r="N222" s="3"/>
      <c r="O222" s="3"/>
    </row>
    <row r="223" spans="1:15">
      <c r="A223" s="3" t="s">
        <v>268</v>
      </c>
      <c r="B223" s="3">
        <f>I57</f>
        <v>81.680075786536335</v>
      </c>
      <c r="C223" s="3"/>
      <c r="D223" s="3"/>
      <c r="E223" s="3"/>
      <c r="F223" s="3"/>
      <c r="G223" s="3"/>
      <c r="H223" s="3"/>
      <c r="I223" s="3">
        <f>K57</f>
        <v>33.48507083790534</v>
      </c>
      <c r="J223" s="3">
        <f>L57</f>
        <v>28.202132996550773</v>
      </c>
      <c r="K223" s="3">
        <f>M57</f>
        <v>47.229110506429627</v>
      </c>
      <c r="L223" s="3"/>
      <c r="M223" s="10"/>
      <c r="N223" s="3"/>
      <c r="O223" s="3"/>
    </row>
    <row r="224" spans="1:15">
      <c r="A224" s="3" t="s">
        <v>247</v>
      </c>
      <c r="B224" s="3">
        <f>X57</f>
        <v>30.530317647855455</v>
      </c>
      <c r="C224" s="3"/>
      <c r="D224" s="3"/>
      <c r="E224" s="3"/>
      <c r="F224" s="3"/>
      <c r="G224" s="3"/>
      <c r="H224" s="3"/>
      <c r="I224" s="3">
        <f>Z57</f>
        <v>24.668497041161061</v>
      </c>
      <c r="J224" s="3">
        <f>AA57</f>
        <v>18.676330452090582</v>
      </c>
      <c r="K224" s="3">
        <f>AB57</f>
        <v>21.106106148717174</v>
      </c>
      <c r="L224" s="3"/>
      <c r="M224" s="10"/>
      <c r="N224" s="3"/>
      <c r="O224" s="3"/>
    </row>
    <row r="225" spans="1:15">
      <c r="A225" s="3" t="s">
        <v>1577</v>
      </c>
      <c r="B225" s="3"/>
      <c r="C225" s="3"/>
      <c r="D225" s="3"/>
      <c r="E225" s="3"/>
      <c r="F225" s="3"/>
      <c r="G225" s="3"/>
      <c r="H225" s="3"/>
      <c r="I225" s="3"/>
      <c r="J225" s="3"/>
      <c r="K225" s="3"/>
      <c r="L225" s="3"/>
      <c r="M225" s="10"/>
      <c r="N225" s="3"/>
      <c r="O225" s="3"/>
    </row>
    <row r="226" spans="1:15">
      <c r="A226" s="3"/>
      <c r="B226" s="3"/>
      <c r="C226" s="3"/>
      <c r="D226" s="3"/>
      <c r="E226" s="3"/>
      <c r="F226" s="3"/>
      <c r="G226" s="3"/>
      <c r="H226" s="3"/>
      <c r="I226" s="3"/>
      <c r="J226" s="3"/>
      <c r="K226" s="3"/>
      <c r="L226" s="3"/>
      <c r="M226" s="10"/>
      <c r="N226" s="3"/>
      <c r="O226" s="3"/>
    </row>
    <row r="227" spans="1:15">
      <c r="A227" s="7" t="s">
        <v>1578</v>
      </c>
      <c r="B227" s="3"/>
      <c r="C227" s="3"/>
      <c r="D227" s="3"/>
      <c r="E227" s="3"/>
      <c r="F227" s="3"/>
      <c r="G227" s="3"/>
      <c r="H227" s="3"/>
      <c r="I227" s="3"/>
      <c r="J227" s="3"/>
      <c r="K227" s="3"/>
      <c r="L227" s="3"/>
      <c r="M227" s="10"/>
      <c r="N227" s="3"/>
      <c r="O227" s="3"/>
    </row>
    <row r="228" spans="1:15">
      <c r="A228" s="3" t="s">
        <v>268</v>
      </c>
      <c r="B228" s="3">
        <f>I54</f>
        <v>72.011043131037511</v>
      </c>
      <c r="C228" s="3"/>
      <c r="D228" s="3"/>
      <c r="E228" s="3"/>
      <c r="F228" s="3"/>
      <c r="G228" s="3"/>
      <c r="H228" s="3"/>
      <c r="I228" s="3">
        <f t="shared" ref="I228:K229" si="17">K54</f>
        <v>35.480331909783857</v>
      </c>
      <c r="J228" s="3">
        <f t="shared" si="17"/>
        <v>34.925668708346308</v>
      </c>
      <c r="K228" s="3">
        <f t="shared" si="17"/>
        <v>55.045174549683317</v>
      </c>
      <c r="L228" s="3"/>
      <c r="M228" s="10"/>
      <c r="N228" s="3"/>
      <c r="O228" s="3"/>
    </row>
    <row r="229" spans="1:15">
      <c r="A229" s="3" t="s">
        <v>247</v>
      </c>
      <c r="B229" s="3">
        <f>I55</f>
        <v>33.290422227272195</v>
      </c>
      <c r="C229" s="3"/>
      <c r="D229" s="3"/>
      <c r="E229" s="3"/>
      <c r="F229" s="3"/>
      <c r="G229" s="3"/>
      <c r="H229" s="3"/>
      <c r="I229" s="3">
        <f t="shared" si="17"/>
        <v>24.980658783332025</v>
      </c>
      <c r="J229" s="3">
        <f t="shared" si="17"/>
        <v>25.448539281551263</v>
      </c>
      <c r="K229" s="3">
        <f t="shared" si="17"/>
        <v>27.879366214160758</v>
      </c>
      <c r="L229" s="3"/>
      <c r="M229" s="10"/>
      <c r="N229" s="3"/>
      <c r="O229" s="3"/>
    </row>
    <row r="230" spans="1:15">
      <c r="A230" s="3" t="s">
        <v>1577</v>
      </c>
      <c r="B230" s="3"/>
      <c r="C230" s="3"/>
      <c r="D230" s="3"/>
      <c r="E230" s="3"/>
      <c r="F230" s="3"/>
      <c r="G230" s="3"/>
      <c r="H230" s="3"/>
      <c r="I230" s="3"/>
      <c r="J230" s="3"/>
      <c r="K230" s="3"/>
      <c r="L230" s="3"/>
      <c r="M230" s="10"/>
      <c r="N230" s="3"/>
      <c r="O230" s="3"/>
    </row>
    <row r="231" spans="1:15">
      <c r="A231" s="3"/>
      <c r="B231" s="3"/>
      <c r="C231" s="3"/>
      <c r="D231" s="3"/>
      <c r="E231" s="3"/>
      <c r="F231" s="3"/>
      <c r="G231" s="3"/>
      <c r="H231" s="3"/>
      <c r="I231" s="3"/>
      <c r="J231" s="3"/>
      <c r="K231" s="3"/>
      <c r="L231" s="3"/>
      <c r="M231" s="10"/>
      <c r="N231" s="3"/>
      <c r="O231" s="3"/>
    </row>
    <row r="232" spans="1:15">
      <c r="A232" s="7" t="s">
        <v>1514</v>
      </c>
      <c r="B232" s="1"/>
      <c r="C232" s="3"/>
      <c r="D232" s="3"/>
      <c r="E232" s="3"/>
      <c r="F232" s="3"/>
      <c r="G232" s="3"/>
      <c r="H232" s="3"/>
      <c r="I232" s="3"/>
      <c r="J232" s="3"/>
      <c r="K232" s="3"/>
      <c r="L232" s="3"/>
      <c r="M232" s="10"/>
      <c r="N232" s="3"/>
      <c r="O232" s="3"/>
    </row>
    <row r="233" spans="1:15">
      <c r="A233" s="3" t="s">
        <v>268</v>
      </c>
      <c r="B233" s="20">
        <f>I49</f>
        <v>3.1107819261167613</v>
      </c>
      <c r="C233" s="20"/>
      <c r="D233" s="20"/>
      <c r="E233" s="20"/>
      <c r="F233" s="20"/>
      <c r="G233" s="20"/>
      <c r="H233" s="20"/>
      <c r="I233" s="20">
        <f>K49</f>
        <v>4.5802303694082047</v>
      </c>
      <c r="J233" s="20">
        <f>L49</f>
        <v>4.352766792617623</v>
      </c>
      <c r="K233" s="20">
        <f>M49</f>
        <v>3.4151502027731624</v>
      </c>
      <c r="L233" s="3"/>
      <c r="M233" s="10"/>
      <c r="N233" s="3"/>
      <c r="O233" s="3"/>
    </row>
    <row r="234" spans="1:15">
      <c r="A234" s="3" t="s">
        <v>247</v>
      </c>
      <c r="B234" s="20">
        <f>X49</f>
        <v>1.8902738209517871</v>
      </c>
      <c r="C234" s="20"/>
      <c r="D234" s="20"/>
      <c r="E234" s="20"/>
      <c r="F234" s="20"/>
      <c r="G234" s="20"/>
      <c r="H234" s="20"/>
      <c r="I234" s="20">
        <f>Z49</f>
        <v>2.3838292174490432</v>
      </c>
      <c r="J234" s="20">
        <f>AA49</f>
        <v>2.3759092845223648</v>
      </c>
      <c r="K234" s="20">
        <f>AB49</f>
        <v>2.0012190591305781</v>
      </c>
      <c r="L234" s="3"/>
      <c r="M234" s="10"/>
      <c r="N234" s="3"/>
      <c r="O234" s="3"/>
    </row>
    <row r="235" spans="1:15">
      <c r="A235" s="3"/>
      <c r="B235" s="3"/>
      <c r="C235" s="3"/>
      <c r="D235" s="3"/>
      <c r="E235" s="3"/>
      <c r="F235" s="3"/>
      <c r="G235" s="3"/>
      <c r="H235" s="3"/>
      <c r="I235" s="20">
        <f>I233/I234</f>
        <v>1.9213752125706178</v>
      </c>
      <c r="J235" s="20">
        <f>J233/J234</f>
        <v>1.8320425030422283</v>
      </c>
      <c r="K235" s="20">
        <f>K233/K234</f>
        <v>1.7065349178999232</v>
      </c>
      <c r="L235" s="3"/>
      <c r="M235" s="10"/>
      <c r="N235" s="3"/>
      <c r="O235" s="3"/>
    </row>
    <row r="236" spans="1:15">
      <c r="A236" s="7" t="s">
        <v>412</v>
      </c>
      <c r="B236" s="1"/>
      <c r="C236" s="3"/>
      <c r="D236" s="3"/>
      <c r="E236" s="3"/>
      <c r="F236" s="3"/>
      <c r="G236" s="3"/>
      <c r="H236" s="3"/>
      <c r="I236" s="3"/>
      <c r="J236" s="3"/>
      <c r="K236" s="3"/>
      <c r="L236" s="3"/>
      <c r="M236" s="10"/>
      <c r="N236" s="3"/>
      <c r="O236" s="3"/>
    </row>
    <row r="237" spans="1:15">
      <c r="A237" s="3" t="s">
        <v>268</v>
      </c>
      <c r="B237" s="18">
        <f>I37</f>
        <v>0.15049777482563118</v>
      </c>
      <c r="C237" s="18"/>
      <c r="D237" s="18"/>
      <c r="E237" s="18"/>
      <c r="F237" s="18"/>
      <c r="G237" s="18"/>
      <c r="H237" s="18"/>
      <c r="I237" s="18">
        <f>K37</f>
        <v>0.25659209052977727</v>
      </c>
      <c r="J237" s="18">
        <f>L37</f>
        <v>0.44551721056714227</v>
      </c>
      <c r="K237" s="18">
        <f>M37</f>
        <v>0.32522252191419282</v>
      </c>
      <c r="L237" s="3"/>
      <c r="M237" s="10"/>
      <c r="N237" s="3"/>
      <c r="O237" s="3"/>
    </row>
    <row r="238" spans="1:15">
      <c r="A238" s="3" t="s">
        <v>247</v>
      </c>
      <c r="B238" s="18">
        <f>X37</f>
        <v>7.920931519947301E-2</v>
      </c>
      <c r="C238" s="18"/>
      <c r="D238" s="18"/>
      <c r="E238" s="18"/>
      <c r="F238" s="18"/>
      <c r="G238" s="18"/>
      <c r="H238" s="18"/>
      <c r="I238" s="18">
        <f>Z37</f>
        <v>8.4859873625697607E-2</v>
      </c>
      <c r="J238" s="18">
        <f>AA37</f>
        <v>0.17289365045339841</v>
      </c>
      <c r="K238" s="18">
        <f>AB37</f>
        <v>8.3664497927976339E-2</v>
      </c>
      <c r="L238" s="3"/>
      <c r="M238" s="10"/>
      <c r="N238" s="3"/>
      <c r="O238" s="3"/>
    </row>
    <row r="239" spans="1:15">
      <c r="A239" s="3"/>
      <c r="B239" s="3"/>
      <c r="C239" s="3"/>
      <c r="D239" s="3"/>
      <c r="E239" s="3"/>
      <c r="F239" s="3"/>
      <c r="G239" s="3"/>
      <c r="H239" s="3"/>
      <c r="I239" s="3"/>
      <c r="J239" s="3"/>
      <c r="K239" s="3"/>
      <c r="L239" s="3"/>
      <c r="M239" s="10"/>
      <c r="N239" s="3"/>
      <c r="O239" s="3"/>
    </row>
    <row r="240" spans="1:15">
      <c r="A240" s="7" t="s">
        <v>1579</v>
      </c>
      <c r="B240" s="1"/>
      <c r="C240" s="3"/>
      <c r="D240" s="3"/>
      <c r="E240" s="3"/>
      <c r="F240" s="3"/>
      <c r="G240" s="3"/>
      <c r="H240" s="3"/>
      <c r="I240" s="3"/>
      <c r="J240" s="3"/>
      <c r="K240" s="3"/>
      <c r="L240" s="3"/>
      <c r="M240" s="10"/>
      <c r="N240" s="3"/>
      <c r="O240" s="3"/>
    </row>
    <row r="241" spans="1:15">
      <c r="A241" s="3" t="s">
        <v>268</v>
      </c>
      <c r="B241" s="18">
        <f>I38</f>
        <v>5.7399925455675703E-2</v>
      </c>
      <c r="C241" s="18"/>
      <c r="D241" s="18"/>
      <c r="E241" s="18"/>
      <c r="F241" s="18"/>
      <c r="G241" s="18"/>
      <c r="H241" s="18"/>
      <c r="I241" s="18">
        <f>K38</f>
        <v>9.7663896962424127E-2</v>
      </c>
      <c r="J241" s="18">
        <f>L38</f>
        <v>0.1362410791473182</v>
      </c>
      <c r="K241" s="18">
        <f>M38</f>
        <v>0.10599952381304335</v>
      </c>
      <c r="L241" s="3"/>
      <c r="M241" s="10"/>
      <c r="N241" s="3"/>
      <c r="O241" s="3"/>
    </row>
    <row r="242" spans="1:15">
      <c r="A242" s="3" t="s">
        <v>247</v>
      </c>
      <c r="B242" s="18">
        <f>X38</f>
        <v>2.2144556970334482E-2</v>
      </c>
      <c r="C242" s="18"/>
      <c r="D242" s="18"/>
      <c r="E242" s="18"/>
      <c r="F242" s="18"/>
      <c r="G242" s="18"/>
      <c r="H242" s="18"/>
      <c r="I242" s="18">
        <f>Z38</f>
        <v>2.4836620834024211E-2</v>
      </c>
      <c r="J242" s="18">
        <f>AA38</f>
        <v>4.2049535921860663E-2</v>
      </c>
      <c r="K242" s="18">
        <f>AB38</f>
        <v>1.9097925066035276E-2</v>
      </c>
      <c r="L242" s="3"/>
      <c r="M242" s="10"/>
      <c r="N242" s="3"/>
      <c r="O242" s="3"/>
    </row>
    <row r="243" spans="1:15">
      <c r="A243" s="3"/>
      <c r="B243" s="3"/>
      <c r="C243" s="3"/>
      <c r="D243" s="3"/>
      <c r="E243" s="3"/>
      <c r="F243" s="3"/>
      <c r="G243" s="3"/>
      <c r="H243" s="3"/>
      <c r="I243" s="3"/>
      <c r="J243" s="3"/>
      <c r="K243" s="3"/>
      <c r="L243" s="3"/>
      <c r="M243" s="10"/>
      <c r="N243" s="3"/>
      <c r="O243" s="3"/>
    </row>
    <row r="256" spans="1:15">
      <c r="I256" s="162" t="s">
        <v>1580</v>
      </c>
    </row>
    <row r="257" spans="9:9">
      <c r="I257" s="60" t="s">
        <v>1581</v>
      </c>
    </row>
    <row r="258" spans="9:9">
      <c r="I258" s="60" t="s">
        <v>1582</v>
      </c>
    </row>
    <row r="259" spans="9:9">
      <c r="I259" s="162" t="s">
        <v>1583</v>
      </c>
    </row>
    <row r="260" spans="9:9">
      <c r="I260" s="60" t="s">
        <v>1584</v>
      </c>
    </row>
    <row r="261" spans="9:9">
      <c r="I261" s="60" t="s">
        <v>1585</v>
      </c>
    </row>
    <row r="262" spans="9:9">
      <c r="I262" s="60" t="s">
        <v>1586</v>
      </c>
    </row>
  </sheetData>
  <mergeCells count="25">
    <mergeCell ref="A177:M177"/>
    <mergeCell ref="N191:U191"/>
    <mergeCell ref="A2:A3"/>
    <mergeCell ref="U2:U3"/>
    <mergeCell ref="A106:X106"/>
    <mergeCell ref="A107:L107"/>
    <mergeCell ref="N107:X107"/>
    <mergeCell ref="N190:U190"/>
    <mergeCell ref="A147:L147"/>
    <mergeCell ref="N147:X147"/>
    <mergeCell ref="A128:L128"/>
    <mergeCell ref="N128:X128"/>
    <mergeCell ref="A126:L126"/>
    <mergeCell ref="N126:X126"/>
    <mergeCell ref="Y106:AB106"/>
    <mergeCell ref="A166:L166"/>
    <mergeCell ref="N166:X166"/>
    <mergeCell ref="Y166:AI166"/>
    <mergeCell ref="A137:L137"/>
    <mergeCell ref="N137:X137"/>
    <mergeCell ref="Y137:AI137"/>
    <mergeCell ref="Y147:AI147"/>
    <mergeCell ref="Y107:AI107"/>
    <mergeCell ref="Y128:AI128"/>
    <mergeCell ref="Y126:AI126"/>
  </mergeCells>
  <conditionalFormatting sqref="AW54:BR54">
    <cfRule type="top10" dxfId="7" priority="7" percent="1" bottom="1" rank="20"/>
    <cfRule type="top10" dxfId="6" priority="8" percent="1" rank="20"/>
  </conditionalFormatting>
  <conditionalFormatting sqref="AW55:BR55">
    <cfRule type="top10" dxfId="5" priority="5" percent="1" bottom="1" rank="20"/>
    <cfRule type="top10" dxfId="4" priority="6" percent="1" rank="20"/>
  </conditionalFormatting>
  <conditionalFormatting sqref="AW56:BR56">
    <cfRule type="top10" dxfId="3" priority="3" percent="1" bottom="1" rank="20"/>
    <cfRule type="top10" dxfId="2" priority="4" percent="1" rank="20"/>
  </conditionalFormatting>
  <conditionalFormatting sqref="AW57:BS57">
    <cfRule type="top10" dxfId="1" priority="1" percent="1" bottom="1" rank="20"/>
    <cfRule type="top10" dxfId="0" priority="2" percent="1" rank="20"/>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33C9-75B8-4050-A303-CE05355987F6}">
  <sheetPr>
    <tabColor theme="5" tint="-0.249977111117893"/>
  </sheetPr>
  <dimension ref="A1"/>
  <sheetViews>
    <sheetView workbookViewId="0"/>
  </sheetViews>
  <sheetFormatPr defaultColWidth="8.5703125" defaultRowHeight="15"/>
  <cols>
    <col min="1" max="16384" width="8.5703125" style="198"/>
  </cols>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08755-0C77-4A51-977F-94E1B6F4C081}">
  <sheetPr>
    <tabColor theme="5" tint="0.39997558519241921"/>
  </sheetPr>
  <dimension ref="A1:CA409"/>
  <sheetViews>
    <sheetView zoomScale="85" zoomScaleNormal="85" workbookViewId="0">
      <pane xSplit="1" topLeftCell="C1" activePane="topRight" state="frozen"/>
      <selection pane="topRight" activeCell="Q24" sqref="Q24"/>
    </sheetView>
  </sheetViews>
  <sheetFormatPr defaultColWidth="8.85546875" defaultRowHeight="15"/>
  <cols>
    <col min="1" max="1" width="46.42578125" style="33" customWidth="1"/>
    <col min="2" max="2" width="14.42578125" style="33" hidden="1" customWidth="1"/>
    <col min="3" max="7" width="14.42578125" style="33" customWidth="1"/>
    <col min="8" max="8" width="16" style="34" customWidth="1"/>
    <col min="9" max="14" width="12.42578125" style="34" customWidth="1"/>
    <col min="15" max="16" width="12.42578125" style="3" customWidth="1"/>
    <col min="17" max="25" width="12.42578125" style="34" customWidth="1"/>
    <col min="26" max="26" width="59.140625" style="34" bestFit="1" customWidth="1"/>
    <col min="27" max="29" width="12.42578125" style="34" customWidth="1"/>
    <col min="30" max="30" width="12.42578125" style="10" customWidth="1"/>
    <col min="31" max="33" width="12.42578125" style="34" customWidth="1"/>
    <col min="34" max="34" width="12.42578125" style="10" customWidth="1"/>
    <col min="35" max="37" width="12.42578125" style="34" customWidth="1"/>
    <col min="38" max="38" width="12.42578125" style="10" customWidth="1"/>
    <col min="39" max="41" width="12.42578125" style="34" customWidth="1"/>
    <col min="42" max="42" width="12.42578125" style="10" customWidth="1"/>
    <col min="43" max="45" width="12.42578125" style="34" customWidth="1"/>
    <col min="46" max="46" width="12.42578125" style="10" customWidth="1"/>
    <col min="47" max="49" width="12.42578125" style="34" customWidth="1"/>
    <col min="50" max="78" width="9.140625" style="34" customWidth="1"/>
    <col min="79" max="16384" width="8.85546875" style="34"/>
  </cols>
  <sheetData>
    <row r="1" spans="1:79" s="220" customFormat="1" ht="15.75">
      <c r="A1" s="219"/>
      <c r="B1" s="219"/>
      <c r="C1" s="219" t="s">
        <v>1587</v>
      </c>
      <c r="D1" s="219" t="s">
        <v>1588</v>
      </c>
      <c r="E1" s="219" t="s">
        <v>1589</v>
      </c>
      <c r="F1" s="219" t="s">
        <v>1590</v>
      </c>
      <c r="G1" s="219" t="s">
        <v>1591</v>
      </c>
      <c r="H1" s="220" t="s">
        <v>444</v>
      </c>
      <c r="I1" s="220" t="s">
        <v>109</v>
      </c>
      <c r="J1" s="220" t="s">
        <v>110</v>
      </c>
      <c r="K1" s="220" t="s">
        <v>111</v>
      </c>
      <c r="L1" s="220" t="s">
        <v>112</v>
      </c>
      <c r="M1" s="220" t="s">
        <v>113</v>
      </c>
      <c r="AA1" s="220" t="s">
        <v>446</v>
      </c>
      <c r="AB1" s="220" t="s">
        <v>447</v>
      </c>
      <c r="AC1" s="220" t="s">
        <v>448</v>
      </c>
      <c r="AD1" s="221" t="s">
        <v>449</v>
      </c>
      <c r="AE1" s="220" t="s">
        <v>450</v>
      </c>
      <c r="AF1" s="220" t="s">
        <v>451</v>
      </c>
      <c r="AG1" s="220" t="s">
        <v>452</v>
      </c>
      <c r="AH1" s="221" t="s">
        <v>453</v>
      </c>
      <c r="AI1" s="220" t="s">
        <v>454</v>
      </c>
      <c r="AJ1" s="220" t="s">
        <v>455</v>
      </c>
      <c r="AK1" s="220" t="s">
        <v>456</v>
      </c>
      <c r="AL1" s="221" t="s">
        <v>457</v>
      </c>
      <c r="AM1" s="220" t="s">
        <v>458</v>
      </c>
      <c r="AN1" s="220" t="s">
        <v>459</v>
      </c>
      <c r="AO1" s="220" t="s">
        <v>460</v>
      </c>
      <c r="AP1" s="221" t="s">
        <v>461</v>
      </c>
      <c r="AQ1" s="220" t="s">
        <v>462</v>
      </c>
      <c r="AR1" s="220" t="s">
        <v>463</v>
      </c>
      <c r="AS1" s="220" t="s">
        <v>464</v>
      </c>
      <c r="AT1" s="221" t="s">
        <v>465</v>
      </c>
      <c r="AU1" s="220" t="s">
        <v>466</v>
      </c>
      <c r="AV1" s="220" t="s">
        <v>467</v>
      </c>
      <c r="AW1" s="220" t="s">
        <v>468</v>
      </c>
      <c r="BD1" s="220" t="s">
        <v>471</v>
      </c>
      <c r="BE1" s="220" t="s">
        <v>446</v>
      </c>
      <c r="BF1" s="220" t="s">
        <v>447</v>
      </c>
      <c r="BG1" s="220" t="s">
        <v>448</v>
      </c>
      <c r="BH1" s="221" t="s">
        <v>449</v>
      </c>
      <c r="BI1" s="220" t="s">
        <v>450</v>
      </c>
      <c r="BJ1" s="220" t="s">
        <v>451</v>
      </c>
      <c r="BK1" s="220" t="s">
        <v>452</v>
      </c>
      <c r="BL1" s="221" t="s">
        <v>453</v>
      </c>
      <c r="BM1" s="220" t="s">
        <v>454</v>
      </c>
      <c r="BN1" s="220" t="s">
        <v>455</v>
      </c>
      <c r="BO1" s="220" t="s">
        <v>456</v>
      </c>
      <c r="BP1" s="221" t="s">
        <v>457</v>
      </c>
      <c r="BQ1" s="220" t="s">
        <v>458</v>
      </c>
      <c r="BR1" s="220" t="s">
        <v>459</v>
      </c>
      <c r="BS1" s="220" t="s">
        <v>460</v>
      </c>
      <c r="BT1" s="221" t="s">
        <v>461</v>
      </c>
      <c r="BU1" s="220" t="s">
        <v>462</v>
      </c>
      <c r="BV1" s="220" t="s">
        <v>463</v>
      </c>
      <c r="BW1" s="220" t="s">
        <v>464</v>
      </c>
      <c r="BX1" s="221" t="s">
        <v>465</v>
      </c>
      <c r="BY1" s="220" t="s">
        <v>466</v>
      </c>
      <c r="BZ1" s="220" t="s">
        <v>467</v>
      </c>
      <c r="CA1" s="221"/>
    </row>
    <row r="2" spans="1:79" ht="15.75">
      <c r="A2" s="32" t="s">
        <v>1592</v>
      </c>
      <c r="C2" s="33" t="s">
        <v>1593</v>
      </c>
      <c r="H2" s="33"/>
      <c r="J2" s="35"/>
      <c r="K2" s="35"/>
      <c r="L2" s="35"/>
      <c r="M2" s="35"/>
      <c r="N2" s="35"/>
    </row>
    <row r="3" spans="1:79" ht="15.75">
      <c r="A3" s="36"/>
      <c r="C3" s="36"/>
      <c r="H3" s="36"/>
      <c r="I3" s="35"/>
      <c r="J3" s="37"/>
      <c r="K3" s="35"/>
      <c r="L3" s="35"/>
      <c r="M3" s="35"/>
      <c r="N3" s="35"/>
    </row>
    <row r="4" spans="1:79" ht="15.75">
      <c r="A4" s="32" t="s">
        <v>1594</v>
      </c>
      <c r="C4" s="33" t="s">
        <v>1595</v>
      </c>
      <c r="H4" s="33"/>
      <c r="J4" s="35"/>
      <c r="K4" s="38" t="s">
        <v>1596</v>
      </c>
      <c r="L4" s="34" t="s">
        <v>1597</v>
      </c>
      <c r="M4" s="34" t="s">
        <v>1598</v>
      </c>
      <c r="N4" s="35"/>
    </row>
    <row r="5" spans="1:79" ht="15.75">
      <c r="A5" s="32" t="s">
        <v>1599</v>
      </c>
      <c r="C5" s="33" t="s">
        <v>1600</v>
      </c>
      <c r="H5" s="33"/>
      <c r="J5" s="35"/>
      <c r="K5" s="38" t="s">
        <v>1601</v>
      </c>
      <c r="L5" s="34" t="s">
        <v>1602</v>
      </c>
      <c r="M5" s="34" t="s">
        <v>1603</v>
      </c>
      <c r="N5" s="35"/>
    </row>
    <row r="6" spans="1:79" ht="15.75">
      <c r="A6" s="36"/>
      <c r="B6" s="36"/>
      <c r="C6" s="35"/>
      <c r="D6" s="36"/>
      <c r="E6" s="36"/>
      <c r="F6" s="36"/>
      <c r="G6" s="36"/>
      <c r="H6" s="35"/>
      <c r="I6" s="37"/>
      <c r="J6" s="35"/>
      <c r="K6" s="35"/>
      <c r="L6" s="35"/>
      <c r="N6" s="35"/>
    </row>
    <row r="7" spans="1:79" s="181" customFormat="1" ht="21">
      <c r="A7" s="180" t="s">
        <v>1604</v>
      </c>
      <c r="C7" s="180" t="s">
        <v>1605</v>
      </c>
      <c r="H7" s="180"/>
      <c r="O7" s="356"/>
      <c r="P7" s="356"/>
      <c r="AA7" s="182" t="s">
        <v>1606</v>
      </c>
      <c r="AD7" s="200"/>
      <c r="AH7" s="200"/>
      <c r="AL7" s="200"/>
      <c r="AP7" s="200"/>
      <c r="AT7" s="200"/>
    </row>
    <row r="8" spans="1:79" ht="30">
      <c r="A8" s="32" t="s">
        <v>1607</v>
      </c>
      <c r="B8" s="32" t="s">
        <v>1608</v>
      </c>
      <c r="C8" s="32"/>
      <c r="D8" s="32"/>
      <c r="E8" s="32"/>
      <c r="F8" s="32"/>
      <c r="G8" s="32"/>
      <c r="H8" s="38" t="s">
        <v>1609</v>
      </c>
      <c r="I8" s="38" t="s">
        <v>1610</v>
      </c>
      <c r="J8" s="38" t="s">
        <v>1611</v>
      </c>
      <c r="K8" s="38" t="s">
        <v>1612</v>
      </c>
      <c r="L8" s="38" t="s">
        <v>1613</v>
      </c>
      <c r="M8" s="38" t="s">
        <v>1598</v>
      </c>
      <c r="N8" s="35"/>
      <c r="Z8" s="39"/>
      <c r="AA8" s="38" t="s">
        <v>446</v>
      </c>
      <c r="AB8" s="38" t="s">
        <v>447</v>
      </c>
      <c r="AC8" s="38" t="s">
        <v>448</v>
      </c>
      <c r="AD8" s="201" t="s">
        <v>449</v>
      </c>
      <c r="AE8" s="38" t="s">
        <v>450</v>
      </c>
      <c r="AF8" s="38" t="s">
        <v>451</v>
      </c>
      <c r="AG8" s="38" t="s">
        <v>452</v>
      </c>
      <c r="AH8" s="201" t="s">
        <v>453</v>
      </c>
      <c r="AI8" s="38" t="s">
        <v>454</v>
      </c>
      <c r="AJ8" s="38" t="s">
        <v>455</v>
      </c>
      <c r="AK8" s="38" t="s">
        <v>456</v>
      </c>
      <c r="AL8" s="201" t="s">
        <v>457</v>
      </c>
      <c r="AM8" s="38" t="s">
        <v>458</v>
      </c>
      <c r="AN8" s="38" t="s">
        <v>459</v>
      </c>
      <c r="AO8" s="38" t="s">
        <v>460</v>
      </c>
      <c r="AP8" s="201" t="s">
        <v>461</v>
      </c>
      <c r="AQ8" s="38" t="s">
        <v>462</v>
      </c>
      <c r="AR8" s="38" t="s">
        <v>463</v>
      </c>
      <c r="AS8" s="38" t="s">
        <v>464</v>
      </c>
      <c r="AT8" s="201" t="s">
        <v>465</v>
      </c>
      <c r="AU8" s="38" t="s">
        <v>466</v>
      </c>
      <c r="AV8" s="38" t="s">
        <v>467</v>
      </c>
    </row>
    <row r="9" spans="1:79" ht="15.75">
      <c r="A9" s="33" t="s">
        <v>1614</v>
      </c>
      <c r="B9" s="33" t="s">
        <v>1614</v>
      </c>
      <c r="H9" s="34" t="s">
        <v>1615</v>
      </c>
      <c r="I9" s="34" t="s">
        <v>1615</v>
      </c>
      <c r="J9" s="34" t="s">
        <v>1615</v>
      </c>
      <c r="K9" s="34" t="s">
        <v>1615</v>
      </c>
      <c r="L9" s="34" t="s">
        <v>1615</v>
      </c>
      <c r="M9" s="34" t="s">
        <v>1615</v>
      </c>
      <c r="N9" s="35"/>
      <c r="Z9" s="34" t="s">
        <v>1614</v>
      </c>
      <c r="AA9" s="34" t="s">
        <v>1616</v>
      </c>
      <c r="AB9" s="34" t="s">
        <v>1615</v>
      </c>
      <c r="AC9" s="34" t="s">
        <v>1616</v>
      </c>
      <c r="AD9" s="10" t="s">
        <v>1616</v>
      </c>
      <c r="AE9" s="34" t="s">
        <v>1616</v>
      </c>
      <c r="AF9" s="34" t="s">
        <v>1615</v>
      </c>
      <c r="AG9" s="34" t="s">
        <v>1616</v>
      </c>
      <c r="AH9" s="10" t="s">
        <v>1616</v>
      </c>
      <c r="AI9" s="34" t="s">
        <v>1616</v>
      </c>
      <c r="AJ9" s="34" t="s">
        <v>1615</v>
      </c>
      <c r="AK9" s="34" t="s">
        <v>1616</v>
      </c>
      <c r="AL9" s="10" t="s">
        <v>1616</v>
      </c>
      <c r="AM9" s="34" t="s">
        <v>1616</v>
      </c>
      <c r="AN9" s="34" t="s">
        <v>1615</v>
      </c>
      <c r="AO9" s="34" t="s">
        <v>1616</v>
      </c>
      <c r="AP9" s="10" t="s">
        <v>1616</v>
      </c>
      <c r="AQ9" s="34" t="s">
        <v>1616</v>
      </c>
      <c r="AR9" s="34" t="s">
        <v>1615</v>
      </c>
      <c r="AS9" s="34" t="s">
        <v>1616</v>
      </c>
      <c r="AT9" s="10" t="s">
        <v>1616</v>
      </c>
      <c r="AU9" s="34" t="s">
        <v>1616</v>
      </c>
      <c r="AV9" s="34" t="s">
        <v>1615</v>
      </c>
      <c r="AW9" s="34" t="s">
        <v>1616</v>
      </c>
    </row>
    <row r="10" spans="1:79" ht="15.75">
      <c r="A10" s="33" t="s">
        <v>1617</v>
      </c>
      <c r="B10" s="33" t="s">
        <v>1617</v>
      </c>
      <c r="H10" s="34" t="s">
        <v>1618</v>
      </c>
      <c r="I10" s="34" t="s">
        <v>1618</v>
      </c>
      <c r="J10" s="34" t="s">
        <v>1618</v>
      </c>
      <c r="K10" s="34" t="s">
        <v>1618</v>
      </c>
      <c r="L10" s="34" t="s">
        <v>1618</v>
      </c>
      <c r="M10" s="34" t="s">
        <v>1618</v>
      </c>
      <c r="N10" s="35"/>
      <c r="Z10" s="34" t="s">
        <v>1617</v>
      </c>
      <c r="AF10" s="34" t="s">
        <v>1618</v>
      </c>
      <c r="AJ10" s="34" t="s">
        <v>1618</v>
      </c>
      <c r="AN10" s="34" t="s">
        <v>1618</v>
      </c>
      <c r="AV10" s="34" t="s">
        <v>1618</v>
      </c>
    </row>
    <row r="11" spans="1:79" ht="15.75">
      <c r="A11" s="33" t="s">
        <v>1619</v>
      </c>
      <c r="B11" s="33" t="s">
        <v>1619</v>
      </c>
      <c r="H11" s="34" t="s">
        <v>1620</v>
      </c>
      <c r="I11" s="34" t="s">
        <v>1620</v>
      </c>
      <c r="J11" s="34" t="s">
        <v>1620</v>
      </c>
      <c r="K11" s="34" t="s">
        <v>1620</v>
      </c>
      <c r="L11" s="34" t="s">
        <v>1620</v>
      </c>
      <c r="M11" s="34" t="s">
        <v>1620</v>
      </c>
      <c r="N11" s="35"/>
      <c r="Z11" s="34" t="s">
        <v>1619</v>
      </c>
      <c r="AF11" s="34" t="s">
        <v>1620</v>
      </c>
      <c r="AJ11" s="34" t="s">
        <v>1620</v>
      </c>
      <c r="AN11" s="34" t="s">
        <v>1620</v>
      </c>
      <c r="AV11" s="34" t="s">
        <v>1620</v>
      </c>
    </row>
    <row r="12" spans="1:79">
      <c r="A12" s="33" t="s">
        <v>1621</v>
      </c>
      <c r="B12" s="33" t="s">
        <v>1622</v>
      </c>
      <c r="C12" s="34">
        <v>2250.1317825830001</v>
      </c>
      <c r="D12" s="34">
        <v>3151.278618199</v>
      </c>
      <c r="E12" s="34">
        <v>4956.0698697429998</v>
      </c>
      <c r="F12" s="34">
        <v>4246.3895809160003</v>
      </c>
      <c r="G12" s="34">
        <v>3843.909468369</v>
      </c>
      <c r="H12" s="34">
        <v>3865.3848881829999</v>
      </c>
      <c r="I12" s="34">
        <v>5998.266652845</v>
      </c>
      <c r="J12" s="34">
        <v>8603.2027487079995</v>
      </c>
      <c r="K12" s="34">
        <v>12709.255795237001</v>
      </c>
      <c r="L12" s="34">
        <v>21302.662313033001</v>
      </c>
      <c r="M12" s="34">
        <v>22107.364604909999</v>
      </c>
      <c r="Z12" s="34" t="s">
        <v>1622</v>
      </c>
      <c r="AA12" s="34">
        <v>1276.4952251669999</v>
      </c>
      <c r="AB12" s="34">
        <v>1371.6192590650001</v>
      </c>
      <c r="AC12" s="34">
        <v>1759.820460227</v>
      </c>
      <c r="AD12" s="10">
        <v>1585.6013205669999</v>
      </c>
      <c r="AE12" s="34">
        <v>1372.8715693950001</v>
      </c>
      <c r="AF12" s="34">
        <v>2010.5841188899999</v>
      </c>
      <c r="AG12" s="34">
        <v>2629.3915140429999</v>
      </c>
      <c r="AH12" s="10">
        <v>2587.6197254160002</v>
      </c>
      <c r="AI12" s="34">
        <v>2356.7487346439998</v>
      </c>
      <c r="AJ12" s="34">
        <v>2556.474575147</v>
      </c>
      <c r="AK12" s="34">
        <v>3654.806805407</v>
      </c>
      <c r="AL12" s="10">
        <v>4112.257191486</v>
      </c>
      <c r="AM12" s="34">
        <v>5063.1606505440004</v>
      </c>
      <c r="AN12" s="34">
        <v>4346.1970736909998</v>
      </c>
      <c r="AO12" s="34">
        <v>3868.0906163099999</v>
      </c>
      <c r="AP12" s="10">
        <v>8073.4162574009997</v>
      </c>
      <c r="AQ12" s="34">
        <v>7104.0746711230004</v>
      </c>
      <c r="AR12" s="34">
        <v>4824.5138081470004</v>
      </c>
      <c r="AS12" s="34">
        <v>5942.2797151570003</v>
      </c>
      <c r="AT12" s="10">
        <v>4267.5691671840004</v>
      </c>
      <c r="AU12" s="34">
        <v>3941.9095183569998</v>
      </c>
      <c r="AV12" s="34">
        <v>4622.6422324770001</v>
      </c>
      <c r="AW12" s="34">
        <v>5552.96</v>
      </c>
      <c r="AY12" s="72" t="s">
        <v>1623</v>
      </c>
      <c r="AZ12" s="1"/>
      <c r="BA12" s="2">
        <v>2018</v>
      </c>
      <c r="BB12" s="2">
        <v>2019</v>
      </c>
      <c r="BC12" s="2">
        <v>2020</v>
      </c>
      <c r="BD12" s="2">
        <v>2021</v>
      </c>
      <c r="BE12" s="41">
        <v>2022</v>
      </c>
      <c r="BF12" s="41">
        <v>2023</v>
      </c>
      <c r="BG12" s="41">
        <v>2024</v>
      </c>
      <c r="BH12" s="41">
        <v>2025</v>
      </c>
      <c r="BI12" s="41">
        <v>2026</v>
      </c>
      <c r="BJ12" s="41">
        <v>2027</v>
      </c>
      <c r="BK12" s="41">
        <v>2028</v>
      </c>
    </row>
    <row r="13" spans="1:79">
      <c r="A13" s="33" t="s">
        <v>1624</v>
      </c>
      <c r="B13" s="33" t="s">
        <v>1625</v>
      </c>
      <c r="C13" s="34">
        <v>-110.45648120600001</v>
      </c>
      <c r="D13" s="34">
        <v>-94.010352862000005</v>
      </c>
      <c r="E13" s="34">
        <v>-79.505130468000004</v>
      </c>
      <c r="F13" s="34">
        <v>-43.033836352000002</v>
      </c>
      <c r="G13" s="34">
        <v>-43.836052485000003</v>
      </c>
      <c r="H13" s="34">
        <v>-44.441133297</v>
      </c>
      <c r="I13" s="34">
        <v>-60.896006044000003</v>
      </c>
      <c r="J13" s="34">
        <v>-115.134138593</v>
      </c>
      <c r="K13" s="34">
        <v>-173.61795780700001</v>
      </c>
      <c r="L13" s="34">
        <v>-379.84884425400003</v>
      </c>
      <c r="M13" s="34">
        <v>-79.229675376000003</v>
      </c>
      <c r="Z13" s="34" t="s">
        <v>1625</v>
      </c>
      <c r="AA13" s="34">
        <v>-11.978546839</v>
      </c>
      <c r="AB13" s="34">
        <v>0.99937448900000003</v>
      </c>
      <c r="AC13" s="34">
        <v>-17.669730612999999</v>
      </c>
      <c r="AD13" s="10">
        <v>-24.881038230000001</v>
      </c>
      <c r="AE13" s="34">
        <v>-1.077190844</v>
      </c>
      <c r="AF13" s="34">
        <v>-8.4298721289999996</v>
      </c>
      <c r="AG13" s="34">
        <v>-14.843812534</v>
      </c>
      <c r="AH13" s="10">
        <v>-87.813225824</v>
      </c>
      <c r="AI13" s="34">
        <v>-46.033588262999999</v>
      </c>
      <c r="AJ13" s="34">
        <v>25.501628113999999</v>
      </c>
      <c r="AK13" s="34">
        <v>-30.532521799000001</v>
      </c>
      <c r="AL13" s="10">
        <v>-95.080110103999999</v>
      </c>
      <c r="AM13" s="34">
        <v>-56.363167517999997</v>
      </c>
      <c r="AN13" s="34">
        <v>-128.656438708</v>
      </c>
      <c r="AO13" s="34">
        <v>-42.966499102</v>
      </c>
      <c r="AP13" s="10">
        <v>-151.86273892599999</v>
      </c>
      <c r="AQ13" s="34">
        <v>-95.374478749999994</v>
      </c>
      <c r="AR13" s="34">
        <v>85.650124802999997</v>
      </c>
      <c r="AS13" s="34">
        <v>122.94115678199999</v>
      </c>
      <c r="AT13" s="10">
        <v>-192.446478211</v>
      </c>
      <c r="AU13" s="34">
        <v>18.017694814999999</v>
      </c>
      <c r="AV13" s="34">
        <v>-26.835644598999998</v>
      </c>
      <c r="AW13" s="34">
        <v>-140.19999999999999</v>
      </c>
      <c r="AY13" s="64" t="s">
        <v>268</v>
      </c>
      <c r="BA13" s="3">
        <f>BB13/0.972</f>
        <v>88929.012345679017</v>
      </c>
      <c r="BB13" s="3">
        <v>86439</v>
      </c>
      <c r="BC13" s="3">
        <v>82777</v>
      </c>
      <c r="BD13" s="3">
        <v>104529</v>
      </c>
      <c r="BE13" s="3">
        <v>109354</v>
      </c>
    </row>
    <row r="14" spans="1:79" s="41" customFormat="1">
      <c r="A14" s="40" t="s">
        <v>1626</v>
      </c>
      <c r="B14" s="40" t="s">
        <v>1627</v>
      </c>
      <c r="C14" s="41">
        <v>2139.6753013769999</v>
      </c>
      <c r="D14" s="41">
        <v>3057.2682653369998</v>
      </c>
      <c r="E14" s="41">
        <v>4876.5647392749997</v>
      </c>
      <c r="F14" s="41">
        <v>4203.3557445639999</v>
      </c>
      <c r="G14" s="41">
        <v>3800.073415884</v>
      </c>
      <c r="H14" s="41">
        <v>3820.9437548860001</v>
      </c>
      <c r="I14" s="41">
        <v>5937.3706468009996</v>
      </c>
      <c r="J14" s="41">
        <v>8488.0686101150004</v>
      </c>
      <c r="K14" s="41">
        <v>12535.63783743</v>
      </c>
      <c r="L14" s="41">
        <v>20922.813468779001</v>
      </c>
      <c r="M14" s="41">
        <v>22028.134929534001</v>
      </c>
      <c r="O14" s="7"/>
      <c r="P14" s="7"/>
      <c r="Z14" s="41" t="s">
        <v>1627</v>
      </c>
      <c r="AA14" s="41">
        <v>1264.5166783279999</v>
      </c>
      <c r="AB14" s="41">
        <v>1372.6186335540001</v>
      </c>
      <c r="AC14" s="41">
        <v>1742.1507296140001</v>
      </c>
      <c r="AD14" s="11">
        <v>1560.7202823370001</v>
      </c>
      <c r="AE14" s="41">
        <v>1371.7943785509999</v>
      </c>
      <c r="AF14" s="41">
        <v>2002.154246761</v>
      </c>
      <c r="AG14" s="41">
        <v>2614.547701509</v>
      </c>
      <c r="AH14" s="11">
        <v>2499.8064995919999</v>
      </c>
      <c r="AI14" s="41">
        <v>2310.7151463810001</v>
      </c>
      <c r="AJ14" s="41">
        <v>2581.9762032610001</v>
      </c>
      <c r="AK14" s="41">
        <v>3624.2742836080001</v>
      </c>
      <c r="AL14" s="11">
        <v>4017.1770813819999</v>
      </c>
      <c r="AM14" s="41">
        <v>5006.797483026</v>
      </c>
      <c r="AN14" s="41">
        <v>4217.540634983</v>
      </c>
      <c r="AO14" s="41">
        <v>3825.1241172079999</v>
      </c>
      <c r="AP14" s="11">
        <v>7921.5535184749997</v>
      </c>
      <c r="AQ14" s="41">
        <v>7008.7001923730004</v>
      </c>
      <c r="AR14" s="41">
        <v>4910.1639329500003</v>
      </c>
      <c r="AS14" s="41">
        <v>6065.2208719390001</v>
      </c>
      <c r="AT14" s="11">
        <v>4075.1226889730001</v>
      </c>
      <c r="AU14" s="41">
        <v>3959.9272131719999</v>
      </c>
      <c r="AV14" s="41">
        <v>4595.8065878779998</v>
      </c>
      <c r="AW14" s="41">
        <v>5412.76</v>
      </c>
      <c r="AY14" s="50" t="s">
        <v>1628</v>
      </c>
      <c r="BA14" s="3">
        <v>85186</v>
      </c>
      <c r="BB14" s="3">
        <v>92598.8</v>
      </c>
      <c r="BC14" s="3">
        <v>93835.5</v>
      </c>
      <c r="BD14" s="3">
        <v>95599.9</v>
      </c>
      <c r="BE14" s="3">
        <v>89374</v>
      </c>
    </row>
    <row r="15" spans="1:79">
      <c r="A15" s="33" t="s">
        <v>1629</v>
      </c>
      <c r="B15" s="33" t="s">
        <v>1630</v>
      </c>
      <c r="C15" s="34">
        <v>-1988.2367515989999</v>
      </c>
      <c r="D15" s="34">
        <v>-2900.6026059239998</v>
      </c>
      <c r="E15" s="34">
        <v>-4589.2206272249996</v>
      </c>
      <c r="F15" s="34">
        <v>-3938.8893555700001</v>
      </c>
      <c r="G15" s="34">
        <v>-3559.3117586220001</v>
      </c>
      <c r="H15" s="34">
        <v>-3546.1934184880001</v>
      </c>
      <c r="I15" s="34">
        <v>-5568.4643656090002</v>
      </c>
      <c r="J15" s="34">
        <v>-7939.942178839</v>
      </c>
      <c r="K15" s="34">
        <v>-11732.855520719</v>
      </c>
      <c r="L15" s="34">
        <v>-19414.819300276002</v>
      </c>
      <c r="M15" s="34">
        <v>-20365.038536062999</v>
      </c>
      <c r="Z15" s="34" t="s">
        <v>1630</v>
      </c>
      <c r="AA15" s="34">
        <v>-1192.2493691489999</v>
      </c>
      <c r="AB15" s="34">
        <v>-1290.8982798730001</v>
      </c>
      <c r="AC15" s="34">
        <v>-1638.8025162250001</v>
      </c>
      <c r="AD15" s="10">
        <v>-1448.852826499</v>
      </c>
      <c r="AE15" s="34">
        <v>-1291.0731659749999</v>
      </c>
      <c r="AF15" s="34">
        <v>-1881.040684173</v>
      </c>
      <c r="AG15" s="34">
        <v>-2435.4052956760002</v>
      </c>
      <c r="AH15" s="10">
        <v>-2333.6025072960001</v>
      </c>
      <c r="AI15" s="34">
        <v>-2167.4511783439998</v>
      </c>
      <c r="AJ15" s="34">
        <v>-2416.432847947</v>
      </c>
      <c r="AK15" s="34">
        <v>-3392.968899988</v>
      </c>
      <c r="AL15" s="10">
        <v>-3762.6499515609999</v>
      </c>
      <c r="AM15" s="34">
        <v>-4687.7688930450004</v>
      </c>
      <c r="AN15" s="34">
        <v>-3912.4189683449999</v>
      </c>
      <c r="AO15" s="34">
        <v>-3551.1529907079998</v>
      </c>
      <c r="AP15" s="10">
        <v>-7308.6290162929999</v>
      </c>
      <c r="AQ15" s="34">
        <v>-6542.2475455399999</v>
      </c>
      <c r="AR15" s="34">
        <v>-4589.9357838659998</v>
      </c>
      <c r="AS15" s="34">
        <v>-5659.2647217249996</v>
      </c>
      <c r="AT15" s="10">
        <v>-3605.299884815</v>
      </c>
      <c r="AU15" s="34">
        <v>-3699.1936032409999</v>
      </c>
      <c r="AV15" s="34">
        <v>-4202.8301105680002</v>
      </c>
      <c r="AW15" s="34">
        <v>-5027.92</v>
      </c>
      <c r="AY15" s="41" t="s">
        <v>1631</v>
      </c>
      <c r="AZ15" s="41"/>
      <c r="BA15" s="41"/>
      <c r="BB15" s="34">
        <v>89050</v>
      </c>
      <c r="BC15" s="34">
        <v>90692.5</v>
      </c>
      <c r="BD15" s="34">
        <v>105021.91499999999</v>
      </c>
    </row>
    <row r="16" spans="1:79" s="41" customFormat="1">
      <c r="A16" s="40" t="s">
        <v>1632</v>
      </c>
      <c r="B16" s="40" t="s">
        <v>1633</v>
      </c>
      <c r="C16" s="41">
        <v>151.43854977800001</v>
      </c>
      <c r="D16" s="41">
        <v>156.66565941299999</v>
      </c>
      <c r="E16" s="41">
        <v>287.34411204999998</v>
      </c>
      <c r="F16" s="41">
        <v>264.466388994</v>
      </c>
      <c r="G16" s="41">
        <v>240.761657262</v>
      </c>
      <c r="H16" s="41">
        <v>274.750336398</v>
      </c>
      <c r="I16" s="41">
        <v>368.90628119199999</v>
      </c>
      <c r="J16" s="41">
        <v>548.12643127599995</v>
      </c>
      <c r="K16" s="41">
        <v>802.78231671100002</v>
      </c>
      <c r="L16" s="41">
        <v>1507.9941685030001</v>
      </c>
      <c r="M16" s="41">
        <v>1663.0963934710001</v>
      </c>
      <c r="O16" s="7"/>
      <c r="P16" s="7"/>
      <c r="Z16" s="41" t="s">
        <v>1633</v>
      </c>
      <c r="AA16" s="41">
        <v>72.267309178999994</v>
      </c>
      <c r="AB16" s="41">
        <v>81.720353681000006</v>
      </c>
      <c r="AC16" s="41">
        <v>103.34821338899999</v>
      </c>
      <c r="AD16" s="11">
        <v>111.867455838</v>
      </c>
      <c r="AE16" s="41">
        <v>80.721212575999999</v>
      </c>
      <c r="AF16" s="41">
        <v>121.11356258799999</v>
      </c>
      <c r="AG16" s="41">
        <v>179.142405833</v>
      </c>
      <c r="AH16" s="11">
        <v>166.203992296</v>
      </c>
      <c r="AI16" s="41">
        <v>143.26396803700001</v>
      </c>
      <c r="AJ16" s="41">
        <v>165.543355314</v>
      </c>
      <c r="AK16" s="41">
        <v>231.30538361999999</v>
      </c>
      <c r="AL16" s="11">
        <v>254.52712982099999</v>
      </c>
      <c r="AM16" s="41">
        <v>319.02858998099998</v>
      </c>
      <c r="AN16" s="41">
        <v>305.12166663800002</v>
      </c>
      <c r="AO16" s="41">
        <v>273.97112650000003</v>
      </c>
      <c r="AP16" s="11">
        <v>612.92450218199997</v>
      </c>
      <c r="AQ16" s="41">
        <v>466.45264683300002</v>
      </c>
      <c r="AR16" s="41">
        <v>320.22814908399999</v>
      </c>
      <c r="AS16" s="41">
        <v>405.95615021399999</v>
      </c>
      <c r="AT16" s="11">
        <v>469.822804158</v>
      </c>
      <c r="AU16" s="41">
        <v>260.73360993099999</v>
      </c>
      <c r="AV16" s="41">
        <v>392.97647731000001</v>
      </c>
      <c r="AW16" s="41">
        <v>384.84</v>
      </c>
    </row>
    <row r="17" spans="1:57">
      <c r="A17" s="33" t="s">
        <v>501</v>
      </c>
      <c r="B17" s="33" t="s">
        <v>1634</v>
      </c>
      <c r="C17" s="34">
        <v>14.49893464</v>
      </c>
      <c r="D17" s="34">
        <v>5.9818555509999998</v>
      </c>
      <c r="E17" s="34">
        <v>10.737904223999999</v>
      </c>
      <c r="F17" s="34">
        <v>14.11404445</v>
      </c>
      <c r="G17" s="34">
        <v>19.265855640000002</v>
      </c>
      <c r="H17" s="34">
        <v>24.486747082000001</v>
      </c>
      <c r="I17" s="34">
        <v>32.404635435000003</v>
      </c>
      <c r="J17" s="34">
        <v>60.625155829000001</v>
      </c>
      <c r="K17" s="34">
        <v>82.757303962999998</v>
      </c>
      <c r="L17" s="34">
        <v>180.13014260899999</v>
      </c>
      <c r="M17" s="34">
        <v>209.04661797200001</v>
      </c>
      <c r="Z17" s="34" t="s">
        <v>1634</v>
      </c>
      <c r="AA17" s="34">
        <v>4.4124648369999999</v>
      </c>
      <c r="AB17" s="34">
        <v>6.4119894610000001</v>
      </c>
      <c r="AC17" s="34">
        <v>8.9684341249999999</v>
      </c>
      <c r="AD17" s="10">
        <v>12.611747012</v>
      </c>
      <c r="AE17" s="34">
        <v>11.684023215</v>
      </c>
      <c r="AF17" s="34">
        <v>12.630172614999999</v>
      </c>
      <c r="AG17" s="34">
        <v>21.342665153999999</v>
      </c>
      <c r="AH17" s="10">
        <v>14.706561401</v>
      </c>
      <c r="AI17" s="34">
        <v>14.373516472</v>
      </c>
      <c r="AJ17" s="34">
        <v>27.553942584000001</v>
      </c>
      <c r="AK17" s="34">
        <v>20.806711141000001</v>
      </c>
      <c r="AL17" s="10">
        <v>21.634387426</v>
      </c>
      <c r="AM17" s="34">
        <v>24.899826731000001</v>
      </c>
      <c r="AN17" s="34">
        <v>38.901809831000001</v>
      </c>
      <c r="AO17" s="34">
        <v>48.472524155999999</v>
      </c>
      <c r="AP17" s="10">
        <v>67.855981890999999</v>
      </c>
      <c r="AQ17" s="34">
        <v>73.276796016999995</v>
      </c>
      <c r="AR17" s="34">
        <v>29.651346468</v>
      </c>
      <c r="AS17" s="34">
        <v>38.241857039999999</v>
      </c>
      <c r="AT17" s="10">
        <v>67.876618446999998</v>
      </c>
      <c r="AU17" s="34">
        <v>37.004086645999998</v>
      </c>
      <c r="AV17" s="34">
        <v>44.646004861999998</v>
      </c>
      <c r="AW17" s="34">
        <v>46.74</v>
      </c>
      <c r="AY17" s="41" t="s">
        <v>1635</v>
      </c>
    </row>
    <row r="18" spans="1:57">
      <c r="A18" s="33" t="s">
        <v>1636</v>
      </c>
      <c r="B18" s="33" t="s">
        <v>1637</v>
      </c>
      <c r="C18" s="34">
        <v>-32.656914245999999</v>
      </c>
      <c r="D18" s="34">
        <v>-36.242918381999999</v>
      </c>
      <c r="E18" s="34">
        <v>-42.672207786000001</v>
      </c>
      <c r="F18" s="34">
        <v>-40.204938067999997</v>
      </c>
      <c r="G18" s="34">
        <v>-27.891556616999999</v>
      </c>
      <c r="H18" s="34">
        <v>-23.869055498000002</v>
      </c>
      <c r="I18" s="34">
        <v>-38.818358717999999</v>
      </c>
      <c r="J18" s="34">
        <v>-51.400224745999999</v>
      </c>
      <c r="K18" s="34">
        <v>-33.181287472999998</v>
      </c>
      <c r="L18" s="34">
        <v>-42.367478869000003</v>
      </c>
      <c r="M18" s="34">
        <v>-144.032907196</v>
      </c>
      <c r="Z18" s="34" t="s">
        <v>1637</v>
      </c>
      <c r="AA18" s="34">
        <v>-7.5655917439999998</v>
      </c>
      <c r="AB18" s="34">
        <v>-7.2118680030000002</v>
      </c>
      <c r="AC18" s="34">
        <v>-11.052774256999999</v>
      </c>
      <c r="AD18" s="10">
        <v>-12.985517095000001</v>
      </c>
      <c r="AE18" s="34">
        <v>-11.865111711999999</v>
      </c>
      <c r="AF18" s="34">
        <v>-18.042870157999999</v>
      </c>
      <c r="AG18" s="34">
        <v>-19.040261604000001</v>
      </c>
      <c r="AH18" s="10">
        <v>-3.6794758409999999</v>
      </c>
      <c r="AI18" s="34">
        <v>-12.636189419999999</v>
      </c>
      <c r="AJ18" s="34">
        <v>-9.4605480190000009</v>
      </c>
      <c r="AK18" s="34">
        <v>-12.002124713000001</v>
      </c>
      <c r="AL18" s="10">
        <v>-3.1882359409999999</v>
      </c>
      <c r="AM18" s="34">
        <v>-5.4803579720000002</v>
      </c>
      <c r="AN18" s="34">
        <v>-6.4956570989999998</v>
      </c>
      <c r="AO18" s="34">
        <v>-8.6357172569999996</v>
      </c>
      <c r="AP18" s="10">
        <v>-21.755746541000001</v>
      </c>
      <c r="AQ18" s="34">
        <v>-15.388422713000001</v>
      </c>
      <c r="AR18" s="34">
        <v>-24.9879453</v>
      </c>
      <c r="AS18" s="34">
        <v>-30.156690248</v>
      </c>
      <c r="AT18" s="10">
        <v>-73.499848935000003</v>
      </c>
      <c r="AU18" s="34">
        <v>-26.572395303</v>
      </c>
      <c r="AV18" s="34">
        <v>-45.568525713</v>
      </c>
      <c r="AW18" s="34">
        <v>-38.44</v>
      </c>
    </row>
    <row r="19" spans="1:57">
      <c r="A19" s="33" t="s">
        <v>1638</v>
      </c>
      <c r="B19" s="33" t="s">
        <v>1639</v>
      </c>
      <c r="C19" s="34">
        <v>-27.224105650999999</v>
      </c>
      <c r="D19" s="34">
        <v>-34.202162864999998</v>
      </c>
      <c r="E19" s="34">
        <v>-25.117089461999999</v>
      </c>
      <c r="F19" s="34">
        <v>-23.133793052000001</v>
      </c>
      <c r="G19" s="34">
        <v>-22.795497880999999</v>
      </c>
      <c r="H19" s="34">
        <v>-22.611716336000001</v>
      </c>
      <c r="I19" s="34">
        <v>-32.134890085000002</v>
      </c>
      <c r="J19" s="34">
        <v>-47.582349663999999</v>
      </c>
      <c r="K19" s="34">
        <v>-27.018043416000001</v>
      </c>
      <c r="L19" s="34">
        <v>-31.886522705000001</v>
      </c>
      <c r="M19" s="34">
        <v>-94.462125254</v>
      </c>
      <c r="Z19" s="34" t="s">
        <v>1639</v>
      </c>
      <c r="AA19" s="34">
        <v>-7.3885506379999999</v>
      </c>
      <c r="AB19" s="34">
        <v>-6.5825805119999998</v>
      </c>
      <c r="AC19" s="34">
        <v>-5.7743399350000004</v>
      </c>
      <c r="AD19" s="10">
        <v>-12.373313496</v>
      </c>
      <c r="AE19" s="34">
        <v>-11.655150828</v>
      </c>
      <c r="AF19" s="34">
        <v>-15.389230889</v>
      </c>
      <c r="AG19" s="34">
        <v>-11.719631595999999</v>
      </c>
      <c r="AH19" s="10">
        <v>-8.8274400570000005</v>
      </c>
      <c r="AI19" s="34">
        <v>-10.48468473</v>
      </c>
      <c r="AJ19" s="34">
        <v>-7.7871945980000001</v>
      </c>
      <c r="AK19" s="34">
        <v>-6.3917470549999997</v>
      </c>
      <c r="AL19" s="10">
        <v>-2.3544170329999998</v>
      </c>
      <c r="AM19" s="34">
        <v>-5.5325722600000002</v>
      </c>
      <c r="AN19" s="34">
        <v>-5.9143162929999997</v>
      </c>
      <c r="AO19" s="34">
        <v>-8.4341058950000001</v>
      </c>
      <c r="AP19" s="10">
        <v>-12.005528257</v>
      </c>
      <c r="AQ19" s="34">
        <v>-13.822439606</v>
      </c>
      <c r="AR19" s="34">
        <v>-21.826082442000001</v>
      </c>
      <c r="AS19" s="34">
        <v>-21.773196287000001</v>
      </c>
      <c r="AT19" s="10">
        <v>-41.567513759000001</v>
      </c>
      <c r="AU19" s="34">
        <v>-24.134120926000001</v>
      </c>
      <c r="AV19" s="34">
        <v>-44.523722853999999</v>
      </c>
      <c r="AW19" s="34">
        <v>-30.68</v>
      </c>
      <c r="AY19" s="34" t="s">
        <v>1640</v>
      </c>
      <c r="BA19" s="3">
        <v>15853.4</v>
      </c>
      <c r="BB19" s="3">
        <v>16091.2</v>
      </c>
      <c r="BC19" s="3">
        <v>17409.8</v>
      </c>
      <c r="BD19" s="3">
        <v>17614.5</v>
      </c>
      <c r="BE19" s="3">
        <v>15555.3</v>
      </c>
    </row>
    <row r="20" spans="1:57">
      <c r="A20" s="33" t="s">
        <v>1641</v>
      </c>
      <c r="B20" s="33" t="s">
        <v>1642</v>
      </c>
      <c r="C20" s="34">
        <v>0</v>
      </c>
      <c r="D20" s="34">
        <v>0</v>
      </c>
      <c r="E20" s="34">
        <v>0</v>
      </c>
      <c r="F20" s="34">
        <v>0</v>
      </c>
      <c r="G20" s="34">
        <v>0</v>
      </c>
      <c r="H20" s="34">
        <v>-0.27546714</v>
      </c>
      <c r="I20" s="34">
        <v>0.589632991</v>
      </c>
      <c r="J20" s="34">
        <v>1.375472212</v>
      </c>
      <c r="K20" s="34">
        <v>4.1767276139999998</v>
      </c>
      <c r="L20" s="34">
        <v>-2.3776000800000001</v>
      </c>
      <c r="M20" s="34">
        <v>-1.826431065</v>
      </c>
      <c r="Z20" s="34" t="s">
        <v>1642</v>
      </c>
      <c r="AA20" s="34">
        <v>-0.286113546</v>
      </c>
      <c r="AB20" s="34">
        <v>2.7483780999999999E-2</v>
      </c>
      <c r="AC20" s="34">
        <v>0.48749712899999997</v>
      </c>
      <c r="AD20" s="10">
        <v>0.58929587400000005</v>
      </c>
      <c r="AE20" s="34">
        <v>1.3550917099999999</v>
      </c>
      <c r="AF20" s="34">
        <v>1.3538428810000001</v>
      </c>
      <c r="AG20" s="34">
        <v>1.1822775430000001</v>
      </c>
      <c r="AH20" s="10">
        <v>-1.4384484909999999</v>
      </c>
      <c r="AI20" s="34">
        <v>1.1554631310000001</v>
      </c>
      <c r="AJ20" s="34">
        <v>0.68291459600000004</v>
      </c>
      <c r="AK20" s="34">
        <v>1.2783104460000001</v>
      </c>
      <c r="AL20" s="10">
        <v>-0.15884557599999999</v>
      </c>
      <c r="AM20" s="34">
        <v>-0.97873006799999995</v>
      </c>
      <c r="AN20" s="34">
        <v>-1.608700945</v>
      </c>
      <c r="AO20" s="34">
        <v>-1.571251459</v>
      </c>
      <c r="AP20" s="10">
        <v>1.7810823920000001</v>
      </c>
      <c r="AQ20" s="34">
        <v>-1.6603711409999999</v>
      </c>
      <c r="AR20" s="34">
        <v>-0.33947455399999998</v>
      </c>
      <c r="AS20" s="34">
        <v>0.87898181099999995</v>
      </c>
      <c r="AT20" s="10">
        <v>-0.70556718100000004</v>
      </c>
      <c r="AU20" s="34">
        <v>-2.188399124</v>
      </c>
      <c r="AV20" s="34">
        <v>2.704231059</v>
      </c>
      <c r="AW20" s="34">
        <v>-0.17</v>
      </c>
      <c r="AY20" s="34" t="s">
        <v>1631</v>
      </c>
      <c r="BB20" s="34">
        <v>14663.06</v>
      </c>
      <c r="BC20" s="34">
        <v>14626.961000000001</v>
      </c>
      <c r="BD20" s="34">
        <v>15572.897000000001</v>
      </c>
    </row>
    <row r="21" spans="1:57">
      <c r="A21" s="33" t="s">
        <v>1643</v>
      </c>
      <c r="B21" s="33" t="s">
        <v>1644</v>
      </c>
      <c r="C21" s="34">
        <v>-28.140662194000001</v>
      </c>
      <c r="D21" s="34">
        <v>-31.511807180000002</v>
      </c>
      <c r="E21" s="34">
        <v>-67.229317088000002</v>
      </c>
      <c r="F21" s="34">
        <v>-64.31670724</v>
      </c>
      <c r="G21" s="34">
        <v>-98.266813252999995</v>
      </c>
      <c r="H21" s="34">
        <v>-125.926800294</v>
      </c>
      <c r="I21" s="34">
        <v>-134.531147963</v>
      </c>
      <c r="J21" s="34">
        <v>-248.28299292200001</v>
      </c>
      <c r="K21" s="34">
        <v>-434.35927470000001</v>
      </c>
      <c r="L21" s="34">
        <v>-708.28290340299998</v>
      </c>
      <c r="M21" s="34">
        <v>-722.40749739800003</v>
      </c>
      <c r="Z21" s="34" t="s">
        <v>1644</v>
      </c>
      <c r="AA21" s="34">
        <v>-28.327413550999999</v>
      </c>
      <c r="AB21" s="34">
        <v>-32.886462672999997</v>
      </c>
      <c r="AC21" s="34">
        <v>-33.436569044999999</v>
      </c>
      <c r="AD21" s="10">
        <v>-41.241673949000003</v>
      </c>
      <c r="AE21" s="34">
        <v>-29.322333581999999</v>
      </c>
      <c r="AF21" s="34">
        <v>-55.106531879999999</v>
      </c>
      <c r="AG21" s="34">
        <v>-89.471437292000005</v>
      </c>
      <c r="AH21" s="10">
        <v>-72.956052224000004</v>
      </c>
      <c r="AI21" s="34">
        <v>-64.100135621000007</v>
      </c>
      <c r="AJ21" s="34">
        <v>-111.05287437</v>
      </c>
      <c r="AK21" s="34">
        <v>-124.848449483</v>
      </c>
      <c r="AL21" s="10">
        <v>-146.56647428799999</v>
      </c>
      <c r="AM21" s="34">
        <v>-181.496853133</v>
      </c>
      <c r="AN21" s="34">
        <v>-163.90015019399999</v>
      </c>
      <c r="AO21" s="34">
        <v>-151.07535902999999</v>
      </c>
      <c r="AP21" s="10">
        <v>-211.810541046</v>
      </c>
      <c r="AQ21" s="34">
        <v>-231.96501787299999</v>
      </c>
      <c r="AR21" s="34">
        <v>-117.019910873</v>
      </c>
      <c r="AS21" s="34">
        <v>-149.56358346299999</v>
      </c>
      <c r="AT21" s="10">
        <v>-223.21946018899999</v>
      </c>
      <c r="AU21" s="34">
        <v>-118.38098524</v>
      </c>
      <c r="AV21" s="34">
        <v>-241.45745261100001</v>
      </c>
      <c r="AW21" s="34">
        <v>-212.93</v>
      </c>
      <c r="AY21" s="34" t="s">
        <v>1645</v>
      </c>
      <c r="BC21" s="34">
        <v>14200</v>
      </c>
      <c r="BD21" s="34">
        <v>15900</v>
      </c>
      <c r="BE21" s="34">
        <v>13413</v>
      </c>
    </row>
    <row r="22" spans="1:57">
      <c r="A22" s="33" t="s">
        <v>1646</v>
      </c>
      <c r="B22" s="33" t="s">
        <v>1647</v>
      </c>
      <c r="C22" s="34">
        <v>-35.976747054999997</v>
      </c>
      <c r="D22" s="34">
        <v>-32.029911069000001</v>
      </c>
      <c r="E22" s="34">
        <v>-38.939839997</v>
      </c>
      <c r="F22" s="34">
        <v>-45.438871816999999</v>
      </c>
      <c r="G22" s="34">
        <v>-53.825894204000001</v>
      </c>
      <c r="H22" s="34">
        <v>-55.721814246000001</v>
      </c>
      <c r="I22" s="34">
        <v>-91.237772755999998</v>
      </c>
      <c r="J22" s="34">
        <v>-100.526980788</v>
      </c>
      <c r="K22" s="34">
        <v>-90.216582364999994</v>
      </c>
      <c r="L22" s="34">
        <v>-113.70392908399999</v>
      </c>
      <c r="M22" s="34">
        <v>-135.81866980000001</v>
      </c>
      <c r="Z22" s="34" t="s">
        <v>1647</v>
      </c>
      <c r="AA22" s="34">
        <v>-17.396081595999998</v>
      </c>
      <c r="AB22" s="34">
        <v>-18.800080157</v>
      </c>
      <c r="AC22" s="34">
        <v>-23.887016394</v>
      </c>
      <c r="AD22" s="10">
        <v>-29.132815887</v>
      </c>
      <c r="AE22" s="34">
        <v>-23.376234287999999</v>
      </c>
      <c r="AF22" s="34">
        <v>-16.555429924999999</v>
      </c>
      <c r="AG22" s="34">
        <v>-24.588472717999998</v>
      </c>
      <c r="AH22" s="10">
        <v>-34.835035509000001</v>
      </c>
      <c r="AI22" s="34">
        <v>-28.177778054000001</v>
      </c>
      <c r="AJ22" s="34">
        <v>-9.6849339729999997</v>
      </c>
      <c r="AK22" s="34">
        <v>-17.601609595999999</v>
      </c>
      <c r="AL22" s="10">
        <v>-12.748857307</v>
      </c>
      <c r="AM22" s="34">
        <v>-20.574394779999999</v>
      </c>
      <c r="AN22" s="34">
        <v>-25.006892437000001</v>
      </c>
      <c r="AO22" s="34">
        <v>-26.760418961999999</v>
      </c>
      <c r="AP22" s="10">
        <v>-41.362222905000003</v>
      </c>
      <c r="AQ22" s="34">
        <v>-24.712718186</v>
      </c>
      <c r="AR22" s="34">
        <v>-32.897217329999997</v>
      </c>
      <c r="AS22" s="34">
        <v>-37.973614707999999</v>
      </c>
      <c r="AT22" s="10">
        <v>-40.238001394000001</v>
      </c>
      <c r="AU22" s="34">
        <v>-45.549452313000003</v>
      </c>
      <c r="AV22" s="34">
        <v>-40.020389195999996</v>
      </c>
      <c r="AW22" s="34">
        <v>-48.94</v>
      </c>
      <c r="AY22" s="34" t="s">
        <v>1648</v>
      </c>
      <c r="BD22" s="34">
        <v>14329.269129488281</v>
      </c>
      <c r="BE22" s="34">
        <v>14146.34390291499</v>
      </c>
    </row>
    <row r="23" spans="1:57" s="41" customFormat="1">
      <c r="A23" s="40" t="s">
        <v>1649</v>
      </c>
      <c r="B23" s="40" t="s">
        <v>1650</v>
      </c>
      <c r="C23" s="41">
        <v>69.163160923000007</v>
      </c>
      <c r="D23" s="41">
        <v>62.862878332999998</v>
      </c>
      <c r="E23" s="41">
        <v>149.24065140299999</v>
      </c>
      <c r="F23" s="41">
        <v>128.619916319</v>
      </c>
      <c r="G23" s="41">
        <v>80.043248828000003</v>
      </c>
      <c r="H23" s="41">
        <v>93.443946302000001</v>
      </c>
      <c r="I23" s="41">
        <v>137.31327018100001</v>
      </c>
      <c r="J23" s="41">
        <v>209.916860861</v>
      </c>
      <c r="K23" s="41">
        <v>331.95920374999997</v>
      </c>
      <c r="L23" s="41">
        <v>821.39239967599997</v>
      </c>
      <c r="M23" s="41">
        <v>868.05750598400004</v>
      </c>
      <c r="O23" s="7"/>
      <c r="P23" s="7"/>
      <c r="Z23" s="41" t="s">
        <v>1650</v>
      </c>
      <c r="AA23" s="41">
        <v>23.104573579</v>
      </c>
      <c r="AB23" s="41">
        <v>29.261416090000001</v>
      </c>
      <c r="AC23" s="41">
        <v>44.427784946999999</v>
      </c>
      <c r="AD23" s="11">
        <v>41.708491793</v>
      </c>
      <c r="AE23" s="41">
        <v>29.196647919</v>
      </c>
      <c r="AF23" s="41">
        <v>45.392746121000002</v>
      </c>
      <c r="AG23" s="41">
        <v>68.567176915999994</v>
      </c>
      <c r="AH23" s="11">
        <v>68.001541631999999</v>
      </c>
      <c r="AI23" s="41">
        <v>53.878844545</v>
      </c>
      <c r="AJ23" s="41">
        <v>63.581856131999999</v>
      </c>
      <c r="AK23" s="41">
        <v>98.938221415000001</v>
      </c>
      <c r="AL23" s="11">
        <v>113.499104135</v>
      </c>
      <c r="AM23" s="41">
        <v>135.39808075900001</v>
      </c>
      <c r="AN23" s="41">
        <v>147.012075794</v>
      </c>
      <c r="AO23" s="41">
        <v>134.40090394800001</v>
      </c>
      <c r="AP23" s="11">
        <v>407.63305597300001</v>
      </c>
      <c r="AQ23" s="41">
        <v>266.00291293700002</v>
      </c>
      <c r="AR23" s="41">
        <v>174.63494749500001</v>
      </c>
      <c r="AS23" s="41">
        <v>227.383100646</v>
      </c>
      <c r="AT23" s="11">
        <v>200.03654490599999</v>
      </c>
      <c r="AU23" s="41">
        <v>105.046464597</v>
      </c>
      <c r="AV23" s="41">
        <v>113.280345711</v>
      </c>
      <c r="AW23" s="41">
        <v>131.1</v>
      </c>
    </row>
    <row r="24" spans="1:57">
      <c r="A24" s="33" t="s">
        <v>1651</v>
      </c>
      <c r="B24" s="33" t="s">
        <v>1652</v>
      </c>
      <c r="C24" s="34">
        <v>17.035290794000002</v>
      </c>
      <c r="D24" s="34">
        <v>7.3861580050000004</v>
      </c>
      <c r="E24" s="34">
        <v>19.820408517000001</v>
      </c>
      <c r="F24" s="34">
        <v>6.0381385730000003</v>
      </c>
      <c r="G24" s="34">
        <v>5.9398226669999996</v>
      </c>
      <c r="H24" s="34">
        <v>9.4427380939999992</v>
      </c>
      <c r="I24" s="34">
        <v>4.2721016870000001</v>
      </c>
      <c r="J24" s="34">
        <v>4.8192110330000002</v>
      </c>
      <c r="K24" s="34">
        <v>3.2653524539999998</v>
      </c>
      <c r="L24" s="34">
        <v>1.2514145270000001</v>
      </c>
      <c r="M24" s="34">
        <v>2.0800476520000002</v>
      </c>
      <c r="Z24" s="34" t="s">
        <v>1652</v>
      </c>
      <c r="AA24" s="34">
        <v>1.287272019</v>
      </c>
      <c r="AB24" s="34">
        <v>0.39267201099999999</v>
      </c>
      <c r="AC24" s="34">
        <v>1.9188877600000001</v>
      </c>
      <c r="AD24" s="10">
        <v>0.63592510700000004</v>
      </c>
      <c r="AE24" s="34">
        <v>2.6913422680000001</v>
      </c>
      <c r="AF24" s="34">
        <v>0.30488739300000001</v>
      </c>
      <c r="AG24" s="34">
        <v>0.29157274599999999</v>
      </c>
      <c r="AH24" s="10">
        <v>0.537204185</v>
      </c>
      <c r="AI24" s="34">
        <v>0.17993759500000001</v>
      </c>
      <c r="AJ24" s="34">
        <v>0.36687963299999998</v>
      </c>
      <c r="AK24" s="34">
        <v>2.494998308</v>
      </c>
      <c r="AL24" s="10">
        <v>0.29552615500000001</v>
      </c>
      <c r="AM24" s="34">
        <v>0.13077017299999999</v>
      </c>
      <c r="AN24" s="34">
        <v>0.192252384</v>
      </c>
      <c r="AO24" s="34">
        <v>0.25204307799999998</v>
      </c>
      <c r="AP24" s="10">
        <v>0.67634889200000003</v>
      </c>
      <c r="AQ24" s="34">
        <v>0.21559942900000001</v>
      </c>
      <c r="AR24" s="34">
        <v>0.17918909699999999</v>
      </c>
      <c r="AS24" s="34">
        <v>0.30590114499999999</v>
      </c>
      <c r="AT24" s="10">
        <v>1.3793579810000001</v>
      </c>
      <c r="AU24" s="34">
        <v>2.6885971620000002</v>
      </c>
      <c r="AV24" s="34">
        <v>0.67180338900000003</v>
      </c>
      <c r="AW24" s="34">
        <v>3.9</v>
      </c>
    </row>
    <row r="25" spans="1:57">
      <c r="A25" s="33" t="s">
        <v>1653</v>
      </c>
      <c r="B25" s="33" t="s">
        <v>1654</v>
      </c>
      <c r="C25" s="34">
        <v>-1.1058747950000001</v>
      </c>
      <c r="D25" s="34">
        <v>-1.2145809599999999</v>
      </c>
      <c r="E25" s="34">
        <v>-1.128063456</v>
      </c>
      <c r="F25" s="34">
        <v>-1.302852583</v>
      </c>
      <c r="G25" s="34">
        <v>-1.6998834759999999</v>
      </c>
      <c r="H25" s="34">
        <v>-3.3210110959999999</v>
      </c>
      <c r="I25" s="34">
        <v>-1.949388374</v>
      </c>
      <c r="J25" s="34">
        <v>-4.3825070630000003</v>
      </c>
      <c r="K25" s="34">
        <v>-1.4666704479999999</v>
      </c>
      <c r="L25" s="34">
        <v>-2.8045543980000001</v>
      </c>
      <c r="M25" s="34">
        <v>-7.7698774259999999</v>
      </c>
      <c r="Z25" s="34" t="s">
        <v>1654</v>
      </c>
      <c r="AA25" s="34">
        <v>-0.42616950100000001</v>
      </c>
      <c r="AB25" s="34">
        <v>-0.58769733499999999</v>
      </c>
      <c r="AC25" s="34">
        <v>-0.51028574199999999</v>
      </c>
      <c r="AD25" s="10">
        <v>-0.387051017</v>
      </c>
      <c r="AE25" s="34">
        <v>-0.76759175899999998</v>
      </c>
      <c r="AF25" s="34">
        <v>-0.67565447999999995</v>
      </c>
      <c r="AG25" s="34">
        <v>-1.515767555</v>
      </c>
      <c r="AH25" s="10">
        <v>-1.58130576</v>
      </c>
      <c r="AI25" s="34">
        <v>-0.29830832299999999</v>
      </c>
      <c r="AJ25" s="34">
        <v>-0.39253422500000001</v>
      </c>
      <c r="AK25" s="34">
        <v>-0.43477872699999998</v>
      </c>
      <c r="AL25" s="10">
        <v>-0.34104917299999998</v>
      </c>
      <c r="AM25" s="34">
        <v>-0.48334409499999997</v>
      </c>
      <c r="AN25" s="34">
        <v>-0.47878838200000001</v>
      </c>
      <c r="AO25" s="34">
        <v>-0.47535741100000001</v>
      </c>
      <c r="AP25" s="10">
        <v>-1.3670645100000001</v>
      </c>
      <c r="AQ25" s="34">
        <v>-1.0521790929999999</v>
      </c>
      <c r="AR25" s="34">
        <v>-2.0065760849999998</v>
      </c>
      <c r="AS25" s="34">
        <v>-0.83528301000000005</v>
      </c>
      <c r="AT25" s="10">
        <v>-3.8758392380000002</v>
      </c>
      <c r="AU25" s="34">
        <v>-1.1376420439999999</v>
      </c>
      <c r="AV25" s="34">
        <v>-2.0841910540000002</v>
      </c>
      <c r="AW25" s="34">
        <v>-1.21</v>
      </c>
    </row>
    <row r="26" spans="1:57">
      <c r="A26" s="33" t="s">
        <v>512</v>
      </c>
      <c r="B26" s="33" t="s">
        <v>1655</v>
      </c>
      <c r="C26" s="34">
        <v>15.929415999</v>
      </c>
      <c r="D26" s="34">
        <v>6.1715770450000003</v>
      </c>
      <c r="E26" s="34">
        <v>18.692345061000001</v>
      </c>
      <c r="F26" s="34">
        <v>4.7352859900000004</v>
      </c>
      <c r="G26" s="34">
        <v>4.2399391910000004</v>
      </c>
      <c r="H26" s="34">
        <v>6.1217269979999998</v>
      </c>
      <c r="I26" s="34">
        <v>2.3227133129999999</v>
      </c>
      <c r="J26" s="34">
        <v>0.43670397</v>
      </c>
      <c r="K26" s="34">
        <v>1.7986820059999999</v>
      </c>
      <c r="L26" s="34">
        <v>-1.5531398709999999</v>
      </c>
      <c r="M26" s="34">
        <v>-5.6898297739999997</v>
      </c>
      <c r="Z26" s="34" t="s">
        <v>1655</v>
      </c>
      <c r="AA26" s="34">
        <v>0.86110251800000004</v>
      </c>
      <c r="AB26" s="34">
        <v>-0.195025324</v>
      </c>
      <c r="AC26" s="34">
        <v>1.4086020180000001</v>
      </c>
      <c r="AD26" s="10">
        <v>0.24887408999999999</v>
      </c>
      <c r="AE26" s="34">
        <v>1.923750509</v>
      </c>
      <c r="AF26" s="34">
        <v>-0.370767087</v>
      </c>
      <c r="AG26" s="34">
        <v>-1.2241948090000001</v>
      </c>
      <c r="AH26" s="10">
        <v>-1.044101575</v>
      </c>
      <c r="AI26" s="34">
        <v>-0.11837072799999999</v>
      </c>
      <c r="AJ26" s="34">
        <v>-2.5654592E-2</v>
      </c>
      <c r="AK26" s="34">
        <v>2.0602195810000001</v>
      </c>
      <c r="AL26" s="10">
        <v>-4.5523017999999998E-2</v>
      </c>
      <c r="AM26" s="34">
        <v>-0.35257392199999998</v>
      </c>
      <c r="AN26" s="34">
        <v>-0.28653599800000001</v>
      </c>
      <c r="AO26" s="34">
        <v>-0.223314333</v>
      </c>
      <c r="AP26" s="10">
        <v>-0.69071561800000003</v>
      </c>
      <c r="AQ26" s="34">
        <v>-0.83657966399999995</v>
      </c>
      <c r="AR26" s="34">
        <v>-1.827386988</v>
      </c>
      <c r="AS26" s="34">
        <v>-0.52938186499999995</v>
      </c>
      <c r="AT26" s="10">
        <v>-2.4964812570000001</v>
      </c>
      <c r="AU26" s="34">
        <v>1.5509551180000001</v>
      </c>
      <c r="AV26" s="34">
        <v>-1.412387665</v>
      </c>
      <c r="AW26" s="34">
        <v>2.69</v>
      </c>
    </row>
    <row r="27" spans="1:57">
      <c r="A27" s="33" t="s">
        <v>1656</v>
      </c>
      <c r="B27" s="33" t="s">
        <v>1657</v>
      </c>
      <c r="C27" s="34">
        <v>0</v>
      </c>
      <c r="D27" s="34">
        <v>0</v>
      </c>
      <c r="E27" s="34">
        <v>0</v>
      </c>
      <c r="F27" s="34">
        <v>0</v>
      </c>
      <c r="G27" s="34">
        <v>0</v>
      </c>
      <c r="H27" s="34">
        <v>0</v>
      </c>
      <c r="I27" s="34">
        <v>0</v>
      </c>
      <c r="J27" s="34">
        <v>0</v>
      </c>
      <c r="K27" s="34">
        <v>0</v>
      </c>
      <c r="L27" s="34">
        <v>0</v>
      </c>
      <c r="M27" s="34">
        <v>0</v>
      </c>
      <c r="Z27" s="34" t="s">
        <v>1657</v>
      </c>
      <c r="AA27" s="34">
        <v>0</v>
      </c>
      <c r="AB27" s="34">
        <v>0</v>
      </c>
      <c r="AC27" s="34">
        <v>0</v>
      </c>
      <c r="AD27" s="10">
        <v>0</v>
      </c>
      <c r="AE27" s="34">
        <v>0</v>
      </c>
      <c r="AF27" s="34">
        <v>0</v>
      </c>
      <c r="AG27" s="34">
        <v>0</v>
      </c>
      <c r="AH27" s="10">
        <v>0</v>
      </c>
      <c r="AI27" s="34">
        <v>0</v>
      </c>
      <c r="AJ27" s="34">
        <v>0</v>
      </c>
      <c r="AK27" s="34">
        <v>0</v>
      </c>
      <c r="AL27" s="10">
        <v>0</v>
      </c>
      <c r="AM27" s="34">
        <v>0</v>
      </c>
      <c r="AN27" s="34">
        <v>0</v>
      </c>
      <c r="AO27" s="34">
        <v>0</v>
      </c>
      <c r="AP27" s="10">
        <v>0</v>
      </c>
      <c r="AQ27" s="34">
        <v>0</v>
      </c>
      <c r="AR27" s="34">
        <v>0</v>
      </c>
      <c r="AS27" s="34">
        <v>0</v>
      </c>
      <c r="AT27" s="10">
        <v>0</v>
      </c>
      <c r="AU27" s="34">
        <v>0</v>
      </c>
      <c r="AV27" s="34">
        <v>0</v>
      </c>
      <c r="AW27" s="34">
        <v>0</v>
      </c>
    </row>
    <row r="28" spans="1:57" s="41" customFormat="1">
      <c r="A28" s="40" t="s">
        <v>1658</v>
      </c>
      <c r="B28" s="40" t="s">
        <v>1659</v>
      </c>
      <c r="C28" s="41">
        <v>85.092576922000006</v>
      </c>
      <c r="D28" s="41">
        <v>69.034455378000004</v>
      </c>
      <c r="E28" s="41">
        <v>167.93299646400001</v>
      </c>
      <c r="F28" s="41">
        <v>133.35520230899999</v>
      </c>
      <c r="G28" s="41">
        <v>84.283188018999994</v>
      </c>
      <c r="H28" s="41">
        <v>99.5656733</v>
      </c>
      <c r="I28" s="41">
        <v>139.63598349399999</v>
      </c>
      <c r="J28" s="41">
        <v>210.353564831</v>
      </c>
      <c r="K28" s="41">
        <v>333.75788575600001</v>
      </c>
      <c r="L28" s="41">
        <v>819.83925980499998</v>
      </c>
      <c r="M28" s="41">
        <v>862.36767621000001</v>
      </c>
      <c r="O28" s="7"/>
      <c r="P28" s="7"/>
      <c r="Z28" s="41" t="s">
        <v>1659</v>
      </c>
      <c r="AA28" s="41">
        <v>23.965676096999999</v>
      </c>
      <c r="AB28" s="41">
        <v>29.066390766000001</v>
      </c>
      <c r="AC28" s="41">
        <v>45.836386965000003</v>
      </c>
      <c r="AD28" s="11">
        <v>41.957365883000001</v>
      </c>
      <c r="AE28" s="41">
        <v>31.120398428000001</v>
      </c>
      <c r="AF28" s="41">
        <v>45.021979033999997</v>
      </c>
      <c r="AG28" s="41">
        <v>67.342982106999997</v>
      </c>
      <c r="AH28" s="11">
        <v>66.957440056999999</v>
      </c>
      <c r="AI28" s="41">
        <v>53.760473816999998</v>
      </c>
      <c r="AJ28" s="41">
        <v>63.556201540000004</v>
      </c>
      <c r="AK28" s="41">
        <v>100.998440996</v>
      </c>
      <c r="AL28" s="11">
        <v>113.453581117</v>
      </c>
      <c r="AM28" s="41">
        <v>135.045506837</v>
      </c>
      <c r="AN28" s="41">
        <v>146.72553979599999</v>
      </c>
      <c r="AO28" s="41">
        <v>134.17758961499999</v>
      </c>
      <c r="AP28" s="11">
        <v>406.942340355</v>
      </c>
      <c r="AQ28" s="41">
        <v>265.16633327300002</v>
      </c>
      <c r="AR28" s="41">
        <v>172.80756050700001</v>
      </c>
      <c r="AS28" s="41">
        <v>226.853718781</v>
      </c>
      <c r="AT28" s="11">
        <v>197.54006364899999</v>
      </c>
      <c r="AU28" s="41">
        <v>106.597419715</v>
      </c>
      <c r="AV28" s="41">
        <v>111.867958046</v>
      </c>
      <c r="AW28" s="41">
        <v>133.79</v>
      </c>
    </row>
    <row r="29" spans="1:57">
      <c r="A29" s="33" t="s">
        <v>1660</v>
      </c>
      <c r="B29" s="33" t="s">
        <v>1661</v>
      </c>
      <c r="C29" s="34">
        <v>-21.399666881999998</v>
      </c>
      <c r="D29" s="34">
        <v>-17.63113826</v>
      </c>
      <c r="E29" s="34">
        <v>-39.993097145999997</v>
      </c>
      <c r="F29" s="34">
        <v>-29.784264872000001</v>
      </c>
      <c r="G29" s="34">
        <v>-17.556078789000001</v>
      </c>
      <c r="H29" s="34">
        <v>-21.178119405</v>
      </c>
      <c r="I29" s="34">
        <v>-31.502510486999999</v>
      </c>
      <c r="J29" s="34">
        <v>-60.339651533000001</v>
      </c>
      <c r="K29" s="34">
        <v>-85.719653100000002</v>
      </c>
      <c r="L29" s="34">
        <v>-220.85492842100001</v>
      </c>
      <c r="M29" s="34">
        <v>-175.16717416899999</v>
      </c>
      <c r="Z29" s="34" t="s">
        <v>1661</v>
      </c>
      <c r="AA29" s="34">
        <v>-4.4641292349999997</v>
      </c>
      <c r="AB29" s="34">
        <v>-6.0278151290000004</v>
      </c>
      <c r="AC29" s="34">
        <v>-10.471425779</v>
      </c>
      <c r="AD29" s="10">
        <v>-11.265241248000001</v>
      </c>
      <c r="AE29" s="34">
        <v>-6.632161193</v>
      </c>
      <c r="AF29" s="34">
        <v>-12.340926869</v>
      </c>
      <c r="AG29" s="34">
        <v>-16.704677573000001</v>
      </c>
      <c r="AH29" s="10">
        <v>-27.94228442</v>
      </c>
      <c r="AI29" s="34">
        <v>-8.9765818750000008</v>
      </c>
      <c r="AJ29" s="34">
        <v>-15.219528598</v>
      </c>
      <c r="AK29" s="34">
        <v>-25.810943376000001</v>
      </c>
      <c r="AL29" s="10">
        <v>-47.616952042999998</v>
      </c>
      <c r="AM29" s="34">
        <v>-28.152590135000001</v>
      </c>
      <c r="AN29" s="34">
        <v>-30.153372915999999</v>
      </c>
      <c r="AO29" s="34">
        <v>-26.921628112</v>
      </c>
      <c r="AP29" s="10">
        <v>-135.66211126100001</v>
      </c>
      <c r="AQ29" s="34">
        <v>-54.329160700999999</v>
      </c>
      <c r="AR29" s="34">
        <v>-30.032438268</v>
      </c>
      <c r="AS29" s="34">
        <v>-37.138898134000002</v>
      </c>
      <c r="AT29" s="10">
        <v>-53.666677065999998</v>
      </c>
      <c r="AU29" s="34">
        <v>-4.298862583</v>
      </c>
      <c r="AV29" s="34">
        <v>-19.721255087999999</v>
      </c>
      <c r="AW29" s="34">
        <v>-19.82</v>
      </c>
    </row>
    <row r="30" spans="1:57">
      <c r="A30" s="33" t="s">
        <v>1662</v>
      </c>
      <c r="B30" s="33" t="s">
        <v>1663</v>
      </c>
      <c r="C30" s="34">
        <v>0</v>
      </c>
      <c r="D30" s="34">
        <v>0</v>
      </c>
      <c r="E30" s="34">
        <v>0</v>
      </c>
      <c r="F30" s="34">
        <v>0</v>
      </c>
      <c r="G30" s="34">
        <v>0</v>
      </c>
      <c r="H30" s="34">
        <v>5.6800000000000003E-2</v>
      </c>
      <c r="I30" s="34">
        <v>1.391316185</v>
      </c>
      <c r="J30" s="34">
        <v>13.165554931000001</v>
      </c>
      <c r="K30" s="34">
        <v>19.298926091999999</v>
      </c>
      <c r="L30" s="34">
        <v>55.914320232000001</v>
      </c>
      <c r="M30" s="34">
        <v>-3.59815525</v>
      </c>
      <c r="Z30" s="34" t="s">
        <v>1663</v>
      </c>
      <c r="AA30" s="34">
        <v>0</v>
      </c>
      <c r="AB30" s="34">
        <v>0</v>
      </c>
      <c r="AC30" s="34">
        <v>0</v>
      </c>
      <c r="AD30" s="10">
        <v>1.0313161850000001</v>
      </c>
      <c r="AE30" s="34">
        <v>0</v>
      </c>
      <c r="AF30" s="34">
        <v>0</v>
      </c>
      <c r="AG30" s="34">
        <v>0</v>
      </c>
      <c r="AH30" s="10">
        <v>11.858277573000001</v>
      </c>
      <c r="AI30" s="34">
        <v>0</v>
      </c>
      <c r="AJ30" s="34">
        <v>0</v>
      </c>
      <c r="AK30" s="34">
        <v>0</v>
      </c>
      <c r="AL30" s="10">
        <v>19.298926091999999</v>
      </c>
      <c r="AM30" s="34">
        <v>0</v>
      </c>
      <c r="AN30" s="34">
        <v>0</v>
      </c>
      <c r="AO30" s="34">
        <v>0</v>
      </c>
      <c r="AP30" s="10">
        <v>55.914320232000001</v>
      </c>
      <c r="AQ30" s="34">
        <v>0</v>
      </c>
      <c r="AR30" s="34">
        <v>-5.8540994470000003</v>
      </c>
      <c r="AS30" s="34">
        <v>-9.4213523640000005</v>
      </c>
      <c r="AT30" s="10">
        <v>11.677296561</v>
      </c>
      <c r="AU30" s="34">
        <v>-20.390073095999998</v>
      </c>
      <c r="AV30" s="34">
        <v>-5.0106110529999999</v>
      </c>
      <c r="AW30" s="34">
        <v>-10.67</v>
      </c>
    </row>
    <row r="31" spans="1:57">
      <c r="A31" s="33" t="s">
        <v>1664</v>
      </c>
      <c r="B31" s="33" t="s">
        <v>1665</v>
      </c>
      <c r="C31" s="34">
        <v>-21.399666881999998</v>
      </c>
      <c r="D31" s="34">
        <v>-17.63113826</v>
      </c>
      <c r="E31" s="34">
        <v>-39.993097145999997</v>
      </c>
      <c r="F31" s="34">
        <v>-29.784264872000001</v>
      </c>
      <c r="G31" s="34">
        <v>-17.556078789000001</v>
      </c>
      <c r="H31" s="34">
        <v>-21.121319405000001</v>
      </c>
      <c r="I31" s="34">
        <v>-30.111194302000001</v>
      </c>
      <c r="J31" s="34">
        <v>-47.174096601999999</v>
      </c>
      <c r="K31" s="34">
        <v>-66.420727008</v>
      </c>
      <c r="L31" s="34">
        <v>-164.94060818899999</v>
      </c>
      <c r="M31" s="34">
        <v>-178.76532941900001</v>
      </c>
      <c r="Z31" s="34" t="s">
        <v>1665</v>
      </c>
      <c r="AA31" s="34">
        <v>-4.4641292349999997</v>
      </c>
      <c r="AB31" s="34">
        <v>-6.0278151290000004</v>
      </c>
      <c r="AC31" s="34">
        <v>-10.471425779</v>
      </c>
      <c r="AD31" s="10">
        <v>-10.233925062999999</v>
      </c>
      <c r="AE31" s="34">
        <v>-6.632161193</v>
      </c>
      <c r="AF31" s="34">
        <v>-12.340926869</v>
      </c>
      <c r="AG31" s="34">
        <v>-16.704677573000001</v>
      </c>
      <c r="AH31" s="10">
        <v>-16.084006847000001</v>
      </c>
      <c r="AI31" s="34">
        <v>-8.9765818750000008</v>
      </c>
      <c r="AJ31" s="34">
        <v>-15.219528598</v>
      </c>
      <c r="AK31" s="34">
        <v>-25.810943376000001</v>
      </c>
      <c r="AL31" s="10">
        <v>-28.318025950999999</v>
      </c>
      <c r="AM31" s="34">
        <v>-28.152590135000001</v>
      </c>
      <c r="AN31" s="34">
        <v>-30.153372915999999</v>
      </c>
      <c r="AO31" s="34">
        <v>-26.921628112</v>
      </c>
      <c r="AP31" s="10">
        <v>-79.747791028999998</v>
      </c>
      <c r="AQ31" s="34">
        <v>-54.329160700999999</v>
      </c>
      <c r="AR31" s="34">
        <v>-35.886537715000003</v>
      </c>
      <c r="AS31" s="34">
        <v>-46.560250498000002</v>
      </c>
      <c r="AT31" s="10">
        <v>-41.989380505</v>
      </c>
      <c r="AU31" s="34">
        <v>-24.688935679</v>
      </c>
      <c r="AV31" s="34">
        <v>-24.731866141000001</v>
      </c>
      <c r="AW31" s="34">
        <v>-30.49</v>
      </c>
    </row>
    <row r="32" spans="1:57" s="41" customFormat="1">
      <c r="A32" s="40" t="s">
        <v>1666</v>
      </c>
      <c r="B32" s="40" t="s">
        <v>1667</v>
      </c>
      <c r="C32" s="41">
        <v>63.692910040000001</v>
      </c>
      <c r="D32" s="41">
        <v>51.403317117999997</v>
      </c>
      <c r="E32" s="41">
        <v>127.939899318</v>
      </c>
      <c r="F32" s="41">
        <v>103.570937437</v>
      </c>
      <c r="G32" s="41">
        <v>66.727109229999996</v>
      </c>
      <c r="H32" s="41">
        <v>78.444353895000006</v>
      </c>
      <c r="I32" s="41">
        <v>109.524789192</v>
      </c>
      <c r="J32" s="41">
        <v>163.17946822900001</v>
      </c>
      <c r="K32" s="41">
        <v>267.33715874799998</v>
      </c>
      <c r="L32" s="41">
        <v>654.89865161600005</v>
      </c>
      <c r="M32" s="41">
        <v>683.60234679099995</v>
      </c>
      <c r="O32" s="7"/>
      <c r="P32" s="7"/>
      <c r="Z32" s="41" t="s">
        <v>1667</v>
      </c>
      <c r="AA32" s="41">
        <v>19.501546862000001</v>
      </c>
      <c r="AB32" s="41">
        <v>23.038575637000001</v>
      </c>
      <c r="AC32" s="41">
        <v>35.364961186000002</v>
      </c>
      <c r="AD32" s="11">
        <v>31.72344082</v>
      </c>
      <c r="AE32" s="41">
        <v>24.488237235</v>
      </c>
      <c r="AF32" s="41">
        <v>32.681052164999997</v>
      </c>
      <c r="AG32" s="41">
        <v>50.638304534</v>
      </c>
      <c r="AH32" s="11">
        <v>50.873433210000002</v>
      </c>
      <c r="AI32" s="41">
        <v>44.783891941999997</v>
      </c>
      <c r="AJ32" s="41">
        <v>48.336672942</v>
      </c>
      <c r="AK32" s="41">
        <v>75.187497620000002</v>
      </c>
      <c r="AL32" s="11">
        <v>85.135555166000003</v>
      </c>
      <c r="AM32" s="41">
        <v>106.89291670199999</v>
      </c>
      <c r="AN32" s="41">
        <v>116.57216688</v>
      </c>
      <c r="AO32" s="41">
        <v>107.25596150299999</v>
      </c>
      <c r="AP32" s="11">
        <v>327.19454932600001</v>
      </c>
      <c r="AQ32" s="41">
        <v>210.83717257199999</v>
      </c>
      <c r="AR32" s="41">
        <v>136.921022792</v>
      </c>
      <c r="AS32" s="41">
        <v>180.29346828300001</v>
      </c>
      <c r="AT32" s="11">
        <v>155.550683144</v>
      </c>
      <c r="AU32" s="41">
        <v>81.908484036000004</v>
      </c>
      <c r="AV32" s="41">
        <v>87.136091905000001</v>
      </c>
      <c r="AW32" s="41">
        <v>103.3</v>
      </c>
    </row>
    <row r="33" spans="1:49">
      <c r="A33" s="33" t="s">
        <v>1668</v>
      </c>
      <c r="B33" s="33" t="s">
        <v>1669</v>
      </c>
      <c r="C33" s="34">
        <v>0</v>
      </c>
      <c r="D33" s="34">
        <v>0</v>
      </c>
      <c r="E33" s="34">
        <v>0</v>
      </c>
      <c r="F33" s="34">
        <v>0</v>
      </c>
      <c r="G33" s="34">
        <v>0</v>
      </c>
      <c r="H33" s="34">
        <v>-0.73991991599999996</v>
      </c>
      <c r="I33" s="34">
        <v>-1.4058058950000001</v>
      </c>
      <c r="J33" s="34">
        <v>-1.2775702600000001</v>
      </c>
      <c r="K33" s="34">
        <v>0.165387319</v>
      </c>
      <c r="L33" s="34">
        <v>0.52584765</v>
      </c>
      <c r="M33" s="34">
        <v>-0.180940291</v>
      </c>
      <c r="Z33" s="34" t="s">
        <v>1669</v>
      </c>
      <c r="AA33" s="34">
        <v>0.44699012100000002</v>
      </c>
      <c r="AB33" s="34">
        <v>-8.7560320000000004E-3</v>
      </c>
      <c r="AC33" s="34">
        <v>-1.263529208</v>
      </c>
      <c r="AD33" s="10">
        <v>-0.57956540899999998</v>
      </c>
      <c r="AE33" s="34">
        <v>-0.53964917199999995</v>
      </c>
      <c r="AF33" s="34">
        <v>-0.77902126100000002</v>
      </c>
      <c r="AG33" s="34">
        <v>-1.34311655</v>
      </c>
      <c r="AH33" s="10">
        <v>0.76095678899999997</v>
      </c>
      <c r="AI33" s="34">
        <v>-0.17443324199999999</v>
      </c>
      <c r="AJ33" s="34">
        <v>-0.10854248399999999</v>
      </c>
      <c r="AK33" s="34">
        <v>0.113794911</v>
      </c>
      <c r="AL33" s="10">
        <v>0.25093626400000002</v>
      </c>
      <c r="AM33" s="34">
        <v>0.17998956399999999</v>
      </c>
      <c r="AN33" s="34">
        <v>0.125087114</v>
      </c>
      <c r="AO33" s="34">
        <v>4.0635762999999998E-2</v>
      </c>
      <c r="AP33" s="10">
        <v>0.18013520899999999</v>
      </c>
      <c r="AQ33" s="34">
        <v>-1.0321989999999999E-3</v>
      </c>
      <c r="AR33" s="34">
        <v>3.6300530999999997E-2</v>
      </c>
      <c r="AS33" s="34">
        <v>-1.250502E-2</v>
      </c>
      <c r="AT33" s="10">
        <v>-0.20370360300000001</v>
      </c>
      <c r="AU33" s="34">
        <v>2.5193476989999999</v>
      </c>
      <c r="AV33" s="34">
        <v>4.119737056</v>
      </c>
      <c r="AW33" s="34">
        <v>0.89</v>
      </c>
    </row>
    <row r="34" spans="1:49">
      <c r="A34" s="33" t="s">
        <v>1670</v>
      </c>
      <c r="B34" s="33" t="s">
        <v>1671</v>
      </c>
      <c r="C34" s="34">
        <v>63.692910040000001</v>
      </c>
      <c r="D34" s="34">
        <v>51.403317117999997</v>
      </c>
      <c r="E34" s="34">
        <v>127.939899318</v>
      </c>
      <c r="F34" s="34">
        <v>103.570937437</v>
      </c>
      <c r="G34" s="34">
        <v>66.727109229999996</v>
      </c>
      <c r="H34" s="34">
        <v>79.184273810999997</v>
      </c>
      <c r="I34" s="34">
        <v>110.930595087</v>
      </c>
      <c r="J34" s="34">
        <v>164.45703848900001</v>
      </c>
      <c r="K34" s="34">
        <v>267.17177142899999</v>
      </c>
      <c r="L34" s="34">
        <v>654.37280396599999</v>
      </c>
      <c r="M34" s="34">
        <v>683.78328708200002</v>
      </c>
      <c r="Z34" s="34" t="s">
        <v>1671</v>
      </c>
      <c r="AA34" s="34">
        <v>19.054556740999999</v>
      </c>
      <c r="AB34" s="34">
        <v>23.047331668999998</v>
      </c>
      <c r="AC34" s="34">
        <v>36.628490394000004</v>
      </c>
      <c r="AD34" s="10">
        <v>32.303006228999998</v>
      </c>
      <c r="AE34" s="34">
        <v>25.027886407</v>
      </c>
      <c r="AF34" s="34">
        <v>33.460073426000001</v>
      </c>
      <c r="AG34" s="34">
        <v>51.981421083999997</v>
      </c>
      <c r="AH34" s="10">
        <v>50.112476420999997</v>
      </c>
      <c r="AI34" s="34">
        <v>44.958325184000003</v>
      </c>
      <c r="AJ34" s="34">
        <v>48.445215425999997</v>
      </c>
      <c r="AK34" s="34">
        <v>75.073702709000003</v>
      </c>
      <c r="AL34" s="10">
        <v>84.884618902</v>
      </c>
      <c r="AM34" s="34">
        <v>106.712927138</v>
      </c>
      <c r="AN34" s="34">
        <v>116.447079766</v>
      </c>
      <c r="AO34" s="34">
        <v>107.21532574</v>
      </c>
      <c r="AP34" s="10">
        <v>327.014414117</v>
      </c>
      <c r="AQ34" s="34">
        <v>210.83820477099999</v>
      </c>
      <c r="AR34" s="34">
        <v>136.88472226100001</v>
      </c>
      <c r="AS34" s="34">
        <v>180.305973303</v>
      </c>
      <c r="AT34" s="10">
        <v>155.75438674700001</v>
      </c>
      <c r="AU34" s="34">
        <v>79.389136336999997</v>
      </c>
      <c r="AV34" s="34">
        <v>83.016354848999995</v>
      </c>
      <c r="AW34" s="34">
        <v>102.42</v>
      </c>
    </row>
    <row r="35" spans="1:49">
      <c r="A35" s="33" t="s">
        <v>1672</v>
      </c>
      <c r="B35" s="33" t="s">
        <v>1673</v>
      </c>
      <c r="C35" s="34">
        <v>5896</v>
      </c>
      <c r="D35" s="34">
        <v>5875</v>
      </c>
      <c r="E35" s="34">
        <v>5107</v>
      </c>
      <c r="F35" s="34">
        <v>3539</v>
      </c>
      <c r="G35" s="34">
        <v>1701</v>
      </c>
      <c r="H35" s="34">
        <v>1982</v>
      </c>
      <c r="I35" s="34">
        <v>2735</v>
      </c>
      <c r="J35" s="34">
        <v>3961</v>
      </c>
      <c r="K35" s="34">
        <v>6259</v>
      </c>
      <c r="L35" s="34">
        <v>4157</v>
      </c>
      <c r="M35" s="34">
        <v>4219</v>
      </c>
      <c r="Z35" s="34" t="s">
        <v>1673</v>
      </c>
      <c r="AA35" s="34">
        <v>4.6899999999999998E-7</v>
      </c>
      <c r="AB35" s="34">
        <v>5.68E-7</v>
      </c>
      <c r="AC35" s="34">
        <v>9.02E-7</v>
      </c>
      <c r="AD35" s="10">
        <v>7.9599999999999998E-7</v>
      </c>
      <c r="AE35" s="34">
        <v>5.99E-7</v>
      </c>
      <c r="AF35" s="34">
        <v>8.1900000000000001E-7</v>
      </c>
      <c r="AG35" s="34">
        <v>1.2440000000000001E-6</v>
      </c>
      <c r="AH35" s="10">
        <v>1.1990000000000001E-6</v>
      </c>
      <c r="AI35" s="34">
        <v>1.074E-6</v>
      </c>
      <c r="AJ35" s="34">
        <v>1.1310000000000001E-6</v>
      </c>
      <c r="AK35" s="34">
        <v>1.7460000000000001E-6</v>
      </c>
      <c r="AL35" s="10">
        <v>1.9740000000000001E-6</v>
      </c>
      <c r="AM35" s="34">
        <v>2.4820000000000001E-6</v>
      </c>
      <c r="AN35" s="34">
        <v>2.678E-6</v>
      </c>
      <c r="AO35" s="34">
        <v>1.4339999999999999E-6</v>
      </c>
      <c r="AP35" s="10">
        <v>5.5099999999999998E-6</v>
      </c>
      <c r="AQ35" s="34">
        <v>2.3769999999999999E-6</v>
      </c>
      <c r="AR35" s="34">
        <v>0</v>
      </c>
      <c r="AS35" s="34">
        <v>1.1149999999999999E-6</v>
      </c>
      <c r="AT35" s="10">
        <v>9.6099999999999999E-7</v>
      </c>
      <c r="AU35" s="34">
        <v>4.8699999999999995E-7</v>
      </c>
      <c r="AV35" s="34">
        <v>5.0900000000000002E-7</v>
      </c>
      <c r="AW35" s="34">
        <v>0</v>
      </c>
    </row>
    <row r="36" spans="1:49">
      <c r="A36" s="33" t="s">
        <v>1674</v>
      </c>
      <c r="B36" s="33" t="s">
        <v>1675</v>
      </c>
      <c r="C36" s="34">
        <v>0</v>
      </c>
      <c r="D36" s="34">
        <v>0</v>
      </c>
      <c r="E36" s="34">
        <v>0</v>
      </c>
      <c r="F36" s="34">
        <v>0</v>
      </c>
      <c r="G36" s="34">
        <v>0</v>
      </c>
      <c r="H36" s="34">
        <v>0</v>
      </c>
      <c r="I36" s="34">
        <v>0</v>
      </c>
      <c r="J36" s="34">
        <v>3961</v>
      </c>
      <c r="K36" s="34">
        <v>6259</v>
      </c>
      <c r="L36" s="34">
        <v>4157</v>
      </c>
      <c r="M36" s="34">
        <v>0</v>
      </c>
      <c r="Z36" s="34" t="s">
        <v>1675</v>
      </c>
      <c r="AA36" s="34">
        <v>0</v>
      </c>
      <c r="AB36" s="34">
        <v>5.68E-7</v>
      </c>
      <c r="AC36" s="34">
        <v>0</v>
      </c>
      <c r="AD36" s="10">
        <v>0</v>
      </c>
      <c r="AE36" s="34">
        <v>0</v>
      </c>
      <c r="AF36" s="34">
        <v>0</v>
      </c>
      <c r="AG36" s="34">
        <v>0</v>
      </c>
      <c r="AH36" s="10">
        <v>0</v>
      </c>
      <c r="AI36" s="34">
        <v>0</v>
      </c>
      <c r="AJ36" s="34">
        <v>0</v>
      </c>
      <c r="AK36" s="34">
        <v>0</v>
      </c>
      <c r="AL36" s="10">
        <v>0</v>
      </c>
      <c r="AM36" s="34">
        <v>0</v>
      </c>
      <c r="AN36" s="34">
        <v>0</v>
      </c>
      <c r="AO36" s="34">
        <v>0</v>
      </c>
      <c r="AP36" s="10">
        <v>0</v>
      </c>
      <c r="AQ36" s="34">
        <v>0</v>
      </c>
      <c r="AR36" s="34">
        <v>0</v>
      </c>
      <c r="AS36" s="34">
        <v>0</v>
      </c>
      <c r="AT36" s="10">
        <v>0</v>
      </c>
      <c r="AU36" s="34">
        <v>0</v>
      </c>
      <c r="AV36" s="34">
        <v>0</v>
      </c>
      <c r="AW36" s="34">
        <v>0</v>
      </c>
    </row>
    <row r="37" spans="1:49">
      <c r="A37" s="33" t="s">
        <v>1676</v>
      </c>
      <c r="C37" s="34"/>
      <c r="D37" s="34"/>
      <c r="E37" s="34"/>
      <c r="F37" s="34"/>
      <c r="G37" s="34"/>
    </row>
    <row r="38" spans="1:49">
      <c r="C38" s="71">
        <f t="shared" ref="C38:M38" si="0">C16/C14</f>
        <v>7.0776416253690869E-2</v>
      </c>
      <c r="D38" s="71">
        <f t="shared" si="0"/>
        <v>5.1243674357680506E-2</v>
      </c>
      <c r="E38" s="71">
        <f t="shared" si="0"/>
        <v>5.8923469165861934E-2</v>
      </c>
      <c r="F38" s="71">
        <f t="shared" si="0"/>
        <v>6.291791727027192E-2</v>
      </c>
      <c r="G38" s="71">
        <f t="shared" si="0"/>
        <v>6.3357106801051721E-2</v>
      </c>
      <c r="H38" s="71">
        <f t="shared" si="0"/>
        <v>7.1906406904489309E-2</v>
      </c>
      <c r="I38" s="71">
        <f t="shared" si="0"/>
        <v>6.2132937816634926E-2</v>
      </c>
      <c r="J38" s="71">
        <f t="shared" si="0"/>
        <v>6.4576107528491536E-2</v>
      </c>
      <c r="K38" s="71">
        <f t="shared" si="0"/>
        <v>6.4040005552328791E-2</v>
      </c>
      <c r="L38" s="71">
        <f t="shared" si="0"/>
        <v>7.2074158227010313E-2</v>
      </c>
      <c r="M38" s="71">
        <f t="shared" si="0"/>
        <v>7.5498738263184512E-2</v>
      </c>
    </row>
    <row r="39" spans="1:49" s="181" customFormat="1" ht="21">
      <c r="A39" s="180" t="s">
        <v>668</v>
      </c>
      <c r="B39" s="180" t="s">
        <v>1605</v>
      </c>
      <c r="C39" s="182"/>
      <c r="D39" s="182"/>
      <c r="E39" s="182"/>
      <c r="F39" s="182"/>
      <c r="G39" s="182"/>
      <c r="H39" s="182"/>
      <c r="O39" s="356"/>
      <c r="P39" s="356"/>
      <c r="Z39" s="182" t="s">
        <v>1606</v>
      </c>
      <c r="AD39" s="200"/>
      <c r="AH39" s="200"/>
      <c r="AL39" s="200"/>
      <c r="AP39" s="200"/>
      <c r="AT39" s="200"/>
    </row>
    <row r="40" spans="1:49">
      <c r="A40" s="32"/>
      <c r="B40" s="32"/>
      <c r="C40" s="38"/>
      <c r="D40" s="38"/>
      <c r="E40" s="38"/>
      <c r="F40" s="38"/>
      <c r="G40" s="38"/>
      <c r="H40" s="38" t="s">
        <v>1609</v>
      </c>
      <c r="I40" s="38" t="s">
        <v>1610</v>
      </c>
      <c r="J40" s="38" t="s">
        <v>1611</v>
      </c>
      <c r="K40" s="38" t="s">
        <v>1612</v>
      </c>
      <c r="L40" s="38" t="s">
        <v>1613</v>
      </c>
      <c r="M40" s="38" t="s">
        <v>1598</v>
      </c>
      <c r="Z40" s="39"/>
      <c r="AA40" s="38" t="s">
        <v>446</v>
      </c>
      <c r="AB40" s="38" t="s">
        <v>447</v>
      </c>
      <c r="AC40" s="38" t="s">
        <v>448</v>
      </c>
      <c r="AD40" s="201" t="s">
        <v>449</v>
      </c>
      <c r="AE40" s="38" t="s">
        <v>450</v>
      </c>
      <c r="AF40" s="38" t="s">
        <v>451</v>
      </c>
      <c r="AG40" s="38" t="s">
        <v>452</v>
      </c>
      <c r="AH40" s="201" t="s">
        <v>453</v>
      </c>
      <c r="AI40" s="38" t="s">
        <v>454</v>
      </c>
      <c r="AJ40" s="38" t="s">
        <v>455</v>
      </c>
      <c r="AK40" s="38" t="s">
        <v>456</v>
      </c>
      <c r="AL40" s="201" t="s">
        <v>457</v>
      </c>
      <c r="AM40" s="38" t="s">
        <v>458</v>
      </c>
      <c r="AN40" s="38" t="s">
        <v>459</v>
      </c>
      <c r="AO40" s="38" t="s">
        <v>460</v>
      </c>
      <c r="AP40" s="201" t="s">
        <v>461</v>
      </c>
      <c r="AQ40" s="38" t="s">
        <v>462</v>
      </c>
      <c r="AR40" s="38" t="s">
        <v>463</v>
      </c>
      <c r="AS40" s="38" t="s">
        <v>464</v>
      </c>
      <c r="AT40" s="201" t="s">
        <v>465</v>
      </c>
      <c r="AU40" s="38" t="s">
        <v>466</v>
      </c>
      <c r="AV40" s="38" t="s">
        <v>467</v>
      </c>
    </row>
    <row r="41" spans="1:49">
      <c r="A41" s="33" t="s">
        <v>1614</v>
      </c>
      <c r="B41" s="33" t="s">
        <v>1614</v>
      </c>
      <c r="C41" s="34"/>
      <c r="D41" s="34"/>
      <c r="E41" s="34"/>
      <c r="F41" s="34"/>
      <c r="G41" s="34"/>
      <c r="H41" s="34" t="s">
        <v>1615</v>
      </c>
      <c r="I41" s="34" t="s">
        <v>1615</v>
      </c>
      <c r="J41" s="34" t="s">
        <v>1615</v>
      </c>
      <c r="K41" s="34" t="s">
        <v>1615</v>
      </c>
      <c r="L41" s="34" t="s">
        <v>1615</v>
      </c>
      <c r="M41" s="34" t="s">
        <v>1615</v>
      </c>
      <c r="Z41" s="34" t="s">
        <v>1614</v>
      </c>
      <c r="AA41" s="34" t="s">
        <v>1616</v>
      </c>
      <c r="AB41" s="34" t="s">
        <v>1615</v>
      </c>
      <c r="AC41" s="34" t="s">
        <v>1616</v>
      </c>
      <c r="AD41" s="10" t="s">
        <v>1616</v>
      </c>
      <c r="AE41" s="34" t="s">
        <v>1616</v>
      </c>
      <c r="AF41" s="34" t="s">
        <v>1615</v>
      </c>
      <c r="AG41" s="34" t="s">
        <v>1616</v>
      </c>
      <c r="AH41" s="10" t="s">
        <v>1616</v>
      </c>
      <c r="AI41" s="34" t="s">
        <v>1616</v>
      </c>
      <c r="AJ41" s="34" t="s">
        <v>1615</v>
      </c>
      <c r="AK41" s="34" t="s">
        <v>1616</v>
      </c>
      <c r="AL41" s="10" t="s">
        <v>1616</v>
      </c>
      <c r="AM41" s="34" t="s">
        <v>1616</v>
      </c>
      <c r="AN41" s="34" t="s">
        <v>1615</v>
      </c>
      <c r="AO41" s="34" t="s">
        <v>1616</v>
      </c>
      <c r="AP41" s="10" t="s">
        <v>1616</v>
      </c>
      <c r="AQ41" s="34" t="s">
        <v>1616</v>
      </c>
      <c r="AR41" s="34" t="s">
        <v>1615</v>
      </c>
      <c r="AS41" s="34" t="s">
        <v>1616</v>
      </c>
      <c r="AT41" s="10" t="s">
        <v>1616</v>
      </c>
      <c r="AU41" s="34" t="s">
        <v>1616</v>
      </c>
      <c r="AV41" s="34" t="s">
        <v>1615</v>
      </c>
      <c r="AW41" s="34" t="s">
        <v>1616</v>
      </c>
    </row>
    <row r="42" spans="1:49">
      <c r="A42" s="33" t="s">
        <v>1617</v>
      </c>
      <c r="B42" s="33" t="s">
        <v>1617</v>
      </c>
      <c r="C42" s="34"/>
      <c r="D42" s="34"/>
      <c r="E42" s="34"/>
      <c r="F42" s="34"/>
      <c r="G42" s="34"/>
      <c r="H42" s="34" t="s">
        <v>1618</v>
      </c>
      <c r="I42" s="34" t="s">
        <v>1618</v>
      </c>
      <c r="J42" s="34" t="s">
        <v>1618</v>
      </c>
      <c r="K42" s="34" t="s">
        <v>1618</v>
      </c>
      <c r="L42" s="34" t="s">
        <v>1618</v>
      </c>
      <c r="M42" s="34" t="s">
        <v>1618</v>
      </c>
      <c r="Z42" s="34" t="s">
        <v>1617</v>
      </c>
      <c r="AF42" s="34" t="s">
        <v>1618</v>
      </c>
      <c r="AJ42" s="34" t="s">
        <v>1618</v>
      </c>
      <c r="AN42" s="34" t="s">
        <v>1618</v>
      </c>
      <c r="AV42" s="34" t="s">
        <v>1618</v>
      </c>
    </row>
    <row r="43" spans="1:49">
      <c r="A43" s="33" t="s">
        <v>1619</v>
      </c>
      <c r="B43" s="33" t="s">
        <v>1619</v>
      </c>
      <c r="C43" s="34"/>
      <c r="D43" s="34"/>
      <c r="E43" s="34"/>
      <c r="F43" s="34"/>
      <c r="G43" s="34"/>
      <c r="H43" s="34" t="s">
        <v>1620</v>
      </c>
      <c r="I43" s="34" t="s">
        <v>1620</v>
      </c>
      <c r="J43" s="34" t="s">
        <v>1620</v>
      </c>
      <c r="K43" s="34" t="s">
        <v>1620</v>
      </c>
      <c r="L43" s="34" t="s">
        <v>1620</v>
      </c>
      <c r="M43" s="34" t="s">
        <v>1620</v>
      </c>
      <c r="Z43" s="34" t="s">
        <v>1619</v>
      </c>
      <c r="AF43" s="34" t="s">
        <v>1620</v>
      </c>
      <c r="AJ43" s="34" t="s">
        <v>1620</v>
      </c>
      <c r="AN43" s="34" t="s">
        <v>1620</v>
      </c>
      <c r="AV43" s="34" t="s">
        <v>1620</v>
      </c>
    </row>
    <row r="44" spans="1:49" s="41" customFormat="1">
      <c r="A44" s="40" t="s">
        <v>1677</v>
      </c>
      <c r="B44" s="40" t="s">
        <v>1678</v>
      </c>
      <c r="C44" s="41">
        <v>771.54815376800002</v>
      </c>
      <c r="D44" s="41">
        <v>889.59556224599999</v>
      </c>
      <c r="E44" s="41">
        <v>1207.1624764220001</v>
      </c>
      <c r="F44" s="41">
        <v>1171.265320514</v>
      </c>
      <c r="G44" s="41">
        <v>1218.475787544</v>
      </c>
      <c r="H44" s="41">
        <v>1501.889333246</v>
      </c>
      <c r="I44" s="41">
        <v>2118.3325600759999</v>
      </c>
      <c r="J44" s="41">
        <v>2287.5539651059999</v>
      </c>
      <c r="K44" s="41">
        <v>2862.0044874629998</v>
      </c>
      <c r="L44" s="41">
        <v>6255.4963580089998</v>
      </c>
      <c r="M44" s="41">
        <v>5782.3501048569997</v>
      </c>
      <c r="O44" s="7"/>
      <c r="P44" s="7"/>
      <c r="Z44" s="41" t="s">
        <v>1678</v>
      </c>
      <c r="AA44" s="41">
        <v>1298.055981281</v>
      </c>
      <c r="AB44" s="41">
        <v>1360.99007403</v>
      </c>
      <c r="AC44" s="41">
        <v>1563.637291019</v>
      </c>
      <c r="AD44" s="11">
        <v>2122.9164947650002</v>
      </c>
      <c r="AE44" s="41">
        <v>1734.5902498820001</v>
      </c>
      <c r="AF44" s="41">
        <v>2037.464346961</v>
      </c>
      <c r="AG44" s="41">
        <v>1941.4700979500001</v>
      </c>
      <c r="AH44" s="11">
        <v>2306.6406896950002</v>
      </c>
      <c r="AI44" s="41">
        <v>1793.9595132950001</v>
      </c>
      <c r="AJ44" s="41">
        <v>2101.2460088739999</v>
      </c>
      <c r="AK44" s="41">
        <v>2154.6142580830001</v>
      </c>
      <c r="AL44" s="11">
        <v>2860.7820973299999</v>
      </c>
      <c r="AM44" s="41">
        <v>3140.2876057180001</v>
      </c>
      <c r="AN44" s="41">
        <v>3209.2062569630002</v>
      </c>
      <c r="AO44" s="41">
        <v>3544.1687696049999</v>
      </c>
      <c r="AP44" s="11">
        <v>6258.5480748070004</v>
      </c>
      <c r="AQ44" s="41">
        <v>6380.6735328269997</v>
      </c>
      <c r="AR44" s="41">
        <v>5852.9156703529998</v>
      </c>
      <c r="AS44" s="41">
        <v>6076.2409655809997</v>
      </c>
      <c r="AT44" s="11">
        <v>5782.2181048570001</v>
      </c>
      <c r="AU44" s="41">
        <v>5379.0516697120001</v>
      </c>
      <c r="AV44" s="41">
        <v>6023.4219912360004</v>
      </c>
      <c r="AW44" s="41">
        <v>6483.7</v>
      </c>
    </row>
    <row r="45" spans="1:49" s="41" customFormat="1">
      <c r="A45" s="40" t="s">
        <v>1679</v>
      </c>
      <c r="B45" s="40" t="s">
        <v>1680</v>
      </c>
      <c r="C45" s="41">
        <v>20.766254699000001</v>
      </c>
      <c r="D45" s="41">
        <v>151.49192980500001</v>
      </c>
      <c r="E45" s="41">
        <v>68.267019973000004</v>
      </c>
      <c r="F45" s="41">
        <v>31.668848074</v>
      </c>
      <c r="G45" s="41">
        <v>32.823139329</v>
      </c>
      <c r="H45" s="41">
        <v>34.097098070000001</v>
      </c>
      <c r="I45" s="41">
        <v>71.264154680999994</v>
      </c>
      <c r="J45" s="41">
        <v>131.05729112500001</v>
      </c>
      <c r="K45" s="41">
        <v>878.05623956199997</v>
      </c>
      <c r="L45" s="41">
        <v>1494.3321708460001</v>
      </c>
      <c r="M45" s="41">
        <v>827.78377017699995</v>
      </c>
      <c r="O45" s="7"/>
      <c r="P45" s="7"/>
      <c r="Z45" s="41" t="s">
        <v>1680</v>
      </c>
      <c r="AA45" s="41">
        <v>25.151246859</v>
      </c>
      <c r="AB45" s="41">
        <v>107.950793542</v>
      </c>
      <c r="AC45" s="41">
        <v>39.112781099999999</v>
      </c>
      <c r="AD45" s="11">
        <v>71.264154680999994</v>
      </c>
      <c r="AE45" s="41">
        <v>97.314924203999993</v>
      </c>
      <c r="AF45" s="41">
        <v>60.308273927999998</v>
      </c>
      <c r="AG45" s="41">
        <v>69.152408425000004</v>
      </c>
      <c r="AH45" s="11">
        <v>131.04014322800001</v>
      </c>
      <c r="AI45" s="41">
        <v>91.485431539999993</v>
      </c>
      <c r="AJ45" s="41">
        <v>266.46600459299998</v>
      </c>
      <c r="AK45" s="41">
        <v>212.14923732299999</v>
      </c>
      <c r="AL45" s="11">
        <v>878.05623956199997</v>
      </c>
      <c r="AM45" s="41">
        <v>823.82739102599999</v>
      </c>
      <c r="AN45" s="41">
        <v>1024.8433563210001</v>
      </c>
      <c r="AO45" s="41">
        <v>569.50698307100004</v>
      </c>
      <c r="AP45" s="11">
        <v>1494.3321708460001</v>
      </c>
      <c r="AQ45" s="41">
        <v>536.953075388</v>
      </c>
      <c r="AR45" s="41">
        <v>156.11075582999999</v>
      </c>
      <c r="AS45" s="41">
        <v>986.89689539000005</v>
      </c>
      <c r="AT45" s="11">
        <v>827.78377017699995</v>
      </c>
      <c r="AU45" s="41">
        <v>128.831134034</v>
      </c>
      <c r="AV45" s="41">
        <v>963.38231852499996</v>
      </c>
      <c r="AW45" s="41">
        <v>1562.18</v>
      </c>
    </row>
    <row r="46" spans="1:49">
      <c r="A46" s="33" t="s">
        <v>1681</v>
      </c>
      <c r="B46" s="33" t="s">
        <v>1682</v>
      </c>
      <c r="C46" s="34">
        <v>20.766254699000001</v>
      </c>
      <c r="D46" s="34">
        <v>55.191929805000001</v>
      </c>
      <c r="E46" s="34">
        <v>68.267019973000004</v>
      </c>
      <c r="F46" s="34">
        <v>31.668848074</v>
      </c>
      <c r="G46" s="34">
        <v>32.823139329</v>
      </c>
      <c r="H46" s="34">
        <v>34.097098070000001</v>
      </c>
      <c r="I46" s="34">
        <v>71.264154680999994</v>
      </c>
      <c r="J46" s="34">
        <v>131.05729112500001</v>
      </c>
      <c r="K46" s="34">
        <v>192.14660777899999</v>
      </c>
      <c r="L46" s="34">
        <v>250.99368322199999</v>
      </c>
      <c r="M46" s="34">
        <v>281.78319959800001</v>
      </c>
      <c r="Z46" s="34" t="s">
        <v>1682</v>
      </c>
      <c r="AA46" s="34">
        <v>25.151246859</v>
      </c>
      <c r="AB46" s="34">
        <v>107.950793542</v>
      </c>
      <c r="AC46" s="34">
        <v>39.112781099999999</v>
      </c>
      <c r="AD46" s="10">
        <v>71.264154680999994</v>
      </c>
      <c r="AE46" s="34">
        <v>97.314924203999993</v>
      </c>
      <c r="AF46" s="34">
        <v>60.308273927999998</v>
      </c>
      <c r="AG46" s="34">
        <v>69.152408425000004</v>
      </c>
      <c r="AH46" s="10">
        <v>131.04014322800001</v>
      </c>
      <c r="AI46" s="34">
        <v>91.485431539999993</v>
      </c>
      <c r="AJ46" s="34">
        <v>266.46600459299998</v>
      </c>
      <c r="AK46" s="34">
        <v>51.555949652000002</v>
      </c>
      <c r="AL46" s="10">
        <v>194.64660777899999</v>
      </c>
      <c r="AM46" s="34">
        <v>271.85689787400003</v>
      </c>
      <c r="AN46" s="34">
        <v>319.98415769399998</v>
      </c>
      <c r="AO46" s="34">
        <v>82.011833116000005</v>
      </c>
      <c r="AP46" s="10">
        <v>250.99368322199999</v>
      </c>
      <c r="AQ46" s="34">
        <v>206.65684911700001</v>
      </c>
      <c r="AR46" s="34">
        <v>155.91075583</v>
      </c>
      <c r="AS46" s="34">
        <v>156.681051801</v>
      </c>
      <c r="AT46" s="10">
        <v>281.58319959800002</v>
      </c>
      <c r="AU46" s="34">
        <v>128.831134034</v>
      </c>
      <c r="AV46" s="34">
        <v>216.19859783199999</v>
      </c>
      <c r="AW46" s="34">
        <v>192.57</v>
      </c>
    </row>
    <row r="47" spans="1:49">
      <c r="A47" s="33" t="s">
        <v>1683</v>
      </c>
      <c r="B47" s="33" t="s">
        <v>1684</v>
      </c>
      <c r="C47" s="34">
        <v>0</v>
      </c>
      <c r="D47" s="34">
        <v>96.3</v>
      </c>
      <c r="E47" s="34">
        <v>0</v>
      </c>
      <c r="F47" s="34">
        <v>0</v>
      </c>
      <c r="G47" s="34">
        <v>0</v>
      </c>
      <c r="H47" s="34">
        <v>0</v>
      </c>
      <c r="I47" s="34">
        <v>0</v>
      </c>
      <c r="J47" s="34">
        <v>0</v>
      </c>
      <c r="K47" s="34">
        <v>685.90963178300001</v>
      </c>
      <c r="L47" s="34">
        <v>1243.338487624</v>
      </c>
      <c r="M47" s="34">
        <v>546.00057057900005</v>
      </c>
      <c r="Z47" s="34" t="s">
        <v>1684</v>
      </c>
      <c r="AA47" s="34">
        <v>0</v>
      </c>
      <c r="AB47" s="34">
        <v>0</v>
      </c>
      <c r="AC47" s="34">
        <v>0</v>
      </c>
      <c r="AD47" s="10">
        <v>0</v>
      </c>
      <c r="AE47" s="34">
        <v>0</v>
      </c>
      <c r="AF47" s="34">
        <v>0</v>
      </c>
      <c r="AG47" s="34">
        <v>0</v>
      </c>
      <c r="AH47" s="10">
        <v>0</v>
      </c>
      <c r="AI47" s="34">
        <v>0</v>
      </c>
      <c r="AJ47" s="34">
        <v>0</v>
      </c>
      <c r="AK47" s="34">
        <v>160.59328767100001</v>
      </c>
      <c r="AL47" s="10">
        <v>683.40963178300001</v>
      </c>
      <c r="AM47" s="34">
        <v>551.97049315200002</v>
      </c>
      <c r="AN47" s="34">
        <v>704.85919862699996</v>
      </c>
      <c r="AO47" s="34">
        <v>487.49514995499999</v>
      </c>
      <c r="AP47" s="10">
        <v>1243.338487624</v>
      </c>
      <c r="AQ47" s="34">
        <v>330.29622627100002</v>
      </c>
      <c r="AR47" s="34">
        <v>0.2</v>
      </c>
      <c r="AS47" s="34">
        <v>830.21584358899997</v>
      </c>
      <c r="AT47" s="10">
        <v>546.20057057899999</v>
      </c>
      <c r="AU47" s="34">
        <v>0</v>
      </c>
      <c r="AV47" s="34">
        <v>747.18372069300005</v>
      </c>
      <c r="AW47" s="34">
        <v>1369.61</v>
      </c>
    </row>
    <row r="48" spans="1:49" s="41" customFormat="1">
      <c r="A48" s="40" t="s">
        <v>1685</v>
      </c>
      <c r="B48" s="40" t="s">
        <v>1686</v>
      </c>
      <c r="C48" s="41">
        <v>4.9000000000000004</v>
      </c>
      <c r="D48" s="41">
        <v>4.9000000000000004</v>
      </c>
      <c r="E48" s="41">
        <v>4.9000000000000004</v>
      </c>
      <c r="F48" s="41">
        <v>4.9000000000000004</v>
      </c>
      <c r="G48" s="41">
        <v>4.9000000000000004</v>
      </c>
      <c r="H48" s="41">
        <v>0</v>
      </c>
      <c r="I48" s="41">
        <v>0</v>
      </c>
      <c r="J48" s="41">
        <v>0</v>
      </c>
      <c r="K48" s="41">
        <v>0</v>
      </c>
      <c r="L48" s="41">
        <v>0</v>
      </c>
      <c r="M48" s="41">
        <v>0</v>
      </c>
      <c r="O48" s="7"/>
      <c r="P48" s="7"/>
      <c r="Z48" s="41" t="s">
        <v>1686</v>
      </c>
      <c r="AA48" s="41">
        <v>0</v>
      </c>
      <c r="AB48" s="41">
        <v>0</v>
      </c>
      <c r="AC48" s="41">
        <v>0</v>
      </c>
      <c r="AD48" s="11">
        <v>0</v>
      </c>
      <c r="AE48" s="41">
        <v>0</v>
      </c>
      <c r="AF48" s="41">
        <v>0</v>
      </c>
      <c r="AG48" s="41">
        <v>0</v>
      </c>
      <c r="AH48" s="11">
        <v>0</v>
      </c>
      <c r="AI48" s="41">
        <v>0</v>
      </c>
      <c r="AJ48" s="41">
        <v>0</v>
      </c>
      <c r="AK48" s="41">
        <v>0</v>
      </c>
      <c r="AL48" s="11">
        <v>0</v>
      </c>
      <c r="AM48" s="41">
        <v>0</v>
      </c>
      <c r="AN48" s="41">
        <v>0</v>
      </c>
      <c r="AO48" s="41">
        <v>0</v>
      </c>
      <c r="AP48" s="11">
        <v>0</v>
      </c>
      <c r="AQ48" s="41">
        <v>0</v>
      </c>
      <c r="AR48" s="41">
        <v>0</v>
      </c>
      <c r="AS48" s="41">
        <v>0</v>
      </c>
      <c r="AT48" s="11">
        <v>0</v>
      </c>
      <c r="AU48" s="41">
        <v>0</v>
      </c>
      <c r="AV48" s="41">
        <v>0</v>
      </c>
      <c r="AW48" s="41">
        <v>0</v>
      </c>
    </row>
    <row r="49" spans="1:49">
      <c r="A49" s="33" t="s">
        <v>1687</v>
      </c>
      <c r="B49" s="33" t="s">
        <v>1688</v>
      </c>
      <c r="C49" s="34">
        <v>4.9000000000000004</v>
      </c>
      <c r="D49" s="34">
        <v>4.9000000000000004</v>
      </c>
      <c r="E49" s="34">
        <v>4.9000000000000004</v>
      </c>
      <c r="F49" s="34">
        <v>0</v>
      </c>
      <c r="G49" s="34">
        <v>0</v>
      </c>
      <c r="H49" s="34">
        <v>0</v>
      </c>
      <c r="I49" s="34">
        <v>0</v>
      </c>
      <c r="J49" s="34">
        <v>0</v>
      </c>
      <c r="K49" s="34">
        <v>0</v>
      </c>
      <c r="L49" s="34">
        <v>0</v>
      </c>
      <c r="M49" s="34">
        <v>0</v>
      </c>
      <c r="Z49" s="34" t="s">
        <v>1688</v>
      </c>
      <c r="AA49" s="34">
        <v>0</v>
      </c>
      <c r="AB49" s="34">
        <v>0</v>
      </c>
      <c r="AC49" s="34">
        <v>0</v>
      </c>
      <c r="AD49" s="10">
        <v>0</v>
      </c>
      <c r="AE49" s="34">
        <v>0</v>
      </c>
      <c r="AF49" s="34">
        <v>0</v>
      </c>
      <c r="AG49" s="34">
        <v>0</v>
      </c>
      <c r="AH49" s="10">
        <v>0</v>
      </c>
      <c r="AI49" s="34">
        <v>0</v>
      </c>
      <c r="AJ49" s="34">
        <v>0</v>
      </c>
      <c r="AK49" s="34">
        <v>0</v>
      </c>
      <c r="AL49" s="10">
        <v>0</v>
      </c>
      <c r="AM49" s="34">
        <v>0</v>
      </c>
      <c r="AN49" s="34">
        <v>0</v>
      </c>
      <c r="AO49" s="34">
        <v>0</v>
      </c>
      <c r="AP49" s="10">
        <v>0</v>
      </c>
      <c r="AQ49" s="34">
        <v>0</v>
      </c>
      <c r="AR49" s="34">
        <v>0</v>
      </c>
      <c r="AS49" s="34">
        <v>0</v>
      </c>
      <c r="AT49" s="10">
        <v>0</v>
      </c>
      <c r="AU49" s="34">
        <v>0</v>
      </c>
      <c r="AV49" s="34">
        <v>0</v>
      </c>
      <c r="AW49" s="34">
        <v>0</v>
      </c>
    </row>
    <row r="50" spans="1:49">
      <c r="A50" s="33" t="s">
        <v>1689</v>
      </c>
      <c r="B50" s="33" t="s">
        <v>1690</v>
      </c>
      <c r="C50" s="34">
        <v>0</v>
      </c>
      <c r="D50" s="34">
        <v>0</v>
      </c>
      <c r="E50" s="34">
        <v>0</v>
      </c>
      <c r="F50" s="34">
        <v>0</v>
      </c>
      <c r="G50" s="34">
        <v>0</v>
      </c>
      <c r="H50" s="34">
        <v>0</v>
      </c>
      <c r="I50" s="34">
        <v>0</v>
      </c>
      <c r="J50" s="34">
        <v>0</v>
      </c>
      <c r="K50" s="34">
        <v>0</v>
      </c>
      <c r="L50" s="34">
        <v>0</v>
      </c>
      <c r="M50" s="34">
        <v>0</v>
      </c>
      <c r="Z50" s="34" t="s">
        <v>1690</v>
      </c>
      <c r="AA50" s="34">
        <v>0</v>
      </c>
      <c r="AB50" s="34">
        <v>0</v>
      </c>
      <c r="AC50" s="34">
        <v>0</v>
      </c>
      <c r="AD50" s="10">
        <v>0</v>
      </c>
      <c r="AE50" s="34">
        <v>0</v>
      </c>
      <c r="AF50" s="34">
        <v>0</v>
      </c>
      <c r="AG50" s="34">
        <v>0</v>
      </c>
      <c r="AH50" s="10">
        <v>0</v>
      </c>
      <c r="AI50" s="34">
        <v>0</v>
      </c>
      <c r="AJ50" s="34">
        <v>0</v>
      </c>
      <c r="AK50" s="34">
        <v>0</v>
      </c>
      <c r="AL50" s="10">
        <v>0</v>
      </c>
      <c r="AM50" s="34">
        <v>0</v>
      </c>
      <c r="AN50" s="34">
        <v>0</v>
      </c>
      <c r="AO50" s="34">
        <v>0</v>
      </c>
      <c r="AP50" s="10">
        <v>0</v>
      </c>
      <c r="AQ50" s="34">
        <v>0</v>
      </c>
      <c r="AR50" s="34">
        <v>0</v>
      </c>
      <c r="AS50" s="34">
        <v>0</v>
      </c>
      <c r="AT50" s="10">
        <v>0</v>
      </c>
      <c r="AU50" s="34">
        <v>0</v>
      </c>
      <c r="AV50" s="34">
        <v>0</v>
      </c>
      <c r="AW50" s="34">
        <v>0</v>
      </c>
    </row>
    <row r="51" spans="1:49">
      <c r="A51" s="33" t="s">
        <v>1691</v>
      </c>
      <c r="B51" s="33" t="s">
        <v>1692</v>
      </c>
      <c r="C51" s="34">
        <v>0</v>
      </c>
      <c r="D51" s="34">
        <v>0</v>
      </c>
      <c r="E51" s="34">
        <v>0</v>
      </c>
      <c r="F51" s="34">
        <v>4.9000000000000004</v>
      </c>
      <c r="G51" s="34">
        <v>4.9000000000000004</v>
      </c>
      <c r="H51" s="34">
        <v>0</v>
      </c>
      <c r="I51" s="34">
        <v>0</v>
      </c>
      <c r="J51" s="34">
        <v>0</v>
      </c>
      <c r="K51" s="34">
        <v>0</v>
      </c>
      <c r="L51" s="34">
        <v>0</v>
      </c>
      <c r="M51" s="34">
        <v>0</v>
      </c>
      <c r="Z51" s="34" t="s">
        <v>1692</v>
      </c>
      <c r="AA51" s="34">
        <v>0</v>
      </c>
      <c r="AB51" s="34">
        <v>0</v>
      </c>
      <c r="AC51" s="34">
        <v>0</v>
      </c>
      <c r="AD51" s="10">
        <v>0</v>
      </c>
      <c r="AE51" s="34">
        <v>0</v>
      </c>
      <c r="AF51" s="34">
        <v>0</v>
      </c>
      <c r="AG51" s="34">
        <v>0</v>
      </c>
      <c r="AH51" s="10">
        <v>0</v>
      </c>
      <c r="AI51" s="34">
        <v>0</v>
      </c>
      <c r="AJ51" s="34">
        <v>0</v>
      </c>
      <c r="AK51" s="34">
        <v>0</v>
      </c>
      <c r="AL51" s="10">
        <v>0</v>
      </c>
      <c r="AM51" s="34">
        <v>0</v>
      </c>
      <c r="AN51" s="34">
        <v>0</v>
      </c>
      <c r="AO51" s="34">
        <v>0</v>
      </c>
      <c r="AP51" s="10">
        <v>0</v>
      </c>
      <c r="AQ51" s="34">
        <v>0</v>
      </c>
      <c r="AR51" s="34">
        <v>0</v>
      </c>
      <c r="AS51" s="34">
        <v>0</v>
      </c>
      <c r="AT51" s="10">
        <v>0</v>
      </c>
      <c r="AU51" s="34">
        <v>0</v>
      </c>
      <c r="AV51" s="34">
        <v>0</v>
      </c>
      <c r="AW51" s="34">
        <v>0</v>
      </c>
    </row>
    <row r="52" spans="1:49" s="41" customFormat="1">
      <c r="A52" s="40" t="s">
        <v>1693</v>
      </c>
      <c r="B52" s="40" t="s">
        <v>1694</v>
      </c>
      <c r="C52" s="41">
        <v>219.88473793700001</v>
      </c>
      <c r="D52" s="41">
        <v>280.01980036999998</v>
      </c>
      <c r="E52" s="41">
        <v>314.50982328200001</v>
      </c>
      <c r="F52" s="41">
        <v>348.987791367</v>
      </c>
      <c r="G52" s="41">
        <v>360.88561785600001</v>
      </c>
      <c r="H52" s="41">
        <v>482.22944310700001</v>
      </c>
      <c r="I52" s="41">
        <v>600.82576649199996</v>
      </c>
      <c r="J52" s="41">
        <v>584.63787762599998</v>
      </c>
      <c r="K52" s="41">
        <v>1131.2442672960001</v>
      </c>
      <c r="L52" s="41">
        <v>1786.3175981329985</v>
      </c>
      <c r="M52" s="41">
        <v>1578.7807071570001</v>
      </c>
      <c r="O52" s="7"/>
      <c r="P52" s="7"/>
      <c r="Z52" s="41" t="s">
        <v>1694</v>
      </c>
      <c r="AA52" s="41">
        <v>582.00758637599995</v>
      </c>
      <c r="AB52" s="41">
        <v>485.34213483899998</v>
      </c>
      <c r="AC52" s="41">
        <v>761.27484822400004</v>
      </c>
      <c r="AD52" s="11">
        <v>601.21984577000001</v>
      </c>
      <c r="AE52" s="41">
        <v>622.37692466199996</v>
      </c>
      <c r="AF52" s="41">
        <v>880.97977532300001</v>
      </c>
      <c r="AG52" s="41">
        <v>941.52267768599995</v>
      </c>
      <c r="AH52" s="11">
        <v>570.08959550099996</v>
      </c>
      <c r="AI52" s="41">
        <v>786.42605865899998</v>
      </c>
      <c r="AJ52" s="41">
        <v>714.46937415399998</v>
      </c>
      <c r="AK52" s="41">
        <v>1089.3331203390001</v>
      </c>
      <c r="AL52" s="11">
        <v>1130.021877163</v>
      </c>
      <c r="AM52" s="41">
        <v>1634.157429034</v>
      </c>
      <c r="AN52" s="41">
        <v>1187.5017054919999</v>
      </c>
      <c r="AO52" s="41">
        <v>2008.6415740550001</v>
      </c>
      <c r="AP52" s="11">
        <v>1834.201589964</v>
      </c>
      <c r="AQ52" s="41">
        <v>2172.8746329350001</v>
      </c>
      <c r="AR52" s="41">
        <v>2138.1180335549998</v>
      </c>
      <c r="AS52" s="41">
        <v>2259.545176563</v>
      </c>
      <c r="AT52" s="11">
        <v>1578.648707157</v>
      </c>
      <c r="AU52" s="41">
        <v>2085.8307474960002</v>
      </c>
      <c r="AV52" s="41">
        <v>2355.9736492100001</v>
      </c>
      <c r="AW52" s="41">
        <v>2540.77</v>
      </c>
    </row>
    <row r="53" spans="1:49">
      <c r="A53" s="33" t="s">
        <v>1695</v>
      </c>
      <c r="B53" s="33" t="s">
        <v>1696</v>
      </c>
      <c r="C53" s="34">
        <v>204.41988028599999</v>
      </c>
      <c r="D53" s="34">
        <v>283.65000066499999</v>
      </c>
      <c r="E53" s="34">
        <v>291.606496058</v>
      </c>
      <c r="F53" s="34">
        <v>317.24650528699999</v>
      </c>
      <c r="G53" s="34">
        <v>326.00741944399999</v>
      </c>
      <c r="H53" s="34">
        <v>373.38681444399998</v>
      </c>
      <c r="I53" s="34">
        <v>543.90769022200004</v>
      </c>
      <c r="J53" s="34">
        <v>550.95776326199996</v>
      </c>
      <c r="K53" s="34">
        <v>1100.012071824</v>
      </c>
      <c r="L53" s="34">
        <v>1678.8616781839985</v>
      </c>
      <c r="M53" s="34">
        <v>1495.9838105199999</v>
      </c>
      <c r="N53" s="49"/>
      <c r="Z53" s="34" t="s">
        <v>1696</v>
      </c>
      <c r="AA53" s="34">
        <v>478.02085343700003</v>
      </c>
      <c r="AB53" s="34">
        <v>411.09953117499998</v>
      </c>
      <c r="AC53" s="34">
        <v>616.43424260999996</v>
      </c>
      <c r="AD53" s="10">
        <v>545.58651229899999</v>
      </c>
      <c r="AE53" s="34">
        <v>539.73338339099996</v>
      </c>
      <c r="AF53" s="34">
        <v>863.64767255599997</v>
      </c>
      <c r="AG53" s="34">
        <v>914.58821958999999</v>
      </c>
      <c r="AH53" s="10">
        <v>552.79173832399999</v>
      </c>
      <c r="AI53" s="34">
        <v>756.00960148000001</v>
      </c>
      <c r="AJ53" s="34">
        <v>694.47032707000005</v>
      </c>
      <c r="AK53" s="34">
        <v>1073.3079340449999</v>
      </c>
      <c r="AL53" s="10">
        <v>1100.012071824</v>
      </c>
      <c r="AM53" s="34">
        <v>1495.9142811459999</v>
      </c>
      <c r="AN53" s="34">
        <v>1153.2157022880001</v>
      </c>
      <c r="AO53" s="34">
        <v>1850.521612752</v>
      </c>
      <c r="AP53" s="10">
        <v>1726.7456700150001</v>
      </c>
      <c r="AQ53" s="34">
        <v>2095.1087280460001</v>
      </c>
      <c r="AR53" s="34">
        <v>2035.075140831</v>
      </c>
      <c r="AS53" s="34">
        <v>2149.5084527690001</v>
      </c>
      <c r="AT53" s="10">
        <v>1495.9838105199999</v>
      </c>
      <c r="AU53" s="34">
        <v>1895.9464738520001</v>
      </c>
      <c r="AV53" s="34">
        <v>2228.0978381670002</v>
      </c>
      <c r="AW53" s="34">
        <v>2365.86</v>
      </c>
    </row>
    <row r="54" spans="1:49">
      <c r="A54" s="33" t="s">
        <v>1697</v>
      </c>
      <c r="B54" s="33" t="s">
        <v>1698</v>
      </c>
      <c r="C54" s="34">
        <v>0.837970938</v>
      </c>
      <c r="D54" s="34">
        <v>0.91813425000000004</v>
      </c>
      <c r="E54" s="34">
        <v>21.853671092999999</v>
      </c>
      <c r="F54" s="34">
        <v>18.087773475999999</v>
      </c>
      <c r="G54" s="34">
        <v>9.8938877759999997</v>
      </c>
      <c r="H54" s="34">
        <v>89.341664729000001</v>
      </c>
      <c r="I54" s="34">
        <v>39.535519063000002</v>
      </c>
      <c r="J54" s="34">
        <v>8.3344327370000002</v>
      </c>
      <c r="K54" s="34">
        <v>28.835311811</v>
      </c>
      <c r="L54" s="34">
        <v>82.507295063000001</v>
      </c>
      <c r="M54" s="34">
        <v>37.475210562999997</v>
      </c>
      <c r="Z54" s="34" t="s">
        <v>1698</v>
      </c>
      <c r="AA54" s="34">
        <v>82.238453434999997</v>
      </c>
      <c r="AB54" s="34">
        <v>52.615214000999998</v>
      </c>
      <c r="AC54" s="34">
        <v>122.195396582</v>
      </c>
      <c r="AD54" s="10">
        <v>39.491229064000002</v>
      </c>
      <c r="AE54" s="34">
        <v>64.939192841999997</v>
      </c>
      <c r="AF54" s="34">
        <v>3.495253205</v>
      </c>
      <c r="AG54" s="34">
        <v>10.330559057</v>
      </c>
      <c r="AH54" s="10">
        <v>8.3344327370000002</v>
      </c>
      <c r="AI54" s="34">
        <v>20.583869022999998</v>
      </c>
      <c r="AJ54" s="34">
        <v>16.378050779999999</v>
      </c>
      <c r="AK54" s="34">
        <v>14.276104028000001</v>
      </c>
      <c r="AL54" s="10">
        <v>28.835311811</v>
      </c>
      <c r="AM54" s="34">
        <v>31.870847239</v>
      </c>
      <c r="AN54" s="34">
        <v>23.277596881000001</v>
      </c>
      <c r="AO54" s="34">
        <v>142.177326857</v>
      </c>
      <c r="AP54" s="10">
        <v>82.507295063000001</v>
      </c>
      <c r="AQ54" s="34">
        <v>52.128126000000002</v>
      </c>
      <c r="AR54" s="34">
        <v>43.737555608999998</v>
      </c>
      <c r="AS54" s="34">
        <v>55.664648028000002</v>
      </c>
      <c r="AT54" s="10">
        <v>37.475210562999997</v>
      </c>
      <c r="AU54" s="34">
        <v>94.463887138000004</v>
      </c>
      <c r="AV54" s="34">
        <v>67.888439038000001</v>
      </c>
      <c r="AW54" s="34">
        <v>110.84</v>
      </c>
    </row>
    <row r="55" spans="1:49">
      <c r="A55" s="33" t="s">
        <v>1699</v>
      </c>
      <c r="B55" s="33" t="s">
        <v>1700</v>
      </c>
      <c r="C55" s="34">
        <v>0</v>
      </c>
      <c r="D55" s="34">
        <v>0</v>
      </c>
      <c r="E55" s="34">
        <v>0</v>
      </c>
      <c r="F55" s="34">
        <v>0</v>
      </c>
      <c r="G55" s="34">
        <v>0</v>
      </c>
      <c r="H55" s="34">
        <v>0</v>
      </c>
      <c r="I55" s="34">
        <v>0</v>
      </c>
      <c r="J55" s="34">
        <v>0</v>
      </c>
      <c r="K55" s="34">
        <v>0</v>
      </c>
      <c r="L55" s="34">
        <v>0</v>
      </c>
      <c r="M55" s="34">
        <v>0</v>
      </c>
      <c r="Z55" s="34" t="s">
        <v>1700</v>
      </c>
      <c r="AA55" s="34">
        <v>0</v>
      </c>
      <c r="AB55" s="34">
        <v>0</v>
      </c>
      <c r="AC55" s="34">
        <v>0</v>
      </c>
      <c r="AD55" s="10">
        <v>0</v>
      </c>
      <c r="AE55" s="34">
        <v>0</v>
      </c>
      <c r="AF55" s="34">
        <v>0</v>
      </c>
      <c r="AG55" s="34">
        <v>0</v>
      </c>
      <c r="AH55" s="10">
        <v>0</v>
      </c>
      <c r="AI55" s="34">
        <v>0</v>
      </c>
      <c r="AJ55" s="34">
        <v>0</v>
      </c>
      <c r="AK55" s="34">
        <v>0</v>
      </c>
      <c r="AL55" s="10">
        <v>0</v>
      </c>
      <c r="AM55" s="34">
        <v>0</v>
      </c>
      <c r="AN55" s="34">
        <v>0</v>
      </c>
      <c r="AO55" s="34">
        <v>0</v>
      </c>
      <c r="AP55" s="10">
        <v>0</v>
      </c>
      <c r="AQ55" s="34">
        <v>0</v>
      </c>
      <c r="AR55" s="34">
        <v>0</v>
      </c>
      <c r="AS55" s="34">
        <v>0</v>
      </c>
      <c r="AT55" s="10">
        <v>0</v>
      </c>
      <c r="AU55" s="34">
        <v>0</v>
      </c>
      <c r="AV55" s="34">
        <v>0</v>
      </c>
      <c r="AW55" s="34">
        <v>0</v>
      </c>
    </row>
    <row r="56" spans="1:49">
      <c r="A56" s="33" t="s">
        <v>1701</v>
      </c>
      <c r="B56" s="33" t="s">
        <v>1702</v>
      </c>
      <c r="C56" s="34">
        <v>0</v>
      </c>
      <c r="D56" s="34">
        <v>0</v>
      </c>
      <c r="E56" s="34">
        <v>0</v>
      </c>
      <c r="F56" s="34">
        <v>0</v>
      </c>
      <c r="G56" s="34">
        <v>0</v>
      </c>
      <c r="H56" s="34">
        <v>0</v>
      </c>
      <c r="I56" s="34">
        <v>0</v>
      </c>
      <c r="J56" s="34">
        <v>0</v>
      </c>
      <c r="K56" s="34">
        <v>0</v>
      </c>
      <c r="L56" s="34">
        <v>0</v>
      </c>
      <c r="M56" s="34">
        <v>0</v>
      </c>
      <c r="Z56" s="34" t="s">
        <v>1702</v>
      </c>
      <c r="AA56" s="34">
        <v>0</v>
      </c>
      <c r="AB56" s="34">
        <v>0</v>
      </c>
      <c r="AC56" s="34">
        <v>0</v>
      </c>
      <c r="AD56" s="10">
        <v>0</v>
      </c>
      <c r="AE56" s="34">
        <v>0</v>
      </c>
      <c r="AF56" s="34">
        <v>0</v>
      </c>
      <c r="AG56" s="34">
        <v>0</v>
      </c>
      <c r="AH56" s="10">
        <v>0</v>
      </c>
      <c r="AI56" s="34">
        <v>0</v>
      </c>
      <c r="AJ56" s="34">
        <v>0</v>
      </c>
      <c r="AK56" s="34">
        <v>0</v>
      </c>
      <c r="AL56" s="10">
        <v>0</v>
      </c>
      <c r="AM56" s="34">
        <v>0</v>
      </c>
      <c r="AN56" s="34">
        <v>0</v>
      </c>
      <c r="AO56" s="34">
        <v>0</v>
      </c>
      <c r="AP56" s="10">
        <v>0</v>
      </c>
      <c r="AQ56" s="34">
        <v>0</v>
      </c>
      <c r="AR56" s="34">
        <v>0</v>
      </c>
      <c r="AS56" s="34">
        <v>0</v>
      </c>
      <c r="AT56" s="10">
        <v>0</v>
      </c>
      <c r="AU56" s="34">
        <v>0</v>
      </c>
      <c r="AV56" s="34">
        <v>0</v>
      </c>
      <c r="AW56" s="34">
        <v>0</v>
      </c>
    </row>
    <row r="57" spans="1:49">
      <c r="A57" s="33" t="s">
        <v>1703</v>
      </c>
      <c r="B57" s="33" t="s">
        <v>1704</v>
      </c>
      <c r="C57" s="34">
        <v>0</v>
      </c>
      <c r="D57" s="34">
        <v>0</v>
      </c>
      <c r="E57" s="34">
        <v>0</v>
      </c>
      <c r="F57" s="34">
        <v>0</v>
      </c>
      <c r="G57" s="34">
        <v>0</v>
      </c>
      <c r="H57" s="34">
        <v>0</v>
      </c>
      <c r="I57" s="34">
        <v>0</v>
      </c>
      <c r="J57" s="34">
        <v>0.35</v>
      </c>
      <c r="K57" s="34">
        <v>0</v>
      </c>
      <c r="L57" s="34">
        <v>6.4</v>
      </c>
      <c r="M57" s="34">
        <v>23.719519999999999</v>
      </c>
      <c r="Z57" s="34" t="s">
        <v>1704</v>
      </c>
      <c r="AA57" s="34">
        <v>0</v>
      </c>
      <c r="AB57" s="34">
        <v>0</v>
      </c>
      <c r="AC57" s="34">
        <v>0.28475</v>
      </c>
      <c r="AD57" s="10">
        <v>0.28475</v>
      </c>
      <c r="AE57" s="34">
        <v>0</v>
      </c>
      <c r="AF57" s="34">
        <v>0.7</v>
      </c>
      <c r="AG57" s="34">
        <v>0</v>
      </c>
      <c r="AH57" s="10">
        <v>0.63475000000000004</v>
      </c>
      <c r="AI57" s="34">
        <v>0.17499999999999999</v>
      </c>
      <c r="AJ57" s="34">
        <v>0.28475</v>
      </c>
      <c r="AK57" s="34">
        <v>0</v>
      </c>
      <c r="AL57" s="10">
        <v>0</v>
      </c>
      <c r="AM57" s="34">
        <v>97.985121187999994</v>
      </c>
      <c r="AN57" s="34">
        <v>8.4</v>
      </c>
      <c r="AO57" s="34">
        <v>8.4</v>
      </c>
      <c r="AP57" s="10">
        <v>6.4</v>
      </c>
      <c r="AQ57" s="34">
        <v>12.948</v>
      </c>
      <c r="AR57" s="34">
        <v>31.047999999999998</v>
      </c>
      <c r="AS57" s="34">
        <v>31.047999999999998</v>
      </c>
      <c r="AT57" s="10">
        <v>23.719519999999999</v>
      </c>
      <c r="AU57" s="34">
        <v>21</v>
      </c>
      <c r="AV57" s="34">
        <v>20</v>
      </c>
      <c r="AW57" s="34">
        <v>20</v>
      </c>
    </row>
    <row r="58" spans="1:49">
      <c r="A58" s="33" t="s">
        <v>1705</v>
      </c>
      <c r="B58" s="33" t="s">
        <v>1706</v>
      </c>
      <c r="C58" s="34">
        <v>20.024717872</v>
      </c>
      <c r="D58" s="34">
        <v>0.46471455499999997</v>
      </c>
      <c r="E58" s="34">
        <v>7.1057582090000002</v>
      </c>
      <c r="F58" s="34">
        <v>22.340055496000002</v>
      </c>
      <c r="G58" s="34">
        <v>33.772849639</v>
      </c>
      <c r="H58" s="34">
        <v>39.471224933999999</v>
      </c>
      <c r="I58" s="34">
        <v>43.683047901000002</v>
      </c>
      <c r="J58" s="34">
        <v>68.345272065000003</v>
      </c>
      <c r="K58" s="34">
        <v>46.708953280999999</v>
      </c>
      <c r="L58" s="34">
        <v>63.069490758999997</v>
      </c>
      <c r="M58" s="34">
        <v>64.906131168000002</v>
      </c>
      <c r="Z58" s="34" t="s">
        <v>1706</v>
      </c>
      <c r="AA58" s="34">
        <v>40.415336719000003</v>
      </c>
      <c r="AB58" s="34">
        <v>40.294446878000002</v>
      </c>
      <c r="AC58" s="34">
        <v>44.027516247000001</v>
      </c>
      <c r="AD58" s="10">
        <v>42.157845100999999</v>
      </c>
      <c r="AE58" s="34">
        <v>52.223363996000003</v>
      </c>
      <c r="AF58" s="34">
        <v>46.173933765999998</v>
      </c>
      <c r="AG58" s="34">
        <v>49.405829118</v>
      </c>
      <c r="AH58" s="10">
        <v>53.521783882999998</v>
      </c>
      <c r="AI58" s="34">
        <v>53.007178594000003</v>
      </c>
      <c r="AJ58" s="34">
        <v>46.685836741999999</v>
      </c>
      <c r="AK58" s="34">
        <v>45.098672704000002</v>
      </c>
      <c r="AL58" s="10">
        <v>45.328522595999999</v>
      </c>
      <c r="AM58" s="34">
        <v>52.699249080999998</v>
      </c>
      <c r="AN58" s="34">
        <v>46.920475943</v>
      </c>
      <c r="AO58" s="34">
        <v>51.854704065999996</v>
      </c>
      <c r="AP58" s="10">
        <v>63.069490758999997</v>
      </c>
      <c r="AQ58" s="34">
        <v>57.210644762000001</v>
      </c>
      <c r="AR58" s="34">
        <v>72.778202988000004</v>
      </c>
      <c r="AS58" s="34">
        <v>67.844941638999998</v>
      </c>
      <c r="AT58" s="10">
        <v>64.774131167999997</v>
      </c>
      <c r="AU58" s="34">
        <v>117.72435160000001</v>
      </c>
      <c r="AV58" s="34">
        <v>83.291337099000003</v>
      </c>
      <c r="AW58" s="34">
        <v>87.53</v>
      </c>
    </row>
    <row r="59" spans="1:49">
      <c r="A59" s="33" t="s">
        <v>1707</v>
      </c>
      <c r="B59" s="33" t="s">
        <v>1708</v>
      </c>
      <c r="C59" s="34">
        <v>-5.3978311589999999</v>
      </c>
      <c r="D59" s="34">
        <v>-5.0130490999999999</v>
      </c>
      <c r="E59" s="34">
        <v>-6.0604078039999996</v>
      </c>
      <c r="F59" s="34">
        <v>-8.6908492909999993</v>
      </c>
      <c r="G59" s="34">
        <v>-8.8230198830000006</v>
      </c>
      <c r="H59" s="34">
        <v>-19.970261000000001</v>
      </c>
      <c r="I59" s="34">
        <v>-26.300490694000001</v>
      </c>
      <c r="J59" s="34">
        <v>-43.349590438</v>
      </c>
      <c r="K59" s="34">
        <v>-44.312069620000003</v>
      </c>
      <c r="L59" s="34">
        <v>-44.520865872999998</v>
      </c>
      <c r="M59" s="34">
        <v>-43.303965093999999</v>
      </c>
      <c r="Z59" s="34" t="s">
        <v>1708</v>
      </c>
      <c r="AA59" s="34">
        <v>-18.667057215</v>
      </c>
      <c r="AB59" s="34">
        <v>-18.667057215</v>
      </c>
      <c r="AC59" s="34">
        <v>-21.667057215</v>
      </c>
      <c r="AD59" s="10">
        <v>-26.300490694000001</v>
      </c>
      <c r="AE59" s="34">
        <v>-34.519015566999997</v>
      </c>
      <c r="AF59" s="34">
        <v>-33.037084204000003</v>
      </c>
      <c r="AG59" s="34">
        <v>-32.801930079000002</v>
      </c>
      <c r="AH59" s="10">
        <v>-45.193109442999997</v>
      </c>
      <c r="AI59" s="34">
        <v>-43.349590438</v>
      </c>
      <c r="AJ59" s="34">
        <v>-43.349590438</v>
      </c>
      <c r="AK59" s="34">
        <v>-43.349590438</v>
      </c>
      <c r="AL59" s="10">
        <v>-44.154029068</v>
      </c>
      <c r="AM59" s="34">
        <v>-44.312069620000003</v>
      </c>
      <c r="AN59" s="34">
        <v>-44.312069620000003</v>
      </c>
      <c r="AO59" s="34">
        <v>-44.312069620000003</v>
      </c>
      <c r="AP59" s="10">
        <v>-44.520865872999998</v>
      </c>
      <c r="AQ59" s="34">
        <v>-44.520865872999998</v>
      </c>
      <c r="AR59" s="34">
        <v>-44.520865872999998</v>
      </c>
      <c r="AS59" s="34">
        <v>-44.520865872999998</v>
      </c>
      <c r="AT59" s="10">
        <v>-43.303965093999999</v>
      </c>
      <c r="AU59" s="34">
        <v>-43.303965093999999</v>
      </c>
      <c r="AV59" s="34">
        <v>-43.303965093999999</v>
      </c>
      <c r="AW59" s="34">
        <v>-43.46</v>
      </c>
    </row>
    <row r="60" spans="1:49">
      <c r="A60" s="33" t="s">
        <v>1709</v>
      </c>
      <c r="B60" s="33" t="s">
        <v>1710</v>
      </c>
      <c r="C60" s="34">
        <v>0</v>
      </c>
      <c r="D60" s="34">
        <v>0</v>
      </c>
      <c r="E60" s="34">
        <v>4.3057260000000002E-3</v>
      </c>
      <c r="F60" s="34">
        <v>4.3063989999999998E-3</v>
      </c>
      <c r="G60" s="34">
        <v>3.4480879999999998E-2</v>
      </c>
      <c r="H60" s="34">
        <v>0</v>
      </c>
      <c r="I60" s="34">
        <v>0</v>
      </c>
      <c r="J60" s="34">
        <v>0</v>
      </c>
      <c r="K60" s="34">
        <v>0</v>
      </c>
      <c r="L60" s="34">
        <v>0</v>
      </c>
      <c r="M60" s="34">
        <v>0</v>
      </c>
      <c r="Z60" s="34" t="s">
        <v>1710</v>
      </c>
      <c r="AA60" s="34">
        <v>0</v>
      </c>
      <c r="AB60" s="34">
        <v>0</v>
      </c>
      <c r="AC60" s="34">
        <v>0</v>
      </c>
      <c r="AD60" s="10">
        <v>0</v>
      </c>
      <c r="AE60" s="34">
        <v>0</v>
      </c>
      <c r="AF60" s="34">
        <v>0</v>
      </c>
      <c r="AG60" s="34">
        <v>0</v>
      </c>
      <c r="AH60" s="10">
        <v>0</v>
      </c>
      <c r="AI60" s="34">
        <v>0</v>
      </c>
      <c r="AJ60" s="34">
        <v>0</v>
      </c>
      <c r="AK60" s="34">
        <v>0</v>
      </c>
      <c r="AL60" s="10">
        <v>0</v>
      </c>
      <c r="AM60" s="34">
        <v>0</v>
      </c>
      <c r="AN60" s="34">
        <v>0</v>
      </c>
      <c r="AO60" s="34">
        <v>0</v>
      </c>
      <c r="AP60" s="10">
        <v>0</v>
      </c>
      <c r="AQ60" s="34">
        <v>0</v>
      </c>
      <c r="AR60" s="34">
        <v>0</v>
      </c>
      <c r="AS60" s="34">
        <v>0</v>
      </c>
      <c r="AT60" s="10">
        <v>0</v>
      </c>
      <c r="AU60" s="34">
        <v>0</v>
      </c>
      <c r="AV60" s="34">
        <v>0</v>
      </c>
      <c r="AW60" s="34">
        <v>0</v>
      </c>
    </row>
    <row r="61" spans="1:49" s="41" customFormat="1">
      <c r="A61" s="40" t="s">
        <v>538</v>
      </c>
      <c r="B61" s="40" t="s">
        <v>1711</v>
      </c>
      <c r="C61" s="41">
        <v>462.93959053999998</v>
      </c>
      <c r="D61" s="41">
        <v>385.815546461</v>
      </c>
      <c r="E61" s="41">
        <v>731.94294546100002</v>
      </c>
      <c r="F61" s="41">
        <v>669.57601687600004</v>
      </c>
      <c r="G61" s="41">
        <v>714.27550687200005</v>
      </c>
      <c r="H61" s="41">
        <v>883.03530538999996</v>
      </c>
      <c r="I61" s="41">
        <v>1314.1752568320001</v>
      </c>
      <c r="J61" s="41">
        <v>1453.645856457</v>
      </c>
      <c r="K61" s="41">
        <v>827.37117436300002</v>
      </c>
      <c r="L61" s="41">
        <v>2888.1112744799998</v>
      </c>
      <c r="M61" s="41">
        <v>3254.3385936220002</v>
      </c>
      <c r="Z61" s="41" t="s">
        <v>1711</v>
      </c>
      <c r="AA61" s="41">
        <v>597.00493215899996</v>
      </c>
      <c r="AB61" s="41">
        <v>666.401727295</v>
      </c>
      <c r="AC61" s="41">
        <v>668.01244962700002</v>
      </c>
      <c r="AD61" s="11">
        <v>1313.6952985600001</v>
      </c>
      <c r="AE61" s="41">
        <v>901.36590690200001</v>
      </c>
      <c r="AF61" s="41">
        <v>978.99509731800003</v>
      </c>
      <c r="AG61" s="41">
        <v>838.60594468800002</v>
      </c>
      <c r="AH61" s="11">
        <v>1484.4328348270001</v>
      </c>
      <c r="AI61" s="41">
        <v>835.89451232099998</v>
      </c>
      <c r="AJ61" s="41">
        <v>1028.0641917999999</v>
      </c>
      <c r="AK61" s="41">
        <v>795.37530009399995</v>
      </c>
      <c r="AL61" s="11">
        <v>827.37117436300002</v>
      </c>
      <c r="AM61" s="41">
        <v>666.419257786</v>
      </c>
      <c r="AN61" s="41">
        <v>975.01401961600004</v>
      </c>
      <c r="AO61" s="41">
        <v>934.95570135499997</v>
      </c>
      <c r="AP61" s="11">
        <v>2842.9607063650001</v>
      </c>
      <c r="AQ61" s="41">
        <v>3512.2284631590001</v>
      </c>
      <c r="AR61" s="41">
        <v>3396.605006195</v>
      </c>
      <c r="AS61" s="41">
        <v>2723.1197871260001</v>
      </c>
      <c r="AT61" s="11">
        <v>3254.3385936220002</v>
      </c>
      <c r="AU61" s="41">
        <v>3032.7667032670001</v>
      </c>
      <c r="AV61" s="41">
        <v>2592.9417179279999</v>
      </c>
      <c r="AW61" s="41">
        <v>2248.5700000000002</v>
      </c>
    </row>
    <row r="62" spans="1:49">
      <c r="A62" s="33" t="s">
        <v>1712</v>
      </c>
      <c r="B62" s="33" t="s">
        <v>1713</v>
      </c>
      <c r="C62" s="34">
        <v>462.93959053999998</v>
      </c>
      <c r="D62" s="34">
        <v>385.815546461</v>
      </c>
      <c r="E62" s="34">
        <v>731.94294546100002</v>
      </c>
      <c r="F62" s="34">
        <v>669.57601687600004</v>
      </c>
      <c r="G62" s="34">
        <v>715.84023063200004</v>
      </c>
      <c r="H62" s="34">
        <v>886.673509964</v>
      </c>
      <c r="I62" s="34">
        <v>1321.415837755</v>
      </c>
      <c r="J62" s="34">
        <v>1468.8947600470001</v>
      </c>
      <c r="K62" s="34">
        <v>843.42389041499996</v>
      </c>
      <c r="L62" s="34">
        <v>2909.8355599440001</v>
      </c>
      <c r="M62" s="34">
        <v>3444.696834978</v>
      </c>
      <c r="O62" s="7"/>
      <c r="P62" s="7"/>
      <c r="Z62" s="34" t="s">
        <v>1713</v>
      </c>
      <c r="AA62" s="34">
        <v>600.64313673300001</v>
      </c>
      <c r="AB62" s="34">
        <v>668.21789844</v>
      </c>
      <c r="AC62" s="34">
        <v>671.82862077200002</v>
      </c>
      <c r="AD62" s="10">
        <v>1320.935879483</v>
      </c>
      <c r="AE62" s="34">
        <v>908.60648782500004</v>
      </c>
      <c r="AF62" s="34">
        <v>991.44317237799999</v>
      </c>
      <c r="AG62" s="34">
        <v>851.05401974799997</v>
      </c>
      <c r="AH62" s="10">
        <v>1493.1453516250001</v>
      </c>
      <c r="AI62" s="34">
        <v>851.14341591100003</v>
      </c>
      <c r="AJ62" s="34">
        <v>1036.060360061</v>
      </c>
      <c r="AK62" s="34">
        <v>803.37146835500005</v>
      </c>
      <c r="AL62" s="10">
        <v>843.42389041499996</v>
      </c>
      <c r="AM62" s="34">
        <v>682.47197383800005</v>
      </c>
      <c r="AN62" s="34">
        <v>991.06673566799998</v>
      </c>
      <c r="AO62" s="34">
        <v>951.00841740700002</v>
      </c>
      <c r="AP62" s="10">
        <v>2864.684991829</v>
      </c>
      <c r="AQ62" s="34">
        <v>3533.9527486229999</v>
      </c>
      <c r="AR62" s="34">
        <v>3580.6512031040002</v>
      </c>
      <c r="AS62" s="34">
        <v>2907.1659840349998</v>
      </c>
      <c r="AT62" s="10">
        <v>3444.696834978</v>
      </c>
      <c r="AU62" s="34">
        <v>3223.1249446229999</v>
      </c>
      <c r="AV62" s="34">
        <v>2758.6305657869998</v>
      </c>
      <c r="AW62" s="34">
        <v>2414.2600000000002</v>
      </c>
    </row>
    <row r="63" spans="1:49">
      <c r="A63" s="33" t="s">
        <v>1714</v>
      </c>
      <c r="B63" s="33" t="s">
        <v>1715</v>
      </c>
      <c r="C63" s="34">
        <v>0</v>
      </c>
      <c r="D63" s="34">
        <v>0</v>
      </c>
      <c r="E63" s="34">
        <v>0</v>
      </c>
      <c r="F63" s="34">
        <v>0</v>
      </c>
      <c r="G63" s="34">
        <v>-1.5647237599999999</v>
      </c>
      <c r="H63" s="34">
        <v>-3.638204574</v>
      </c>
      <c r="I63" s="34">
        <v>-7.2405809229999996</v>
      </c>
      <c r="J63" s="34">
        <v>-15.248903589999999</v>
      </c>
      <c r="K63" s="34">
        <v>-16.052716052000001</v>
      </c>
      <c r="L63" s="34">
        <v>-21.724285464000001</v>
      </c>
      <c r="M63" s="34">
        <v>-190.35824135600001</v>
      </c>
      <c r="Z63" s="34" t="s">
        <v>1715</v>
      </c>
      <c r="AA63" s="34">
        <v>-3.638204574</v>
      </c>
      <c r="AB63" s="34">
        <v>-1.816171145</v>
      </c>
      <c r="AC63" s="34">
        <v>-3.8161711450000002</v>
      </c>
      <c r="AD63" s="10">
        <v>-7.2405809229999996</v>
      </c>
      <c r="AE63" s="34">
        <v>-7.2405809229999996</v>
      </c>
      <c r="AF63" s="34">
        <v>-12.448075060000001</v>
      </c>
      <c r="AG63" s="34">
        <v>-12.448075060000001</v>
      </c>
      <c r="AH63" s="10">
        <v>-8.7125167979999993</v>
      </c>
      <c r="AI63" s="34">
        <v>-15.248903589999999</v>
      </c>
      <c r="AJ63" s="34">
        <v>-7.9961682610000002</v>
      </c>
      <c r="AK63" s="34">
        <v>-7.9961682610000002</v>
      </c>
      <c r="AL63" s="10">
        <v>-16.052716052000001</v>
      </c>
      <c r="AM63" s="34">
        <v>-16.052716052000001</v>
      </c>
      <c r="AN63" s="34">
        <v>-16.052716052000001</v>
      </c>
      <c r="AO63" s="34">
        <v>-16.052716052000001</v>
      </c>
      <c r="AP63" s="10">
        <v>-21.724285464000001</v>
      </c>
      <c r="AQ63" s="34">
        <v>-21.724285464000001</v>
      </c>
      <c r="AR63" s="34">
        <v>-184.046196909</v>
      </c>
      <c r="AS63" s="34">
        <v>-184.046196909</v>
      </c>
      <c r="AT63" s="10">
        <v>-190.35824135600001</v>
      </c>
      <c r="AU63" s="34">
        <v>-190.35824135600001</v>
      </c>
      <c r="AV63" s="34">
        <v>-165.68884785899999</v>
      </c>
      <c r="AW63" s="34">
        <v>-165.69</v>
      </c>
    </row>
    <row r="64" spans="1:49" s="41" customFormat="1">
      <c r="A64" s="40" t="s">
        <v>1716</v>
      </c>
      <c r="B64" s="40" t="s">
        <v>1717</v>
      </c>
      <c r="C64" s="41">
        <v>63.057570591999998</v>
      </c>
      <c r="D64" s="41">
        <v>67.368285610000001</v>
      </c>
      <c r="E64" s="41">
        <v>87.542687705999995</v>
      </c>
      <c r="F64" s="41">
        <v>116.132664197</v>
      </c>
      <c r="G64" s="41">
        <v>105.591523487</v>
      </c>
      <c r="H64" s="41">
        <v>102.52748667900001</v>
      </c>
      <c r="I64" s="41">
        <v>132.067382071</v>
      </c>
      <c r="J64" s="41">
        <v>118.212939898</v>
      </c>
      <c r="K64" s="41">
        <v>25.332806242</v>
      </c>
      <c r="L64" s="41">
        <v>87.053607631999995</v>
      </c>
      <c r="M64" s="41">
        <v>121.447033901</v>
      </c>
      <c r="O64" s="7"/>
      <c r="P64" s="7"/>
      <c r="Z64" s="41" t="s">
        <v>1717</v>
      </c>
      <c r="AA64" s="41">
        <v>93.892215887000006</v>
      </c>
      <c r="AB64" s="41">
        <v>101.29541835400001</v>
      </c>
      <c r="AC64" s="41">
        <v>95.237212068000005</v>
      </c>
      <c r="AD64" s="11">
        <v>136.737195754</v>
      </c>
      <c r="AE64" s="41">
        <v>113.532494114</v>
      </c>
      <c r="AF64" s="41">
        <v>117.18120039199999</v>
      </c>
      <c r="AG64" s="41">
        <v>92.189067151000003</v>
      </c>
      <c r="AH64" s="11">
        <v>121.078116139</v>
      </c>
      <c r="AI64" s="41">
        <v>80.153510775000001</v>
      </c>
      <c r="AJ64" s="41">
        <v>92.246438327000007</v>
      </c>
      <c r="AK64" s="41">
        <v>57.756600327000001</v>
      </c>
      <c r="AL64" s="11">
        <v>25.332806242</v>
      </c>
      <c r="AM64" s="41">
        <v>15.883527872</v>
      </c>
      <c r="AN64" s="41">
        <v>21.847175534000002</v>
      </c>
      <c r="AO64" s="41">
        <v>31.064511123999999</v>
      </c>
      <c r="AP64" s="11">
        <v>87.053607631999995</v>
      </c>
      <c r="AQ64" s="41">
        <v>158.61736134500001</v>
      </c>
      <c r="AR64" s="41">
        <v>162.08187477300001</v>
      </c>
      <c r="AS64" s="41">
        <v>106.679106502</v>
      </c>
      <c r="AT64" s="11">
        <v>121.447033901</v>
      </c>
      <c r="AU64" s="41">
        <v>131.62308491499999</v>
      </c>
      <c r="AV64" s="41">
        <v>111.124305573</v>
      </c>
      <c r="AW64" s="41">
        <v>132.19</v>
      </c>
    </row>
    <row r="65" spans="1:49">
      <c r="A65" s="33" t="s">
        <v>1718</v>
      </c>
      <c r="B65" s="33" t="s">
        <v>1719</v>
      </c>
      <c r="C65" s="34">
        <v>1.6968450129999999</v>
      </c>
      <c r="D65" s="34">
        <v>2.6690623200000001</v>
      </c>
      <c r="E65" s="34">
        <v>1.573082052</v>
      </c>
      <c r="F65" s="34">
        <v>16.334943484</v>
      </c>
      <c r="G65" s="34">
        <v>3.9976435559999999</v>
      </c>
      <c r="H65" s="34">
        <v>3.3058443</v>
      </c>
      <c r="I65" s="34">
        <v>3.9744280920000001</v>
      </c>
      <c r="J65" s="34">
        <v>2.8094021699999998</v>
      </c>
      <c r="K65" s="34">
        <v>6.8280935510000003</v>
      </c>
      <c r="L65" s="34">
        <v>9.4471633770000008</v>
      </c>
      <c r="M65" s="34">
        <v>27.076513095999999</v>
      </c>
      <c r="Z65" s="34" t="s">
        <v>1719</v>
      </c>
      <c r="AA65" s="34">
        <v>3.36968538</v>
      </c>
      <c r="AB65" s="34">
        <v>6.0240313670000001</v>
      </c>
      <c r="AC65" s="34">
        <v>7.047851337</v>
      </c>
      <c r="AD65" s="10">
        <v>8.5377594309999996</v>
      </c>
      <c r="AE65" s="34">
        <v>9.6403655149999992</v>
      </c>
      <c r="AF65" s="34">
        <v>3.7801459120000001</v>
      </c>
      <c r="AG65" s="34">
        <v>6.4345504760000001</v>
      </c>
      <c r="AH65" s="10">
        <v>5.7078392579999999</v>
      </c>
      <c r="AI65" s="34">
        <v>3.9317259529999999</v>
      </c>
      <c r="AJ65" s="34">
        <v>3.4676477170000002</v>
      </c>
      <c r="AK65" s="34">
        <v>3.1378828200000002</v>
      </c>
      <c r="AL65" s="10">
        <v>6.8280935510000003</v>
      </c>
      <c r="AM65" s="34">
        <v>8.6810991120000001</v>
      </c>
      <c r="AN65" s="34">
        <v>8.3167119940000003</v>
      </c>
      <c r="AO65" s="34">
        <v>6.356173192</v>
      </c>
      <c r="AP65" s="10">
        <v>9.4471633770000008</v>
      </c>
      <c r="AQ65" s="34">
        <v>9.7474000440000008</v>
      </c>
      <c r="AR65" s="34">
        <v>14.081075049000001</v>
      </c>
      <c r="AS65" s="34">
        <v>11.416860161000001</v>
      </c>
      <c r="AT65" s="10">
        <v>27.076513095999999</v>
      </c>
      <c r="AU65" s="34">
        <v>13.262797049</v>
      </c>
      <c r="AV65" s="34">
        <v>16.519068502</v>
      </c>
      <c r="AW65" s="34">
        <v>13.46</v>
      </c>
    </row>
    <row r="66" spans="1:49">
      <c r="A66" s="33" t="s">
        <v>1720</v>
      </c>
      <c r="B66" s="33" t="s">
        <v>1721</v>
      </c>
      <c r="C66" s="34">
        <v>25.250048663000001</v>
      </c>
      <c r="D66" s="34">
        <v>38.606988567999998</v>
      </c>
      <c r="E66" s="34">
        <v>85.919866412999994</v>
      </c>
      <c r="F66" s="34">
        <v>99.797720713000004</v>
      </c>
      <c r="G66" s="34">
        <v>101.33338348300001</v>
      </c>
      <c r="H66" s="34">
        <v>98.932997720000003</v>
      </c>
      <c r="I66" s="34">
        <v>127.751901223</v>
      </c>
      <c r="J66" s="34">
        <v>115.262484308</v>
      </c>
      <c r="K66" s="34">
        <v>18.504712691000002</v>
      </c>
      <c r="L66" s="34">
        <v>77.381600641999995</v>
      </c>
      <c r="M66" s="34">
        <v>93.498790623000005</v>
      </c>
      <c r="Z66" s="34" t="s">
        <v>1721</v>
      </c>
      <c r="AA66" s="34">
        <v>86.066720841000006</v>
      </c>
      <c r="AB66" s="34">
        <v>94.889801493999997</v>
      </c>
      <c r="AC66" s="34">
        <v>87.897210792999999</v>
      </c>
      <c r="AD66" s="10">
        <v>127.75182122299999</v>
      </c>
      <c r="AE66" s="34">
        <v>103.60103544</v>
      </c>
      <c r="AF66" s="34">
        <v>113.140558032</v>
      </c>
      <c r="AG66" s="34">
        <v>85.494020226999993</v>
      </c>
      <c r="AH66" s="10">
        <v>115.109780433</v>
      </c>
      <c r="AI66" s="34">
        <v>76.080731401999998</v>
      </c>
      <c r="AJ66" s="34">
        <v>88.570068281999994</v>
      </c>
      <c r="AK66" s="34">
        <v>54.618717507</v>
      </c>
      <c r="AL66" s="10">
        <v>18.504712691000002</v>
      </c>
      <c r="AM66" s="34">
        <v>7.2024287600000001</v>
      </c>
      <c r="AN66" s="34">
        <v>13.53046354</v>
      </c>
      <c r="AO66" s="34">
        <v>24.708337931999999</v>
      </c>
      <c r="AP66" s="10">
        <v>77.606444255</v>
      </c>
      <c r="AQ66" s="34">
        <v>148.645117688</v>
      </c>
      <c r="AR66" s="34">
        <v>146.07252817899999</v>
      </c>
      <c r="AS66" s="34">
        <v>93.853058595999997</v>
      </c>
      <c r="AT66" s="10">
        <v>93.498790623000005</v>
      </c>
      <c r="AU66" s="34">
        <v>114.62177354000001</v>
      </c>
      <c r="AV66" s="34">
        <v>93.479508627000001</v>
      </c>
      <c r="AW66" s="34">
        <v>117.63</v>
      </c>
    </row>
    <row r="67" spans="1:49">
      <c r="A67" s="33" t="s">
        <v>1722</v>
      </c>
      <c r="B67" s="33" t="s">
        <v>1723</v>
      </c>
      <c r="C67" s="34">
        <v>1.2770684880000001</v>
      </c>
      <c r="D67" s="34">
        <v>5.3686438000000003E-2</v>
      </c>
      <c r="E67" s="34">
        <v>4.9739240999999997E-2</v>
      </c>
      <c r="F67" s="34">
        <v>0</v>
      </c>
      <c r="G67" s="34">
        <v>0.26049644799999999</v>
      </c>
      <c r="H67" s="34">
        <v>0.28864465900000003</v>
      </c>
      <c r="I67" s="34">
        <v>0.34105275600000001</v>
      </c>
      <c r="J67" s="34">
        <v>0.14105342000000001</v>
      </c>
      <c r="K67" s="34">
        <v>0</v>
      </c>
      <c r="L67" s="34">
        <v>0.224843613</v>
      </c>
      <c r="M67" s="34">
        <v>0.87173018199999996</v>
      </c>
      <c r="Z67" s="34" t="s">
        <v>1723</v>
      </c>
      <c r="AA67" s="34">
        <v>4.4558096660000004</v>
      </c>
      <c r="AB67" s="34">
        <v>0.381585493</v>
      </c>
      <c r="AC67" s="34">
        <v>0.26916691199999998</v>
      </c>
      <c r="AD67" s="10">
        <v>0.44761509999999999</v>
      </c>
      <c r="AE67" s="34">
        <v>0.29109315899999999</v>
      </c>
      <c r="AF67" s="34">
        <v>0.26049644799999999</v>
      </c>
      <c r="AG67" s="34">
        <v>0.26049644799999999</v>
      </c>
      <c r="AH67" s="10">
        <v>0.26049644799999999</v>
      </c>
      <c r="AI67" s="34">
        <v>0.14105342000000001</v>
      </c>
      <c r="AJ67" s="34">
        <v>0.20872232800000001</v>
      </c>
      <c r="AK67" s="34">
        <v>0</v>
      </c>
      <c r="AL67" s="10">
        <v>0</v>
      </c>
      <c r="AM67" s="34">
        <v>0</v>
      </c>
      <c r="AN67" s="34">
        <v>0</v>
      </c>
      <c r="AO67" s="34">
        <v>0</v>
      </c>
      <c r="AP67" s="10">
        <v>0</v>
      </c>
      <c r="AQ67" s="34">
        <v>0.224843613</v>
      </c>
      <c r="AR67" s="34">
        <v>1.9282715450000001</v>
      </c>
      <c r="AS67" s="34">
        <v>0</v>
      </c>
      <c r="AT67" s="10">
        <v>0</v>
      </c>
      <c r="AU67" s="34">
        <v>3.7385143260000002</v>
      </c>
      <c r="AV67" s="34">
        <v>1.1257284439999999</v>
      </c>
      <c r="AW67" s="34">
        <v>1.0900000000000001</v>
      </c>
    </row>
    <row r="68" spans="1:49">
      <c r="A68" s="33" t="s">
        <v>1724</v>
      </c>
      <c r="B68" s="33" t="s">
        <v>1725</v>
      </c>
      <c r="C68" s="34">
        <v>0</v>
      </c>
      <c r="D68" s="34">
        <v>0</v>
      </c>
      <c r="E68" s="34">
        <v>0</v>
      </c>
      <c r="F68" s="34">
        <v>0</v>
      </c>
      <c r="G68" s="34">
        <v>0</v>
      </c>
      <c r="H68" s="34">
        <v>0</v>
      </c>
      <c r="I68" s="34">
        <v>0</v>
      </c>
      <c r="J68" s="34">
        <v>0</v>
      </c>
      <c r="K68" s="34">
        <v>0</v>
      </c>
      <c r="L68" s="34">
        <v>0</v>
      </c>
      <c r="M68" s="34">
        <v>0</v>
      </c>
      <c r="Z68" s="34" t="s">
        <v>1725</v>
      </c>
      <c r="AA68" s="34">
        <v>0</v>
      </c>
      <c r="AB68" s="34">
        <v>0</v>
      </c>
      <c r="AC68" s="34">
        <v>0</v>
      </c>
      <c r="AD68" s="10">
        <v>0</v>
      </c>
      <c r="AE68" s="34">
        <v>0</v>
      </c>
      <c r="AF68" s="34">
        <v>0</v>
      </c>
      <c r="AG68" s="34">
        <v>0</v>
      </c>
      <c r="AH68" s="10">
        <v>0</v>
      </c>
      <c r="AI68" s="34">
        <v>0</v>
      </c>
      <c r="AJ68" s="34">
        <v>0</v>
      </c>
      <c r="AK68" s="34">
        <v>0</v>
      </c>
      <c r="AL68" s="10">
        <v>0</v>
      </c>
      <c r="AM68" s="34">
        <v>0</v>
      </c>
      <c r="AN68" s="34">
        <v>0</v>
      </c>
      <c r="AO68" s="34">
        <v>0</v>
      </c>
      <c r="AP68" s="10">
        <v>0</v>
      </c>
      <c r="AQ68" s="34">
        <v>0</v>
      </c>
      <c r="AR68" s="34">
        <v>0</v>
      </c>
      <c r="AS68" s="34">
        <v>1.4091877450000001</v>
      </c>
      <c r="AT68" s="10">
        <v>0.87173018199999996</v>
      </c>
      <c r="AU68" s="34">
        <v>0</v>
      </c>
      <c r="AV68" s="34">
        <v>0</v>
      </c>
      <c r="AW68" s="34">
        <v>0</v>
      </c>
    </row>
    <row r="69" spans="1:49">
      <c r="A69" s="33" t="s">
        <v>1726</v>
      </c>
      <c r="B69" s="33" t="s">
        <v>1727</v>
      </c>
      <c r="C69" s="34">
        <v>34.833608427999998</v>
      </c>
      <c r="D69" s="34">
        <v>26.038548284000001</v>
      </c>
      <c r="E69" s="34">
        <v>0</v>
      </c>
      <c r="F69" s="34">
        <v>0</v>
      </c>
      <c r="G69" s="34">
        <v>0</v>
      </c>
      <c r="H69" s="34">
        <v>0</v>
      </c>
      <c r="I69" s="34">
        <v>0</v>
      </c>
      <c r="J69" s="34">
        <v>0</v>
      </c>
      <c r="K69" s="34">
        <v>0</v>
      </c>
      <c r="L69" s="34">
        <v>0</v>
      </c>
      <c r="M69" s="34">
        <v>0</v>
      </c>
      <c r="Z69" s="34" t="s">
        <v>1727</v>
      </c>
      <c r="AA69" s="34">
        <v>0</v>
      </c>
      <c r="AB69" s="34">
        <v>0</v>
      </c>
      <c r="AC69" s="34">
        <v>2.2983026E-2</v>
      </c>
      <c r="AD69" s="10">
        <v>0</v>
      </c>
      <c r="AE69" s="34">
        <v>0</v>
      </c>
      <c r="AF69" s="34">
        <v>0</v>
      </c>
      <c r="AG69" s="34">
        <v>0</v>
      </c>
      <c r="AH69" s="10">
        <v>0</v>
      </c>
      <c r="AI69" s="34">
        <v>0</v>
      </c>
      <c r="AJ69" s="34">
        <v>0</v>
      </c>
      <c r="AK69" s="34">
        <v>0</v>
      </c>
      <c r="AL69" s="10">
        <v>0</v>
      </c>
      <c r="AM69" s="34">
        <v>0</v>
      </c>
      <c r="AN69" s="34">
        <v>0</v>
      </c>
      <c r="AO69" s="34">
        <v>0</v>
      </c>
      <c r="AP69" s="10">
        <v>0</v>
      </c>
      <c r="AQ69" s="34">
        <v>0</v>
      </c>
      <c r="AR69" s="34">
        <v>0</v>
      </c>
      <c r="AS69" s="34">
        <v>0</v>
      </c>
      <c r="AT69" s="10">
        <v>0</v>
      </c>
      <c r="AU69" s="34">
        <v>0</v>
      </c>
      <c r="AV69" s="34">
        <v>0</v>
      </c>
      <c r="AW69" s="34">
        <v>0</v>
      </c>
    </row>
    <row r="70" spans="1:49" s="41" customFormat="1">
      <c r="A70" s="40" t="s">
        <v>1728</v>
      </c>
      <c r="B70" s="40" t="s">
        <v>1729</v>
      </c>
      <c r="C70" s="41">
        <v>84.449235282000004</v>
      </c>
      <c r="D70" s="41">
        <v>86.948560092999998</v>
      </c>
      <c r="E70" s="41">
        <v>85.559069206999993</v>
      </c>
      <c r="F70" s="41">
        <v>84.243052474999999</v>
      </c>
      <c r="G70" s="41">
        <v>87.736112677999998</v>
      </c>
      <c r="H70" s="41">
        <v>92.059588112</v>
      </c>
      <c r="I70" s="41">
        <v>105.00355353</v>
      </c>
      <c r="J70" s="41">
        <v>117.501236961</v>
      </c>
      <c r="K70" s="41">
        <v>206.742641967</v>
      </c>
      <c r="L70" s="41">
        <v>289.32621000699999</v>
      </c>
      <c r="M70" s="41">
        <v>573.07101869099995</v>
      </c>
      <c r="O70" s="7"/>
      <c r="P70" s="7"/>
      <c r="Z70" s="41" t="s">
        <v>1729</v>
      </c>
      <c r="AA70" s="41">
        <v>98.604195794999995</v>
      </c>
      <c r="AB70" s="41">
        <v>98.957282071999998</v>
      </c>
      <c r="AC70" s="41">
        <v>97.846532198000006</v>
      </c>
      <c r="AD70" s="11">
        <v>98.921839199999994</v>
      </c>
      <c r="AE70" s="41">
        <v>104.48431275999999</v>
      </c>
      <c r="AF70" s="41">
        <v>110.70507807600001</v>
      </c>
      <c r="AG70" s="41">
        <v>104.892705013</v>
      </c>
      <c r="AH70" s="11">
        <v>112.377645824</v>
      </c>
      <c r="AI70" s="41">
        <v>115.652244481</v>
      </c>
      <c r="AJ70" s="41">
        <v>123.218417214</v>
      </c>
      <c r="AK70" s="41">
        <v>166.99659972200001</v>
      </c>
      <c r="AL70" s="11">
        <v>205.52360094400001</v>
      </c>
      <c r="AM70" s="41">
        <v>214.53214533299999</v>
      </c>
      <c r="AN70" s="41">
        <v>215.57975968400001</v>
      </c>
      <c r="AO70" s="41">
        <v>216.386997533</v>
      </c>
      <c r="AP70" s="11">
        <v>289.32621000699999</v>
      </c>
      <c r="AQ70" s="41">
        <v>288.56861062500002</v>
      </c>
      <c r="AR70" s="41">
        <v>283.60801172100003</v>
      </c>
      <c r="AS70" s="41">
        <v>533.55519565700001</v>
      </c>
      <c r="AT70" s="11">
        <v>573.07101872099997</v>
      </c>
      <c r="AU70" s="41">
        <v>537.29509641100003</v>
      </c>
      <c r="AV70" s="41">
        <v>536.22201960400002</v>
      </c>
      <c r="AW70" s="41">
        <v>519.45000000000005</v>
      </c>
    </row>
    <row r="71" spans="1:49" s="41" customFormat="1">
      <c r="A71" s="40" t="s">
        <v>1730</v>
      </c>
      <c r="B71" s="40" t="s">
        <v>1731</v>
      </c>
      <c r="C71" s="41">
        <v>0</v>
      </c>
      <c r="D71" s="41">
        <v>0</v>
      </c>
      <c r="E71" s="41">
        <v>1.70458048</v>
      </c>
      <c r="F71" s="41">
        <v>2.32422</v>
      </c>
      <c r="G71" s="41">
        <v>2.3237800000000002</v>
      </c>
      <c r="H71" s="41">
        <v>2.3397800000000002</v>
      </c>
      <c r="I71" s="41">
        <v>4.4045317060000002</v>
      </c>
      <c r="J71" s="41">
        <v>4.243538</v>
      </c>
      <c r="K71" s="41">
        <v>8.8281604999999992</v>
      </c>
      <c r="L71" s="41">
        <v>17.641047356000001</v>
      </c>
      <c r="M71" s="41">
        <v>22.404577033999999</v>
      </c>
      <c r="O71" s="7"/>
      <c r="P71" s="7"/>
      <c r="Z71" s="41" t="s">
        <v>1731</v>
      </c>
      <c r="AA71" s="41">
        <v>5.4465877059999999</v>
      </c>
      <c r="AB71" s="41">
        <v>5.9142977060000002</v>
      </c>
      <c r="AC71" s="41">
        <v>3.9465877059999999</v>
      </c>
      <c r="AD71" s="11">
        <v>4.1197817060000004</v>
      </c>
      <c r="AE71" s="41">
        <v>4.595245706</v>
      </c>
      <c r="AF71" s="41">
        <v>4.5397757060000004</v>
      </c>
      <c r="AG71" s="41">
        <v>4.5462757060000003</v>
      </c>
      <c r="AH71" s="11">
        <v>4.2060557059999999</v>
      </c>
      <c r="AI71" s="41">
        <v>4.3776078500000004</v>
      </c>
      <c r="AJ71" s="41">
        <v>4.1631538499999996</v>
      </c>
      <c r="AK71" s="41">
        <v>8.5226093499999998</v>
      </c>
      <c r="AL71" s="11">
        <v>8.8281604999999992</v>
      </c>
      <c r="AM71" s="41">
        <v>9.9667375000000007</v>
      </c>
      <c r="AN71" s="41">
        <v>12.0838965</v>
      </c>
      <c r="AO71" s="41">
        <v>15.435170727999999</v>
      </c>
      <c r="AP71" s="11">
        <v>17.641047356000001</v>
      </c>
      <c r="AQ71" s="41">
        <v>20.153017756000001</v>
      </c>
      <c r="AR71" s="41">
        <v>21.463002156000002</v>
      </c>
      <c r="AS71" s="41">
        <v>21.862002155999999</v>
      </c>
      <c r="AT71" s="11">
        <v>22.404577033999999</v>
      </c>
      <c r="AU71" s="41">
        <v>14.748251716</v>
      </c>
      <c r="AV71" s="41">
        <v>14.729750215999999</v>
      </c>
      <c r="AW71" s="41">
        <v>15.54</v>
      </c>
    </row>
    <row r="72" spans="1:49">
      <c r="A72" s="33" t="s">
        <v>1732</v>
      </c>
      <c r="B72" s="33" t="s">
        <v>1733</v>
      </c>
      <c r="C72" s="34">
        <v>0</v>
      </c>
      <c r="D72" s="34">
        <v>0</v>
      </c>
      <c r="E72" s="34">
        <v>0</v>
      </c>
      <c r="F72" s="34">
        <v>0</v>
      </c>
      <c r="G72" s="34">
        <v>0</v>
      </c>
      <c r="H72" s="34">
        <v>0</v>
      </c>
      <c r="I72" s="34">
        <v>0.28475</v>
      </c>
      <c r="J72" s="34">
        <v>0</v>
      </c>
      <c r="K72" s="34">
        <v>0</v>
      </c>
      <c r="L72" s="34">
        <v>0</v>
      </c>
      <c r="M72" s="34">
        <v>0</v>
      </c>
      <c r="Z72" s="34" t="s">
        <v>1733</v>
      </c>
      <c r="AA72" s="34">
        <v>0</v>
      </c>
      <c r="AB72" s="34">
        <v>0</v>
      </c>
      <c r="AC72" s="34">
        <v>0</v>
      </c>
      <c r="AD72" s="10">
        <v>0</v>
      </c>
      <c r="AE72" s="34">
        <v>0.28475</v>
      </c>
      <c r="AF72" s="34">
        <v>0</v>
      </c>
      <c r="AG72" s="34">
        <v>0.28475</v>
      </c>
      <c r="AH72" s="10">
        <v>0</v>
      </c>
      <c r="AI72" s="34">
        <v>0</v>
      </c>
      <c r="AJ72" s="34">
        <v>0</v>
      </c>
      <c r="AK72" s="34">
        <v>0</v>
      </c>
      <c r="AL72" s="10">
        <v>0</v>
      </c>
      <c r="AM72" s="34">
        <v>0</v>
      </c>
      <c r="AN72" s="34">
        <v>0</v>
      </c>
      <c r="AO72" s="34">
        <v>0</v>
      </c>
      <c r="AP72" s="10">
        <v>0</v>
      </c>
      <c r="AQ72" s="34">
        <v>0</v>
      </c>
      <c r="AR72" s="34">
        <v>0</v>
      </c>
      <c r="AS72" s="34">
        <v>0</v>
      </c>
      <c r="AT72" s="10">
        <v>0</v>
      </c>
      <c r="AU72" s="34">
        <v>0</v>
      </c>
      <c r="AV72" s="34">
        <v>0</v>
      </c>
      <c r="AW72" s="34">
        <v>0</v>
      </c>
    </row>
    <row r="73" spans="1:49">
      <c r="A73" s="33" t="s">
        <v>1734</v>
      </c>
      <c r="B73" s="33" t="s">
        <v>1735</v>
      </c>
      <c r="C73" s="34">
        <v>0</v>
      </c>
      <c r="D73" s="34">
        <v>0</v>
      </c>
      <c r="E73" s="34">
        <v>0</v>
      </c>
      <c r="F73" s="34">
        <v>0</v>
      </c>
      <c r="G73" s="34">
        <v>0</v>
      </c>
      <c r="H73" s="34">
        <v>0</v>
      </c>
      <c r="I73" s="34">
        <v>0</v>
      </c>
      <c r="J73" s="34">
        <v>0</v>
      </c>
      <c r="K73" s="34">
        <v>0</v>
      </c>
      <c r="L73" s="34">
        <v>0</v>
      </c>
      <c r="M73" s="34">
        <v>0</v>
      </c>
      <c r="Z73" s="34" t="s">
        <v>1735</v>
      </c>
      <c r="AA73" s="34">
        <v>0</v>
      </c>
      <c r="AB73" s="34">
        <v>0</v>
      </c>
      <c r="AC73" s="34">
        <v>0</v>
      </c>
      <c r="AD73" s="10">
        <v>0</v>
      </c>
      <c r="AE73" s="34">
        <v>0</v>
      </c>
      <c r="AF73" s="34">
        <v>0</v>
      </c>
      <c r="AG73" s="34">
        <v>0</v>
      </c>
      <c r="AH73" s="10">
        <v>0</v>
      </c>
      <c r="AI73" s="34">
        <v>0</v>
      </c>
      <c r="AJ73" s="34">
        <v>0</v>
      </c>
      <c r="AK73" s="34">
        <v>0</v>
      </c>
      <c r="AL73" s="10">
        <v>0</v>
      </c>
      <c r="AM73" s="34">
        <v>0</v>
      </c>
      <c r="AN73" s="34">
        <v>0</v>
      </c>
      <c r="AO73" s="34">
        <v>0</v>
      </c>
      <c r="AP73" s="10">
        <v>0</v>
      </c>
      <c r="AQ73" s="34">
        <v>0</v>
      </c>
      <c r="AR73" s="34">
        <v>0</v>
      </c>
      <c r="AS73" s="34">
        <v>0</v>
      </c>
      <c r="AT73" s="10">
        <v>0</v>
      </c>
      <c r="AU73" s="34">
        <v>0</v>
      </c>
      <c r="AV73" s="34">
        <v>0</v>
      </c>
      <c r="AW73" s="34">
        <v>0</v>
      </c>
    </row>
    <row r="74" spans="1:49">
      <c r="A74" s="33" t="s">
        <v>1736</v>
      </c>
      <c r="B74" s="33" t="s">
        <v>1737</v>
      </c>
      <c r="C74" s="34">
        <v>0</v>
      </c>
      <c r="D74" s="34">
        <v>0</v>
      </c>
      <c r="E74" s="34">
        <v>0</v>
      </c>
      <c r="F74" s="34">
        <v>0</v>
      </c>
      <c r="G74" s="34">
        <v>0</v>
      </c>
      <c r="H74" s="34">
        <v>0</v>
      </c>
      <c r="I74" s="34">
        <v>0</v>
      </c>
      <c r="J74" s="34">
        <v>0</v>
      </c>
      <c r="K74" s="34">
        <v>0</v>
      </c>
      <c r="L74" s="34">
        <v>0</v>
      </c>
      <c r="M74" s="34">
        <v>0</v>
      </c>
      <c r="Z74" s="34" t="s">
        <v>1737</v>
      </c>
      <c r="AA74" s="34">
        <v>0</v>
      </c>
      <c r="AB74" s="34">
        <v>0</v>
      </c>
      <c r="AC74" s="34">
        <v>0</v>
      </c>
      <c r="AD74" s="10">
        <v>0</v>
      </c>
      <c r="AE74" s="34">
        <v>0</v>
      </c>
      <c r="AF74" s="34">
        <v>0</v>
      </c>
      <c r="AG74" s="34">
        <v>0</v>
      </c>
      <c r="AH74" s="10">
        <v>0</v>
      </c>
      <c r="AI74" s="34">
        <v>0</v>
      </c>
      <c r="AJ74" s="34">
        <v>0</v>
      </c>
      <c r="AK74" s="34">
        <v>0</v>
      </c>
      <c r="AL74" s="10">
        <v>0</v>
      </c>
      <c r="AM74" s="34">
        <v>0</v>
      </c>
      <c r="AN74" s="34">
        <v>0</v>
      </c>
      <c r="AO74" s="34">
        <v>0</v>
      </c>
      <c r="AP74" s="10">
        <v>0</v>
      </c>
      <c r="AQ74" s="34">
        <v>0</v>
      </c>
      <c r="AR74" s="34">
        <v>0</v>
      </c>
      <c r="AS74" s="34">
        <v>0</v>
      </c>
      <c r="AT74" s="10">
        <v>0</v>
      </c>
      <c r="AU74" s="34">
        <v>0</v>
      </c>
      <c r="AV74" s="34">
        <v>0</v>
      </c>
      <c r="AW74" s="34">
        <v>0</v>
      </c>
    </row>
    <row r="75" spans="1:49">
      <c r="A75" s="33" t="s">
        <v>1738</v>
      </c>
      <c r="B75" s="33" t="s">
        <v>1739</v>
      </c>
      <c r="C75" s="34">
        <v>0</v>
      </c>
      <c r="D75" s="34">
        <v>0</v>
      </c>
      <c r="E75" s="34">
        <v>0</v>
      </c>
      <c r="F75" s="34">
        <v>0</v>
      </c>
      <c r="G75" s="34">
        <v>0</v>
      </c>
      <c r="H75" s="34">
        <v>0</v>
      </c>
      <c r="I75" s="34">
        <v>0</v>
      </c>
      <c r="J75" s="34">
        <v>0</v>
      </c>
      <c r="K75" s="34">
        <v>0</v>
      </c>
      <c r="L75" s="34">
        <v>0</v>
      </c>
      <c r="M75" s="34">
        <v>0</v>
      </c>
      <c r="Z75" s="34" t="s">
        <v>1739</v>
      </c>
      <c r="AA75" s="34">
        <v>0</v>
      </c>
      <c r="AB75" s="34">
        <v>0</v>
      </c>
      <c r="AC75" s="34">
        <v>0</v>
      </c>
      <c r="AD75" s="10">
        <v>0</v>
      </c>
      <c r="AE75" s="34">
        <v>0</v>
      </c>
      <c r="AF75" s="34">
        <v>0</v>
      </c>
      <c r="AG75" s="34">
        <v>0</v>
      </c>
      <c r="AH75" s="10">
        <v>0</v>
      </c>
      <c r="AI75" s="34">
        <v>0</v>
      </c>
      <c r="AJ75" s="34">
        <v>0</v>
      </c>
      <c r="AK75" s="34">
        <v>0</v>
      </c>
      <c r="AL75" s="10">
        <v>0</v>
      </c>
      <c r="AM75" s="34">
        <v>0</v>
      </c>
      <c r="AN75" s="34">
        <v>0</v>
      </c>
      <c r="AO75" s="34">
        <v>0</v>
      </c>
      <c r="AP75" s="10">
        <v>0</v>
      </c>
      <c r="AQ75" s="34">
        <v>0</v>
      </c>
      <c r="AR75" s="34">
        <v>0</v>
      </c>
      <c r="AS75" s="34">
        <v>0</v>
      </c>
      <c r="AT75" s="10">
        <v>0</v>
      </c>
      <c r="AU75" s="34">
        <v>0</v>
      </c>
      <c r="AV75" s="34">
        <v>0</v>
      </c>
      <c r="AW75" s="34">
        <v>0</v>
      </c>
    </row>
    <row r="76" spans="1:49">
      <c r="A76" s="33" t="s">
        <v>1740</v>
      </c>
      <c r="B76" s="33" t="s">
        <v>1741</v>
      </c>
      <c r="C76" s="34">
        <v>0</v>
      </c>
      <c r="D76" s="34">
        <v>0</v>
      </c>
      <c r="E76" s="34">
        <v>0</v>
      </c>
      <c r="F76" s="34">
        <v>0</v>
      </c>
      <c r="G76" s="34">
        <v>0</v>
      </c>
      <c r="H76" s="34">
        <v>0</v>
      </c>
      <c r="I76" s="34">
        <v>0</v>
      </c>
      <c r="J76" s="34">
        <v>0.28475</v>
      </c>
      <c r="K76" s="34">
        <v>0</v>
      </c>
      <c r="L76" s="34">
        <v>0</v>
      </c>
      <c r="M76" s="34">
        <v>0</v>
      </c>
      <c r="Z76" s="34" t="s">
        <v>1741</v>
      </c>
      <c r="AA76" s="34">
        <v>0</v>
      </c>
      <c r="AB76" s="34">
        <v>0.28475</v>
      </c>
      <c r="AC76" s="34">
        <v>0</v>
      </c>
      <c r="AD76" s="10">
        <v>0</v>
      </c>
      <c r="AE76" s="34">
        <v>0</v>
      </c>
      <c r="AF76" s="34">
        <v>0.28475</v>
      </c>
      <c r="AG76" s="34">
        <v>0</v>
      </c>
      <c r="AH76" s="10">
        <v>0</v>
      </c>
      <c r="AI76" s="34">
        <v>0.28475</v>
      </c>
      <c r="AJ76" s="34">
        <v>0</v>
      </c>
      <c r="AK76" s="34">
        <v>0</v>
      </c>
      <c r="AL76" s="10">
        <v>0</v>
      </c>
      <c r="AM76" s="34">
        <v>0</v>
      </c>
      <c r="AN76" s="34">
        <v>0</v>
      </c>
      <c r="AO76" s="34">
        <v>0</v>
      </c>
      <c r="AP76" s="10">
        <v>0</v>
      </c>
      <c r="AQ76" s="34">
        <v>0</v>
      </c>
      <c r="AR76" s="34">
        <v>0</v>
      </c>
      <c r="AS76" s="34">
        <v>0</v>
      </c>
      <c r="AT76" s="10">
        <v>0</v>
      </c>
      <c r="AU76" s="34">
        <v>0</v>
      </c>
      <c r="AV76" s="34">
        <v>0</v>
      </c>
      <c r="AW76" s="34">
        <v>0</v>
      </c>
    </row>
    <row r="77" spans="1:49">
      <c r="A77" s="33" t="s">
        <v>1742</v>
      </c>
      <c r="B77" s="33" t="s">
        <v>1743</v>
      </c>
      <c r="C77" s="34">
        <v>0</v>
      </c>
      <c r="D77" s="34">
        <v>0</v>
      </c>
      <c r="E77" s="34">
        <v>1.70458048</v>
      </c>
      <c r="F77" s="34">
        <v>2.32422</v>
      </c>
      <c r="G77" s="34">
        <v>2.3237800000000002</v>
      </c>
      <c r="H77" s="34">
        <v>2.3397800000000002</v>
      </c>
      <c r="I77" s="34">
        <v>4.1197817060000004</v>
      </c>
      <c r="J77" s="34">
        <v>3.9587880000000002</v>
      </c>
      <c r="K77" s="34">
        <v>8.8281604999999992</v>
      </c>
      <c r="L77" s="34">
        <v>17.641047356000001</v>
      </c>
      <c r="M77" s="34">
        <v>22.404577033999999</v>
      </c>
      <c r="Z77" s="34" t="s">
        <v>1743</v>
      </c>
      <c r="AA77" s="34">
        <v>5.4465877059999999</v>
      </c>
      <c r="AB77" s="34">
        <v>5.6295477060000003</v>
      </c>
      <c r="AC77" s="34">
        <v>3.9465877059999999</v>
      </c>
      <c r="AD77" s="10">
        <v>4.1197817060000004</v>
      </c>
      <c r="AE77" s="34">
        <v>4.3104957060000002</v>
      </c>
      <c r="AF77" s="34">
        <v>4.2550257059999996</v>
      </c>
      <c r="AG77" s="34">
        <v>4.2615257059999996</v>
      </c>
      <c r="AH77" s="10">
        <v>4.2060557059999999</v>
      </c>
      <c r="AI77" s="34">
        <v>4.0928578499999997</v>
      </c>
      <c r="AJ77" s="34">
        <v>4.1631538499999996</v>
      </c>
      <c r="AK77" s="34">
        <v>8.5226093499999998</v>
      </c>
      <c r="AL77" s="10">
        <v>8.8281604999999992</v>
      </c>
      <c r="AM77" s="34">
        <v>9.9667375000000007</v>
      </c>
      <c r="AN77" s="34">
        <v>12.0838965</v>
      </c>
      <c r="AO77" s="34">
        <v>15.435170727999999</v>
      </c>
      <c r="AP77" s="10">
        <v>17.641047356000001</v>
      </c>
      <c r="AQ77" s="34">
        <v>20.153017756000001</v>
      </c>
      <c r="AR77" s="34">
        <v>21.463002156000002</v>
      </c>
      <c r="AS77" s="34">
        <v>21.862002155999999</v>
      </c>
      <c r="AT77" s="10">
        <v>22.404577033999999</v>
      </c>
      <c r="AU77" s="34">
        <v>14.748251716</v>
      </c>
      <c r="AV77" s="34">
        <v>14.729750215999999</v>
      </c>
      <c r="AW77" s="34">
        <v>15.54</v>
      </c>
    </row>
    <row r="78" spans="1:49">
      <c r="A78" s="33" t="s">
        <v>1744</v>
      </c>
      <c r="B78" s="33" t="s">
        <v>1745</v>
      </c>
      <c r="C78" s="34">
        <v>0</v>
      </c>
      <c r="D78" s="34">
        <v>0</v>
      </c>
      <c r="E78" s="34">
        <v>0</v>
      </c>
      <c r="F78" s="34">
        <v>0</v>
      </c>
      <c r="G78" s="34">
        <v>0</v>
      </c>
      <c r="H78" s="34">
        <v>0</v>
      </c>
      <c r="I78" s="34">
        <v>0</v>
      </c>
      <c r="J78" s="34">
        <v>0</v>
      </c>
      <c r="K78" s="34">
        <v>0</v>
      </c>
      <c r="L78" s="34">
        <v>0</v>
      </c>
      <c r="M78" s="34">
        <v>0</v>
      </c>
      <c r="Z78" s="34" t="s">
        <v>1745</v>
      </c>
      <c r="AA78" s="34">
        <v>0</v>
      </c>
      <c r="AB78" s="34">
        <v>0</v>
      </c>
      <c r="AC78" s="34">
        <v>0</v>
      </c>
      <c r="AD78" s="10">
        <v>0</v>
      </c>
      <c r="AE78" s="34">
        <v>0</v>
      </c>
      <c r="AF78" s="34">
        <v>0</v>
      </c>
      <c r="AG78" s="34">
        <v>0</v>
      </c>
      <c r="AH78" s="10">
        <v>0</v>
      </c>
      <c r="AI78" s="34">
        <v>0</v>
      </c>
      <c r="AJ78" s="34">
        <v>0</v>
      </c>
      <c r="AK78" s="34">
        <v>0</v>
      </c>
      <c r="AL78" s="10">
        <v>0</v>
      </c>
      <c r="AM78" s="34">
        <v>0</v>
      </c>
      <c r="AN78" s="34">
        <v>0</v>
      </c>
      <c r="AO78" s="34">
        <v>0</v>
      </c>
      <c r="AP78" s="10">
        <v>0</v>
      </c>
      <c r="AQ78" s="34">
        <v>0</v>
      </c>
      <c r="AR78" s="34">
        <v>0</v>
      </c>
      <c r="AS78" s="34">
        <v>0</v>
      </c>
      <c r="AT78" s="10">
        <v>0</v>
      </c>
      <c r="AU78" s="34">
        <v>0</v>
      </c>
      <c r="AV78" s="34">
        <v>0</v>
      </c>
      <c r="AW78" s="34">
        <v>0</v>
      </c>
    </row>
    <row r="79" spans="1:49" s="41" customFormat="1">
      <c r="A79" s="40" t="s">
        <v>543</v>
      </c>
      <c r="B79" s="40" t="s">
        <v>1746</v>
      </c>
      <c r="C79" s="41">
        <v>77.324813215999995</v>
      </c>
      <c r="D79" s="41">
        <v>80.096571736000001</v>
      </c>
      <c r="E79" s="41">
        <v>83.374408181000007</v>
      </c>
      <c r="F79" s="41">
        <v>81.294875481999995</v>
      </c>
      <c r="G79" s="41">
        <v>84.785964919999998</v>
      </c>
      <c r="H79" s="41">
        <v>83.693439034999997</v>
      </c>
      <c r="I79" s="41">
        <v>84.394526209999995</v>
      </c>
      <c r="J79" s="41">
        <v>81.415131195000001</v>
      </c>
      <c r="K79" s="41">
        <v>88.270746955000007</v>
      </c>
      <c r="L79" s="41">
        <v>94.483668976000004</v>
      </c>
      <c r="M79" s="41">
        <v>95.633913128000003</v>
      </c>
      <c r="O79" s="7"/>
      <c r="P79" s="7"/>
      <c r="Z79" s="41" t="s">
        <v>1746</v>
      </c>
      <c r="AA79" s="41">
        <v>83.915887550999997</v>
      </c>
      <c r="AB79" s="41">
        <v>83.778863731000001</v>
      </c>
      <c r="AC79" s="41">
        <v>84.349655072999994</v>
      </c>
      <c r="AD79" s="11">
        <v>84.394526209999995</v>
      </c>
      <c r="AE79" s="41">
        <v>83.430385994000005</v>
      </c>
      <c r="AF79" s="41">
        <v>83.226666727999998</v>
      </c>
      <c r="AG79" s="41">
        <v>82.458986030000005</v>
      </c>
      <c r="AH79" s="11">
        <v>81.679932860999998</v>
      </c>
      <c r="AI79" s="41">
        <v>80.304383474999995</v>
      </c>
      <c r="AJ79" s="41">
        <v>83.001564196999993</v>
      </c>
      <c r="AK79" s="41">
        <v>82.212760712000005</v>
      </c>
      <c r="AL79" s="11">
        <v>88.270746955000007</v>
      </c>
      <c r="AM79" s="41">
        <v>86.881040814000002</v>
      </c>
      <c r="AN79" s="41">
        <v>85.491334676999998</v>
      </c>
      <c r="AO79" s="41">
        <v>84.257745206999999</v>
      </c>
      <c r="AP79" s="11">
        <v>94.483668976000004</v>
      </c>
      <c r="AQ79" s="41">
        <v>93.204808329000002</v>
      </c>
      <c r="AR79" s="41">
        <v>92.975680871999998</v>
      </c>
      <c r="AS79" s="41">
        <v>93.811210957</v>
      </c>
      <c r="AT79" s="11">
        <v>95.633913128000003</v>
      </c>
      <c r="AU79" s="41">
        <v>93.400538510999993</v>
      </c>
      <c r="AV79" s="41">
        <v>108.457202153</v>
      </c>
      <c r="AW79" s="41">
        <v>110.98</v>
      </c>
    </row>
    <row r="80" spans="1:49">
      <c r="A80" s="33" t="s">
        <v>1747</v>
      </c>
      <c r="B80" s="33" t="s">
        <v>1748</v>
      </c>
      <c r="C80" s="34">
        <v>19.674761523000001</v>
      </c>
      <c r="D80" s="34">
        <v>22.59953982</v>
      </c>
      <c r="E80" s="34">
        <v>26.028463428999999</v>
      </c>
      <c r="F80" s="34">
        <v>24.258940591999998</v>
      </c>
      <c r="G80" s="34">
        <v>27.942658327</v>
      </c>
      <c r="H80" s="34">
        <v>26.511400737999999</v>
      </c>
      <c r="I80" s="34">
        <v>22.704077145999999</v>
      </c>
      <c r="J80" s="34">
        <v>19.911562483000001</v>
      </c>
      <c r="K80" s="34">
        <v>27.277105603999999</v>
      </c>
      <c r="L80" s="34">
        <v>34.103023987</v>
      </c>
      <c r="M80" s="34">
        <v>32.282943498999998</v>
      </c>
      <c r="Z80" s="34" t="s">
        <v>1748</v>
      </c>
      <c r="AA80" s="34">
        <v>25.472220075999999</v>
      </c>
      <c r="AB80" s="34">
        <v>23.865904092000001</v>
      </c>
      <c r="AC80" s="34">
        <v>23.764164129000001</v>
      </c>
      <c r="AD80" s="10">
        <v>22.704077145999999</v>
      </c>
      <c r="AE80" s="34">
        <v>21.887594934999999</v>
      </c>
      <c r="AF80" s="34">
        <v>21.719266406999999</v>
      </c>
      <c r="AG80" s="34">
        <v>20.794870762999999</v>
      </c>
      <c r="AH80" s="10">
        <v>19.911562483000001</v>
      </c>
      <c r="AI80" s="34">
        <v>18.949585187</v>
      </c>
      <c r="AJ80" s="34">
        <v>21.790473998</v>
      </c>
      <c r="AK80" s="34">
        <v>21.145378604000001</v>
      </c>
      <c r="AL80" s="10">
        <v>27.277105603999999</v>
      </c>
      <c r="AM80" s="34">
        <v>26.040648555000001</v>
      </c>
      <c r="AN80" s="34">
        <v>24.804191510999999</v>
      </c>
      <c r="AO80" s="34">
        <v>23.72385113</v>
      </c>
      <c r="AP80" s="10">
        <v>34.103023987</v>
      </c>
      <c r="AQ80" s="34">
        <v>32.740591232</v>
      </c>
      <c r="AR80" s="34">
        <v>32.527217127</v>
      </c>
      <c r="AS80" s="34">
        <v>30.949242272999999</v>
      </c>
      <c r="AT80" s="10">
        <v>32.282943498999998</v>
      </c>
      <c r="AU80" s="34">
        <v>30.786954087000002</v>
      </c>
      <c r="AV80" s="34">
        <v>41.110077679</v>
      </c>
      <c r="AW80" s="34">
        <v>39.6</v>
      </c>
    </row>
    <row r="81" spans="1:49">
      <c r="A81" s="33" t="s">
        <v>1749</v>
      </c>
      <c r="B81" s="33" t="s">
        <v>1750</v>
      </c>
      <c r="C81" s="34">
        <v>28.891223789000001</v>
      </c>
      <c r="D81" s="34">
        <v>34.926873127999997</v>
      </c>
      <c r="E81" s="34">
        <v>41.003876634999997</v>
      </c>
      <c r="F81" s="34">
        <v>42.176019795000002</v>
      </c>
      <c r="G81" s="34">
        <v>47.917186260000001</v>
      </c>
      <c r="H81" s="34">
        <v>51.241893494999999</v>
      </c>
      <c r="I81" s="34">
        <v>51.184779132999999</v>
      </c>
      <c r="J81" s="34">
        <v>47.715449212000003</v>
      </c>
      <c r="K81" s="34">
        <v>54.543010492000001</v>
      </c>
      <c r="L81" s="34">
        <v>62.327518425000001</v>
      </c>
      <c r="M81" s="34">
        <v>70.980186025999998</v>
      </c>
      <c r="Z81" s="34" t="s">
        <v>1750</v>
      </c>
      <c r="AA81" s="34">
        <v>51.241893494999999</v>
      </c>
      <c r="AB81" s="34">
        <v>50.005682769000003</v>
      </c>
      <c r="AC81" s="34">
        <v>51.719135082999998</v>
      </c>
      <c r="AD81" s="10">
        <v>51.840095083000001</v>
      </c>
      <c r="AE81" s="34">
        <v>52.015095082999999</v>
      </c>
      <c r="AF81" s="34">
        <v>52.206451496</v>
      </c>
      <c r="AG81" s="34">
        <v>52.981767445999999</v>
      </c>
      <c r="AH81" s="10">
        <v>53.130319661000001</v>
      </c>
      <c r="AI81" s="34">
        <v>47.794601190000002</v>
      </c>
      <c r="AJ81" s="34">
        <v>51.849991189999997</v>
      </c>
      <c r="AK81" s="34">
        <v>47.369651320999999</v>
      </c>
      <c r="AL81" s="10">
        <v>54.543010492000001</v>
      </c>
      <c r="AM81" s="34">
        <v>54.543010492000001</v>
      </c>
      <c r="AN81" s="34">
        <v>54.543010492000001</v>
      </c>
      <c r="AO81" s="34">
        <v>54.708310492000003</v>
      </c>
      <c r="AP81" s="10">
        <v>62.327518425000001</v>
      </c>
      <c r="AQ81" s="34">
        <v>62.557518424999998</v>
      </c>
      <c r="AR81" s="34">
        <v>63.816758981</v>
      </c>
      <c r="AS81" s="34">
        <v>63.816758981</v>
      </c>
      <c r="AT81" s="10">
        <v>70.980186025999998</v>
      </c>
      <c r="AU81" s="34">
        <v>70.898937235000005</v>
      </c>
      <c r="AV81" s="34">
        <v>82.311042689000004</v>
      </c>
      <c r="AW81" s="34">
        <v>82.91</v>
      </c>
    </row>
    <row r="82" spans="1:49">
      <c r="A82" s="33" t="s">
        <v>1751</v>
      </c>
      <c r="B82" s="33" t="s">
        <v>1752</v>
      </c>
      <c r="C82" s="34">
        <v>-9.2164622660000006</v>
      </c>
      <c r="D82" s="34">
        <v>-12.327333308</v>
      </c>
      <c r="E82" s="34">
        <v>-14.975413206000001</v>
      </c>
      <c r="F82" s="34">
        <v>-17.917079203</v>
      </c>
      <c r="G82" s="34">
        <v>-19.974527933000001</v>
      </c>
      <c r="H82" s="34">
        <v>-24.730492757</v>
      </c>
      <c r="I82" s="34">
        <v>-28.480701987</v>
      </c>
      <c r="J82" s="34">
        <v>-27.803886728999998</v>
      </c>
      <c r="K82" s="34">
        <v>-27.265904888000001</v>
      </c>
      <c r="L82" s="34">
        <v>-28.224494438000001</v>
      </c>
      <c r="M82" s="34">
        <v>-38.697242527</v>
      </c>
      <c r="Z82" s="34" t="s">
        <v>1752</v>
      </c>
      <c r="AA82" s="34">
        <v>-25.769673419</v>
      </c>
      <c r="AB82" s="34">
        <v>-26.139778676999999</v>
      </c>
      <c r="AC82" s="34">
        <v>-27.954970954</v>
      </c>
      <c r="AD82" s="10">
        <v>-29.136017936999998</v>
      </c>
      <c r="AE82" s="34">
        <v>-30.127500147999999</v>
      </c>
      <c r="AF82" s="34">
        <v>-30.487185089</v>
      </c>
      <c r="AG82" s="34">
        <v>-32.186896683000001</v>
      </c>
      <c r="AH82" s="10">
        <v>-33.218757177999997</v>
      </c>
      <c r="AI82" s="34">
        <v>-28.845016003000001</v>
      </c>
      <c r="AJ82" s="34">
        <v>-30.059517192000001</v>
      </c>
      <c r="AK82" s="34">
        <v>-26.224272717000002</v>
      </c>
      <c r="AL82" s="10">
        <v>-27.265904888000001</v>
      </c>
      <c r="AM82" s="34">
        <v>-28.502361937</v>
      </c>
      <c r="AN82" s="34">
        <v>-29.738818981000001</v>
      </c>
      <c r="AO82" s="34">
        <v>-30.984459361999999</v>
      </c>
      <c r="AP82" s="10">
        <v>-28.224494438000001</v>
      </c>
      <c r="AQ82" s="34">
        <v>-29.816927193000001</v>
      </c>
      <c r="AR82" s="34">
        <v>-31.289541853999999</v>
      </c>
      <c r="AS82" s="34">
        <v>-32.867516707999997</v>
      </c>
      <c r="AT82" s="10">
        <v>-38.697242527</v>
      </c>
      <c r="AU82" s="34">
        <v>-40.111983148</v>
      </c>
      <c r="AV82" s="34">
        <v>-41.200965009999997</v>
      </c>
      <c r="AW82" s="34">
        <v>-43.31</v>
      </c>
    </row>
    <row r="83" spans="1:49">
      <c r="A83" s="33" t="s">
        <v>1753</v>
      </c>
      <c r="B83" s="33" t="s">
        <v>1754</v>
      </c>
      <c r="C83" s="34">
        <v>0</v>
      </c>
      <c r="D83" s="34">
        <v>0</v>
      </c>
      <c r="E83" s="34">
        <v>0</v>
      </c>
      <c r="F83" s="34">
        <v>0</v>
      </c>
      <c r="G83" s="34">
        <v>0</v>
      </c>
      <c r="H83" s="34">
        <v>0</v>
      </c>
      <c r="I83" s="34">
        <v>0</v>
      </c>
      <c r="J83" s="34">
        <v>0</v>
      </c>
      <c r="K83" s="34">
        <v>0</v>
      </c>
      <c r="L83" s="34">
        <v>0</v>
      </c>
      <c r="M83" s="34">
        <v>0</v>
      </c>
      <c r="Z83" s="34" t="s">
        <v>1754</v>
      </c>
      <c r="AA83" s="34">
        <v>0</v>
      </c>
      <c r="AB83" s="34">
        <v>0</v>
      </c>
      <c r="AC83" s="34">
        <v>0</v>
      </c>
      <c r="AD83" s="10">
        <v>0</v>
      </c>
      <c r="AE83" s="34">
        <v>0</v>
      </c>
      <c r="AF83" s="34">
        <v>0</v>
      </c>
      <c r="AG83" s="34">
        <v>0</v>
      </c>
      <c r="AH83" s="10">
        <v>0</v>
      </c>
      <c r="AI83" s="34">
        <v>0</v>
      </c>
      <c r="AJ83" s="34">
        <v>0</v>
      </c>
      <c r="AK83" s="34">
        <v>0</v>
      </c>
      <c r="AL83" s="10">
        <v>0</v>
      </c>
      <c r="AM83" s="34">
        <v>0</v>
      </c>
      <c r="AN83" s="34">
        <v>0</v>
      </c>
      <c r="AO83" s="34">
        <v>0</v>
      </c>
      <c r="AP83" s="10">
        <v>0</v>
      </c>
      <c r="AQ83" s="34">
        <v>0</v>
      </c>
      <c r="AR83" s="34">
        <v>0</v>
      </c>
      <c r="AS83" s="34">
        <v>0</v>
      </c>
      <c r="AT83" s="10">
        <v>0</v>
      </c>
      <c r="AU83" s="34">
        <v>0</v>
      </c>
      <c r="AV83" s="34">
        <v>0</v>
      </c>
      <c r="AW83" s="34">
        <v>0</v>
      </c>
    </row>
    <row r="84" spans="1:49">
      <c r="A84" s="33" t="s">
        <v>1749</v>
      </c>
      <c r="B84" s="33" t="s">
        <v>1755</v>
      </c>
      <c r="C84" s="34">
        <v>0</v>
      </c>
      <c r="D84" s="34">
        <v>0</v>
      </c>
      <c r="E84" s="34">
        <v>0</v>
      </c>
      <c r="F84" s="34">
        <v>0</v>
      </c>
      <c r="G84" s="34">
        <v>0</v>
      </c>
      <c r="H84" s="34">
        <v>0</v>
      </c>
      <c r="I84" s="34">
        <v>0</v>
      </c>
      <c r="J84" s="34">
        <v>0</v>
      </c>
      <c r="K84" s="34">
        <v>0</v>
      </c>
      <c r="L84" s="34">
        <v>0</v>
      </c>
      <c r="M84" s="34">
        <v>0</v>
      </c>
      <c r="Z84" s="34" t="s">
        <v>1755</v>
      </c>
      <c r="AA84" s="34">
        <v>0</v>
      </c>
      <c r="AB84" s="34">
        <v>0</v>
      </c>
      <c r="AC84" s="34">
        <v>0</v>
      </c>
      <c r="AD84" s="10">
        <v>0</v>
      </c>
      <c r="AE84" s="34">
        <v>0</v>
      </c>
      <c r="AF84" s="34">
        <v>0</v>
      </c>
      <c r="AG84" s="34">
        <v>0</v>
      </c>
      <c r="AH84" s="10">
        <v>0</v>
      </c>
      <c r="AI84" s="34">
        <v>0</v>
      </c>
      <c r="AJ84" s="34">
        <v>0</v>
      </c>
      <c r="AK84" s="34">
        <v>0</v>
      </c>
      <c r="AL84" s="10">
        <v>0</v>
      </c>
      <c r="AM84" s="34">
        <v>0</v>
      </c>
      <c r="AN84" s="34">
        <v>0</v>
      </c>
      <c r="AO84" s="34">
        <v>0</v>
      </c>
      <c r="AP84" s="10">
        <v>0</v>
      </c>
      <c r="AQ84" s="34">
        <v>0</v>
      </c>
      <c r="AR84" s="34">
        <v>0</v>
      </c>
      <c r="AS84" s="34">
        <v>0</v>
      </c>
      <c r="AT84" s="10">
        <v>0</v>
      </c>
      <c r="AU84" s="34">
        <v>0</v>
      </c>
      <c r="AV84" s="34">
        <v>0</v>
      </c>
      <c r="AW84" s="34">
        <v>0</v>
      </c>
    </row>
    <row r="85" spans="1:49">
      <c r="A85" s="33" t="s">
        <v>1751</v>
      </c>
      <c r="B85" s="33" t="s">
        <v>1756</v>
      </c>
      <c r="C85" s="34">
        <v>0</v>
      </c>
      <c r="D85" s="34">
        <v>0</v>
      </c>
      <c r="E85" s="34">
        <v>0</v>
      </c>
      <c r="F85" s="34">
        <v>0</v>
      </c>
      <c r="G85" s="34">
        <v>0</v>
      </c>
      <c r="H85" s="34">
        <v>0</v>
      </c>
      <c r="I85" s="34">
        <v>0</v>
      </c>
      <c r="J85" s="34">
        <v>0</v>
      </c>
      <c r="K85" s="34">
        <v>0</v>
      </c>
      <c r="L85" s="34">
        <v>0</v>
      </c>
      <c r="M85" s="34">
        <v>0</v>
      </c>
      <c r="Z85" s="34" t="s">
        <v>1756</v>
      </c>
      <c r="AA85" s="34">
        <v>0</v>
      </c>
      <c r="AB85" s="34">
        <v>0</v>
      </c>
      <c r="AC85" s="34">
        <v>0</v>
      </c>
      <c r="AD85" s="10">
        <v>0</v>
      </c>
      <c r="AE85" s="34">
        <v>0</v>
      </c>
      <c r="AF85" s="34">
        <v>0</v>
      </c>
      <c r="AG85" s="34">
        <v>0</v>
      </c>
      <c r="AH85" s="10">
        <v>0</v>
      </c>
      <c r="AI85" s="34">
        <v>0</v>
      </c>
      <c r="AJ85" s="34">
        <v>0</v>
      </c>
      <c r="AK85" s="34">
        <v>0</v>
      </c>
      <c r="AL85" s="10">
        <v>0</v>
      </c>
      <c r="AM85" s="34">
        <v>0</v>
      </c>
      <c r="AN85" s="34">
        <v>0</v>
      </c>
      <c r="AO85" s="34">
        <v>0</v>
      </c>
      <c r="AP85" s="10">
        <v>0</v>
      </c>
      <c r="AQ85" s="34">
        <v>0</v>
      </c>
      <c r="AR85" s="34">
        <v>0</v>
      </c>
      <c r="AS85" s="34">
        <v>0</v>
      </c>
      <c r="AT85" s="10">
        <v>0</v>
      </c>
      <c r="AU85" s="34">
        <v>0</v>
      </c>
      <c r="AV85" s="34">
        <v>0</v>
      </c>
      <c r="AW85" s="34">
        <v>0</v>
      </c>
    </row>
    <row r="86" spans="1:49">
      <c r="A86" s="33" t="s">
        <v>1757</v>
      </c>
      <c r="B86" s="33" t="s">
        <v>1758</v>
      </c>
      <c r="C86" s="34">
        <v>57.650051693000002</v>
      </c>
      <c r="D86" s="34">
        <v>57.497031915999997</v>
      </c>
      <c r="E86" s="34">
        <v>57.345944752000001</v>
      </c>
      <c r="F86" s="34">
        <v>57.03593489</v>
      </c>
      <c r="G86" s="34">
        <v>56.843306593000001</v>
      </c>
      <c r="H86" s="34">
        <v>57.182038296999998</v>
      </c>
      <c r="I86" s="34">
        <v>61.690449063999999</v>
      </c>
      <c r="J86" s="34">
        <v>61.503568712000003</v>
      </c>
      <c r="K86" s="34">
        <v>60.993641351000001</v>
      </c>
      <c r="L86" s="34">
        <v>60.380644988999997</v>
      </c>
      <c r="M86" s="34">
        <v>63.350969628999998</v>
      </c>
      <c r="Z86" s="34" t="s">
        <v>1758</v>
      </c>
      <c r="AA86" s="34">
        <v>58.443667474999998</v>
      </c>
      <c r="AB86" s="34">
        <v>59.912959639</v>
      </c>
      <c r="AC86" s="34">
        <v>60.585490944</v>
      </c>
      <c r="AD86" s="10">
        <v>61.690449063999999</v>
      </c>
      <c r="AE86" s="34">
        <v>61.542791059000002</v>
      </c>
      <c r="AF86" s="34">
        <v>61.507400320999999</v>
      </c>
      <c r="AG86" s="34">
        <v>61.664115267</v>
      </c>
      <c r="AH86" s="10">
        <v>61.768370378</v>
      </c>
      <c r="AI86" s="34">
        <v>61.354798287999998</v>
      </c>
      <c r="AJ86" s="34">
        <v>61.211090198999997</v>
      </c>
      <c r="AK86" s="34">
        <v>61.067382107999997</v>
      </c>
      <c r="AL86" s="10">
        <v>60.993641351000001</v>
      </c>
      <c r="AM86" s="34">
        <v>60.840392258999998</v>
      </c>
      <c r="AN86" s="34">
        <v>60.687143165999998</v>
      </c>
      <c r="AO86" s="34">
        <v>60.533894076999999</v>
      </c>
      <c r="AP86" s="10">
        <v>60.380644988999997</v>
      </c>
      <c r="AQ86" s="34">
        <v>60.464217097000002</v>
      </c>
      <c r="AR86" s="34">
        <v>60.448463744999998</v>
      </c>
      <c r="AS86" s="34">
        <v>62.861968683999997</v>
      </c>
      <c r="AT86" s="10">
        <v>63.350969628999998</v>
      </c>
      <c r="AU86" s="34">
        <v>62.613584424000003</v>
      </c>
      <c r="AV86" s="34">
        <v>67.347124473999997</v>
      </c>
      <c r="AW86" s="34">
        <v>71.38</v>
      </c>
    </row>
    <row r="87" spans="1:49">
      <c r="A87" s="33" t="s">
        <v>1749</v>
      </c>
      <c r="B87" s="33" t="s">
        <v>1759</v>
      </c>
      <c r="C87" s="34">
        <v>58.201736273000002</v>
      </c>
      <c r="D87" s="34">
        <v>58.354707697999999</v>
      </c>
      <c r="E87" s="34">
        <v>58.509622898000003</v>
      </c>
      <c r="F87" s="34">
        <v>58.509622898000003</v>
      </c>
      <c r="G87" s="34">
        <v>58.509622898000003</v>
      </c>
      <c r="H87" s="34">
        <v>59.040982898000003</v>
      </c>
      <c r="I87" s="34">
        <v>63.922792100000002</v>
      </c>
      <c r="J87" s="34">
        <v>64.332757700000002</v>
      </c>
      <c r="K87" s="34">
        <v>64.410569080000002</v>
      </c>
      <c r="L87" s="34">
        <v>64.410569080000002</v>
      </c>
      <c r="M87" s="34">
        <v>69.168297228</v>
      </c>
      <c r="Z87" s="34" t="s">
        <v>1759</v>
      </c>
      <c r="AA87" s="34">
        <v>60.377495858000003</v>
      </c>
      <c r="AB87" s="34">
        <v>61.920943700000002</v>
      </c>
      <c r="AC87" s="34">
        <v>62.709266300000003</v>
      </c>
      <c r="AD87" s="10">
        <v>63.948914299999998</v>
      </c>
      <c r="AE87" s="34">
        <v>63.948914299999998</v>
      </c>
      <c r="AF87" s="34">
        <v>64.036081699999997</v>
      </c>
      <c r="AG87" s="34">
        <v>64.397078899999997</v>
      </c>
      <c r="AH87" s="10">
        <v>64.743616900000006</v>
      </c>
      <c r="AI87" s="34">
        <v>64.334241079999998</v>
      </c>
      <c r="AJ87" s="34">
        <v>64.334241079999998</v>
      </c>
      <c r="AK87" s="34">
        <v>64.334241079999998</v>
      </c>
      <c r="AL87" s="10">
        <v>64.410569080000002</v>
      </c>
      <c r="AM87" s="34">
        <v>64.410569080000002</v>
      </c>
      <c r="AN87" s="34">
        <v>64.410569080000002</v>
      </c>
      <c r="AO87" s="34">
        <v>64.410569080000002</v>
      </c>
      <c r="AP87" s="10">
        <v>64.410569080000002</v>
      </c>
      <c r="AQ87" s="34">
        <v>64.66891948</v>
      </c>
      <c r="AR87" s="34">
        <v>64.864407744999994</v>
      </c>
      <c r="AS87" s="34">
        <v>67.776381784999998</v>
      </c>
      <c r="AT87" s="10">
        <v>69.168297228</v>
      </c>
      <c r="AU87" s="34">
        <v>69.168297228</v>
      </c>
      <c r="AV87" s="34">
        <v>74.787649458000004</v>
      </c>
      <c r="AW87" s="34">
        <v>80.19</v>
      </c>
    </row>
    <row r="88" spans="1:49">
      <c r="A88" s="33" t="s">
        <v>1751</v>
      </c>
      <c r="B88" s="33" t="s">
        <v>1760</v>
      </c>
      <c r="C88" s="34">
        <v>-0.55168457999999998</v>
      </c>
      <c r="D88" s="34">
        <v>-0.85767578200000005</v>
      </c>
      <c r="E88" s="34">
        <v>-1.1636781460000001</v>
      </c>
      <c r="F88" s="34">
        <v>-1.4736880080000001</v>
      </c>
      <c r="G88" s="34">
        <v>-1.6663163050000001</v>
      </c>
      <c r="H88" s="34">
        <v>-1.8589446009999999</v>
      </c>
      <c r="I88" s="34">
        <v>-2.2323430360000001</v>
      </c>
      <c r="J88" s="34">
        <v>-2.8291889879999998</v>
      </c>
      <c r="K88" s="34">
        <v>-3.4169277290000002</v>
      </c>
      <c r="L88" s="34">
        <v>-4.0299240909999998</v>
      </c>
      <c r="M88" s="34">
        <v>-5.8173275990000004</v>
      </c>
      <c r="Z88" s="34" t="s">
        <v>1760</v>
      </c>
      <c r="AA88" s="34">
        <v>-1.933828383</v>
      </c>
      <c r="AB88" s="34">
        <v>-2.0079840610000002</v>
      </c>
      <c r="AC88" s="34">
        <v>-2.1237753559999999</v>
      </c>
      <c r="AD88" s="10">
        <v>-2.2584652360000002</v>
      </c>
      <c r="AE88" s="34">
        <v>-2.406123241</v>
      </c>
      <c r="AF88" s="34">
        <v>-2.528681379</v>
      </c>
      <c r="AG88" s="34">
        <v>-2.7329636329999998</v>
      </c>
      <c r="AH88" s="10">
        <v>-2.9752465219999999</v>
      </c>
      <c r="AI88" s="34">
        <v>-2.979442792</v>
      </c>
      <c r="AJ88" s="34">
        <v>-3.1231508809999999</v>
      </c>
      <c r="AK88" s="34">
        <v>-3.2668589720000001</v>
      </c>
      <c r="AL88" s="10">
        <v>-3.4169277290000002</v>
      </c>
      <c r="AM88" s="34">
        <v>-3.570176821</v>
      </c>
      <c r="AN88" s="34">
        <v>-3.7234259139999999</v>
      </c>
      <c r="AO88" s="34">
        <v>-3.8766750029999999</v>
      </c>
      <c r="AP88" s="10">
        <v>-4.0299240909999998</v>
      </c>
      <c r="AQ88" s="34">
        <v>-4.2047023829999999</v>
      </c>
      <c r="AR88" s="34">
        <v>-4.4159439999999996</v>
      </c>
      <c r="AS88" s="34">
        <v>-4.9144131010000001</v>
      </c>
      <c r="AT88" s="10">
        <v>-5.8173275990000004</v>
      </c>
      <c r="AU88" s="34">
        <v>-6.5547128040000002</v>
      </c>
      <c r="AV88" s="34">
        <v>-7.4405249839999996</v>
      </c>
      <c r="AW88" s="34">
        <v>-8.81</v>
      </c>
    </row>
    <row r="89" spans="1:49">
      <c r="A89" s="33" t="s">
        <v>1761</v>
      </c>
      <c r="B89" s="33" t="s">
        <v>1762</v>
      </c>
      <c r="C89" s="34">
        <v>0</v>
      </c>
      <c r="D89" s="34">
        <v>0</v>
      </c>
      <c r="E89" s="34">
        <v>0</v>
      </c>
      <c r="F89" s="34">
        <v>0</v>
      </c>
      <c r="G89" s="34">
        <v>0</v>
      </c>
      <c r="H89" s="34">
        <v>0</v>
      </c>
      <c r="I89" s="34">
        <v>0</v>
      </c>
      <c r="J89" s="34">
        <v>0</v>
      </c>
      <c r="K89" s="34">
        <v>0</v>
      </c>
      <c r="L89" s="34">
        <v>0</v>
      </c>
      <c r="M89" s="34">
        <v>0</v>
      </c>
      <c r="Z89" s="34" t="s">
        <v>1762</v>
      </c>
      <c r="AA89" s="34">
        <v>0</v>
      </c>
      <c r="AB89" s="34">
        <v>0</v>
      </c>
      <c r="AC89" s="34">
        <v>0</v>
      </c>
      <c r="AD89" s="10">
        <v>0</v>
      </c>
      <c r="AE89" s="34">
        <v>0</v>
      </c>
      <c r="AF89" s="34">
        <v>0</v>
      </c>
      <c r="AG89" s="34">
        <v>0</v>
      </c>
      <c r="AH89" s="10">
        <v>0</v>
      </c>
      <c r="AI89" s="34">
        <v>0</v>
      </c>
      <c r="AJ89" s="34">
        <v>0</v>
      </c>
      <c r="AK89" s="34">
        <v>0</v>
      </c>
      <c r="AL89" s="10">
        <v>0</v>
      </c>
      <c r="AM89" s="34">
        <v>0</v>
      </c>
      <c r="AN89" s="34">
        <v>0</v>
      </c>
      <c r="AO89" s="34">
        <v>0</v>
      </c>
      <c r="AP89" s="10">
        <v>0</v>
      </c>
      <c r="AQ89" s="34">
        <v>0</v>
      </c>
      <c r="AR89" s="34">
        <v>0</v>
      </c>
      <c r="AS89" s="34">
        <v>0</v>
      </c>
      <c r="AT89" s="10">
        <v>0</v>
      </c>
      <c r="AU89" s="34">
        <v>0</v>
      </c>
      <c r="AV89" s="34">
        <v>0</v>
      </c>
      <c r="AW89" s="34">
        <v>0</v>
      </c>
    </row>
    <row r="90" spans="1:49" s="41" customFormat="1">
      <c r="A90" s="40" t="s">
        <v>1763</v>
      </c>
      <c r="B90" s="40" t="s">
        <v>1764</v>
      </c>
      <c r="C90" s="41">
        <v>0</v>
      </c>
      <c r="D90" s="41">
        <v>0</v>
      </c>
      <c r="E90" s="41">
        <v>0</v>
      </c>
      <c r="F90" s="41">
        <v>0</v>
      </c>
      <c r="G90" s="41">
        <v>0</v>
      </c>
      <c r="H90" s="41">
        <v>0</v>
      </c>
      <c r="I90" s="41">
        <v>0</v>
      </c>
      <c r="J90" s="41">
        <v>0</v>
      </c>
      <c r="K90" s="41">
        <v>0</v>
      </c>
      <c r="L90" s="41">
        <v>0</v>
      </c>
      <c r="M90" s="41">
        <v>0</v>
      </c>
      <c r="O90" s="7"/>
      <c r="P90" s="7"/>
      <c r="Z90" s="41" t="s">
        <v>1764</v>
      </c>
      <c r="AA90" s="41">
        <v>0</v>
      </c>
      <c r="AB90" s="41">
        <v>0</v>
      </c>
      <c r="AC90" s="41">
        <v>0</v>
      </c>
      <c r="AD90" s="11">
        <v>0</v>
      </c>
      <c r="AE90" s="41">
        <v>0</v>
      </c>
      <c r="AF90" s="41">
        <v>0</v>
      </c>
      <c r="AG90" s="41">
        <v>0</v>
      </c>
      <c r="AH90" s="11">
        <v>0</v>
      </c>
      <c r="AI90" s="41">
        <v>0</v>
      </c>
      <c r="AJ90" s="41">
        <v>0</v>
      </c>
      <c r="AK90" s="41">
        <v>0</v>
      </c>
      <c r="AL90" s="11">
        <v>0</v>
      </c>
      <c r="AM90" s="41">
        <v>0</v>
      </c>
      <c r="AN90" s="41">
        <v>0</v>
      </c>
      <c r="AO90" s="41">
        <v>0</v>
      </c>
      <c r="AP90" s="11">
        <v>0</v>
      </c>
      <c r="AQ90" s="41">
        <v>0</v>
      </c>
      <c r="AR90" s="41">
        <v>0</v>
      </c>
      <c r="AS90" s="41">
        <v>0</v>
      </c>
      <c r="AT90" s="11">
        <v>0</v>
      </c>
      <c r="AU90" s="41">
        <v>0</v>
      </c>
      <c r="AV90" s="41">
        <v>0</v>
      </c>
      <c r="AW90" s="41">
        <v>0</v>
      </c>
    </row>
    <row r="91" spans="1:49">
      <c r="A91" s="33" t="s">
        <v>1765</v>
      </c>
      <c r="B91" s="33" t="s">
        <v>1766</v>
      </c>
      <c r="C91" s="34">
        <v>0</v>
      </c>
      <c r="D91" s="34">
        <v>0</v>
      </c>
      <c r="E91" s="34">
        <v>0</v>
      </c>
      <c r="F91" s="34">
        <v>0</v>
      </c>
      <c r="G91" s="34">
        <v>0</v>
      </c>
      <c r="H91" s="34">
        <v>0</v>
      </c>
      <c r="I91" s="34">
        <v>0</v>
      </c>
      <c r="J91" s="34">
        <v>0</v>
      </c>
      <c r="K91" s="34">
        <v>0</v>
      </c>
      <c r="L91" s="34">
        <v>0</v>
      </c>
      <c r="M91" s="34">
        <v>0</v>
      </c>
      <c r="Z91" s="34" t="s">
        <v>1766</v>
      </c>
      <c r="AA91" s="34">
        <v>0</v>
      </c>
      <c r="AB91" s="34">
        <v>0</v>
      </c>
      <c r="AC91" s="34">
        <v>0</v>
      </c>
      <c r="AD91" s="10">
        <v>0</v>
      </c>
      <c r="AE91" s="34">
        <v>0</v>
      </c>
      <c r="AF91" s="34">
        <v>0</v>
      </c>
      <c r="AG91" s="34">
        <v>0</v>
      </c>
      <c r="AH91" s="10">
        <v>0</v>
      </c>
      <c r="AI91" s="34">
        <v>0</v>
      </c>
      <c r="AJ91" s="34">
        <v>0</v>
      </c>
      <c r="AK91" s="34">
        <v>0</v>
      </c>
      <c r="AL91" s="10">
        <v>0</v>
      </c>
      <c r="AM91" s="34">
        <v>0</v>
      </c>
      <c r="AN91" s="34">
        <v>0</v>
      </c>
      <c r="AO91" s="34">
        <v>0</v>
      </c>
      <c r="AP91" s="10">
        <v>0</v>
      </c>
      <c r="AQ91" s="34">
        <v>0</v>
      </c>
      <c r="AR91" s="34">
        <v>0</v>
      </c>
      <c r="AS91" s="34">
        <v>0</v>
      </c>
      <c r="AT91" s="10">
        <v>0</v>
      </c>
      <c r="AU91" s="34">
        <v>0</v>
      </c>
      <c r="AV91" s="34">
        <v>0</v>
      </c>
      <c r="AW91" s="34">
        <v>0</v>
      </c>
    </row>
    <row r="92" spans="1:49">
      <c r="A92" s="33" t="s">
        <v>1767</v>
      </c>
      <c r="B92" s="33" t="s">
        <v>1768</v>
      </c>
      <c r="C92" s="34">
        <v>0</v>
      </c>
      <c r="D92" s="34">
        <v>0</v>
      </c>
      <c r="E92" s="34">
        <v>0</v>
      </c>
      <c r="F92" s="34">
        <v>0</v>
      </c>
      <c r="G92" s="34">
        <v>0</v>
      </c>
      <c r="H92" s="34">
        <v>0</v>
      </c>
      <c r="I92" s="34">
        <v>0</v>
      </c>
      <c r="J92" s="34">
        <v>0</v>
      </c>
      <c r="K92" s="34">
        <v>0</v>
      </c>
      <c r="L92" s="34">
        <v>0</v>
      </c>
      <c r="M92" s="34">
        <v>0</v>
      </c>
      <c r="Z92" s="34" t="s">
        <v>1768</v>
      </c>
      <c r="AA92" s="34">
        <v>0</v>
      </c>
      <c r="AB92" s="34">
        <v>0</v>
      </c>
      <c r="AC92" s="34">
        <v>0</v>
      </c>
      <c r="AD92" s="10">
        <v>0</v>
      </c>
      <c r="AE92" s="34">
        <v>0</v>
      </c>
      <c r="AF92" s="34">
        <v>0</v>
      </c>
      <c r="AG92" s="34">
        <v>0</v>
      </c>
      <c r="AH92" s="10">
        <v>0</v>
      </c>
      <c r="AI92" s="34">
        <v>0</v>
      </c>
      <c r="AJ92" s="34">
        <v>0</v>
      </c>
      <c r="AK92" s="34">
        <v>0</v>
      </c>
      <c r="AL92" s="10">
        <v>0</v>
      </c>
      <c r="AM92" s="34">
        <v>0</v>
      </c>
      <c r="AN92" s="34">
        <v>0</v>
      </c>
      <c r="AO92" s="34">
        <v>0</v>
      </c>
      <c r="AP92" s="10">
        <v>0</v>
      </c>
      <c r="AQ92" s="34">
        <v>0</v>
      </c>
      <c r="AR92" s="34">
        <v>0</v>
      </c>
      <c r="AS92" s="34">
        <v>0</v>
      </c>
      <c r="AT92" s="10">
        <v>0</v>
      </c>
      <c r="AU92" s="34">
        <v>0</v>
      </c>
      <c r="AV92" s="34">
        <v>0</v>
      </c>
      <c r="AW92" s="34">
        <v>0</v>
      </c>
    </row>
    <row r="93" spans="1:49" s="41" customFormat="1">
      <c r="A93" s="40" t="s">
        <v>1769</v>
      </c>
      <c r="B93" s="40" t="s">
        <v>1770</v>
      </c>
      <c r="C93" s="41">
        <v>0</v>
      </c>
      <c r="D93" s="41">
        <v>0</v>
      </c>
      <c r="E93" s="41">
        <v>0</v>
      </c>
      <c r="F93" s="41">
        <v>0</v>
      </c>
      <c r="G93" s="41">
        <v>0</v>
      </c>
      <c r="H93" s="41">
        <v>0</v>
      </c>
      <c r="I93" s="41">
        <v>0</v>
      </c>
      <c r="J93" s="41">
        <v>0</v>
      </c>
      <c r="K93" s="41">
        <v>0</v>
      </c>
      <c r="L93" s="41">
        <v>0.318293082</v>
      </c>
      <c r="M93" s="41">
        <v>0</v>
      </c>
      <c r="O93" s="7"/>
      <c r="P93" s="7"/>
      <c r="Z93" s="41" t="s">
        <v>1770</v>
      </c>
      <c r="AA93" s="41">
        <v>0</v>
      </c>
      <c r="AB93" s="41">
        <v>0</v>
      </c>
      <c r="AC93" s="41">
        <v>0</v>
      </c>
      <c r="AD93" s="11">
        <v>0</v>
      </c>
      <c r="AE93" s="41">
        <v>0</v>
      </c>
      <c r="AF93" s="41">
        <v>0</v>
      </c>
      <c r="AG93" s="41">
        <v>0</v>
      </c>
      <c r="AH93" s="11">
        <v>0</v>
      </c>
      <c r="AI93" s="41">
        <v>0</v>
      </c>
      <c r="AJ93" s="41">
        <v>0</v>
      </c>
      <c r="AK93" s="41">
        <v>0</v>
      </c>
      <c r="AL93" s="11">
        <v>0</v>
      </c>
      <c r="AM93" s="41">
        <v>0</v>
      </c>
      <c r="AN93" s="41">
        <v>0</v>
      </c>
      <c r="AO93" s="41">
        <v>0</v>
      </c>
      <c r="AP93" s="11">
        <v>0.318293082</v>
      </c>
      <c r="AQ93" s="41">
        <v>0.318293082</v>
      </c>
      <c r="AR93" s="41">
        <v>0.318293082</v>
      </c>
      <c r="AS93" s="41">
        <v>0.83399493800000002</v>
      </c>
      <c r="AT93" s="11">
        <v>0</v>
      </c>
      <c r="AU93" s="41">
        <v>0</v>
      </c>
      <c r="AV93" s="41">
        <v>0</v>
      </c>
      <c r="AW93" s="41">
        <v>0</v>
      </c>
    </row>
    <row r="94" spans="1:49">
      <c r="A94" s="33" t="s">
        <v>1771</v>
      </c>
      <c r="B94" s="33" t="s">
        <v>1772</v>
      </c>
      <c r="C94" s="34">
        <v>0</v>
      </c>
      <c r="D94" s="34">
        <v>0</v>
      </c>
      <c r="E94" s="34">
        <v>0</v>
      </c>
      <c r="F94" s="34">
        <v>0</v>
      </c>
      <c r="G94" s="34">
        <v>0</v>
      </c>
      <c r="H94" s="34">
        <v>0</v>
      </c>
      <c r="I94" s="34">
        <v>0</v>
      </c>
      <c r="J94" s="34">
        <v>0</v>
      </c>
      <c r="K94" s="34">
        <v>0</v>
      </c>
      <c r="L94" s="34">
        <v>0</v>
      </c>
      <c r="M94" s="34">
        <v>0</v>
      </c>
      <c r="Z94" s="34" t="s">
        <v>1772</v>
      </c>
      <c r="AA94" s="34">
        <v>0</v>
      </c>
      <c r="AB94" s="34">
        <v>0</v>
      </c>
      <c r="AC94" s="34">
        <v>0</v>
      </c>
      <c r="AD94" s="10">
        <v>0</v>
      </c>
      <c r="AE94" s="34">
        <v>0</v>
      </c>
      <c r="AF94" s="34">
        <v>0</v>
      </c>
      <c r="AG94" s="34">
        <v>0</v>
      </c>
      <c r="AH94" s="10">
        <v>0</v>
      </c>
      <c r="AI94" s="34">
        <v>0</v>
      </c>
      <c r="AJ94" s="34">
        <v>0</v>
      </c>
      <c r="AK94" s="34">
        <v>0</v>
      </c>
      <c r="AL94" s="10">
        <v>0</v>
      </c>
      <c r="AM94" s="34">
        <v>0</v>
      </c>
      <c r="AN94" s="34">
        <v>0</v>
      </c>
      <c r="AO94" s="34">
        <v>0</v>
      </c>
      <c r="AP94" s="10">
        <v>0</v>
      </c>
      <c r="AQ94" s="34">
        <v>0</v>
      </c>
      <c r="AR94" s="34">
        <v>0</v>
      </c>
      <c r="AS94" s="34">
        <v>0</v>
      </c>
      <c r="AT94" s="10">
        <v>0</v>
      </c>
      <c r="AU94" s="34">
        <v>0</v>
      </c>
      <c r="AV94" s="34">
        <v>0</v>
      </c>
      <c r="AW94" s="34">
        <v>0</v>
      </c>
    </row>
    <row r="95" spans="1:49">
      <c r="A95" s="33" t="s">
        <v>1773</v>
      </c>
      <c r="B95" s="33" t="s">
        <v>1774</v>
      </c>
      <c r="C95" s="34">
        <v>0</v>
      </c>
      <c r="D95" s="34">
        <v>0</v>
      </c>
      <c r="E95" s="34">
        <v>0</v>
      </c>
      <c r="F95" s="34">
        <v>0</v>
      </c>
      <c r="G95" s="34">
        <v>0</v>
      </c>
      <c r="H95" s="34">
        <v>0</v>
      </c>
      <c r="I95" s="34">
        <v>0</v>
      </c>
      <c r="J95" s="34">
        <v>0</v>
      </c>
      <c r="K95" s="34">
        <v>0</v>
      </c>
      <c r="L95" s="34">
        <v>0.318293082</v>
      </c>
      <c r="M95" s="34">
        <v>0</v>
      </c>
      <c r="Z95" s="34" t="s">
        <v>1774</v>
      </c>
      <c r="AA95" s="34">
        <v>0</v>
      </c>
      <c r="AB95" s="34">
        <v>0</v>
      </c>
      <c r="AC95" s="34">
        <v>0</v>
      </c>
      <c r="AD95" s="10">
        <v>0</v>
      </c>
      <c r="AE95" s="34">
        <v>0</v>
      </c>
      <c r="AF95" s="34">
        <v>0</v>
      </c>
      <c r="AG95" s="34">
        <v>0</v>
      </c>
      <c r="AH95" s="10">
        <v>0</v>
      </c>
      <c r="AI95" s="34">
        <v>0</v>
      </c>
      <c r="AJ95" s="34">
        <v>0</v>
      </c>
      <c r="AK95" s="34">
        <v>0</v>
      </c>
      <c r="AL95" s="10">
        <v>0</v>
      </c>
      <c r="AM95" s="34">
        <v>0</v>
      </c>
      <c r="AN95" s="34">
        <v>0</v>
      </c>
      <c r="AO95" s="34">
        <v>0</v>
      </c>
      <c r="AP95" s="10">
        <v>0.318293082</v>
      </c>
      <c r="AQ95" s="34">
        <v>0.318293082</v>
      </c>
      <c r="AR95" s="34">
        <v>0.318293082</v>
      </c>
      <c r="AS95" s="34">
        <v>0.83399493800000002</v>
      </c>
      <c r="AT95" s="10">
        <v>0</v>
      </c>
      <c r="AU95" s="34">
        <v>0</v>
      </c>
      <c r="AV95" s="34">
        <v>0</v>
      </c>
      <c r="AW95" s="34">
        <v>0</v>
      </c>
    </row>
    <row r="96" spans="1:49" s="41" customFormat="1">
      <c r="A96" s="40" t="s">
        <v>547</v>
      </c>
      <c r="B96" s="40" t="s">
        <v>1775</v>
      </c>
      <c r="C96" s="41">
        <v>5.0999999999999996</v>
      </c>
      <c r="D96" s="41">
        <v>5.0999999999999996</v>
      </c>
      <c r="E96" s="41">
        <v>0</v>
      </c>
      <c r="F96" s="41">
        <v>0</v>
      </c>
      <c r="G96" s="41">
        <v>0</v>
      </c>
      <c r="H96" s="41">
        <v>0</v>
      </c>
      <c r="I96" s="41">
        <v>4.1428829909999996</v>
      </c>
      <c r="J96" s="41">
        <v>6.1258552030000004</v>
      </c>
      <c r="K96" s="41">
        <v>59.904055268999997</v>
      </c>
      <c r="L96" s="41">
        <v>65.269613977000006</v>
      </c>
      <c r="M96" s="41">
        <v>70.627336628999998</v>
      </c>
      <c r="O96" s="7"/>
      <c r="P96" s="7"/>
      <c r="Z96" s="41" t="s">
        <v>1775</v>
      </c>
      <c r="AA96" s="41">
        <v>3.0016693139999999</v>
      </c>
      <c r="AB96" s="41">
        <v>3.0191530950000001</v>
      </c>
      <c r="AC96" s="41">
        <v>3.506647627</v>
      </c>
      <c r="AD96" s="11">
        <v>3.5532499999999998</v>
      </c>
      <c r="AE96" s="41">
        <v>5.4979747010000004</v>
      </c>
      <c r="AF96" s="41">
        <v>6.921867582</v>
      </c>
      <c r="AG96" s="41">
        <v>8.1039092979999996</v>
      </c>
      <c r="AH96" s="11">
        <v>6.6654608069999997</v>
      </c>
      <c r="AI96" s="41">
        <v>7.2813183339999998</v>
      </c>
      <c r="AJ96" s="41">
        <v>6.8501066550000003</v>
      </c>
      <c r="AK96" s="41">
        <v>47.243806999999997</v>
      </c>
      <c r="AL96" s="11">
        <v>58.685014246000001</v>
      </c>
      <c r="AM96" s="41">
        <v>68.804325200999997</v>
      </c>
      <c r="AN96" s="41">
        <v>67.195624256000002</v>
      </c>
      <c r="AO96" s="41">
        <v>65.694422797000001</v>
      </c>
      <c r="AP96" s="11">
        <v>65.269613977000006</v>
      </c>
      <c r="AQ96" s="41">
        <v>63.609242836</v>
      </c>
      <c r="AR96" s="41">
        <v>63.269768282000001</v>
      </c>
      <c r="AS96" s="41">
        <v>320.71690381000002</v>
      </c>
      <c r="AT96" s="11">
        <v>70.627336628999998</v>
      </c>
      <c r="AU96" s="41">
        <v>66.450387504999995</v>
      </c>
      <c r="AV96" s="41">
        <v>61.129874293</v>
      </c>
      <c r="AW96" s="41">
        <v>60.96</v>
      </c>
    </row>
    <row r="97" spans="1:49">
      <c r="A97" s="33" t="s">
        <v>1776</v>
      </c>
      <c r="B97" s="33" t="s">
        <v>1777</v>
      </c>
      <c r="C97" s="34">
        <v>5.0999999999999996</v>
      </c>
      <c r="D97" s="34">
        <v>5.0999999999999996</v>
      </c>
      <c r="E97" s="34">
        <v>0</v>
      </c>
      <c r="F97" s="34">
        <v>0</v>
      </c>
      <c r="G97" s="34">
        <v>0</v>
      </c>
      <c r="H97" s="34">
        <v>0</v>
      </c>
      <c r="I97" s="34">
        <v>0</v>
      </c>
      <c r="J97" s="34">
        <v>0</v>
      </c>
      <c r="K97" s="34">
        <v>0</v>
      </c>
      <c r="L97" s="34">
        <v>0</v>
      </c>
      <c r="M97" s="34">
        <v>0</v>
      </c>
      <c r="Z97" s="34" t="s">
        <v>1777</v>
      </c>
      <c r="AA97" s="34">
        <v>0</v>
      </c>
      <c r="AB97" s="34">
        <v>0</v>
      </c>
      <c r="AC97" s="34">
        <v>0</v>
      </c>
      <c r="AD97" s="10">
        <v>0</v>
      </c>
      <c r="AE97" s="34">
        <v>0</v>
      </c>
      <c r="AF97" s="34">
        <v>0</v>
      </c>
      <c r="AG97" s="34">
        <v>0</v>
      </c>
      <c r="AH97" s="10">
        <v>0</v>
      </c>
      <c r="AI97" s="34">
        <v>0</v>
      </c>
      <c r="AJ97" s="34">
        <v>0</v>
      </c>
      <c r="AK97" s="34">
        <v>0</v>
      </c>
      <c r="AL97" s="10">
        <v>0</v>
      </c>
      <c r="AM97" s="34">
        <v>0</v>
      </c>
      <c r="AN97" s="34">
        <v>0</v>
      </c>
      <c r="AO97" s="34">
        <v>0</v>
      </c>
      <c r="AP97" s="10">
        <v>0</v>
      </c>
      <c r="AQ97" s="34">
        <v>0</v>
      </c>
      <c r="AR97" s="34">
        <v>0</v>
      </c>
      <c r="AS97" s="34">
        <v>0</v>
      </c>
      <c r="AT97" s="10">
        <v>62.083786629000002</v>
      </c>
      <c r="AU97" s="34">
        <v>0</v>
      </c>
      <c r="AV97" s="34">
        <v>0</v>
      </c>
      <c r="AW97" s="34">
        <v>0</v>
      </c>
    </row>
    <row r="98" spans="1:49">
      <c r="A98" s="33" t="s">
        <v>1778</v>
      </c>
      <c r="B98" s="33" t="s">
        <v>1779</v>
      </c>
      <c r="C98" s="34">
        <v>0</v>
      </c>
      <c r="D98" s="34">
        <v>0</v>
      </c>
      <c r="E98" s="34">
        <v>0</v>
      </c>
      <c r="F98" s="34">
        <v>0</v>
      </c>
      <c r="G98" s="34">
        <v>0</v>
      </c>
      <c r="H98" s="34">
        <v>0</v>
      </c>
      <c r="I98" s="34">
        <v>4.1428829909999996</v>
      </c>
      <c r="J98" s="34">
        <v>5.5183552029999996</v>
      </c>
      <c r="K98" s="34">
        <v>59.296555269000002</v>
      </c>
      <c r="L98" s="34">
        <v>64.592063976999995</v>
      </c>
      <c r="M98" s="34">
        <v>62.083786629000002</v>
      </c>
      <c r="Z98" s="34" t="s">
        <v>1779</v>
      </c>
      <c r="AA98" s="34">
        <v>3.0016693139999999</v>
      </c>
      <c r="AB98" s="34">
        <v>3.0191530950000001</v>
      </c>
      <c r="AC98" s="34">
        <v>3.506647627</v>
      </c>
      <c r="AD98" s="10">
        <v>3.5532499999999998</v>
      </c>
      <c r="AE98" s="34">
        <v>5.4979747010000004</v>
      </c>
      <c r="AF98" s="34">
        <v>6.921867582</v>
      </c>
      <c r="AG98" s="34">
        <v>8.1039092979999996</v>
      </c>
      <c r="AH98" s="10">
        <v>5.799711083</v>
      </c>
      <c r="AI98" s="34">
        <v>6.3626007549999999</v>
      </c>
      <c r="AJ98" s="34">
        <v>6.2426066550000003</v>
      </c>
      <c r="AK98" s="34">
        <v>7.4708383620000003</v>
      </c>
      <c r="AL98" s="10">
        <v>7.3193066419999999</v>
      </c>
      <c r="AM98" s="34">
        <v>68.196825200999996</v>
      </c>
      <c r="AN98" s="34">
        <v>66.588124256</v>
      </c>
      <c r="AO98" s="34">
        <v>65.016872797000005</v>
      </c>
      <c r="AP98" s="10">
        <v>64.592063976999995</v>
      </c>
      <c r="AQ98" s="34">
        <v>62.931692836000003</v>
      </c>
      <c r="AR98" s="34">
        <v>62.592218281999997</v>
      </c>
      <c r="AS98" s="34">
        <v>320.03935381000002</v>
      </c>
      <c r="AT98" s="10">
        <v>8.5435499999999998</v>
      </c>
      <c r="AU98" s="34">
        <v>59.895387505000002</v>
      </c>
      <c r="AV98" s="34">
        <v>61.129874293</v>
      </c>
      <c r="AW98" s="34">
        <v>60.96</v>
      </c>
    </row>
    <row r="99" spans="1:49">
      <c r="A99" s="33" t="s">
        <v>1780</v>
      </c>
      <c r="B99" s="33" t="s">
        <v>1781</v>
      </c>
      <c r="C99" s="34">
        <v>0</v>
      </c>
      <c r="D99" s="34">
        <v>0</v>
      </c>
      <c r="E99" s="34">
        <v>0</v>
      </c>
      <c r="F99" s="34">
        <v>0</v>
      </c>
      <c r="G99" s="34">
        <v>0</v>
      </c>
      <c r="H99" s="34">
        <v>0</v>
      </c>
      <c r="I99" s="34">
        <v>0</v>
      </c>
      <c r="J99" s="34">
        <v>0.60750000000000004</v>
      </c>
      <c r="K99" s="34">
        <v>0.60750000000000004</v>
      </c>
      <c r="L99" s="34">
        <v>0.67754999999999999</v>
      </c>
      <c r="M99" s="34">
        <v>8.5435499999999998</v>
      </c>
      <c r="Z99" s="34" t="s">
        <v>1781</v>
      </c>
      <c r="AA99" s="34">
        <v>0</v>
      </c>
      <c r="AB99" s="34">
        <v>0</v>
      </c>
      <c r="AC99" s="34">
        <v>0</v>
      </c>
      <c r="AD99" s="10">
        <v>0</v>
      </c>
      <c r="AE99" s="34">
        <v>0</v>
      </c>
      <c r="AF99" s="34">
        <v>0</v>
      </c>
      <c r="AG99" s="34">
        <v>0</v>
      </c>
      <c r="AH99" s="10">
        <v>0.86574972400000005</v>
      </c>
      <c r="AI99" s="34">
        <v>0.91871757899999995</v>
      </c>
      <c r="AJ99" s="34">
        <v>0.60750000000000004</v>
      </c>
      <c r="AK99" s="34">
        <v>39.772968638000002</v>
      </c>
      <c r="AL99" s="10">
        <v>51.365707604000001</v>
      </c>
      <c r="AM99" s="34">
        <v>0.60750000000000004</v>
      </c>
      <c r="AN99" s="34">
        <v>0.60750000000000004</v>
      </c>
      <c r="AO99" s="34">
        <v>0.67754999999999999</v>
      </c>
      <c r="AP99" s="10">
        <v>0.67754999999999999</v>
      </c>
      <c r="AQ99" s="34">
        <v>0.67754999999999999</v>
      </c>
      <c r="AR99" s="34">
        <v>0.67754999999999999</v>
      </c>
      <c r="AS99" s="34">
        <v>0.67754999999999999</v>
      </c>
      <c r="AT99" s="10">
        <v>0</v>
      </c>
      <c r="AU99" s="34">
        <v>6.5549999999999997</v>
      </c>
      <c r="AV99" s="34">
        <v>0</v>
      </c>
      <c r="AW99" s="34">
        <v>0</v>
      </c>
    </row>
    <row r="100" spans="1:49">
      <c r="A100" s="33" t="s">
        <v>1782</v>
      </c>
      <c r="B100" s="33" t="s">
        <v>1783</v>
      </c>
      <c r="C100" s="34">
        <v>0</v>
      </c>
      <c r="D100" s="34">
        <v>0</v>
      </c>
      <c r="E100" s="34">
        <v>0</v>
      </c>
      <c r="F100" s="34">
        <v>0</v>
      </c>
      <c r="G100" s="34">
        <v>0</v>
      </c>
      <c r="H100" s="34">
        <v>0</v>
      </c>
      <c r="I100" s="34">
        <v>0</v>
      </c>
      <c r="J100" s="34">
        <v>0</v>
      </c>
      <c r="K100" s="34">
        <v>0</v>
      </c>
      <c r="L100" s="34">
        <v>0</v>
      </c>
      <c r="M100" s="34">
        <v>0</v>
      </c>
      <c r="Z100" s="34" t="s">
        <v>1783</v>
      </c>
      <c r="AA100" s="34">
        <v>0</v>
      </c>
      <c r="AB100" s="34">
        <v>0</v>
      </c>
      <c r="AC100" s="34">
        <v>0</v>
      </c>
      <c r="AD100" s="10">
        <v>0</v>
      </c>
      <c r="AE100" s="34">
        <v>0</v>
      </c>
      <c r="AF100" s="34">
        <v>0</v>
      </c>
      <c r="AG100" s="34">
        <v>0</v>
      </c>
      <c r="AH100" s="10">
        <v>0</v>
      </c>
      <c r="AI100" s="34">
        <v>0</v>
      </c>
      <c r="AJ100" s="34">
        <v>0</v>
      </c>
      <c r="AK100" s="34">
        <v>0</v>
      </c>
      <c r="AL100" s="10">
        <v>0</v>
      </c>
      <c r="AM100" s="34">
        <v>0</v>
      </c>
      <c r="AN100" s="34">
        <v>0</v>
      </c>
      <c r="AO100" s="34">
        <v>0</v>
      </c>
      <c r="AP100" s="10">
        <v>0</v>
      </c>
      <c r="AQ100" s="34">
        <v>0</v>
      </c>
      <c r="AR100" s="34">
        <v>0</v>
      </c>
      <c r="AS100" s="34">
        <v>0</v>
      </c>
      <c r="AT100" s="10">
        <v>0</v>
      </c>
      <c r="AU100" s="34">
        <v>0</v>
      </c>
      <c r="AV100" s="34">
        <v>0</v>
      </c>
      <c r="AW100" s="34">
        <v>0</v>
      </c>
    </row>
    <row r="101" spans="1:49">
      <c r="A101" s="33" t="s">
        <v>1691</v>
      </c>
      <c r="B101" s="33" t="s">
        <v>1692</v>
      </c>
      <c r="C101" s="34">
        <v>0</v>
      </c>
      <c r="D101" s="34">
        <v>0</v>
      </c>
      <c r="E101" s="34">
        <v>0</v>
      </c>
      <c r="F101" s="34">
        <v>0</v>
      </c>
      <c r="G101" s="34">
        <v>0</v>
      </c>
      <c r="H101" s="34">
        <v>0</v>
      </c>
      <c r="I101" s="34">
        <v>0</v>
      </c>
      <c r="J101" s="34">
        <v>0</v>
      </c>
      <c r="K101" s="34">
        <v>0</v>
      </c>
      <c r="L101" s="34">
        <v>0</v>
      </c>
      <c r="M101" s="34">
        <v>0</v>
      </c>
      <c r="Z101" s="34" t="s">
        <v>1692</v>
      </c>
      <c r="AA101" s="34">
        <v>0</v>
      </c>
      <c r="AB101" s="34">
        <v>0</v>
      </c>
      <c r="AC101" s="34">
        <v>0</v>
      </c>
      <c r="AD101" s="10">
        <v>0</v>
      </c>
      <c r="AE101" s="34">
        <v>0</v>
      </c>
      <c r="AF101" s="34">
        <v>0</v>
      </c>
      <c r="AG101" s="34">
        <v>0</v>
      </c>
      <c r="AH101" s="10">
        <v>0</v>
      </c>
      <c r="AI101" s="34">
        <v>0</v>
      </c>
      <c r="AJ101" s="34">
        <v>0</v>
      </c>
      <c r="AK101" s="34">
        <v>0</v>
      </c>
      <c r="AL101" s="10">
        <v>0</v>
      </c>
      <c r="AM101" s="34">
        <v>0</v>
      </c>
      <c r="AN101" s="34">
        <v>0</v>
      </c>
      <c r="AO101" s="34">
        <v>0</v>
      </c>
      <c r="AP101" s="10">
        <v>0</v>
      </c>
      <c r="AQ101" s="34">
        <v>0</v>
      </c>
      <c r="AR101" s="34">
        <v>0</v>
      </c>
      <c r="AS101" s="34">
        <v>0</v>
      </c>
      <c r="AT101" s="10">
        <v>0</v>
      </c>
      <c r="AU101" s="34">
        <v>0</v>
      </c>
      <c r="AV101" s="34">
        <v>0</v>
      </c>
      <c r="AW101" s="34">
        <v>0</v>
      </c>
    </row>
    <row r="102" spans="1:49" s="41" customFormat="1">
      <c r="A102" s="40" t="s">
        <v>1784</v>
      </c>
      <c r="B102" s="40" t="s">
        <v>1785</v>
      </c>
      <c r="C102" s="41">
        <v>0</v>
      </c>
      <c r="D102" s="41">
        <v>0</v>
      </c>
      <c r="E102" s="41">
        <v>0</v>
      </c>
      <c r="F102" s="41">
        <v>0</v>
      </c>
      <c r="G102" s="41">
        <v>0</v>
      </c>
      <c r="H102" s="41">
        <v>0</v>
      </c>
      <c r="I102" s="41">
        <v>0</v>
      </c>
      <c r="J102" s="41">
        <v>0</v>
      </c>
      <c r="K102" s="41">
        <v>0</v>
      </c>
      <c r="L102" s="41">
        <v>0</v>
      </c>
      <c r="M102" s="41">
        <v>0</v>
      </c>
      <c r="O102" s="7"/>
      <c r="P102" s="7"/>
      <c r="Z102" s="41" t="s">
        <v>1785</v>
      </c>
      <c r="AA102" s="41">
        <v>0</v>
      </c>
      <c r="AB102" s="41">
        <v>0</v>
      </c>
      <c r="AC102" s="41">
        <v>0</v>
      </c>
      <c r="AD102" s="11">
        <v>0</v>
      </c>
      <c r="AE102" s="41">
        <v>0</v>
      </c>
      <c r="AF102" s="41">
        <v>0</v>
      </c>
      <c r="AG102" s="41">
        <v>0</v>
      </c>
      <c r="AH102" s="11">
        <v>0</v>
      </c>
      <c r="AI102" s="41">
        <v>0</v>
      </c>
      <c r="AJ102" s="41">
        <v>0</v>
      </c>
      <c r="AK102" s="41">
        <v>0</v>
      </c>
      <c r="AL102" s="11">
        <v>0</v>
      </c>
      <c r="AM102" s="41">
        <v>0</v>
      </c>
      <c r="AN102" s="41">
        <v>0</v>
      </c>
      <c r="AO102" s="41">
        <v>0</v>
      </c>
      <c r="AP102" s="11">
        <v>0</v>
      </c>
      <c r="AQ102" s="41">
        <v>0</v>
      </c>
      <c r="AR102" s="41">
        <v>0</v>
      </c>
      <c r="AS102" s="41">
        <v>0</v>
      </c>
      <c r="AT102" s="11">
        <v>0</v>
      </c>
      <c r="AU102" s="41">
        <v>0</v>
      </c>
      <c r="AV102" s="41">
        <v>0</v>
      </c>
      <c r="AW102" s="41">
        <v>0</v>
      </c>
    </row>
    <row r="103" spans="1:49" s="41" customFormat="1">
      <c r="A103" s="40" t="s">
        <v>1786</v>
      </c>
      <c r="B103" s="40" t="s">
        <v>1787</v>
      </c>
      <c r="C103" s="41">
        <v>2.0244220660000001</v>
      </c>
      <c r="D103" s="41">
        <v>1.7519883570000001</v>
      </c>
      <c r="E103" s="41">
        <v>0.480080546</v>
      </c>
      <c r="F103" s="41">
        <v>0.62395699299999996</v>
      </c>
      <c r="G103" s="41">
        <v>0.626367758</v>
      </c>
      <c r="H103" s="41">
        <v>6.026369077</v>
      </c>
      <c r="I103" s="41">
        <v>12.061612623</v>
      </c>
      <c r="J103" s="41">
        <v>25.716712563000002</v>
      </c>
      <c r="K103" s="41">
        <v>49.739679242999998</v>
      </c>
      <c r="L103" s="41">
        <v>111.61358661600001</v>
      </c>
      <c r="M103" s="41">
        <v>384.40519189999998</v>
      </c>
      <c r="O103" s="7"/>
      <c r="P103" s="7"/>
      <c r="Z103" s="41" t="s">
        <v>1787</v>
      </c>
      <c r="AA103" s="41">
        <v>6.2400512240000001</v>
      </c>
      <c r="AB103" s="41">
        <v>6.2449675400000002</v>
      </c>
      <c r="AC103" s="41">
        <v>6.0436417919999998</v>
      </c>
      <c r="AD103" s="11">
        <v>6.8542812839999998</v>
      </c>
      <c r="AE103" s="41">
        <v>10.960706359</v>
      </c>
      <c r="AF103" s="41">
        <v>16.01676806</v>
      </c>
      <c r="AG103" s="41">
        <v>9.7835339789999995</v>
      </c>
      <c r="AH103" s="11">
        <v>19.826196450000001</v>
      </c>
      <c r="AI103" s="41">
        <v>23.688934822</v>
      </c>
      <c r="AJ103" s="41">
        <v>29.203592512</v>
      </c>
      <c r="AK103" s="41">
        <v>29.017422660000001</v>
      </c>
      <c r="AL103" s="11">
        <v>49.739679242999998</v>
      </c>
      <c r="AM103" s="41">
        <v>48.880041818000002</v>
      </c>
      <c r="AN103" s="41">
        <v>50.808904251000001</v>
      </c>
      <c r="AO103" s="41">
        <v>50.999658801000002</v>
      </c>
      <c r="AP103" s="11">
        <v>111.61358661600001</v>
      </c>
      <c r="AQ103" s="41">
        <v>111.283248622</v>
      </c>
      <c r="AR103" s="41">
        <v>105.581267329</v>
      </c>
      <c r="AS103" s="41">
        <v>96.331083796000001</v>
      </c>
      <c r="AT103" s="11">
        <v>384.40519193</v>
      </c>
      <c r="AU103" s="41">
        <v>362.69591867899999</v>
      </c>
      <c r="AV103" s="41">
        <v>351.90519294199999</v>
      </c>
      <c r="AW103" s="41">
        <v>331.97</v>
      </c>
    </row>
    <row r="104" spans="1:49">
      <c r="A104" s="33" t="s">
        <v>1788</v>
      </c>
      <c r="B104" s="33" t="s">
        <v>1789</v>
      </c>
      <c r="C104" s="34">
        <v>0.62113522200000004</v>
      </c>
      <c r="D104" s="34">
        <v>0.52536535299999998</v>
      </c>
      <c r="E104" s="34">
        <v>0.480080546</v>
      </c>
      <c r="F104" s="34">
        <v>0.62395699299999996</v>
      </c>
      <c r="G104" s="34">
        <v>0.626367758</v>
      </c>
      <c r="H104" s="34">
        <v>0.50440934800000004</v>
      </c>
      <c r="I104" s="34">
        <v>5.7236166810000002</v>
      </c>
      <c r="J104" s="34">
        <v>6.7884416620000003</v>
      </c>
      <c r="K104" s="34">
        <v>4.6838797029999997</v>
      </c>
      <c r="L104" s="34">
        <v>5.1383604009999999</v>
      </c>
      <c r="M104" s="34">
        <v>8.9594193630000003</v>
      </c>
      <c r="Z104" s="34" t="s">
        <v>1789</v>
      </c>
      <c r="AA104" s="34">
        <v>0.66047548899999997</v>
      </c>
      <c r="AB104" s="34">
        <v>1.0106477970000001</v>
      </c>
      <c r="AC104" s="34">
        <v>0.77994804200000001</v>
      </c>
      <c r="AD104" s="10">
        <v>0.87628534199999997</v>
      </c>
      <c r="AE104" s="34">
        <v>3.8033631099999998</v>
      </c>
      <c r="AF104" s="34">
        <v>9.0353503810000007</v>
      </c>
      <c r="AG104" s="34">
        <v>2.770010723</v>
      </c>
      <c r="AH104" s="10">
        <v>2.2052029069999999</v>
      </c>
      <c r="AI104" s="34">
        <v>5.8676512140000003</v>
      </c>
      <c r="AJ104" s="34">
        <v>4.3736283260000004</v>
      </c>
      <c r="AK104" s="34">
        <v>4.3312784679999998</v>
      </c>
      <c r="AL104" s="10">
        <v>4.6838797029999997</v>
      </c>
      <c r="AM104" s="34">
        <v>3.8680622709999999</v>
      </c>
      <c r="AN104" s="34">
        <v>4.9199256010000001</v>
      </c>
      <c r="AO104" s="34">
        <v>4.4788457619999997</v>
      </c>
      <c r="AP104" s="10">
        <v>5.1383604009999999</v>
      </c>
      <c r="AQ104" s="34">
        <v>4.9518424000000003</v>
      </c>
      <c r="AR104" s="34">
        <v>5.2477805469999996</v>
      </c>
      <c r="AS104" s="34">
        <v>5.5627693709999999</v>
      </c>
      <c r="AT104" s="10">
        <v>8.9594193630000003</v>
      </c>
      <c r="AU104" s="34">
        <v>14.739040693</v>
      </c>
      <c r="AV104" s="34">
        <v>15.761073907</v>
      </c>
      <c r="AW104" s="34">
        <v>13.5</v>
      </c>
    </row>
    <row r="105" spans="1:49">
      <c r="A105" s="33" t="s">
        <v>1790</v>
      </c>
      <c r="B105" s="33" t="s">
        <v>1791</v>
      </c>
      <c r="C105" s="34">
        <v>0</v>
      </c>
      <c r="D105" s="34">
        <v>1.2266230039999999</v>
      </c>
      <c r="E105" s="34">
        <v>0</v>
      </c>
      <c r="F105" s="34">
        <v>0</v>
      </c>
      <c r="G105" s="34">
        <v>0</v>
      </c>
      <c r="H105" s="34">
        <v>5.6800000000000003E-2</v>
      </c>
      <c r="I105" s="34">
        <v>1.4481161849999999</v>
      </c>
      <c r="J105" s="34">
        <v>14.613671116000001</v>
      </c>
      <c r="K105" s="34">
        <v>33.912597208000001</v>
      </c>
      <c r="L105" s="34">
        <v>94.010830377000005</v>
      </c>
      <c r="M105" s="34">
        <v>89.142419270000005</v>
      </c>
      <c r="Z105" s="34" t="s">
        <v>1791</v>
      </c>
      <c r="AA105" s="34">
        <v>5.6800000000000003E-2</v>
      </c>
      <c r="AB105" s="34">
        <v>5.6800000000000003E-2</v>
      </c>
      <c r="AC105" s="34">
        <v>5.6800000000000003E-2</v>
      </c>
      <c r="AD105" s="10">
        <v>1.0881161850000001</v>
      </c>
      <c r="AE105" s="34">
        <v>1.4481161849999999</v>
      </c>
      <c r="AF105" s="34">
        <v>1.4481161849999999</v>
      </c>
      <c r="AG105" s="34">
        <v>1.4481161849999999</v>
      </c>
      <c r="AH105" s="10">
        <v>13.306393758</v>
      </c>
      <c r="AI105" s="34">
        <v>14.613671116000001</v>
      </c>
      <c r="AJ105" s="34">
        <v>14.613671116000001</v>
      </c>
      <c r="AK105" s="34">
        <v>14.613671116000001</v>
      </c>
      <c r="AL105" s="10">
        <v>33.912597208000001</v>
      </c>
      <c r="AM105" s="34">
        <v>33.912597208000001</v>
      </c>
      <c r="AN105" s="34">
        <v>33.912597208000001</v>
      </c>
      <c r="AO105" s="34">
        <v>33.912597208000001</v>
      </c>
      <c r="AP105" s="10">
        <v>94.010830377000005</v>
      </c>
      <c r="AQ105" s="34">
        <v>94.010830377000005</v>
      </c>
      <c r="AR105" s="34">
        <v>88.156730929999995</v>
      </c>
      <c r="AS105" s="34">
        <v>78.735378565999994</v>
      </c>
      <c r="AT105" s="10">
        <v>89.1424193</v>
      </c>
      <c r="AU105" s="34">
        <v>68.659009396000002</v>
      </c>
      <c r="AV105" s="34">
        <v>63.741735120999998</v>
      </c>
      <c r="AW105" s="34">
        <v>53.07</v>
      </c>
    </row>
    <row r="106" spans="1:49">
      <c r="A106" s="33" t="s">
        <v>1792</v>
      </c>
      <c r="B106" s="33" t="s">
        <v>1793</v>
      </c>
      <c r="C106" s="34">
        <v>0</v>
      </c>
      <c r="D106" s="34">
        <v>0</v>
      </c>
      <c r="E106" s="34">
        <v>0</v>
      </c>
      <c r="F106" s="34">
        <v>0</v>
      </c>
      <c r="G106" s="34">
        <v>0</v>
      </c>
      <c r="H106" s="34">
        <v>0</v>
      </c>
      <c r="I106" s="34">
        <v>0</v>
      </c>
      <c r="J106" s="34">
        <v>4.3145997850000004</v>
      </c>
      <c r="K106" s="34">
        <v>7.4038825189999997</v>
      </c>
      <c r="L106" s="34">
        <v>0</v>
      </c>
      <c r="M106" s="34">
        <v>0</v>
      </c>
      <c r="Z106" s="34" t="s">
        <v>1793</v>
      </c>
      <c r="AA106" s="34">
        <v>0</v>
      </c>
      <c r="AB106" s="34">
        <v>0</v>
      </c>
      <c r="AC106" s="34">
        <v>0</v>
      </c>
      <c r="AD106" s="10">
        <v>0</v>
      </c>
      <c r="AE106" s="34">
        <v>0</v>
      </c>
      <c r="AF106" s="34">
        <v>5.5333014939999998</v>
      </c>
      <c r="AG106" s="34">
        <v>0</v>
      </c>
      <c r="AH106" s="10">
        <v>4.3145997850000004</v>
      </c>
      <c r="AI106" s="34">
        <v>0</v>
      </c>
      <c r="AJ106" s="34">
        <v>0</v>
      </c>
      <c r="AK106" s="34">
        <v>0</v>
      </c>
      <c r="AL106" s="10">
        <v>7.4038825189999997</v>
      </c>
      <c r="AM106" s="34">
        <v>7.5038825190000003</v>
      </c>
      <c r="AN106" s="34">
        <v>8.5247016149999997</v>
      </c>
      <c r="AO106" s="34">
        <v>0</v>
      </c>
      <c r="AP106" s="10">
        <v>9.3003559970000005</v>
      </c>
      <c r="AQ106" s="34">
        <v>0</v>
      </c>
      <c r="AR106" s="34">
        <v>0</v>
      </c>
      <c r="AS106" s="34">
        <v>0</v>
      </c>
      <c r="AT106" s="10">
        <v>0</v>
      </c>
      <c r="AU106" s="34">
        <v>0</v>
      </c>
      <c r="AV106" s="34">
        <v>0</v>
      </c>
      <c r="AW106" s="34">
        <v>0</v>
      </c>
    </row>
    <row r="107" spans="1:49">
      <c r="A107" s="33" t="s">
        <v>1794</v>
      </c>
      <c r="B107" s="33" t="s">
        <v>1795</v>
      </c>
      <c r="C107" s="34">
        <v>1.4032868439999999</v>
      </c>
      <c r="D107" s="34">
        <v>0</v>
      </c>
      <c r="E107" s="34">
        <v>0</v>
      </c>
      <c r="F107" s="34">
        <v>0</v>
      </c>
      <c r="G107" s="34">
        <v>0</v>
      </c>
      <c r="H107" s="34">
        <v>0</v>
      </c>
      <c r="I107" s="34">
        <v>0</v>
      </c>
      <c r="J107" s="34">
        <v>0</v>
      </c>
      <c r="K107" s="34">
        <v>0</v>
      </c>
      <c r="L107" s="34">
        <v>9.3003559970000005</v>
      </c>
      <c r="M107" s="34">
        <v>9.2480060549999994</v>
      </c>
      <c r="Z107" s="34" t="s">
        <v>1795</v>
      </c>
      <c r="AA107" s="34">
        <v>0.201435999</v>
      </c>
      <c r="AB107" s="34">
        <v>0</v>
      </c>
      <c r="AC107" s="34">
        <v>0.17319399999999999</v>
      </c>
      <c r="AD107" s="10">
        <v>0</v>
      </c>
      <c r="AE107" s="34">
        <v>0</v>
      </c>
      <c r="AF107" s="34">
        <v>0</v>
      </c>
      <c r="AG107" s="34">
        <v>0</v>
      </c>
      <c r="AH107" s="10">
        <v>0</v>
      </c>
      <c r="AI107" s="34">
        <v>0</v>
      </c>
      <c r="AJ107" s="34">
        <v>6.1893332709999997</v>
      </c>
      <c r="AK107" s="34">
        <v>6.1893332699999997</v>
      </c>
      <c r="AL107" s="10">
        <v>0</v>
      </c>
      <c r="AM107" s="34">
        <v>0</v>
      </c>
      <c r="AN107" s="34">
        <v>3.451679827</v>
      </c>
      <c r="AO107" s="34">
        <v>9.3003559970000005</v>
      </c>
      <c r="AP107" s="10">
        <v>0</v>
      </c>
      <c r="AQ107" s="34">
        <v>9.3003559970000005</v>
      </c>
      <c r="AR107" s="34">
        <v>9.3003559970000005</v>
      </c>
      <c r="AS107" s="34">
        <v>9.3003559970000005</v>
      </c>
      <c r="AT107" s="10">
        <v>9.2480060549999994</v>
      </c>
      <c r="AU107" s="34">
        <v>9.2480060549999994</v>
      </c>
      <c r="AV107" s="34">
        <v>9.3580060550000006</v>
      </c>
      <c r="AW107" s="34">
        <v>9.36</v>
      </c>
    </row>
    <row r="108" spans="1:49">
      <c r="A108" s="33" t="s">
        <v>1796</v>
      </c>
      <c r="B108" s="33" t="s">
        <v>1797</v>
      </c>
      <c r="C108" s="34">
        <v>0</v>
      </c>
      <c r="D108" s="34">
        <v>0</v>
      </c>
      <c r="E108" s="34">
        <v>0</v>
      </c>
      <c r="F108" s="34">
        <v>0</v>
      </c>
      <c r="G108" s="34">
        <v>0</v>
      </c>
      <c r="H108" s="34">
        <v>5.4651597289999998</v>
      </c>
      <c r="I108" s="34">
        <v>4.8898797570000001</v>
      </c>
      <c r="J108" s="34">
        <v>0</v>
      </c>
      <c r="K108" s="34">
        <v>3.7393198129999998</v>
      </c>
      <c r="L108" s="34">
        <v>3.1640398410000001</v>
      </c>
      <c r="M108" s="34">
        <v>277.05534721200002</v>
      </c>
      <c r="Z108" s="34" t="s">
        <v>1797</v>
      </c>
      <c r="AA108" s="34">
        <v>5.3213397359999997</v>
      </c>
      <c r="AB108" s="34">
        <v>5.1775197430000004</v>
      </c>
      <c r="AC108" s="34">
        <v>5.0336997500000003</v>
      </c>
      <c r="AD108" s="10">
        <v>4.8898797570000001</v>
      </c>
      <c r="AE108" s="34">
        <v>5.7092270640000002</v>
      </c>
      <c r="AF108" s="34">
        <v>0</v>
      </c>
      <c r="AG108" s="34">
        <v>5.5654070710000001</v>
      </c>
      <c r="AH108" s="10">
        <v>0</v>
      </c>
      <c r="AI108" s="34">
        <v>3.207612492</v>
      </c>
      <c r="AJ108" s="34">
        <v>4.0269597990000001</v>
      </c>
      <c r="AK108" s="34">
        <v>3.883139806</v>
      </c>
      <c r="AL108" s="10">
        <v>3.7393198129999998</v>
      </c>
      <c r="AM108" s="34">
        <v>3.5954998200000001</v>
      </c>
      <c r="AN108" s="34">
        <v>0</v>
      </c>
      <c r="AO108" s="34">
        <v>3.3078598339999998</v>
      </c>
      <c r="AP108" s="10">
        <v>3.1640398410000001</v>
      </c>
      <c r="AQ108" s="34">
        <v>3.020219848</v>
      </c>
      <c r="AR108" s="34">
        <v>2.8763998549999998</v>
      </c>
      <c r="AS108" s="34">
        <v>2.7325798620000001</v>
      </c>
      <c r="AT108" s="10">
        <v>277.05534721200002</v>
      </c>
      <c r="AU108" s="34">
        <v>270.04986253499999</v>
      </c>
      <c r="AV108" s="34">
        <v>263.04437785900001</v>
      </c>
      <c r="AW108" s="34">
        <v>256.04000000000002</v>
      </c>
    </row>
    <row r="109" spans="1:49" s="41" customFormat="1">
      <c r="A109" s="40" t="s">
        <v>550</v>
      </c>
      <c r="B109" s="40" t="s">
        <v>1798</v>
      </c>
      <c r="C109" s="41">
        <v>855.99738905000004</v>
      </c>
      <c r="D109" s="41">
        <v>976.54412233899995</v>
      </c>
      <c r="E109" s="41">
        <v>1292.721545629</v>
      </c>
      <c r="F109" s="41">
        <v>1255.508372989</v>
      </c>
      <c r="G109" s="41">
        <v>1306.2119002219999</v>
      </c>
      <c r="H109" s="41">
        <v>1593.948921358</v>
      </c>
      <c r="I109" s="41">
        <v>2223.3361136059998</v>
      </c>
      <c r="J109" s="41">
        <v>2405.0552020670002</v>
      </c>
      <c r="K109" s="41">
        <v>3068.7471294299999</v>
      </c>
      <c r="L109" s="41">
        <v>6544.8225680160003</v>
      </c>
      <c r="M109" s="41">
        <v>6355.4211235479997</v>
      </c>
      <c r="O109" s="7"/>
      <c r="P109" s="7"/>
      <c r="Z109" s="41" t="s">
        <v>1798</v>
      </c>
      <c r="AA109" s="41">
        <v>1396.6601770760001</v>
      </c>
      <c r="AB109" s="41">
        <v>1459.947356102</v>
      </c>
      <c r="AC109" s="41">
        <v>1661.483823217</v>
      </c>
      <c r="AD109" s="11">
        <v>2221.8383339649999</v>
      </c>
      <c r="AE109" s="41">
        <v>1839.074562642</v>
      </c>
      <c r="AF109" s="41">
        <v>2148.1694250370001</v>
      </c>
      <c r="AG109" s="41">
        <v>2046.3628029629999</v>
      </c>
      <c r="AH109" s="11">
        <v>2419.0183355190002</v>
      </c>
      <c r="AI109" s="41">
        <v>1909.6117577760001</v>
      </c>
      <c r="AJ109" s="41">
        <v>2224.464426088</v>
      </c>
      <c r="AK109" s="41">
        <v>2321.6108578049998</v>
      </c>
      <c r="AL109" s="11">
        <v>3066.305698274</v>
      </c>
      <c r="AM109" s="41">
        <v>3354.8197510509999</v>
      </c>
      <c r="AN109" s="41">
        <v>3424.786016647</v>
      </c>
      <c r="AO109" s="41">
        <v>3760.5557671380002</v>
      </c>
      <c r="AP109" s="11">
        <v>6547.874284814</v>
      </c>
      <c r="AQ109" s="41">
        <v>6669.2421434520002</v>
      </c>
      <c r="AR109" s="41">
        <v>6136.5236820740001</v>
      </c>
      <c r="AS109" s="41">
        <v>6609.7961612380004</v>
      </c>
      <c r="AT109" s="11">
        <v>6355.2891235779998</v>
      </c>
      <c r="AU109" s="41">
        <v>5916.3467661229997</v>
      </c>
      <c r="AV109" s="41">
        <v>6559.6440108400002</v>
      </c>
      <c r="AW109" s="41">
        <v>7003.15</v>
      </c>
    </row>
    <row r="110" spans="1:49" s="41" customFormat="1">
      <c r="A110" s="40" t="s">
        <v>551</v>
      </c>
      <c r="B110" s="40" t="s">
        <v>1799</v>
      </c>
      <c r="C110" s="41">
        <v>559.50787562599999</v>
      </c>
      <c r="D110" s="41">
        <v>726.49390517100005</v>
      </c>
      <c r="E110" s="41">
        <v>957.96242914300001</v>
      </c>
      <c r="F110" s="41">
        <v>646.96411906599997</v>
      </c>
      <c r="G110" s="41">
        <v>676.63332706899996</v>
      </c>
      <c r="H110" s="41">
        <v>904.51400839899998</v>
      </c>
      <c r="I110" s="41">
        <v>1456.856633785</v>
      </c>
      <c r="J110" s="41">
        <v>1480.206789049</v>
      </c>
      <c r="K110" s="41">
        <v>1910.1608356639999</v>
      </c>
      <c r="L110" s="41">
        <v>4763.5379006339999</v>
      </c>
      <c r="M110" s="41">
        <v>3932.1393902710001</v>
      </c>
      <c r="O110" s="7"/>
      <c r="P110" s="7"/>
      <c r="Z110" s="41" t="s">
        <v>1799</v>
      </c>
      <c r="AA110" s="41">
        <v>687.723717255</v>
      </c>
      <c r="AB110" s="41">
        <v>760.45254304399998</v>
      </c>
      <c r="AC110" s="41">
        <v>927.071640065</v>
      </c>
      <c r="AD110" s="11">
        <v>1455.6800645999999</v>
      </c>
      <c r="AE110" s="41">
        <v>1032.1322416200001</v>
      </c>
      <c r="AF110" s="41">
        <v>1311.1460518480001</v>
      </c>
      <c r="AG110" s="41">
        <v>1155.8737720680001</v>
      </c>
      <c r="AH110" s="11">
        <v>1496.4300256490001</v>
      </c>
      <c r="AI110" s="41">
        <v>939.56445281599997</v>
      </c>
      <c r="AJ110" s="41">
        <v>1194.495448186</v>
      </c>
      <c r="AK110" s="41">
        <v>1262.264080013</v>
      </c>
      <c r="AL110" s="11">
        <v>1921.823365315</v>
      </c>
      <c r="AM110" s="41">
        <v>2089.3405405829999</v>
      </c>
      <c r="AN110" s="41">
        <v>2030.734639299</v>
      </c>
      <c r="AO110" s="41">
        <v>2303.4487062869998</v>
      </c>
      <c r="AP110" s="11">
        <v>4763.5726746370001</v>
      </c>
      <c r="AQ110" s="41">
        <v>4674.2403034979998</v>
      </c>
      <c r="AR110" s="41">
        <v>4076.108375328</v>
      </c>
      <c r="AS110" s="41">
        <v>4369.0873862090002</v>
      </c>
      <c r="AT110" s="11">
        <v>3932.0073903010002</v>
      </c>
      <c r="AU110" s="41">
        <v>3411.15654881</v>
      </c>
      <c r="AV110" s="41">
        <v>4006.4981266529999</v>
      </c>
      <c r="AW110" s="41">
        <v>4346.71</v>
      </c>
    </row>
    <row r="111" spans="1:49" s="41" customFormat="1">
      <c r="A111" s="40" t="s">
        <v>1800</v>
      </c>
      <c r="B111" s="40" t="s">
        <v>1801</v>
      </c>
      <c r="C111" s="41">
        <v>519.73491841500004</v>
      </c>
      <c r="D111" s="41">
        <v>692.09997329199996</v>
      </c>
      <c r="E111" s="41">
        <v>928.03199926399998</v>
      </c>
      <c r="F111" s="41">
        <v>619.26934618799999</v>
      </c>
      <c r="G111" s="41">
        <v>672.57989719</v>
      </c>
      <c r="H111" s="41">
        <v>901.91356543699999</v>
      </c>
      <c r="I111" s="41">
        <v>1451.893272858</v>
      </c>
      <c r="J111" s="41">
        <v>1475.7403281219999</v>
      </c>
      <c r="K111" s="41">
        <v>1905.5522062370001</v>
      </c>
      <c r="L111" s="41">
        <v>4753.2953582700002</v>
      </c>
      <c r="M111" s="41">
        <v>3882.2671037639998</v>
      </c>
      <c r="O111" s="7"/>
      <c r="P111" s="7"/>
      <c r="Z111" s="41" t="s">
        <v>1801</v>
      </c>
      <c r="AA111" s="41">
        <v>685.07493429299996</v>
      </c>
      <c r="AB111" s="41">
        <v>757.35246154399999</v>
      </c>
      <c r="AC111" s="41">
        <v>922.22792913800004</v>
      </c>
      <c r="AD111" s="11">
        <v>1450.7293536479999</v>
      </c>
      <c r="AE111" s="41">
        <v>1027.141530693</v>
      </c>
      <c r="AF111" s="41">
        <v>1306.6472909209999</v>
      </c>
      <c r="AG111" s="41">
        <v>1151.3851426409999</v>
      </c>
      <c r="AH111" s="11">
        <v>1491.9713962220001</v>
      </c>
      <c r="AI111" s="41">
        <v>935.03582338900003</v>
      </c>
      <c r="AJ111" s="41">
        <v>1190.1368187590001</v>
      </c>
      <c r="AK111" s="41">
        <v>1257.7054505860001</v>
      </c>
      <c r="AL111" s="11">
        <v>1917.214735888</v>
      </c>
      <c r="AM111" s="41">
        <v>2084.981911156</v>
      </c>
      <c r="AN111" s="41">
        <v>2026.026009872</v>
      </c>
      <c r="AO111" s="41">
        <v>2298.7900768600002</v>
      </c>
      <c r="AP111" s="11">
        <v>4753.3301322730003</v>
      </c>
      <c r="AQ111" s="41">
        <v>4663.2977611340002</v>
      </c>
      <c r="AR111" s="41">
        <v>4066.2658329639999</v>
      </c>
      <c r="AS111" s="41">
        <v>4359.1448438449997</v>
      </c>
      <c r="AT111" s="11">
        <v>3882.1351037640002</v>
      </c>
      <c r="AU111" s="41">
        <v>3378.9025990810001</v>
      </c>
      <c r="AV111" s="41">
        <v>3985.645840146</v>
      </c>
      <c r="AW111" s="41">
        <v>4326.05</v>
      </c>
    </row>
    <row r="112" spans="1:49">
      <c r="A112" s="33" t="s">
        <v>1802</v>
      </c>
      <c r="B112" s="33" t="s">
        <v>1803</v>
      </c>
      <c r="C112" s="34">
        <v>245.835632807</v>
      </c>
      <c r="D112" s="34">
        <v>181.525099896</v>
      </c>
      <c r="E112" s="34">
        <v>206.57235799399999</v>
      </c>
      <c r="F112" s="34">
        <v>153.198530675</v>
      </c>
      <c r="G112" s="34">
        <v>275.88964887999998</v>
      </c>
      <c r="H112" s="34">
        <v>229.45867236399999</v>
      </c>
      <c r="I112" s="34">
        <v>547.08374325</v>
      </c>
      <c r="J112" s="34">
        <v>700.32964287799996</v>
      </c>
      <c r="K112" s="34">
        <v>941.37027256399995</v>
      </c>
      <c r="L112" s="34">
        <v>2844.4560701949999</v>
      </c>
      <c r="M112" s="34">
        <v>1210.40121464</v>
      </c>
      <c r="Z112" s="34" t="s">
        <v>1803</v>
      </c>
      <c r="AA112" s="34">
        <v>77.757402751000001</v>
      </c>
      <c r="AB112" s="34">
        <v>174.41116104299999</v>
      </c>
      <c r="AC112" s="34">
        <v>230.04049444899999</v>
      </c>
      <c r="AD112" s="10">
        <v>547.26918851799996</v>
      </c>
      <c r="AE112" s="34">
        <v>141.71390111400001</v>
      </c>
      <c r="AF112" s="34">
        <v>298.22737794900002</v>
      </c>
      <c r="AG112" s="34">
        <v>443.20524407900001</v>
      </c>
      <c r="AH112" s="10">
        <v>702.00471601100003</v>
      </c>
      <c r="AI112" s="34">
        <v>267.71899076699998</v>
      </c>
      <c r="AJ112" s="34">
        <v>550.51264384299998</v>
      </c>
      <c r="AK112" s="34">
        <v>597.60057665800002</v>
      </c>
      <c r="AL112" s="10">
        <v>941.37027256399995</v>
      </c>
      <c r="AM112" s="34">
        <v>973.37895618599998</v>
      </c>
      <c r="AN112" s="34">
        <v>855.96738223900002</v>
      </c>
      <c r="AO112" s="34">
        <v>645.81296821299998</v>
      </c>
      <c r="AP112" s="10">
        <v>2844.4560701949999</v>
      </c>
      <c r="AQ112" s="34">
        <v>1816.65482638</v>
      </c>
      <c r="AR112" s="34">
        <v>1739.489579067</v>
      </c>
      <c r="AS112" s="34">
        <v>1431.0230681979999</v>
      </c>
      <c r="AT112" s="10">
        <v>1210.476408516</v>
      </c>
      <c r="AU112" s="34">
        <v>1192.215350142</v>
      </c>
      <c r="AV112" s="34">
        <v>1271.8055646390001</v>
      </c>
      <c r="AW112" s="34">
        <v>1542.54</v>
      </c>
    </row>
    <row r="113" spans="1:49">
      <c r="A113" s="33" t="s">
        <v>1804</v>
      </c>
      <c r="B113" s="33" t="s">
        <v>1805</v>
      </c>
      <c r="C113" s="34">
        <v>0.11699217000000001</v>
      </c>
      <c r="D113" s="34">
        <v>12.467215244</v>
      </c>
      <c r="E113" s="34">
        <v>66.230225141000005</v>
      </c>
      <c r="F113" s="34">
        <v>3.9622903370000002</v>
      </c>
      <c r="G113" s="34">
        <v>10.236510898000001</v>
      </c>
      <c r="H113" s="34">
        <v>2.7821865680000002</v>
      </c>
      <c r="I113" s="34">
        <v>12.749106825</v>
      </c>
      <c r="J113" s="34">
        <v>2.378715642</v>
      </c>
      <c r="K113" s="34">
        <v>66.763186039000004</v>
      </c>
      <c r="L113" s="34">
        <v>72.175292673000001</v>
      </c>
      <c r="M113" s="34">
        <v>95.943311703999996</v>
      </c>
      <c r="Z113" s="34" t="s">
        <v>1805</v>
      </c>
      <c r="AA113" s="34">
        <v>6.0240149919999997</v>
      </c>
      <c r="AB113" s="34">
        <v>48.457432492999999</v>
      </c>
      <c r="AC113" s="34">
        <v>10.367229663</v>
      </c>
      <c r="AD113" s="10">
        <v>12.729306825</v>
      </c>
      <c r="AE113" s="34">
        <v>43.275351346000001</v>
      </c>
      <c r="AF113" s="34">
        <v>30.406561325999999</v>
      </c>
      <c r="AG113" s="34">
        <v>26.529348070000001</v>
      </c>
      <c r="AH113" s="10">
        <v>2.378715642</v>
      </c>
      <c r="AI113" s="34">
        <v>45.735988200999998</v>
      </c>
      <c r="AJ113" s="34">
        <v>22.981691538</v>
      </c>
      <c r="AK113" s="34">
        <v>16.144439867999999</v>
      </c>
      <c r="AL113" s="10">
        <v>66.763186039000004</v>
      </c>
      <c r="AM113" s="34">
        <v>40.615243708000001</v>
      </c>
      <c r="AN113" s="34">
        <v>80.651955759000003</v>
      </c>
      <c r="AO113" s="34">
        <v>73.161726924000007</v>
      </c>
      <c r="AP113" s="10">
        <v>72.175292673000001</v>
      </c>
      <c r="AQ113" s="34">
        <v>59.497273039</v>
      </c>
      <c r="AR113" s="34">
        <v>97.582099571000001</v>
      </c>
      <c r="AS113" s="34">
        <v>120.332221367</v>
      </c>
      <c r="AT113" s="10">
        <v>95.943311703999996</v>
      </c>
      <c r="AU113" s="34">
        <v>125.211638177</v>
      </c>
      <c r="AV113" s="34">
        <v>162.40324618299999</v>
      </c>
      <c r="AW113" s="34">
        <v>111.89</v>
      </c>
    </row>
    <row r="114" spans="1:49">
      <c r="A114" s="33" t="s">
        <v>1806</v>
      </c>
      <c r="B114" s="33" t="s">
        <v>1807</v>
      </c>
      <c r="C114" s="34">
        <v>12.258988798000001</v>
      </c>
      <c r="D114" s="34">
        <v>12.546317733</v>
      </c>
      <c r="E114" s="34">
        <v>12.176188353000001</v>
      </c>
      <c r="F114" s="34">
        <v>5.8724034329999997</v>
      </c>
      <c r="G114" s="34">
        <v>5.6288866789999998</v>
      </c>
      <c r="H114" s="34">
        <v>7.5196960869999998</v>
      </c>
      <c r="I114" s="34">
        <v>11.278583864</v>
      </c>
      <c r="J114" s="34">
        <v>27.815993433999999</v>
      </c>
      <c r="K114" s="34">
        <v>30.392029531999999</v>
      </c>
      <c r="L114" s="34">
        <v>71.114497326999995</v>
      </c>
      <c r="M114" s="34">
        <v>38.651778315000001</v>
      </c>
      <c r="Z114" s="34" t="s">
        <v>1807</v>
      </c>
      <c r="AA114" s="34">
        <v>5.4506966319999997</v>
      </c>
      <c r="AB114" s="34">
        <v>5.9074005549999997</v>
      </c>
      <c r="AC114" s="34">
        <v>10.928246272999999</v>
      </c>
      <c r="AD114" s="10">
        <v>11.724938204000001</v>
      </c>
      <c r="AE114" s="34">
        <v>10.163455895</v>
      </c>
      <c r="AF114" s="34">
        <v>12.419973034</v>
      </c>
      <c r="AG114" s="34">
        <v>16.902079665999999</v>
      </c>
      <c r="AH114" s="10">
        <v>28.087301159999999</v>
      </c>
      <c r="AI114" s="34">
        <v>10.224678176999999</v>
      </c>
      <c r="AJ114" s="34">
        <v>21.047284466000001</v>
      </c>
      <c r="AK114" s="34">
        <v>39.130999817000003</v>
      </c>
      <c r="AL114" s="10">
        <v>42.054559183000002</v>
      </c>
      <c r="AM114" s="34">
        <v>29.707647803</v>
      </c>
      <c r="AN114" s="34">
        <v>30.454364621</v>
      </c>
      <c r="AO114" s="34">
        <v>27.588004799</v>
      </c>
      <c r="AP114" s="10">
        <v>71.149271330000005</v>
      </c>
      <c r="AQ114" s="34">
        <v>54.924819087000003</v>
      </c>
      <c r="AR114" s="34">
        <v>28.815046584000001</v>
      </c>
      <c r="AS114" s="34">
        <v>37.251086950000001</v>
      </c>
      <c r="AT114" s="10">
        <v>38.651778315000001</v>
      </c>
      <c r="AU114" s="34">
        <v>3.9568449330000002</v>
      </c>
      <c r="AV114" s="34">
        <v>51.231287526999999</v>
      </c>
      <c r="AW114" s="34">
        <v>46.54</v>
      </c>
    </row>
    <row r="115" spans="1:49">
      <c r="A115" s="33" t="s">
        <v>1808</v>
      </c>
      <c r="B115" s="33" t="s">
        <v>1809</v>
      </c>
      <c r="C115" s="34">
        <v>1.679963876</v>
      </c>
      <c r="D115" s="34">
        <v>8.6931948410000004</v>
      </c>
      <c r="E115" s="34">
        <v>13.350964228</v>
      </c>
      <c r="F115" s="34">
        <v>15.787426704</v>
      </c>
      <c r="G115" s="34">
        <v>20.109595096</v>
      </c>
      <c r="H115" s="34">
        <v>18.678842245999999</v>
      </c>
      <c r="I115" s="34">
        <v>21.416175209999999</v>
      </c>
      <c r="J115" s="34">
        <v>17.119964495000001</v>
      </c>
      <c r="K115" s="34">
        <v>17.982755040000001</v>
      </c>
      <c r="L115" s="34">
        <v>26.738314917</v>
      </c>
      <c r="M115" s="34">
        <v>28.120828619000001</v>
      </c>
      <c r="Z115" s="34" t="s">
        <v>1809</v>
      </c>
      <c r="AA115" s="34">
        <v>11.729901290000001</v>
      </c>
      <c r="AB115" s="34">
        <v>12.106793272999999</v>
      </c>
      <c r="AC115" s="34">
        <v>14.821285445999999</v>
      </c>
      <c r="AD115" s="10">
        <v>21.416175209999999</v>
      </c>
      <c r="AE115" s="34">
        <v>9.0428931810000002</v>
      </c>
      <c r="AF115" s="34">
        <v>12.562324393999999</v>
      </c>
      <c r="AG115" s="34">
        <v>14.778579664</v>
      </c>
      <c r="AH115" s="10">
        <v>17.119964495000001</v>
      </c>
      <c r="AI115" s="34">
        <v>9.0298005379999999</v>
      </c>
      <c r="AJ115" s="34">
        <v>10.852791295999999</v>
      </c>
      <c r="AK115" s="34">
        <v>13.823608884</v>
      </c>
      <c r="AL115" s="10">
        <v>17.982755040000001</v>
      </c>
      <c r="AM115" s="34">
        <v>11.276304795</v>
      </c>
      <c r="AN115" s="34">
        <v>17.618944507999998</v>
      </c>
      <c r="AO115" s="34">
        <v>20.595194569</v>
      </c>
      <c r="AP115" s="10">
        <v>26.738314917</v>
      </c>
      <c r="AQ115" s="34">
        <v>11.540155091999999</v>
      </c>
      <c r="AR115" s="34">
        <v>15.615474538999999</v>
      </c>
      <c r="AS115" s="34">
        <v>19.648577324000001</v>
      </c>
      <c r="AT115" s="10">
        <v>28.120828619000001</v>
      </c>
      <c r="AU115" s="34">
        <v>14.364459882</v>
      </c>
      <c r="AV115" s="34">
        <v>21.768333798</v>
      </c>
      <c r="AW115" s="34">
        <v>28.1</v>
      </c>
    </row>
    <row r="116" spans="1:49">
      <c r="A116" s="33" t="s">
        <v>1810</v>
      </c>
      <c r="B116" s="33" t="s">
        <v>1811</v>
      </c>
      <c r="C116" s="34">
        <v>8.995305278</v>
      </c>
      <c r="D116" s="34">
        <v>1.193572517</v>
      </c>
      <c r="E116" s="34">
        <v>12.903691338</v>
      </c>
      <c r="F116" s="34">
        <v>1.871363656</v>
      </c>
      <c r="G116" s="34">
        <v>1.135201197</v>
      </c>
      <c r="H116" s="34">
        <v>7.3491306390000002</v>
      </c>
      <c r="I116" s="34">
        <v>16.025875558999999</v>
      </c>
      <c r="J116" s="34">
        <v>100.16804254</v>
      </c>
      <c r="K116" s="34">
        <v>204.06965517500001</v>
      </c>
      <c r="L116" s="34">
        <v>604.94606534699994</v>
      </c>
      <c r="M116" s="34">
        <v>306.51099730700003</v>
      </c>
      <c r="Z116" s="34" t="s">
        <v>1811</v>
      </c>
      <c r="AA116" s="34">
        <v>10.164842754</v>
      </c>
      <c r="AB116" s="34">
        <v>4.5929229789999999</v>
      </c>
      <c r="AC116" s="34">
        <v>3.3626751690000001</v>
      </c>
      <c r="AD116" s="10">
        <v>14.209970655999999</v>
      </c>
      <c r="AE116" s="34">
        <v>6.0604467179999997</v>
      </c>
      <c r="AF116" s="34">
        <v>9.2360224940000002</v>
      </c>
      <c r="AG116" s="34">
        <v>42.171019979999997</v>
      </c>
      <c r="AH116" s="10">
        <v>109.222535675</v>
      </c>
      <c r="AI116" s="34">
        <v>76.650067475</v>
      </c>
      <c r="AJ116" s="34">
        <v>47.898679467999997</v>
      </c>
      <c r="AK116" s="34">
        <v>97.412370453999998</v>
      </c>
      <c r="AL116" s="10">
        <v>204.06965517500001</v>
      </c>
      <c r="AM116" s="34">
        <v>304.628079243</v>
      </c>
      <c r="AN116" s="34">
        <v>422.42891822000001</v>
      </c>
      <c r="AO116" s="34">
        <v>442.23923432800001</v>
      </c>
      <c r="AP116" s="10">
        <v>604.94606534699994</v>
      </c>
      <c r="AQ116" s="34">
        <v>735.71876393499997</v>
      </c>
      <c r="AR116" s="34">
        <v>480.67034411999998</v>
      </c>
      <c r="AS116" s="34">
        <v>211.16830596299999</v>
      </c>
      <c r="AT116" s="10">
        <v>306.51099730700003</v>
      </c>
      <c r="AU116" s="34">
        <v>157.89493897899999</v>
      </c>
      <c r="AV116" s="34">
        <v>161.30947463999999</v>
      </c>
      <c r="AW116" s="34">
        <v>111.52</v>
      </c>
    </row>
    <row r="117" spans="1:49">
      <c r="A117" s="33" t="s">
        <v>1812</v>
      </c>
      <c r="B117" s="33" t="s">
        <v>1813</v>
      </c>
      <c r="C117" s="34">
        <v>0</v>
      </c>
      <c r="D117" s="34">
        <v>0</v>
      </c>
      <c r="E117" s="34">
        <v>0</v>
      </c>
      <c r="F117" s="34">
        <v>0</v>
      </c>
      <c r="G117" s="34">
        <v>0</v>
      </c>
      <c r="H117" s="34">
        <v>0</v>
      </c>
      <c r="I117" s="34">
        <v>0</v>
      </c>
      <c r="J117" s="34">
        <v>0</v>
      </c>
      <c r="K117" s="34">
        <v>0</v>
      </c>
      <c r="L117" s="34">
        <v>0</v>
      </c>
      <c r="M117" s="34">
        <v>0</v>
      </c>
      <c r="Z117" s="34" t="s">
        <v>1813</v>
      </c>
      <c r="AA117" s="34">
        <v>0</v>
      </c>
      <c r="AB117" s="34">
        <v>0</v>
      </c>
      <c r="AC117" s="34">
        <v>0</v>
      </c>
      <c r="AD117" s="10">
        <v>0</v>
      </c>
      <c r="AE117" s="34">
        <v>0</v>
      </c>
      <c r="AF117" s="34">
        <v>0</v>
      </c>
      <c r="AG117" s="34">
        <v>0</v>
      </c>
      <c r="AH117" s="10">
        <v>0</v>
      </c>
      <c r="AI117" s="34">
        <v>0</v>
      </c>
      <c r="AJ117" s="34">
        <v>0</v>
      </c>
      <c r="AK117" s="34">
        <v>0</v>
      </c>
      <c r="AL117" s="10">
        <v>0</v>
      </c>
      <c r="AM117" s="34">
        <v>0</v>
      </c>
      <c r="AN117" s="34">
        <v>0</v>
      </c>
      <c r="AO117" s="34">
        <v>0</v>
      </c>
      <c r="AP117" s="10">
        <v>0</v>
      </c>
      <c r="AQ117" s="34">
        <v>0</v>
      </c>
      <c r="AR117" s="34">
        <v>0</v>
      </c>
      <c r="AS117" s="34">
        <v>0</v>
      </c>
      <c r="AT117" s="10">
        <v>0</v>
      </c>
      <c r="AU117" s="34">
        <v>0</v>
      </c>
      <c r="AV117" s="34">
        <v>0</v>
      </c>
      <c r="AW117" s="34">
        <v>0</v>
      </c>
    </row>
    <row r="118" spans="1:49">
      <c r="A118" s="33" t="s">
        <v>1814</v>
      </c>
      <c r="B118" s="33" t="s">
        <v>1815</v>
      </c>
      <c r="C118" s="34">
        <v>0</v>
      </c>
      <c r="D118" s="34">
        <v>0</v>
      </c>
      <c r="E118" s="34">
        <v>0</v>
      </c>
      <c r="F118" s="34">
        <v>0</v>
      </c>
      <c r="G118" s="34">
        <v>0</v>
      </c>
      <c r="H118" s="34">
        <v>0</v>
      </c>
      <c r="I118" s="34">
        <v>0</v>
      </c>
      <c r="J118" s="34">
        <v>0</v>
      </c>
      <c r="K118" s="34">
        <v>0</v>
      </c>
      <c r="L118" s="34">
        <v>0</v>
      </c>
      <c r="M118" s="34">
        <v>0</v>
      </c>
      <c r="Z118" s="34" t="s">
        <v>1815</v>
      </c>
      <c r="AA118" s="34">
        <v>0</v>
      </c>
      <c r="AB118" s="34">
        <v>0</v>
      </c>
      <c r="AC118" s="34">
        <v>0</v>
      </c>
      <c r="AD118" s="10">
        <v>0</v>
      </c>
      <c r="AE118" s="34">
        <v>0</v>
      </c>
      <c r="AF118" s="34">
        <v>0</v>
      </c>
      <c r="AG118" s="34">
        <v>0</v>
      </c>
      <c r="AH118" s="10">
        <v>0</v>
      </c>
      <c r="AI118" s="34">
        <v>0</v>
      </c>
      <c r="AJ118" s="34">
        <v>0</v>
      </c>
      <c r="AK118" s="34">
        <v>0</v>
      </c>
      <c r="AL118" s="10">
        <v>0</v>
      </c>
      <c r="AM118" s="34">
        <v>0</v>
      </c>
      <c r="AN118" s="34">
        <v>0</v>
      </c>
      <c r="AO118" s="34">
        <v>0</v>
      </c>
      <c r="AP118" s="10">
        <v>0</v>
      </c>
      <c r="AQ118" s="34">
        <v>0</v>
      </c>
      <c r="AR118" s="34">
        <v>0</v>
      </c>
      <c r="AS118" s="34">
        <v>0</v>
      </c>
      <c r="AT118" s="10">
        <v>0</v>
      </c>
      <c r="AU118" s="34">
        <v>0</v>
      </c>
      <c r="AV118" s="34">
        <v>0</v>
      </c>
      <c r="AW118" s="34">
        <v>0</v>
      </c>
    </row>
    <row r="119" spans="1:49">
      <c r="A119" s="33" t="s">
        <v>1816</v>
      </c>
      <c r="B119" s="33" t="s">
        <v>1817</v>
      </c>
      <c r="C119" s="34">
        <v>0</v>
      </c>
      <c r="D119" s="34">
        <v>0</v>
      </c>
      <c r="E119" s="34">
        <v>0</v>
      </c>
      <c r="F119" s="34">
        <v>0</v>
      </c>
      <c r="G119" s="34">
        <v>0</v>
      </c>
      <c r="H119" s="34">
        <v>0.28399999999999997</v>
      </c>
      <c r="I119" s="34">
        <v>0</v>
      </c>
      <c r="J119" s="34">
        <v>0</v>
      </c>
      <c r="K119" s="34">
        <v>1.702E-2</v>
      </c>
      <c r="L119" s="34">
        <v>4.7574891000000001E-2</v>
      </c>
      <c r="M119" s="34">
        <v>0.247446844</v>
      </c>
      <c r="Z119" s="34" t="s">
        <v>1817</v>
      </c>
      <c r="AA119" s="34">
        <v>0.28399999999999997</v>
      </c>
      <c r="AB119" s="34">
        <v>0</v>
      </c>
      <c r="AC119" s="34">
        <v>1.278</v>
      </c>
      <c r="AD119" s="10">
        <v>0</v>
      </c>
      <c r="AE119" s="34">
        <v>0</v>
      </c>
      <c r="AF119" s="34">
        <v>0</v>
      </c>
      <c r="AG119" s="34">
        <v>0</v>
      </c>
      <c r="AH119" s="10">
        <v>0</v>
      </c>
      <c r="AI119" s="34">
        <v>0</v>
      </c>
      <c r="AJ119" s="34">
        <v>0</v>
      </c>
      <c r="AK119" s="34">
        <v>0</v>
      </c>
      <c r="AL119" s="10">
        <v>1.702E-2</v>
      </c>
      <c r="AM119" s="34">
        <v>2.0310000000000002E-2</v>
      </c>
      <c r="AN119" s="34">
        <v>2.4809999999999999E-2</v>
      </c>
      <c r="AO119" s="34">
        <v>2.4809999999999999E-2</v>
      </c>
      <c r="AP119" s="10">
        <v>4.7574891000000001E-2</v>
      </c>
      <c r="AQ119" s="34">
        <v>0</v>
      </c>
      <c r="AR119" s="34">
        <v>5.3499999999999997E-3</v>
      </c>
      <c r="AS119" s="34">
        <v>5.3499999999999997E-3</v>
      </c>
      <c r="AT119" s="10">
        <v>0.247446844</v>
      </c>
      <c r="AU119" s="34">
        <v>0</v>
      </c>
      <c r="AV119" s="34">
        <v>0</v>
      </c>
      <c r="AW119" s="34">
        <v>0</v>
      </c>
    </row>
    <row r="120" spans="1:49">
      <c r="A120" s="33" t="s">
        <v>1818</v>
      </c>
      <c r="B120" s="33" t="s">
        <v>1819</v>
      </c>
      <c r="C120" s="34">
        <v>8.8181895459999993</v>
      </c>
      <c r="D120" s="34">
        <v>21.645125295</v>
      </c>
      <c r="E120" s="34">
        <v>13.694065819</v>
      </c>
      <c r="F120" s="34">
        <v>15.67034686</v>
      </c>
      <c r="G120" s="34">
        <v>17.011020754</v>
      </c>
      <c r="H120" s="34">
        <v>14.896590517</v>
      </c>
      <c r="I120" s="34">
        <v>6.4556533800000002</v>
      </c>
      <c r="J120" s="34">
        <v>7.6762441270000004</v>
      </c>
      <c r="K120" s="34">
        <v>15.356213679</v>
      </c>
      <c r="L120" s="34">
        <v>16.589605047999999</v>
      </c>
      <c r="M120" s="34">
        <v>287.56515034199998</v>
      </c>
      <c r="Z120" s="34" t="s">
        <v>1819</v>
      </c>
      <c r="AA120" s="34">
        <v>12.738634781</v>
      </c>
      <c r="AB120" s="34">
        <v>10.701736882000001</v>
      </c>
      <c r="AC120" s="34">
        <v>6.8117423529999996</v>
      </c>
      <c r="AD120" s="10">
        <v>6.495639465</v>
      </c>
      <c r="AE120" s="34">
        <v>7.0401104190000003</v>
      </c>
      <c r="AF120" s="34">
        <v>9.4666965839999992</v>
      </c>
      <c r="AG120" s="34">
        <v>13.605355618000001</v>
      </c>
      <c r="AH120" s="10">
        <v>12.906438232999999</v>
      </c>
      <c r="AI120" s="34">
        <v>14.742054528000001</v>
      </c>
      <c r="AJ120" s="34">
        <v>7.7822315179999997</v>
      </c>
      <c r="AK120" s="34">
        <v>19.548144094000001</v>
      </c>
      <c r="AL120" s="10">
        <v>15.356213679</v>
      </c>
      <c r="AM120" s="34">
        <v>49.571926951000002</v>
      </c>
      <c r="AN120" s="34">
        <v>6.8615415219999996</v>
      </c>
      <c r="AO120" s="34">
        <v>22.005509962000001</v>
      </c>
      <c r="AP120" s="10">
        <v>16.589605047999999</v>
      </c>
      <c r="AQ120" s="34">
        <v>6.0475280959999997</v>
      </c>
      <c r="AR120" s="34">
        <v>460.67261267800001</v>
      </c>
      <c r="AS120" s="34">
        <v>167.291955403</v>
      </c>
      <c r="AT120" s="10">
        <v>287.43315034199998</v>
      </c>
      <c r="AU120" s="34">
        <v>132.959470807</v>
      </c>
      <c r="AV120" s="34">
        <v>196.387216271</v>
      </c>
      <c r="AW120" s="34">
        <v>463.37</v>
      </c>
    </row>
    <row r="121" spans="1:49" s="41" customFormat="1">
      <c r="A121" s="40" t="s">
        <v>553</v>
      </c>
      <c r="B121" s="40" t="s">
        <v>1820</v>
      </c>
      <c r="C121" s="41">
        <v>241.67538224800001</v>
      </c>
      <c r="D121" s="41">
        <v>453.98326474100003</v>
      </c>
      <c r="E121" s="41">
        <v>603.10450639099997</v>
      </c>
      <c r="F121" s="41">
        <v>422.90698452300001</v>
      </c>
      <c r="G121" s="41">
        <v>342.56903368600001</v>
      </c>
      <c r="H121" s="41">
        <v>620.94444701600003</v>
      </c>
      <c r="I121" s="41">
        <v>836.88413476999995</v>
      </c>
      <c r="J121" s="41">
        <v>620.25172500600002</v>
      </c>
      <c r="K121" s="41">
        <v>629.601074208</v>
      </c>
      <c r="L121" s="41">
        <v>1117.227937872</v>
      </c>
      <c r="M121" s="41">
        <v>1914.8263759930001</v>
      </c>
      <c r="O121" s="7"/>
      <c r="P121" s="7"/>
      <c r="Z121" s="41" t="s">
        <v>1820</v>
      </c>
      <c r="AA121" s="41">
        <v>560.92544109300002</v>
      </c>
      <c r="AB121" s="41">
        <v>501.17501431900001</v>
      </c>
      <c r="AC121" s="41">
        <v>644.61825578499997</v>
      </c>
      <c r="AD121" s="11">
        <v>836.88413476999995</v>
      </c>
      <c r="AE121" s="41">
        <v>809.84537202000001</v>
      </c>
      <c r="AF121" s="41">
        <v>934.32833514000004</v>
      </c>
      <c r="AG121" s="41">
        <v>594.19351556399999</v>
      </c>
      <c r="AH121" s="11">
        <v>620.25172500600002</v>
      </c>
      <c r="AI121" s="41">
        <v>510.93424370299999</v>
      </c>
      <c r="AJ121" s="41">
        <v>529.06149662999997</v>
      </c>
      <c r="AK121" s="41">
        <v>474.04531081099998</v>
      </c>
      <c r="AL121" s="11">
        <v>629.601074208</v>
      </c>
      <c r="AM121" s="41">
        <v>675.78344246999995</v>
      </c>
      <c r="AN121" s="41">
        <v>612.01809300299999</v>
      </c>
      <c r="AO121" s="41">
        <v>1067.3626280650001</v>
      </c>
      <c r="AP121" s="11">
        <v>1117.227937872</v>
      </c>
      <c r="AQ121" s="41">
        <v>1978.9143955049999</v>
      </c>
      <c r="AR121" s="41">
        <v>1243.4153264050001</v>
      </c>
      <c r="AS121" s="41">
        <v>2372.42427864</v>
      </c>
      <c r="AT121" s="11">
        <v>1914.8263759930001</v>
      </c>
      <c r="AU121" s="41">
        <v>1752.303244014</v>
      </c>
      <c r="AV121" s="41">
        <v>2120.7407170880001</v>
      </c>
      <c r="AW121" s="41">
        <v>2022.13</v>
      </c>
    </row>
    <row r="122" spans="1:49">
      <c r="A122" s="33" t="s">
        <v>1821</v>
      </c>
      <c r="B122" s="33" t="s">
        <v>1822</v>
      </c>
      <c r="C122" s="34">
        <v>0</v>
      </c>
      <c r="D122" s="34">
        <v>0</v>
      </c>
      <c r="E122" s="34">
        <v>0</v>
      </c>
      <c r="F122" s="34">
        <v>0</v>
      </c>
      <c r="G122" s="34">
        <v>0</v>
      </c>
      <c r="H122" s="34">
        <v>0</v>
      </c>
      <c r="I122" s="34">
        <v>0</v>
      </c>
      <c r="J122" s="34">
        <v>0</v>
      </c>
      <c r="K122" s="34">
        <v>0</v>
      </c>
      <c r="L122" s="34">
        <v>0</v>
      </c>
      <c r="M122" s="34">
        <v>0</v>
      </c>
      <c r="Z122" s="34" t="s">
        <v>1822</v>
      </c>
      <c r="AA122" s="34">
        <v>0</v>
      </c>
      <c r="AB122" s="34">
        <v>0</v>
      </c>
      <c r="AC122" s="34">
        <v>0</v>
      </c>
      <c r="AD122" s="10">
        <v>0</v>
      </c>
      <c r="AE122" s="34">
        <v>0</v>
      </c>
      <c r="AF122" s="34">
        <v>0</v>
      </c>
      <c r="AG122" s="34">
        <v>0</v>
      </c>
      <c r="AH122" s="10">
        <v>0</v>
      </c>
      <c r="AI122" s="34">
        <v>0</v>
      </c>
      <c r="AJ122" s="34">
        <v>0</v>
      </c>
      <c r="AK122" s="34">
        <v>0</v>
      </c>
      <c r="AL122" s="10">
        <v>0</v>
      </c>
      <c r="AM122" s="34">
        <v>0</v>
      </c>
      <c r="AN122" s="34">
        <v>0</v>
      </c>
      <c r="AO122" s="34">
        <v>0</v>
      </c>
      <c r="AP122" s="10">
        <v>0</v>
      </c>
      <c r="AQ122" s="34">
        <v>0</v>
      </c>
      <c r="AR122" s="34">
        <v>0</v>
      </c>
      <c r="AS122" s="34">
        <v>0</v>
      </c>
      <c r="AT122" s="10">
        <v>-7.5193876000000007E-2</v>
      </c>
      <c r="AU122" s="34">
        <v>-3.347853E-3</v>
      </c>
      <c r="AV122" s="34">
        <v>0</v>
      </c>
      <c r="AW122" s="34">
        <v>-0.03</v>
      </c>
    </row>
    <row r="123" spans="1:49">
      <c r="A123" s="33" t="s">
        <v>1823</v>
      </c>
      <c r="B123" s="33" t="s">
        <v>1824</v>
      </c>
      <c r="C123" s="34">
        <v>0.354463692</v>
      </c>
      <c r="D123" s="34">
        <v>4.6183025000000003E-2</v>
      </c>
      <c r="E123" s="34">
        <v>0</v>
      </c>
      <c r="F123" s="34">
        <v>0</v>
      </c>
      <c r="G123" s="34">
        <v>0</v>
      </c>
      <c r="H123" s="34">
        <v>0</v>
      </c>
      <c r="I123" s="34">
        <v>0</v>
      </c>
      <c r="J123" s="34">
        <v>0</v>
      </c>
      <c r="K123" s="34">
        <v>0</v>
      </c>
      <c r="L123" s="34">
        <v>0</v>
      </c>
      <c r="M123" s="34">
        <v>0</v>
      </c>
      <c r="Z123" s="34" t="s">
        <v>1824</v>
      </c>
      <c r="AA123" s="34">
        <v>0</v>
      </c>
      <c r="AB123" s="34">
        <v>0</v>
      </c>
      <c r="AC123" s="34">
        <v>0</v>
      </c>
      <c r="AD123" s="10">
        <v>0</v>
      </c>
      <c r="AE123" s="34">
        <v>0</v>
      </c>
      <c r="AF123" s="34">
        <v>0</v>
      </c>
      <c r="AG123" s="34">
        <v>0</v>
      </c>
      <c r="AH123" s="10">
        <v>0</v>
      </c>
      <c r="AI123" s="34">
        <v>0</v>
      </c>
      <c r="AJ123" s="34">
        <v>0</v>
      </c>
      <c r="AK123" s="34">
        <v>0</v>
      </c>
      <c r="AL123" s="10">
        <v>0</v>
      </c>
      <c r="AM123" s="34">
        <v>0</v>
      </c>
      <c r="AN123" s="34">
        <v>0</v>
      </c>
      <c r="AO123" s="34">
        <v>0</v>
      </c>
      <c r="AP123" s="10">
        <v>0</v>
      </c>
      <c r="AQ123" s="34">
        <v>0</v>
      </c>
      <c r="AR123" s="34">
        <v>0</v>
      </c>
      <c r="AS123" s="34">
        <v>0</v>
      </c>
      <c r="AT123" s="10">
        <v>0</v>
      </c>
      <c r="AU123" s="34">
        <v>0</v>
      </c>
      <c r="AV123" s="34">
        <v>0</v>
      </c>
      <c r="AW123" s="34">
        <v>0</v>
      </c>
    </row>
    <row r="124" spans="1:49">
      <c r="A124" s="33" t="s">
        <v>1825</v>
      </c>
      <c r="B124" s="33" t="s">
        <v>1826</v>
      </c>
      <c r="C124" s="34">
        <v>0</v>
      </c>
      <c r="D124" s="34">
        <v>0</v>
      </c>
      <c r="E124" s="34">
        <v>0</v>
      </c>
      <c r="F124" s="34">
        <v>0</v>
      </c>
      <c r="G124" s="34">
        <v>0</v>
      </c>
      <c r="H124" s="34">
        <v>0</v>
      </c>
      <c r="I124" s="34">
        <v>0</v>
      </c>
      <c r="J124" s="34">
        <v>0</v>
      </c>
      <c r="K124" s="34">
        <v>0</v>
      </c>
      <c r="L124" s="34">
        <v>0</v>
      </c>
      <c r="M124" s="34">
        <v>0</v>
      </c>
      <c r="Z124" s="34" t="s">
        <v>1826</v>
      </c>
      <c r="AA124" s="34">
        <v>0</v>
      </c>
      <c r="AB124" s="34">
        <v>0</v>
      </c>
      <c r="AC124" s="34">
        <v>0</v>
      </c>
      <c r="AD124" s="10">
        <v>0</v>
      </c>
      <c r="AE124" s="34">
        <v>0</v>
      </c>
      <c r="AF124" s="34">
        <v>0</v>
      </c>
      <c r="AG124" s="34">
        <v>0</v>
      </c>
      <c r="AH124" s="10">
        <v>0</v>
      </c>
      <c r="AI124" s="34">
        <v>0</v>
      </c>
      <c r="AJ124" s="34">
        <v>0</v>
      </c>
      <c r="AK124" s="34">
        <v>0</v>
      </c>
      <c r="AL124" s="10">
        <v>0</v>
      </c>
      <c r="AM124" s="34">
        <v>0</v>
      </c>
      <c r="AN124" s="34">
        <v>0</v>
      </c>
      <c r="AO124" s="34">
        <v>0</v>
      </c>
      <c r="AP124" s="10">
        <v>0</v>
      </c>
      <c r="AQ124" s="34">
        <v>0</v>
      </c>
      <c r="AR124" s="34">
        <v>0</v>
      </c>
      <c r="AS124" s="34">
        <v>0</v>
      </c>
      <c r="AT124" s="10">
        <v>0</v>
      </c>
      <c r="AU124" s="34">
        <v>0</v>
      </c>
      <c r="AV124" s="34">
        <v>0</v>
      </c>
      <c r="AW124" s="34">
        <v>0</v>
      </c>
    </row>
    <row r="125" spans="1:49">
      <c r="A125" s="33" t="s">
        <v>1724</v>
      </c>
      <c r="B125" s="33" t="s">
        <v>1725</v>
      </c>
      <c r="C125" s="34">
        <v>0</v>
      </c>
      <c r="D125" s="34">
        <v>0</v>
      </c>
      <c r="E125" s="34">
        <v>0</v>
      </c>
      <c r="F125" s="34">
        <v>0</v>
      </c>
      <c r="G125" s="34">
        <v>0</v>
      </c>
      <c r="H125" s="34">
        <v>0</v>
      </c>
      <c r="I125" s="34">
        <v>0</v>
      </c>
      <c r="J125" s="34">
        <v>0</v>
      </c>
      <c r="K125" s="34">
        <v>0</v>
      </c>
      <c r="L125" s="34">
        <v>0</v>
      </c>
      <c r="M125" s="34">
        <v>0</v>
      </c>
      <c r="Z125" s="34" t="s">
        <v>1725</v>
      </c>
      <c r="AA125" s="34">
        <v>0</v>
      </c>
      <c r="AB125" s="34">
        <v>0</v>
      </c>
      <c r="AC125" s="34">
        <v>0</v>
      </c>
      <c r="AD125" s="10">
        <v>0</v>
      </c>
      <c r="AE125" s="34">
        <v>0</v>
      </c>
      <c r="AF125" s="34">
        <v>0</v>
      </c>
      <c r="AG125" s="34">
        <v>0</v>
      </c>
      <c r="AH125" s="10">
        <v>0</v>
      </c>
      <c r="AI125" s="34">
        <v>0</v>
      </c>
      <c r="AJ125" s="34">
        <v>0</v>
      </c>
      <c r="AK125" s="34">
        <v>0</v>
      </c>
      <c r="AL125" s="10">
        <v>0</v>
      </c>
      <c r="AM125" s="34">
        <v>0</v>
      </c>
      <c r="AN125" s="34">
        <v>0</v>
      </c>
      <c r="AO125" s="34">
        <v>0</v>
      </c>
      <c r="AP125" s="10">
        <v>0</v>
      </c>
      <c r="AQ125" s="34">
        <v>0</v>
      </c>
      <c r="AR125" s="34">
        <v>0</v>
      </c>
      <c r="AS125" s="34">
        <v>0</v>
      </c>
      <c r="AT125" s="10">
        <v>0</v>
      </c>
      <c r="AU125" s="34">
        <v>0</v>
      </c>
      <c r="AV125" s="34">
        <v>0</v>
      </c>
      <c r="AW125" s="34">
        <v>0</v>
      </c>
    </row>
    <row r="126" spans="1:49" s="41" customFormat="1">
      <c r="A126" s="40" t="s">
        <v>1827</v>
      </c>
      <c r="B126" s="40" t="s">
        <v>1828</v>
      </c>
      <c r="C126" s="41">
        <v>39.772957210999998</v>
      </c>
      <c r="D126" s="41">
        <v>34.393931879</v>
      </c>
      <c r="E126" s="41">
        <v>29.930429878999998</v>
      </c>
      <c r="F126" s="41">
        <v>27.694772877999998</v>
      </c>
      <c r="G126" s="41">
        <v>4.0534298790000003</v>
      </c>
      <c r="H126" s="41">
        <v>2.6004429619999998</v>
      </c>
      <c r="I126" s="41">
        <v>4.9633609270000001</v>
      </c>
      <c r="J126" s="41">
        <v>4.466460927</v>
      </c>
      <c r="K126" s="41">
        <v>4.6086294270000003</v>
      </c>
      <c r="L126" s="41">
        <v>10.242542364</v>
      </c>
      <c r="M126" s="41">
        <v>49.872286506999998</v>
      </c>
      <c r="O126" s="7"/>
      <c r="P126" s="7"/>
      <c r="Z126" s="41" t="s">
        <v>1828</v>
      </c>
      <c r="AA126" s="41">
        <v>2.6487829619999999</v>
      </c>
      <c r="AB126" s="41">
        <v>3.1000814999999999</v>
      </c>
      <c r="AC126" s="41">
        <v>4.8437109270000001</v>
      </c>
      <c r="AD126" s="11">
        <v>4.9507109519999997</v>
      </c>
      <c r="AE126" s="41">
        <v>4.9907109270000003</v>
      </c>
      <c r="AF126" s="41">
        <v>4.4987609270000002</v>
      </c>
      <c r="AG126" s="41">
        <v>4.4886294270000002</v>
      </c>
      <c r="AH126" s="11">
        <v>4.458629427</v>
      </c>
      <c r="AI126" s="41">
        <v>4.5286294270000003</v>
      </c>
      <c r="AJ126" s="41">
        <v>4.3586294270000003</v>
      </c>
      <c r="AK126" s="41">
        <v>4.5586294269999996</v>
      </c>
      <c r="AL126" s="11">
        <v>4.6086294270000003</v>
      </c>
      <c r="AM126" s="41">
        <v>4.3586294270000003</v>
      </c>
      <c r="AN126" s="41">
        <v>4.708629427</v>
      </c>
      <c r="AO126" s="41">
        <v>4.6586294270000002</v>
      </c>
      <c r="AP126" s="11">
        <v>10.242542364</v>
      </c>
      <c r="AQ126" s="41">
        <v>10.942542363999999</v>
      </c>
      <c r="AR126" s="41">
        <v>9.8425423639999998</v>
      </c>
      <c r="AS126" s="41">
        <v>9.9425423639999995</v>
      </c>
      <c r="AT126" s="11">
        <v>49.872286537000001</v>
      </c>
      <c r="AU126" s="41">
        <v>32.253949728999999</v>
      </c>
      <c r="AV126" s="41">
        <v>20.852286506999999</v>
      </c>
      <c r="AW126" s="41">
        <v>20.65</v>
      </c>
    </row>
    <row r="127" spans="1:49">
      <c r="A127" s="33" t="s">
        <v>1829</v>
      </c>
      <c r="B127" s="33" t="s">
        <v>1830</v>
      </c>
      <c r="C127" s="34">
        <v>0</v>
      </c>
      <c r="D127" s="34">
        <v>0</v>
      </c>
      <c r="E127" s="34">
        <v>0</v>
      </c>
      <c r="F127" s="34">
        <v>0</v>
      </c>
      <c r="G127" s="34">
        <v>0</v>
      </c>
      <c r="H127" s="34">
        <v>0</v>
      </c>
      <c r="I127" s="34">
        <v>0</v>
      </c>
      <c r="J127" s="34">
        <v>0</v>
      </c>
      <c r="K127" s="34">
        <v>0</v>
      </c>
      <c r="L127" s="34">
        <v>0</v>
      </c>
      <c r="M127" s="34">
        <v>0</v>
      </c>
      <c r="Z127" s="34" t="s">
        <v>1830</v>
      </c>
      <c r="AA127" s="34">
        <v>0</v>
      </c>
      <c r="AB127" s="34">
        <v>0</v>
      </c>
      <c r="AC127" s="34">
        <v>0</v>
      </c>
      <c r="AD127" s="10">
        <v>0</v>
      </c>
      <c r="AE127" s="34">
        <v>0</v>
      </c>
      <c r="AF127" s="34">
        <v>0</v>
      </c>
      <c r="AG127" s="34">
        <v>0</v>
      </c>
      <c r="AH127" s="10">
        <v>0</v>
      </c>
      <c r="AI127" s="34">
        <v>0</v>
      </c>
      <c r="AJ127" s="34">
        <v>0</v>
      </c>
      <c r="AK127" s="34">
        <v>0</v>
      </c>
      <c r="AL127" s="10">
        <v>0</v>
      </c>
      <c r="AM127" s="34">
        <v>0</v>
      </c>
      <c r="AN127" s="34">
        <v>0</v>
      </c>
      <c r="AO127" s="34">
        <v>0</v>
      </c>
      <c r="AP127" s="10">
        <v>0</v>
      </c>
      <c r="AQ127" s="34">
        <v>0</v>
      </c>
      <c r="AR127" s="34">
        <v>0</v>
      </c>
      <c r="AS127" s="34">
        <v>0</v>
      </c>
      <c r="AT127" s="10">
        <v>0</v>
      </c>
      <c r="AU127" s="34">
        <v>0</v>
      </c>
      <c r="AV127" s="34">
        <v>0</v>
      </c>
      <c r="AW127" s="34">
        <v>0</v>
      </c>
    </row>
    <row r="128" spans="1:49">
      <c r="A128" s="33" t="s">
        <v>1831</v>
      </c>
      <c r="B128" s="33" t="s">
        <v>1832</v>
      </c>
      <c r="C128" s="34">
        <v>0</v>
      </c>
      <c r="D128" s="34">
        <v>0</v>
      </c>
      <c r="E128" s="34">
        <v>0</v>
      </c>
      <c r="F128" s="34">
        <v>0</v>
      </c>
      <c r="G128" s="34">
        <v>0</v>
      </c>
      <c r="H128" s="34">
        <v>0</v>
      </c>
      <c r="I128" s="34">
        <v>0</v>
      </c>
      <c r="J128" s="34">
        <v>0</v>
      </c>
      <c r="K128" s="34">
        <v>0</v>
      </c>
      <c r="L128" s="34">
        <v>0</v>
      </c>
      <c r="M128" s="34">
        <v>0</v>
      </c>
      <c r="Z128" s="34" t="s">
        <v>1832</v>
      </c>
      <c r="AA128" s="34">
        <v>0</v>
      </c>
      <c r="AB128" s="34">
        <v>0</v>
      </c>
      <c r="AC128" s="34">
        <v>0</v>
      </c>
      <c r="AD128" s="10">
        <v>0</v>
      </c>
      <c r="AE128" s="34">
        <v>0</v>
      </c>
      <c r="AF128" s="34">
        <v>0</v>
      </c>
      <c r="AG128" s="34">
        <v>0</v>
      </c>
      <c r="AH128" s="10">
        <v>0</v>
      </c>
      <c r="AI128" s="34">
        <v>0</v>
      </c>
      <c r="AJ128" s="34">
        <v>0</v>
      </c>
      <c r="AK128" s="34">
        <v>0</v>
      </c>
      <c r="AL128" s="10">
        <v>0</v>
      </c>
      <c r="AM128" s="34">
        <v>0</v>
      </c>
      <c r="AN128" s="34">
        <v>0</v>
      </c>
      <c r="AO128" s="34">
        <v>0</v>
      </c>
      <c r="AP128" s="10">
        <v>0</v>
      </c>
      <c r="AQ128" s="34">
        <v>0</v>
      </c>
      <c r="AR128" s="34">
        <v>0</v>
      </c>
      <c r="AS128" s="34">
        <v>0</v>
      </c>
      <c r="AT128" s="10">
        <v>0</v>
      </c>
      <c r="AU128" s="34">
        <v>0</v>
      </c>
      <c r="AV128" s="34">
        <v>0</v>
      </c>
      <c r="AW128" s="34">
        <v>0</v>
      </c>
    </row>
    <row r="129" spans="1:49">
      <c r="A129" s="33" t="s">
        <v>1833</v>
      </c>
      <c r="B129" s="33" t="s">
        <v>1834</v>
      </c>
      <c r="C129" s="34">
        <v>0</v>
      </c>
      <c r="D129" s="34">
        <v>0</v>
      </c>
      <c r="E129" s="34">
        <v>0</v>
      </c>
      <c r="F129" s="34">
        <v>0</v>
      </c>
      <c r="G129" s="34">
        <v>0</v>
      </c>
      <c r="H129" s="34">
        <v>0</v>
      </c>
      <c r="I129" s="34">
        <v>0</v>
      </c>
      <c r="J129" s="34">
        <v>0</v>
      </c>
      <c r="K129" s="34">
        <v>0</v>
      </c>
      <c r="L129" s="34">
        <v>0</v>
      </c>
      <c r="M129" s="34">
        <v>0</v>
      </c>
      <c r="Z129" s="34" t="s">
        <v>1834</v>
      </c>
      <c r="AA129" s="34">
        <v>0</v>
      </c>
      <c r="AB129" s="34">
        <v>0</v>
      </c>
      <c r="AC129" s="34">
        <v>0</v>
      </c>
      <c r="AD129" s="10">
        <v>0</v>
      </c>
      <c r="AE129" s="34">
        <v>0</v>
      </c>
      <c r="AF129" s="34">
        <v>0</v>
      </c>
      <c r="AG129" s="34">
        <v>0</v>
      </c>
      <c r="AH129" s="10">
        <v>0</v>
      </c>
      <c r="AI129" s="34">
        <v>0</v>
      </c>
      <c r="AJ129" s="34">
        <v>0</v>
      </c>
      <c r="AK129" s="34">
        <v>0</v>
      </c>
      <c r="AL129" s="10">
        <v>0</v>
      </c>
      <c r="AM129" s="34">
        <v>0</v>
      </c>
      <c r="AN129" s="34">
        <v>0</v>
      </c>
      <c r="AO129" s="34">
        <v>0</v>
      </c>
      <c r="AP129" s="10">
        <v>0</v>
      </c>
      <c r="AQ129" s="34">
        <v>0</v>
      </c>
      <c r="AR129" s="34">
        <v>0</v>
      </c>
      <c r="AS129" s="34">
        <v>0</v>
      </c>
      <c r="AT129" s="10">
        <v>0</v>
      </c>
      <c r="AU129" s="34">
        <v>0</v>
      </c>
      <c r="AV129" s="34">
        <v>0</v>
      </c>
      <c r="AW129" s="34">
        <v>0</v>
      </c>
    </row>
    <row r="130" spans="1:49">
      <c r="A130" s="33" t="s">
        <v>1835</v>
      </c>
      <c r="B130" s="33" t="s">
        <v>1836</v>
      </c>
      <c r="C130" s="34">
        <v>0</v>
      </c>
      <c r="D130" s="34">
        <v>0</v>
      </c>
      <c r="E130" s="34">
        <v>0</v>
      </c>
      <c r="F130" s="34">
        <v>0</v>
      </c>
      <c r="G130" s="34">
        <v>0</v>
      </c>
      <c r="H130" s="34">
        <v>0</v>
      </c>
      <c r="I130" s="34">
        <v>0</v>
      </c>
      <c r="J130" s="34">
        <v>0</v>
      </c>
      <c r="K130" s="34">
        <v>0</v>
      </c>
      <c r="L130" s="34">
        <v>0</v>
      </c>
      <c r="M130" s="34">
        <v>0</v>
      </c>
      <c r="Z130" s="34" t="s">
        <v>1836</v>
      </c>
      <c r="AA130" s="34">
        <v>0</v>
      </c>
      <c r="AB130" s="34">
        <v>0</v>
      </c>
      <c r="AC130" s="34">
        <v>0</v>
      </c>
      <c r="AD130" s="10">
        <v>0</v>
      </c>
      <c r="AE130" s="34">
        <v>0</v>
      </c>
      <c r="AF130" s="34">
        <v>0</v>
      </c>
      <c r="AG130" s="34">
        <v>0</v>
      </c>
      <c r="AH130" s="10">
        <v>0</v>
      </c>
      <c r="AI130" s="34">
        <v>0</v>
      </c>
      <c r="AJ130" s="34">
        <v>0</v>
      </c>
      <c r="AK130" s="34">
        <v>0</v>
      </c>
      <c r="AL130" s="10">
        <v>0</v>
      </c>
      <c r="AM130" s="34">
        <v>0</v>
      </c>
      <c r="AN130" s="34">
        <v>0</v>
      </c>
      <c r="AO130" s="34">
        <v>0</v>
      </c>
      <c r="AP130" s="10">
        <v>0</v>
      </c>
      <c r="AQ130" s="34">
        <v>0</v>
      </c>
      <c r="AR130" s="34">
        <v>0</v>
      </c>
      <c r="AS130" s="34">
        <v>0</v>
      </c>
      <c r="AT130" s="10">
        <v>0</v>
      </c>
      <c r="AU130" s="34">
        <v>0</v>
      </c>
      <c r="AV130" s="34">
        <v>0</v>
      </c>
      <c r="AW130" s="34">
        <v>0</v>
      </c>
    </row>
    <row r="131" spans="1:49">
      <c r="A131" s="33" t="s">
        <v>1837</v>
      </c>
      <c r="B131" s="33" t="s">
        <v>1838</v>
      </c>
      <c r="C131" s="34">
        <v>0</v>
      </c>
      <c r="D131" s="34">
        <v>0</v>
      </c>
      <c r="E131" s="34">
        <v>0</v>
      </c>
      <c r="F131" s="34">
        <v>0</v>
      </c>
      <c r="G131" s="34">
        <v>0</v>
      </c>
      <c r="H131" s="34">
        <v>0</v>
      </c>
      <c r="I131" s="34">
        <v>0</v>
      </c>
      <c r="J131" s="34">
        <v>0</v>
      </c>
      <c r="K131" s="34">
        <v>0</v>
      </c>
      <c r="L131" s="34">
        <v>0</v>
      </c>
      <c r="M131" s="34">
        <v>0</v>
      </c>
      <c r="Z131" s="34" t="s">
        <v>1838</v>
      </c>
      <c r="AA131" s="34">
        <v>0</v>
      </c>
      <c r="AB131" s="34">
        <v>0</v>
      </c>
      <c r="AC131" s="34">
        <v>0</v>
      </c>
      <c r="AD131" s="10">
        <v>0</v>
      </c>
      <c r="AE131" s="34">
        <v>0</v>
      </c>
      <c r="AF131" s="34">
        <v>0</v>
      </c>
      <c r="AG131" s="34">
        <v>0</v>
      </c>
      <c r="AH131" s="10">
        <v>0</v>
      </c>
      <c r="AI131" s="34">
        <v>0</v>
      </c>
      <c r="AJ131" s="34">
        <v>0</v>
      </c>
      <c r="AK131" s="34">
        <v>0</v>
      </c>
      <c r="AL131" s="10">
        <v>0</v>
      </c>
      <c r="AM131" s="34">
        <v>0</v>
      </c>
      <c r="AN131" s="34">
        <v>0</v>
      </c>
      <c r="AO131" s="34">
        <v>0</v>
      </c>
      <c r="AP131" s="10">
        <v>0</v>
      </c>
      <c r="AQ131" s="34">
        <v>0</v>
      </c>
      <c r="AR131" s="34">
        <v>0</v>
      </c>
      <c r="AS131" s="34">
        <v>0</v>
      </c>
      <c r="AT131" s="10">
        <v>0</v>
      </c>
      <c r="AU131" s="34">
        <v>0</v>
      </c>
      <c r="AV131" s="34">
        <v>0</v>
      </c>
      <c r="AW131" s="34">
        <v>0</v>
      </c>
    </row>
    <row r="132" spans="1:49">
      <c r="A132" s="33" t="s">
        <v>1839</v>
      </c>
      <c r="B132" s="33" t="s">
        <v>1840</v>
      </c>
      <c r="C132" s="34">
        <v>0</v>
      </c>
      <c r="D132" s="34">
        <v>0</v>
      </c>
      <c r="E132" s="34">
        <v>0</v>
      </c>
      <c r="F132" s="34">
        <v>0</v>
      </c>
      <c r="G132" s="34">
        <v>0</v>
      </c>
      <c r="H132" s="34">
        <v>0</v>
      </c>
      <c r="I132" s="34">
        <v>0</v>
      </c>
      <c r="J132" s="34">
        <v>0</v>
      </c>
      <c r="K132" s="34">
        <v>0</v>
      </c>
      <c r="L132" s="34">
        <v>0</v>
      </c>
      <c r="M132" s="34">
        <v>0</v>
      </c>
      <c r="Z132" s="34" t="s">
        <v>1840</v>
      </c>
      <c r="AA132" s="34">
        <v>0</v>
      </c>
      <c r="AB132" s="34">
        <v>0</v>
      </c>
      <c r="AC132" s="34">
        <v>0</v>
      </c>
      <c r="AD132" s="10">
        <v>0</v>
      </c>
      <c r="AE132" s="34">
        <v>0</v>
      </c>
      <c r="AF132" s="34">
        <v>0</v>
      </c>
      <c r="AG132" s="34">
        <v>0</v>
      </c>
      <c r="AH132" s="10">
        <v>0</v>
      </c>
      <c r="AI132" s="34">
        <v>0</v>
      </c>
      <c r="AJ132" s="34">
        <v>0</v>
      </c>
      <c r="AK132" s="34">
        <v>0</v>
      </c>
      <c r="AL132" s="10">
        <v>0</v>
      </c>
      <c r="AM132" s="34">
        <v>0</v>
      </c>
      <c r="AN132" s="34">
        <v>0</v>
      </c>
      <c r="AO132" s="34">
        <v>0</v>
      </c>
      <c r="AP132" s="10">
        <v>0</v>
      </c>
      <c r="AQ132" s="34">
        <v>0</v>
      </c>
      <c r="AR132" s="34">
        <v>0</v>
      </c>
      <c r="AS132" s="34">
        <v>0</v>
      </c>
      <c r="AT132" s="10">
        <v>0</v>
      </c>
      <c r="AU132" s="34">
        <v>0</v>
      </c>
      <c r="AV132" s="34">
        <v>0</v>
      </c>
      <c r="AW132" s="34">
        <v>0</v>
      </c>
    </row>
    <row r="133" spans="1:49">
      <c r="A133" s="33" t="s">
        <v>1841</v>
      </c>
      <c r="B133" s="33" t="s">
        <v>1842</v>
      </c>
      <c r="C133" s="34">
        <v>1.5635669990000001</v>
      </c>
      <c r="D133" s="34">
        <v>1.0939318790000001</v>
      </c>
      <c r="E133" s="34">
        <v>1.4304298790000001</v>
      </c>
      <c r="F133" s="34">
        <v>4.7947728779999998</v>
      </c>
      <c r="G133" s="34">
        <v>4.0534298790000003</v>
      </c>
      <c r="H133" s="34">
        <v>2.6004429619999998</v>
      </c>
      <c r="I133" s="34">
        <v>4.9633609270000001</v>
      </c>
      <c r="J133" s="34">
        <v>4.466460927</v>
      </c>
      <c r="K133" s="34">
        <v>4.6086294270000003</v>
      </c>
      <c r="L133" s="34">
        <v>6.0586294269999996</v>
      </c>
      <c r="M133" s="34">
        <v>5.8586294270000003</v>
      </c>
      <c r="Z133" s="34" t="s">
        <v>1842</v>
      </c>
      <c r="AA133" s="34">
        <v>2.6487829619999999</v>
      </c>
      <c r="AB133" s="34">
        <v>3.1000814999999999</v>
      </c>
      <c r="AC133" s="34">
        <v>4.8437109270000001</v>
      </c>
      <c r="AD133" s="10">
        <v>4.9507109519999997</v>
      </c>
      <c r="AE133" s="34">
        <v>4.9907109270000003</v>
      </c>
      <c r="AF133" s="34">
        <v>4.4987609270000002</v>
      </c>
      <c r="AG133" s="34">
        <v>4.4886294270000002</v>
      </c>
      <c r="AH133" s="10">
        <v>4.458629427</v>
      </c>
      <c r="AI133" s="34">
        <v>4.5286294270000003</v>
      </c>
      <c r="AJ133" s="34">
        <v>4.3586294270000003</v>
      </c>
      <c r="AK133" s="34">
        <v>4.5586294269999996</v>
      </c>
      <c r="AL133" s="10">
        <v>4.6086294270000003</v>
      </c>
      <c r="AM133" s="34">
        <v>4.3586294270000003</v>
      </c>
      <c r="AN133" s="34">
        <v>4.708629427</v>
      </c>
      <c r="AO133" s="34">
        <v>4.6586294270000002</v>
      </c>
      <c r="AP133" s="10">
        <v>6.0586294269999996</v>
      </c>
      <c r="AQ133" s="34">
        <v>6.7586294269999998</v>
      </c>
      <c r="AR133" s="34">
        <v>5.6586294270000002</v>
      </c>
      <c r="AS133" s="34">
        <v>5.7586294269999998</v>
      </c>
      <c r="AT133" s="10">
        <v>5.8586294270000003</v>
      </c>
      <c r="AU133" s="34">
        <v>5.9336294269999996</v>
      </c>
      <c r="AV133" s="34">
        <v>8.1336294270000007</v>
      </c>
      <c r="AW133" s="34">
        <v>7.93</v>
      </c>
    </row>
    <row r="134" spans="1:49">
      <c r="A134" s="33" t="s">
        <v>1843</v>
      </c>
      <c r="B134" s="33" t="s">
        <v>1844</v>
      </c>
      <c r="C134" s="34">
        <v>37.4</v>
      </c>
      <c r="D134" s="34">
        <v>33.299999999999997</v>
      </c>
      <c r="E134" s="34">
        <v>28.5</v>
      </c>
      <c r="F134" s="34">
        <v>22.9</v>
      </c>
      <c r="G134" s="34">
        <v>0</v>
      </c>
      <c r="H134" s="34">
        <v>0</v>
      </c>
      <c r="I134" s="34">
        <v>0</v>
      </c>
      <c r="J134" s="34">
        <v>0</v>
      </c>
      <c r="K134" s="34">
        <v>0</v>
      </c>
      <c r="L134" s="34">
        <v>0</v>
      </c>
      <c r="M134" s="34">
        <v>41.1</v>
      </c>
      <c r="Z134" s="34" t="s">
        <v>1844</v>
      </c>
      <c r="AA134" s="34">
        <v>0</v>
      </c>
      <c r="AB134" s="34">
        <v>0</v>
      </c>
      <c r="AC134" s="34">
        <v>0</v>
      </c>
      <c r="AD134" s="10">
        <v>0</v>
      </c>
      <c r="AE134" s="34">
        <v>0</v>
      </c>
      <c r="AF134" s="34">
        <v>0</v>
      </c>
      <c r="AG134" s="34">
        <v>0</v>
      </c>
      <c r="AH134" s="10">
        <v>0</v>
      </c>
      <c r="AI134" s="34">
        <v>0</v>
      </c>
      <c r="AJ134" s="34">
        <v>0</v>
      </c>
      <c r="AK134" s="34">
        <v>0</v>
      </c>
      <c r="AL134" s="10">
        <v>0</v>
      </c>
      <c r="AM134" s="34">
        <v>0</v>
      </c>
      <c r="AN134" s="34">
        <v>0</v>
      </c>
      <c r="AO134" s="34">
        <v>0</v>
      </c>
      <c r="AP134" s="10">
        <v>0</v>
      </c>
      <c r="AQ134" s="34">
        <v>0</v>
      </c>
      <c r="AR134" s="34">
        <v>0</v>
      </c>
      <c r="AS134" s="34">
        <v>0</v>
      </c>
      <c r="AT134" s="10">
        <v>41.1</v>
      </c>
      <c r="AU134" s="34">
        <v>23.5</v>
      </c>
      <c r="AV134" s="34">
        <v>9.8049999999999997</v>
      </c>
      <c r="AW134" s="34">
        <v>9.81</v>
      </c>
    </row>
    <row r="135" spans="1:49">
      <c r="A135" s="33" t="s">
        <v>1845</v>
      </c>
      <c r="B135" s="33" t="s">
        <v>1846</v>
      </c>
      <c r="C135" s="34">
        <v>0</v>
      </c>
      <c r="D135" s="34">
        <v>0</v>
      </c>
      <c r="E135" s="34">
        <v>0</v>
      </c>
      <c r="F135" s="34">
        <v>0</v>
      </c>
      <c r="G135" s="34">
        <v>0</v>
      </c>
      <c r="H135" s="34">
        <v>0</v>
      </c>
      <c r="I135" s="34">
        <v>0</v>
      </c>
      <c r="J135" s="34">
        <v>0</v>
      </c>
      <c r="K135" s="34">
        <v>0</v>
      </c>
      <c r="L135" s="34">
        <v>0</v>
      </c>
      <c r="M135" s="34">
        <v>0</v>
      </c>
      <c r="Z135" s="34" t="s">
        <v>1846</v>
      </c>
      <c r="AA135" s="34">
        <v>0</v>
      </c>
      <c r="AB135" s="34">
        <v>0</v>
      </c>
      <c r="AC135" s="34">
        <v>0</v>
      </c>
      <c r="AD135" s="10">
        <v>0</v>
      </c>
      <c r="AE135" s="34">
        <v>0</v>
      </c>
      <c r="AF135" s="34">
        <v>0</v>
      </c>
      <c r="AG135" s="34">
        <v>0</v>
      </c>
      <c r="AH135" s="10">
        <v>0</v>
      </c>
      <c r="AI135" s="34">
        <v>0</v>
      </c>
      <c r="AJ135" s="34">
        <v>0</v>
      </c>
      <c r="AK135" s="34">
        <v>0</v>
      </c>
      <c r="AL135" s="10">
        <v>0</v>
      </c>
      <c r="AM135" s="34">
        <v>0</v>
      </c>
      <c r="AN135" s="34">
        <v>0</v>
      </c>
      <c r="AO135" s="34">
        <v>0</v>
      </c>
      <c r="AP135" s="10">
        <v>0</v>
      </c>
      <c r="AQ135" s="34">
        <v>0</v>
      </c>
      <c r="AR135" s="34">
        <v>0</v>
      </c>
      <c r="AS135" s="34">
        <v>0</v>
      </c>
      <c r="AT135" s="10">
        <v>0</v>
      </c>
      <c r="AU135" s="34">
        <v>0</v>
      </c>
      <c r="AV135" s="34">
        <v>0</v>
      </c>
      <c r="AW135" s="34">
        <v>0</v>
      </c>
    </row>
    <row r="136" spans="1:49">
      <c r="A136" s="33" t="s">
        <v>1847</v>
      </c>
      <c r="B136" s="33" t="s">
        <v>1848</v>
      </c>
      <c r="C136" s="34">
        <v>0</v>
      </c>
      <c r="D136" s="34">
        <v>0</v>
      </c>
      <c r="E136" s="34">
        <v>0</v>
      </c>
      <c r="F136" s="34">
        <v>0</v>
      </c>
      <c r="G136" s="34">
        <v>0</v>
      </c>
      <c r="H136" s="34">
        <v>0</v>
      </c>
      <c r="I136" s="34">
        <v>0</v>
      </c>
      <c r="J136" s="34">
        <v>0</v>
      </c>
      <c r="K136" s="34">
        <v>0</v>
      </c>
      <c r="L136" s="34">
        <v>0</v>
      </c>
      <c r="M136" s="34">
        <v>0</v>
      </c>
      <c r="Z136" s="34" t="s">
        <v>1848</v>
      </c>
      <c r="AA136" s="34">
        <v>0</v>
      </c>
      <c r="AB136" s="34">
        <v>0</v>
      </c>
      <c r="AC136" s="34">
        <v>0</v>
      </c>
      <c r="AD136" s="10">
        <v>0</v>
      </c>
      <c r="AE136" s="34">
        <v>0</v>
      </c>
      <c r="AF136" s="34">
        <v>0</v>
      </c>
      <c r="AG136" s="34">
        <v>0</v>
      </c>
      <c r="AH136" s="10">
        <v>0</v>
      </c>
      <c r="AI136" s="34">
        <v>0</v>
      </c>
      <c r="AJ136" s="34">
        <v>0</v>
      </c>
      <c r="AK136" s="34">
        <v>0</v>
      </c>
      <c r="AL136" s="10">
        <v>0</v>
      </c>
      <c r="AM136" s="34">
        <v>0</v>
      </c>
      <c r="AN136" s="34">
        <v>0</v>
      </c>
      <c r="AO136" s="34">
        <v>0</v>
      </c>
      <c r="AP136" s="10">
        <v>0</v>
      </c>
      <c r="AQ136" s="34">
        <v>0</v>
      </c>
      <c r="AR136" s="34">
        <v>0</v>
      </c>
      <c r="AS136" s="34">
        <v>0</v>
      </c>
      <c r="AT136" s="10">
        <v>0</v>
      </c>
      <c r="AU136" s="34">
        <v>0</v>
      </c>
      <c r="AV136" s="34">
        <v>0</v>
      </c>
      <c r="AW136" s="34">
        <v>0</v>
      </c>
    </row>
    <row r="137" spans="1:49">
      <c r="A137" s="33" t="s">
        <v>1849</v>
      </c>
      <c r="B137" s="33" t="s">
        <v>1850</v>
      </c>
      <c r="C137" s="34">
        <v>0</v>
      </c>
      <c r="D137" s="34">
        <v>0</v>
      </c>
      <c r="E137" s="34">
        <v>0</v>
      </c>
      <c r="F137" s="34">
        <v>0</v>
      </c>
      <c r="G137" s="34">
        <v>0</v>
      </c>
      <c r="H137" s="34">
        <v>0</v>
      </c>
      <c r="I137" s="34">
        <v>0</v>
      </c>
      <c r="J137" s="34">
        <v>0</v>
      </c>
      <c r="K137" s="34">
        <v>0</v>
      </c>
      <c r="L137" s="34">
        <v>4.1839129369999997</v>
      </c>
      <c r="M137" s="34">
        <v>2.9136570800000001</v>
      </c>
      <c r="Z137" s="34" t="s">
        <v>1850</v>
      </c>
      <c r="AA137" s="34">
        <v>0</v>
      </c>
      <c r="AB137" s="34">
        <v>0</v>
      </c>
      <c r="AC137" s="34">
        <v>0</v>
      </c>
      <c r="AD137" s="10">
        <v>0</v>
      </c>
      <c r="AE137" s="34">
        <v>0</v>
      </c>
      <c r="AF137" s="34">
        <v>0</v>
      </c>
      <c r="AG137" s="34">
        <v>0</v>
      </c>
      <c r="AH137" s="10">
        <v>0</v>
      </c>
      <c r="AI137" s="34">
        <v>0</v>
      </c>
      <c r="AJ137" s="34">
        <v>0</v>
      </c>
      <c r="AK137" s="34">
        <v>0</v>
      </c>
      <c r="AL137" s="10">
        <v>0</v>
      </c>
      <c r="AM137" s="34">
        <v>0</v>
      </c>
      <c r="AN137" s="34">
        <v>0</v>
      </c>
      <c r="AO137" s="34">
        <v>0</v>
      </c>
      <c r="AP137" s="10">
        <v>4.1839129369999997</v>
      </c>
      <c r="AQ137" s="34">
        <v>4.1839129369999997</v>
      </c>
      <c r="AR137" s="34">
        <v>4.1839129369999997</v>
      </c>
      <c r="AS137" s="34">
        <v>4.1839129369999997</v>
      </c>
      <c r="AT137" s="10">
        <v>2.9136571099999999</v>
      </c>
      <c r="AU137" s="34">
        <v>2.8203203019999998</v>
      </c>
      <c r="AV137" s="34">
        <v>2.9136570800000001</v>
      </c>
      <c r="AW137" s="34">
        <v>2.91</v>
      </c>
    </row>
    <row r="138" spans="1:49">
      <c r="A138" s="33" t="s">
        <v>1851</v>
      </c>
      <c r="B138" s="33" t="s">
        <v>1852</v>
      </c>
      <c r="C138" s="34">
        <v>0.80939021200000005</v>
      </c>
      <c r="D138" s="34">
        <v>0</v>
      </c>
      <c r="E138" s="34">
        <v>0</v>
      </c>
      <c r="F138" s="34">
        <v>0</v>
      </c>
      <c r="G138" s="34">
        <v>0</v>
      </c>
      <c r="H138" s="34">
        <v>0</v>
      </c>
      <c r="I138" s="34">
        <v>0</v>
      </c>
      <c r="J138" s="34">
        <v>0</v>
      </c>
      <c r="K138" s="34">
        <v>0</v>
      </c>
      <c r="L138" s="34">
        <v>0</v>
      </c>
      <c r="M138" s="34">
        <v>0</v>
      </c>
      <c r="Z138" s="34" t="s">
        <v>1852</v>
      </c>
      <c r="AA138" s="34">
        <v>0</v>
      </c>
      <c r="AB138" s="34">
        <v>0</v>
      </c>
      <c r="AC138" s="34">
        <v>0</v>
      </c>
      <c r="AD138" s="10">
        <v>0</v>
      </c>
      <c r="AE138" s="34">
        <v>0</v>
      </c>
      <c r="AF138" s="34">
        <v>0</v>
      </c>
      <c r="AG138" s="34">
        <v>0</v>
      </c>
      <c r="AH138" s="10">
        <v>0</v>
      </c>
      <c r="AI138" s="34">
        <v>0</v>
      </c>
      <c r="AJ138" s="34">
        <v>0</v>
      </c>
      <c r="AK138" s="34">
        <v>0</v>
      </c>
      <c r="AL138" s="10">
        <v>0</v>
      </c>
      <c r="AM138" s="34">
        <v>0</v>
      </c>
      <c r="AN138" s="34">
        <v>0</v>
      </c>
      <c r="AO138" s="34">
        <v>0</v>
      </c>
      <c r="AP138" s="10">
        <v>0</v>
      </c>
      <c r="AQ138" s="34">
        <v>0</v>
      </c>
      <c r="AR138" s="34">
        <v>0</v>
      </c>
      <c r="AS138" s="34">
        <v>0</v>
      </c>
      <c r="AT138" s="10">
        <v>0</v>
      </c>
      <c r="AU138" s="34">
        <v>0</v>
      </c>
      <c r="AV138" s="34">
        <v>0</v>
      </c>
      <c r="AW138" s="34">
        <v>0</v>
      </c>
    </row>
    <row r="139" spans="1:49">
      <c r="A139" s="33" t="s">
        <v>1853</v>
      </c>
      <c r="B139" s="33" t="s">
        <v>1854</v>
      </c>
      <c r="C139" s="34">
        <v>0</v>
      </c>
      <c r="D139" s="34">
        <v>0</v>
      </c>
      <c r="E139" s="34">
        <v>0</v>
      </c>
      <c r="F139" s="34">
        <v>0</v>
      </c>
      <c r="G139" s="34">
        <v>0</v>
      </c>
      <c r="H139" s="34">
        <v>0</v>
      </c>
      <c r="I139" s="34">
        <v>0</v>
      </c>
      <c r="J139" s="34">
        <v>0</v>
      </c>
      <c r="K139" s="34">
        <v>0</v>
      </c>
      <c r="L139" s="34">
        <v>0</v>
      </c>
      <c r="M139" s="34">
        <v>0</v>
      </c>
      <c r="Z139" s="34" t="s">
        <v>1854</v>
      </c>
      <c r="AA139" s="34">
        <v>0</v>
      </c>
      <c r="AB139" s="34">
        <v>0</v>
      </c>
      <c r="AC139" s="34">
        <v>0</v>
      </c>
      <c r="AD139" s="10">
        <v>0</v>
      </c>
      <c r="AE139" s="34">
        <v>0</v>
      </c>
      <c r="AF139" s="34">
        <v>0</v>
      </c>
      <c r="AG139" s="34">
        <v>0</v>
      </c>
      <c r="AH139" s="10">
        <v>0</v>
      </c>
      <c r="AI139" s="34">
        <v>0</v>
      </c>
      <c r="AJ139" s="34">
        <v>0</v>
      </c>
      <c r="AK139" s="34">
        <v>0</v>
      </c>
      <c r="AL139" s="10">
        <v>0</v>
      </c>
      <c r="AM139" s="34">
        <v>0</v>
      </c>
      <c r="AN139" s="34">
        <v>0</v>
      </c>
      <c r="AO139" s="34">
        <v>0</v>
      </c>
      <c r="AP139" s="10">
        <v>0</v>
      </c>
      <c r="AQ139" s="34">
        <v>0</v>
      </c>
      <c r="AR139" s="34">
        <v>0</v>
      </c>
      <c r="AS139" s="34">
        <v>0</v>
      </c>
      <c r="AT139" s="10">
        <v>0</v>
      </c>
      <c r="AU139" s="34">
        <v>0</v>
      </c>
      <c r="AV139" s="34">
        <v>0</v>
      </c>
      <c r="AW139" s="34">
        <v>0</v>
      </c>
    </row>
    <row r="140" spans="1:49">
      <c r="A140" s="33" t="s">
        <v>1855</v>
      </c>
      <c r="B140" s="33" t="s">
        <v>1856</v>
      </c>
      <c r="C140" s="34">
        <v>0</v>
      </c>
      <c r="D140" s="34">
        <v>0</v>
      </c>
      <c r="E140" s="34">
        <v>0</v>
      </c>
      <c r="F140" s="34">
        <v>0</v>
      </c>
      <c r="G140" s="34">
        <v>0</v>
      </c>
      <c r="H140" s="34">
        <v>0</v>
      </c>
      <c r="I140" s="34">
        <v>0</v>
      </c>
      <c r="J140" s="34">
        <v>0</v>
      </c>
      <c r="K140" s="34">
        <v>0</v>
      </c>
      <c r="L140" s="34">
        <v>0</v>
      </c>
      <c r="M140" s="34">
        <v>0</v>
      </c>
      <c r="Z140" s="34" t="s">
        <v>1856</v>
      </c>
      <c r="AA140" s="34">
        <v>0</v>
      </c>
      <c r="AB140" s="34">
        <v>0</v>
      </c>
      <c r="AC140" s="34">
        <v>0</v>
      </c>
      <c r="AD140" s="10">
        <v>0</v>
      </c>
      <c r="AE140" s="34">
        <v>0</v>
      </c>
      <c r="AF140" s="34">
        <v>0</v>
      </c>
      <c r="AG140" s="34">
        <v>0</v>
      </c>
      <c r="AH140" s="10">
        <v>0</v>
      </c>
      <c r="AI140" s="34">
        <v>0</v>
      </c>
      <c r="AJ140" s="34">
        <v>0</v>
      </c>
      <c r="AK140" s="34">
        <v>0</v>
      </c>
      <c r="AL140" s="10">
        <v>0</v>
      </c>
      <c r="AM140" s="34">
        <v>0</v>
      </c>
      <c r="AN140" s="34">
        <v>0</v>
      </c>
      <c r="AO140" s="34">
        <v>0</v>
      </c>
      <c r="AP140" s="10">
        <v>0</v>
      </c>
      <c r="AQ140" s="34">
        <v>0</v>
      </c>
      <c r="AR140" s="34">
        <v>0</v>
      </c>
      <c r="AS140" s="34">
        <v>0</v>
      </c>
      <c r="AT140" s="10">
        <v>0</v>
      </c>
      <c r="AU140" s="34">
        <v>0</v>
      </c>
      <c r="AV140" s="34">
        <v>0</v>
      </c>
      <c r="AW140" s="34">
        <v>0</v>
      </c>
    </row>
    <row r="141" spans="1:49" s="41" customFormat="1">
      <c r="A141" s="40" t="s">
        <v>1857</v>
      </c>
      <c r="B141" s="40" t="s">
        <v>1858</v>
      </c>
      <c r="C141" s="41">
        <v>296.48951342399999</v>
      </c>
      <c r="D141" s="41">
        <v>250.05021716799999</v>
      </c>
      <c r="E141" s="41">
        <v>334.75911648599998</v>
      </c>
      <c r="F141" s="41">
        <v>608.54425392300004</v>
      </c>
      <c r="G141" s="41">
        <v>629.57857315299998</v>
      </c>
      <c r="H141" s="41">
        <v>689.43491295900003</v>
      </c>
      <c r="I141" s="41">
        <v>766.47947982100004</v>
      </c>
      <c r="J141" s="41">
        <v>924.84841301799997</v>
      </c>
      <c r="K141" s="41">
        <v>1158.5862937659999</v>
      </c>
      <c r="L141" s="41">
        <v>1781.284667382</v>
      </c>
      <c r="M141" s="41">
        <v>2423.2817332770001</v>
      </c>
      <c r="O141" s="7"/>
      <c r="P141" s="7"/>
      <c r="Z141" s="41" t="s">
        <v>1858</v>
      </c>
      <c r="AA141" s="41">
        <v>708.93645982099997</v>
      </c>
      <c r="AB141" s="41">
        <v>699.49481305799998</v>
      </c>
      <c r="AC141" s="41">
        <v>734.41218315200001</v>
      </c>
      <c r="AD141" s="11">
        <v>766.15826936500002</v>
      </c>
      <c r="AE141" s="41">
        <v>806.94232102199999</v>
      </c>
      <c r="AF141" s="41">
        <v>837.02337318900004</v>
      </c>
      <c r="AG141" s="41">
        <v>890.48903089500004</v>
      </c>
      <c r="AH141" s="11">
        <v>922.58830986999999</v>
      </c>
      <c r="AI141" s="41">
        <v>970.04730496000002</v>
      </c>
      <c r="AJ141" s="41">
        <v>1029.968977902</v>
      </c>
      <c r="AK141" s="41">
        <v>1059.346777792</v>
      </c>
      <c r="AL141" s="11">
        <v>1144.4823329589999</v>
      </c>
      <c r="AM141" s="41">
        <v>1265.479210468</v>
      </c>
      <c r="AN141" s="41">
        <v>1394.051377348</v>
      </c>
      <c r="AO141" s="41">
        <v>1457.1070608509999</v>
      </c>
      <c r="AP141" s="11">
        <v>1784.3016101769999</v>
      </c>
      <c r="AQ141" s="41">
        <v>1995.0018399539999</v>
      </c>
      <c r="AR141" s="41">
        <v>2060.4153067460002</v>
      </c>
      <c r="AS141" s="41">
        <v>2240.7087750290002</v>
      </c>
      <c r="AT141" s="11">
        <v>2423.2817332770001</v>
      </c>
      <c r="AU141" s="41">
        <v>2505.1902173130002</v>
      </c>
      <c r="AV141" s="41">
        <v>2553.1458841869999</v>
      </c>
      <c r="AW141" s="41">
        <v>2656.45</v>
      </c>
    </row>
    <row r="142" spans="1:49" s="41" customFormat="1">
      <c r="A142" s="40" t="s">
        <v>1859</v>
      </c>
      <c r="B142" s="40" t="s">
        <v>1860</v>
      </c>
      <c r="C142" s="41">
        <v>296.48951342399999</v>
      </c>
      <c r="D142" s="41">
        <v>250.05021716799999</v>
      </c>
      <c r="E142" s="41">
        <v>334.75911648599998</v>
      </c>
      <c r="F142" s="41">
        <v>608.54425392300004</v>
      </c>
      <c r="G142" s="41">
        <v>629.57857315299998</v>
      </c>
      <c r="H142" s="41">
        <v>689.43491295900003</v>
      </c>
      <c r="I142" s="41">
        <v>766.47947982100004</v>
      </c>
      <c r="J142" s="41">
        <v>924.84841301799997</v>
      </c>
      <c r="K142" s="41">
        <v>1158.5862937659999</v>
      </c>
      <c r="L142" s="41">
        <v>1781.284667382</v>
      </c>
      <c r="M142" s="41">
        <v>2423.2817332770001</v>
      </c>
      <c r="O142" s="7"/>
      <c r="P142" s="7"/>
      <c r="Z142" s="41" t="s">
        <v>1860</v>
      </c>
      <c r="AA142" s="41">
        <v>708.93645982099997</v>
      </c>
      <c r="AB142" s="41">
        <v>699.49481305799998</v>
      </c>
      <c r="AC142" s="41">
        <v>734.41218315200001</v>
      </c>
      <c r="AD142" s="11">
        <v>766.15826936500002</v>
      </c>
      <c r="AE142" s="41">
        <v>806.94232102199999</v>
      </c>
      <c r="AF142" s="41">
        <v>837.02337318900004</v>
      </c>
      <c r="AG142" s="41">
        <v>890.48903089500004</v>
      </c>
      <c r="AH142" s="11">
        <v>922.58830986999999</v>
      </c>
      <c r="AI142" s="41">
        <v>970.04730496000002</v>
      </c>
      <c r="AJ142" s="41">
        <v>1029.968977902</v>
      </c>
      <c r="AK142" s="41">
        <v>1059.346777792</v>
      </c>
      <c r="AL142" s="11">
        <v>1144.4823329589999</v>
      </c>
      <c r="AM142" s="41">
        <v>1265.479210468</v>
      </c>
      <c r="AN142" s="41">
        <v>1394.051377348</v>
      </c>
      <c r="AO142" s="41">
        <v>1457.1070608509999</v>
      </c>
      <c r="AP142" s="11">
        <v>1784.3016101769999</v>
      </c>
      <c r="AQ142" s="41">
        <v>1995.0018399539999</v>
      </c>
      <c r="AR142" s="41">
        <v>2060.4153067460002</v>
      </c>
      <c r="AS142" s="41">
        <v>2240.7087750290002</v>
      </c>
      <c r="AT142" s="11">
        <v>2423.2817332770001</v>
      </c>
      <c r="AU142" s="41">
        <v>2505.1902173130002</v>
      </c>
      <c r="AV142" s="41">
        <v>2553.1458841869999</v>
      </c>
      <c r="AW142" s="41">
        <v>2656.45</v>
      </c>
    </row>
    <row r="143" spans="1:49" s="41" customFormat="1">
      <c r="A143" s="40" t="s">
        <v>1861</v>
      </c>
      <c r="B143" s="40" t="s">
        <v>1862</v>
      </c>
      <c r="C143" s="41">
        <v>108.02469000000001</v>
      </c>
      <c r="D143" s="41">
        <v>108.02469000000001</v>
      </c>
      <c r="E143" s="41">
        <v>108.02469000000001</v>
      </c>
      <c r="F143" s="41">
        <v>306.13328999999999</v>
      </c>
      <c r="G143" s="41">
        <v>306.13328999999999</v>
      </c>
      <c r="H143" s="41">
        <v>407.51747</v>
      </c>
      <c r="I143" s="41">
        <v>407.51747</v>
      </c>
      <c r="J143" s="41">
        <v>419.51747</v>
      </c>
      <c r="K143" s="41">
        <v>431.51747</v>
      </c>
      <c r="L143" s="41">
        <v>885.52025000000003</v>
      </c>
      <c r="M143" s="41">
        <v>1632.29943</v>
      </c>
      <c r="O143" s="7"/>
      <c r="P143" s="7"/>
      <c r="Z143" s="41" t="s">
        <v>1862</v>
      </c>
      <c r="AA143" s="41">
        <v>407.51747</v>
      </c>
      <c r="AB143" s="41">
        <v>407.51747</v>
      </c>
      <c r="AC143" s="41">
        <v>407.51747</v>
      </c>
      <c r="AD143" s="11">
        <v>407.51747</v>
      </c>
      <c r="AE143" s="41">
        <v>419.51747</v>
      </c>
      <c r="AF143" s="41">
        <v>419.51747</v>
      </c>
      <c r="AG143" s="41">
        <v>419.51747</v>
      </c>
      <c r="AH143" s="11">
        <v>419.51747</v>
      </c>
      <c r="AI143" s="41">
        <v>419.93247000000002</v>
      </c>
      <c r="AJ143" s="41">
        <v>431.51747</v>
      </c>
      <c r="AK143" s="41">
        <v>431.51747</v>
      </c>
      <c r="AL143" s="11">
        <v>431.51747</v>
      </c>
      <c r="AM143" s="41">
        <v>431.51747</v>
      </c>
      <c r="AN143" s="41">
        <v>443.51747</v>
      </c>
      <c r="AO143" s="41">
        <v>885.52025000000003</v>
      </c>
      <c r="AP143" s="11">
        <v>885.52025000000003</v>
      </c>
      <c r="AQ143" s="41">
        <v>888.40025000000003</v>
      </c>
      <c r="AR143" s="41">
        <v>907.52025000000003</v>
      </c>
      <c r="AS143" s="41">
        <v>1632.29943</v>
      </c>
      <c r="AT143" s="11">
        <v>1632.29943</v>
      </c>
      <c r="AU143" s="41">
        <v>1632.29943</v>
      </c>
      <c r="AV143" s="41">
        <v>1632.24443</v>
      </c>
      <c r="AW143" s="41">
        <v>1632.24</v>
      </c>
    </row>
    <row r="144" spans="1:49">
      <c r="A144" s="33" t="s">
        <v>1863</v>
      </c>
      <c r="B144" s="33" t="s">
        <v>1864</v>
      </c>
      <c r="C144" s="34">
        <v>108.02469000000001</v>
      </c>
      <c r="D144" s="34">
        <v>108.02469000000001</v>
      </c>
      <c r="E144" s="34">
        <v>108.02469000000001</v>
      </c>
      <c r="F144" s="34">
        <v>306.13328999999999</v>
      </c>
      <c r="G144" s="34">
        <v>306.13328999999999</v>
      </c>
      <c r="H144" s="34">
        <v>407.51747</v>
      </c>
      <c r="I144" s="34">
        <v>407.51747</v>
      </c>
      <c r="J144" s="34">
        <v>419.51747</v>
      </c>
      <c r="K144" s="34">
        <v>431.51747</v>
      </c>
      <c r="L144" s="34">
        <v>885.52025000000003</v>
      </c>
      <c r="M144" s="34">
        <v>1632.29943</v>
      </c>
      <c r="Z144" s="34" t="s">
        <v>1864</v>
      </c>
      <c r="AA144" s="34">
        <v>407.51747</v>
      </c>
      <c r="AB144" s="34">
        <v>407.51747</v>
      </c>
      <c r="AC144" s="34">
        <v>407.51747</v>
      </c>
      <c r="AD144" s="10">
        <v>407.51747</v>
      </c>
      <c r="AE144" s="34">
        <v>419.51747</v>
      </c>
      <c r="AF144" s="34">
        <v>419.51747</v>
      </c>
      <c r="AG144" s="34">
        <v>419.51747</v>
      </c>
      <c r="AH144" s="10">
        <v>419.51747</v>
      </c>
      <c r="AI144" s="34">
        <v>419.93247000000002</v>
      </c>
      <c r="AJ144" s="34">
        <v>431.51747</v>
      </c>
      <c r="AK144" s="34">
        <v>431.51747</v>
      </c>
      <c r="AL144" s="10">
        <v>431.51747</v>
      </c>
      <c r="AM144" s="34">
        <v>431.51747</v>
      </c>
      <c r="AN144" s="34">
        <v>443.51747</v>
      </c>
      <c r="AO144" s="34">
        <v>885.52025000000003</v>
      </c>
      <c r="AP144" s="10">
        <v>885.52025000000003</v>
      </c>
      <c r="AQ144" s="34">
        <v>888.40025000000003</v>
      </c>
      <c r="AR144" s="34">
        <v>907.52025000000003</v>
      </c>
      <c r="AS144" s="34">
        <v>1632.29943</v>
      </c>
      <c r="AT144" s="10">
        <v>1632.29943</v>
      </c>
      <c r="AU144" s="34">
        <v>1632.29943</v>
      </c>
      <c r="AV144" s="34">
        <v>1632.24443</v>
      </c>
      <c r="AW144" s="34">
        <v>1632.24</v>
      </c>
    </row>
    <row r="145" spans="1:49">
      <c r="A145" s="33" t="s">
        <v>1865</v>
      </c>
      <c r="B145" s="33" t="s">
        <v>1866</v>
      </c>
      <c r="C145" s="34">
        <v>0</v>
      </c>
      <c r="D145" s="34">
        <v>0</v>
      </c>
      <c r="E145" s="34">
        <v>0</v>
      </c>
      <c r="F145" s="34">
        <v>0</v>
      </c>
      <c r="G145" s="34">
        <v>0</v>
      </c>
      <c r="H145" s="34">
        <v>0</v>
      </c>
      <c r="I145" s="34">
        <v>0</v>
      </c>
      <c r="J145" s="34">
        <v>0</v>
      </c>
      <c r="K145" s="34">
        <v>0</v>
      </c>
      <c r="L145" s="34">
        <v>0</v>
      </c>
      <c r="M145" s="34">
        <v>0</v>
      </c>
      <c r="Z145" s="34" t="s">
        <v>1866</v>
      </c>
      <c r="AA145" s="34">
        <v>0</v>
      </c>
      <c r="AB145" s="34">
        <v>0</v>
      </c>
      <c r="AC145" s="34">
        <v>0</v>
      </c>
      <c r="AD145" s="10">
        <v>0</v>
      </c>
      <c r="AE145" s="34">
        <v>0</v>
      </c>
      <c r="AF145" s="34">
        <v>0</v>
      </c>
      <c r="AG145" s="34">
        <v>0</v>
      </c>
      <c r="AH145" s="10">
        <v>0</v>
      </c>
      <c r="AI145" s="34">
        <v>0</v>
      </c>
      <c r="AJ145" s="34">
        <v>0</v>
      </c>
      <c r="AK145" s="34">
        <v>0</v>
      </c>
      <c r="AL145" s="10">
        <v>0</v>
      </c>
      <c r="AM145" s="34">
        <v>0</v>
      </c>
      <c r="AN145" s="34">
        <v>0</v>
      </c>
      <c r="AO145" s="34">
        <v>0</v>
      </c>
      <c r="AP145" s="10">
        <v>0</v>
      </c>
      <c r="AQ145" s="34">
        <v>0</v>
      </c>
      <c r="AR145" s="34">
        <v>0</v>
      </c>
      <c r="AS145" s="34">
        <v>0</v>
      </c>
      <c r="AT145" s="10">
        <v>0</v>
      </c>
      <c r="AU145" s="34">
        <v>0</v>
      </c>
      <c r="AV145" s="34">
        <v>0</v>
      </c>
      <c r="AW145" s="34">
        <v>0</v>
      </c>
    </row>
    <row r="146" spans="1:49">
      <c r="A146" s="33" t="s">
        <v>1867</v>
      </c>
      <c r="B146" s="33" t="s">
        <v>1868</v>
      </c>
      <c r="C146" s="34">
        <v>37.179604249999997</v>
      </c>
      <c r="D146" s="34">
        <v>37.179604249999997</v>
      </c>
      <c r="E146" s="34">
        <v>35.549217650000003</v>
      </c>
      <c r="F146" s="34">
        <v>152.61794141600001</v>
      </c>
      <c r="G146" s="34">
        <v>152.61794141600001</v>
      </c>
      <c r="H146" s="34">
        <v>61.233761416</v>
      </c>
      <c r="I146" s="34">
        <v>61.233761416</v>
      </c>
      <c r="J146" s="34">
        <v>61.233761416</v>
      </c>
      <c r="K146" s="34">
        <v>61.233761416</v>
      </c>
      <c r="L146" s="34">
        <v>61.233761416</v>
      </c>
      <c r="M146" s="34">
        <v>61.233761416</v>
      </c>
      <c r="Z146" s="34" t="s">
        <v>1868</v>
      </c>
      <c r="AA146" s="34">
        <v>61.233761416</v>
      </c>
      <c r="AB146" s="34">
        <v>61.233761416</v>
      </c>
      <c r="AC146" s="34">
        <v>61.233761416</v>
      </c>
      <c r="AD146" s="10">
        <v>61.233761416</v>
      </c>
      <c r="AE146" s="34">
        <v>61.233761416</v>
      </c>
      <c r="AF146" s="34">
        <v>61.233761416</v>
      </c>
      <c r="AG146" s="34">
        <v>61.233761416</v>
      </c>
      <c r="AH146" s="10">
        <v>61.233761416</v>
      </c>
      <c r="AI146" s="34">
        <v>61.233761416</v>
      </c>
      <c r="AJ146" s="34">
        <v>61.233761416</v>
      </c>
      <c r="AK146" s="34">
        <v>61.233761416</v>
      </c>
      <c r="AL146" s="10">
        <v>61.233761416</v>
      </c>
      <c r="AM146" s="34">
        <v>61.233761416</v>
      </c>
      <c r="AN146" s="34">
        <v>61.233761416</v>
      </c>
      <c r="AO146" s="34">
        <v>61.233761416</v>
      </c>
      <c r="AP146" s="10">
        <v>61.233761416</v>
      </c>
      <c r="AQ146" s="34">
        <v>61.233761416</v>
      </c>
      <c r="AR146" s="34">
        <v>61.233761416</v>
      </c>
      <c r="AS146" s="34">
        <v>61.233761416</v>
      </c>
      <c r="AT146" s="10">
        <v>61.233761416</v>
      </c>
      <c r="AU146" s="34">
        <v>61.233761416</v>
      </c>
      <c r="AV146" s="34">
        <v>61.233761416</v>
      </c>
      <c r="AW146" s="34">
        <v>61.23</v>
      </c>
    </row>
    <row r="147" spans="1:49">
      <c r="A147" s="33" t="s">
        <v>1869</v>
      </c>
      <c r="B147" s="33" t="s">
        <v>1870</v>
      </c>
      <c r="C147" s="34">
        <v>0</v>
      </c>
      <c r="D147" s="34">
        <v>0</v>
      </c>
      <c r="E147" s="34">
        <v>0</v>
      </c>
      <c r="F147" s="34">
        <v>0</v>
      </c>
      <c r="G147" s="34">
        <v>0</v>
      </c>
      <c r="H147" s="34">
        <v>0</v>
      </c>
      <c r="I147" s="34">
        <v>0</v>
      </c>
      <c r="J147" s="34">
        <v>0</v>
      </c>
      <c r="K147" s="34">
        <v>0</v>
      </c>
      <c r="L147" s="34">
        <v>0</v>
      </c>
      <c r="M147" s="34">
        <v>0</v>
      </c>
      <c r="Z147" s="34" t="s">
        <v>1870</v>
      </c>
      <c r="AA147" s="34">
        <v>0</v>
      </c>
      <c r="AB147" s="34">
        <v>0</v>
      </c>
      <c r="AC147" s="34">
        <v>0</v>
      </c>
      <c r="AD147" s="10">
        <v>0</v>
      </c>
      <c r="AE147" s="34">
        <v>0</v>
      </c>
      <c r="AF147" s="34">
        <v>0</v>
      </c>
      <c r="AG147" s="34">
        <v>0</v>
      </c>
      <c r="AH147" s="10">
        <v>0</v>
      </c>
      <c r="AI147" s="34">
        <v>0</v>
      </c>
      <c r="AJ147" s="34">
        <v>0</v>
      </c>
      <c r="AK147" s="34">
        <v>0</v>
      </c>
      <c r="AL147" s="10">
        <v>0</v>
      </c>
      <c r="AM147" s="34">
        <v>0</v>
      </c>
      <c r="AN147" s="34">
        <v>0</v>
      </c>
      <c r="AO147" s="34">
        <v>0</v>
      </c>
      <c r="AP147" s="10">
        <v>0</v>
      </c>
      <c r="AQ147" s="34">
        <v>0</v>
      </c>
      <c r="AR147" s="34">
        <v>0</v>
      </c>
      <c r="AS147" s="34">
        <v>0</v>
      </c>
      <c r="AT147" s="10">
        <v>0</v>
      </c>
      <c r="AU147" s="34">
        <v>0</v>
      </c>
      <c r="AV147" s="34">
        <v>0</v>
      </c>
      <c r="AW147" s="34">
        <v>0</v>
      </c>
    </row>
    <row r="148" spans="1:49">
      <c r="A148" s="33" t="s">
        <v>1871</v>
      </c>
      <c r="B148" s="33" t="s">
        <v>1872</v>
      </c>
      <c r="C148" s="34">
        <v>0</v>
      </c>
      <c r="D148" s="34">
        <v>0</v>
      </c>
      <c r="E148" s="34">
        <v>0</v>
      </c>
      <c r="F148" s="34">
        <v>0</v>
      </c>
      <c r="G148" s="34">
        <v>0</v>
      </c>
      <c r="H148" s="34">
        <v>0</v>
      </c>
      <c r="I148" s="34">
        <v>0</v>
      </c>
      <c r="J148" s="34">
        <v>0</v>
      </c>
      <c r="K148" s="34">
        <v>0</v>
      </c>
      <c r="L148" s="34">
        <v>0</v>
      </c>
      <c r="M148" s="34">
        <v>0</v>
      </c>
      <c r="Z148" s="34" t="s">
        <v>1872</v>
      </c>
      <c r="AA148" s="34">
        <v>0</v>
      </c>
      <c r="AB148" s="34">
        <v>0</v>
      </c>
      <c r="AC148" s="34">
        <v>0</v>
      </c>
      <c r="AD148" s="10">
        <v>0</v>
      </c>
      <c r="AE148" s="34">
        <v>0</v>
      </c>
      <c r="AF148" s="34">
        <v>0</v>
      </c>
      <c r="AG148" s="34">
        <v>0</v>
      </c>
      <c r="AH148" s="10">
        <v>0</v>
      </c>
      <c r="AI148" s="34">
        <v>0</v>
      </c>
      <c r="AJ148" s="34">
        <v>0</v>
      </c>
      <c r="AK148" s="34">
        <v>0</v>
      </c>
      <c r="AL148" s="10">
        <v>0</v>
      </c>
      <c r="AM148" s="34">
        <v>0</v>
      </c>
      <c r="AN148" s="34">
        <v>0</v>
      </c>
      <c r="AO148" s="34">
        <v>0</v>
      </c>
      <c r="AP148" s="10">
        <v>0</v>
      </c>
      <c r="AQ148" s="34">
        <v>0</v>
      </c>
      <c r="AR148" s="34">
        <v>0</v>
      </c>
      <c r="AS148" s="34">
        <v>0</v>
      </c>
      <c r="AT148" s="10">
        <v>0</v>
      </c>
      <c r="AU148" s="34">
        <v>0</v>
      </c>
      <c r="AV148" s="34">
        <v>0</v>
      </c>
      <c r="AW148" s="34">
        <v>0</v>
      </c>
    </row>
    <row r="149" spans="1:49" s="41" customFormat="1">
      <c r="A149" s="40" t="s">
        <v>1873</v>
      </c>
      <c r="B149" s="40" t="s">
        <v>1874</v>
      </c>
      <c r="C149" s="41">
        <v>0</v>
      </c>
      <c r="D149" s="41">
        <v>-85</v>
      </c>
      <c r="E149" s="41">
        <v>-82.8506134</v>
      </c>
      <c r="F149" s="41">
        <v>-6.2729371660000002</v>
      </c>
      <c r="G149" s="41">
        <v>-6.2729371660000002</v>
      </c>
      <c r="H149" s="41">
        <v>-6.2729371660000002</v>
      </c>
      <c r="I149" s="41">
        <v>-6.2729371660000002</v>
      </c>
      <c r="J149" s="41">
        <v>-6.2729371660000002</v>
      </c>
      <c r="K149" s="41">
        <v>-6.2729371660000002</v>
      </c>
      <c r="L149" s="41">
        <v>-6.2729371660000002</v>
      </c>
      <c r="M149" s="41">
        <v>-6.3029371660000004</v>
      </c>
      <c r="O149" s="7"/>
      <c r="P149" s="7"/>
      <c r="Z149" s="41" t="s">
        <v>1874</v>
      </c>
      <c r="AA149" s="41">
        <v>-6.2729371660000002</v>
      </c>
      <c r="AB149" s="41">
        <v>-6.2729371660000002</v>
      </c>
      <c r="AC149" s="41">
        <v>-6.2729371660000002</v>
      </c>
      <c r="AD149" s="11">
        <v>-6.2729371660000002</v>
      </c>
      <c r="AE149" s="41">
        <v>-6.2729371660000002</v>
      </c>
      <c r="AF149" s="41">
        <v>-6.2729371660000002</v>
      </c>
      <c r="AG149" s="41">
        <v>-6.2729371660000002</v>
      </c>
      <c r="AH149" s="11">
        <v>-6.2729371660000002</v>
      </c>
      <c r="AI149" s="41">
        <v>-6.2729371660000002</v>
      </c>
      <c r="AJ149" s="41">
        <v>-6.2729371660000002</v>
      </c>
      <c r="AK149" s="41">
        <v>-6.2729371660000002</v>
      </c>
      <c r="AL149" s="11">
        <v>-6.2729371660000002</v>
      </c>
      <c r="AM149" s="41">
        <v>-6.2729371660000002</v>
      </c>
      <c r="AN149" s="41">
        <v>-6.2729371660000002</v>
      </c>
      <c r="AO149" s="41">
        <v>-6.2729371660000002</v>
      </c>
      <c r="AP149" s="11">
        <v>-6.2729371660000002</v>
      </c>
      <c r="AQ149" s="41">
        <v>-6.2729371660000002</v>
      </c>
      <c r="AR149" s="41">
        <v>-6.3029371660000004</v>
      </c>
      <c r="AS149" s="41">
        <v>-6.3029371660000004</v>
      </c>
      <c r="AT149" s="11">
        <v>-6.3029371660000004</v>
      </c>
      <c r="AU149" s="41">
        <v>-6.3029371660000004</v>
      </c>
      <c r="AV149" s="41">
        <v>-6.2729371660000002</v>
      </c>
      <c r="AW149" s="41">
        <v>-6.27</v>
      </c>
    </row>
    <row r="150" spans="1:49">
      <c r="A150" s="33" t="s">
        <v>1875</v>
      </c>
      <c r="B150" s="33" t="s">
        <v>1876</v>
      </c>
      <c r="C150" s="34">
        <v>0</v>
      </c>
      <c r="D150" s="34">
        <v>0</v>
      </c>
      <c r="E150" s="34">
        <v>0</v>
      </c>
      <c r="F150" s="34">
        <v>0</v>
      </c>
      <c r="G150" s="34">
        <v>0</v>
      </c>
      <c r="H150" s="34">
        <v>0</v>
      </c>
      <c r="I150" s="34">
        <v>0</v>
      </c>
      <c r="J150" s="34">
        <v>0</v>
      </c>
      <c r="K150" s="34">
        <v>0</v>
      </c>
      <c r="L150" s="34">
        <v>0</v>
      </c>
      <c r="M150" s="34">
        <v>0</v>
      </c>
      <c r="Z150" s="34" t="s">
        <v>1876</v>
      </c>
      <c r="AA150" s="34">
        <v>0</v>
      </c>
      <c r="AB150" s="34">
        <v>0</v>
      </c>
      <c r="AC150" s="34">
        <v>0</v>
      </c>
      <c r="AD150" s="10">
        <v>0</v>
      </c>
      <c r="AE150" s="34">
        <v>0</v>
      </c>
      <c r="AF150" s="34">
        <v>0</v>
      </c>
      <c r="AG150" s="34">
        <v>0</v>
      </c>
      <c r="AH150" s="10">
        <v>0</v>
      </c>
      <c r="AI150" s="34">
        <v>0</v>
      </c>
      <c r="AJ150" s="34">
        <v>0</v>
      </c>
      <c r="AK150" s="34">
        <v>0</v>
      </c>
      <c r="AL150" s="10">
        <v>0</v>
      </c>
      <c r="AM150" s="34">
        <v>0</v>
      </c>
      <c r="AN150" s="34">
        <v>0</v>
      </c>
      <c r="AO150" s="34">
        <v>0</v>
      </c>
      <c r="AP150" s="10">
        <v>0</v>
      </c>
      <c r="AQ150" s="34">
        <v>0</v>
      </c>
      <c r="AR150" s="34">
        <v>0</v>
      </c>
      <c r="AS150" s="34">
        <v>0</v>
      </c>
      <c r="AT150" s="10">
        <v>0</v>
      </c>
      <c r="AU150" s="34">
        <v>0</v>
      </c>
      <c r="AV150" s="34">
        <v>0</v>
      </c>
      <c r="AW150" s="34">
        <v>0</v>
      </c>
    </row>
    <row r="151" spans="1:49">
      <c r="A151" s="33" t="s">
        <v>1877</v>
      </c>
      <c r="B151" s="33" t="s">
        <v>1878</v>
      </c>
      <c r="C151" s="34">
        <v>0</v>
      </c>
      <c r="D151" s="34">
        <v>0</v>
      </c>
      <c r="E151" s="34">
        <v>0</v>
      </c>
      <c r="F151" s="34">
        <v>0</v>
      </c>
      <c r="G151" s="34">
        <v>0</v>
      </c>
      <c r="H151" s="34">
        <v>0</v>
      </c>
      <c r="I151" s="34">
        <v>0</v>
      </c>
      <c r="J151" s="34">
        <v>0</v>
      </c>
      <c r="K151" s="34">
        <v>0</v>
      </c>
      <c r="L151" s="34">
        <v>0</v>
      </c>
      <c r="M151" s="34">
        <v>0</v>
      </c>
      <c r="Z151" s="34" t="s">
        <v>1878</v>
      </c>
      <c r="AA151" s="34">
        <v>0</v>
      </c>
      <c r="AB151" s="34">
        <v>0</v>
      </c>
      <c r="AC151" s="34">
        <v>0</v>
      </c>
      <c r="AD151" s="10">
        <v>0</v>
      </c>
      <c r="AE151" s="34">
        <v>0</v>
      </c>
      <c r="AF151" s="34">
        <v>0</v>
      </c>
      <c r="AG151" s="34">
        <v>0</v>
      </c>
      <c r="AH151" s="10">
        <v>0</v>
      </c>
      <c r="AI151" s="34">
        <v>0</v>
      </c>
      <c r="AJ151" s="34">
        <v>0</v>
      </c>
      <c r="AK151" s="34">
        <v>0</v>
      </c>
      <c r="AL151" s="10">
        <v>0</v>
      </c>
      <c r="AM151" s="34">
        <v>0</v>
      </c>
      <c r="AN151" s="34">
        <v>0</v>
      </c>
      <c r="AO151" s="34">
        <v>0</v>
      </c>
      <c r="AP151" s="10">
        <v>0</v>
      </c>
      <c r="AQ151" s="34">
        <v>0</v>
      </c>
      <c r="AR151" s="34">
        <v>0</v>
      </c>
      <c r="AS151" s="34">
        <v>0</v>
      </c>
      <c r="AT151" s="10">
        <v>0</v>
      </c>
      <c r="AU151" s="34">
        <v>0</v>
      </c>
      <c r="AV151" s="34">
        <v>0</v>
      </c>
      <c r="AW151" s="34">
        <v>0</v>
      </c>
    </row>
    <row r="152" spans="1:49">
      <c r="A152" s="33" t="s">
        <v>1879</v>
      </c>
      <c r="B152" s="33" t="s">
        <v>1880</v>
      </c>
      <c r="C152" s="34">
        <v>0</v>
      </c>
      <c r="D152" s="34">
        <v>0</v>
      </c>
      <c r="E152" s="34">
        <v>0</v>
      </c>
      <c r="F152" s="34">
        <v>0.4</v>
      </c>
      <c r="G152" s="34">
        <v>0.4</v>
      </c>
      <c r="H152" s="34">
        <v>0.4</v>
      </c>
      <c r="I152" s="34">
        <v>0.4</v>
      </c>
      <c r="J152" s="34">
        <v>0.4</v>
      </c>
      <c r="K152" s="34">
        <v>0.4</v>
      </c>
      <c r="L152" s="34">
        <v>0.4</v>
      </c>
      <c r="M152" s="34">
        <v>0.4</v>
      </c>
      <c r="Z152" s="34" t="s">
        <v>1880</v>
      </c>
      <c r="AA152" s="34">
        <v>0.4</v>
      </c>
      <c r="AB152" s="34">
        <v>0.4</v>
      </c>
      <c r="AC152" s="34">
        <v>0.4</v>
      </c>
      <c r="AD152" s="10">
        <v>0.4</v>
      </c>
      <c r="AE152" s="34">
        <v>0.4</v>
      </c>
      <c r="AF152" s="34">
        <v>0.4</v>
      </c>
      <c r="AG152" s="34">
        <v>0.4</v>
      </c>
      <c r="AH152" s="10">
        <v>0.4</v>
      </c>
      <c r="AI152" s="34">
        <v>0.4</v>
      </c>
      <c r="AJ152" s="34">
        <v>0.4</v>
      </c>
      <c r="AK152" s="34">
        <v>0.4</v>
      </c>
      <c r="AL152" s="10">
        <v>0.4</v>
      </c>
      <c r="AM152" s="34">
        <v>0.4</v>
      </c>
      <c r="AN152" s="34">
        <v>0.4</v>
      </c>
      <c r="AO152" s="34">
        <v>0.4</v>
      </c>
      <c r="AP152" s="10">
        <v>0.4</v>
      </c>
      <c r="AQ152" s="34">
        <v>0.4</v>
      </c>
      <c r="AR152" s="34">
        <v>0.4</v>
      </c>
      <c r="AS152" s="34">
        <v>0.4</v>
      </c>
      <c r="AT152" s="10">
        <v>0.4</v>
      </c>
      <c r="AU152" s="34">
        <v>0.4</v>
      </c>
      <c r="AV152" s="34">
        <v>0.4</v>
      </c>
      <c r="AW152" s="34">
        <v>0.4</v>
      </c>
    </row>
    <row r="153" spans="1:49">
      <c r="A153" s="33" t="s">
        <v>1881</v>
      </c>
      <c r="B153" s="33" t="s">
        <v>1882</v>
      </c>
      <c r="C153" s="34">
        <v>0</v>
      </c>
      <c r="D153" s="34">
        <v>0</v>
      </c>
      <c r="E153" s="34">
        <v>0</v>
      </c>
      <c r="F153" s="34">
        <v>0</v>
      </c>
      <c r="G153" s="34">
        <v>0</v>
      </c>
      <c r="H153" s="34">
        <v>0</v>
      </c>
      <c r="I153" s="34">
        <v>0</v>
      </c>
      <c r="J153" s="34">
        <v>0</v>
      </c>
      <c r="K153" s="34">
        <v>0</v>
      </c>
      <c r="L153" s="34">
        <v>0</v>
      </c>
      <c r="M153" s="34">
        <v>0</v>
      </c>
      <c r="Z153" s="34" t="s">
        <v>1882</v>
      </c>
      <c r="AA153" s="34">
        <v>0</v>
      </c>
      <c r="AB153" s="34">
        <v>0</v>
      </c>
      <c r="AC153" s="34">
        <v>0</v>
      </c>
      <c r="AD153" s="10">
        <v>0</v>
      </c>
      <c r="AE153" s="34">
        <v>0</v>
      </c>
      <c r="AF153" s="34">
        <v>0</v>
      </c>
      <c r="AG153" s="34">
        <v>0</v>
      </c>
      <c r="AH153" s="10">
        <v>0</v>
      </c>
      <c r="AI153" s="34">
        <v>0</v>
      </c>
      <c r="AJ153" s="34">
        <v>0</v>
      </c>
      <c r="AK153" s="34">
        <v>0</v>
      </c>
      <c r="AL153" s="10">
        <v>0</v>
      </c>
      <c r="AM153" s="34">
        <v>0</v>
      </c>
      <c r="AN153" s="34">
        <v>0</v>
      </c>
      <c r="AO153" s="34">
        <v>0</v>
      </c>
      <c r="AP153" s="10">
        <v>0</v>
      </c>
      <c r="AQ153" s="34">
        <v>0</v>
      </c>
      <c r="AR153" s="34">
        <v>0</v>
      </c>
      <c r="AS153" s="34">
        <v>0</v>
      </c>
      <c r="AT153" s="10">
        <v>0</v>
      </c>
      <c r="AU153" s="34">
        <v>0</v>
      </c>
      <c r="AV153" s="34">
        <v>0</v>
      </c>
      <c r="AW153" s="34">
        <v>0</v>
      </c>
    </row>
    <row r="154" spans="1:49">
      <c r="A154" s="33" t="s">
        <v>1883</v>
      </c>
      <c r="B154" s="33" t="s">
        <v>1884</v>
      </c>
      <c r="C154" s="34">
        <v>0.4</v>
      </c>
      <c r="D154" s="34">
        <v>0.4</v>
      </c>
      <c r="E154" s="34">
        <v>0.4</v>
      </c>
      <c r="F154" s="34">
        <v>0</v>
      </c>
      <c r="G154" s="34">
        <v>0</v>
      </c>
      <c r="H154" s="34">
        <v>0</v>
      </c>
      <c r="I154" s="34">
        <v>0</v>
      </c>
      <c r="J154" s="34">
        <v>0</v>
      </c>
      <c r="K154" s="34">
        <v>0</v>
      </c>
      <c r="L154" s="34">
        <v>0</v>
      </c>
      <c r="M154" s="34">
        <v>0</v>
      </c>
      <c r="Z154" s="34" t="s">
        <v>1884</v>
      </c>
      <c r="AA154" s="34">
        <v>0</v>
      </c>
      <c r="AB154" s="34">
        <v>0</v>
      </c>
      <c r="AC154" s="34">
        <v>0</v>
      </c>
      <c r="AD154" s="10">
        <v>0</v>
      </c>
      <c r="AE154" s="34">
        <v>0</v>
      </c>
      <c r="AF154" s="34">
        <v>0</v>
      </c>
      <c r="AG154" s="34">
        <v>0</v>
      </c>
      <c r="AH154" s="10">
        <v>0</v>
      </c>
      <c r="AI154" s="34">
        <v>0</v>
      </c>
      <c r="AJ154" s="34">
        <v>0</v>
      </c>
      <c r="AK154" s="34">
        <v>0</v>
      </c>
      <c r="AL154" s="10">
        <v>0</v>
      </c>
      <c r="AM154" s="34">
        <v>0</v>
      </c>
      <c r="AN154" s="34">
        <v>0</v>
      </c>
      <c r="AO154" s="34">
        <v>0</v>
      </c>
      <c r="AP154" s="10">
        <v>0</v>
      </c>
      <c r="AQ154" s="34">
        <v>0</v>
      </c>
      <c r="AR154" s="34">
        <v>0</v>
      </c>
      <c r="AS154" s="34">
        <v>0</v>
      </c>
      <c r="AT154" s="10">
        <v>0</v>
      </c>
      <c r="AU154" s="34">
        <v>0</v>
      </c>
      <c r="AV154" s="34">
        <v>0</v>
      </c>
      <c r="AW154" s="34">
        <v>0</v>
      </c>
    </row>
    <row r="155" spans="1:49">
      <c r="A155" s="33" t="s">
        <v>1885</v>
      </c>
      <c r="B155" s="33" t="s">
        <v>1886</v>
      </c>
      <c r="C155" s="34">
        <v>0</v>
      </c>
      <c r="D155" s="34">
        <v>0</v>
      </c>
      <c r="E155" s="34">
        <v>0</v>
      </c>
      <c r="F155" s="34">
        <v>0</v>
      </c>
      <c r="G155" s="34">
        <v>0</v>
      </c>
      <c r="H155" s="34">
        <v>0</v>
      </c>
      <c r="I155" s="34">
        <v>0</v>
      </c>
      <c r="J155" s="34">
        <v>0</v>
      </c>
      <c r="K155" s="34">
        <v>0</v>
      </c>
      <c r="L155" s="34">
        <v>0</v>
      </c>
      <c r="M155" s="34">
        <v>0</v>
      </c>
      <c r="Z155" s="34" t="s">
        <v>1886</v>
      </c>
      <c r="AA155" s="34">
        <v>0</v>
      </c>
      <c r="AB155" s="34">
        <v>0</v>
      </c>
      <c r="AC155" s="34">
        <v>0</v>
      </c>
      <c r="AD155" s="10">
        <v>0</v>
      </c>
      <c r="AE155" s="34">
        <v>0</v>
      </c>
      <c r="AF155" s="34">
        <v>0</v>
      </c>
      <c r="AG155" s="34">
        <v>0</v>
      </c>
      <c r="AH155" s="10">
        <v>0</v>
      </c>
      <c r="AI155" s="34">
        <v>0</v>
      </c>
      <c r="AJ155" s="34">
        <v>0</v>
      </c>
      <c r="AK155" s="34">
        <v>0</v>
      </c>
      <c r="AL155" s="10">
        <v>0</v>
      </c>
      <c r="AM155" s="34">
        <v>0</v>
      </c>
      <c r="AN155" s="34">
        <v>0</v>
      </c>
      <c r="AO155" s="34">
        <v>0</v>
      </c>
      <c r="AP155" s="10">
        <v>0</v>
      </c>
      <c r="AQ155" s="34">
        <v>0</v>
      </c>
      <c r="AR155" s="34">
        <v>0</v>
      </c>
      <c r="AS155" s="34">
        <v>0</v>
      </c>
      <c r="AT155" s="10">
        <v>0</v>
      </c>
      <c r="AU155" s="34">
        <v>0</v>
      </c>
      <c r="AV155" s="34">
        <v>0</v>
      </c>
      <c r="AW155" s="34">
        <v>0</v>
      </c>
    </row>
    <row r="156" spans="1:49" s="41" customFormat="1">
      <c r="A156" s="40" t="s">
        <v>1887</v>
      </c>
      <c r="B156" s="40" t="s">
        <v>1888</v>
      </c>
      <c r="C156" s="41">
        <v>150.88521917400001</v>
      </c>
      <c r="D156" s="41">
        <v>189.44592291800001</v>
      </c>
      <c r="E156" s="41">
        <v>273.63582223600002</v>
      </c>
      <c r="F156" s="41">
        <v>155.665959673</v>
      </c>
      <c r="G156" s="41">
        <v>176.700278903</v>
      </c>
      <c r="H156" s="41">
        <v>224.19957881900001</v>
      </c>
      <c r="I156" s="41">
        <v>302.64995157599998</v>
      </c>
      <c r="J156" s="41">
        <v>446.44038176200002</v>
      </c>
      <c r="K156" s="41">
        <v>670.14863448000006</v>
      </c>
      <c r="L156" s="41">
        <v>838.31838044599999</v>
      </c>
      <c r="M156" s="41">
        <v>706.72493152799996</v>
      </c>
      <c r="O156" s="7"/>
      <c r="P156" s="7"/>
      <c r="Z156" s="41" t="s">
        <v>1888</v>
      </c>
      <c r="AA156" s="41">
        <v>243.25413556000001</v>
      </c>
      <c r="AB156" s="41">
        <v>233.82124482899999</v>
      </c>
      <c r="AC156" s="41">
        <v>269.99522645899998</v>
      </c>
      <c r="AD156" s="11">
        <v>302.32087808099999</v>
      </c>
      <c r="AE156" s="41">
        <v>327.67783798300002</v>
      </c>
      <c r="AF156" s="41">
        <v>360.66389617300001</v>
      </c>
      <c r="AG156" s="41">
        <v>415.40659312499997</v>
      </c>
      <c r="AH156" s="11">
        <v>444.61893054699999</v>
      </c>
      <c r="AI156" s="41">
        <v>491.398706946</v>
      </c>
      <c r="AJ156" s="41">
        <v>539.84392237199995</v>
      </c>
      <c r="AK156" s="41">
        <v>571.18773864000002</v>
      </c>
      <c r="AL156" s="11">
        <v>656.07235754299995</v>
      </c>
      <c r="AM156" s="41">
        <v>776.861561618</v>
      </c>
      <c r="AN156" s="41">
        <v>893.308641384</v>
      </c>
      <c r="AO156" s="41">
        <v>514.32090912399997</v>
      </c>
      <c r="AP156" s="11">
        <v>841.33532324099997</v>
      </c>
      <c r="AQ156" s="41">
        <v>1049.1565852169999</v>
      </c>
      <c r="AR156" s="41">
        <v>1095.443751478</v>
      </c>
      <c r="AS156" s="41">
        <v>550.97054478099994</v>
      </c>
      <c r="AT156" s="11">
        <v>706.72493152799996</v>
      </c>
      <c r="AU156" s="41">
        <v>786.11406786500004</v>
      </c>
      <c r="AV156" s="41">
        <v>842.28223622300004</v>
      </c>
      <c r="AW156" s="41">
        <v>944.7</v>
      </c>
    </row>
    <row r="157" spans="1:49">
      <c r="A157" s="33" t="s">
        <v>1889</v>
      </c>
      <c r="B157" s="33" t="s">
        <v>1890</v>
      </c>
      <c r="C157" s="34">
        <v>0</v>
      </c>
      <c r="D157" s="34">
        <v>0</v>
      </c>
      <c r="E157" s="34">
        <v>145.69592291800001</v>
      </c>
      <c r="F157" s="34">
        <v>52.095022235999998</v>
      </c>
      <c r="G157" s="34">
        <v>109.973169673</v>
      </c>
      <c r="H157" s="34">
        <v>148.98008430300001</v>
      </c>
      <c r="I157" s="34">
        <v>191.71935641900001</v>
      </c>
      <c r="J157" s="34">
        <v>281.983343273</v>
      </c>
      <c r="K157" s="34">
        <v>402.97686305100001</v>
      </c>
      <c r="L157" s="34">
        <v>183.94557648</v>
      </c>
      <c r="M157" s="34">
        <v>22.941644446000002</v>
      </c>
      <c r="Z157" s="34" t="s">
        <v>1890</v>
      </c>
      <c r="AA157" s="34">
        <v>224.19957881900001</v>
      </c>
      <c r="AB157" s="34">
        <v>191.71935641900001</v>
      </c>
      <c r="AC157" s="34">
        <v>191.71935641900001</v>
      </c>
      <c r="AD157" s="10">
        <v>191.74200181200001</v>
      </c>
      <c r="AE157" s="34">
        <v>302.64995157599998</v>
      </c>
      <c r="AF157" s="34">
        <v>302.64995157599998</v>
      </c>
      <c r="AG157" s="34">
        <v>302.64995157599998</v>
      </c>
      <c r="AH157" s="10">
        <v>281.749812577</v>
      </c>
      <c r="AI157" s="34">
        <v>446.44038176200002</v>
      </c>
      <c r="AJ157" s="34">
        <v>446.44038176200002</v>
      </c>
      <c r="AK157" s="34">
        <v>402.97686305100001</v>
      </c>
      <c r="AL157" s="10">
        <v>402.97686305100001</v>
      </c>
      <c r="AM157" s="34">
        <v>670.14863448000006</v>
      </c>
      <c r="AN157" s="34">
        <v>670.14863448000006</v>
      </c>
      <c r="AO157" s="34">
        <v>183.94557648</v>
      </c>
      <c r="AP157" s="10">
        <v>183.94557648</v>
      </c>
      <c r="AQ157" s="34">
        <v>838.31838044599999</v>
      </c>
      <c r="AR157" s="34">
        <v>747.72082444600005</v>
      </c>
      <c r="AS157" s="34">
        <v>22.941644446000002</v>
      </c>
      <c r="AT157" s="10">
        <v>22.941644446000002</v>
      </c>
      <c r="AU157" s="34">
        <v>706.72493152799996</v>
      </c>
      <c r="AV157" s="34">
        <v>679.87674503699998</v>
      </c>
      <c r="AW157" s="34">
        <v>679.88</v>
      </c>
    </row>
    <row r="158" spans="1:49">
      <c r="A158" s="33" t="s">
        <v>1891</v>
      </c>
      <c r="B158" s="33" t="s">
        <v>1892</v>
      </c>
      <c r="C158" s="34">
        <v>150.88521917400001</v>
      </c>
      <c r="D158" s="34">
        <v>189.44592291800001</v>
      </c>
      <c r="E158" s="34">
        <v>127.939899318</v>
      </c>
      <c r="F158" s="34">
        <v>103.570937437</v>
      </c>
      <c r="G158" s="34">
        <v>66.727109229999996</v>
      </c>
      <c r="H158" s="34">
        <v>75.219494515999997</v>
      </c>
      <c r="I158" s="34">
        <v>110.930595157</v>
      </c>
      <c r="J158" s="34">
        <v>164.45703848900001</v>
      </c>
      <c r="K158" s="34">
        <v>267.17177142899999</v>
      </c>
      <c r="L158" s="34">
        <v>654.37280396599999</v>
      </c>
      <c r="M158" s="34">
        <v>683.78328708200002</v>
      </c>
      <c r="Z158" s="34" t="s">
        <v>1892</v>
      </c>
      <c r="AA158" s="34">
        <v>19.054556740999999</v>
      </c>
      <c r="AB158" s="34">
        <v>42.101888410000001</v>
      </c>
      <c r="AC158" s="34">
        <v>78.275870040000001</v>
      </c>
      <c r="AD158" s="10">
        <v>110.57887626900001</v>
      </c>
      <c r="AE158" s="34">
        <v>25.027886407</v>
      </c>
      <c r="AF158" s="34">
        <v>58.013944596999998</v>
      </c>
      <c r="AG158" s="34">
        <v>112.75664154899999</v>
      </c>
      <c r="AH158" s="10">
        <v>162.86911796999999</v>
      </c>
      <c r="AI158" s="34">
        <v>44.958325184000003</v>
      </c>
      <c r="AJ158" s="34">
        <v>93.403540609999993</v>
      </c>
      <c r="AK158" s="34">
        <v>168.21087558900001</v>
      </c>
      <c r="AL158" s="10">
        <v>253.095494492</v>
      </c>
      <c r="AM158" s="34">
        <v>106.712927138</v>
      </c>
      <c r="AN158" s="34">
        <v>223.160006904</v>
      </c>
      <c r="AO158" s="34">
        <v>330.37533264400003</v>
      </c>
      <c r="AP158" s="10">
        <v>657.38974676099997</v>
      </c>
      <c r="AQ158" s="34">
        <v>210.83820477099999</v>
      </c>
      <c r="AR158" s="34">
        <v>347.72292703199997</v>
      </c>
      <c r="AS158" s="34">
        <v>528.028900335</v>
      </c>
      <c r="AT158" s="10">
        <v>683.78328708200002</v>
      </c>
      <c r="AU158" s="34">
        <v>79.389136336999997</v>
      </c>
      <c r="AV158" s="34">
        <v>162.40549118600001</v>
      </c>
      <c r="AW158" s="34">
        <v>264.82</v>
      </c>
    </row>
    <row r="159" spans="1:49" s="41" customFormat="1">
      <c r="A159" s="40" t="s">
        <v>1893</v>
      </c>
      <c r="B159" s="40" t="s">
        <v>1894</v>
      </c>
      <c r="C159" s="41">
        <v>0</v>
      </c>
      <c r="D159" s="41">
        <v>0</v>
      </c>
      <c r="E159" s="41">
        <v>0</v>
      </c>
      <c r="F159" s="41">
        <v>0</v>
      </c>
      <c r="G159" s="41">
        <v>0</v>
      </c>
      <c r="H159" s="41">
        <v>2.3570398899999998</v>
      </c>
      <c r="I159" s="41">
        <v>0.95123399500000005</v>
      </c>
      <c r="J159" s="41">
        <v>3.529737006</v>
      </c>
      <c r="K159" s="41">
        <v>1.559365036</v>
      </c>
      <c r="L159" s="41">
        <v>2.0852126860000002</v>
      </c>
      <c r="M159" s="41">
        <v>28.926547499000002</v>
      </c>
      <c r="O159" s="7"/>
      <c r="P159" s="7"/>
      <c r="Z159" s="41" t="s">
        <v>1894</v>
      </c>
      <c r="AA159" s="41">
        <v>2.804030011</v>
      </c>
      <c r="AB159" s="41">
        <v>2.7952739790000001</v>
      </c>
      <c r="AC159" s="41">
        <v>1.538662443</v>
      </c>
      <c r="AD159" s="11">
        <v>0.95909703400000001</v>
      </c>
      <c r="AE159" s="41">
        <v>4.3861887890000002</v>
      </c>
      <c r="AF159" s="41">
        <v>1.4811827660000001</v>
      </c>
      <c r="AG159" s="41">
        <v>0.20414351999999999</v>
      </c>
      <c r="AH159" s="11">
        <v>3.0910850729999999</v>
      </c>
      <c r="AI159" s="41">
        <v>3.3553037639999999</v>
      </c>
      <c r="AJ159" s="41">
        <v>3.2467612799999999</v>
      </c>
      <c r="AK159" s="41">
        <v>1.2807449019999999</v>
      </c>
      <c r="AL159" s="11">
        <v>1.531681166</v>
      </c>
      <c r="AM159" s="41">
        <v>1.7393546</v>
      </c>
      <c r="AN159" s="41">
        <v>1.864441714</v>
      </c>
      <c r="AO159" s="41">
        <v>1.9050774770000001</v>
      </c>
      <c r="AP159" s="11">
        <v>2.0852126860000002</v>
      </c>
      <c r="AQ159" s="41">
        <v>2.0841804869999998</v>
      </c>
      <c r="AR159" s="41">
        <v>2.120481018</v>
      </c>
      <c r="AS159" s="41">
        <v>2.1079759980000001</v>
      </c>
      <c r="AT159" s="11">
        <v>28.926547499000002</v>
      </c>
      <c r="AU159" s="41">
        <v>31.445895197999999</v>
      </c>
      <c r="AV159" s="41">
        <v>23.258393714</v>
      </c>
      <c r="AW159" s="41">
        <v>24.14</v>
      </c>
    </row>
    <row r="160" spans="1:49" s="41" customFormat="1">
      <c r="A160" s="40" t="s">
        <v>1895</v>
      </c>
      <c r="B160" s="40" t="s">
        <v>1896</v>
      </c>
      <c r="C160" s="41">
        <v>0</v>
      </c>
      <c r="D160" s="41">
        <v>0</v>
      </c>
      <c r="E160" s="41">
        <v>0</v>
      </c>
      <c r="F160" s="41">
        <v>0</v>
      </c>
      <c r="G160" s="41">
        <v>0</v>
      </c>
      <c r="H160" s="41">
        <v>0</v>
      </c>
      <c r="I160" s="41">
        <v>0</v>
      </c>
      <c r="J160" s="41">
        <v>0</v>
      </c>
      <c r="K160" s="41">
        <v>0</v>
      </c>
      <c r="L160" s="41">
        <v>0</v>
      </c>
      <c r="M160" s="41">
        <v>0</v>
      </c>
      <c r="O160" s="7"/>
      <c r="P160" s="7"/>
      <c r="Z160" s="41" t="s">
        <v>1896</v>
      </c>
      <c r="AA160" s="41">
        <v>0</v>
      </c>
      <c r="AB160" s="41">
        <v>0</v>
      </c>
      <c r="AC160" s="41">
        <v>0</v>
      </c>
      <c r="AD160" s="11">
        <v>0</v>
      </c>
      <c r="AE160" s="41">
        <v>0</v>
      </c>
      <c r="AF160" s="41">
        <v>0</v>
      </c>
      <c r="AG160" s="41">
        <v>0</v>
      </c>
      <c r="AH160" s="11">
        <v>0</v>
      </c>
      <c r="AI160" s="41">
        <v>0</v>
      </c>
      <c r="AJ160" s="41">
        <v>0</v>
      </c>
      <c r="AK160" s="41">
        <v>0</v>
      </c>
      <c r="AL160" s="11">
        <v>0</v>
      </c>
      <c r="AM160" s="41">
        <v>0</v>
      </c>
      <c r="AN160" s="41">
        <v>0</v>
      </c>
      <c r="AO160" s="41">
        <v>0</v>
      </c>
      <c r="AP160" s="11">
        <v>0</v>
      </c>
      <c r="AQ160" s="41">
        <v>0</v>
      </c>
      <c r="AR160" s="41">
        <v>0</v>
      </c>
      <c r="AS160" s="41">
        <v>0</v>
      </c>
      <c r="AT160" s="11">
        <v>0</v>
      </c>
      <c r="AU160" s="41">
        <v>0</v>
      </c>
      <c r="AV160" s="41">
        <v>0</v>
      </c>
      <c r="AW160" s="41">
        <v>0</v>
      </c>
    </row>
    <row r="161" spans="1:49">
      <c r="A161" s="33" t="s">
        <v>1897</v>
      </c>
      <c r="B161" s="33" t="s">
        <v>1898</v>
      </c>
      <c r="C161" s="34">
        <v>0</v>
      </c>
      <c r="D161" s="34">
        <v>0</v>
      </c>
      <c r="E161" s="34">
        <v>0</v>
      </c>
      <c r="F161" s="34">
        <v>0</v>
      </c>
      <c r="G161" s="34">
        <v>0</v>
      </c>
      <c r="H161" s="34">
        <v>0</v>
      </c>
      <c r="I161" s="34">
        <v>0</v>
      </c>
      <c r="J161" s="34">
        <v>0</v>
      </c>
      <c r="K161" s="34">
        <v>0</v>
      </c>
      <c r="L161" s="34">
        <v>0</v>
      </c>
      <c r="M161" s="34">
        <v>0</v>
      </c>
      <c r="Z161" s="34" t="s">
        <v>1898</v>
      </c>
      <c r="AA161" s="34">
        <v>0</v>
      </c>
      <c r="AB161" s="34">
        <v>0</v>
      </c>
      <c r="AC161" s="34">
        <v>0</v>
      </c>
      <c r="AD161" s="10">
        <v>0</v>
      </c>
      <c r="AE161" s="34">
        <v>0</v>
      </c>
      <c r="AF161" s="34">
        <v>0</v>
      </c>
      <c r="AG161" s="34">
        <v>0</v>
      </c>
      <c r="AH161" s="10">
        <v>0</v>
      </c>
      <c r="AI161" s="34">
        <v>0</v>
      </c>
      <c r="AJ161" s="34">
        <v>0</v>
      </c>
      <c r="AK161" s="34">
        <v>0</v>
      </c>
      <c r="AL161" s="10">
        <v>0</v>
      </c>
      <c r="AM161" s="34">
        <v>0</v>
      </c>
      <c r="AN161" s="34">
        <v>0</v>
      </c>
      <c r="AO161" s="34">
        <v>0</v>
      </c>
      <c r="AP161" s="10">
        <v>0</v>
      </c>
      <c r="AQ161" s="34">
        <v>0</v>
      </c>
      <c r="AR161" s="34">
        <v>0</v>
      </c>
      <c r="AS161" s="34">
        <v>0</v>
      </c>
      <c r="AT161" s="10">
        <v>0</v>
      </c>
      <c r="AU161" s="34">
        <v>0</v>
      </c>
      <c r="AV161" s="34">
        <v>0</v>
      </c>
      <c r="AW161" s="34">
        <v>0</v>
      </c>
    </row>
    <row r="162" spans="1:49">
      <c r="A162" s="33" t="s">
        <v>1899</v>
      </c>
      <c r="B162" s="33" t="s">
        <v>1900</v>
      </c>
      <c r="C162" s="34">
        <v>0</v>
      </c>
      <c r="D162" s="34">
        <v>0</v>
      </c>
      <c r="E162" s="34">
        <v>0</v>
      </c>
      <c r="F162" s="34">
        <v>0</v>
      </c>
      <c r="G162" s="34">
        <v>0</v>
      </c>
      <c r="H162" s="34">
        <v>0</v>
      </c>
      <c r="I162" s="34">
        <v>0</v>
      </c>
      <c r="J162" s="34">
        <v>0</v>
      </c>
      <c r="K162" s="34">
        <v>0</v>
      </c>
      <c r="L162" s="34">
        <v>0</v>
      </c>
      <c r="M162" s="34">
        <v>0</v>
      </c>
      <c r="Z162" s="34" t="s">
        <v>1900</v>
      </c>
      <c r="AA162" s="34">
        <v>0</v>
      </c>
      <c r="AB162" s="34">
        <v>0</v>
      </c>
      <c r="AC162" s="34">
        <v>0</v>
      </c>
      <c r="AD162" s="10">
        <v>0</v>
      </c>
      <c r="AE162" s="34">
        <v>0</v>
      </c>
      <c r="AF162" s="34">
        <v>0</v>
      </c>
      <c r="AG162" s="34">
        <v>0</v>
      </c>
      <c r="AH162" s="10">
        <v>0</v>
      </c>
      <c r="AI162" s="34">
        <v>0</v>
      </c>
      <c r="AJ162" s="34">
        <v>0</v>
      </c>
      <c r="AK162" s="34">
        <v>0</v>
      </c>
      <c r="AL162" s="10">
        <v>0</v>
      </c>
      <c r="AM162" s="34">
        <v>0</v>
      </c>
      <c r="AN162" s="34">
        <v>0</v>
      </c>
      <c r="AO162" s="34">
        <v>0</v>
      </c>
      <c r="AP162" s="10">
        <v>0</v>
      </c>
      <c r="AQ162" s="34">
        <v>0</v>
      </c>
      <c r="AR162" s="34">
        <v>0</v>
      </c>
      <c r="AS162" s="34">
        <v>0</v>
      </c>
      <c r="AT162" s="10">
        <v>0</v>
      </c>
      <c r="AU162" s="34">
        <v>0</v>
      </c>
      <c r="AV162" s="34">
        <v>0</v>
      </c>
      <c r="AW162" s="34">
        <v>0</v>
      </c>
    </row>
    <row r="163" spans="1:49">
      <c r="A163" s="33" t="s">
        <v>1901</v>
      </c>
      <c r="B163" s="33" t="s">
        <v>1902</v>
      </c>
      <c r="C163" s="34">
        <v>0</v>
      </c>
      <c r="D163" s="34">
        <v>0</v>
      </c>
      <c r="E163" s="34">
        <v>0</v>
      </c>
      <c r="F163" s="34">
        <v>0</v>
      </c>
      <c r="G163" s="34">
        <v>0</v>
      </c>
      <c r="H163" s="34">
        <v>0</v>
      </c>
      <c r="I163" s="34">
        <v>0</v>
      </c>
      <c r="J163" s="34">
        <v>0</v>
      </c>
      <c r="K163" s="34">
        <v>0</v>
      </c>
      <c r="L163" s="34">
        <v>0</v>
      </c>
      <c r="M163" s="34">
        <v>0</v>
      </c>
      <c r="Z163" s="34" t="s">
        <v>1902</v>
      </c>
      <c r="AA163" s="34">
        <v>0</v>
      </c>
      <c r="AB163" s="34">
        <v>0</v>
      </c>
      <c r="AC163" s="34">
        <v>0</v>
      </c>
      <c r="AD163" s="10">
        <v>0</v>
      </c>
      <c r="AE163" s="34">
        <v>0</v>
      </c>
      <c r="AF163" s="34">
        <v>0</v>
      </c>
      <c r="AG163" s="34">
        <v>0</v>
      </c>
      <c r="AH163" s="10">
        <v>0</v>
      </c>
      <c r="AI163" s="34">
        <v>0</v>
      </c>
      <c r="AJ163" s="34">
        <v>0</v>
      </c>
      <c r="AK163" s="34">
        <v>0</v>
      </c>
      <c r="AL163" s="10">
        <v>0</v>
      </c>
      <c r="AM163" s="34">
        <v>0</v>
      </c>
      <c r="AN163" s="34">
        <v>0</v>
      </c>
      <c r="AO163" s="34">
        <v>0</v>
      </c>
      <c r="AP163" s="10">
        <v>0</v>
      </c>
      <c r="AQ163" s="34">
        <v>0</v>
      </c>
      <c r="AR163" s="34">
        <v>0</v>
      </c>
      <c r="AS163" s="34">
        <v>0</v>
      </c>
      <c r="AT163" s="10">
        <v>0</v>
      </c>
      <c r="AU163" s="34">
        <v>0</v>
      </c>
      <c r="AV163" s="34">
        <v>0</v>
      </c>
      <c r="AW163" s="34">
        <v>0</v>
      </c>
    </row>
    <row r="164" spans="1:49" s="41" customFormat="1">
      <c r="A164" s="40" t="s">
        <v>1903</v>
      </c>
      <c r="B164" s="40" t="s">
        <v>1904</v>
      </c>
      <c r="C164" s="41">
        <v>0</v>
      </c>
      <c r="D164" s="41">
        <v>0</v>
      </c>
      <c r="E164" s="41">
        <v>0</v>
      </c>
      <c r="F164" s="41">
        <v>0</v>
      </c>
      <c r="G164" s="41">
        <v>0</v>
      </c>
      <c r="H164" s="41">
        <v>0</v>
      </c>
      <c r="I164" s="41">
        <v>0</v>
      </c>
      <c r="J164" s="41">
        <v>0</v>
      </c>
      <c r="K164" s="41">
        <v>0</v>
      </c>
      <c r="L164" s="41">
        <v>0</v>
      </c>
      <c r="M164" s="41">
        <v>0</v>
      </c>
      <c r="O164" s="7"/>
      <c r="P164" s="7"/>
      <c r="Z164" s="41" t="s">
        <v>1904</v>
      </c>
      <c r="AA164" s="41">
        <v>0</v>
      </c>
      <c r="AB164" s="41">
        <v>0</v>
      </c>
      <c r="AC164" s="41">
        <v>0</v>
      </c>
      <c r="AD164" s="11">
        <v>0</v>
      </c>
      <c r="AE164" s="41">
        <v>0</v>
      </c>
      <c r="AF164" s="41">
        <v>0</v>
      </c>
      <c r="AG164" s="41">
        <v>0</v>
      </c>
      <c r="AH164" s="11">
        <v>0</v>
      </c>
      <c r="AI164" s="41">
        <v>0</v>
      </c>
      <c r="AJ164" s="41">
        <v>0</v>
      </c>
      <c r="AK164" s="41">
        <v>0</v>
      </c>
      <c r="AL164" s="11">
        <v>0</v>
      </c>
      <c r="AM164" s="41">
        <v>0</v>
      </c>
      <c r="AN164" s="41">
        <v>0</v>
      </c>
      <c r="AO164" s="41">
        <v>0</v>
      </c>
      <c r="AP164" s="11">
        <v>0</v>
      </c>
      <c r="AQ164" s="41">
        <v>0</v>
      </c>
      <c r="AR164" s="41">
        <v>0</v>
      </c>
      <c r="AS164" s="41">
        <v>0</v>
      </c>
      <c r="AT164" s="11">
        <v>0</v>
      </c>
      <c r="AU164" s="41">
        <v>0</v>
      </c>
      <c r="AV164" s="41">
        <v>0</v>
      </c>
      <c r="AW164" s="41">
        <v>0</v>
      </c>
    </row>
    <row r="165" spans="1:49" s="41" customFormat="1">
      <c r="A165" s="40" t="s">
        <v>1905</v>
      </c>
      <c r="B165" s="40" t="s">
        <v>1906</v>
      </c>
      <c r="C165" s="41">
        <v>855.99738905000004</v>
      </c>
      <c r="D165" s="41">
        <v>976.54412233899995</v>
      </c>
      <c r="E165" s="41">
        <v>1292.721545629</v>
      </c>
      <c r="F165" s="41">
        <v>1255.508372989</v>
      </c>
      <c r="G165" s="41">
        <v>1306.2119002219999</v>
      </c>
      <c r="H165" s="41">
        <v>1593.948921358</v>
      </c>
      <c r="I165" s="41">
        <v>2223.3361136059998</v>
      </c>
      <c r="J165" s="41">
        <v>2405.0552020670002</v>
      </c>
      <c r="K165" s="41">
        <v>3068.7471294299999</v>
      </c>
      <c r="L165" s="41">
        <v>6544.8225680160003</v>
      </c>
      <c r="M165" s="41">
        <v>6355.4211235479997</v>
      </c>
      <c r="O165" s="7"/>
      <c r="P165" s="7"/>
      <c r="Z165" s="41" t="s">
        <v>1906</v>
      </c>
      <c r="AA165" s="41">
        <v>1396.6601770760001</v>
      </c>
      <c r="AB165" s="41">
        <v>1459.947356102</v>
      </c>
      <c r="AC165" s="41">
        <v>1661.483823217</v>
      </c>
      <c r="AD165" s="11">
        <v>2221.8383339649999</v>
      </c>
      <c r="AE165" s="41">
        <v>1839.074562642</v>
      </c>
      <c r="AF165" s="41">
        <v>2148.1694250370001</v>
      </c>
      <c r="AG165" s="41">
        <v>2046.3628029629999</v>
      </c>
      <c r="AH165" s="11">
        <v>2419.0183355190002</v>
      </c>
      <c r="AI165" s="41">
        <v>1909.6117577760001</v>
      </c>
      <c r="AJ165" s="41">
        <v>2224.464426088</v>
      </c>
      <c r="AK165" s="41">
        <v>2321.6108578049998</v>
      </c>
      <c r="AL165" s="11">
        <v>3066.305698274</v>
      </c>
      <c r="AM165" s="41">
        <v>3354.8197510509999</v>
      </c>
      <c r="AN165" s="41">
        <v>3424.786016647</v>
      </c>
      <c r="AO165" s="41">
        <v>3760.5557671380002</v>
      </c>
      <c r="AP165" s="11">
        <v>6547.874284814</v>
      </c>
      <c r="AQ165" s="41">
        <v>6669.2421434520002</v>
      </c>
      <c r="AR165" s="41">
        <v>6136.5236820740001</v>
      </c>
      <c r="AS165" s="41">
        <v>6609.7961612380004</v>
      </c>
      <c r="AT165" s="11">
        <v>6355.2891235779998</v>
      </c>
      <c r="AU165" s="41">
        <v>5916.3467661229997</v>
      </c>
      <c r="AV165" s="41">
        <v>6559.6440108400002</v>
      </c>
      <c r="AW165" s="41">
        <v>7003.15</v>
      </c>
    </row>
    <row r="166" spans="1:49">
      <c r="C166" s="34"/>
      <c r="D166" s="34"/>
      <c r="E166" s="34"/>
      <c r="F166" s="34"/>
      <c r="G166" s="34"/>
    </row>
    <row r="167" spans="1:49">
      <c r="C167" s="34"/>
      <c r="D167" s="34"/>
      <c r="E167" s="34"/>
      <c r="F167" s="34"/>
      <c r="G167" s="34"/>
    </row>
    <row r="168" spans="1:49">
      <c r="C168" s="34"/>
      <c r="D168" s="34"/>
      <c r="E168" s="34"/>
      <c r="F168" s="34"/>
      <c r="G168" s="34"/>
    </row>
    <row r="169" spans="1:49" s="181" customFormat="1" ht="21">
      <c r="A169" s="180" t="s">
        <v>1907</v>
      </c>
      <c r="B169" s="180" t="s">
        <v>1605</v>
      </c>
      <c r="C169" s="182"/>
      <c r="D169" s="182"/>
      <c r="E169" s="182"/>
      <c r="F169" s="182"/>
      <c r="G169" s="182"/>
      <c r="H169" s="182"/>
      <c r="O169" s="356"/>
      <c r="P169" s="356"/>
      <c r="Z169" s="182" t="s">
        <v>1606</v>
      </c>
      <c r="AD169" s="200"/>
      <c r="AH169" s="200"/>
      <c r="AL169" s="200"/>
      <c r="AP169" s="200"/>
      <c r="AT169" s="200"/>
    </row>
    <row r="170" spans="1:49">
      <c r="A170" s="32" t="s">
        <v>1908</v>
      </c>
      <c r="B170" s="32" t="s">
        <v>1908</v>
      </c>
      <c r="C170" s="38"/>
      <c r="D170" s="38"/>
      <c r="E170" s="38"/>
      <c r="F170" s="38"/>
      <c r="G170" s="38"/>
      <c r="H170" s="38" t="s">
        <v>1609</v>
      </c>
      <c r="I170" s="38" t="s">
        <v>1610</v>
      </c>
      <c r="J170" s="38" t="s">
        <v>1611</v>
      </c>
      <c r="K170" s="38" t="s">
        <v>1612</v>
      </c>
      <c r="L170" s="38" t="s">
        <v>1613</v>
      </c>
      <c r="M170" s="38" t="s">
        <v>1598</v>
      </c>
      <c r="Z170" s="39" t="s">
        <v>1908</v>
      </c>
      <c r="AA170" s="38" t="s">
        <v>446</v>
      </c>
      <c r="AB170" s="38" t="s">
        <v>447</v>
      </c>
      <c r="AC170" s="38" t="s">
        <v>448</v>
      </c>
      <c r="AD170" s="201" t="s">
        <v>449</v>
      </c>
      <c r="AE170" s="38" t="s">
        <v>450</v>
      </c>
      <c r="AF170" s="38" t="s">
        <v>451</v>
      </c>
      <c r="AG170" s="38" t="s">
        <v>452</v>
      </c>
      <c r="AH170" s="201" t="s">
        <v>453</v>
      </c>
      <c r="AI170" s="38" t="s">
        <v>454</v>
      </c>
      <c r="AJ170" s="38" t="s">
        <v>455</v>
      </c>
      <c r="AK170" s="38" t="s">
        <v>456</v>
      </c>
      <c r="AL170" s="201" t="s">
        <v>457</v>
      </c>
      <c r="AM170" s="38" t="s">
        <v>458</v>
      </c>
      <c r="AN170" s="38" t="s">
        <v>459</v>
      </c>
      <c r="AO170" s="38" t="s">
        <v>460</v>
      </c>
      <c r="AP170" s="201" t="s">
        <v>461</v>
      </c>
      <c r="AQ170" s="38" t="s">
        <v>462</v>
      </c>
      <c r="AR170" s="38" t="s">
        <v>463</v>
      </c>
      <c r="AS170" s="38" t="s">
        <v>464</v>
      </c>
      <c r="AT170" s="201" t="s">
        <v>465</v>
      </c>
      <c r="AU170" s="38" t="s">
        <v>466</v>
      </c>
      <c r="AV170" s="38" t="s">
        <v>467</v>
      </c>
    </row>
    <row r="171" spans="1:49">
      <c r="A171" s="33" t="s">
        <v>1614</v>
      </c>
      <c r="B171" s="33" t="s">
        <v>1614</v>
      </c>
      <c r="C171" s="34"/>
      <c r="D171" s="34"/>
      <c r="E171" s="34"/>
      <c r="F171" s="34"/>
      <c r="G171" s="34"/>
      <c r="H171" s="34" t="s">
        <v>1615</v>
      </c>
      <c r="I171" s="34" t="s">
        <v>1615</v>
      </c>
      <c r="J171" s="34" t="s">
        <v>1615</v>
      </c>
      <c r="K171" s="34" t="s">
        <v>1615</v>
      </c>
      <c r="L171" s="34" t="s">
        <v>1615</v>
      </c>
      <c r="M171" s="34" t="s">
        <v>1615</v>
      </c>
      <c r="Z171" s="34" t="s">
        <v>1614</v>
      </c>
      <c r="AA171" s="34" t="s">
        <v>1616</v>
      </c>
      <c r="AB171" s="34" t="s">
        <v>1615</v>
      </c>
      <c r="AC171" s="34" t="s">
        <v>1616</v>
      </c>
      <c r="AD171" s="10" t="s">
        <v>1616</v>
      </c>
      <c r="AE171" s="34" t="s">
        <v>1616</v>
      </c>
      <c r="AF171" s="34" t="s">
        <v>1615</v>
      </c>
      <c r="AG171" s="34" t="s">
        <v>1616</v>
      </c>
      <c r="AH171" s="10" t="s">
        <v>1616</v>
      </c>
      <c r="AI171" s="34" t="s">
        <v>1616</v>
      </c>
      <c r="AJ171" s="34" t="s">
        <v>1615</v>
      </c>
      <c r="AK171" s="34" t="s">
        <v>1616</v>
      </c>
      <c r="AL171" s="10" t="s">
        <v>1616</v>
      </c>
      <c r="AM171" s="34" t="s">
        <v>1616</v>
      </c>
      <c r="AN171" s="34" t="s">
        <v>1615</v>
      </c>
      <c r="AO171" s="34" t="s">
        <v>1616</v>
      </c>
      <c r="AP171" s="10" t="s">
        <v>1616</v>
      </c>
      <c r="AQ171" s="34" t="s">
        <v>1616</v>
      </c>
      <c r="AR171" s="34" t="s">
        <v>1615</v>
      </c>
      <c r="AS171" s="34" t="s">
        <v>1616</v>
      </c>
      <c r="AT171" s="10" t="s">
        <v>1616</v>
      </c>
      <c r="AU171" s="34" t="s">
        <v>1616</v>
      </c>
      <c r="AV171" s="34" t="s">
        <v>1615</v>
      </c>
      <c r="AW171" s="34" t="s">
        <v>1616</v>
      </c>
    </row>
    <row r="172" spans="1:49">
      <c r="A172" s="33" t="s">
        <v>1617</v>
      </c>
      <c r="B172" s="33" t="s">
        <v>1617</v>
      </c>
      <c r="C172" s="34"/>
      <c r="D172" s="34"/>
      <c r="E172" s="34"/>
      <c r="F172" s="34"/>
      <c r="G172" s="34"/>
      <c r="H172" s="34" t="s">
        <v>1618</v>
      </c>
      <c r="I172" s="34" t="s">
        <v>1618</v>
      </c>
      <c r="J172" s="34" t="s">
        <v>1618</v>
      </c>
      <c r="K172" s="34" t="s">
        <v>1618</v>
      </c>
      <c r="L172" s="34" t="s">
        <v>1618</v>
      </c>
      <c r="M172" s="34" t="s">
        <v>1618</v>
      </c>
      <c r="Z172" s="34" t="s">
        <v>1617</v>
      </c>
      <c r="AF172" s="34" t="s">
        <v>1618</v>
      </c>
      <c r="AJ172" s="34" t="s">
        <v>1618</v>
      </c>
      <c r="AN172" s="34" t="s">
        <v>1618</v>
      </c>
      <c r="AV172" s="34" t="s">
        <v>1618</v>
      </c>
    </row>
    <row r="173" spans="1:49">
      <c r="A173" s="33" t="s">
        <v>1619</v>
      </c>
      <c r="B173" s="33" t="s">
        <v>1619</v>
      </c>
      <c r="C173" s="34"/>
      <c r="D173" s="34"/>
      <c r="E173" s="34"/>
      <c r="F173" s="34"/>
      <c r="G173" s="34"/>
      <c r="H173" s="34" t="s">
        <v>1620</v>
      </c>
      <c r="I173" s="34" t="s">
        <v>1620</v>
      </c>
      <c r="J173" s="34" t="s">
        <v>1620</v>
      </c>
      <c r="K173" s="34" t="s">
        <v>1620</v>
      </c>
      <c r="L173" s="34" t="s">
        <v>1620</v>
      </c>
      <c r="M173" s="34" t="s">
        <v>1620</v>
      </c>
      <c r="Z173" s="34" t="s">
        <v>1619</v>
      </c>
      <c r="AF173" s="34" t="s">
        <v>1620</v>
      </c>
      <c r="AJ173" s="34" t="s">
        <v>1620</v>
      </c>
      <c r="AN173" s="34" t="s">
        <v>1620</v>
      </c>
      <c r="AV173" s="34" t="s">
        <v>1620</v>
      </c>
    </row>
    <row r="174" spans="1:49" s="41" customFormat="1">
      <c r="A174" s="40" t="s">
        <v>1909</v>
      </c>
      <c r="B174" s="40" t="s">
        <v>1910</v>
      </c>
      <c r="C174" s="41">
        <v>85.092576922000006</v>
      </c>
      <c r="D174" s="41">
        <v>69.034455378000004</v>
      </c>
      <c r="E174" s="41">
        <v>167.93299646400001</v>
      </c>
      <c r="F174" s="41">
        <v>133.35520230899999</v>
      </c>
      <c r="G174" s="41">
        <v>84.283188018999994</v>
      </c>
      <c r="H174" s="41">
        <v>99.5656733</v>
      </c>
      <c r="I174" s="41">
        <v>139.63598356400001</v>
      </c>
      <c r="J174" s="41">
        <v>210.353564831</v>
      </c>
      <c r="K174" s="41">
        <v>333.75788575600001</v>
      </c>
      <c r="L174" s="41">
        <v>819.83925980499998</v>
      </c>
      <c r="M174" s="41">
        <v>862.36767621000001</v>
      </c>
      <c r="O174" s="7"/>
      <c r="P174" s="7"/>
      <c r="Z174" s="41" t="s">
        <v>1910</v>
      </c>
      <c r="AA174" s="41">
        <v>23.965676096999999</v>
      </c>
      <c r="AB174" s="41">
        <v>29.066390766000001</v>
      </c>
      <c r="AC174" s="41">
        <v>45.002486965000003</v>
      </c>
      <c r="AD174" s="11">
        <v>41.957365883000001</v>
      </c>
      <c r="AE174" s="41">
        <v>31.120398428000001</v>
      </c>
      <c r="AF174" s="41">
        <v>45.021979033999997</v>
      </c>
      <c r="AG174" s="41">
        <v>66.985853477999996</v>
      </c>
      <c r="AH174" s="11">
        <v>66.957440056999999</v>
      </c>
      <c r="AI174" s="41">
        <v>53.760473816999998</v>
      </c>
      <c r="AJ174" s="41">
        <v>63.556201540000004</v>
      </c>
      <c r="AK174" s="41">
        <v>100.546198125</v>
      </c>
      <c r="AL174" s="11">
        <v>113.453581118</v>
      </c>
      <c r="AM174" s="41">
        <v>135.045506837</v>
      </c>
      <c r="AN174" s="41">
        <v>146.72553979599999</v>
      </c>
      <c r="AO174" s="41">
        <v>134.17758961499999</v>
      </c>
      <c r="AP174" s="11">
        <v>406.942340355</v>
      </c>
      <c r="AQ174" s="41">
        <v>265.16633327300002</v>
      </c>
      <c r="AR174" s="41">
        <v>172.80756050700001</v>
      </c>
      <c r="AS174" s="41">
        <v>226.853718781</v>
      </c>
      <c r="AT174" s="11">
        <v>197.54006364899999</v>
      </c>
      <c r="AU174" s="41">
        <v>106.597419715</v>
      </c>
      <c r="AV174" s="41">
        <v>111.867958046</v>
      </c>
      <c r="AW174" s="41">
        <v>133.79</v>
      </c>
    </row>
    <row r="175" spans="1:49">
      <c r="A175" s="33" t="s">
        <v>1911</v>
      </c>
      <c r="B175" s="33" t="s">
        <v>1912</v>
      </c>
      <c r="C175" s="34">
        <v>3.0212378069999999</v>
      </c>
      <c r="D175" s="34">
        <v>3.4168622439999998</v>
      </c>
      <c r="E175" s="34">
        <v>2.954082262</v>
      </c>
      <c r="F175" s="34">
        <v>3.2516758590000001</v>
      </c>
      <c r="G175" s="34">
        <v>4.0039349849999999</v>
      </c>
      <c r="H175" s="34">
        <v>4.800459214</v>
      </c>
      <c r="I175" s="34">
        <v>5.4616505210000001</v>
      </c>
      <c r="J175" s="34">
        <v>6.2180324650000003</v>
      </c>
      <c r="K175" s="34">
        <v>6.2868980829999996</v>
      </c>
      <c r="L175" s="34">
        <v>6.2896370959999999</v>
      </c>
      <c r="M175" s="34">
        <v>12.835000000000001</v>
      </c>
      <c r="Z175" s="34" t="s">
        <v>1912</v>
      </c>
      <c r="AA175" s="34">
        <v>1.257884437</v>
      </c>
      <c r="AB175" s="34">
        <v>1.350843813</v>
      </c>
      <c r="AC175" s="34">
        <v>0.96190543900000003</v>
      </c>
      <c r="AD175" s="10">
        <v>1.315736861</v>
      </c>
      <c r="AE175" s="34">
        <v>1.165262416</v>
      </c>
      <c r="AF175" s="34">
        <v>1.4573045920000001</v>
      </c>
      <c r="AG175" s="34">
        <v>0.92893233500000005</v>
      </c>
      <c r="AH175" s="10">
        <v>1.274143384</v>
      </c>
      <c r="AI175" s="34">
        <v>1.1913830780000001</v>
      </c>
      <c r="AJ175" s="34">
        <v>1.645849264</v>
      </c>
      <c r="AK175" s="34">
        <v>1.7363531800000001</v>
      </c>
      <c r="AL175" s="10">
        <v>0.45800206700000001</v>
      </c>
      <c r="AM175" s="34">
        <v>1.389706141</v>
      </c>
      <c r="AN175" s="34">
        <v>1.677346123</v>
      </c>
      <c r="AO175" s="34">
        <v>1.542709463</v>
      </c>
      <c r="AP175" s="10">
        <v>1.104595397</v>
      </c>
      <c r="AQ175" s="34">
        <v>1.9110310399999999</v>
      </c>
      <c r="AR175" s="34">
        <v>1.962916415</v>
      </c>
      <c r="AS175" s="34">
        <v>2.085023804</v>
      </c>
      <c r="AT175" s="10">
        <v>6.8764603099999997</v>
      </c>
      <c r="AU175" s="34">
        <v>9.4308592939999993</v>
      </c>
      <c r="AV175" s="34">
        <v>9.5855186349999997</v>
      </c>
      <c r="AW175" s="34">
        <v>10.49</v>
      </c>
    </row>
    <row r="176" spans="1:49">
      <c r="A176" s="33" t="s">
        <v>1913</v>
      </c>
      <c r="B176" s="33" t="s">
        <v>1914</v>
      </c>
      <c r="C176" s="34">
        <v>0</v>
      </c>
      <c r="D176" s="34">
        <v>0</v>
      </c>
      <c r="E176" s="34">
        <v>0</v>
      </c>
      <c r="F176" s="34">
        <v>0</v>
      </c>
      <c r="G176" s="34">
        <v>0</v>
      </c>
      <c r="H176" s="34">
        <v>0</v>
      </c>
      <c r="I176" s="34">
        <v>0</v>
      </c>
      <c r="J176" s="34">
        <v>0</v>
      </c>
      <c r="K176" s="34">
        <v>0</v>
      </c>
      <c r="L176" s="34">
        <v>0</v>
      </c>
      <c r="M176" s="34">
        <v>0</v>
      </c>
      <c r="Z176" s="34" t="s">
        <v>1914</v>
      </c>
      <c r="AA176" s="34">
        <v>0</v>
      </c>
      <c r="AB176" s="34">
        <v>0</v>
      </c>
      <c r="AC176" s="34">
        <v>0</v>
      </c>
      <c r="AD176" s="10">
        <v>0</v>
      </c>
      <c r="AE176" s="34">
        <v>0</v>
      </c>
      <c r="AF176" s="34">
        <v>0</v>
      </c>
      <c r="AG176" s="34">
        <v>0</v>
      </c>
      <c r="AH176" s="10">
        <v>0</v>
      </c>
      <c r="AI176" s="34">
        <v>0</v>
      </c>
      <c r="AJ176" s="34">
        <v>0</v>
      </c>
      <c r="AK176" s="34">
        <v>0</v>
      </c>
      <c r="AL176" s="10">
        <v>0</v>
      </c>
      <c r="AM176" s="34">
        <v>0</v>
      </c>
      <c r="AN176" s="34">
        <v>0</v>
      </c>
      <c r="AO176" s="34">
        <v>0</v>
      </c>
      <c r="AP176" s="10">
        <v>0</v>
      </c>
      <c r="AQ176" s="34">
        <v>0</v>
      </c>
      <c r="AR176" s="34">
        <v>0</v>
      </c>
      <c r="AS176" s="34">
        <v>0</v>
      </c>
      <c r="AT176" s="10">
        <v>0</v>
      </c>
      <c r="AU176" s="34">
        <v>0</v>
      </c>
      <c r="AV176" s="34">
        <v>0</v>
      </c>
      <c r="AW176" s="34">
        <v>0</v>
      </c>
    </row>
    <row r="177" spans="1:49">
      <c r="A177" s="33" t="s">
        <v>1915</v>
      </c>
      <c r="B177" s="33" t="s">
        <v>1916</v>
      </c>
      <c r="C177" s="34">
        <v>0.57983660800000003</v>
      </c>
      <c r="D177" s="34">
        <v>-0.38478205900000001</v>
      </c>
      <c r="E177" s="34">
        <v>1.0473587040000001</v>
      </c>
      <c r="F177" s="34">
        <v>2.6304414870000001</v>
      </c>
      <c r="G177" s="34">
        <v>1.6968943519999999</v>
      </c>
      <c r="H177" s="34">
        <v>13.220721931</v>
      </c>
      <c r="I177" s="34">
        <v>9.9326060429999998</v>
      </c>
      <c r="J177" s="34">
        <v>25.057422411000001</v>
      </c>
      <c r="K177" s="34">
        <v>1.766291644</v>
      </c>
      <c r="L177" s="34">
        <v>5.8803656650000002</v>
      </c>
      <c r="M177" s="34">
        <v>167.417055113</v>
      </c>
      <c r="Z177" s="34" t="s">
        <v>1916</v>
      </c>
      <c r="AA177" s="34">
        <v>-1.303203785</v>
      </c>
      <c r="AB177" s="34">
        <v>-1.822033429</v>
      </c>
      <c r="AC177" s="34">
        <v>5</v>
      </c>
      <c r="AD177" s="10">
        <v>8.057843257</v>
      </c>
      <c r="AE177" s="34">
        <v>8.2185248729999998</v>
      </c>
      <c r="AF177" s="34">
        <v>3.7255627740000001</v>
      </c>
      <c r="AG177" s="34">
        <v>-0.23515412499999999</v>
      </c>
      <c r="AH177" s="10">
        <v>8.6556211019999996</v>
      </c>
      <c r="AI177" s="34">
        <v>0</v>
      </c>
      <c r="AJ177" s="34">
        <v>-7.2527353290000001</v>
      </c>
      <c r="AK177" s="34">
        <v>0</v>
      </c>
      <c r="AL177" s="10">
        <v>8.8609864209999998</v>
      </c>
      <c r="AM177" s="34">
        <v>-5.4154564599999997</v>
      </c>
      <c r="AN177" s="34">
        <v>5.4154564599999997</v>
      </c>
      <c r="AO177" s="34">
        <v>0</v>
      </c>
      <c r="AP177" s="10">
        <v>5.8803656650000002</v>
      </c>
      <c r="AQ177" s="34">
        <v>0</v>
      </c>
      <c r="AR177" s="34">
        <v>162.32191144500001</v>
      </c>
      <c r="AS177" s="34">
        <v>0</v>
      </c>
      <c r="AT177" s="10">
        <v>5.0951436680000004</v>
      </c>
      <c r="AU177" s="34">
        <v>7.1846022999999995E-2</v>
      </c>
      <c r="AV177" s="34">
        <v>-24.741239520000001</v>
      </c>
      <c r="AW177" s="34">
        <v>0.15</v>
      </c>
    </row>
    <row r="178" spans="1:49">
      <c r="A178" s="33" t="s">
        <v>1917</v>
      </c>
      <c r="B178" s="33" t="s">
        <v>1918</v>
      </c>
      <c r="C178" s="34">
        <v>-0.72489528299999995</v>
      </c>
      <c r="D178" s="34">
        <v>-0.20432205000000001</v>
      </c>
      <c r="E178" s="34">
        <v>-0.33468532699999998</v>
      </c>
      <c r="F178" s="34">
        <v>-0.20996796300000001</v>
      </c>
      <c r="G178" s="34">
        <v>0.39591383099999999</v>
      </c>
      <c r="H178" s="34">
        <v>-4.2890431E-2</v>
      </c>
      <c r="I178" s="34">
        <v>-1.622119087</v>
      </c>
      <c r="J178" s="34">
        <v>-0.73156226599999996</v>
      </c>
      <c r="K178" s="34">
        <v>-0.79613354400000003</v>
      </c>
      <c r="L178" s="34">
        <v>-5.9166495450000003</v>
      </c>
      <c r="M178" s="34">
        <v>-2.5149554099999998</v>
      </c>
      <c r="Z178" s="34" t="s">
        <v>1918</v>
      </c>
      <c r="AA178" s="34">
        <v>0</v>
      </c>
      <c r="AB178" s="34">
        <v>0</v>
      </c>
      <c r="AC178" s="34">
        <v>0</v>
      </c>
      <c r="AD178" s="10">
        <v>0</v>
      </c>
      <c r="AE178" s="34">
        <v>0</v>
      </c>
      <c r="AF178" s="34">
        <v>0</v>
      </c>
      <c r="AG178" s="34">
        <v>0</v>
      </c>
      <c r="AH178" s="10">
        <v>0</v>
      </c>
      <c r="AI178" s="34">
        <v>0</v>
      </c>
      <c r="AJ178" s="34">
        <v>0</v>
      </c>
      <c r="AK178" s="34">
        <v>0</v>
      </c>
      <c r="AL178" s="10">
        <v>0</v>
      </c>
      <c r="AM178" s="34">
        <v>0</v>
      </c>
      <c r="AN178" s="34">
        <v>0</v>
      </c>
      <c r="AO178" s="34">
        <v>0</v>
      </c>
      <c r="AP178" s="10">
        <v>0</v>
      </c>
      <c r="AQ178" s="34">
        <v>0</v>
      </c>
      <c r="AR178" s="34">
        <v>6.8861921779999999</v>
      </c>
      <c r="AS178" s="34">
        <v>0</v>
      </c>
      <c r="AT178" s="10">
        <v>-9.4776621369999994</v>
      </c>
      <c r="AU178" s="34">
        <v>0</v>
      </c>
      <c r="AV178" s="34">
        <v>0</v>
      </c>
      <c r="AW178" s="34">
        <v>0</v>
      </c>
    </row>
    <row r="179" spans="1:49">
      <c r="A179" s="33" t="s">
        <v>1919</v>
      </c>
      <c r="B179" s="33" t="s">
        <v>1920</v>
      </c>
      <c r="C179" s="34">
        <v>0</v>
      </c>
      <c r="D179" s="34">
        <v>0</v>
      </c>
      <c r="E179" s="34">
        <v>0</v>
      </c>
      <c r="F179" s="34">
        <v>0</v>
      </c>
      <c r="G179" s="34">
        <v>0</v>
      </c>
      <c r="H179" s="34">
        <v>0</v>
      </c>
      <c r="I179" s="34">
        <v>0</v>
      </c>
      <c r="J179" s="34">
        <v>0</v>
      </c>
      <c r="K179" s="34">
        <v>0</v>
      </c>
      <c r="L179" s="34">
        <v>0</v>
      </c>
      <c r="M179" s="34">
        <v>0</v>
      </c>
      <c r="Z179" s="34" t="s">
        <v>1920</v>
      </c>
      <c r="AA179" s="34">
        <v>0</v>
      </c>
      <c r="AB179" s="34">
        <v>0</v>
      </c>
      <c r="AC179" s="34">
        <v>0</v>
      </c>
      <c r="AD179" s="10">
        <v>0</v>
      </c>
      <c r="AE179" s="34">
        <v>0</v>
      </c>
      <c r="AF179" s="34">
        <v>0</v>
      </c>
      <c r="AG179" s="34">
        <v>0</v>
      </c>
      <c r="AH179" s="10">
        <v>0</v>
      </c>
      <c r="AI179" s="34">
        <v>0</v>
      </c>
      <c r="AJ179" s="34">
        <v>0</v>
      </c>
      <c r="AK179" s="34">
        <v>0</v>
      </c>
      <c r="AL179" s="10">
        <v>0</v>
      </c>
      <c r="AM179" s="34">
        <v>0</v>
      </c>
      <c r="AN179" s="34">
        <v>0</v>
      </c>
      <c r="AO179" s="34">
        <v>0</v>
      </c>
      <c r="AP179" s="10">
        <v>0</v>
      </c>
      <c r="AQ179" s="34">
        <v>0</v>
      </c>
      <c r="AR179" s="34">
        <v>0</v>
      </c>
      <c r="AS179" s="34">
        <v>0</v>
      </c>
      <c r="AT179" s="10">
        <v>0</v>
      </c>
      <c r="AU179" s="34">
        <v>0</v>
      </c>
      <c r="AV179" s="34">
        <v>0</v>
      </c>
      <c r="AW179" s="34">
        <v>0</v>
      </c>
    </row>
    <row r="180" spans="1:49">
      <c r="A180" s="33" t="s">
        <v>1921</v>
      </c>
      <c r="B180" s="33" t="s">
        <v>1922</v>
      </c>
      <c r="C180" s="34">
        <v>-4.97091993</v>
      </c>
      <c r="D180" s="34">
        <v>-3.4299823169999999</v>
      </c>
      <c r="E180" s="34">
        <v>-4.8535549710000003</v>
      </c>
      <c r="F180" s="34">
        <v>0</v>
      </c>
      <c r="G180" s="34">
        <v>-0.57426666599999998</v>
      </c>
      <c r="H180" s="34">
        <v>-0.52731830400000002</v>
      </c>
      <c r="I180" s="34">
        <v>-0.12630866499999999</v>
      </c>
      <c r="J180" s="34">
        <v>-0.68975142499999997</v>
      </c>
      <c r="K180" s="34">
        <v>-11.270780925</v>
      </c>
      <c r="L180" s="34">
        <v>-34.801760899999998</v>
      </c>
      <c r="M180" s="34">
        <v>-43.534235455000001</v>
      </c>
      <c r="Z180" s="34" t="s">
        <v>1922</v>
      </c>
      <c r="AA180" s="34">
        <v>-1.5568667E-2</v>
      </c>
      <c r="AB180" s="34">
        <v>-1.6854534000000001E-2</v>
      </c>
      <c r="AC180" s="34">
        <v>-2.4953518000000001E-2</v>
      </c>
      <c r="AD180" s="10">
        <v>-6.3121099999999999E-2</v>
      </c>
      <c r="AE180" s="34">
        <v>-2.2767365000000001E-2</v>
      </c>
      <c r="AF180" s="34">
        <v>-1.5843989999999999E-2</v>
      </c>
      <c r="AG180" s="34">
        <v>-1.6705459999999998E-2</v>
      </c>
      <c r="AH180" s="10">
        <v>-2.2741338999999999E-2</v>
      </c>
      <c r="AI180" s="34">
        <v>-1.6657930000000001E-2</v>
      </c>
      <c r="AJ180" s="34">
        <v>-4.3300819999999997E-2</v>
      </c>
      <c r="AK180" s="34">
        <v>-4.2905100589999998</v>
      </c>
      <c r="AL180" s="10">
        <v>-2.0254086020000002</v>
      </c>
      <c r="AM180" s="34">
        <v>0</v>
      </c>
      <c r="AN180" s="34">
        <v>-9.9695966049999996</v>
      </c>
      <c r="AO180" s="34">
        <v>-5.173645048</v>
      </c>
      <c r="AP180" s="10">
        <v>-22.451954786999998</v>
      </c>
      <c r="AQ180" s="34">
        <v>-12.171444286</v>
      </c>
      <c r="AR180" s="34">
        <v>-4.0764752059999996</v>
      </c>
      <c r="AS180" s="34">
        <v>-11.89067126</v>
      </c>
      <c r="AT180" s="10">
        <v>-17.128575908999998</v>
      </c>
      <c r="AU180" s="34">
        <v>-12.77977623</v>
      </c>
      <c r="AV180" s="34">
        <v>-17.830184428999999</v>
      </c>
      <c r="AW180" s="34">
        <v>-28.85</v>
      </c>
    </row>
    <row r="181" spans="1:49">
      <c r="A181" s="33" t="s">
        <v>1923</v>
      </c>
      <c r="B181" s="33" t="s">
        <v>1924</v>
      </c>
      <c r="C181" s="34">
        <v>27.224105650999999</v>
      </c>
      <c r="D181" s="34">
        <v>34.202162864999998</v>
      </c>
      <c r="E181" s="34">
        <v>25.117089461999999</v>
      </c>
      <c r="F181" s="34">
        <v>23.133793052000001</v>
      </c>
      <c r="G181" s="34">
        <v>22.795497880999999</v>
      </c>
      <c r="H181" s="34">
        <v>22.611716336000001</v>
      </c>
      <c r="I181" s="34">
        <v>32.134890085000002</v>
      </c>
      <c r="J181" s="34">
        <v>47.582349663999999</v>
      </c>
      <c r="K181" s="34">
        <v>27.018043416000001</v>
      </c>
      <c r="L181" s="34">
        <v>31.847588081000001</v>
      </c>
      <c r="M181" s="34">
        <v>94.462125254</v>
      </c>
      <c r="Z181" s="34" t="s">
        <v>1924</v>
      </c>
      <c r="AA181" s="34">
        <v>7.3885506379999999</v>
      </c>
      <c r="AB181" s="34">
        <v>6.5825805119999998</v>
      </c>
      <c r="AC181" s="34">
        <v>5.7743399350000004</v>
      </c>
      <c r="AD181" s="10">
        <v>12.373313496</v>
      </c>
      <c r="AE181" s="34">
        <v>11.655150828</v>
      </c>
      <c r="AF181" s="34">
        <v>15.389230889</v>
      </c>
      <c r="AG181" s="34">
        <v>11.71052789</v>
      </c>
      <c r="AH181" s="10">
        <v>8.8274400570000005</v>
      </c>
      <c r="AI181" s="34">
        <v>10.48468473</v>
      </c>
      <c r="AJ181" s="34">
        <v>7.7871945980000001</v>
      </c>
      <c r="AK181" s="34">
        <v>6.3917470549999997</v>
      </c>
      <c r="AL181" s="10">
        <v>2.3544170329999998</v>
      </c>
      <c r="AM181" s="34">
        <v>5.5325722600000002</v>
      </c>
      <c r="AN181" s="34">
        <v>5.9143162929999997</v>
      </c>
      <c r="AO181" s="34">
        <v>8.4341058950000001</v>
      </c>
      <c r="AP181" s="10">
        <v>11.966593633</v>
      </c>
      <c r="AQ181" s="34">
        <v>13.822439606</v>
      </c>
      <c r="AR181" s="34">
        <v>21.826082442000001</v>
      </c>
      <c r="AS181" s="34">
        <v>21.949563409</v>
      </c>
      <c r="AT181" s="10">
        <v>-18.6211248</v>
      </c>
      <c r="AU181" s="34">
        <v>24.110271845</v>
      </c>
      <c r="AV181" s="34">
        <v>44.547571935000001</v>
      </c>
      <c r="AW181" s="34">
        <v>30.75</v>
      </c>
    </row>
    <row r="182" spans="1:49">
      <c r="A182" s="33" t="s">
        <v>1925</v>
      </c>
      <c r="B182" s="33" t="s">
        <v>1926</v>
      </c>
      <c r="C182" s="34">
        <v>0</v>
      </c>
      <c r="D182" s="34">
        <v>0</v>
      </c>
      <c r="E182" s="34">
        <v>0</v>
      </c>
      <c r="F182" s="34">
        <v>0</v>
      </c>
      <c r="G182" s="34">
        <v>0</v>
      </c>
      <c r="H182" s="34">
        <v>0</v>
      </c>
      <c r="I182" s="34">
        <v>0</v>
      </c>
      <c r="J182" s="34">
        <v>0</v>
      </c>
      <c r="K182" s="34">
        <v>0</v>
      </c>
      <c r="L182" s="34">
        <v>0</v>
      </c>
      <c r="M182" s="34">
        <v>0</v>
      </c>
      <c r="Z182" s="34" t="s">
        <v>1926</v>
      </c>
      <c r="AA182" s="34">
        <v>0</v>
      </c>
      <c r="AB182" s="34">
        <v>0</v>
      </c>
      <c r="AC182" s="34">
        <v>0</v>
      </c>
      <c r="AD182" s="10">
        <v>0</v>
      </c>
      <c r="AE182" s="34">
        <v>0</v>
      </c>
      <c r="AF182" s="34">
        <v>0</v>
      </c>
      <c r="AG182" s="34">
        <v>0</v>
      </c>
      <c r="AH182" s="10">
        <v>0</v>
      </c>
      <c r="AI182" s="34">
        <v>0</v>
      </c>
      <c r="AJ182" s="34">
        <v>0</v>
      </c>
      <c r="AK182" s="34">
        <v>0</v>
      </c>
      <c r="AL182" s="10">
        <v>0</v>
      </c>
      <c r="AM182" s="34">
        <v>0</v>
      </c>
      <c r="AN182" s="34">
        <v>0</v>
      </c>
      <c r="AO182" s="34">
        <v>0</v>
      </c>
      <c r="AP182" s="10">
        <v>0</v>
      </c>
      <c r="AQ182" s="34">
        <v>0</v>
      </c>
      <c r="AR182" s="34">
        <v>0</v>
      </c>
      <c r="AS182" s="34">
        <v>0</v>
      </c>
      <c r="AT182" s="10">
        <v>0</v>
      </c>
      <c r="AU182" s="34">
        <v>0</v>
      </c>
      <c r="AV182" s="34">
        <v>0</v>
      </c>
      <c r="AW182" s="34">
        <v>0</v>
      </c>
    </row>
    <row r="183" spans="1:49" s="41" customFormat="1">
      <c r="A183" s="40" t="s">
        <v>1927</v>
      </c>
      <c r="B183" s="40" t="s">
        <v>1928</v>
      </c>
      <c r="C183" s="41">
        <v>0</v>
      </c>
      <c r="D183" s="41">
        <v>0</v>
      </c>
      <c r="E183" s="41">
        <v>0</v>
      </c>
      <c r="F183" s="41">
        <v>0</v>
      </c>
      <c r="G183" s="41">
        <v>0</v>
      </c>
      <c r="H183" s="41">
        <v>0</v>
      </c>
      <c r="I183" s="41">
        <v>0</v>
      </c>
      <c r="J183" s="41">
        <v>0</v>
      </c>
      <c r="K183" s="41">
        <v>0</v>
      </c>
      <c r="L183" s="41">
        <v>0</v>
      </c>
      <c r="M183" s="41">
        <v>0</v>
      </c>
      <c r="O183" s="7"/>
      <c r="P183" s="7"/>
      <c r="Z183" s="41" t="s">
        <v>1928</v>
      </c>
      <c r="AA183" s="41">
        <v>0</v>
      </c>
      <c r="AB183" s="41">
        <v>0</v>
      </c>
      <c r="AC183" s="41">
        <v>0</v>
      </c>
      <c r="AD183" s="11">
        <v>0</v>
      </c>
      <c r="AE183" s="41">
        <v>0</v>
      </c>
      <c r="AF183" s="41">
        <v>0</v>
      </c>
      <c r="AG183" s="41">
        <v>0</v>
      </c>
      <c r="AH183" s="11">
        <v>0</v>
      </c>
      <c r="AI183" s="41">
        <v>0</v>
      </c>
      <c r="AJ183" s="41">
        <v>0</v>
      </c>
      <c r="AK183" s="41">
        <v>0</v>
      </c>
      <c r="AL183" s="11">
        <v>0</v>
      </c>
      <c r="AM183" s="41">
        <v>0</v>
      </c>
      <c r="AN183" s="41">
        <v>0</v>
      </c>
      <c r="AO183" s="41">
        <v>0</v>
      </c>
      <c r="AP183" s="11">
        <v>0</v>
      </c>
      <c r="AQ183" s="41">
        <v>0</v>
      </c>
      <c r="AR183" s="41">
        <v>0</v>
      </c>
      <c r="AS183" s="41">
        <v>0</v>
      </c>
      <c r="AT183" s="11">
        <v>0</v>
      </c>
      <c r="AU183" s="41">
        <v>0</v>
      </c>
      <c r="AV183" s="41">
        <v>0</v>
      </c>
      <c r="AW183" s="41">
        <v>0</v>
      </c>
    </row>
    <row r="184" spans="1:49" s="41" customFormat="1">
      <c r="A184" s="40" t="s">
        <v>1929</v>
      </c>
      <c r="B184" s="40" t="s">
        <v>1930</v>
      </c>
      <c r="C184" s="41">
        <v>110.221941775</v>
      </c>
      <c r="D184" s="41">
        <v>102.63439406099999</v>
      </c>
      <c r="E184" s="41">
        <v>191.86328659399999</v>
      </c>
      <c r="F184" s="41">
        <v>162.16114474400001</v>
      </c>
      <c r="G184" s="41">
        <v>112.601162402</v>
      </c>
      <c r="H184" s="41">
        <v>139.62836204600001</v>
      </c>
      <c r="I184" s="41">
        <v>185.416702461</v>
      </c>
      <c r="J184" s="41">
        <v>287.79005568000002</v>
      </c>
      <c r="K184" s="41">
        <v>356.76220443</v>
      </c>
      <c r="L184" s="41">
        <v>823.13844020199997</v>
      </c>
      <c r="M184" s="41">
        <v>1086.880901626</v>
      </c>
      <c r="O184" s="7"/>
      <c r="P184" s="7"/>
      <c r="Z184" s="41" t="s">
        <v>1930</v>
      </c>
      <c r="AA184" s="41">
        <v>31.293338720000001</v>
      </c>
      <c r="AB184" s="41">
        <v>35.160927127999997</v>
      </c>
      <c r="AC184" s="41">
        <v>56.713778820999998</v>
      </c>
      <c r="AD184" s="11">
        <v>63.641138396999999</v>
      </c>
      <c r="AE184" s="41">
        <v>52.136569180000002</v>
      </c>
      <c r="AF184" s="41">
        <v>65.578233299000004</v>
      </c>
      <c r="AG184" s="41">
        <v>79.373454117999998</v>
      </c>
      <c r="AH184" s="11">
        <v>85.691903260999993</v>
      </c>
      <c r="AI184" s="41">
        <v>65.419883694999996</v>
      </c>
      <c r="AJ184" s="41">
        <v>65.693209253000006</v>
      </c>
      <c r="AK184" s="41">
        <v>104.383788301</v>
      </c>
      <c r="AL184" s="11">
        <v>123.101578037</v>
      </c>
      <c r="AM184" s="41">
        <v>136.552328778</v>
      </c>
      <c r="AN184" s="41">
        <v>149.76306206699999</v>
      </c>
      <c r="AO184" s="41">
        <v>138.980759925</v>
      </c>
      <c r="AP184" s="11">
        <v>403.44194026299999</v>
      </c>
      <c r="AQ184" s="41">
        <v>268.72835963300003</v>
      </c>
      <c r="AR184" s="41">
        <v>361.72818778099997</v>
      </c>
      <c r="AS184" s="41">
        <v>238.997634734</v>
      </c>
      <c r="AT184" s="11">
        <v>164.284304781</v>
      </c>
      <c r="AU184" s="41">
        <v>127.430620647</v>
      </c>
      <c r="AV184" s="41">
        <v>123.429624667</v>
      </c>
      <c r="AW184" s="41">
        <v>146.32</v>
      </c>
    </row>
    <row r="185" spans="1:49">
      <c r="A185" s="33" t="s">
        <v>1931</v>
      </c>
      <c r="B185" s="33" t="s">
        <v>1932</v>
      </c>
      <c r="C185" s="34">
        <v>26.552091544</v>
      </c>
      <c r="D185" s="34">
        <v>-65.817058084999999</v>
      </c>
      <c r="E185" s="34">
        <v>-61.136189610999999</v>
      </c>
      <c r="F185" s="34">
        <v>-51.556164150999997</v>
      </c>
      <c r="G185" s="34">
        <v>-13.778194126000001</v>
      </c>
      <c r="H185" s="34">
        <v>-110.925552126</v>
      </c>
      <c r="I185" s="34">
        <v>-154.67510042500001</v>
      </c>
      <c r="J185" s="34">
        <v>-14.476535707</v>
      </c>
      <c r="K185" s="34">
        <v>-452.454756014</v>
      </c>
      <c r="L185" s="34">
        <v>-762.02188981200004</v>
      </c>
      <c r="M185" s="34">
        <v>335.120453871</v>
      </c>
      <c r="Z185" s="34" t="s">
        <v>1932</v>
      </c>
      <c r="AA185" s="34">
        <v>-88.715470311000004</v>
      </c>
      <c r="AB185" s="34">
        <v>88.090566955</v>
      </c>
      <c r="AC185" s="34">
        <v>-270.68831875500001</v>
      </c>
      <c r="AD185" s="10">
        <v>115.393764545</v>
      </c>
      <c r="AE185" s="34">
        <v>-5.80953126</v>
      </c>
      <c r="AF185" s="34">
        <v>-266.090354795</v>
      </c>
      <c r="AG185" s="34">
        <v>-33.182327528000002</v>
      </c>
      <c r="AH185" s="10">
        <v>329.76636261499999</v>
      </c>
      <c r="AI185" s="34">
        <v>-162.74049797699999</v>
      </c>
      <c r="AJ185" s="34">
        <v>65.166612184000002</v>
      </c>
      <c r="AK185" s="34">
        <v>-344.19944677000001</v>
      </c>
      <c r="AL185" s="10">
        <v>-5.2267397210000004</v>
      </c>
      <c r="AM185" s="34">
        <v>-393.37462747799998</v>
      </c>
      <c r="AN185" s="34">
        <v>341.11660107699998</v>
      </c>
      <c r="AO185" s="34">
        <v>-832.82681998999999</v>
      </c>
      <c r="AP185" s="10">
        <v>57.484372178000001</v>
      </c>
      <c r="AQ185" s="34">
        <v>-436.06594406300002</v>
      </c>
      <c r="AR185" s="34">
        <v>75.199515801000004</v>
      </c>
      <c r="AS185" s="34">
        <v>-63.000211282000002</v>
      </c>
      <c r="AT185" s="10">
        <v>688.42662626000003</v>
      </c>
      <c r="AU185" s="34">
        <v>-530.12149453300003</v>
      </c>
      <c r="AV185" s="34">
        <v>-225.49677022700001</v>
      </c>
      <c r="AW185" s="34">
        <v>-165.88</v>
      </c>
    </row>
    <row r="186" spans="1:49">
      <c r="A186" s="33" t="s">
        <v>1933</v>
      </c>
      <c r="B186" s="33" t="s">
        <v>1934</v>
      </c>
      <c r="C186" s="34">
        <v>-56.038354333999997</v>
      </c>
      <c r="D186" s="34">
        <v>77.124044079000001</v>
      </c>
      <c r="E186" s="34">
        <v>-346.12739900000003</v>
      </c>
      <c r="F186" s="34">
        <v>62.366928584999997</v>
      </c>
      <c r="G186" s="34">
        <v>-46.264213755999997</v>
      </c>
      <c r="H186" s="34">
        <v>-154.89907069500001</v>
      </c>
      <c r="I186" s="34">
        <v>-434.74232779099998</v>
      </c>
      <c r="J186" s="34">
        <v>-145.691252117</v>
      </c>
      <c r="K186" s="34">
        <v>625.47086963200002</v>
      </c>
      <c r="L186" s="34">
        <v>-2066.4116695289999</v>
      </c>
      <c r="M186" s="34">
        <v>-487.659305399</v>
      </c>
      <c r="Z186" s="34" t="s">
        <v>1934</v>
      </c>
      <c r="AA186" s="34">
        <v>286.030373231</v>
      </c>
      <c r="AB186" s="34">
        <v>-67.574761706999993</v>
      </c>
      <c r="AC186" s="34">
        <v>-3.6107223319999999</v>
      </c>
      <c r="AD186" s="10">
        <v>-649.10725871099999</v>
      </c>
      <c r="AE186" s="34">
        <v>412.80934993</v>
      </c>
      <c r="AF186" s="34">
        <v>-81.049014377999995</v>
      </c>
      <c r="AG186" s="34">
        <v>138.601482455</v>
      </c>
      <c r="AH186" s="10">
        <v>-642.09133187700002</v>
      </c>
      <c r="AI186" s="34">
        <v>617.75134413599994</v>
      </c>
      <c r="AJ186" s="34">
        <v>-184.91694415000001</v>
      </c>
      <c r="AK186" s="34">
        <v>232.68889170599999</v>
      </c>
      <c r="AL186" s="10">
        <v>-40.052422059999998</v>
      </c>
      <c r="AM186" s="34">
        <v>160.95191657699999</v>
      </c>
      <c r="AN186" s="34">
        <v>-308.59476182999998</v>
      </c>
      <c r="AO186" s="34">
        <v>40.058318260999997</v>
      </c>
      <c r="AP186" s="10">
        <v>-1913.6765744219999</v>
      </c>
      <c r="AQ186" s="34">
        <v>-624.11718867900004</v>
      </c>
      <c r="AR186" s="34">
        <v>-46.698454480999999</v>
      </c>
      <c r="AS186" s="34">
        <v>673.48521906899998</v>
      </c>
      <c r="AT186" s="10">
        <v>-537.53085094300002</v>
      </c>
      <c r="AU186" s="34">
        <v>221.57189035499999</v>
      </c>
      <c r="AV186" s="34">
        <v>464.49437883600001</v>
      </c>
      <c r="AW186" s="34">
        <v>344.37</v>
      </c>
    </row>
    <row r="187" spans="1:49">
      <c r="A187" s="33" t="s">
        <v>1935</v>
      </c>
      <c r="B187" s="33" t="s">
        <v>1936</v>
      </c>
      <c r="C187" s="34">
        <v>-91.253319157999996</v>
      </c>
      <c r="D187" s="34">
        <v>-46.041749473000003</v>
      </c>
      <c r="E187" s="34">
        <v>87.304003500999997</v>
      </c>
      <c r="F187" s="34">
        <v>-127.023101157</v>
      </c>
      <c r="G187" s="34">
        <v>142.12235458699999</v>
      </c>
      <c r="H187" s="34">
        <v>-66.417508562999998</v>
      </c>
      <c r="I187" s="34">
        <v>341.27218684899998</v>
      </c>
      <c r="J187" s="34">
        <v>247.53044082599999</v>
      </c>
      <c r="K187" s="34">
        <v>420.72295082599999</v>
      </c>
      <c r="L187" s="34">
        <v>2365.4497554670002</v>
      </c>
      <c r="M187" s="34">
        <v>-1731.6038974799999</v>
      </c>
      <c r="Z187" s="34" t="s">
        <v>1936</v>
      </c>
      <c r="AA187" s="34">
        <v>-160.916923634</v>
      </c>
      <c r="AB187" s="34">
        <v>147.73915441700001</v>
      </c>
      <c r="AC187" s="34">
        <v>-1.895843371</v>
      </c>
      <c r="AD187" s="10">
        <v>346.83561443299999</v>
      </c>
      <c r="AE187" s="34">
        <v>-398.35612837399998</v>
      </c>
      <c r="AF187" s="34">
        <v>148.07532470300001</v>
      </c>
      <c r="AG187" s="34">
        <v>200.402641297</v>
      </c>
      <c r="AH187" s="10">
        <v>307.72120860000001</v>
      </c>
      <c r="AI187" s="34">
        <v>-412.54956737700002</v>
      </c>
      <c r="AJ187" s="34">
        <v>218.65461556400001</v>
      </c>
      <c r="AK187" s="34">
        <v>100.009650119</v>
      </c>
      <c r="AL187" s="10">
        <v>501.500543709</v>
      </c>
      <c r="AM187" s="34">
        <v>129.51438102700001</v>
      </c>
      <c r="AN187" s="34">
        <v>8.6424038129999996</v>
      </c>
      <c r="AO187" s="34">
        <v>-187.20434320800001</v>
      </c>
      <c r="AP187" s="10">
        <v>2367.9845448780002</v>
      </c>
      <c r="AQ187" s="34">
        <v>-948.58292120800002</v>
      </c>
      <c r="AR187" s="34">
        <v>37.709225349999997</v>
      </c>
      <c r="AS187" s="34">
        <v>-751.15906667900003</v>
      </c>
      <c r="AT187" s="10">
        <v>-16.51454554</v>
      </c>
      <c r="AU187" s="34">
        <v>-327.33319060600002</v>
      </c>
      <c r="AV187" s="34">
        <v>188.17072405499999</v>
      </c>
      <c r="AW187" s="34">
        <v>399.31</v>
      </c>
    </row>
    <row r="188" spans="1:49">
      <c r="A188" s="33" t="s">
        <v>1937</v>
      </c>
      <c r="B188" s="33" t="s">
        <v>1938</v>
      </c>
      <c r="C188" s="34">
        <v>0.92185192999999999</v>
      </c>
      <c r="D188" s="34">
        <v>-0.87644743800000002</v>
      </c>
      <c r="E188" s="34">
        <v>1.141265075</v>
      </c>
      <c r="F188" s="34">
        <v>-14.905737879</v>
      </c>
      <c r="G188" s="34">
        <v>12.334889163</v>
      </c>
      <c r="H188" s="34">
        <v>0.90768971700000001</v>
      </c>
      <c r="I188" s="34">
        <v>-5.8877911249999997</v>
      </c>
      <c r="J188" s="34">
        <v>0.247858995</v>
      </c>
      <c r="K188" s="34">
        <v>-9.318011941</v>
      </c>
      <c r="L188" s="34">
        <v>-4.9700240019999997</v>
      </c>
      <c r="M188" s="34">
        <v>-18.379763921999999</v>
      </c>
      <c r="Z188" s="34" t="s">
        <v>1938</v>
      </c>
      <c r="AA188" s="34">
        <v>-0.21990722100000001</v>
      </c>
      <c r="AB188" s="34">
        <v>-3.004518295</v>
      </c>
      <c r="AC188" s="34">
        <v>-0.79312021499999996</v>
      </c>
      <c r="AD188" s="10">
        <v>-1.5862453940000001</v>
      </c>
      <c r="AE188" s="34">
        <v>-3.745683852</v>
      </c>
      <c r="AF188" s="34">
        <v>0.77589038600000004</v>
      </c>
      <c r="AG188" s="34">
        <v>3.4632770399999999</v>
      </c>
      <c r="AH188" s="10">
        <v>1.291519034</v>
      </c>
      <c r="AI188" s="34">
        <v>-0.20153333500000001</v>
      </c>
      <c r="AJ188" s="34">
        <v>1.9581011239999999</v>
      </c>
      <c r="AK188" s="34">
        <v>0.37211475500000002</v>
      </c>
      <c r="AL188" s="10">
        <v>-4.0428119660000004</v>
      </c>
      <c r="AM188" s="34">
        <v>-1.037188129</v>
      </c>
      <c r="AN188" s="34">
        <v>-1.8082953079999999</v>
      </c>
      <c r="AO188" s="34">
        <v>3.5224377370000002</v>
      </c>
      <c r="AP188" s="10">
        <v>-3.7505048240000001</v>
      </c>
      <c r="AQ188" s="34">
        <v>-0.113718666</v>
      </c>
      <c r="AR188" s="34">
        <v>-4.6296131520000001</v>
      </c>
      <c r="AS188" s="34">
        <v>2.3492260639999998</v>
      </c>
      <c r="AT188" s="10">
        <v>-19.056302927000001</v>
      </c>
      <c r="AU188" s="34">
        <v>8.0340947170000003</v>
      </c>
      <c r="AV188" s="34">
        <v>-4.3883046669999999</v>
      </c>
      <c r="AW188" s="34">
        <v>5.32</v>
      </c>
    </row>
    <row r="189" spans="1:49">
      <c r="A189" s="33" t="s">
        <v>1939</v>
      </c>
      <c r="B189" s="33" t="s">
        <v>1940</v>
      </c>
      <c r="C189" s="34">
        <v>0</v>
      </c>
      <c r="D189" s="34">
        <v>0</v>
      </c>
      <c r="E189" s="34">
        <v>0</v>
      </c>
      <c r="F189" s="34">
        <v>0</v>
      </c>
      <c r="G189" s="34">
        <v>0</v>
      </c>
      <c r="H189" s="34">
        <v>0</v>
      </c>
      <c r="I189" s="34">
        <v>0</v>
      </c>
      <c r="J189" s="34">
        <v>0</v>
      </c>
      <c r="K189" s="34">
        <v>0</v>
      </c>
      <c r="L189" s="34">
        <v>0</v>
      </c>
      <c r="M189" s="34">
        <v>0</v>
      </c>
      <c r="Z189" s="34" t="s">
        <v>1940</v>
      </c>
      <c r="AA189" s="34">
        <v>0</v>
      </c>
      <c r="AB189" s="34">
        <v>0</v>
      </c>
      <c r="AC189" s="34">
        <v>0</v>
      </c>
      <c r="AD189" s="10">
        <v>0</v>
      </c>
      <c r="AE189" s="34">
        <v>0</v>
      </c>
      <c r="AF189" s="34">
        <v>0</v>
      </c>
      <c r="AG189" s="34">
        <v>0</v>
      </c>
      <c r="AH189" s="10">
        <v>0</v>
      </c>
      <c r="AI189" s="34">
        <v>0</v>
      </c>
      <c r="AJ189" s="34">
        <v>0</v>
      </c>
      <c r="AK189" s="34">
        <v>0</v>
      </c>
      <c r="AL189" s="10">
        <v>0</v>
      </c>
      <c r="AM189" s="34">
        <v>0</v>
      </c>
      <c r="AN189" s="34">
        <v>0</v>
      </c>
      <c r="AO189" s="34">
        <v>0</v>
      </c>
      <c r="AP189" s="10">
        <v>0</v>
      </c>
      <c r="AQ189" s="34">
        <v>0</v>
      </c>
      <c r="AR189" s="34">
        <v>0</v>
      </c>
      <c r="AS189" s="34">
        <v>0</v>
      </c>
      <c r="AT189" s="10">
        <v>0</v>
      </c>
      <c r="AU189" s="34">
        <v>0</v>
      </c>
      <c r="AV189" s="34">
        <v>0</v>
      </c>
      <c r="AW189" s="34">
        <v>0</v>
      </c>
    </row>
    <row r="190" spans="1:49">
      <c r="A190" s="33" t="s">
        <v>1941</v>
      </c>
      <c r="B190" s="33" t="s">
        <v>1942</v>
      </c>
      <c r="C190" s="34">
        <v>-22.989083525000002</v>
      </c>
      <c r="D190" s="34">
        <v>-27.708341999999998</v>
      </c>
      <c r="E190" s="34">
        <v>-23.446795544</v>
      </c>
      <c r="F190" s="34">
        <v>-23.689981674999999</v>
      </c>
      <c r="G190" s="34">
        <v>-23.193483167</v>
      </c>
      <c r="H190" s="34">
        <v>-20.983421808999999</v>
      </c>
      <c r="I190" s="34">
        <v>-29.625077891</v>
      </c>
      <c r="J190" s="34">
        <v>-44.927188989999998</v>
      </c>
      <c r="K190" s="34">
        <v>-27.018043416000001</v>
      </c>
      <c r="L190" s="34">
        <v>-30.168636410000001</v>
      </c>
      <c r="M190" s="34">
        <v>-83.156970420999997</v>
      </c>
      <c r="Z190" s="34" t="s">
        <v>1942</v>
      </c>
      <c r="AA190" s="34">
        <v>-7.3885506379999999</v>
      </c>
      <c r="AB190" s="34">
        <v>-6.0358979399999999</v>
      </c>
      <c r="AC190" s="34">
        <v>-7.8876448100000003</v>
      </c>
      <c r="AD190" s="10">
        <v>-10.328041385000001</v>
      </c>
      <c r="AE190" s="34">
        <v>-11.655150829</v>
      </c>
      <c r="AF190" s="34">
        <v>-11.514722212000001</v>
      </c>
      <c r="AG190" s="34">
        <v>-13.856753932</v>
      </c>
      <c r="AH190" s="10">
        <v>-10.410374211000001</v>
      </c>
      <c r="AI190" s="34">
        <v>-10.639845404000001</v>
      </c>
      <c r="AJ190" s="34">
        <v>-8.2581945979999993</v>
      </c>
      <c r="AK190" s="34">
        <v>-6.3917470549999997</v>
      </c>
      <c r="AL190" s="10">
        <v>-3.6612351429999999</v>
      </c>
      <c r="AM190" s="34">
        <v>-5.5325722600000002</v>
      </c>
      <c r="AN190" s="34">
        <v>-5.9143162929999997</v>
      </c>
      <c r="AO190" s="34">
        <v>-5.367156628</v>
      </c>
      <c r="AP190" s="10">
        <v>-13.354591229</v>
      </c>
      <c r="AQ190" s="34">
        <v>-16.223573167000001</v>
      </c>
      <c r="AR190" s="34">
        <v>-18.467660512999998</v>
      </c>
      <c r="AS190" s="34">
        <v>-16.087641940000001</v>
      </c>
      <c r="AT190" s="10">
        <v>23.107069796000001</v>
      </c>
      <c r="AU190" s="34">
        <v>-37.483299965999997</v>
      </c>
      <c r="AV190" s="34">
        <v>-33.556150115000001</v>
      </c>
      <c r="AW190" s="34">
        <v>-31.45</v>
      </c>
    </row>
    <row r="191" spans="1:49">
      <c r="A191" s="33" t="s">
        <v>1943</v>
      </c>
      <c r="B191" s="33" t="s">
        <v>1944</v>
      </c>
      <c r="C191" s="34">
        <v>-20.373247956</v>
      </c>
      <c r="D191" s="34">
        <v>-18.761507196</v>
      </c>
      <c r="E191" s="34">
        <v>-40.452411908999999</v>
      </c>
      <c r="F191" s="34">
        <v>-36.205763300999998</v>
      </c>
      <c r="G191" s="34">
        <v>-18.018613430999999</v>
      </c>
      <c r="H191" s="34">
        <v>-19.664402216999999</v>
      </c>
      <c r="I191" s="34">
        <v>-27.349065296999999</v>
      </c>
      <c r="J191" s="34">
        <v>-43.781076400000003</v>
      </c>
      <c r="K191" s="34">
        <v>-87.779021181999994</v>
      </c>
      <c r="L191" s="34">
        <v>-175.74786902599999</v>
      </c>
      <c r="M191" s="34">
        <v>-211.47447981100001</v>
      </c>
      <c r="Z191" s="34" t="s">
        <v>1944</v>
      </c>
      <c r="AA191" s="34">
        <v>-7.6887611419999997</v>
      </c>
      <c r="AB191" s="34">
        <v>-4.4641292349999997</v>
      </c>
      <c r="AC191" s="34">
        <v>0</v>
      </c>
      <c r="AD191" s="10">
        <v>-15.989990389000001</v>
      </c>
      <c r="AE191" s="34">
        <v>-9</v>
      </c>
      <c r="AF191" s="34">
        <v>-8.3000000000000007</v>
      </c>
      <c r="AG191" s="34">
        <v>-9.6</v>
      </c>
      <c r="AH191" s="10">
        <v>-16.881076400000001</v>
      </c>
      <c r="AI191" s="34">
        <v>-27.822841392000001</v>
      </c>
      <c r="AJ191" s="34">
        <v>-3</v>
      </c>
      <c r="AK191" s="34">
        <v>-7.5</v>
      </c>
      <c r="AL191" s="10">
        <v>-49.312742585000002</v>
      </c>
      <c r="AM191" s="34">
        <v>-26.015520652999999</v>
      </c>
      <c r="AN191" s="34">
        <v>-27.551771726999998</v>
      </c>
      <c r="AO191" s="34">
        <v>-30.153372915999999</v>
      </c>
      <c r="AP191" s="10">
        <v>-36.085679767999999</v>
      </c>
      <c r="AQ191" s="34">
        <v>-71.874632438999996</v>
      </c>
      <c r="AR191" s="34">
        <v>-54.496123687000001</v>
      </c>
      <c r="AS191" s="34">
        <v>-44.080880917999998</v>
      </c>
      <c r="AT191" s="10">
        <v>-41.369750600000003</v>
      </c>
      <c r="AU191" s="34">
        <v>0</v>
      </c>
      <c r="AV191" s="34">
        <v>-41.980551437999999</v>
      </c>
      <c r="AW191" s="34">
        <v>-17.12</v>
      </c>
    </row>
    <row r="192" spans="1:49">
      <c r="A192" s="33" t="s">
        <v>1945</v>
      </c>
      <c r="B192" s="33" t="s">
        <v>1946</v>
      </c>
      <c r="C192" s="34">
        <v>0.79019301099999995</v>
      </c>
      <c r="D192" s="34">
        <v>0.17666383999999999</v>
      </c>
      <c r="E192" s="34">
        <v>4.2940722640000004</v>
      </c>
      <c r="F192" s="34">
        <v>0</v>
      </c>
      <c r="G192" s="34">
        <v>0</v>
      </c>
      <c r="H192" s="34">
        <v>0</v>
      </c>
      <c r="I192" s="34">
        <v>0</v>
      </c>
      <c r="J192" s="34">
        <v>0</v>
      </c>
      <c r="K192" s="34">
        <v>0</v>
      </c>
      <c r="L192" s="34">
        <v>0</v>
      </c>
      <c r="M192" s="34">
        <v>0</v>
      </c>
      <c r="Z192" s="34" t="s">
        <v>1946</v>
      </c>
      <c r="AA192" s="34">
        <v>0</v>
      </c>
      <c r="AB192" s="34">
        <v>0</v>
      </c>
      <c r="AC192" s="34">
        <v>0</v>
      </c>
      <c r="AD192" s="10">
        <v>0</v>
      </c>
      <c r="AE192" s="34">
        <v>0</v>
      </c>
      <c r="AF192" s="34">
        <v>0</v>
      </c>
      <c r="AG192" s="34">
        <v>0</v>
      </c>
      <c r="AH192" s="10">
        <v>0</v>
      </c>
      <c r="AI192" s="34">
        <v>0</v>
      </c>
      <c r="AJ192" s="34">
        <v>0</v>
      </c>
      <c r="AK192" s="34">
        <v>0</v>
      </c>
      <c r="AL192" s="10">
        <v>0</v>
      </c>
      <c r="AM192" s="34">
        <v>0</v>
      </c>
      <c r="AN192" s="34">
        <v>0</v>
      </c>
      <c r="AO192" s="34">
        <v>0</v>
      </c>
      <c r="AP192" s="10">
        <v>0</v>
      </c>
      <c r="AQ192" s="34">
        <v>0</v>
      </c>
      <c r="AR192" s="34">
        <v>0</v>
      </c>
      <c r="AS192" s="34">
        <v>0</v>
      </c>
      <c r="AT192" s="10">
        <v>0</v>
      </c>
      <c r="AU192" s="34">
        <v>0</v>
      </c>
      <c r="AV192" s="34">
        <v>0</v>
      </c>
      <c r="AW192" s="34">
        <v>0</v>
      </c>
    </row>
    <row r="193" spans="1:49">
      <c r="A193" s="33" t="s">
        <v>1947</v>
      </c>
      <c r="B193" s="33" t="s">
        <v>1948</v>
      </c>
      <c r="C193" s="34">
        <v>-0.21939973400000001</v>
      </c>
      <c r="D193" s="34">
        <v>2.6823410000000001</v>
      </c>
      <c r="E193" s="34">
        <v>-0.57402973999999996</v>
      </c>
      <c r="F193" s="34">
        <v>0</v>
      </c>
      <c r="G193" s="34">
        <v>0</v>
      </c>
      <c r="H193" s="34">
        <v>0</v>
      </c>
      <c r="I193" s="34">
        <v>0</v>
      </c>
      <c r="J193" s="34">
        <v>0</v>
      </c>
      <c r="K193" s="34">
        <v>0</v>
      </c>
      <c r="L193" s="34">
        <v>0</v>
      </c>
      <c r="M193" s="34">
        <v>0</v>
      </c>
      <c r="Z193" s="34" t="s">
        <v>1948</v>
      </c>
      <c r="AA193" s="34">
        <v>0</v>
      </c>
      <c r="AB193" s="34">
        <v>0</v>
      </c>
      <c r="AC193" s="34">
        <v>0</v>
      </c>
      <c r="AD193" s="10">
        <v>0</v>
      </c>
      <c r="AE193" s="34">
        <v>0</v>
      </c>
      <c r="AF193" s="34">
        <v>0</v>
      </c>
      <c r="AG193" s="34">
        <v>0</v>
      </c>
      <c r="AH193" s="10">
        <v>0</v>
      </c>
      <c r="AI193" s="34">
        <v>0</v>
      </c>
      <c r="AJ193" s="34">
        <v>0</v>
      </c>
      <c r="AK193" s="34">
        <v>0</v>
      </c>
      <c r="AL193" s="10">
        <v>0</v>
      </c>
      <c r="AM193" s="34">
        <v>0</v>
      </c>
      <c r="AN193" s="34">
        <v>0</v>
      </c>
      <c r="AO193" s="34">
        <v>0</v>
      </c>
      <c r="AP193" s="10">
        <v>0</v>
      </c>
      <c r="AQ193" s="34">
        <v>0</v>
      </c>
      <c r="AR193" s="34">
        <v>0</v>
      </c>
      <c r="AS193" s="34">
        <v>0</v>
      </c>
      <c r="AT193" s="10">
        <v>0</v>
      </c>
      <c r="AU193" s="34">
        <v>0</v>
      </c>
      <c r="AV193" s="34">
        <v>0</v>
      </c>
      <c r="AW193" s="34">
        <v>0</v>
      </c>
    </row>
    <row r="194" spans="1:49" s="41" customFormat="1">
      <c r="A194" s="40" t="s">
        <v>623</v>
      </c>
      <c r="B194" s="40" t="s">
        <v>1949</v>
      </c>
      <c r="C194" s="41">
        <v>-52.387326447</v>
      </c>
      <c r="D194" s="41">
        <v>23.412338788</v>
      </c>
      <c r="E194" s="41">
        <v>-187.13419837000001</v>
      </c>
      <c r="F194" s="41">
        <v>-28.852674833999998</v>
      </c>
      <c r="G194" s="41">
        <v>165.80390167199999</v>
      </c>
      <c r="H194" s="41">
        <v>-232.35390364700001</v>
      </c>
      <c r="I194" s="41">
        <v>-125.590473219</v>
      </c>
      <c r="J194" s="41">
        <v>286.69230228700002</v>
      </c>
      <c r="K194" s="41">
        <v>826.38619233500003</v>
      </c>
      <c r="L194" s="41">
        <v>149.26810689000001</v>
      </c>
      <c r="M194" s="41">
        <v>-1110.2730615359999</v>
      </c>
      <c r="N194" s="41">
        <f>SUM(L184:L193)</f>
        <v>149.26810689000018</v>
      </c>
      <c r="O194" s="7">
        <f>SUM(M184:M193)</f>
        <v>-1110.2730615359999</v>
      </c>
      <c r="P194" s="7"/>
      <c r="Z194" s="41" t="s">
        <v>1949</v>
      </c>
      <c r="AA194" s="41">
        <v>52.394099005000001</v>
      </c>
      <c r="AB194" s="41">
        <v>189.91134132299999</v>
      </c>
      <c r="AC194" s="41">
        <v>-228.16187066200001</v>
      </c>
      <c r="AD194" s="11">
        <v>-151.14101850399999</v>
      </c>
      <c r="AE194" s="41">
        <v>36.379424794999998</v>
      </c>
      <c r="AF194" s="41">
        <v>-152.524642997</v>
      </c>
      <c r="AG194" s="41">
        <v>365.20177345000002</v>
      </c>
      <c r="AH194" s="11">
        <v>55.088211022000003</v>
      </c>
      <c r="AI194" s="41">
        <v>69.216942345999996</v>
      </c>
      <c r="AJ194" s="41">
        <v>155.297399377</v>
      </c>
      <c r="AK194" s="41">
        <v>79.363251055999996</v>
      </c>
      <c r="AL194" s="11">
        <v>522.30617027100004</v>
      </c>
      <c r="AM194" s="41">
        <v>1.058717862</v>
      </c>
      <c r="AN194" s="41">
        <v>155.65292179900001</v>
      </c>
      <c r="AO194" s="41">
        <v>-872.990176819</v>
      </c>
      <c r="AP194" s="11">
        <v>862.04350707599997</v>
      </c>
      <c r="AQ194" s="41">
        <v>-1828.249618589</v>
      </c>
      <c r="AR194" s="41">
        <v>350.34507709899998</v>
      </c>
      <c r="AS194" s="41">
        <v>40.504279048000001</v>
      </c>
      <c r="AT194" s="11">
        <v>261.34655082699999</v>
      </c>
      <c r="AU194" s="41">
        <v>-537.90137938600003</v>
      </c>
      <c r="AV194" s="41">
        <v>470.67295111099997</v>
      </c>
      <c r="AW194" s="41">
        <v>680.86</v>
      </c>
    </row>
    <row r="195" spans="1:49">
      <c r="A195" s="33" t="s">
        <v>1950</v>
      </c>
      <c r="B195" s="33" t="s">
        <v>1951</v>
      </c>
      <c r="C195" s="34">
        <v>-0.84570124999999996</v>
      </c>
      <c r="D195" s="34">
        <v>-6.1886207640000004</v>
      </c>
      <c r="E195" s="34">
        <v>-6.2319187070000002</v>
      </c>
      <c r="F195" s="34">
        <v>-1.1721431600000001</v>
      </c>
      <c r="G195" s="34">
        <v>-7.4950244230000003</v>
      </c>
      <c r="H195" s="34">
        <v>-0.53136000000000005</v>
      </c>
      <c r="I195" s="34">
        <v>-5.5874577240000001</v>
      </c>
      <c r="J195" s="34">
        <v>-1.7001901779999999</v>
      </c>
      <c r="K195" s="34">
        <v>-12.606476296</v>
      </c>
      <c r="L195" s="34">
        <v>-12.425692715</v>
      </c>
      <c r="M195" s="34">
        <v>-8.0387375839999997</v>
      </c>
      <c r="Z195" s="34" t="s">
        <v>1951</v>
      </c>
      <c r="AA195" s="34">
        <v>-1.3365129600000001</v>
      </c>
      <c r="AB195" s="34">
        <v>-1.07</v>
      </c>
      <c r="AC195" s="34">
        <v>-1.8203367640000001</v>
      </c>
      <c r="AD195" s="10">
        <v>-1.360608</v>
      </c>
      <c r="AE195" s="34">
        <v>-0.2011222</v>
      </c>
      <c r="AF195" s="34">
        <v>-0.93383976300000004</v>
      </c>
      <c r="AG195" s="34">
        <v>9.0425163000000003E-2</v>
      </c>
      <c r="AH195" s="10">
        <v>-0.34653800000000001</v>
      </c>
      <c r="AI195" s="34">
        <v>-7.7978558000000003E-2</v>
      </c>
      <c r="AJ195" s="34">
        <v>-4.0580467999999996</v>
      </c>
      <c r="AK195" s="34">
        <v>-0.56544781700000002</v>
      </c>
      <c r="AL195" s="10">
        <v>-1.3245835349999999</v>
      </c>
      <c r="AM195" s="34">
        <v>0</v>
      </c>
      <c r="AN195" s="34">
        <v>0</v>
      </c>
      <c r="AO195" s="34">
        <v>-0.1653</v>
      </c>
      <c r="AP195" s="10">
        <v>-12.260392715</v>
      </c>
      <c r="AQ195" s="34">
        <v>-0.48835040000000002</v>
      </c>
      <c r="AR195" s="34">
        <v>-1.589968965</v>
      </c>
      <c r="AS195" s="34">
        <v>-3.4276758960000002</v>
      </c>
      <c r="AT195" s="10">
        <v>-7.7213475499999999</v>
      </c>
      <c r="AU195" s="34">
        <v>-0.192</v>
      </c>
      <c r="AV195" s="34">
        <v>-17.904094047000001</v>
      </c>
      <c r="AW195" s="34">
        <v>-6</v>
      </c>
    </row>
    <row r="196" spans="1:49">
      <c r="A196" s="33" t="s">
        <v>1952</v>
      </c>
      <c r="B196" s="33" t="s">
        <v>1953</v>
      </c>
      <c r="C196" s="34">
        <v>0.6</v>
      </c>
      <c r="D196" s="34">
        <v>0</v>
      </c>
      <c r="E196" s="34">
        <v>0</v>
      </c>
      <c r="F196" s="34">
        <v>0</v>
      </c>
      <c r="G196" s="34">
        <v>0.375</v>
      </c>
      <c r="H196" s="34">
        <v>0</v>
      </c>
      <c r="I196" s="34">
        <v>0</v>
      </c>
      <c r="J196" s="34">
        <v>0</v>
      </c>
      <c r="K196" s="34">
        <v>2.2710606069999999</v>
      </c>
      <c r="L196" s="34">
        <v>0.3</v>
      </c>
      <c r="M196" s="34">
        <v>0</v>
      </c>
      <c r="Z196" s="34" t="s">
        <v>1953</v>
      </c>
      <c r="AA196" s="34">
        <v>0</v>
      </c>
      <c r="AB196" s="34">
        <v>-0.28475</v>
      </c>
      <c r="AC196" s="34">
        <v>0.56950000000000001</v>
      </c>
      <c r="AD196" s="10">
        <v>-0.28475</v>
      </c>
      <c r="AE196" s="34">
        <v>0</v>
      </c>
      <c r="AF196" s="34">
        <v>0</v>
      </c>
      <c r="AG196" s="34">
        <v>0</v>
      </c>
      <c r="AH196" s="10">
        <v>0</v>
      </c>
      <c r="AI196" s="34">
        <v>0</v>
      </c>
      <c r="AJ196" s="34">
        <v>0</v>
      </c>
      <c r="AK196" s="34">
        <v>2.1925757570000002</v>
      </c>
      <c r="AL196" s="10">
        <v>0</v>
      </c>
      <c r="AM196" s="34">
        <v>0</v>
      </c>
      <c r="AN196" s="34">
        <v>0</v>
      </c>
      <c r="AO196" s="34">
        <v>0</v>
      </c>
      <c r="AP196" s="10">
        <v>0.3</v>
      </c>
      <c r="AQ196" s="34">
        <v>0</v>
      </c>
      <c r="AR196" s="34">
        <v>0</v>
      </c>
      <c r="AS196" s="34">
        <v>0</v>
      </c>
      <c r="AT196" s="10">
        <v>0</v>
      </c>
      <c r="AU196" s="34">
        <v>0</v>
      </c>
      <c r="AV196" s="34">
        <v>0.26739644600000001</v>
      </c>
      <c r="AW196" s="34">
        <v>0</v>
      </c>
    </row>
    <row r="197" spans="1:49">
      <c r="A197" s="33" t="s">
        <v>1954</v>
      </c>
      <c r="B197" s="33" t="s">
        <v>1955</v>
      </c>
      <c r="C197" s="34">
        <v>0</v>
      </c>
      <c r="D197" s="34">
        <v>0</v>
      </c>
      <c r="E197" s="34">
        <v>-10.00089187</v>
      </c>
      <c r="F197" s="34">
        <v>0</v>
      </c>
      <c r="G197" s="34">
        <v>0</v>
      </c>
      <c r="H197" s="34">
        <v>0</v>
      </c>
      <c r="I197" s="34">
        <v>-0.28475</v>
      </c>
      <c r="J197" s="34">
        <v>-0.35</v>
      </c>
      <c r="K197" s="34">
        <v>0</v>
      </c>
      <c r="L197" s="34">
        <v>-6.4</v>
      </c>
      <c r="M197" s="34">
        <v>-23.719519999999999</v>
      </c>
      <c r="Z197" s="34" t="s">
        <v>1955</v>
      </c>
      <c r="AA197" s="34">
        <v>0</v>
      </c>
      <c r="AB197" s="34">
        <v>0</v>
      </c>
      <c r="AC197" s="34">
        <v>0</v>
      </c>
      <c r="AD197" s="10">
        <v>-0.28475</v>
      </c>
      <c r="AE197" s="34">
        <v>0</v>
      </c>
      <c r="AF197" s="34">
        <v>-0.7</v>
      </c>
      <c r="AG197" s="34">
        <v>0.7</v>
      </c>
      <c r="AH197" s="10">
        <v>-0.63475000000000004</v>
      </c>
      <c r="AI197" s="34">
        <v>0.17499999999999999</v>
      </c>
      <c r="AJ197" s="34">
        <v>-0.17499999999999999</v>
      </c>
      <c r="AK197" s="34">
        <v>0</v>
      </c>
      <c r="AL197" s="10">
        <v>0</v>
      </c>
      <c r="AM197" s="34">
        <v>-97.985121187999994</v>
      </c>
      <c r="AN197" s="34">
        <v>89.585121188000002</v>
      </c>
      <c r="AO197" s="34">
        <v>0</v>
      </c>
      <c r="AP197" s="10">
        <v>2</v>
      </c>
      <c r="AQ197" s="34">
        <v>-6.548</v>
      </c>
      <c r="AR197" s="34">
        <v>-18.100000000000001</v>
      </c>
      <c r="AS197" s="34">
        <v>0</v>
      </c>
      <c r="AT197" s="10">
        <v>7.3284799999999999</v>
      </c>
      <c r="AU197" s="34">
        <v>-21</v>
      </c>
      <c r="AV197" s="34">
        <v>21</v>
      </c>
      <c r="AW197" s="34">
        <v>0</v>
      </c>
    </row>
    <row r="198" spans="1:49">
      <c r="A198" s="33" t="s">
        <v>1956</v>
      </c>
      <c r="B198" s="33" t="s">
        <v>1957</v>
      </c>
      <c r="C198" s="34">
        <v>0</v>
      </c>
      <c r="D198" s="34">
        <v>0</v>
      </c>
      <c r="E198" s="34">
        <v>11.72119</v>
      </c>
      <c r="F198" s="34">
        <v>0</v>
      </c>
      <c r="G198" s="34">
        <v>0</v>
      </c>
      <c r="H198" s="34">
        <v>4.9000000000000004</v>
      </c>
      <c r="I198" s="34">
        <v>0</v>
      </c>
      <c r="J198" s="34">
        <v>0.211537687</v>
      </c>
      <c r="K198" s="34">
        <v>0.63475000000000004</v>
      </c>
      <c r="L198" s="34">
        <v>0</v>
      </c>
      <c r="M198" s="34">
        <v>6.4</v>
      </c>
      <c r="Z198" s="34" t="s">
        <v>1957</v>
      </c>
      <c r="AA198" s="34">
        <v>0</v>
      </c>
      <c r="AB198" s="34">
        <v>0</v>
      </c>
      <c r="AC198" s="34">
        <v>0</v>
      </c>
      <c r="AD198" s="10">
        <v>0</v>
      </c>
      <c r="AE198" s="34">
        <v>0</v>
      </c>
      <c r="AF198" s="34">
        <v>0</v>
      </c>
      <c r="AG198" s="34">
        <v>0</v>
      </c>
      <c r="AH198" s="10">
        <v>0</v>
      </c>
      <c r="AI198" s="34">
        <v>0</v>
      </c>
      <c r="AJ198" s="34">
        <v>0.35</v>
      </c>
      <c r="AK198" s="34">
        <v>0</v>
      </c>
      <c r="AL198" s="10">
        <v>0</v>
      </c>
      <c r="AM198" s="34">
        <v>0</v>
      </c>
      <c r="AN198" s="34">
        <v>0</v>
      </c>
      <c r="AO198" s="34">
        <v>0</v>
      </c>
      <c r="AP198" s="10">
        <v>0</v>
      </c>
      <c r="AQ198" s="34">
        <v>0</v>
      </c>
      <c r="AR198" s="34">
        <v>0</v>
      </c>
      <c r="AS198" s="34">
        <v>0</v>
      </c>
      <c r="AT198" s="10">
        <v>0</v>
      </c>
      <c r="AU198" s="34">
        <v>23.719519999999999</v>
      </c>
      <c r="AV198" s="34">
        <v>-20</v>
      </c>
      <c r="AW198" s="34">
        <v>0</v>
      </c>
    </row>
    <row r="199" spans="1:49">
      <c r="A199" s="33" t="s">
        <v>1958</v>
      </c>
      <c r="B199" s="33" t="s">
        <v>1959</v>
      </c>
      <c r="C199" s="34">
        <v>0</v>
      </c>
      <c r="D199" s="34">
        <v>0</v>
      </c>
      <c r="E199" s="34">
        <v>0</v>
      </c>
      <c r="F199" s="34">
        <v>0</v>
      </c>
      <c r="G199" s="34">
        <v>0</v>
      </c>
      <c r="H199" s="34">
        <v>-18.872246969999999</v>
      </c>
      <c r="I199" s="34">
        <v>-5.0079831219999997</v>
      </c>
      <c r="J199" s="34">
        <v>0</v>
      </c>
      <c r="K199" s="34">
        <v>-53.314598727000003</v>
      </c>
      <c r="L199" s="34">
        <v>-9.8789999999999996</v>
      </c>
      <c r="M199" s="34">
        <v>-307.18671306900001</v>
      </c>
      <c r="Z199" s="34" t="s">
        <v>1959</v>
      </c>
      <c r="AA199" s="34">
        <v>0</v>
      </c>
      <c r="AB199" s="34">
        <v>-3.5532499999999998</v>
      </c>
      <c r="AC199" s="34">
        <v>7.1064999999999996</v>
      </c>
      <c r="AD199" s="10">
        <v>-7.1064999999999996</v>
      </c>
      <c r="AE199" s="34">
        <v>4.8884623129999998</v>
      </c>
      <c r="AF199" s="34">
        <v>-7.3469746259999997</v>
      </c>
      <c r="AG199" s="34">
        <v>-5.0299500000000004</v>
      </c>
      <c r="AH199" s="10">
        <v>2.6</v>
      </c>
      <c r="AI199" s="34">
        <v>0</v>
      </c>
      <c r="AJ199" s="34">
        <v>-6.1893332709999997</v>
      </c>
      <c r="AK199" s="34">
        <v>-41.581192508000001</v>
      </c>
      <c r="AL199" s="10">
        <v>-12.655756494</v>
      </c>
      <c r="AM199" s="34">
        <v>-8.9002699320000005</v>
      </c>
      <c r="AN199" s="34">
        <v>-0.97873006799999995</v>
      </c>
      <c r="AO199" s="34">
        <v>-7.0050000000000001E-2</v>
      </c>
      <c r="AP199" s="10">
        <v>2.205891212</v>
      </c>
      <c r="AQ199" s="34">
        <v>-0.55000000000000004</v>
      </c>
      <c r="AR199" s="34">
        <v>0.55000000000000004</v>
      </c>
      <c r="AS199" s="34">
        <v>-256.56815371699997</v>
      </c>
      <c r="AT199" s="10">
        <v>-25.764433625999999</v>
      </c>
      <c r="AU199" s="34">
        <v>-0.51596039500000002</v>
      </c>
      <c r="AV199" s="34">
        <v>-38.859039605</v>
      </c>
      <c r="AW199" s="34">
        <v>-46.5</v>
      </c>
    </row>
    <row r="200" spans="1:49">
      <c r="A200" s="33" t="s">
        <v>1960</v>
      </c>
      <c r="B200" s="33" t="s">
        <v>1961</v>
      </c>
      <c r="C200" s="34">
        <v>1.1499999999999999</v>
      </c>
      <c r="D200" s="34">
        <v>0</v>
      </c>
      <c r="E200" s="34">
        <v>5.0999999999999996</v>
      </c>
      <c r="F200" s="34">
        <v>0</v>
      </c>
      <c r="G200" s="34">
        <v>0</v>
      </c>
      <c r="H200" s="34">
        <v>0</v>
      </c>
      <c r="I200" s="34">
        <v>0.01</v>
      </c>
      <c r="J200" s="34">
        <v>0</v>
      </c>
      <c r="K200" s="34">
        <v>0</v>
      </c>
      <c r="L200" s="34">
        <v>0</v>
      </c>
      <c r="M200" s="34">
        <v>0</v>
      </c>
      <c r="Z200" s="34" t="s">
        <v>1961</v>
      </c>
      <c r="AA200" s="34">
        <v>0</v>
      </c>
      <c r="AB200" s="34">
        <v>0.01</v>
      </c>
      <c r="AC200" s="34">
        <v>0</v>
      </c>
      <c r="AD200" s="10">
        <v>0</v>
      </c>
      <c r="AE200" s="34">
        <v>0</v>
      </c>
      <c r="AF200" s="34">
        <v>0</v>
      </c>
      <c r="AG200" s="34">
        <v>0</v>
      </c>
      <c r="AH200" s="10">
        <v>0</v>
      </c>
      <c r="AI200" s="34">
        <v>1.6657930000000001E-2</v>
      </c>
      <c r="AJ200" s="34">
        <v>-1.6657930000000001E-2</v>
      </c>
      <c r="AK200" s="34">
        <v>0</v>
      </c>
      <c r="AL200" s="10">
        <v>0</v>
      </c>
      <c r="AM200" s="34">
        <v>0</v>
      </c>
      <c r="AN200" s="34">
        <v>0</v>
      </c>
      <c r="AO200" s="34">
        <v>0</v>
      </c>
      <c r="AP200" s="10">
        <v>0</v>
      </c>
      <c r="AQ200" s="34">
        <v>0</v>
      </c>
      <c r="AR200" s="34">
        <v>0</v>
      </c>
      <c r="AS200" s="34">
        <v>0</v>
      </c>
      <c r="AT200" s="10">
        <v>0</v>
      </c>
      <c r="AU200" s="34">
        <v>1.98855</v>
      </c>
      <c r="AV200" s="34">
        <v>12.871449999999999</v>
      </c>
      <c r="AW200" s="34">
        <v>0</v>
      </c>
    </row>
    <row r="201" spans="1:49">
      <c r="A201" s="33" t="s">
        <v>1962</v>
      </c>
      <c r="B201" s="33" t="s">
        <v>1963</v>
      </c>
      <c r="C201" s="34">
        <v>1.397265958</v>
      </c>
      <c r="D201" s="34">
        <v>3.1271823169999999</v>
      </c>
      <c r="E201" s="34">
        <v>2.160524868</v>
      </c>
      <c r="F201" s="34">
        <v>0</v>
      </c>
      <c r="G201" s="34">
        <v>0.19926666600000001</v>
      </c>
      <c r="H201" s="34">
        <v>0.52731830400000002</v>
      </c>
      <c r="I201" s="34">
        <v>0.12630866499999999</v>
      </c>
      <c r="J201" s="34">
        <v>8.2251425000000003E-2</v>
      </c>
      <c r="K201" s="34">
        <v>4.5959307190000001</v>
      </c>
      <c r="L201" s="34">
        <v>40.645803364999999</v>
      </c>
      <c r="M201" s="34">
        <v>47.549060783000002</v>
      </c>
      <c r="Z201" s="34" t="s">
        <v>1963</v>
      </c>
      <c r="AA201" s="34">
        <v>1.5568667E-2</v>
      </c>
      <c r="AB201" s="34">
        <v>1.6854534000000001E-2</v>
      </c>
      <c r="AC201" s="34">
        <v>2.4953518000000001E-2</v>
      </c>
      <c r="AD201" s="10">
        <v>6.3121099999999999E-2</v>
      </c>
      <c r="AE201" s="34">
        <v>2.2767365000000001E-2</v>
      </c>
      <c r="AF201" s="34">
        <v>1.5843989999999999E-2</v>
      </c>
      <c r="AG201" s="34">
        <v>1.6705459999999998E-2</v>
      </c>
      <c r="AH201" s="10">
        <v>2.2741338999999999E-2</v>
      </c>
      <c r="AI201" s="34">
        <v>0</v>
      </c>
      <c r="AJ201" s="34">
        <v>5.9958749999999998E-2</v>
      </c>
      <c r="AK201" s="34">
        <v>4.2905100589999998</v>
      </c>
      <c r="AL201" s="10">
        <v>2.0254086020000002</v>
      </c>
      <c r="AM201" s="34">
        <v>5.4154564599999997</v>
      </c>
      <c r="AN201" s="34">
        <v>8.522001843</v>
      </c>
      <c r="AO201" s="34">
        <v>6.744896507</v>
      </c>
      <c r="AP201" s="10">
        <v>20.670872395</v>
      </c>
      <c r="AQ201" s="34">
        <v>13.890415898000001</v>
      </c>
      <c r="AR201" s="34">
        <v>4.6111059579999996</v>
      </c>
      <c r="AS201" s="34">
        <v>11.86629389</v>
      </c>
      <c r="AT201" s="10">
        <v>22.193472225000001</v>
      </c>
      <c r="AU201" s="34">
        <v>15.071765617000001</v>
      </c>
      <c r="AV201" s="34">
        <v>10.499357497</v>
      </c>
      <c r="AW201" s="34">
        <v>29.05</v>
      </c>
    </row>
    <row r="202" spans="1:49" s="41" customFormat="1">
      <c r="A202" s="40" t="s">
        <v>626</v>
      </c>
      <c r="B202" s="40" t="s">
        <v>1964</v>
      </c>
      <c r="C202" s="41">
        <v>2.3015647079999999</v>
      </c>
      <c r="D202" s="41">
        <v>-3.061438447</v>
      </c>
      <c r="E202" s="41">
        <v>2.7489042910000001</v>
      </c>
      <c r="F202" s="41">
        <v>-1.1721431600000001</v>
      </c>
      <c r="G202" s="41">
        <v>-6.9207577569999996</v>
      </c>
      <c r="H202" s="41">
        <v>-13.976288666</v>
      </c>
      <c r="I202" s="41">
        <v>-10.743882181</v>
      </c>
      <c r="J202" s="41">
        <v>-1.756401066</v>
      </c>
      <c r="K202" s="41">
        <v>-58.419333696999999</v>
      </c>
      <c r="L202" s="41">
        <v>12.24111065</v>
      </c>
      <c r="M202" s="41">
        <v>-284.99590986999999</v>
      </c>
      <c r="O202" s="7"/>
      <c r="P202" s="7"/>
      <c r="Z202" s="41" t="s">
        <v>1964</v>
      </c>
      <c r="AA202" s="41">
        <v>-1.3209442929999999</v>
      </c>
      <c r="AB202" s="41">
        <v>-4.8811454660000004</v>
      </c>
      <c r="AC202" s="41">
        <v>5.8806167540000001</v>
      </c>
      <c r="AD202" s="11">
        <v>-8.9734868999999993</v>
      </c>
      <c r="AE202" s="41">
        <v>4.7101074780000003</v>
      </c>
      <c r="AF202" s="41">
        <v>-8.9649703990000003</v>
      </c>
      <c r="AG202" s="41">
        <v>-4.2228193770000004</v>
      </c>
      <c r="AH202" s="11">
        <v>1.6414533389999999</v>
      </c>
      <c r="AI202" s="41">
        <v>0.113679372</v>
      </c>
      <c r="AJ202" s="41">
        <v>-10.029079251000001</v>
      </c>
      <c r="AK202" s="41">
        <v>-35.663554509000001</v>
      </c>
      <c r="AL202" s="11">
        <v>-11.954931427</v>
      </c>
      <c r="AM202" s="41">
        <v>-101.46993466000001</v>
      </c>
      <c r="AN202" s="41">
        <v>97.128392962999996</v>
      </c>
      <c r="AO202" s="41">
        <v>6.5095465069999996</v>
      </c>
      <c r="AP202" s="11">
        <v>12.916370892</v>
      </c>
      <c r="AQ202" s="41">
        <v>6.3040654979999999</v>
      </c>
      <c r="AR202" s="41">
        <v>-14.528863007</v>
      </c>
      <c r="AS202" s="41">
        <v>-248.129535723</v>
      </c>
      <c r="AT202" s="11">
        <v>-3.963828951</v>
      </c>
      <c r="AU202" s="41">
        <v>19.071875221999999</v>
      </c>
      <c r="AV202" s="41">
        <v>-32.124929709</v>
      </c>
      <c r="AW202" s="41">
        <v>-23.46</v>
      </c>
    </row>
    <row r="203" spans="1:49">
      <c r="A203" s="33" t="s">
        <v>1965</v>
      </c>
      <c r="B203" s="33" t="s">
        <v>1966</v>
      </c>
      <c r="C203" s="34">
        <v>0</v>
      </c>
      <c r="D203" s="34">
        <v>0</v>
      </c>
      <c r="E203" s="34">
        <v>0.51900000000000002</v>
      </c>
      <c r="F203" s="34">
        <v>193.6464</v>
      </c>
      <c r="G203" s="34">
        <v>0</v>
      </c>
      <c r="H203" s="34">
        <v>10</v>
      </c>
      <c r="I203" s="34">
        <v>0</v>
      </c>
      <c r="J203" s="34">
        <v>12</v>
      </c>
      <c r="K203" s="34">
        <v>12</v>
      </c>
      <c r="L203" s="34">
        <v>12</v>
      </c>
      <c r="M203" s="34">
        <v>22</v>
      </c>
      <c r="Z203" s="34" t="s">
        <v>1966</v>
      </c>
      <c r="AA203" s="34">
        <v>0</v>
      </c>
      <c r="AB203" s="34">
        <v>0</v>
      </c>
      <c r="AC203" s="34">
        <v>0</v>
      </c>
      <c r="AD203" s="10">
        <v>0</v>
      </c>
      <c r="AE203" s="34">
        <v>12</v>
      </c>
      <c r="AF203" s="34">
        <v>0</v>
      </c>
      <c r="AG203" s="34">
        <v>-12</v>
      </c>
      <c r="AH203" s="10">
        <v>0</v>
      </c>
      <c r="AI203" s="34">
        <v>0.41499999999999998</v>
      </c>
      <c r="AJ203" s="34">
        <v>11.585000000000001</v>
      </c>
      <c r="AK203" s="34">
        <v>0</v>
      </c>
      <c r="AL203" s="10">
        <v>0</v>
      </c>
      <c r="AM203" s="34">
        <v>0</v>
      </c>
      <c r="AN203" s="34">
        <v>12</v>
      </c>
      <c r="AO203" s="34">
        <v>0</v>
      </c>
      <c r="AP203" s="10">
        <v>0</v>
      </c>
      <c r="AQ203" s="34">
        <v>2.88</v>
      </c>
      <c r="AR203" s="34">
        <v>19.12</v>
      </c>
      <c r="AS203" s="34">
        <v>0</v>
      </c>
      <c r="AT203" s="10">
        <v>0</v>
      </c>
      <c r="AU203" s="34">
        <v>0</v>
      </c>
      <c r="AV203" s="34">
        <v>40</v>
      </c>
      <c r="AW203" s="34">
        <v>40</v>
      </c>
    </row>
    <row r="204" spans="1:49">
      <c r="A204" s="33" t="s">
        <v>1967</v>
      </c>
      <c r="B204" s="33" t="s">
        <v>1968</v>
      </c>
      <c r="C204" s="34">
        <v>0</v>
      </c>
      <c r="D204" s="34">
        <v>-85</v>
      </c>
      <c r="E204" s="34">
        <v>0</v>
      </c>
      <c r="F204" s="34">
        <v>0</v>
      </c>
      <c r="G204" s="34">
        <v>0</v>
      </c>
      <c r="H204" s="34">
        <v>0</v>
      </c>
      <c r="I204" s="34">
        <v>0</v>
      </c>
      <c r="J204" s="34">
        <v>0</v>
      </c>
      <c r="K204" s="34">
        <v>0</v>
      </c>
      <c r="L204" s="34">
        <v>0</v>
      </c>
      <c r="M204" s="34">
        <v>-0.03</v>
      </c>
      <c r="Z204" s="34" t="s">
        <v>1968</v>
      </c>
      <c r="AA204" s="34">
        <v>0</v>
      </c>
      <c r="AB204" s="34">
        <v>0</v>
      </c>
      <c r="AC204" s="34">
        <v>0</v>
      </c>
      <c r="AD204" s="10">
        <v>0</v>
      </c>
      <c r="AE204" s="34">
        <v>0</v>
      </c>
      <c r="AF204" s="34">
        <v>0</v>
      </c>
      <c r="AG204" s="34">
        <v>0</v>
      </c>
      <c r="AH204" s="10">
        <v>0</v>
      </c>
      <c r="AI204" s="34">
        <v>0</v>
      </c>
      <c r="AJ204" s="34">
        <v>0</v>
      </c>
      <c r="AK204" s="34">
        <v>0</v>
      </c>
      <c r="AL204" s="10">
        <v>0</v>
      </c>
      <c r="AM204" s="34">
        <v>0</v>
      </c>
      <c r="AN204" s="34">
        <v>0</v>
      </c>
      <c r="AO204" s="34">
        <v>0</v>
      </c>
      <c r="AP204" s="10">
        <v>0</v>
      </c>
      <c r="AQ204" s="34">
        <v>0</v>
      </c>
      <c r="AR204" s="34">
        <v>-0.03</v>
      </c>
      <c r="AS204" s="34">
        <v>0</v>
      </c>
      <c r="AT204" s="10">
        <v>0</v>
      </c>
      <c r="AU204" s="34">
        <v>0</v>
      </c>
      <c r="AV204" s="34">
        <v>-2.5000000000000001E-2</v>
      </c>
      <c r="AW204" s="34">
        <v>0</v>
      </c>
    </row>
    <row r="205" spans="1:49">
      <c r="A205" s="33" t="s">
        <v>1969</v>
      </c>
      <c r="B205" s="33" t="s">
        <v>1970</v>
      </c>
      <c r="C205" s="34">
        <v>1761.374644878</v>
      </c>
      <c r="D205" s="34">
        <v>2578.5145385730002</v>
      </c>
      <c r="E205" s="34">
        <v>3803.6416456010002</v>
      </c>
      <c r="F205" s="34">
        <v>3142.464939859</v>
      </c>
      <c r="G205" s="34">
        <v>2691.4769320740002</v>
      </c>
      <c r="H205" s="34">
        <v>2832.7365743209998</v>
      </c>
      <c r="I205" s="34">
        <v>3392.9276182449998</v>
      </c>
      <c r="J205" s="34">
        <v>3891.177798097</v>
      </c>
      <c r="K205" s="34">
        <v>3834.0702296459999</v>
      </c>
      <c r="L205" s="34">
        <v>4902.4974328170001</v>
      </c>
      <c r="M205" s="34">
        <v>9942.6370102180008</v>
      </c>
      <c r="Z205" s="34" t="s">
        <v>1970</v>
      </c>
      <c r="AA205" s="34">
        <v>776.223667428</v>
      </c>
      <c r="AB205" s="34">
        <v>597.21184284499998</v>
      </c>
      <c r="AC205" s="34">
        <v>885.44310840599996</v>
      </c>
      <c r="AD205" s="10">
        <v>1134.5287499359999</v>
      </c>
      <c r="AE205" s="34">
        <v>793.35660266699995</v>
      </c>
      <c r="AF205" s="34">
        <v>1268.2848821330001</v>
      </c>
      <c r="AG205" s="34">
        <v>852.38391091400001</v>
      </c>
      <c r="AH205" s="10">
        <v>977.15240238299998</v>
      </c>
      <c r="AI205" s="34">
        <v>993.44745535200002</v>
      </c>
      <c r="AJ205" s="34">
        <v>986.49436714299998</v>
      </c>
      <c r="AK205" s="34">
        <v>971.79313115399998</v>
      </c>
      <c r="AL205" s="10">
        <v>882.33527599700005</v>
      </c>
      <c r="AM205" s="34">
        <v>1337.1729178420001</v>
      </c>
      <c r="AN205" s="34">
        <v>713.17981731400005</v>
      </c>
      <c r="AO205" s="34">
        <v>1182.4258254270001</v>
      </c>
      <c r="AP205" s="10">
        <v>1669.7188722339999</v>
      </c>
      <c r="AQ205" s="34">
        <v>3160.0746642670001</v>
      </c>
      <c r="AR205" s="34">
        <v>1757.084423755</v>
      </c>
      <c r="AS205" s="34">
        <v>3028.8991094399998</v>
      </c>
      <c r="AT205" s="10">
        <v>2037.6788127560001</v>
      </c>
      <c r="AU205" s="34">
        <v>2319.400137822</v>
      </c>
      <c r="AV205" s="34">
        <v>2618.8919147649999</v>
      </c>
      <c r="AW205" s="34">
        <v>2343.06</v>
      </c>
    </row>
    <row r="206" spans="1:49">
      <c r="A206" s="33" t="s">
        <v>1971</v>
      </c>
      <c r="B206" s="33" t="s">
        <v>1972</v>
      </c>
      <c r="C206" s="34">
        <v>-1724.781462784</v>
      </c>
      <c r="D206" s="34">
        <v>-2370.3066560799998</v>
      </c>
      <c r="E206" s="34">
        <v>-3659.3204039510001</v>
      </c>
      <c r="F206" s="34">
        <v>-3328.2624617269998</v>
      </c>
      <c r="G206" s="34">
        <v>-2794.7148829110001</v>
      </c>
      <c r="H206" s="34">
        <v>-2567.4360315959998</v>
      </c>
      <c r="I206" s="34">
        <v>-3176.987930491</v>
      </c>
      <c r="J206" s="34">
        <v>-4107.810207861</v>
      </c>
      <c r="K206" s="34">
        <v>-3824.7208804440002</v>
      </c>
      <c r="L206" s="34">
        <v>-4414.8705691530004</v>
      </c>
      <c r="M206" s="34">
        <v>-9145.2833757520002</v>
      </c>
      <c r="Z206" s="34" t="s">
        <v>1972</v>
      </c>
      <c r="AA206" s="34">
        <v>-836.24267335100001</v>
      </c>
      <c r="AB206" s="34">
        <v>-666.96226961900004</v>
      </c>
      <c r="AC206" s="34">
        <v>-731.99986693999995</v>
      </c>
      <c r="AD206" s="10">
        <v>-942.26287095099997</v>
      </c>
      <c r="AE206" s="34">
        <v>-820.39536541699999</v>
      </c>
      <c r="AF206" s="34">
        <v>-1143.8019190130001</v>
      </c>
      <c r="AG206" s="34">
        <v>-1192.5187304900001</v>
      </c>
      <c r="AH206" s="10">
        <v>-951.09419294099996</v>
      </c>
      <c r="AI206" s="34">
        <v>-1102.7649366549999</v>
      </c>
      <c r="AJ206" s="34">
        <v>-968.367114216</v>
      </c>
      <c r="AK206" s="34">
        <v>-1026.809316973</v>
      </c>
      <c r="AL206" s="10">
        <v>-726.77951259999998</v>
      </c>
      <c r="AM206" s="34">
        <v>-1290.9905495800001</v>
      </c>
      <c r="AN206" s="34">
        <v>-776.94516678100001</v>
      </c>
      <c r="AO206" s="34">
        <v>-727.08129036499997</v>
      </c>
      <c r="AP206" s="10">
        <v>-1619.853562427</v>
      </c>
      <c r="AQ206" s="34">
        <v>-2298.3882066340002</v>
      </c>
      <c r="AR206" s="34">
        <v>-2492.5834928549998</v>
      </c>
      <c r="AS206" s="34">
        <v>-1899.8901572049999</v>
      </c>
      <c r="AT206" s="10">
        <v>-2454.4215190579998</v>
      </c>
      <c r="AU206" s="34">
        <v>-2499.523269801</v>
      </c>
      <c r="AV206" s="34">
        <v>-2262.863751676</v>
      </c>
      <c r="AW206" s="34">
        <v>-2441.67</v>
      </c>
    </row>
    <row r="207" spans="1:49">
      <c r="A207" s="33" t="s">
        <v>1973</v>
      </c>
      <c r="B207" s="33" t="s">
        <v>1974</v>
      </c>
      <c r="C207" s="34">
        <v>0</v>
      </c>
      <c r="D207" s="34">
        <v>0</v>
      </c>
      <c r="E207" s="34">
        <v>0</v>
      </c>
      <c r="F207" s="34">
        <v>0</v>
      </c>
      <c r="G207" s="34">
        <v>0</v>
      </c>
      <c r="H207" s="34">
        <v>0</v>
      </c>
      <c r="I207" s="34">
        <v>0</v>
      </c>
      <c r="J207" s="34">
        <v>0</v>
      </c>
      <c r="K207" s="34">
        <v>0</v>
      </c>
      <c r="L207" s="34">
        <v>0</v>
      </c>
      <c r="M207" s="34">
        <v>0</v>
      </c>
      <c r="Z207" s="34" t="s">
        <v>1974</v>
      </c>
      <c r="AA207" s="34">
        <v>0</v>
      </c>
      <c r="AB207" s="34">
        <v>0</v>
      </c>
      <c r="AC207" s="34">
        <v>0</v>
      </c>
      <c r="AD207" s="10">
        <v>0</v>
      </c>
      <c r="AE207" s="34">
        <v>0</v>
      </c>
      <c r="AF207" s="34">
        <v>0</v>
      </c>
      <c r="AG207" s="34">
        <v>0</v>
      </c>
      <c r="AH207" s="10">
        <v>0</v>
      </c>
      <c r="AI207" s="34">
        <v>0</v>
      </c>
      <c r="AJ207" s="34">
        <v>0</v>
      </c>
      <c r="AK207" s="34">
        <v>0</v>
      </c>
      <c r="AL207" s="10">
        <v>0</v>
      </c>
      <c r="AM207" s="34">
        <v>0</v>
      </c>
      <c r="AN207" s="34">
        <v>0</v>
      </c>
      <c r="AO207" s="34">
        <v>0</v>
      </c>
      <c r="AP207" s="10">
        <v>0</v>
      </c>
      <c r="AQ207" s="34">
        <v>0</v>
      </c>
      <c r="AR207" s="34">
        <v>0</v>
      </c>
      <c r="AS207" s="34">
        <v>0</v>
      </c>
      <c r="AT207" s="10">
        <v>0</v>
      </c>
      <c r="AU207" s="34">
        <v>0</v>
      </c>
      <c r="AV207" s="34">
        <v>0</v>
      </c>
      <c r="AW207" s="34">
        <v>0</v>
      </c>
    </row>
    <row r="208" spans="1:49">
      <c r="A208" s="33" t="s">
        <v>1975</v>
      </c>
      <c r="B208" s="33" t="s">
        <v>1976</v>
      </c>
      <c r="C208" s="34">
        <v>0</v>
      </c>
      <c r="D208" s="34">
        <v>-12.842613374000001</v>
      </c>
      <c r="E208" s="34">
        <v>-43.75</v>
      </c>
      <c r="F208" s="34">
        <v>-14.632199999999999</v>
      </c>
      <c r="G208" s="34">
        <v>-54.492789999999999</v>
      </c>
      <c r="H208" s="34">
        <v>-27.720194599999999</v>
      </c>
      <c r="I208" s="34">
        <v>-32.480222400000002</v>
      </c>
      <c r="J208" s="34">
        <v>-20.900138999999999</v>
      </c>
      <c r="K208" s="34">
        <v>-43.000278000000002</v>
      </c>
      <c r="L208" s="34">
        <v>-44.200277999999997</v>
      </c>
      <c r="M208" s="34">
        <v>-90.597555999999997</v>
      </c>
      <c r="Z208" s="34" t="s">
        <v>1976</v>
      </c>
      <c r="AA208" s="34">
        <v>0</v>
      </c>
      <c r="AB208" s="34">
        <v>-32.480222400000002</v>
      </c>
      <c r="AC208" s="34">
        <v>0</v>
      </c>
      <c r="AD208" s="10">
        <v>0</v>
      </c>
      <c r="AE208" s="34">
        <v>0</v>
      </c>
      <c r="AF208" s="34">
        <v>0</v>
      </c>
      <c r="AG208" s="34">
        <v>0</v>
      </c>
      <c r="AH208" s="10">
        <v>-20.900138999999999</v>
      </c>
      <c r="AI208" s="34">
        <v>0</v>
      </c>
      <c r="AJ208" s="34">
        <v>0</v>
      </c>
      <c r="AK208" s="34">
        <v>-43.000278000000002</v>
      </c>
      <c r="AL208" s="10">
        <v>0</v>
      </c>
      <c r="AM208" s="34">
        <v>0</v>
      </c>
      <c r="AN208" s="34">
        <v>0</v>
      </c>
      <c r="AO208" s="34">
        <v>-44.200277999999997</v>
      </c>
      <c r="AP208" s="10">
        <v>0</v>
      </c>
      <c r="AQ208" s="34">
        <v>0</v>
      </c>
      <c r="AR208" s="34">
        <v>0</v>
      </c>
      <c r="AS208" s="34">
        <v>-90.597555999999997</v>
      </c>
      <c r="AT208" s="10">
        <v>0</v>
      </c>
      <c r="AU208" s="34">
        <v>0</v>
      </c>
      <c r="AV208" s="34">
        <v>0</v>
      </c>
      <c r="AW208" s="34">
        <v>0</v>
      </c>
    </row>
    <row r="209" spans="1:49">
      <c r="A209" s="33" t="s">
        <v>1977</v>
      </c>
      <c r="B209" s="33" t="s">
        <v>1978</v>
      </c>
      <c r="C209" s="34">
        <v>0</v>
      </c>
      <c r="D209" s="34">
        <v>0</v>
      </c>
      <c r="E209" s="34">
        <v>0</v>
      </c>
      <c r="F209" s="34">
        <v>0</v>
      </c>
      <c r="G209" s="34">
        <v>0</v>
      </c>
      <c r="H209" s="34">
        <v>0</v>
      </c>
      <c r="I209" s="34">
        <v>0</v>
      </c>
      <c r="J209" s="34">
        <v>0</v>
      </c>
      <c r="K209" s="34">
        <v>0</v>
      </c>
      <c r="L209" s="34">
        <v>0</v>
      </c>
      <c r="M209" s="34">
        <v>0</v>
      </c>
      <c r="Z209" s="34" t="s">
        <v>1978</v>
      </c>
      <c r="AA209" s="34">
        <v>0</v>
      </c>
      <c r="AB209" s="34">
        <v>0</v>
      </c>
      <c r="AC209" s="34">
        <v>0</v>
      </c>
      <c r="AD209" s="10">
        <v>0</v>
      </c>
      <c r="AE209" s="34">
        <v>0</v>
      </c>
      <c r="AF209" s="34">
        <v>0</v>
      </c>
      <c r="AG209" s="34">
        <v>0</v>
      </c>
      <c r="AH209" s="10">
        <v>0</v>
      </c>
      <c r="AI209" s="34">
        <v>0</v>
      </c>
      <c r="AJ209" s="34">
        <v>0</v>
      </c>
      <c r="AK209" s="34">
        <v>0</v>
      </c>
      <c r="AL209" s="10">
        <v>0</v>
      </c>
      <c r="AM209" s="34">
        <v>0</v>
      </c>
      <c r="AN209" s="34">
        <v>0</v>
      </c>
      <c r="AO209" s="34">
        <v>0</v>
      </c>
      <c r="AP209" s="10">
        <v>0</v>
      </c>
      <c r="AQ209" s="34">
        <v>0</v>
      </c>
      <c r="AR209" s="34">
        <v>0</v>
      </c>
      <c r="AS209" s="34">
        <v>0</v>
      </c>
      <c r="AT209" s="10">
        <v>0</v>
      </c>
      <c r="AU209" s="34">
        <v>0</v>
      </c>
      <c r="AV209" s="34">
        <v>0</v>
      </c>
      <c r="AW209" s="34">
        <v>0</v>
      </c>
    </row>
    <row r="210" spans="1:49" s="41" customFormat="1">
      <c r="A210" s="40" t="s">
        <v>635</v>
      </c>
      <c r="B210" s="40" t="s">
        <v>1979</v>
      </c>
      <c r="C210" s="41">
        <v>36.593182093999999</v>
      </c>
      <c r="D210" s="41">
        <v>110.365269119</v>
      </c>
      <c r="E210" s="41">
        <v>101.09024165</v>
      </c>
      <c r="F210" s="41">
        <v>-6.7833218679999998</v>
      </c>
      <c r="G210" s="41">
        <v>-157.73074083700001</v>
      </c>
      <c r="H210" s="41">
        <v>247.580348125</v>
      </c>
      <c r="I210" s="41">
        <v>173.459465354</v>
      </c>
      <c r="J210" s="41">
        <v>-225.53254876400001</v>
      </c>
      <c r="K210" s="41">
        <v>-21.650928797999999</v>
      </c>
      <c r="L210" s="41">
        <v>455.42658566400002</v>
      </c>
      <c r="M210" s="41">
        <v>728.72607846599999</v>
      </c>
      <c r="O210" s="7"/>
      <c r="P210" s="7"/>
      <c r="Z210" s="41" t="s">
        <v>1979</v>
      </c>
      <c r="AA210" s="41">
        <v>-60.019005923000002</v>
      </c>
      <c r="AB210" s="41">
        <v>-102.23064917400001</v>
      </c>
      <c r="AC210" s="41">
        <v>153.44324146599999</v>
      </c>
      <c r="AD210" s="11">
        <v>192.265878985</v>
      </c>
      <c r="AE210" s="41">
        <v>-15.03876275</v>
      </c>
      <c r="AF210" s="41">
        <v>124.48296311999999</v>
      </c>
      <c r="AG210" s="41">
        <v>-352.13481957599998</v>
      </c>
      <c r="AH210" s="11">
        <v>5.1580704419999996</v>
      </c>
      <c r="AI210" s="41">
        <v>-108.902481303</v>
      </c>
      <c r="AJ210" s="41">
        <v>29.712252927000002</v>
      </c>
      <c r="AK210" s="41">
        <v>-98.016463818999995</v>
      </c>
      <c r="AL210" s="11">
        <v>155.55576339699999</v>
      </c>
      <c r="AM210" s="41">
        <v>46.182368261999997</v>
      </c>
      <c r="AN210" s="41">
        <v>-51.765349467</v>
      </c>
      <c r="AO210" s="41">
        <v>411.14425706200001</v>
      </c>
      <c r="AP210" s="11">
        <v>49.865309807000003</v>
      </c>
      <c r="AQ210" s="41">
        <v>864.56645763300003</v>
      </c>
      <c r="AR210" s="41">
        <v>-716.40906910000001</v>
      </c>
      <c r="AS210" s="41">
        <v>1038.411396235</v>
      </c>
      <c r="AT210" s="11">
        <v>-416.74270630199999</v>
      </c>
      <c r="AU210" s="41">
        <v>-180.12313197899999</v>
      </c>
      <c r="AV210" s="41">
        <v>396.003163089</v>
      </c>
      <c r="AW210" s="41">
        <v>-58.61</v>
      </c>
    </row>
    <row r="211" spans="1:49" s="41" customFormat="1">
      <c r="A211" s="40" t="s">
        <v>1980</v>
      </c>
      <c r="B211" s="40" t="s">
        <v>1981</v>
      </c>
      <c r="C211" s="41">
        <v>-13.492579644999999</v>
      </c>
      <c r="D211" s="41">
        <v>130.71616946</v>
      </c>
      <c r="E211" s="41">
        <v>-83.295052428999995</v>
      </c>
      <c r="F211" s="41">
        <v>-36.808139861999997</v>
      </c>
      <c r="G211" s="41">
        <v>1.1524030780000001</v>
      </c>
      <c r="H211" s="41">
        <v>1.250155812</v>
      </c>
      <c r="I211" s="41">
        <v>37.125109954000003</v>
      </c>
      <c r="J211" s="41">
        <v>59.403352456999997</v>
      </c>
      <c r="K211" s="41">
        <v>746.31592983999997</v>
      </c>
      <c r="L211" s="41">
        <v>616.93580320399997</v>
      </c>
      <c r="M211" s="41">
        <v>-666.54289294</v>
      </c>
      <c r="O211" s="7"/>
      <c r="P211" s="7"/>
      <c r="Z211" s="41" t="s">
        <v>1981</v>
      </c>
      <c r="AA211" s="41">
        <v>-8.9458512110000008</v>
      </c>
      <c r="AB211" s="41">
        <v>82.799546683000003</v>
      </c>
      <c r="AC211" s="41">
        <v>-68.838012441999993</v>
      </c>
      <c r="AD211" s="11">
        <v>32.151373581000001</v>
      </c>
      <c r="AE211" s="41">
        <v>26.050769523</v>
      </c>
      <c r="AF211" s="41">
        <v>-37.006650276000002</v>
      </c>
      <c r="AG211" s="41">
        <v>8.8441344970000006</v>
      </c>
      <c r="AH211" s="11">
        <v>61.887734803000001</v>
      </c>
      <c r="AI211" s="41">
        <v>-39.571859584999999</v>
      </c>
      <c r="AJ211" s="41">
        <v>174.980573053</v>
      </c>
      <c r="AK211" s="41">
        <v>-54.316767272</v>
      </c>
      <c r="AL211" s="11">
        <v>665.90700224099999</v>
      </c>
      <c r="AM211" s="41">
        <v>-54.228848536000001</v>
      </c>
      <c r="AN211" s="41">
        <v>201.015965295</v>
      </c>
      <c r="AO211" s="41">
        <v>-455.33637325000001</v>
      </c>
      <c r="AP211" s="11">
        <v>924.82518777500002</v>
      </c>
      <c r="AQ211" s="41">
        <v>-957.37909545800005</v>
      </c>
      <c r="AR211" s="41">
        <v>-380.59285500800002</v>
      </c>
      <c r="AS211" s="41">
        <v>830.78613956000004</v>
      </c>
      <c r="AT211" s="11">
        <v>-159.35998442600001</v>
      </c>
      <c r="AU211" s="41">
        <v>-698.95263614299995</v>
      </c>
      <c r="AV211" s="41">
        <v>834.55118449099996</v>
      </c>
      <c r="AW211" s="41">
        <v>598.79</v>
      </c>
    </row>
    <row r="212" spans="1:49" s="41" customFormat="1">
      <c r="A212" s="40" t="s">
        <v>1982</v>
      </c>
      <c r="B212" s="40" t="s">
        <v>1983</v>
      </c>
      <c r="C212" s="41">
        <v>34.266212080000003</v>
      </c>
      <c r="D212" s="41">
        <v>20.766254699000001</v>
      </c>
      <c r="E212" s="41">
        <v>151.49192980500001</v>
      </c>
      <c r="F212" s="41">
        <v>68.267019973000004</v>
      </c>
      <c r="G212" s="41">
        <v>31.668848074</v>
      </c>
      <c r="H212" s="41">
        <v>32.823139329</v>
      </c>
      <c r="I212" s="41">
        <v>34.097098070000001</v>
      </c>
      <c r="J212" s="41">
        <v>71.264154680999994</v>
      </c>
      <c r="K212" s="41">
        <v>131.05729112500001</v>
      </c>
      <c r="L212" s="41">
        <v>878.05623956199997</v>
      </c>
      <c r="M212" s="41">
        <v>1494.3321708460001</v>
      </c>
      <c r="O212" s="7"/>
      <c r="P212" s="7"/>
      <c r="Z212" s="41" t="s">
        <v>1983</v>
      </c>
      <c r="AA212" s="41">
        <v>34.097098070000001</v>
      </c>
      <c r="AB212" s="41">
        <v>25.151246859</v>
      </c>
      <c r="AC212" s="41">
        <v>107.950793542</v>
      </c>
      <c r="AD212" s="11">
        <v>39.112781099999999</v>
      </c>
      <c r="AE212" s="41">
        <v>71.264154680999994</v>
      </c>
      <c r="AF212" s="41">
        <v>97.314924203999993</v>
      </c>
      <c r="AG212" s="41">
        <v>60.308273927999998</v>
      </c>
      <c r="AH212" s="11">
        <v>69.152408425000004</v>
      </c>
      <c r="AI212" s="41">
        <v>131.05729112500001</v>
      </c>
      <c r="AJ212" s="41">
        <v>91.485431539999993</v>
      </c>
      <c r="AK212" s="41">
        <v>266.46600459299998</v>
      </c>
      <c r="AL212" s="11">
        <v>212.14923732099999</v>
      </c>
      <c r="AM212" s="41">
        <v>878.05623956199997</v>
      </c>
      <c r="AN212" s="41">
        <v>823.82739102599999</v>
      </c>
      <c r="AO212" s="41">
        <v>1024.8433563210001</v>
      </c>
      <c r="AP212" s="11">
        <v>569.50698307100004</v>
      </c>
      <c r="AQ212" s="41">
        <v>1494.3321708460001</v>
      </c>
      <c r="AR212" s="41">
        <v>536.953075388</v>
      </c>
      <c r="AS212" s="41">
        <v>156.11075582999999</v>
      </c>
      <c r="AT212" s="11">
        <v>986.89689539000005</v>
      </c>
      <c r="AU212" s="41">
        <v>827.78377017699995</v>
      </c>
      <c r="AV212" s="41">
        <v>128.831134034</v>
      </c>
      <c r="AW212" s="41">
        <v>963.38</v>
      </c>
    </row>
    <row r="213" spans="1:49" s="41" customFormat="1">
      <c r="A213" s="40" t="s">
        <v>1984</v>
      </c>
      <c r="B213" s="40" t="s">
        <v>1985</v>
      </c>
      <c r="C213" s="41">
        <v>-7.3777360000000002E-3</v>
      </c>
      <c r="D213" s="41">
        <v>9.5056459999999995E-3</v>
      </c>
      <c r="E213" s="41">
        <v>7.0142597000000001E-2</v>
      </c>
      <c r="F213" s="41">
        <v>0.20996796300000001</v>
      </c>
      <c r="G213" s="41">
        <v>1.888177E-3</v>
      </c>
      <c r="H213" s="41">
        <v>2.3802929E-2</v>
      </c>
      <c r="I213" s="41">
        <v>4.1946656999999998E-2</v>
      </c>
      <c r="J213" s="41">
        <v>0.389783987</v>
      </c>
      <c r="K213" s="41">
        <v>0.68301859700000001</v>
      </c>
      <c r="L213" s="41">
        <v>-0.65987191999999995</v>
      </c>
      <c r="M213" s="41">
        <v>-5.5077290000000003E-3</v>
      </c>
      <c r="O213" s="7"/>
      <c r="P213" s="7"/>
      <c r="Z213" s="41" t="s">
        <v>1985</v>
      </c>
      <c r="AA213" s="41">
        <v>0</v>
      </c>
      <c r="AB213" s="41">
        <v>0</v>
      </c>
      <c r="AC213" s="41">
        <v>0</v>
      </c>
      <c r="AD213" s="11">
        <v>0</v>
      </c>
      <c r="AE213" s="41">
        <v>0</v>
      </c>
      <c r="AF213" s="41">
        <v>0</v>
      </c>
      <c r="AG213" s="41">
        <v>0</v>
      </c>
      <c r="AH213" s="11">
        <v>0</v>
      </c>
      <c r="AI213" s="41">
        <v>0</v>
      </c>
      <c r="AJ213" s="41">
        <v>0</v>
      </c>
      <c r="AK213" s="41">
        <v>0</v>
      </c>
      <c r="AL213" s="11">
        <v>0</v>
      </c>
      <c r="AM213" s="41">
        <v>0</v>
      </c>
      <c r="AN213" s="41">
        <v>0</v>
      </c>
      <c r="AO213" s="41">
        <v>0</v>
      </c>
      <c r="AP213" s="11">
        <v>0</v>
      </c>
      <c r="AQ213" s="41">
        <v>0</v>
      </c>
      <c r="AR213" s="41">
        <v>-0.24946455000000001</v>
      </c>
      <c r="AS213" s="41">
        <v>0</v>
      </c>
      <c r="AT213" s="11">
        <v>0.24685921299999999</v>
      </c>
      <c r="AU213" s="41">
        <v>0</v>
      </c>
      <c r="AV213" s="41">
        <v>0</v>
      </c>
      <c r="AW213" s="41">
        <v>0</v>
      </c>
    </row>
    <row r="214" spans="1:49" s="41" customFormat="1">
      <c r="A214" s="40" t="s">
        <v>1986</v>
      </c>
      <c r="B214" s="40" t="s">
        <v>1987</v>
      </c>
      <c r="C214" s="41">
        <v>20.766254699000001</v>
      </c>
      <c r="D214" s="41">
        <v>151.49192980500001</v>
      </c>
      <c r="E214" s="41">
        <v>68.267019973000004</v>
      </c>
      <c r="F214" s="41">
        <v>31.668848074</v>
      </c>
      <c r="G214" s="41">
        <v>32.823139329</v>
      </c>
      <c r="H214" s="41">
        <v>34.097098070000001</v>
      </c>
      <c r="I214" s="41">
        <v>71.264154680999994</v>
      </c>
      <c r="J214" s="41">
        <v>131.05729112500001</v>
      </c>
      <c r="K214" s="41">
        <v>878.05623956199997</v>
      </c>
      <c r="L214" s="41">
        <v>1494.3321708460001</v>
      </c>
      <c r="M214" s="41">
        <v>827.78377017699995</v>
      </c>
      <c r="O214" s="7"/>
      <c r="P214" s="7"/>
      <c r="Z214" s="41" t="s">
        <v>1987</v>
      </c>
      <c r="AA214" s="41">
        <v>25.151246859</v>
      </c>
      <c r="AB214" s="41">
        <v>107.950793542</v>
      </c>
      <c r="AC214" s="41">
        <v>39.112781099999999</v>
      </c>
      <c r="AD214" s="11">
        <v>71.264154680999994</v>
      </c>
      <c r="AE214" s="41">
        <v>97.314924203999993</v>
      </c>
      <c r="AF214" s="41">
        <v>60.308273927999998</v>
      </c>
      <c r="AG214" s="41">
        <v>69.152408425000004</v>
      </c>
      <c r="AH214" s="11">
        <v>131.04014322800001</v>
      </c>
      <c r="AI214" s="41">
        <v>91.485431539999993</v>
      </c>
      <c r="AJ214" s="41">
        <v>266.46600459299998</v>
      </c>
      <c r="AK214" s="41">
        <v>212.14923732099999</v>
      </c>
      <c r="AL214" s="11">
        <v>878.05623956199997</v>
      </c>
      <c r="AM214" s="41">
        <v>823.82739102599999</v>
      </c>
      <c r="AN214" s="41">
        <v>1024.8433563210001</v>
      </c>
      <c r="AO214" s="41">
        <v>569.50698307100004</v>
      </c>
      <c r="AP214" s="11">
        <v>1494.3321708460001</v>
      </c>
      <c r="AQ214" s="41">
        <v>536.953075388</v>
      </c>
      <c r="AR214" s="41">
        <v>156.11075582999999</v>
      </c>
      <c r="AS214" s="41">
        <v>986.89689539000005</v>
      </c>
      <c r="AT214" s="11">
        <v>827.78377017699995</v>
      </c>
      <c r="AU214" s="41">
        <v>128.831134034</v>
      </c>
      <c r="AV214" s="41">
        <v>963.38231852499996</v>
      </c>
      <c r="AW214" s="41">
        <v>1562.18</v>
      </c>
    </row>
    <row r="215" spans="1:49">
      <c r="C215" s="34"/>
      <c r="D215" s="34"/>
      <c r="E215" s="34"/>
      <c r="F215" s="34"/>
      <c r="G215" s="34"/>
    </row>
    <row r="216" spans="1:49">
      <c r="C216" s="34"/>
      <c r="D216" s="34"/>
      <c r="E216" s="34"/>
      <c r="F216" s="34"/>
      <c r="G216" s="34"/>
    </row>
    <row r="217" spans="1:49" s="181" customFormat="1" ht="21">
      <c r="A217" s="180" t="s">
        <v>1988</v>
      </c>
      <c r="B217" s="180" t="s">
        <v>1605</v>
      </c>
      <c r="C217" s="182"/>
      <c r="D217" s="182"/>
      <c r="E217" s="182"/>
      <c r="F217" s="182"/>
      <c r="G217" s="182"/>
      <c r="H217" s="182"/>
      <c r="O217" s="356"/>
      <c r="P217" s="356"/>
      <c r="Z217" s="182" t="s">
        <v>1606</v>
      </c>
      <c r="AD217" s="200"/>
      <c r="AH217" s="200"/>
      <c r="AL217" s="200"/>
      <c r="AP217" s="200"/>
      <c r="AT217" s="200"/>
    </row>
    <row r="218" spans="1:49">
      <c r="A218" s="32"/>
      <c r="B218" s="32"/>
      <c r="C218" s="38"/>
      <c r="D218" s="38"/>
      <c r="E218" s="38"/>
      <c r="F218" s="38"/>
      <c r="G218" s="38"/>
      <c r="H218" s="38" t="s">
        <v>1609</v>
      </c>
      <c r="I218" s="38" t="s">
        <v>1610</v>
      </c>
      <c r="J218" s="38" t="s">
        <v>1611</v>
      </c>
      <c r="K218" s="38" t="s">
        <v>1612</v>
      </c>
      <c r="L218" s="38" t="s">
        <v>1613</v>
      </c>
      <c r="M218" s="38" t="s">
        <v>1598</v>
      </c>
      <c r="Z218" s="39"/>
      <c r="AA218" s="38" t="s">
        <v>446</v>
      </c>
      <c r="AB218" s="38" t="s">
        <v>447</v>
      </c>
      <c r="AC218" s="38" t="s">
        <v>448</v>
      </c>
      <c r="AD218" s="201" t="s">
        <v>449</v>
      </c>
      <c r="AE218" s="38" t="s">
        <v>450</v>
      </c>
      <c r="AF218" s="38" t="s">
        <v>451</v>
      </c>
      <c r="AG218" s="38" t="s">
        <v>452</v>
      </c>
      <c r="AH218" s="201" t="s">
        <v>453</v>
      </c>
      <c r="AI218" s="38" t="s">
        <v>454</v>
      </c>
      <c r="AJ218" s="38" t="s">
        <v>455</v>
      </c>
      <c r="AK218" s="38" t="s">
        <v>456</v>
      </c>
      <c r="AM218" s="38" t="s">
        <v>458</v>
      </c>
      <c r="AN218" s="38" t="s">
        <v>459</v>
      </c>
      <c r="AO218" s="38" t="s">
        <v>460</v>
      </c>
      <c r="AP218" s="201" t="s">
        <v>461</v>
      </c>
      <c r="AQ218" s="38" t="s">
        <v>462</v>
      </c>
      <c r="AR218" s="38" t="s">
        <v>463</v>
      </c>
      <c r="AS218" s="38" t="s">
        <v>464</v>
      </c>
      <c r="AT218" s="201" t="s">
        <v>465</v>
      </c>
      <c r="AU218" s="38" t="s">
        <v>466</v>
      </c>
      <c r="AV218" s="38" t="s">
        <v>467</v>
      </c>
    </row>
    <row r="219" spans="1:49">
      <c r="A219" s="33" t="s">
        <v>1614</v>
      </c>
      <c r="B219" s="33" t="s">
        <v>1614</v>
      </c>
      <c r="C219" s="34"/>
      <c r="D219" s="34"/>
      <c r="E219" s="34"/>
      <c r="F219" s="34"/>
      <c r="G219" s="34"/>
      <c r="H219" s="34" t="s">
        <v>1615</v>
      </c>
      <c r="I219" s="34" t="s">
        <v>1615</v>
      </c>
      <c r="J219" s="34" t="s">
        <v>1615</v>
      </c>
      <c r="K219" s="34" t="s">
        <v>1615</v>
      </c>
      <c r="L219" s="34" t="s">
        <v>1615</v>
      </c>
      <c r="M219" s="34" t="s">
        <v>1615</v>
      </c>
      <c r="Z219" s="34" t="s">
        <v>1614</v>
      </c>
      <c r="AA219" s="34" t="s">
        <v>1616</v>
      </c>
      <c r="AB219" s="34" t="s">
        <v>1615</v>
      </c>
      <c r="AC219" s="34" t="s">
        <v>1616</v>
      </c>
      <c r="AD219" s="10" t="s">
        <v>1616</v>
      </c>
      <c r="AE219" s="34" t="s">
        <v>1616</v>
      </c>
      <c r="AF219" s="34" t="s">
        <v>1615</v>
      </c>
      <c r="AG219" s="34" t="s">
        <v>1616</v>
      </c>
      <c r="AH219" s="10" t="s">
        <v>1616</v>
      </c>
      <c r="AI219" s="34" t="s">
        <v>1616</v>
      </c>
      <c r="AJ219" s="34" t="s">
        <v>1615</v>
      </c>
      <c r="AK219" s="34" t="s">
        <v>1616</v>
      </c>
      <c r="AM219" s="34" t="s">
        <v>1616</v>
      </c>
      <c r="AN219" s="34" t="s">
        <v>1615</v>
      </c>
      <c r="AO219" s="34" t="s">
        <v>1616</v>
      </c>
      <c r="AP219" s="10" t="s">
        <v>1616</v>
      </c>
      <c r="AQ219" s="34" t="s">
        <v>1616</v>
      </c>
      <c r="AR219" s="34" t="s">
        <v>1615</v>
      </c>
      <c r="AS219" s="34" t="s">
        <v>1616</v>
      </c>
      <c r="AT219" s="10" t="s">
        <v>1616</v>
      </c>
      <c r="AU219" s="34" t="s">
        <v>1616</v>
      </c>
      <c r="AV219" s="34" t="s">
        <v>1615</v>
      </c>
      <c r="AW219" s="34" t="s">
        <v>1616</v>
      </c>
    </row>
    <row r="220" spans="1:49">
      <c r="A220" s="33" t="s">
        <v>1617</v>
      </c>
      <c r="B220" s="33" t="s">
        <v>1617</v>
      </c>
      <c r="C220" s="34"/>
      <c r="D220" s="34"/>
      <c r="E220" s="34"/>
      <c r="F220" s="34"/>
      <c r="G220" s="34"/>
      <c r="H220" s="34" t="s">
        <v>1618</v>
      </c>
      <c r="I220" s="34" t="s">
        <v>1618</v>
      </c>
      <c r="J220" s="34" t="s">
        <v>1618</v>
      </c>
      <c r="K220" s="34" t="s">
        <v>1618</v>
      </c>
      <c r="L220" s="34" t="s">
        <v>1618</v>
      </c>
      <c r="M220" s="34" t="s">
        <v>1618</v>
      </c>
      <c r="Z220" s="34" t="s">
        <v>1617</v>
      </c>
      <c r="AF220" s="34" t="s">
        <v>1618</v>
      </c>
      <c r="AJ220" s="34" t="s">
        <v>1618</v>
      </c>
      <c r="AN220" s="34" t="s">
        <v>1618</v>
      </c>
      <c r="AV220" s="34" t="s">
        <v>1618</v>
      </c>
    </row>
    <row r="221" spans="1:49">
      <c r="A221" s="33" t="s">
        <v>1619</v>
      </c>
      <c r="B221" s="33" t="s">
        <v>1619</v>
      </c>
      <c r="C221" s="34"/>
      <c r="D221" s="34"/>
      <c r="E221" s="34"/>
      <c r="F221" s="34"/>
      <c r="G221" s="34"/>
      <c r="H221" s="34" t="s">
        <v>1620</v>
      </c>
      <c r="I221" s="34" t="s">
        <v>1620</v>
      </c>
      <c r="J221" s="34" t="s">
        <v>1620</v>
      </c>
      <c r="K221" s="34" t="s">
        <v>1620</v>
      </c>
      <c r="L221" s="34" t="s">
        <v>1620</v>
      </c>
      <c r="M221" s="34" t="s">
        <v>1620</v>
      </c>
      <c r="Z221" s="34" t="s">
        <v>1619</v>
      </c>
      <c r="AF221" s="34" t="s">
        <v>1620</v>
      </c>
      <c r="AJ221" s="34" t="s">
        <v>1620</v>
      </c>
      <c r="AN221" s="34" t="s">
        <v>1620</v>
      </c>
      <c r="AV221" s="34" t="s">
        <v>1620</v>
      </c>
    </row>
    <row r="222" spans="1:49">
      <c r="A222" s="33" t="s">
        <v>1679</v>
      </c>
      <c r="B222" s="33" t="s">
        <v>1989</v>
      </c>
      <c r="C222" s="34">
        <v>20.766254699000001</v>
      </c>
      <c r="D222" s="34">
        <v>151.49192980500001</v>
      </c>
      <c r="E222" s="34">
        <v>68.267019973000004</v>
      </c>
      <c r="F222" s="34">
        <v>31.668848074</v>
      </c>
      <c r="G222" s="34">
        <v>32.823139329</v>
      </c>
      <c r="H222" s="34">
        <v>34.097098070000001</v>
      </c>
      <c r="I222" s="34">
        <v>71.264154680999994</v>
      </c>
      <c r="J222" s="34">
        <v>131.05729112500001</v>
      </c>
      <c r="K222" s="34">
        <v>878.05623956199997</v>
      </c>
      <c r="L222" s="34">
        <v>1494.3321708460001</v>
      </c>
      <c r="M222" s="34">
        <v>827.78377017699995</v>
      </c>
      <c r="Z222" s="34" t="s">
        <v>1989</v>
      </c>
      <c r="AA222" s="34">
        <v>25.151246859</v>
      </c>
      <c r="AB222" s="34">
        <v>108.15438680600001</v>
      </c>
      <c r="AC222" s="34">
        <v>39.112781099999999</v>
      </c>
      <c r="AD222" s="10">
        <v>71.264154680999994</v>
      </c>
      <c r="AE222" s="34">
        <v>97.314924203999993</v>
      </c>
      <c r="AF222" s="34">
        <v>60.308273927999998</v>
      </c>
      <c r="AG222" s="34">
        <v>69.152408425000004</v>
      </c>
      <c r="AH222" s="10">
        <v>131.04014322800001</v>
      </c>
      <c r="AI222" s="34">
        <v>91.485431539999993</v>
      </c>
      <c r="AJ222" s="34">
        <v>266.46600459299998</v>
      </c>
      <c r="AK222" s="34">
        <v>212.14923732299999</v>
      </c>
      <c r="AM222" s="34">
        <v>823.82739102599999</v>
      </c>
      <c r="AN222" s="34">
        <v>1024.8433563210001</v>
      </c>
      <c r="AO222" s="34">
        <v>569.50698307100004</v>
      </c>
      <c r="AP222" s="10">
        <v>1494.3321708460001</v>
      </c>
      <c r="AQ222" s="34">
        <v>536.953075388</v>
      </c>
      <c r="AR222" s="34">
        <v>156.11075582999999</v>
      </c>
      <c r="AS222" s="34">
        <v>986.89689539000005</v>
      </c>
      <c r="AT222" s="10">
        <v>827.78377017699995</v>
      </c>
      <c r="AU222" s="34">
        <v>128.831134034</v>
      </c>
      <c r="AV222" s="34">
        <v>963.38231852499996</v>
      </c>
      <c r="AW222" s="34">
        <v>1562.18</v>
      </c>
    </row>
    <row r="223" spans="1:49">
      <c r="A223" s="33" t="s">
        <v>1990</v>
      </c>
      <c r="B223" s="33" t="s">
        <v>1991</v>
      </c>
      <c r="C223" s="34">
        <v>0.30142221299999999</v>
      </c>
      <c r="D223" s="34">
        <v>8.877401E-2</v>
      </c>
      <c r="E223" s="34">
        <v>0.21105852999999999</v>
      </c>
      <c r="F223" s="34">
        <v>0.98378309600000002</v>
      </c>
      <c r="G223" s="34">
        <v>0.127165372</v>
      </c>
      <c r="H223" s="34">
        <v>0.46567735199999999</v>
      </c>
      <c r="I223" s="34">
        <v>0.626287657</v>
      </c>
      <c r="J223" s="34">
        <v>0.24798864800000001</v>
      </c>
      <c r="K223" s="34">
        <v>0.216369436</v>
      </c>
      <c r="L223" s="34">
        <v>0.10427871800000001</v>
      </c>
      <c r="M223" s="34">
        <v>0.60039237499999998</v>
      </c>
      <c r="Z223" s="34" t="s">
        <v>1991</v>
      </c>
      <c r="AA223" s="34">
        <v>0.75485834699999999</v>
      </c>
      <c r="AB223" s="34">
        <v>0.65060646899999997</v>
      </c>
      <c r="AC223" s="34">
        <v>0.449579601</v>
      </c>
      <c r="AD223" s="10">
        <v>0.626287657</v>
      </c>
      <c r="AE223" s="34">
        <v>0.96277669600000004</v>
      </c>
      <c r="AF223" s="34">
        <v>0.35587760200000002</v>
      </c>
      <c r="AG223" s="34">
        <v>0.33688905699999999</v>
      </c>
      <c r="AH223" s="10">
        <v>0.247565648</v>
      </c>
      <c r="AI223" s="34">
        <v>0.209029621</v>
      </c>
      <c r="AJ223" s="34">
        <v>207.69334986499999</v>
      </c>
      <c r="AK223" s="34">
        <v>0.70754930699999996</v>
      </c>
      <c r="AM223" s="34">
        <v>4.4350771809999996</v>
      </c>
      <c r="AN223" s="34">
        <v>0.34565940299999998</v>
      </c>
      <c r="AO223" s="34">
        <v>3.8207140370000001</v>
      </c>
      <c r="AP223" s="10">
        <v>0.10427871800000001</v>
      </c>
      <c r="AQ223" s="34">
        <v>0.14423147</v>
      </c>
      <c r="AR223" s="34">
        <v>0.244771658</v>
      </c>
      <c r="AS223" s="34">
        <v>0.43246202299999997</v>
      </c>
      <c r="AT223" s="10">
        <v>0.60039237499999998</v>
      </c>
      <c r="AU223" s="34">
        <v>0.78944027500000002</v>
      </c>
      <c r="AV223" s="34">
        <v>1.349206336</v>
      </c>
      <c r="AW223" s="34">
        <v>0.96</v>
      </c>
    </row>
    <row r="224" spans="1:49">
      <c r="A224" s="33" t="s">
        <v>1992</v>
      </c>
      <c r="B224" s="33" t="s">
        <v>1993</v>
      </c>
      <c r="C224" s="34">
        <v>20.464832485999999</v>
      </c>
      <c r="D224" s="34">
        <v>55.103155794999999</v>
      </c>
      <c r="E224" s="34">
        <v>68.055961443000001</v>
      </c>
      <c r="F224" s="34">
        <v>30.685064978</v>
      </c>
      <c r="G224" s="34">
        <v>32.695973957</v>
      </c>
      <c r="H224" s="34">
        <v>33.631420718000001</v>
      </c>
      <c r="I224" s="34">
        <v>70.637867024000002</v>
      </c>
      <c r="J224" s="34">
        <v>130.716652463</v>
      </c>
      <c r="K224" s="34">
        <v>191.917055417</v>
      </c>
      <c r="L224" s="34">
        <v>250.889404504</v>
      </c>
      <c r="M224" s="34">
        <v>281.09978022299998</v>
      </c>
      <c r="Z224" s="34" t="s">
        <v>1993</v>
      </c>
      <c r="AA224" s="34">
        <v>24.396388512000001</v>
      </c>
      <c r="AB224" s="34">
        <v>107.50378033699999</v>
      </c>
      <c r="AC224" s="34">
        <v>38.663201499000003</v>
      </c>
      <c r="AD224" s="10">
        <v>70.637867024000002</v>
      </c>
      <c r="AE224" s="34">
        <v>96.352147508000002</v>
      </c>
      <c r="AF224" s="34">
        <v>59.653304165999998</v>
      </c>
      <c r="AG224" s="34">
        <v>68.815519367999997</v>
      </c>
      <c r="AH224" s="10">
        <v>130.79257758</v>
      </c>
      <c r="AI224" s="34">
        <v>91.276401918999994</v>
      </c>
      <c r="AJ224" s="34">
        <v>58.682455134999998</v>
      </c>
      <c r="AK224" s="34">
        <v>211.441688016</v>
      </c>
      <c r="AM224" s="34">
        <v>267.39904569300001</v>
      </c>
      <c r="AN224" s="34">
        <v>319.621053287</v>
      </c>
      <c r="AO224" s="34">
        <v>565.67503503399996</v>
      </c>
      <c r="AP224" s="10">
        <v>250.87002650400001</v>
      </c>
      <c r="AQ224" s="34">
        <v>206.363470646</v>
      </c>
      <c r="AR224" s="34">
        <v>155.62571517000001</v>
      </c>
      <c r="AS224" s="34">
        <v>156.248589778</v>
      </c>
      <c r="AT224" s="10">
        <v>281.09978022299998</v>
      </c>
      <c r="AU224" s="34">
        <v>127.980598259</v>
      </c>
      <c r="AV224" s="34">
        <v>214.82508549600001</v>
      </c>
      <c r="AW224" s="34">
        <v>191.58</v>
      </c>
    </row>
    <row r="225" spans="1:49">
      <c r="A225" s="33" t="s">
        <v>1994</v>
      </c>
      <c r="B225" s="33" t="s">
        <v>1995</v>
      </c>
      <c r="C225" s="34">
        <v>0</v>
      </c>
      <c r="D225" s="34">
        <v>96.3</v>
      </c>
      <c r="E225" s="34">
        <v>0</v>
      </c>
      <c r="F225" s="34">
        <v>0</v>
      </c>
      <c r="G225" s="34">
        <v>0</v>
      </c>
      <c r="H225" s="34">
        <v>0</v>
      </c>
      <c r="I225" s="34">
        <v>0</v>
      </c>
      <c r="J225" s="34">
        <v>9.2650014000000003E-2</v>
      </c>
      <c r="K225" s="34">
        <v>1.3182925999999999E-2</v>
      </c>
      <c r="L225" s="34">
        <v>0</v>
      </c>
      <c r="M225" s="34">
        <v>8.3027000000000004E-2</v>
      </c>
      <c r="Z225" s="34" t="s">
        <v>1995</v>
      </c>
      <c r="AA225" s="34">
        <v>0</v>
      </c>
      <c r="AB225" s="34">
        <v>0</v>
      </c>
      <c r="AC225" s="34">
        <v>0</v>
      </c>
      <c r="AD225" s="10">
        <v>0</v>
      </c>
      <c r="AE225" s="34">
        <v>0</v>
      </c>
      <c r="AF225" s="34">
        <v>0.29909216</v>
      </c>
      <c r="AG225" s="34">
        <v>0</v>
      </c>
      <c r="AH225" s="10">
        <v>0</v>
      </c>
      <c r="AI225" s="34">
        <v>0</v>
      </c>
      <c r="AJ225" s="34">
        <v>9.0199592999999995E-2</v>
      </c>
      <c r="AK225" s="34">
        <v>0</v>
      </c>
      <c r="AM225" s="34">
        <v>2.2775E-2</v>
      </c>
      <c r="AN225" s="34">
        <v>1.7445004E-2</v>
      </c>
      <c r="AO225" s="34">
        <v>1.1233999999999999E-2</v>
      </c>
      <c r="AP225" s="10">
        <v>1.9377999999999999E-2</v>
      </c>
      <c r="AQ225" s="34">
        <v>0.149147001</v>
      </c>
      <c r="AR225" s="34">
        <v>4.0269001999999998E-2</v>
      </c>
      <c r="AS225" s="34">
        <v>0</v>
      </c>
      <c r="AT225" s="10">
        <v>8.3027000000000004E-2</v>
      </c>
      <c r="AU225" s="34">
        <v>6.1095499999999997E-2</v>
      </c>
      <c r="AV225" s="34">
        <v>2.4306000000000001E-2</v>
      </c>
      <c r="AW225" s="34">
        <v>0.03</v>
      </c>
    </row>
    <row r="226" spans="1:49">
      <c r="A226" s="33" t="s">
        <v>1683</v>
      </c>
      <c r="B226" s="33" t="s">
        <v>1996</v>
      </c>
      <c r="C226" s="34">
        <v>0</v>
      </c>
      <c r="D226" s="34">
        <v>0</v>
      </c>
      <c r="E226" s="34">
        <v>0</v>
      </c>
      <c r="F226" s="34">
        <v>0</v>
      </c>
      <c r="G226" s="34">
        <v>0</v>
      </c>
      <c r="H226" s="34">
        <v>0</v>
      </c>
      <c r="I226" s="34">
        <v>0</v>
      </c>
      <c r="J226" s="34">
        <v>0</v>
      </c>
      <c r="K226" s="34">
        <v>685.90963178300001</v>
      </c>
      <c r="L226" s="34">
        <v>1243.338487624</v>
      </c>
      <c r="M226" s="34">
        <v>546.00057057900005</v>
      </c>
      <c r="Z226" s="34" t="s">
        <v>1996</v>
      </c>
      <c r="AA226" s="34">
        <v>0</v>
      </c>
      <c r="AB226" s="34">
        <v>0</v>
      </c>
      <c r="AC226" s="34">
        <v>0</v>
      </c>
      <c r="AD226" s="10">
        <v>0</v>
      </c>
      <c r="AE226" s="34">
        <v>0</v>
      </c>
      <c r="AF226" s="34">
        <v>0</v>
      </c>
      <c r="AG226" s="34">
        <v>0</v>
      </c>
      <c r="AH226" s="10">
        <v>0</v>
      </c>
      <c r="AI226" s="34">
        <v>0</v>
      </c>
      <c r="AJ226" s="34">
        <v>0</v>
      </c>
      <c r="AK226" s="34">
        <v>0</v>
      </c>
      <c r="AM226" s="34">
        <v>551.97049315200002</v>
      </c>
      <c r="AN226" s="34">
        <v>704.85919862699996</v>
      </c>
      <c r="AO226" s="34">
        <v>0</v>
      </c>
      <c r="AP226" s="10">
        <v>1243.338487624</v>
      </c>
      <c r="AQ226" s="34">
        <v>330.29622627100002</v>
      </c>
      <c r="AR226" s="34">
        <v>0.2</v>
      </c>
      <c r="AS226" s="34">
        <v>830.21584358899997</v>
      </c>
      <c r="AT226" s="10">
        <v>546.00057057900005</v>
      </c>
      <c r="AU226" s="34">
        <v>0</v>
      </c>
      <c r="AV226" s="34">
        <v>747.18372069300005</v>
      </c>
      <c r="AW226" s="34">
        <v>1369.61</v>
      </c>
    </row>
    <row r="227" spans="1:49">
      <c r="A227" s="33" t="s">
        <v>1685</v>
      </c>
      <c r="B227" s="33" t="s">
        <v>1997</v>
      </c>
      <c r="C227" s="34">
        <v>4.9000000000000004</v>
      </c>
      <c r="D227" s="34">
        <v>4.9000000000000004</v>
      </c>
      <c r="E227" s="34">
        <v>4.9000000000000004</v>
      </c>
      <c r="F227" s="34">
        <v>4.9000000000000004</v>
      </c>
      <c r="G227" s="34">
        <v>4.9000000000000004</v>
      </c>
      <c r="H227" s="34">
        <v>0</v>
      </c>
      <c r="I227" s="34">
        <v>0</v>
      </c>
      <c r="J227" s="34">
        <v>0</v>
      </c>
      <c r="K227" s="34">
        <v>0</v>
      </c>
      <c r="L227" s="34">
        <v>0</v>
      </c>
      <c r="M227" s="34">
        <v>0</v>
      </c>
      <c r="Z227" s="34" t="s">
        <v>1997</v>
      </c>
      <c r="AA227" s="34">
        <v>0</v>
      </c>
      <c r="AB227" s="34">
        <v>0</v>
      </c>
      <c r="AC227" s="34">
        <v>0</v>
      </c>
      <c r="AD227" s="10">
        <v>0</v>
      </c>
      <c r="AE227" s="34">
        <v>0</v>
      </c>
      <c r="AF227" s="34">
        <v>0</v>
      </c>
      <c r="AG227" s="34">
        <v>0</v>
      </c>
      <c r="AH227" s="10">
        <v>0</v>
      </c>
      <c r="AI227" s="34">
        <v>0</v>
      </c>
      <c r="AJ227" s="34">
        <v>0</v>
      </c>
      <c r="AK227" s="34">
        <v>0</v>
      </c>
      <c r="AM227" s="34">
        <v>0</v>
      </c>
      <c r="AN227" s="34">
        <v>0</v>
      </c>
      <c r="AO227" s="34">
        <v>0</v>
      </c>
      <c r="AP227" s="10">
        <v>0</v>
      </c>
      <c r="AQ227" s="34">
        <v>0</v>
      </c>
      <c r="AR227" s="34">
        <v>0</v>
      </c>
      <c r="AS227" s="34">
        <v>0</v>
      </c>
      <c r="AT227" s="10">
        <v>0</v>
      </c>
      <c r="AU227" s="34">
        <v>0</v>
      </c>
      <c r="AV227" s="34">
        <v>0</v>
      </c>
      <c r="AW227" s="34">
        <v>0</v>
      </c>
    </row>
    <row r="228" spans="1:49">
      <c r="A228" s="33" t="s">
        <v>1998</v>
      </c>
      <c r="B228" s="33" t="s">
        <v>1999</v>
      </c>
      <c r="C228" s="34">
        <v>0</v>
      </c>
      <c r="D228" s="34">
        <v>4.9000000000000004</v>
      </c>
      <c r="E228" s="34">
        <v>4.9000000000000004</v>
      </c>
      <c r="F228" s="34">
        <v>0</v>
      </c>
      <c r="G228" s="34">
        <v>0</v>
      </c>
      <c r="H228" s="34">
        <v>0</v>
      </c>
      <c r="I228" s="34">
        <v>0</v>
      </c>
      <c r="J228" s="34">
        <v>0</v>
      </c>
      <c r="K228" s="34">
        <v>0</v>
      </c>
      <c r="L228" s="34">
        <v>0</v>
      </c>
      <c r="M228" s="34">
        <v>0</v>
      </c>
      <c r="Z228" s="34" t="s">
        <v>1999</v>
      </c>
      <c r="AA228" s="34">
        <v>0</v>
      </c>
      <c r="AB228" s="34">
        <v>0</v>
      </c>
      <c r="AC228" s="34">
        <v>0</v>
      </c>
      <c r="AD228" s="10">
        <v>0</v>
      </c>
      <c r="AE228" s="34">
        <v>0</v>
      </c>
      <c r="AF228" s="34">
        <v>0</v>
      </c>
      <c r="AG228" s="34">
        <v>0</v>
      </c>
      <c r="AH228" s="10">
        <v>0</v>
      </c>
      <c r="AI228" s="34">
        <v>0</v>
      </c>
      <c r="AJ228" s="34">
        <v>0</v>
      </c>
      <c r="AK228" s="34">
        <v>0</v>
      </c>
      <c r="AM228" s="34">
        <v>0</v>
      </c>
      <c r="AN228" s="34">
        <v>0</v>
      </c>
      <c r="AO228" s="34">
        <v>0</v>
      </c>
      <c r="AP228" s="10">
        <v>0</v>
      </c>
      <c r="AQ228" s="34">
        <v>0</v>
      </c>
      <c r="AR228" s="34">
        <v>0</v>
      </c>
      <c r="AS228" s="34">
        <v>0</v>
      </c>
      <c r="AT228" s="10">
        <v>0</v>
      </c>
      <c r="AU228" s="34">
        <v>0</v>
      </c>
      <c r="AV228" s="34">
        <v>0</v>
      </c>
      <c r="AW228" s="34">
        <v>0</v>
      </c>
    </row>
    <row r="229" spans="1:49">
      <c r="A229" s="33" t="s">
        <v>1691</v>
      </c>
      <c r="B229" s="33" t="s">
        <v>1692</v>
      </c>
      <c r="C229" s="34">
        <v>0</v>
      </c>
      <c r="D229" s="34">
        <v>0</v>
      </c>
      <c r="E229" s="34">
        <v>0</v>
      </c>
      <c r="F229" s="34">
        <v>4.9000000000000004</v>
      </c>
      <c r="G229" s="34">
        <v>4.9000000000000004</v>
      </c>
      <c r="H229" s="34">
        <v>0</v>
      </c>
      <c r="I229" s="34">
        <v>0</v>
      </c>
      <c r="J229" s="34">
        <v>0</v>
      </c>
      <c r="K229" s="34">
        <v>0</v>
      </c>
      <c r="L229" s="34">
        <v>0</v>
      </c>
      <c r="M229" s="34">
        <v>0</v>
      </c>
      <c r="Z229" s="34" t="s">
        <v>1692</v>
      </c>
      <c r="AA229" s="34">
        <v>0</v>
      </c>
      <c r="AB229" s="34">
        <v>0</v>
      </c>
      <c r="AC229" s="34">
        <v>0</v>
      </c>
      <c r="AD229" s="10">
        <v>0</v>
      </c>
      <c r="AE229" s="34">
        <v>0</v>
      </c>
      <c r="AF229" s="34">
        <v>0</v>
      </c>
      <c r="AG229" s="34">
        <v>0</v>
      </c>
      <c r="AH229" s="10">
        <v>0</v>
      </c>
      <c r="AI229" s="34">
        <v>0</v>
      </c>
      <c r="AJ229" s="34">
        <v>0</v>
      </c>
      <c r="AK229" s="34">
        <v>0</v>
      </c>
      <c r="AM229" s="34">
        <v>0</v>
      </c>
      <c r="AN229" s="34">
        <v>0</v>
      </c>
      <c r="AO229" s="34">
        <v>0</v>
      </c>
      <c r="AP229" s="10">
        <v>0</v>
      </c>
      <c r="AQ229" s="34">
        <v>0</v>
      </c>
      <c r="AR229" s="34">
        <v>0</v>
      </c>
      <c r="AS229" s="34">
        <v>0</v>
      </c>
      <c r="AT229" s="10">
        <v>0</v>
      </c>
      <c r="AU229" s="34">
        <v>0</v>
      </c>
      <c r="AV229" s="34">
        <v>0</v>
      </c>
      <c r="AW229" s="34">
        <v>0</v>
      </c>
    </row>
    <row r="230" spans="1:49">
      <c r="A230" s="33" t="s">
        <v>2000</v>
      </c>
      <c r="B230" s="33" t="s">
        <v>2001</v>
      </c>
      <c r="C230" s="34">
        <v>0</v>
      </c>
      <c r="D230" s="34">
        <v>0</v>
      </c>
      <c r="E230" s="34">
        <v>0</v>
      </c>
      <c r="F230" s="34">
        <v>4.9000000000000004</v>
      </c>
      <c r="G230" s="34">
        <v>4.9000000000000004</v>
      </c>
      <c r="H230" s="34">
        <v>0</v>
      </c>
      <c r="I230" s="34">
        <v>0</v>
      </c>
      <c r="J230" s="34">
        <v>0</v>
      </c>
      <c r="K230" s="34">
        <v>0</v>
      </c>
      <c r="L230" s="34">
        <v>0</v>
      </c>
      <c r="M230" s="34">
        <v>0</v>
      </c>
      <c r="Z230" s="34" t="s">
        <v>2001</v>
      </c>
      <c r="AA230" s="34">
        <v>0</v>
      </c>
      <c r="AB230" s="34">
        <v>0</v>
      </c>
      <c r="AC230" s="34">
        <v>0</v>
      </c>
      <c r="AD230" s="10">
        <v>0</v>
      </c>
      <c r="AE230" s="34">
        <v>0</v>
      </c>
      <c r="AF230" s="34">
        <v>0</v>
      </c>
      <c r="AG230" s="34">
        <v>0</v>
      </c>
      <c r="AH230" s="10">
        <v>0</v>
      </c>
      <c r="AI230" s="34">
        <v>0</v>
      </c>
      <c r="AJ230" s="34">
        <v>0</v>
      </c>
      <c r="AK230" s="34">
        <v>0</v>
      </c>
      <c r="AM230" s="34">
        <v>0</v>
      </c>
      <c r="AN230" s="34">
        <v>0</v>
      </c>
      <c r="AO230" s="34">
        <v>0</v>
      </c>
      <c r="AP230" s="10">
        <v>0</v>
      </c>
      <c r="AQ230" s="34">
        <v>0</v>
      </c>
      <c r="AR230" s="34">
        <v>0</v>
      </c>
      <c r="AS230" s="34">
        <v>0</v>
      </c>
      <c r="AT230" s="10">
        <v>0</v>
      </c>
      <c r="AU230" s="34">
        <v>0</v>
      </c>
      <c r="AV230" s="34">
        <v>0</v>
      </c>
      <c r="AW230" s="34">
        <v>0</v>
      </c>
    </row>
    <row r="231" spans="1:49">
      <c r="A231" s="33" t="s">
        <v>2002</v>
      </c>
      <c r="B231" s="33" t="s">
        <v>2003</v>
      </c>
      <c r="C231" s="34">
        <v>0</v>
      </c>
      <c r="D231" s="34">
        <v>0</v>
      </c>
      <c r="E231" s="34">
        <v>0</v>
      </c>
      <c r="F231" s="34">
        <v>0</v>
      </c>
      <c r="G231" s="34">
        <v>0</v>
      </c>
      <c r="H231" s="34">
        <v>0</v>
      </c>
      <c r="I231" s="34">
        <v>0</v>
      </c>
      <c r="J231" s="34">
        <v>0</v>
      </c>
      <c r="K231" s="34">
        <v>0</v>
      </c>
      <c r="L231" s="34">
        <v>0</v>
      </c>
      <c r="M231" s="34">
        <v>0</v>
      </c>
      <c r="Z231" s="34" t="s">
        <v>2003</v>
      </c>
      <c r="AA231" s="34">
        <v>0</v>
      </c>
      <c r="AB231" s="34">
        <v>0</v>
      </c>
      <c r="AC231" s="34">
        <v>0</v>
      </c>
      <c r="AD231" s="10">
        <v>0</v>
      </c>
      <c r="AE231" s="34">
        <v>0</v>
      </c>
      <c r="AF231" s="34">
        <v>0</v>
      </c>
      <c r="AG231" s="34">
        <v>0</v>
      </c>
      <c r="AH231" s="10">
        <v>0</v>
      </c>
      <c r="AI231" s="34">
        <v>0</v>
      </c>
      <c r="AJ231" s="34">
        <v>0</v>
      </c>
      <c r="AK231" s="34">
        <v>0</v>
      </c>
      <c r="AM231" s="34">
        <v>0</v>
      </c>
      <c r="AN231" s="34">
        <v>0</v>
      </c>
      <c r="AO231" s="34">
        <v>0</v>
      </c>
      <c r="AP231" s="10">
        <v>0</v>
      </c>
      <c r="AQ231" s="34">
        <v>0</v>
      </c>
      <c r="AR231" s="34">
        <v>0</v>
      </c>
      <c r="AS231" s="34">
        <v>0</v>
      </c>
      <c r="AT231" s="10">
        <v>0</v>
      </c>
      <c r="AU231" s="34">
        <v>0</v>
      </c>
      <c r="AV231" s="34">
        <v>0</v>
      </c>
      <c r="AW231" s="34">
        <v>0</v>
      </c>
    </row>
    <row r="232" spans="1:49">
      <c r="A232" s="33" t="s">
        <v>2004</v>
      </c>
      <c r="B232" s="33" t="s">
        <v>2005</v>
      </c>
      <c r="C232" s="34">
        <v>4.9000000000000004</v>
      </c>
      <c r="D232" s="34">
        <v>0</v>
      </c>
      <c r="E232" s="34">
        <v>0</v>
      </c>
      <c r="F232" s="34">
        <v>0</v>
      </c>
      <c r="G232" s="34">
        <v>0</v>
      </c>
      <c r="H232" s="34">
        <v>0</v>
      </c>
      <c r="I232" s="34">
        <v>0</v>
      </c>
      <c r="J232" s="34">
        <v>0</v>
      </c>
      <c r="K232" s="34">
        <v>0</v>
      </c>
      <c r="L232" s="34">
        <v>0</v>
      </c>
      <c r="M232" s="34">
        <v>0</v>
      </c>
      <c r="Z232" s="34" t="s">
        <v>2005</v>
      </c>
      <c r="AA232" s="34">
        <v>0</v>
      </c>
      <c r="AB232" s="34">
        <v>0</v>
      </c>
      <c r="AC232" s="34">
        <v>0</v>
      </c>
      <c r="AD232" s="10">
        <v>0</v>
      </c>
      <c r="AE232" s="34">
        <v>0</v>
      </c>
      <c r="AF232" s="34">
        <v>0</v>
      </c>
      <c r="AG232" s="34">
        <v>0</v>
      </c>
      <c r="AH232" s="10">
        <v>0</v>
      </c>
      <c r="AI232" s="34">
        <v>0</v>
      </c>
      <c r="AJ232" s="34">
        <v>0</v>
      </c>
      <c r="AK232" s="34">
        <v>0</v>
      </c>
      <c r="AM232" s="34">
        <v>0</v>
      </c>
      <c r="AN232" s="34">
        <v>0</v>
      </c>
      <c r="AO232" s="34">
        <v>0</v>
      </c>
      <c r="AP232" s="10">
        <v>0</v>
      </c>
      <c r="AQ232" s="34">
        <v>0</v>
      </c>
      <c r="AR232" s="34">
        <v>0</v>
      </c>
      <c r="AS232" s="34">
        <v>0</v>
      </c>
      <c r="AT232" s="10">
        <v>0</v>
      </c>
      <c r="AU232" s="34">
        <v>0</v>
      </c>
      <c r="AV232" s="34">
        <v>0</v>
      </c>
      <c r="AW232" s="34">
        <v>0</v>
      </c>
    </row>
    <row r="233" spans="1:49">
      <c r="A233" s="33" t="s">
        <v>2006</v>
      </c>
      <c r="B233" s="33" t="s">
        <v>2007</v>
      </c>
      <c r="C233" s="34">
        <v>0</v>
      </c>
      <c r="D233" s="34">
        <v>0</v>
      </c>
      <c r="E233" s="34">
        <v>0</v>
      </c>
      <c r="F233" s="34">
        <v>0</v>
      </c>
      <c r="G233" s="34">
        <v>0</v>
      </c>
      <c r="H233" s="34">
        <v>0</v>
      </c>
      <c r="I233" s="34">
        <v>0</v>
      </c>
      <c r="J233" s="34">
        <v>0</v>
      </c>
      <c r="K233" s="34">
        <v>0</v>
      </c>
      <c r="L233" s="34">
        <v>0</v>
      </c>
      <c r="M233" s="34">
        <v>0</v>
      </c>
      <c r="Z233" s="34" t="s">
        <v>2007</v>
      </c>
      <c r="AA233" s="34">
        <v>0</v>
      </c>
      <c r="AB233" s="34">
        <v>0</v>
      </c>
      <c r="AC233" s="34">
        <v>0</v>
      </c>
      <c r="AD233" s="10">
        <v>0</v>
      </c>
      <c r="AE233" s="34">
        <v>0</v>
      </c>
      <c r="AF233" s="34">
        <v>0</v>
      </c>
      <c r="AG233" s="34">
        <v>0</v>
      </c>
      <c r="AH233" s="10">
        <v>0</v>
      </c>
      <c r="AI233" s="34">
        <v>0</v>
      </c>
      <c r="AJ233" s="34">
        <v>0</v>
      </c>
      <c r="AK233" s="34">
        <v>0</v>
      </c>
      <c r="AM233" s="34">
        <v>0</v>
      </c>
      <c r="AN233" s="34">
        <v>0</v>
      </c>
      <c r="AO233" s="34">
        <v>0</v>
      </c>
      <c r="AP233" s="10">
        <v>0</v>
      </c>
      <c r="AQ233" s="34">
        <v>0</v>
      </c>
      <c r="AR233" s="34">
        <v>0</v>
      </c>
      <c r="AS233" s="34">
        <v>0</v>
      </c>
      <c r="AT233" s="10">
        <v>0</v>
      </c>
      <c r="AU233" s="34">
        <v>0</v>
      </c>
      <c r="AV233" s="34">
        <v>0</v>
      </c>
      <c r="AW233" s="34">
        <v>0</v>
      </c>
    </row>
    <row r="234" spans="1:49">
      <c r="A234" s="33" t="s">
        <v>2008</v>
      </c>
      <c r="B234" s="33" t="s">
        <v>2009</v>
      </c>
      <c r="C234" s="34">
        <v>20.024717872</v>
      </c>
      <c r="D234" s="34">
        <v>0.46471455499999997</v>
      </c>
      <c r="E234" s="34">
        <v>7.1057582090000002</v>
      </c>
      <c r="F234" s="34">
        <v>22.340055496000002</v>
      </c>
      <c r="G234" s="34">
        <v>33.772849639</v>
      </c>
      <c r="H234" s="34">
        <v>39.471224933999999</v>
      </c>
      <c r="I234" s="34">
        <v>43.683047901000002</v>
      </c>
      <c r="J234" s="34">
        <v>68.345272065000003</v>
      </c>
      <c r="K234" s="34">
        <v>46.708953280999999</v>
      </c>
      <c r="L234" s="34">
        <v>0</v>
      </c>
      <c r="M234" s="34">
        <v>64.906131168000002</v>
      </c>
      <c r="Z234" s="34" t="s">
        <v>2009</v>
      </c>
      <c r="AA234" s="34">
        <v>40.415336719000003</v>
      </c>
      <c r="AB234" s="34">
        <v>40.294446878000002</v>
      </c>
      <c r="AC234" s="34">
        <v>44.027516247000001</v>
      </c>
      <c r="AD234" s="10">
        <v>42.157845100999999</v>
      </c>
      <c r="AE234" s="34">
        <v>52.223363996000003</v>
      </c>
      <c r="AF234" s="34">
        <v>46.173933765999998</v>
      </c>
      <c r="AG234" s="34">
        <v>49.405829118</v>
      </c>
      <c r="AH234" s="10">
        <v>53.521783882999998</v>
      </c>
      <c r="AI234" s="34">
        <v>53.007178594000003</v>
      </c>
      <c r="AJ234" s="34">
        <v>46.685836741999999</v>
      </c>
      <c r="AK234" s="34">
        <v>45.098672704000002</v>
      </c>
      <c r="AM234" s="34">
        <v>52.699249080999998</v>
      </c>
      <c r="AN234" s="34">
        <v>46.920475943</v>
      </c>
      <c r="AO234" s="34">
        <v>51.854704065999996</v>
      </c>
      <c r="AP234" s="10">
        <v>63.069490758999997</v>
      </c>
      <c r="AQ234" s="34">
        <v>0</v>
      </c>
      <c r="AR234" s="34">
        <v>72.778202988000004</v>
      </c>
      <c r="AS234" s="34">
        <v>67.844941638999998</v>
      </c>
      <c r="AT234" s="10">
        <v>64.774131167999997</v>
      </c>
      <c r="AU234" s="34">
        <v>117.72435160000001</v>
      </c>
      <c r="AV234" s="34">
        <v>83.291337099000003</v>
      </c>
      <c r="AW234" s="34">
        <v>87.53</v>
      </c>
    </row>
    <row r="235" spans="1:49">
      <c r="A235" s="33" t="s">
        <v>2010</v>
      </c>
      <c r="B235" s="33" t="s">
        <v>2011</v>
      </c>
      <c r="C235" s="34">
        <v>0</v>
      </c>
      <c r="D235" s="34">
        <v>0</v>
      </c>
      <c r="E235" s="34">
        <v>0</v>
      </c>
      <c r="F235" s="34">
        <v>0</v>
      </c>
      <c r="G235" s="34">
        <v>0</v>
      </c>
      <c r="H235" s="34">
        <v>0</v>
      </c>
      <c r="I235" s="34">
        <v>0</v>
      </c>
      <c r="J235" s="34">
        <v>0</v>
      </c>
      <c r="K235" s="34">
        <v>0</v>
      </c>
      <c r="L235" s="34">
        <v>0</v>
      </c>
      <c r="M235" s="34">
        <v>0</v>
      </c>
      <c r="Z235" s="34" t="s">
        <v>2011</v>
      </c>
      <c r="AA235" s="34">
        <v>0</v>
      </c>
      <c r="AB235" s="34">
        <v>0</v>
      </c>
      <c r="AC235" s="34">
        <v>0</v>
      </c>
      <c r="AD235" s="10">
        <v>0</v>
      </c>
      <c r="AE235" s="34">
        <v>0</v>
      </c>
      <c r="AF235" s="34">
        <v>0</v>
      </c>
      <c r="AG235" s="34">
        <v>0</v>
      </c>
      <c r="AH235" s="10">
        <v>0</v>
      </c>
      <c r="AI235" s="34">
        <v>0</v>
      </c>
      <c r="AJ235" s="34">
        <v>0</v>
      </c>
      <c r="AK235" s="34">
        <v>0</v>
      </c>
      <c r="AM235" s="34">
        <v>0</v>
      </c>
      <c r="AN235" s="34">
        <v>0</v>
      </c>
      <c r="AO235" s="34">
        <v>0</v>
      </c>
      <c r="AP235" s="10">
        <v>0</v>
      </c>
      <c r="AQ235" s="34">
        <v>0</v>
      </c>
      <c r="AR235" s="34">
        <v>0</v>
      </c>
      <c r="AS235" s="34">
        <v>0</v>
      </c>
      <c r="AT235" s="10">
        <v>0</v>
      </c>
      <c r="AU235" s="34">
        <v>0</v>
      </c>
      <c r="AV235" s="34">
        <v>0</v>
      </c>
      <c r="AW235" s="34">
        <v>0</v>
      </c>
    </row>
    <row r="236" spans="1:49">
      <c r="A236" s="33" t="s">
        <v>2012</v>
      </c>
      <c r="B236" s="33" t="s">
        <v>2013</v>
      </c>
      <c r="C236" s="34">
        <v>0</v>
      </c>
      <c r="D236" s="34">
        <v>0</v>
      </c>
      <c r="E236" s="34">
        <v>0</v>
      </c>
      <c r="F236" s="34">
        <v>0</v>
      </c>
      <c r="G236" s="34">
        <v>0</v>
      </c>
      <c r="H236" s="34">
        <v>0</v>
      </c>
      <c r="I236" s="34">
        <v>0</v>
      </c>
      <c r="J236" s="34">
        <v>0</v>
      </c>
      <c r="K236" s="34">
        <v>0</v>
      </c>
      <c r="L236" s="34">
        <v>0</v>
      </c>
      <c r="M236" s="34">
        <v>0</v>
      </c>
      <c r="Z236" s="34" t="s">
        <v>2013</v>
      </c>
      <c r="AA236" s="34">
        <v>0</v>
      </c>
      <c r="AB236" s="34">
        <v>0</v>
      </c>
      <c r="AC236" s="34">
        <v>0</v>
      </c>
      <c r="AD236" s="10">
        <v>0</v>
      </c>
      <c r="AE236" s="34">
        <v>0</v>
      </c>
      <c r="AF236" s="34">
        <v>0</v>
      </c>
      <c r="AG236" s="34">
        <v>0</v>
      </c>
      <c r="AH236" s="10">
        <v>0</v>
      </c>
      <c r="AI236" s="34">
        <v>0</v>
      </c>
      <c r="AJ236" s="34">
        <v>0</v>
      </c>
      <c r="AK236" s="34">
        <v>0</v>
      </c>
      <c r="AM236" s="34">
        <v>0</v>
      </c>
      <c r="AN236" s="34">
        <v>0</v>
      </c>
      <c r="AO236" s="34">
        <v>0</v>
      </c>
      <c r="AP236" s="10">
        <v>0</v>
      </c>
      <c r="AQ236" s="34">
        <v>0</v>
      </c>
      <c r="AR236" s="34">
        <v>0</v>
      </c>
      <c r="AS236" s="34">
        <v>0</v>
      </c>
      <c r="AT236" s="10">
        <v>0</v>
      </c>
      <c r="AU236" s="34">
        <v>0</v>
      </c>
      <c r="AV236" s="34">
        <v>0</v>
      </c>
      <c r="AW236" s="34">
        <v>0</v>
      </c>
    </row>
    <row r="237" spans="1:49">
      <c r="A237" s="33" t="s">
        <v>2014</v>
      </c>
      <c r="B237" s="33" t="s">
        <v>2015</v>
      </c>
      <c r="C237" s="34">
        <v>0</v>
      </c>
      <c r="D237" s="34">
        <v>0</v>
      </c>
      <c r="E237" s="34">
        <v>0</v>
      </c>
      <c r="F237" s="34">
        <v>0</v>
      </c>
      <c r="G237" s="34">
        <v>0</v>
      </c>
      <c r="H237" s="34">
        <v>0</v>
      </c>
      <c r="I237" s="34">
        <v>0</v>
      </c>
      <c r="J237" s="34">
        <v>0</v>
      </c>
      <c r="K237" s="34">
        <v>0</v>
      </c>
      <c r="L237" s="34">
        <v>0</v>
      </c>
      <c r="M237" s="34">
        <v>0</v>
      </c>
      <c r="Z237" s="34" t="s">
        <v>2015</v>
      </c>
      <c r="AA237" s="34">
        <v>0</v>
      </c>
      <c r="AB237" s="34">
        <v>0</v>
      </c>
      <c r="AC237" s="34">
        <v>0</v>
      </c>
      <c r="AD237" s="10">
        <v>0</v>
      </c>
      <c r="AE237" s="34">
        <v>0</v>
      </c>
      <c r="AF237" s="34">
        <v>0</v>
      </c>
      <c r="AG237" s="34">
        <v>0</v>
      </c>
      <c r="AH237" s="10">
        <v>0</v>
      </c>
      <c r="AI237" s="34">
        <v>0</v>
      </c>
      <c r="AJ237" s="34">
        <v>0</v>
      </c>
      <c r="AK237" s="34">
        <v>0</v>
      </c>
      <c r="AM237" s="34">
        <v>0</v>
      </c>
      <c r="AN237" s="34">
        <v>0</v>
      </c>
      <c r="AO237" s="34">
        <v>0</v>
      </c>
      <c r="AP237" s="10">
        <v>0</v>
      </c>
      <c r="AQ237" s="34">
        <v>0</v>
      </c>
      <c r="AR237" s="34">
        <v>0</v>
      </c>
      <c r="AS237" s="34">
        <v>0</v>
      </c>
      <c r="AT237" s="10">
        <v>0</v>
      </c>
      <c r="AU237" s="34">
        <v>0</v>
      </c>
      <c r="AV237" s="34">
        <v>0</v>
      </c>
      <c r="AW237" s="34">
        <v>0</v>
      </c>
    </row>
    <row r="238" spans="1:49">
      <c r="A238" s="33" t="s">
        <v>1705</v>
      </c>
      <c r="B238" s="33" t="s">
        <v>1706</v>
      </c>
      <c r="C238" s="34">
        <v>20.024717872</v>
      </c>
      <c r="D238" s="34">
        <v>0.46471455499999997</v>
      </c>
      <c r="E238" s="34">
        <v>7.1057582090000002</v>
      </c>
      <c r="F238" s="34">
        <v>22.340055496000002</v>
      </c>
      <c r="G238" s="34">
        <v>33.772849639</v>
      </c>
      <c r="H238" s="34">
        <v>39.471224933999999</v>
      </c>
      <c r="I238" s="34">
        <v>43.683047901000002</v>
      </c>
      <c r="J238" s="34">
        <v>68.345272065000003</v>
      </c>
      <c r="K238" s="34">
        <v>46.708953280999999</v>
      </c>
      <c r="L238" s="34">
        <v>0</v>
      </c>
      <c r="M238" s="34">
        <v>64.906131168000002</v>
      </c>
      <c r="Z238" s="34" t="s">
        <v>1706</v>
      </c>
      <c r="AA238" s="34">
        <v>40.415336719000003</v>
      </c>
      <c r="AB238" s="34">
        <v>40.294446878000002</v>
      </c>
      <c r="AC238" s="34">
        <v>44.027516247000001</v>
      </c>
      <c r="AD238" s="10">
        <v>42.157845100999999</v>
      </c>
      <c r="AE238" s="34">
        <v>52.223363996000003</v>
      </c>
      <c r="AF238" s="34">
        <v>46.173933765999998</v>
      </c>
      <c r="AG238" s="34">
        <v>49.405829118</v>
      </c>
      <c r="AH238" s="10">
        <v>53.521783882999998</v>
      </c>
      <c r="AI238" s="34">
        <v>53.007178594000003</v>
      </c>
      <c r="AJ238" s="34">
        <v>46.685836741999999</v>
      </c>
      <c r="AK238" s="34">
        <v>45.098672704000002</v>
      </c>
      <c r="AM238" s="34">
        <v>52.699249080999998</v>
      </c>
      <c r="AN238" s="34">
        <v>46.920475943</v>
      </c>
      <c r="AO238" s="34">
        <v>51.854704065999996</v>
      </c>
      <c r="AP238" s="10">
        <v>63.069490758999997</v>
      </c>
      <c r="AQ238" s="34">
        <v>0</v>
      </c>
      <c r="AR238" s="34">
        <v>72.778202988000004</v>
      </c>
      <c r="AS238" s="34">
        <v>67.844941638999998</v>
      </c>
      <c r="AT238" s="10">
        <v>64.774131167999997</v>
      </c>
      <c r="AU238" s="34">
        <v>117.72435160000001</v>
      </c>
      <c r="AV238" s="34">
        <v>83.291337099000003</v>
      </c>
      <c r="AW238" s="34">
        <v>87.53</v>
      </c>
    </row>
    <row r="239" spans="1:49" s="41" customFormat="1">
      <c r="A239" s="40" t="s">
        <v>2016</v>
      </c>
      <c r="B239" s="40" t="s">
        <v>2017</v>
      </c>
      <c r="C239" s="41">
        <v>462.93959053999998</v>
      </c>
      <c r="D239" s="41">
        <v>385.815546461</v>
      </c>
      <c r="E239" s="41">
        <v>731.94294546100002</v>
      </c>
      <c r="F239" s="41">
        <v>669.57601687600004</v>
      </c>
      <c r="G239" s="41">
        <v>715.84023063200004</v>
      </c>
      <c r="H239" s="41">
        <v>886.673509964</v>
      </c>
      <c r="I239" s="41">
        <v>1321.415837755</v>
      </c>
      <c r="J239" s="41">
        <v>1468.8947600470001</v>
      </c>
      <c r="K239" s="41">
        <v>843.42389041499996</v>
      </c>
      <c r="L239" s="41">
        <v>2909.8355599440001</v>
      </c>
      <c r="M239" s="41">
        <v>3444.696834978</v>
      </c>
      <c r="O239" s="7"/>
      <c r="P239" s="7"/>
      <c r="Z239" s="41" t="s">
        <v>2017</v>
      </c>
      <c r="AA239" s="41">
        <v>600.64313673300001</v>
      </c>
      <c r="AB239" s="41">
        <v>668.21789844</v>
      </c>
      <c r="AC239" s="41">
        <v>671.82862077200002</v>
      </c>
      <c r="AD239" s="11">
        <v>1320.935879483</v>
      </c>
      <c r="AE239" s="41">
        <v>908.60648782500004</v>
      </c>
      <c r="AF239" s="41">
        <v>991.44317237799999</v>
      </c>
      <c r="AG239" s="41">
        <v>851.05401974799997</v>
      </c>
      <c r="AH239" s="11">
        <v>1493.1453516250001</v>
      </c>
      <c r="AI239" s="41">
        <v>851.14341591100003</v>
      </c>
      <c r="AJ239" s="41">
        <v>1036.060360061</v>
      </c>
      <c r="AK239" s="41">
        <v>803.37146835500005</v>
      </c>
      <c r="AL239" s="11"/>
      <c r="AM239" s="41">
        <v>682.47197383800005</v>
      </c>
      <c r="AN239" s="41">
        <v>991.06673566799998</v>
      </c>
      <c r="AO239" s="41">
        <v>951.00841740700002</v>
      </c>
      <c r="AP239" s="11">
        <v>2864.684991829</v>
      </c>
      <c r="AQ239" s="41">
        <v>3533.9527486229999</v>
      </c>
      <c r="AR239" s="41">
        <v>3580.6512031040002</v>
      </c>
      <c r="AS239" s="41">
        <v>2907.1659840349998</v>
      </c>
      <c r="AT239" s="11">
        <v>3444.696834978</v>
      </c>
      <c r="AU239" s="41">
        <v>3223.1249446229999</v>
      </c>
      <c r="AV239" s="41">
        <v>2758.6305657869998</v>
      </c>
      <c r="AW239" s="41">
        <v>2414.2600000000002</v>
      </c>
    </row>
    <row r="240" spans="1:49">
      <c r="A240" s="33" t="s">
        <v>2018</v>
      </c>
      <c r="B240" s="33" t="s">
        <v>2019</v>
      </c>
      <c r="C240" s="34">
        <v>103.217024247</v>
      </c>
      <c r="D240" s="34">
        <v>64.027084724999995</v>
      </c>
      <c r="E240" s="34">
        <v>109.930857727</v>
      </c>
      <c r="F240" s="34">
        <v>38.895751175999997</v>
      </c>
      <c r="G240" s="34">
        <v>151.59974946</v>
      </c>
      <c r="H240" s="34">
        <v>184.21917424700001</v>
      </c>
      <c r="I240" s="34">
        <v>226.42982487</v>
      </c>
      <c r="J240" s="34">
        <v>220.54930632599999</v>
      </c>
      <c r="K240" s="34">
        <v>312.75307659100002</v>
      </c>
      <c r="L240" s="34">
        <v>1458.995517415</v>
      </c>
      <c r="M240" s="34">
        <v>646.80938366600003</v>
      </c>
      <c r="Z240" s="34" t="s">
        <v>2019</v>
      </c>
      <c r="AA240" s="34">
        <v>7.3439638780000003</v>
      </c>
      <c r="AB240" s="34">
        <v>11.053169306999999</v>
      </c>
      <c r="AC240" s="34">
        <v>18.905395566999999</v>
      </c>
      <c r="AD240" s="10">
        <v>226.96467607299999</v>
      </c>
      <c r="AE240" s="34">
        <v>4.5898253029999996</v>
      </c>
      <c r="AF240" s="34">
        <v>17.370898306000001</v>
      </c>
      <c r="AG240" s="34">
        <v>27.641864465000001</v>
      </c>
      <c r="AH240" s="10">
        <v>220.57865664100001</v>
      </c>
      <c r="AI240" s="34">
        <v>9.0640915819999996</v>
      </c>
      <c r="AJ240" s="34">
        <v>18.992410609</v>
      </c>
      <c r="AK240" s="34">
        <v>10.837651654</v>
      </c>
      <c r="AM240" s="34">
        <v>55.538217934000002</v>
      </c>
      <c r="AN240" s="34">
        <v>7.7753878859999999</v>
      </c>
      <c r="AO240" s="34">
        <v>86.535916301</v>
      </c>
      <c r="AP240" s="10">
        <v>1470.469786763</v>
      </c>
      <c r="AQ240" s="34">
        <v>23.315305328000001</v>
      </c>
      <c r="AR240" s="34">
        <v>34.182033029999999</v>
      </c>
      <c r="AS240" s="34">
        <v>382.17142244899998</v>
      </c>
      <c r="AT240" s="10">
        <v>646.80938366600003</v>
      </c>
      <c r="AU240" s="34">
        <v>370.49576296999999</v>
      </c>
      <c r="AV240" s="34">
        <v>274.782236162</v>
      </c>
      <c r="AW240" s="34">
        <v>123.53</v>
      </c>
    </row>
    <row r="241" spans="1:49">
      <c r="A241" s="33" t="s">
        <v>2020</v>
      </c>
      <c r="B241" s="33" t="s">
        <v>2021</v>
      </c>
      <c r="C241" s="34">
        <v>0</v>
      </c>
      <c r="D241" s="34">
        <v>0</v>
      </c>
      <c r="E241" s="34">
        <v>0</v>
      </c>
      <c r="F241" s="34">
        <v>0</v>
      </c>
      <c r="G241" s="34">
        <v>0</v>
      </c>
      <c r="H241" s="34">
        <v>0</v>
      </c>
      <c r="I241" s="34">
        <v>0</v>
      </c>
      <c r="J241" s="34">
        <v>0</v>
      </c>
      <c r="K241" s="34">
        <v>0</v>
      </c>
      <c r="L241" s="34">
        <v>0</v>
      </c>
      <c r="M241" s="34">
        <v>0</v>
      </c>
      <c r="Z241" s="34" t="s">
        <v>2021</v>
      </c>
      <c r="AA241" s="34">
        <v>0</v>
      </c>
      <c r="AB241" s="34">
        <v>0</v>
      </c>
      <c r="AC241" s="34">
        <v>0</v>
      </c>
      <c r="AD241" s="10">
        <v>0</v>
      </c>
      <c r="AE241" s="34">
        <v>0</v>
      </c>
      <c r="AF241" s="34">
        <v>0</v>
      </c>
      <c r="AG241" s="34">
        <v>0</v>
      </c>
      <c r="AH241" s="10">
        <v>0</v>
      </c>
      <c r="AI241" s="34">
        <v>7.5941552999999995E-2</v>
      </c>
      <c r="AJ241" s="34">
        <v>0</v>
      </c>
      <c r="AK241" s="34">
        <v>0</v>
      </c>
      <c r="AM241" s="34">
        <v>0</v>
      </c>
      <c r="AN241" s="34">
        <v>0</v>
      </c>
      <c r="AO241" s="34">
        <v>0</v>
      </c>
      <c r="AP241" s="10">
        <v>0.27576946600000002</v>
      </c>
      <c r="AQ241" s="34">
        <v>0</v>
      </c>
      <c r="AR241" s="34">
        <v>0</v>
      </c>
      <c r="AS241" s="34">
        <v>0.27576946600000002</v>
      </c>
      <c r="AT241" s="10">
        <v>0</v>
      </c>
      <c r="AU241" s="34">
        <v>0</v>
      </c>
      <c r="AV241" s="34">
        <v>0</v>
      </c>
      <c r="AW241" s="34">
        <v>0</v>
      </c>
    </row>
    <row r="242" spans="1:49">
      <c r="A242" s="33" t="s">
        <v>2022</v>
      </c>
      <c r="B242" s="33" t="s">
        <v>2023</v>
      </c>
      <c r="C242" s="34">
        <v>0</v>
      </c>
      <c r="D242" s="34">
        <v>0</v>
      </c>
      <c r="E242" s="34">
        <v>0</v>
      </c>
      <c r="F242" s="34">
        <v>0</v>
      </c>
      <c r="G242" s="34">
        <v>0</v>
      </c>
      <c r="H242" s="34">
        <v>0</v>
      </c>
      <c r="I242" s="34">
        <v>0</v>
      </c>
      <c r="J242" s="34">
        <v>0</v>
      </c>
      <c r="K242" s="34">
        <v>0</v>
      </c>
      <c r="L242" s="34">
        <v>0</v>
      </c>
      <c r="M242" s="34">
        <v>0</v>
      </c>
      <c r="Z242" s="34" t="s">
        <v>2023</v>
      </c>
      <c r="AA242" s="34">
        <v>0</v>
      </c>
      <c r="AB242" s="34">
        <v>0</v>
      </c>
      <c r="AC242" s="34">
        <v>0</v>
      </c>
      <c r="AD242" s="10">
        <v>0</v>
      </c>
      <c r="AE242" s="34">
        <v>0</v>
      </c>
      <c r="AF242" s="34">
        <v>0</v>
      </c>
      <c r="AG242" s="34">
        <v>0</v>
      </c>
      <c r="AH242" s="10">
        <v>0</v>
      </c>
      <c r="AI242" s="34">
        <v>0</v>
      </c>
      <c r="AJ242" s="34">
        <v>0</v>
      </c>
      <c r="AK242" s="34">
        <v>0</v>
      </c>
      <c r="AM242" s="34">
        <v>0</v>
      </c>
      <c r="AN242" s="34">
        <v>0</v>
      </c>
      <c r="AO242" s="34">
        <v>0</v>
      </c>
      <c r="AP242" s="10">
        <v>0</v>
      </c>
      <c r="AQ242" s="34">
        <v>0</v>
      </c>
      <c r="AR242" s="34">
        <v>0</v>
      </c>
      <c r="AS242" s="34">
        <v>0</v>
      </c>
      <c r="AT242" s="10">
        <v>0</v>
      </c>
      <c r="AU242" s="34">
        <v>0</v>
      </c>
      <c r="AV242" s="34">
        <v>0</v>
      </c>
      <c r="AW242" s="34">
        <v>0</v>
      </c>
    </row>
    <row r="243" spans="1:49">
      <c r="A243" s="33" t="s">
        <v>2024</v>
      </c>
      <c r="B243" s="33" t="s">
        <v>2025</v>
      </c>
      <c r="C243" s="34">
        <v>0.161922186</v>
      </c>
      <c r="D243" s="34">
        <v>0.58720188699999998</v>
      </c>
      <c r="E243" s="34">
        <v>4.0638277460000003</v>
      </c>
      <c r="F243" s="34">
        <v>0.61815154500000002</v>
      </c>
      <c r="G243" s="34">
        <v>1.5735633899999999</v>
      </c>
      <c r="H243" s="34">
        <v>0.60946600399999995</v>
      </c>
      <c r="I243" s="34">
        <v>0.59307188600000005</v>
      </c>
      <c r="J243" s="34">
        <v>5.407807086</v>
      </c>
      <c r="K243" s="34">
        <v>0.31076946599999999</v>
      </c>
      <c r="L243" s="34">
        <v>0.59980589200000001</v>
      </c>
      <c r="M243" s="34">
        <v>33.004574671</v>
      </c>
      <c r="Z243" s="34" t="s">
        <v>2025</v>
      </c>
      <c r="AA243" s="34">
        <v>0.79848478300000003</v>
      </c>
      <c r="AB243" s="34">
        <v>1.1381473390000001</v>
      </c>
      <c r="AC243" s="34">
        <v>12.468611844</v>
      </c>
      <c r="AD243" s="10">
        <v>0.59307188600000005</v>
      </c>
      <c r="AE243" s="34">
        <v>11.050170592000001</v>
      </c>
      <c r="AF243" s="34">
        <v>15.635045972</v>
      </c>
      <c r="AG243" s="34">
        <v>16.964776127</v>
      </c>
      <c r="AH243" s="10">
        <v>34.342915929</v>
      </c>
      <c r="AI243" s="34">
        <v>18.470124561999999</v>
      </c>
      <c r="AJ243" s="34">
        <v>0.43075106600000002</v>
      </c>
      <c r="AK243" s="34">
        <v>1.012783655</v>
      </c>
      <c r="AM243" s="34">
        <v>1.545601475</v>
      </c>
      <c r="AN243" s="34">
        <v>1.511136348</v>
      </c>
      <c r="AO243" s="34">
        <v>0.76427307700000002</v>
      </c>
      <c r="AP243" s="10">
        <v>0.32403642599999999</v>
      </c>
      <c r="AQ243" s="34">
        <v>8.3291031409999992</v>
      </c>
      <c r="AR243" s="34">
        <v>10.187928321999999</v>
      </c>
      <c r="AS243" s="34">
        <v>5.6769116500000001</v>
      </c>
      <c r="AT243" s="10">
        <v>33.004574671</v>
      </c>
      <c r="AU243" s="34">
        <v>31.372950837000001</v>
      </c>
      <c r="AV243" s="34">
        <v>51.099473156999998</v>
      </c>
      <c r="AW243" s="34">
        <v>22.74</v>
      </c>
    </row>
    <row r="244" spans="1:49">
      <c r="A244" s="33" t="s">
        <v>2026</v>
      </c>
      <c r="B244" s="33" t="s">
        <v>2027</v>
      </c>
      <c r="C244" s="34">
        <v>0</v>
      </c>
      <c r="D244" s="34">
        <v>0</v>
      </c>
      <c r="E244" s="34">
        <v>0</v>
      </c>
      <c r="F244" s="34">
        <v>0</v>
      </c>
      <c r="G244" s="34">
        <v>0</v>
      </c>
      <c r="H244" s="34">
        <v>0</v>
      </c>
      <c r="I244" s="34">
        <v>0</v>
      </c>
      <c r="J244" s="34">
        <v>0</v>
      </c>
      <c r="K244" s="34">
        <v>0</v>
      </c>
      <c r="L244" s="34">
        <v>0</v>
      </c>
      <c r="M244" s="34">
        <v>0</v>
      </c>
      <c r="Z244" s="34" t="s">
        <v>2027</v>
      </c>
      <c r="AA244" s="34">
        <v>0</v>
      </c>
      <c r="AB244" s="34">
        <v>0</v>
      </c>
      <c r="AC244" s="34">
        <v>0</v>
      </c>
      <c r="AD244" s="10">
        <v>0</v>
      </c>
      <c r="AE244" s="34">
        <v>0</v>
      </c>
      <c r="AF244" s="34">
        <v>0</v>
      </c>
      <c r="AG244" s="34">
        <v>0</v>
      </c>
      <c r="AH244" s="10">
        <v>0</v>
      </c>
      <c r="AI244" s="34">
        <v>0</v>
      </c>
      <c r="AJ244" s="34">
        <v>0</v>
      </c>
      <c r="AK244" s="34">
        <v>0</v>
      </c>
      <c r="AM244" s="34">
        <v>0</v>
      </c>
      <c r="AN244" s="34">
        <v>0</v>
      </c>
      <c r="AO244" s="34">
        <v>0</v>
      </c>
      <c r="AP244" s="10">
        <v>0</v>
      </c>
      <c r="AQ244" s="34">
        <v>0</v>
      </c>
      <c r="AR244" s="34">
        <v>0</v>
      </c>
      <c r="AS244" s="34">
        <v>0</v>
      </c>
      <c r="AT244" s="10">
        <v>0</v>
      </c>
      <c r="AU244" s="34">
        <v>0</v>
      </c>
      <c r="AV244" s="34">
        <v>0</v>
      </c>
      <c r="AW244" s="34">
        <v>0</v>
      </c>
    </row>
    <row r="245" spans="1:49">
      <c r="A245" s="33" t="s">
        <v>2028</v>
      </c>
      <c r="B245" s="33" t="s">
        <v>2029</v>
      </c>
      <c r="C245" s="34">
        <v>345.89018123599999</v>
      </c>
      <c r="D245" s="34">
        <v>316.97771363599998</v>
      </c>
      <c r="E245" s="34">
        <v>605.47278508900001</v>
      </c>
      <c r="F245" s="34">
        <v>614.96394033399997</v>
      </c>
      <c r="G245" s="34">
        <v>540.21903038400001</v>
      </c>
      <c r="H245" s="34">
        <v>692.53070946599996</v>
      </c>
      <c r="I245" s="34">
        <v>1087.7571583710001</v>
      </c>
      <c r="J245" s="34">
        <v>1238.065904775</v>
      </c>
      <c r="K245" s="34">
        <v>522.86438702099997</v>
      </c>
      <c r="L245" s="34">
        <v>1402.704766823</v>
      </c>
      <c r="M245" s="34">
        <v>2745.5389676760001</v>
      </c>
      <c r="Z245" s="34" t="s">
        <v>2029</v>
      </c>
      <c r="AA245" s="34">
        <v>581.14362161600002</v>
      </c>
      <c r="AB245" s="34">
        <v>645.24645261900002</v>
      </c>
      <c r="AC245" s="34">
        <v>633.71743193600003</v>
      </c>
      <c r="AD245" s="10">
        <v>1086.7423488960001</v>
      </c>
      <c r="AE245" s="34">
        <v>886.70026202700001</v>
      </c>
      <c r="AF245" s="34">
        <v>947.472908867</v>
      </c>
      <c r="AG245" s="34">
        <v>798.47126666700001</v>
      </c>
      <c r="AH245" s="10">
        <v>1233.3520371950001</v>
      </c>
      <c r="AI245" s="34">
        <v>818.26220120899995</v>
      </c>
      <c r="AJ245" s="34">
        <v>1005.458343703</v>
      </c>
      <c r="AK245" s="34">
        <v>783.47601280900005</v>
      </c>
      <c r="AM245" s="34">
        <v>610.73960461299998</v>
      </c>
      <c r="AN245" s="34">
        <v>969.65520659100002</v>
      </c>
      <c r="AO245" s="34">
        <v>830.69081582499996</v>
      </c>
      <c r="AP245" s="10">
        <v>1339.46763418</v>
      </c>
      <c r="AQ245" s="34">
        <v>3468.775436162</v>
      </c>
      <c r="AR245" s="34">
        <v>3518.0853554649998</v>
      </c>
      <c r="AS245" s="34">
        <v>2497.182713185</v>
      </c>
      <c r="AT245" s="10">
        <v>2745.5389676760001</v>
      </c>
      <c r="AU245" s="34">
        <v>2802.4278379870002</v>
      </c>
      <c r="AV245" s="34">
        <v>2421.2564481909999</v>
      </c>
      <c r="AW245" s="34">
        <v>2252.04</v>
      </c>
    </row>
    <row r="246" spans="1:49">
      <c r="A246" s="33" t="s">
        <v>2030</v>
      </c>
      <c r="B246" s="33" t="s">
        <v>2031</v>
      </c>
      <c r="C246" s="34">
        <v>13.670462871</v>
      </c>
      <c r="D246" s="34">
        <v>4.2235462129999997</v>
      </c>
      <c r="E246" s="34">
        <v>12.475474899</v>
      </c>
      <c r="F246" s="34">
        <v>15.098173821</v>
      </c>
      <c r="G246" s="34">
        <v>22.447887397999999</v>
      </c>
      <c r="H246" s="34">
        <v>9.3141602470000002</v>
      </c>
      <c r="I246" s="34">
        <v>6.6357826280000003</v>
      </c>
      <c r="J246" s="34">
        <v>4.8717418600000002</v>
      </c>
      <c r="K246" s="34">
        <v>7.4956573369999999</v>
      </c>
      <c r="L246" s="34">
        <v>47.535469814000002</v>
      </c>
      <c r="M246" s="34">
        <v>19.343908965000001</v>
      </c>
      <c r="Z246" s="34" t="s">
        <v>2031</v>
      </c>
      <c r="AA246" s="34">
        <v>11.357066456</v>
      </c>
      <c r="AB246" s="34">
        <v>10.780129175000001</v>
      </c>
      <c r="AC246" s="34">
        <v>6.7371814250000002</v>
      </c>
      <c r="AD246" s="10">
        <v>6.6357826280000003</v>
      </c>
      <c r="AE246" s="34">
        <v>6.2662299030000002</v>
      </c>
      <c r="AF246" s="34">
        <v>10.964319232999999</v>
      </c>
      <c r="AG246" s="34">
        <v>7.9761124890000001</v>
      </c>
      <c r="AH246" s="10">
        <v>4.8717418600000002</v>
      </c>
      <c r="AI246" s="34">
        <v>5.2710570050000003</v>
      </c>
      <c r="AJ246" s="34">
        <v>11.178854683000001</v>
      </c>
      <c r="AK246" s="34">
        <v>8.0450202369999992</v>
      </c>
      <c r="AM246" s="34">
        <v>14.648549815999999</v>
      </c>
      <c r="AN246" s="34">
        <v>12.125004842999999</v>
      </c>
      <c r="AO246" s="34">
        <v>33.017412204000003</v>
      </c>
      <c r="AP246" s="10">
        <v>54.147764993999999</v>
      </c>
      <c r="AQ246" s="34">
        <v>33.532903992000001</v>
      </c>
      <c r="AR246" s="34">
        <v>18.195886287</v>
      </c>
      <c r="AS246" s="34">
        <v>21.859167285000002</v>
      </c>
      <c r="AT246" s="10">
        <v>19.343908965000001</v>
      </c>
      <c r="AU246" s="34">
        <v>18.828392828999998</v>
      </c>
      <c r="AV246" s="34">
        <v>11.492408276999999</v>
      </c>
      <c r="AW246" s="34">
        <v>15.96</v>
      </c>
    </row>
    <row r="247" spans="1:49">
      <c r="A247" s="33" t="s">
        <v>2032</v>
      </c>
      <c r="B247" s="33" t="s">
        <v>2033</v>
      </c>
      <c r="C247" s="34">
        <v>0</v>
      </c>
      <c r="D247" s="34">
        <v>0</v>
      </c>
      <c r="E247" s="34">
        <v>0</v>
      </c>
      <c r="F247" s="34">
        <v>0</v>
      </c>
      <c r="G247" s="34">
        <v>0</v>
      </c>
      <c r="H247" s="34">
        <v>0</v>
      </c>
      <c r="I247" s="34">
        <v>0</v>
      </c>
      <c r="J247" s="34">
        <v>0</v>
      </c>
      <c r="K247" s="34">
        <v>0</v>
      </c>
      <c r="L247" s="34">
        <v>0</v>
      </c>
      <c r="M247" s="34">
        <v>0</v>
      </c>
      <c r="Z247" s="34" t="s">
        <v>2033</v>
      </c>
      <c r="AA247" s="34">
        <v>0</v>
      </c>
      <c r="AB247" s="34">
        <v>0</v>
      </c>
      <c r="AC247" s="34">
        <v>0</v>
      </c>
      <c r="AD247" s="10">
        <v>0</v>
      </c>
      <c r="AE247" s="34">
        <v>0</v>
      </c>
      <c r="AF247" s="34">
        <v>0</v>
      </c>
      <c r="AG247" s="34">
        <v>0</v>
      </c>
      <c r="AH247" s="10">
        <v>0</v>
      </c>
      <c r="AI247" s="34">
        <v>0</v>
      </c>
      <c r="AJ247" s="34">
        <v>0</v>
      </c>
      <c r="AK247" s="34">
        <v>0</v>
      </c>
      <c r="AM247" s="34">
        <v>0</v>
      </c>
      <c r="AN247" s="34">
        <v>0</v>
      </c>
      <c r="AO247" s="34">
        <v>0</v>
      </c>
      <c r="AP247" s="10">
        <v>0</v>
      </c>
      <c r="AQ247" s="34">
        <v>0</v>
      </c>
      <c r="AR247" s="34">
        <v>0</v>
      </c>
      <c r="AS247" s="34">
        <v>0</v>
      </c>
      <c r="AT247" s="10">
        <v>0</v>
      </c>
      <c r="AU247" s="34">
        <v>0</v>
      </c>
      <c r="AV247" s="34">
        <v>0</v>
      </c>
      <c r="AW247" s="34">
        <v>0</v>
      </c>
    </row>
    <row r="248" spans="1:49">
      <c r="A248" s="33" t="s">
        <v>2034</v>
      </c>
      <c r="B248" s="33" t="s">
        <v>2035</v>
      </c>
      <c r="C248" s="34">
        <v>0</v>
      </c>
      <c r="D248" s="34">
        <v>0</v>
      </c>
      <c r="E248" s="34">
        <v>0</v>
      </c>
      <c r="F248" s="34">
        <v>0</v>
      </c>
      <c r="G248" s="34">
        <v>0</v>
      </c>
      <c r="H248" s="34">
        <v>0</v>
      </c>
      <c r="I248" s="34">
        <v>0</v>
      </c>
      <c r="J248" s="34">
        <v>0</v>
      </c>
      <c r="K248" s="34">
        <v>0</v>
      </c>
      <c r="L248" s="34">
        <v>0</v>
      </c>
      <c r="M248" s="34">
        <v>0</v>
      </c>
      <c r="Z248" s="34" t="s">
        <v>2035</v>
      </c>
      <c r="AA248" s="34">
        <v>0</v>
      </c>
      <c r="AB248" s="34">
        <v>0</v>
      </c>
      <c r="AC248" s="34">
        <v>0</v>
      </c>
      <c r="AD248" s="10">
        <v>0</v>
      </c>
      <c r="AE248" s="34">
        <v>0</v>
      </c>
      <c r="AF248" s="34">
        <v>0</v>
      </c>
      <c r="AG248" s="34">
        <v>0</v>
      </c>
      <c r="AH248" s="10">
        <v>0</v>
      </c>
      <c r="AI248" s="34">
        <v>0</v>
      </c>
      <c r="AJ248" s="34">
        <v>0</v>
      </c>
      <c r="AK248" s="34">
        <v>0</v>
      </c>
      <c r="AM248" s="34">
        <v>0</v>
      </c>
      <c r="AN248" s="34">
        <v>0</v>
      </c>
      <c r="AO248" s="34">
        <v>0</v>
      </c>
      <c r="AP248" s="10">
        <v>0</v>
      </c>
      <c r="AQ248" s="34">
        <v>0</v>
      </c>
      <c r="AR248" s="34">
        <v>0</v>
      </c>
      <c r="AS248" s="34">
        <v>0</v>
      </c>
      <c r="AT248" s="10">
        <v>0</v>
      </c>
      <c r="AU248" s="34">
        <v>0</v>
      </c>
      <c r="AV248" s="34">
        <v>0</v>
      </c>
      <c r="AW248" s="34">
        <v>0</v>
      </c>
    </row>
    <row r="249" spans="1:49">
      <c r="A249" s="33" t="s">
        <v>1716</v>
      </c>
      <c r="B249" s="33" t="s">
        <v>2036</v>
      </c>
      <c r="C249" s="34">
        <v>34.833608427999998</v>
      </c>
      <c r="D249" s="34">
        <v>26.038548284000001</v>
      </c>
      <c r="E249" s="34">
        <v>0</v>
      </c>
      <c r="F249" s="34">
        <v>0</v>
      </c>
      <c r="G249" s="34">
        <v>0</v>
      </c>
      <c r="H249" s="34">
        <v>0</v>
      </c>
      <c r="I249" s="34">
        <v>0</v>
      </c>
      <c r="J249" s="34">
        <v>0</v>
      </c>
      <c r="K249" s="34">
        <v>0</v>
      </c>
      <c r="L249" s="34">
        <v>0</v>
      </c>
      <c r="M249" s="34">
        <v>0</v>
      </c>
      <c r="Z249" s="34" t="s">
        <v>2036</v>
      </c>
      <c r="AA249" s="34">
        <v>0</v>
      </c>
      <c r="AB249" s="34">
        <v>0</v>
      </c>
      <c r="AC249" s="34">
        <v>2.2983026E-2</v>
      </c>
      <c r="AD249" s="10">
        <v>0</v>
      </c>
      <c r="AE249" s="34">
        <v>0</v>
      </c>
      <c r="AF249" s="34">
        <v>0</v>
      </c>
      <c r="AG249" s="34">
        <v>0</v>
      </c>
      <c r="AH249" s="10">
        <v>0</v>
      </c>
      <c r="AI249" s="34">
        <v>0</v>
      </c>
      <c r="AJ249" s="34">
        <v>0</v>
      </c>
      <c r="AK249" s="34">
        <v>0</v>
      </c>
      <c r="AM249" s="34">
        <v>0</v>
      </c>
      <c r="AN249" s="34">
        <v>0</v>
      </c>
      <c r="AO249" s="34">
        <v>0</v>
      </c>
      <c r="AP249" s="10">
        <v>0</v>
      </c>
      <c r="AQ249" s="34">
        <v>0</v>
      </c>
      <c r="AR249" s="34">
        <v>0</v>
      </c>
      <c r="AS249" s="34">
        <v>0</v>
      </c>
      <c r="AT249" s="10">
        <v>0</v>
      </c>
      <c r="AU249" s="34">
        <v>0</v>
      </c>
      <c r="AV249" s="34">
        <v>0</v>
      </c>
      <c r="AW249" s="34">
        <v>0</v>
      </c>
    </row>
    <row r="250" spans="1:49">
      <c r="A250" s="33" t="s">
        <v>2037</v>
      </c>
      <c r="B250" s="33" t="s">
        <v>2038</v>
      </c>
      <c r="C250" s="34">
        <v>27.542942429</v>
      </c>
      <c r="D250" s="34">
        <v>21.836241510000001</v>
      </c>
      <c r="E250" s="34">
        <v>0</v>
      </c>
      <c r="F250" s="34">
        <v>0</v>
      </c>
      <c r="G250" s="34">
        <v>0</v>
      </c>
      <c r="H250" s="34">
        <v>0</v>
      </c>
      <c r="I250" s="34">
        <v>0</v>
      </c>
      <c r="J250" s="34">
        <v>0</v>
      </c>
      <c r="K250" s="34">
        <v>0</v>
      </c>
      <c r="L250" s="34">
        <v>0</v>
      </c>
      <c r="M250" s="34">
        <v>0</v>
      </c>
      <c r="Z250" s="34" t="s">
        <v>2038</v>
      </c>
      <c r="AA250" s="34">
        <v>0</v>
      </c>
      <c r="AB250" s="34">
        <v>0</v>
      </c>
      <c r="AC250" s="34">
        <v>0</v>
      </c>
      <c r="AD250" s="10">
        <v>0</v>
      </c>
      <c r="AE250" s="34">
        <v>0</v>
      </c>
      <c r="AF250" s="34">
        <v>0</v>
      </c>
      <c r="AG250" s="34">
        <v>0</v>
      </c>
      <c r="AH250" s="10">
        <v>0</v>
      </c>
      <c r="AI250" s="34">
        <v>0</v>
      </c>
      <c r="AJ250" s="34">
        <v>0</v>
      </c>
      <c r="AK250" s="34">
        <v>0</v>
      </c>
      <c r="AM250" s="34">
        <v>0</v>
      </c>
      <c r="AN250" s="34">
        <v>0</v>
      </c>
      <c r="AO250" s="34">
        <v>0</v>
      </c>
      <c r="AP250" s="10">
        <v>0</v>
      </c>
      <c r="AQ250" s="34">
        <v>0</v>
      </c>
      <c r="AR250" s="34">
        <v>0</v>
      </c>
      <c r="AS250" s="34">
        <v>0</v>
      </c>
      <c r="AT250" s="10">
        <v>0</v>
      </c>
      <c r="AU250" s="34">
        <v>0</v>
      </c>
      <c r="AV250" s="34">
        <v>0</v>
      </c>
      <c r="AW250" s="34">
        <v>0</v>
      </c>
    </row>
    <row r="251" spans="1:49">
      <c r="A251" s="33" t="s">
        <v>2039</v>
      </c>
      <c r="B251" s="33" t="s">
        <v>1710</v>
      </c>
      <c r="C251" s="34">
        <v>0</v>
      </c>
      <c r="D251" s="34">
        <v>0</v>
      </c>
      <c r="E251" s="34">
        <v>0</v>
      </c>
      <c r="F251" s="34">
        <v>0</v>
      </c>
      <c r="G251" s="34">
        <v>0</v>
      </c>
      <c r="H251" s="34">
        <v>0</v>
      </c>
      <c r="I251" s="34">
        <v>0</v>
      </c>
      <c r="J251" s="34">
        <v>0</v>
      </c>
      <c r="K251" s="34">
        <v>0</v>
      </c>
      <c r="L251" s="34">
        <v>0</v>
      </c>
      <c r="M251" s="34">
        <v>0</v>
      </c>
      <c r="Z251" s="34" t="s">
        <v>1710</v>
      </c>
      <c r="AA251" s="34">
        <v>0</v>
      </c>
      <c r="AB251" s="34">
        <v>0</v>
      </c>
      <c r="AC251" s="34">
        <v>0</v>
      </c>
      <c r="AD251" s="10">
        <v>0</v>
      </c>
      <c r="AE251" s="34">
        <v>0</v>
      </c>
      <c r="AF251" s="34">
        <v>0</v>
      </c>
      <c r="AG251" s="34">
        <v>0</v>
      </c>
      <c r="AH251" s="10">
        <v>0</v>
      </c>
      <c r="AI251" s="34">
        <v>0</v>
      </c>
      <c r="AJ251" s="34">
        <v>0</v>
      </c>
      <c r="AK251" s="34">
        <v>0</v>
      </c>
      <c r="AM251" s="34">
        <v>0</v>
      </c>
      <c r="AN251" s="34">
        <v>0</v>
      </c>
      <c r="AO251" s="34">
        <v>0</v>
      </c>
      <c r="AP251" s="10">
        <v>0</v>
      </c>
      <c r="AQ251" s="34">
        <v>0</v>
      </c>
      <c r="AR251" s="34">
        <v>0</v>
      </c>
      <c r="AS251" s="34">
        <v>0</v>
      </c>
      <c r="AT251" s="10">
        <v>0</v>
      </c>
      <c r="AU251" s="34">
        <v>0</v>
      </c>
      <c r="AV251" s="34">
        <v>0</v>
      </c>
      <c r="AW251" s="34">
        <v>0</v>
      </c>
    </row>
    <row r="252" spans="1:49">
      <c r="A252" s="33" t="s">
        <v>2040</v>
      </c>
      <c r="B252" s="33" t="s">
        <v>2041</v>
      </c>
      <c r="C252" s="34">
        <v>7.2290799999999997</v>
      </c>
      <c r="D252" s="34">
        <v>4.1980000000000004</v>
      </c>
      <c r="E252" s="34">
        <v>0</v>
      </c>
      <c r="F252" s="34">
        <v>0</v>
      </c>
      <c r="G252" s="34">
        <v>0</v>
      </c>
      <c r="H252" s="34">
        <v>0</v>
      </c>
      <c r="I252" s="34">
        <v>0</v>
      </c>
      <c r="J252" s="34">
        <v>0</v>
      </c>
      <c r="K252" s="34">
        <v>0</v>
      </c>
      <c r="L252" s="34">
        <v>0</v>
      </c>
      <c r="M252" s="34">
        <v>0</v>
      </c>
      <c r="Z252" s="34" t="s">
        <v>2041</v>
      </c>
      <c r="AA252" s="34">
        <v>0</v>
      </c>
      <c r="AB252" s="34">
        <v>0</v>
      </c>
      <c r="AC252" s="34">
        <v>0</v>
      </c>
      <c r="AD252" s="10">
        <v>0</v>
      </c>
      <c r="AE252" s="34">
        <v>0</v>
      </c>
      <c r="AF252" s="34">
        <v>0</v>
      </c>
      <c r="AG252" s="34">
        <v>0</v>
      </c>
      <c r="AH252" s="10">
        <v>0</v>
      </c>
      <c r="AI252" s="34">
        <v>0</v>
      </c>
      <c r="AJ252" s="34">
        <v>0</v>
      </c>
      <c r="AK252" s="34">
        <v>0</v>
      </c>
      <c r="AM252" s="34">
        <v>0</v>
      </c>
      <c r="AN252" s="34">
        <v>0</v>
      </c>
      <c r="AO252" s="34">
        <v>0</v>
      </c>
      <c r="AP252" s="10">
        <v>0</v>
      </c>
      <c r="AQ252" s="34">
        <v>0</v>
      </c>
      <c r="AR252" s="34">
        <v>0</v>
      </c>
      <c r="AS252" s="34">
        <v>0</v>
      </c>
      <c r="AT252" s="10">
        <v>0</v>
      </c>
      <c r="AU252" s="34">
        <v>0</v>
      </c>
      <c r="AV252" s="34">
        <v>0</v>
      </c>
      <c r="AW252" s="34">
        <v>0</v>
      </c>
    </row>
    <row r="253" spans="1:49">
      <c r="A253" s="33" t="s">
        <v>2042</v>
      </c>
      <c r="B253" s="33" t="s">
        <v>2043</v>
      </c>
      <c r="C253" s="34">
        <v>6.1585999000000002E-2</v>
      </c>
      <c r="D253" s="34">
        <v>4.3067740000000002E-3</v>
      </c>
      <c r="E253" s="34">
        <v>0</v>
      </c>
      <c r="F253" s="34">
        <v>0</v>
      </c>
      <c r="G253" s="34">
        <v>0</v>
      </c>
      <c r="H253" s="34">
        <v>0</v>
      </c>
      <c r="I253" s="34">
        <v>0</v>
      </c>
      <c r="J253" s="34">
        <v>0</v>
      </c>
      <c r="K253" s="34">
        <v>0</v>
      </c>
      <c r="L253" s="34">
        <v>0</v>
      </c>
      <c r="M253" s="34">
        <v>0</v>
      </c>
      <c r="Z253" s="34" t="s">
        <v>2043</v>
      </c>
      <c r="AA253" s="34">
        <v>0</v>
      </c>
      <c r="AB253" s="34">
        <v>0</v>
      </c>
      <c r="AC253" s="34">
        <v>2.2983026E-2</v>
      </c>
      <c r="AD253" s="10">
        <v>0</v>
      </c>
      <c r="AE253" s="34">
        <v>0</v>
      </c>
      <c r="AF253" s="34">
        <v>0</v>
      </c>
      <c r="AG253" s="34">
        <v>0</v>
      </c>
      <c r="AH253" s="10">
        <v>0</v>
      </c>
      <c r="AI253" s="34">
        <v>0</v>
      </c>
      <c r="AJ253" s="34">
        <v>0</v>
      </c>
      <c r="AK253" s="34">
        <v>0</v>
      </c>
      <c r="AM253" s="34">
        <v>0</v>
      </c>
      <c r="AN253" s="34">
        <v>0</v>
      </c>
      <c r="AO253" s="34">
        <v>0</v>
      </c>
      <c r="AP253" s="10">
        <v>0</v>
      </c>
      <c r="AQ253" s="34">
        <v>0</v>
      </c>
      <c r="AR253" s="34">
        <v>0</v>
      </c>
      <c r="AS253" s="34">
        <v>0</v>
      </c>
      <c r="AT253" s="10">
        <v>0</v>
      </c>
      <c r="AU253" s="34">
        <v>0</v>
      </c>
      <c r="AV253" s="34">
        <v>0</v>
      </c>
      <c r="AW253" s="34">
        <v>0</v>
      </c>
    </row>
    <row r="254" spans="1:49">
      <c r="A254" s="33" t="s">
        <v>2044</v>
      </c>
      <c r="B254" s="33" t="s">
        <v>2045</v>
      </c>
      <c r="C254" s="34">
        <v>0</v>
      </c>
      <c r="D254" s="34">
        <v>0</v>
      </c>
      <c r="E254" s="34">
        <v>1.70458048</v>
      </c>
      <c r="F254" s="34">
        <v>2.32422</v>
      </c>
      <c r="G254" s="34">
        <v>2.3237800000000002</v>
      </c>
      <c r="H254" s="34">
        <v>2.3397800000000002</v>
      </c>
      <c r="I254" s="34">
        <v>4.1197817060000004</v>
      </c>
      <c r="J254" s="34">
        <v>3.9587880000000002</v>
      </c>
      <c r="K254" s="34">
        <v>8.8281604999999992</v>
      </c>
      <c r="L254" s="34">
        <v>17.641047356000001</v>
      </c>
      <c r="M254" s="34">
        <v>22.404577033999999</v>
      </c>
      <c r="Z254" s="34" t="s">
        <v>2045</v>
      </c>
      <c r="AA254" s="34">
        <v>5.4465877059999999</v>
      </c>
      <c r="AB254" s="34">
        <v>5.6295477060000003</v>
      </c>
      <c r="AC254" s="34">
        <v>3.9465877059999999</v>
      </c>
      <c r="AD254" s="10">
        <v>4.1197817060000004</v>
      </c>
      <c r="AE254" s="34">
        <v>4.3104957060000002</v>
      </c>
      <c r="AF254" s="34">
        <v>4.2550257059999996</v>
      </c>
      <c r="AG254" s="34">
        <v>4.2615257059999996</v>
      </c>
      <c r="AH254" s="10">
        <v>4.2060557059999999</v>
      </c>
      <c r="AI254" s="34">
        <v>4.0928578499999997</v>
      </c>
      <c r="AJ254" s="34">
        <v>4.1631538499999996</v>
      </c>
      <c r="AK254" s="34">
        <v>8.5226093499999998</v>
      </c>
      <c r="AM254" s="34">
        <v>9.9667375000000007</v>
      </c>
      <c r="AN254" s="34">
        <v>46.920475943</v>
      </c>
      <c r="AO254" s="34">
        <v>15.435170727999999</v>
      </c>
      <c r="AP254" s="10">
        <v>17.641047356000001</v>
      </c>
      <c r="AQ254" s="34">
        <v>20.153017756000001</v>
      </c>
      <c r="AR254" s="34">
        <v>21.463002156000002</v>
      </c>
      <c r="AS254" s="34">
        <v>21.862002155999999</v>
      </c>
      <c r="AT254" s="10">
        <v>22.404577033999999</v>
      </c>
      <c r="AU254" s="34">
        <v>14.748251716</v>
      </c>
      <c r="AV254" s="34">
        <v>14.729750215999999</v>
      </c>
      <c r="AW254" s="34">
        <v>15.54</v>
      </c>
    </row>
    <row r="255" spans="1:49">
      <c r="A255" s="33" t="s">
        <v>2046</v>
      </c>
      <c r="B255" s="33" t="s">
        <v>2047</v>
      </c>
      <c r="C255" s="34">
        <v>0</v>
      </c>
      <c r="D255" s="34">
        <v>0</v>
      </c>
      <c r="E255" s="34">
        <v>0</v>
      </c>
      <c r="F255" s="34">
        <v>0</v>
      </c>
      <c r="G255" s="34">
        <v>0</v>
      </c>
      <c r="H255" s="34">
        <v>0</v>
      </c>
      <c r="I255" s="34">
        <v>0</v>
      </c>
      <c r="J255" s="34">
        <v>0</v>
      </c>
      <c r="K255" s="34">
        <v>0</v>
      </c>
      <c r="L255" s="34">
        <v>17.641047356000001</v>
      </c>
      <c r="M255" s="34">
        <v>22.404577033999999</v>
      </c>
      <c r="Z255" s="34" t="s">
        <v>2047</v>
      </c>
      <c r="AA255" s="34">
        <v>0</v>
      </c>
      <c r="AB255" s="34">
        <v>5.6295477060000003</v>
      </c>
      <c r="AC255" s="34">
        <v>3.9465877059999999</v>
      </c>
      <c r="AD255" s="10">
        <v>0</v>
      </c>
      <c r="AE255" s="34">
        <v>0</v>
      </c>
      <c r="AF255" s="34">
        <v>0</v>
      </c>
      <c r="AG255" s="34">
        <v>0</v>
      </c>
      <c r="AH255" s="10">
        <v>0</v>
      </c>
      <c r="AI255" s="34">
        <v>0</v>
      </c>
      <c r="AJ255" s="34">
        <v>4.1631538499999996</v>
      </c>
      <c r="AK255" s="34">
        <v>0</v>
      </c>
      <c r="AM255" s="34">
        <v>0</v>
      </c>
      <c r="AN255" s="34">
        <v>0</v>
      </c>
      <c r="AO255" s="34">
        <v>15.435170727999999</v>
      </c>
      <c r="AP255" s="10">
        <v>0</v>
      </c>
      <c r="AQ255" s="34">
        <v>20.153017756000001</v>
      </c>
      <c r="AR255" s="34">
        <v>0</v>
      </c>
      <c r="AS255" s="34">
        <v>0</v>
      </c>
      <c r="AT255" s="10">
        <v>0</v>
      </c>
      <c r="AU255" s="34">
        <v>14.748251716</v>
      </c>
      <c r="AV255" s="34">
        <v>14.729750215999999</v>
      </c>
      <c r="AW255" s="34">
        <v>15.54</v>
      </c>
    </row>
    <row r="256" spans="1:49">
      <c r="A256" s="33" t="s">
        <v>2048</v>
      </c>
      <c r="B256" s="33" t="s">
        <v>2049</v>
      </c>
      <c r="C256" s="34">
        <v>0</v>
      </c>
      <c r="D256" s="34">
        <v>0</v>
      </c>
      <c r="E256" s="34">
        <v>0</v>
      </c>
      <c r="F256" s="34">
        <v>0</v>
      </c>
      <c r="G256" s="34">
        <v>0</v>
      </c>
      <c r="H256" s="34">
        <v>0</v>
      </c>
      <c r="I256" s="34">
        <v>0</v>
      </c>
      <c r="J256" s="34">
        <v>0</v>
      </c>
      <c r="K256" s="34">
        <v>0</v>
      </c>
      <c r="L256" s="34">
        <v>0</v>
      </c>
      <c r="M256" s="34">
        <v>0</v>
      </c>
      <c r="Z256" s="34" t="s">
        <v>2049</v>
      </c>
      <c r="AA256" s="34">
        <v>0</v>
      </c>
      <c r="AB256" s="34">
        <v>0</v>
      </c>
      <c r="AC256" s="34">
        <v>0</v>
      </c>
      <c r="AD256" s="10">
        <v>0</v>
      </c>
      <c r="AE256" s="34">
        <v>0</v>
      </c>
      <c r="AF256" s="34">
        <v>0</v>
      </c>
      <c r="AG256" s="34">
        <v>0</v>
      </c>
      <c r="AH256" s="10">
        <v>0</v>
      </c>
      <c r="AI256" s="34">
        <v>0</v>
      </c>
      <c r="AJ256" s="34">
        <v>0</v>
      </c>
      <c r="AK256" s="34">
        <v>0</v>
      </c>
      <c r="AM256" s="34">
        <v>0</v>
      </c>
      <c r="AN256" s="34">
        <v>0</v>
      </c>
      <c r="AO256" s="34">
        <v>0</v>
      </c>
      <c r="AP256" s="10">
        <v>0</v>
      </c>
      <c r="AQ256" s="34">
        <v>0</v>
      </c>
      <c r="AR256" s="34">
        <v>0</v>
      </c>
      <c r="AS256" s="34">
        <v>0</v>
      </c>
      <c r="AT256" s="10">
        <v>0</v>
      </c>
      <c r="AU256" s="34">
        <v>0</v>
      </c>
      <c r="AV256" s="34">
        <v>0</v>
      </c>
      <c r="AW256" s="34">
        <v>0</v>
      </c>
    </row>
    <row r="257" spans="1:55">
      <c r="A257" s="33" t="s">
        <v>2050</v>
      </c>
      <c r="B257" s="33" t="s">
        <v>2051</v>
      </c>
      <c r="C257" s="34">
        <v>0</v>
      </c>
      <c r="D257" s="34">
        <v>0</v>
      </c>
      <c r="E257" s="34">
        <v>0</v>
      </c>
      <c r="F257" s="34">
        <v>0</v>
      </c>
      <c r="G257" s="34">
        <v>0</v>
      </c>
      <c r="H257" s="34">
        <v>0</v>
      </c>
      <c r="I257" s="34">
        <v>0</v>
      </c>
      <c r="J257" s="34">
        <v>0</v>
      </c>
      <c r="K257" s="34">
        <v>0</v>
      </c>
      <c r="L257" s="34">
        <v>0</v>
      </c>
      <c r="M257" s="34">
        <v>0</v>
      </c>
      <c r="Z257" s="34" t="s">
        <v>2051</v>
      </c>
      <c r="AA257" s="34">
        <v>0</v>
      </c>
      <c r="AB257" s="34">
        <v>0</v>
      </c>
      <c r="AC257" s="34">
        <v>0</v>
      </c>
      <c r="AD257" s="10">
        <v>0</v>
      </c>
      <c r="AE257" s="34">
        <v>0</v>
      </c>
      <c r="AF257" s="34">
        <v>0</v>
      </c>
      <c r="AG257" s="34">
        <v>0</v>
      </c>
      <c r="AH257" s="10">
        <v>0</v>
      </c>
      <c r="AI257" s="34">
        <v>0</v>
      </c>
      <c r="AJ257" s="34">
        <v>0</v>
      </c>
      <c r="AK257" s="34">
        <v>0</v>
      </c>
      <c r="AM257" s="34">
        <v>0</v>
      </c>
      <c r="AN257" s="34">
        <v>0</v>
      </c>
      <c r="AO257" s="34">
        <v>0</v>
      </c>
      <c r="AP257" s="10">
        <v>0</v>
      </c>
      <c r="AQ257" s="34">
        <v>0</v>
      </c>
      <c r="AR257" s="34">
        <v>0</v>
      </c>
      <c r="AS257" s="34">
        <v>0</v>
      </c>
      <c r="AT257" s="10">
        <v>0</v>
      </c>
      <c r="AU257" s="34">
        <v>0</v>
      </c>
      <c r="AV257" s="34">
        <v>0</v>
      </c>
      <c r="AW257" s="34">
        <v>0</v>
      </c>
    </row>
    <row r="258" spans="1:55">
      <c r="A258" s="33" t="s">
        <v>1522</v>
      </c>
      <c r="B258" s="33" t="s">
        <v>1743</v>
      </c>
      <c r="C258" s="34">
        <v>0</v>
      </c>
      <c r="D258" s="34">
        <v>0</v>
      </c>
      <c r="E258" s="34">
        <v>1.70458048</v>
      </c>
      <c r="F258" s="34">
        <v>2.32422</v>
      </c>
      <c r="G258" s="34">
        <v>2.3237800000000002</v>
      </c>
      <c r="H258" s="34">
        <v>2.3397800000000002</v>
      </c>
      <c r="I258" s="34">
        <v>4.1197817060000004</v>
      </c>
      <c r="J258" s="34">
        <v>3.9587880000000002</v>
      </c>
      <c r="K258" s="34">
        <v>8.8281604999999992</v>
      </c>
      <c r="L258" s="34">
        <v>0</v>
      </c>
      <c r="M258" s="34">
        <v>0</v>
      </c>
      <c r="Z258" s="34" t="s">
        <v>1743</v>
      </c>
      <c r="AA258" s="34">
        <v>5.4465877059999999</v>
      </c>
      <c r="AB258" s="34">
        <v>0</v>
      </c>
      <c r="AC258" s="34">
        <v>0</v>
      </c>
      <c r="AD258" s="10">
        <v>4.1197817060000004</v>
      </c>
      <c r="AE258" s="34">
        <v>4.3104957060000002</v>
      </c>
      <c r="AF258" s="34">
        <v>4.2550257059999996</v>
      </c>
      <c r="AG258" s="34">
        <v>4.2615257059999996</v>
      </c>
      <c r="AH258" s="10">
        <v>4.2060557059999999</v>
      </c>
      <c r="AI258" s="34">
        <v>4.0928578499999997</v>
      </c>
      <c r="AJ258" s="34">
        <v>0</v>
      </c>
      <c r="AK258" s="34">
        <v>8.5226093499999998</v>
      </c>
      <c r="AM258" s="34">
        <v>9.9667375000000007</v>
      </c>
      <c r="AN258" s="34">
        <v>46.920475943</v>
      </c>
      <c r="AO258" s="34">
        <v>0</v>
      </c>
      <c r="AP258" s="10">
        <v>17.641047356000001</v>
      </c>
      <c r="AQ258" s="34">
        <v>0</v>
      </c>
      <c r="AR258" s="34">
        <v>21.463002156000002</v>
      </c>
      <c r="AS258" s="34">
        <v>21.862002155999999</v>
      </c>
      <c r="AT258" s="10">
        <v>22.404577033999999</v>
      </c>
      <c r="AU258" s="34">
        <v>0</v>
      </c>
      <c r="AV258" s="34">
        <v>0</v>
      </c>
      <c r="AW258" s="34">
        <v>0</v>
      </c>
    </row>
    <row r="259" spans="1:55">
      <c r="A259" s="33" t="s">
        <v>2052</v>
      </c>
      <c r="B259" s="33" t="s">
        <v>2053</v>
      </c>
      <c r="C259" s="34">
        <v>0</v>
      </c>
      <c r="D259" s="34">
        <v>34.926873127999997</v>
      </c>
      <c r="E259" s="34">
        <v>41.003876634999997</v>
      </c>
      <c r="F259" s="34">
        <v>42.176019795000002</v>
      </c>
      <c r="G259" s="34">
        <v>47.917186260000001</v>
      </c>
      <c r="H259" s="34">
        <v>51.241893494999999</v>
      </c>
      <c r="I259" s="34">
        <v>51.840095083000001</v>
      </c>
      <c r="J259" s="34">
        <v>47.715449212000003</v>
      </c>
      <c r="K259" s="34">
        <v>54.543010492000001</v>
      </c>
      <c r="L259" s="34">
        <v>62.327518425000001</v>
      </c>
      <c r="M259" s="34">
        <v>70.980186025999998</v>
      </c>
      <c r="Z259" s="34" t="s">
        <v>2053</v>
      </c>
      <c r="AA259" s="34">
        <v>51.241893494999999</v>
      </c>
      <c r="AB259" s="34">
        <v>50.005682769000003</v>
      </c>
      <c r="AC259" s="34">
        <v>51.719135082999998</v>
      </c>
      <c r="AD259" s="10">
        <v>51.840095083000001</v>
      </c>
      <c r="AE259" s="34">
        <v>52.015095082999999</v>
      </c>
      <c r="AF259" s="34">
        <v>52.206451496</v>
      </c>
      <c r="AG259" s="34">
        <v>52.981767445999999</v>
      </c>
      <c r="AH259" s="10">
        <v>53.130319661000001</v>
      </c>
      <c r="AI259" s="34">
        <v>47.794601190000002</v>
      </c>
      <c r="AJ259" s="34">
        <v>51.849991189999997</v>
      </c>
      <c r="AK259" s="34">
        <v>47.369651320999999</v>
      </c>
      <c r="AM259" s="34">
        <v>54.543010492000001</v>
      </c>
      <c r="AN259" s="34">
        <v>54.543010492000001</v>
      </c>
      <c r="AO259" s="34">
        <v>54.708310492000003</v>
      </c>
      <c r="AP259" s="10">
        <v>62.327518425000001</v>
      </c>
      <c r="AQ259" s="34">
        <v>62.557518424999998</v>
      </c>
      <c r="AR259" s="34">
        <v>63.816758981</v>
      </c>
      <c r="AS259" s="34">
        <v>63.816758981</v>
      </c>
      <c r="AT259" s="10">
        <v>70.980186025999998</v>
      </c>
      <c r="AU259" s="34">
        <v>70.898937235000005</v>
      </c>
      <c r="AV259" s="34">
        <v>82.311042689000004</v>
      </c>
      <c r="AW259" s="34">
        <v>82.91</v>
      </c>
    </row>
    <row r="260" spans="1:55">
      <c r="A260" s="33" t="s">
        <v>2054</v>
      </c>
      <c r="B260" s="33" t="s">
        <v>2055</v>
      </c>
      <c r="C260" s="34">
        <v>0</v>
      </c>
      <c r="D260" s="34">
        <v>28.891223789000001</v>
      </c>
      <c r="E260" s="34">
        <v>34.926873127999997</v>
      </c>
      <c r="F260" s="34">
        <v>41.003876634999997</v>
      </c>
      <c r="G260" s="34">
        <v>42.176019795000002</v>
      </c>
      <c r="H260" s="34">
        <v>47.917186260000001</v>
      </c>
      <c r="I260" s="34">
        <v>51.241893494999999</v>
      </c>
      <c r="J260" s="34">
        <v>51.184779132999999</v>
      </c>
      <c r="K260" s="34">
        <v>47.715449212000003</v>
      </c>
      <c r="L260" s="34">
        <v>54.543010492000001</v>
      </c>
      <c r="M260" s="34">
        <v>62.327518425000001</v>
      </c>
      <c r="Z260" s="34" t="s">
        <v>2055</v>
      </c>
      <c r="AA260" s="34">
        <v>51.241893494999999</v>
      </c>
      <c r="AB260" s="34">
        <v>51.241893494999999</v>
      </c>
      <c r="AC260" s="34">
        <v>51.241893494999999</v>
      </c>
      <c r="AD260" s="10">
        <v>51.241893494999999</v>
      </c>
      <c r="AE260" s="34">
        <v>51.184779132999999</v>
      </c>
      <c r="AF260" s="34">
        <v>51.184779132999999</v>
      </c>
      <c r="AG260" s="34">
        <v>51.184779132999999</v>
      </c>
      <c r="AH260" s="10">
        <v>51.184779132999999</v>
      </c>
      <c r="AI260" s="34">
        <v>47.715449212000003</v>
      </c>
      <c r="AJ260" s="34">
        <v>47.715449212000003</v>
      </c>
      <c r="AK260" s="34">
        <v>47.715449212000003</v>
      </c>
      <c r="AM260" s="34">
        <v>54.543010492000001</v>
      </c>
      <c r="AN260" s="34">
        <v>54.543010492000001</v>
      </c>
      <c r="AO260" s="34">
        <v>54.543010492000001</v>
      </c>
      <c r="AP260" s="10">
        <v>54.543010492000001</v>
      </c>
      <c r="AQ260" s="34">
        <v>62.327518425000001</v>
      </c>
      <c r="AR260" s="34">
        <v>62.327518425000001</v>
      </c>
      <c r="AS260" s="34">
        <v>62.327518425000001</v>
      </c>
      <c r="AT260" s="10">
        <v>62.327518425000001</v>
      </c>
      <c r="AU260" s="34">
        <v>70.980186025999998</v>
      </c>
      <c r="AV260" s="34">
        <v>70.980186025999998</v>
      </c>
      <c r="AW260" s="34">
        <v>70.98</v>
      </c>
    </row>
    <row r="261" spans="1:55">
      <c r="A261" s="33" t="s">
        <v>2056</v>
      </c>
      <c r="B261" s="33" t="s">
        <v>2057</v>
      </c>
      <c r="C261" s="34">
        <v>0</v>
      </c>
      <c r="D261" s="34">
        <v>6.0356493389999999</v>
      </c>
      <c r="E261" s="34">
        <v>6.0770035069999997</v>
      </c>
      <c r="F261" s="34">
        <v>1.1721431600000001</v>
      </c>
      <c r="G261" s="34">
        <v>7.4950244230000003</v>
      </c>
      <c r="H261" s="34">
        <v>3.324707235</v>
      </c>
      <c r="I261" s="34">
        <v>2.2490963640000001</v>
      </c>
      <c r="J261" s="34">
        <v>1.2902245779999999</v>
      </c>
      <c r="K261" s="34">
        <v>12.528664916</v>
      </c>
      <c r="L261" s="34">
        <v>12.107399633</v>
      </c>
      <c r="M261" s="34">
        <v>8.787907745</v>
      </c>
      <c r="Z261" s="34" t="s">
        <v>2057</v>
      </c>
      <c r="AA261" s="34">
        <v>0</v>
      </c>
      <c r="AB261" s="34">
        <v>1.07</v>
      </c>
      <c r="AC261" s="34">
        <v>2.1281363639999999</v>
      </c>
      <c r="AD261" s="10">
        <v>2.2490963640000001</v>
      </c>
      <c r="AE261" s="34">
        <v>0.83031595000000002</v>
      </c>
      <c r="AF261" s="34">
        <v>1.021672363</v>
      </c>
      <c r="AG261" s="34">
        <v>1.7969883129999999</v>
      </c>
      <c r="AH261" s="10">
        <v>1.945540528</v>
      </c>
      <c r="AI261" s="34">
        <v>7.9151977999999998E-2</v>
      </c>
      <c r="AJ261" s="34">
        <v>4.1345419779999997</v>
      </c>
      <c r="AK261" s="34">
        <v>4.6999897949999996</v>
      </c>
      <c r="AM261" s="34">
        <v>0</v>
      </c>
      <c r="AN261" s="34">
        <v>0</v>
      </c>
      <c r="AO261" s="34">
        <v>0.1653</v>
      </c>
      <c r="AP261" s="10">
        <v>12.107399633</v>
      </c>
      <c r="AQ261" s="34">
        <v>0.23</v>
      </c>
      <c r="AR261" s="34">
        <v>1.6244807000000001</v>
      </c>
      <c r="AS261" s="34">
        <v>1.6244807000000001</v>
      </c>
      <c r="AT261" s="10">
        <v>8.787907745</v>
      </c>
      <c r="AU261" s="34">
        <v>0.192</v>
      </c>
      <c r="AV261" s="34">
        <v>12.476741817000001</v>
      </c>
      <c r="AW261" s="34">
        <v>13.08</v>
      </c>
      <c r="AY261" s="53">
        <f>SUM(AY262:AY299)</f>
        <v>8.1944432029999987</v>
      </c>
      <c r="AZ261" s="53">
        <f>SUM(AZ262:AZ299)</f>
        <v>8.0171104179999979</v>
      </c>
      <c r="BA261" s="53">
        <f>SUM(BA262:BA299)</f>
        <v>11.443501807000006</v>
      </c>
    </row>
    <row r="262" spans="1:55">
      <c r="A262" s="33" t="s">
        <v>2058</v>
      </c>
      <c r="B262" s="33" t="s">
        <v>2059</v>
      </c>
      <c r="C262" s="34">
        <v>0</v>
      </c>
      <c r="D262" s="34">
        <v>0</v>
      </c>
      <c r="E262" s="34">
        <v>0</v>
      </c>
      <c r="F262" s="34">
        <v>0</v>
      </c>
      <c r="G262" s="34">
        <v>-1.753857958</v>
      </c>
      <c r="H262" s="34">
        <v>0</v>
      </c>
      <c r="I262" s="34">
        <v>-1.6508947759999999</v>
      </c>
      <c r="J262" s="34">
        <v>-4.759554499</v>
      </c>
      <c r="K262" s="34">
        <v>-5.701103636</v>
      </c>
      <c r="L262" s="34">
        <v>-4.3228916999999996</v>
      </c>
      <c r="M262" s="34">
        <v>-0.13524014400000001</v>
      </c>
      <c r="Z262" s="34" t="s">
        <v>2059</v>
      </c>
      <c r="AA262" s="34">
        <v>0</v>
      </c>
      <c r="AB262" s="34">
        <v>-2.3062107260000002</v>
      </c>
      <c r="AC262" s="34">
        <v>-1.6508947759999999</v>
      </c>
      <c r="AD262" s="10">
        <v>-1.6508947759999999</v>
      </c>
      <c r="AE262" s="34">
        <v>0</v>
      </c>
      <c r="AF262" s="34">
        <v>0</v>
      </c>
      <c r="AG262" s="34">
        <v>0</v>
      </c>
      <c r="AH262" s="10">
        <v>0</v>
      </c>
      <c r="AI262" s="34">
        <v>0</v>
      </c>
      <c r="AJ262" s="34">
        <v>0</v>
      </c>
      <c r="AK262" s="34">
        <v>-5.0457876859999997</v>
      </c>
      <c r="AM262" s="34">
        <v>0</v>
      </c>
      <c r="AN262" s="34">
        <v>0</v>
      </c>
      <c r="AO262" s="34">
        <v>0</v>
      </c>
      <c r="AP262" s="10">
        <v>-4.3228916999999996</v>
      </c>
      <c r="AQ262" s="34">
        <v>0</v>
      </c>
      <c r="AR262" s="34">
        <v>-0.13524014400000001</v>
      </c>
      <c r="AS262" s="34">
        <v>-0.13524014400000001</v>
      </c>
      <c r="AT262" s="10">
        <v>-0.13524014400000001</v>
      </c>
      <c r="AU262" s="34">
        <v>-0.27324879099999999</v>
      </c>
      <c r="AV262" s="34">
        <v>-1.1458851539999999</v>
      </c>
      <c r="AW262" s="34">
        <v>-1.1499999999999999</v>
      </c>
      <c r="AY262" s="53"/>
      <c r="AZ262" s="53"/>
      <c r="BA262" s="53"/>
    </row>
    <row r="263" spans="1:55" s="41" customFormat="1">
      <c r="A263" s="40" t="s">
        <v>2060</v>
      </c>
      <c r="B263" s="40" t="s">
        <v>2061</v>
      </c>
      <c r="C263" s="41">
        <v>0</v>
      </c>
      <c r="D263" s="41">
        <v>12.327333308</v>
      </c>
      <c r="E263" s="41">
        <v>14.975413206000001</v>
      </c>
      <c r="F263" s="41">
        <v>17.917079203</v>
      </c>
      <c r="G263" s="41">
        <v>19.974527933000001</v>
      </c>
      <c r="H263" s="41">
        <v>24.730492757</v>
      </c>
      <c r="I263" s="41">
        <v>28.480701987</v>
      </c>
      <c r="J263" s="41">
        <v>27.803886728999998</v>
      </c>
      <c r="K263" s="41">
        <v>27.265904888000001</v>
      </c>
      <c r="L263" s="41">
        <v>28.224494438000001</v>
      </c>
      <c r="M263" s="41">
        <v>38.697242527</v>
      </c>
      <c r="O263" s="7"/>
      <c r="P263" s="7"/>
      <c r="Z263" s="41" t="s">
        <v>2061</v>
      </c>
      <c r="AA263" s="41">
        <v>25.769673419</v>
      </c>
      <c r="AB263" s="41">
        <v>26.139778676999999</v>
      </c>
      <c r="AC263" s="41">
        <v>27.954970954</v>
      </c>
      <c r="AD263" s="11">
        <v>21.850493345</v>
      </c>
      <c r="AE263" s="41">
        <v>30.127500147999999</v>
      </c>
      <c r="AF263" s="41">
        <v>30.487185089</v>
      </c>
      <c r="AG263" s="41">
        <v>32.186896683000001</v>
      </c>
      <c r="AH263" s="11">
        <v>33.218757177999997</v>
      </c>
      <c r="AI263" s="41">
        <v>28.845016003000001</v>
      </c>
      <c r="AJ263" s="41">
        <v>30.059517192000001</v>
      </c>
      <c r="AK263" s="41">
        <v>26.224272717000002</v>
      </c>
      <c r="AL263" s="11"/>
      <c r="AM263" s="41">
        <v>28.502361937</v>
      </c>
      <c r="AN263" s="41">
        <v>29.738818981000001</v>
      </c>
      <c r="AO263" s="41">
        <v>30.984459361999999</v>
      </c>
      <c r="AP263" s="11">
        <v>28.224494438000001</v>
      </c>
      <c r="AQ263" s="41">
        <v>29.816927193000001</v>
      </c>
      <c r="AR263" s="41">
        <v>31.289541853999999</v>
      </c>
      <c r="AS263" s="41">
        <v>32.867516707999997</v>
      </c>
      <c r="AT263" s="11">
        <v>38.697242527</v>
      </c>
      <c r="AU263" s="41">
        <v>40.111983148</v>
      </c>
      <c r="AV263" s="41">
        <v>41.200965009999997</v>
      </c>
      <c r="AW263" s="41">
        <v>43.31</v>
      </c>
      <c r="AY263" s="55">
        <f>AU263-AT263</f>
        <v>1.414740621</v>
      </c>
      <c r="AZ263" s="55">
        <f>AV263-AU263</f>
        <v>1.0889818619999971</v>
      </c>
      <c r="BA263" s="55">
        <f>AW263-AV263</f>
        <v>2.1090349900000049</v>
      </c>
      <c r="BC263" s="55">
        <f>AT263-AP263</f>
        <v>10.472748089</v>
      </c>
    </row>
    <row r="264" spans="1:55">
      <c r="A264" s="33" t="s">
        <v>2054</v>
      </c>
      <c r="B264" s="33" t="s">
        <v>2062</v>
      </c>
      <c r="C264" s="34">
        <v>0</v>
      </c>
      <c r="D264" s="34">
        <v>9.2164622660000006</v>
      </c>
      <c r="E264" s="34">
        <v>12.327333308</v>
      </c>
      <c r="F264" s="34">
        <v>14.975413206000001</v>
      </c>
      <c r="G264" s="34">
        <v>17.917079203</v>
      </c>
      <c r="H264" s="34">
        <v>19.974527933000001</v>
      </c>
      <c r="I264" s="34">
        <v>24.730492757</v>
      </c>
      <c r="J264" s="34">
        <v>28.480701987</v>
      </c>
      <c r="K264" s="34">
        <v>27.803886728999998</v>
      </c>
      <c r="L264" s="34">
        <v>27.265904888000001</v>
      </c>
      <c r="M264" s="34">
        <v>28.224494438000001</v>
      </c>
      <c r="Z264" s="34" t="s">
        <v>2062</v>
      </c>
      <c r="AA264" s="34">
        <v>24.730492757</v>
      </c>
      <c r="AB264" s="34">
        <v>24.730492757</v>
      </c>
      <c r="AC264" s="34">
        <v>24.730492757</v>
      </c>
      <c r="AD264" s="10">
        <v>24.730492757</v>
      </c>
      <c r="AE264" s="34">
        <v>28.480701987</v>
      </c>
      <c r="AF264" s="34">
        <v>28.480701987</v>
      </c>
      <c r="AG264" s="34">
        <v>28.480701987</v>
      </c>
      <c r="AH264" s="10">
        <v>28.480701987</v>
      </c>
      <c r="AI264" s="34">
        <v>27.803886728999998</v>
      </c>
      <c r="AJ264" s="34">
        <v>27.803886728999998</v>
      </c>
      <c r="AK264" s="34">
        <v>27.803886728999998</v>
      </c>
      <c r="AM264" s="34">
        <v>27.265904888000001</v>
      </c>
      <c r="AN264" s="34">
        <v>27.265904888000001</v>
      </c>
      <c r="AO264" s="34">
        <v>27.265904888000001</v>
      </c>
      <c r="AP264" s="10">
        <v>27.265904888000001</v>
      </c>
      <c r="AQ264" s="34">
        <v>28.224494438000001</v>
      </c>
      <c r="AR264" s="34">
        <v>28.224494438000001</v>
      </c>
      <c r="AS264" s="34">
        <v>28.224494438000001</v>
      </c>
      <c r="AT264" s="10">
        <v>28.224494438000001</v>
      </c>
      <c r="AU264" s="34">
        <v>38.697242527</v>
      </c>
      <c r="AV264" s="34">
        <v>38.697242527</v>
      </c>
      <c r="AW264" s="34">
        <v>38.700000000000003</v>
      </c>
      <c r="AY264" s="53"/>
      <c r="AZ264" s="53"/>
      <c r="BA264" s="53"/>
    </row>
    <row r="265" spans="1:55">
      <c r="A265" s="33" t="s">
        <v>2056</v>
      </c>
      <c r="B265" s="33" t="s">
        <v>2057</v>
      </c>
      <c r="C265" s="34">
        <v>0</v>
      </c>
      <c r="D265" s="34">
        <v>3.1108710419999999</v>
      </c>
      <c r="E265" s="34">
        <v>2.6480798980000002</v>
      </c>
      <c r="F265" s="34">
        <v>2.9416659969999999</v>
      </c>
      <c r="G265" s="34">
        <v>3.8113066880000002</v>
      </c>
      <c r="H265" s="34">
        <v>5.3908604320000002</v>
      </c>
      <c r="I265" s="34">
        <v>4.5129721140000001</v>
      </c>
      <c r="J265" s="34">
        <v>4.0827392409999996</v>
      </c>
      <c r="K265" s="34">
        <v>5.12387937</v>
      </c>
      <c r="L265" s="34">
        <v>5.1013607619999997</v>
      </c>
      <c r="M265" s="34">
        <v>10.607988233</v>
      </c>
      <c r="Z265" s="34" t="s">
        <v>2057</v>
      </c>
      <c r="AA265" s="34">
        <v>1.0391806619999999</v>
      </c>
      <c r="AB265" s="34">
        <v>2.1720488040000001</v>
      </c>
      <c r="AC265" s="34">
        <v>3.9872410810000001</v>
      </c>
      <c r="AD265" s="10">
        <v>0.76276288400000003</v>
      </c>
      <c r="AE265" s="34">
        <v>1.646798161</v>
      </c>
      <c r="AF265" s="34">
        <v>2.0064831019999998</v>
      </c>
      <c r="AG265" s="34">
        <v>3.7061946959999998</v>
      </c>
      <c r="AH265" s="10">
        <v>4.7380551909999999</v>
      </c>
      <c r="AI265" s="34">
        <v>1.041129274</v>
      </c>
      <c r="AJ265" s="34">
        <v>2.2556304630000001</v>
      </c>
      <c r="AK265" s="34">
        <v>4.0822471990000002</v>
      </c>
      <c r="AM265" s="34">
        <v>1.236457049</v>
      </c>
      <c r="AN265" s="34">
        <v>2.472914093</v>
      </c>
      <c r="AO265" s="34">
        <v>3.7185544739999998</v>
      </c>
      <c r="AP265" s="10">
        <v>5.1013607619999997</v>
      </c>
      <c r="AQ265" s="34">
        <v>1.5924327549999999</v>
      </c>
      <c r="AR265" s="34">
        <v>3.20028756</v>
      </c>
      <c r="AS265" s="34">
        <v>4.7782624140000003</v>
      </c>
      <c r="AT265" s="10">
        <v>10.607988233</v>
      </c>
      <c r="AU265" s="34">
        <v>1.6879894120000001</v>
      </c>
      <c r="AV265" s="34">
        <v>3.3822111910000001</v>
      </c>
      <c r="AW265" s="34">
        <v>5.62</v>
      </c>
      <c r="AY265" s="53"/>
      <c r="AZ265" s="53"/>
      <c r="BA265" s="53"/>
    </row>
    <row r="266" spans="1:55">
      <c r="A266" s="33" t="s">
        <v>2058</v>
      </c>
      <c r="B266" s="33" t="s">
        <v>2059</v>
      </c>
      <c r="C266" s="34">
        <v>0</v>
      </c>
      <c r="D266" s="34">
        <v>0</v>
      </c>
      <c r="E266" s="34">
        <v>0</v>
      </c>
      <c r="F266" s="34">
        <v>0</v>
      </c>
      <c r="G266" s="34">
        <v>-1.753857958</v>
      </c>
      <c r="H266" s="34">
        <v>-0.634895608</v>
      </c>
      <c r="I266" s="34">
        <v>-0.76276288400000003</v>
      </c>
      <c r="J266" s="34">
        <v>-4.759554499</v>
      </c>
      <c r="K266" s="34">
        <v>-5.6618612109999997</v>
      </c>
      <c r="L266" s="34">
        <v>-4.1427712120000004</v>
      </c>
      <c r="M266" s="34">
        <v>-0.13524014400000001</v>
      </c>
      <c r="Z266" s="34" t="s">
        <v>2059</v>
      </c>
      <c r="AA266" s="34">
        <v>0</v>
      </c>
      <c r="AB266" s="34">
        <v>-0.76276288400000003</v>
      </c>
      <c r="AC266" s="34">
        <v>-0.76276288400000003</v>
      </c>
      <c r="AD266" s="10">
        <v>-3.6427622959999999</v>
      </c>
      <c r="AE266" s="34">
        <v>0</v>
      </c>
      <c r="AF266" s="34">
        <v>0</v>
      </c>
      <c r="AG266" s="34">
        <v>0</v>
      </c>
      <c r="AH266" s="10">
        <v>0</v>
      </c>
      <c r="AI266" s="34">
        <v>0</v>
      </c>
      <c r="AJ266" s="34">
        <v>0</v>
      </c>
      <c r="AK266" s="34">
        <v>-5.6618612109999997</v>
      </c>
      <c r="AM266" s="34">
        <v>0</v>
      </c>
      <c r="AN266" s="34">
        <v>0</v>
      </c>
      <c r="AO266" s="34">
        <v>0</v>
      </c>
      <c r="AP266" s="10">
        <v>-4.1427712120000004</v>
      </c>
      <c r="AQ266" s="34">
        <v>0</v>
      </c>
      <c r="AR266" s="34">
        <v>-0.13524014400000001</v>
      </c>
      <c r="AS266" s="34">
        <v>-0.13524014400000001</v>
      </c>
      <c r="AT266" s="10">
        <v>-0.13524014400000001</v>
      </c>
      <c r="AU266" s="34">
        <v>-0.27324879099999999</v>
      </c>
      <c r="AV266" s="34">
        <v>-0.87848870800000001</v>
      </c>
      <c r="AW266" s="34">
        <v>-1</v>
      </c>
      <c r="AY266" s="53"/>
      <c r="AZ266" s="53"/>
      <c r="BA266" s="53"/>
    </row>
    <row r="267" spans="1:55">
      <c r="A267" s="33" t="s">
        <v>2063</v>
      </c>
      <c r="B267" s="33" t="s">
        <v>2064</v>
      </c>
      <c r="C267" s="34">
        <v>0</v>
      </c>
      <c r="D267" s="34">
        <v>0</v>
      </c>
      <c r="E267" s="34">
        <v>0</v>
      </c>
      <c r="F267" s="34">
        <v>0</v>
      </c>
      <c r="G267" s="34">
        <v>0</v>
      </c>
      <c r="H267" s="34">
        <v>0</v>
      </c>
      <c r="I267" s="34">
        <v>0</v>
      </c>
      <c r="J267" s="34">
        <v>0</v>
      </c>
      <c r="K267" s="34">
        <v>0</v>
      </c>
      <c r="L267" s="34">
        <v>0</v>
      </c>
      <c r="M267" s="34">
        <v>0</v>
      </c>
      <c r="Z267" s="34" t="s">
        <v>2064</v>
      </c>
      <c r="AA267" s="34">
        <v>0</v>
      </c>
      <c r="AB267" s="34">
        <v>0</v>
      </c>
      <c r="AC267" s="34">
        <v>0</v>
      </c>
      <c r="AD267" s="10">
        <v>0</v>
      </c>
      <c r="AE267" s="34">
        <v>0</v>
      </c>
      <c r="AF267" s="34">
        <v>0</v>
      </c>
      <c r="AG267" s="34">
        <v>0</v>
      </c>
      <c r="AH267" s="10">
        <v>0</v>
      </c>
      <c r="AI267" s="34">
        <v>0</v>
      </c>
      <c r="AJ267" s="34">
        <v>0</v>
      </c>
      <c r="AK267" s="34">
        <v>0</v>
      </c>
      <c r="AM267" s="34">
        <v>0</v>
      </c>
      <c r="AN267" s="34">
        <v>0</v>
      </c>
      <c r="AO267" s="34">
        <v>0</v>
      </c>
      <c r="AP267" s="10">
        <v>0</v>
      </c>
      <c r="AQ267" s="34">
        <v>0</v>
      </c>
      <c r="AR267" s="34">
        <v>0</v>
      </c>
      <c r="AS267" s="34">
        <v>0</v>
      </c>
      <c r="AT267" s="10">
        <v>0</v>
      </c>
      <c r="AU267" s="34">
        <v>0</v>
      </c>
      <c r="AV267" s="34">
        <v>0</v>
      </c>
      <c r="AW267" s="34">
        <v>0</v>
      </c>
      <c r="AY267" s="53"/>
      <c r="AZ267" s="53"/>
      <c r="BA267" s="53"/>
    </row>
    <row r="268" spans="1:55">
      <c r="A268" s="33" t="s">
        <v>2054</v>
      </c>
      <c r="B268" s="33" t="s">
        <v>2055</v>
      </c>
      <c r="C268" s="34">
        <v>0</v>
      </c>
      <c r="D268" s="34">
        <v>0</v>
      </c>
      <c r="E268" s="34">
        <v>0</v>
      </c>
      <c r="F268" s="34">
        <v>0</v>
      </c>
      <c r="G268" s="34">
        <v>0</v>
      </c>
      <c r="H268" s="34">
        <v>0</v>
      </c>
      <c r="I268" s="34">
        <v>0</v>
      </c>
      <c r="J268" s="34">
        <v>0</v>
      </c>
      <c r="K268" s="34">
        <v>0</v>
      </c>
      <c r="L268" s="34">
        <v>0</v>
      </c>
      <c r="M268" s="34">
        <v>0</v>
      </c>
      <c r="Z268" s="34" t="s">
        <v>2055</v>
      </c>
      <c r="AA268" s="34">
        <v>0</v>
      </c>
      <c r="AB268" s="34">
        <v>0</v>
      </c>
      <c r="AC268" s="34">
        <v>0</v>
      </c>
      <c r="AD268" s="10">
        <v>0</v>
      </c>
      <c r="AE268" s="34">
        <v>0</v>
      </c>
      <c r="AF268" s="34">
        <v>0</v>
      </c>
      <c r="AG268" s="34">
        <v>0</v>
      </c>
      <c r="AH268" s="10">
        <v>0</v>
      </c>
      <c r="AI268" s="34">
        <v>0</v>
      </c>
      <c r="AJ268" s="34">
        <v>0</v>
      </c>
      <c r="AK268" s="34">
        <v>0</v>
      </c>
      <c r="AM268" s="34">
        <v>0</v>
      </c>
      <c r="AN268" s="34">
        <v>0</v>
      </c>
      <c r="AO268" s="34">
        <v>0</v>
      </c>
      <c r="AP268" s="10">
        <v>0</v>
      </c>
      <c r="AQ268" s="34">
        <v>0</v>
      </c>
      <c r="AR268" s="34">
        <v>0</v>
      </c>
      <c r="AS268" s="34">
        <v>0</v>
      </c>
      <c r="AT268" s="10">
        <v>0</v>
      </c>
      <c r="AU268" s="34">
        <v>0</v>
      </c>
      <c r="AV268" s="34">
        <v>0</v>
      </c>
      <c r="AW268" s="34">
        <v>0</v>
      </c>
      <c r="AY268" s="53"/>
      <c r="AZ268" s="53"/>
      <c r="BA268" s="53"/>
    </row>
    <row r="269" spans="1:55">
      <c r="A269" s="33" t="s">
        <v>2056</v>
      </c>
      <c r="B269" s="33" t="s">
        <v>2057</v>
      </c>
      <c r="C269" s="34">
        <v>0</v>
      </c>
      <c r="D269" s="34">
        <v>0</v>
      </c>
      <c r="E269" s="34">
        <v>0</v>
      </c>
      <c r="F269" s="34">
        <v>0</v>
      </c>
      <c r="G269" s="34">
        <v>0</v>
      </c>
      <c r="H269" s="34">
        <v>0</v>
      </c>
      <c r="I269" s="34">
        <v>0</v>
      </c>
      <c r="J269" s="34">
        <v>0</v>
      </c>
      <c r="K269" s="34">
        <v>0</v>
      </c>
      <c r="L269" s="34">
        <v>0</v>
      </c>
      <c r="M269" s="34">
        <v>0</v>
      </c>
      <c r="Z269" s="34" t="s">
        <v>2057</v>
      </c>
      <c r="AA269" s="34">
        <v>0</v>
      </c>
      <c r="AB269" s="34">
        <v>0</v>
      </c>
      <c r="AC269" s="34">
        <v>0</v>
      </c>
      <c r="AD269" s="10">
        <v>0</v>
      </c>
      <c r="AE269" s="34">
        <v>0</v>
      </c>
      <c r="AF269" s="34">
        <v>0</v>
      </c>
      <c r="AG269" s="34">
        <v>0</v>
      </c>
      <c r="AH269" s="10">
        <v>0</v>
      </c>
      <c r="AI269" s="34">
        <v>0</v>
      </c>
      <c r="AJ269" s="34">
        <v>0</v>
      </c>
      <c r="AK269" s="34">
        <v>0</v>
      </c>
      <c r="AM269" s="34">
        <v>0</v>
      </c>
      <c r="AN269" s="34">
        <v>0</v>
      </c>
      <c r="AO269" s="34">
        <v>0</v>
      </c>
      <c r="AP269" s="10">
        <v>0</v>
      </c>
      <c r="AQ269" s="34">
        <v>0</v>
      </c>
      <c r="AR269" s="34">
        <v>0</v>
      </c>
      <c r="AS269" s="34">
        <v>0</v>
      </c>
      <c r="AT269" s="10">
        <v>0</v>
      </c>
      <c r="AU269" s="34">
        <v>0</v>
      </c>
      <c r="AV269" s="34">
        <v>0</v>
      </c>
      <c r="AW269" s="34">
        <v>0</v>
      </c>
      <c r="AY269" s="53"/>
      <c r="AZ269" s="53"/>
      <c r="BA269" s="53"/>
    </row>
    <row r="270" spans="1:55">
      <c r="A270" s="33" t="s">
        <v>2058</v>
      </c>
      <c r="B270" s="33" t="s">
        <v>2059</v>
      </c>
      <c r="C270" s="34">
        <v>0</v>
      </c>
      <c r="D270" s="34">
        <v>0</v>
      </c>
      <c r="E270" s="34">
        <v>0</v>
      </c>
      <c r="F270" s="34">
        <v>0</v>
      </c>
      <c r="G270" s="34">
        <v>0</v>
      </c>
      <c r="H270" s="34">
        <v>0</v>
      </c>
      <c r="I270" s="34">
        <v>0</v>
      </c>
      <c r="J270" s="34">
        <v>0</v>
      </c>
      <c r="K270" s="34">
        <v>0</v>
      </c>
      <c r="L270" s="34">
        <v>0</v>
      </c>
      <c r="M270" s="34">
        <v>0</v>
      </c>
      <c r="Z270" s="34" t="s">
        <v>2059</v>
      </c>
      <c r="AA270" s="34">
        <v>0</v>
      </c>
      <c r="AB270" s="34">
        <v>0</v>
      </c>
      <c r="AC270" s="34">
        <v>0</v>
      </c>
      <c r="AD270" s="10">
        <v>0</v>
      </c>
      <c r="AE270" s="34">
        <v>0</v>
      </c>
      <c r="AF270" s="34">
        <v>0</v>
      </c>
      <c r="AG270" s="34">
        <v>0</v>
      </c>
      <c r="AH270" s="10">
        <v>0</v>
      </c>
      <c r="AI270" s="34">
        <v>0</v>
      </c>
      <c r="AJ270" s="34">
        <v>0</v>
      </c>
      <c r="AK270" s="34">
        <v>0</v>
      </c>
      <c r="AM270" s="34">
        <v>0</v>
      </c>
      <c r="AN270" s="34">
        <v>0</v>
      </c>
      <c r="AO270" s="34">
        <v>0</v>
      </c>
      <c r="AP270" s="10">
        <v>0</v>
      </c>
      <c r="AQ270" s="34">
        <v>0</v>
      </c>
      <c r="AR270" s="34">
        <v>0</v>
      </c>
      <c r="AS270" s="34">
        <v>0</v>
      </c>
      <c r="AT270" s="10">
        <v>0</v>
      </c>
      <c r="AU270" s="34">
        <v>0</v>
      </c>
      <c r="AV270" s="34">
        <v>0</v>
      </c>
      <c r="AW270" s="34">
        <v>0</v>
      </c>
      <c r="AY270" s="53"/>
      <c r="AZ270" s="53"/>
      <c r="BA270" s="53"/>
    </row>
    <row r="271" spans="1:55">
      <c r="A271" s="33" t="s">
        <v>2065</v>
      </c>
      <c r="B271" s="33" t="s">
        <v>2066</v>
      </c>
      <c r="C271" s="34">
        <v>0</v>
      </c>
      <c r="D271" s="34">
        <v>0</v>
      </c>
      <c r="E271" s="34">
        <v>0</v>
      </c>
      <c r="F271" s="34">
        <v>0</v>
      </c>
      <c r="G271" s="34">
        <v>0</v>
      </c>
      <c r="H271" s="34">
        <v>0</v>
      </c>
      <c r="I271" s="34">
        <v>0</v>
      </c>
      <c r="J271" s="34">
        <v>0</v>
      </c>
      <c r="K271" s="34">
        <v>0</v>
      </c>
      <c r="L271" s="34">
        <v>0</v>
      </c>
      <c r="M271" s="34">
        <v>0</v>
      </c>
      <c r="Z271" s="34" t="s">
        <v>2066</v>
      </c>
      <c r="AA271" s="34">
        <v>0</v>
      </c>
      <c r="AB271" s="34">
        <v>0</v>
      </c>
      <c r="AC271" s="34">
        <v>0</v>
      </c>
      <c r="AD271" s="10">
        <v>0</v>
      </c>
      <c r="AE271" s="34">
        <v>0</v>
      </c>
      <c r="AF271" s="34">
        <v>0</v>
      </c>
      <c r="AG271" s="34">
        <v>0</v>
      </c>
      <c r="AH271" s="10">
        <v>0</v>
      </c>
      <c r="AI271" s="34">
        <v>0</v>
      </c>
      <c r="AJ271" s="34">
        <v>0</v>
      </c>
      <c r="AK271" s="34">
        <v>0</v>
      </c>
      <c r="AM271" s="34">
        <v>0</v>
      </c>
      <c r="AN271" s="34">
        <v>0</v>
      </c>
      <c r="AO271" s="34">
        <v>0</v>
      </c>
      <c r="AP271" s="10">
        <v>0</v>
      </c>
      <c r="AQ271" s="34">
        <v>0</v>
      </c>
      <c r="AR271" s="34">
        <v>0</v>
      </c>
      <c r="AS271" s="34">
        <v>0</v>
      </c>
      <c r="AT271" s="10">
        <v>0</v>
      </c>
      <c r="AU271" s="34">
        <v>0</v>
      </c>
      <c r="AV271" s="34">
        <v>0</v>
      </c>
      <c r="AW271" s="34">
        <v>0</v>
      </c>
      <c r="AY271" s="53"/>
      <c r="AZ271" s="53"/>
      <c r="BA271" s="53"/>
    </row>
    <row r="272" spans="1:55">
      <c r="A272" s="33" t="s">
        <v>2054</v>
      </c>
      <c r="B272" s="33" t="s">
        <v>2062</v>
      </c>
      <c r="C272" s="34">
        <v>0</v>
      </c>
      <c r="D272" s="34">
        <v>0</v>
      </c>
      <c r="E272" s="34">
        <v>0</v>
      </c>
      <c r="F272" s="34">
        <v>0</v>
      </c>
      <c r="G272" s="34">
        <v>0</v>
      </c>
      <c r="H272" s="34">
        <v>0</v>
      </c>
      <c r="I272" s="34">
        <v>0</v>
      </c>
      <c r="J272" s="34">
        <v>0</v>
      </c>
      <c r="K272" s="34">
        <v>0</v>
      </c>
      <c r="L272" s="34">
        <v>0</v>
      </c>
      <c r="M272" s="34">
        <v>0</v>
      </c>
      <c r="Z272" s="34" t="s">
        <v>2062</v>
      </c>
      <c r="AA272" s="34">
        <v>0</v>
      </c>
      <c r="AB272" s="34">
        <v>0</v>
      </c>
      <c r="AC272" s="34">
        <v>0</v>
      </c>
      <c r="AD272" s="10">
        <v>0</v>
      </c>
      <c r="AE272" s="34">
        <v>0</v>
      </c>
      <c r="AF272" s="34">
        <v>0</v>
      </c>
      <c r="AG272" s="34">
        <v>0</v>
      </c>
      <c r="AH272" s="10">
        <v>0</v>
      </c>
      <c r="AI272" s="34">
        <v>0</v>
      </c>
      <c r="AJ272" s="34">
        <v>0</v>
      </c>
      <c r="AK272" s="34">
        <v>0</v>
      </c>
      <c r="AM272" s="34">
        <v>0</v>
      </c>
      <c r="AN272" s="34">
        <v>0</v>
      </c>
      <c r="AO272" s="34">
        <v>0</v>
      </c>
      <c r="AP272" s="10">
        <v>0</v>
      </c>
      <c r="AQ272" s="34">
        <v>0</v>
      </c>
      <c r="AR272" s="34">
        <v>0</v>
      </c>
      <c r="AS272" s="34">
        <v>0</v>
      </c>
      <c r="AT272" s="10">
        <v>0</v>
      </c>
      <c r="AU272" s="34">
        <v>0</v>
      </c>
      <c r="AV272" s="34">
        <v>0</v>
      </c>
      <c r="AW272" s="34">
        <v>0</v>
      </c>
      <c r="AY272" s="53"/>
      <c r="AZ272" s="53"/>
      <c r="BA272" s="53"/>
    </row>
    <row r="273" spans="1:55">
      <c r="A273" s="33" t="s">
        <v>2056</v>
      </c>
      <c r="B273" s="33" t="s">
        <v>2057</v>
      </c>
      <c r="C273" s="34">
        <v>0</v>
      </c>
      <c r="D273" s="34">
        <v>0</v>
      </c>
      <c r="E273" s="34">
        <v>0</v>
      </c>
      <c r="F273" s="34">
        <v>0</v>
      </c>
      <c r="G273" s="34">
        <v>0</v>
      </c>
      <c r="H273" s="34">
        <v>0</v>
      </c>
      <c r="I273" s="34">
        <v>0</v>
      </c>
      <c r="J273" s="34">
        <v>0</v>
      </c>
      <c r="K273" s="34">
        <v>0</v>
      </c>
      <c r="L273" s="34">
        <v>0</v>
      </c>
      <c r="M273" s="34">
        <v>0</v>
      </c>
      <c r="Z273" s="34" t="s">
        <v>2057</v>
      </c>
      <c r="AA273" s="34">
        <v>0</v>
      </c>
      <c r="AB273" s="34">
        <v>0</v>
      </c>
      <c r="AC273" s="34">
        <v>0</v>
      </c>
      <c r="AD273" s="10">
        <v>0</v>
      </c>
      <c r="AE273" s="34">
        <v>0</v>
      </c>
      <c r="AF273" s="34">
        <v>0</v>
      </c>
      <c r="AG273" s="34">
        <v>0</v>
      </c>
      <c r="AH273" s="10">
        <v>0</v>
      </c>
      <c r="AI273" s="34">
        <v>0</v>
      </c>
      <c r="AJ273" s="34">
        <v>0</v>
      </c>
      <c r="AK273" s="34">
        <v>0</v>
      </c>
      <c r="AM273" s="34">
        <v>0</v>
      </c>
      <c r="AN273" s="34">
        <v>0</v>
      </c>
      <c r="AO273" s="34">
        <v>0</v>
      </c>
      <c r="AP273" s="10">
        <v>0</v>
      </c>
      <c r="AQ273" s="34">
        <v>0</v>
      </c>
      <c r="AR273" s="34">
        <v>0</v>
      </c>
      <c r="AS273" s="34">
        <v>0</v>
      </c>
      <c r="AT273" s="10">
        <v>0</v>
      </c>
      <c r="AU273" s="34">
        <v>0</v>
      </c>
      <c r="AV273" s="34">
        <v>0</v>
      </c>
      <c r="AW273" s="34">
        <v>0</v>
      </c>
      <c r="AY273" s="53"/>
      <c r="AZ273" s="53"/>
      <c r="BA273" s="53"/>
    </row>
    <row r="274" spans="1:55">
      <c r="A274" s="33" t="s">
        <v>2058</v>
      </c>
      <c r="B274" s="33" t="s">
        <v>2059</v>
      </c>
      <c r="C274" s="34">
        <v>0</v>
      </c>
      <c r="D274" s="34">
        <v>0</v>
      </c>
      <c r="E274" s="34">
        <v>0</v>
      </c>
      <c r="F274" s="34">
        <v>0</v>
      </c>
      <c r="G274" s="34">
        <v>0</v>
      </c>
      <c r="H274" s="34">
        <v>0</v>
      </c>
      <c r="I274" s="34">
        <v>0</v>
      </c>
      <c r="J274" s="34">
        <v>0</v>
      </c>
      <c r="K274" s="34">
        <v>0</v>
      </c>
      <c r="L274" s="34">
        <v>0</v>
      </c>
      <c r="M274" s="34">
        <v>0</v>
      </c>
      <c r="Z274" s="34" t="s">
        <v>2059</v>
      </c>
      <c r="AA274" s="34">
        <v>0</v>
      </c>
      <c r="AB274" s="34">
        <v>0</v>
      </c>
      <c r="AC274" s="34">
        <v>0</v>
      </c>
      <c r="AD274" s="10">
        <v>0</v>
      </c>
      <c r="AE274" s="34">
        <v>0</v>
      </c>
      <c r="AF274" s="34">
        <v>0</v>
      </c>
      <c r="AG274" s="34">
        <v>0</v>
      </c>
      <c r="AH274" s="10">
        <v>0</v>
      </c>
      <c r="AI274" s="34">
        <v>0</v>
      </c>
      <c r="AJ274" s="34">
        <v>0</v>
      </c>
      <c r="AK274" s="34">
        <v>0</v>
      </c>
      <c r="AM274" s="34">
        <v>0</v>
      </c>
      <c r="AN274" s="34">
        <v>0</v>
      </c>
      <c r="AO274" s="34">
        <v>0</v>
      </c>
      <c r="AP274" s="10">
        <v>0</v>
      </c>
      <c r="AQ274" s="34">
        <v>0</v>
      </c>
      <c r="AR274" s="34">
        <v>0</v>
      </c>
      <c r="AS274" s="34">
        <v>0</v>
      </c>
      <c r="AT274" s="10">
        <v>0</v>
      </c>
      <c r="AU274" s="34">
        <v>0</v>
      </c>
      <c r="AV274" s="34">
        <v>0</v>
      </c>
      <c r="AW274" s="34">
        <v>0</v>
      </c>
      <c r="AY274" s="53"/>
      <c r="AZ274" s="53"/>
      <c r="BA274" s="53"/>
    </row>
    <row r="275" spans="1:55">
      <c r="A275" s="33" t="s">
        <v>2067</v>
      </c>
      <c r="B275" s="33" t="s">
        <v>2068</v>
      </c>
      <c r="C275" s="34">
        <v>0</v>
      </c>
      <c r="D275" s="34">
        <v>58.354707697999999</v>
      </c>
      <c r="E275" s="34">
        <v>56.509622898000003</v>
      </c>
      <c r="F275" s="34">
        <v>58.509622898000003</v>
      </c>
      <c r="G275" s="34">
        <v>58.509622898000003</v>
      </c>
      <c r="H275" s="34">
        <v>59.040982898000003</v>
      </c>
      <c r="I275" s="34">
        <v>63.922792100000002</v>
      </c>
      <c r="J275" s="34">
        <v>64.332757700000002</v>
      </c>
      <c r="K275" s="34">
        <v>64.410569080000002</v>
      </c>
      <c r="L275" s="34">
        <v>64.410569080000002</v>
      </c>
      <c r="M275" s="34">
        <v>69.168297228</v>
      </c>
      <c r="Z275" s="34" t="s">
        <v>2068</v>
      </c>
      <c r="AA275" s="34">
        <v>60.377495858000003</v>
      </c>
      <c r="AB275" s="34">
        <v>61.920943700000002</v>
      </c>
      <c r="AC275" s="34">
        <v>62.709266300000003</v>
      </c>
      <c r="AD275" s="10">
        <v>63.948914299999998</v>
      </c>
      <c r="AE275" s="34">
        <v>63.948914299999998</v>
      </c>
      <c r="AF275" s="34">
        <v>64.036081699999997</v>
      </c>
      <c r="AG275" s="34">
        <v>64.397078899999997</v>
      </c>
      <c r="AH275" s="10">
        <v>64.743616900000006</v>
      </c>
      <c r="AI275" s="34">
        <v>64.334241079999998</v>
      </c>
      <c r="AJ275" s="34">
        <v>64.334241079999998</v>
      </c>
      <c r="AK275" s="34">
        <v>64.334241079999998</v>
      </c>
      <c r="AM275" s="34">
        <v>64.410569080000002</v>
      </c>
      <c r="AN275" s="34">
        <v>64.410569080000002</v>
      </c>
      <c r="AO275" s="34">
        <v>64.410569080000002</v>
      </c>
      <c r="AP275" s="10">
        <v>64.410569080000002</v>
      </c>
      <c r="AQ275" s="34">
        <v>64.66891948</v>
      </c>
      <c r="AR275" s="34">
        <v>64.864407744999994</v>
      </c>
      <c r="AS275" s="34">
        <v>67.776381784999998</v>
      </c>
      <c r="AT275" s="10">
        <v>69.168297228</v>
      </c>
      <c r="AU275" s="34">
        <v>69.168297228</v>
      </c>
      <c r="AV275" s="34">
        <v>74.787649458000004</v>
      </c>
      <c r="AW275" s="34">
        <v>80.19</v>
      </c>
      <c r="AY275" s="53"/>
      <c r="AZ275" s="53"/>
      <c r="BA275" s="53"/>
    </row>
    <row r="276" spans="1:55">
      <c r="A276" s="33" t="s">
        <v>2054</v>
      </c>
      <c r="B276" s="33" t="s">
        <v>2055</v>
      </c>
      <c r="C276" s="34">
        <v>0</v>
      </c>
      <c r="D276" s="34">
        <v>58.201736273000002</v>
      </c>
      <c r="E276" s="34">
        <v>56.354707697999999</v>
      </c>
      <c r="F276" s="34">
        <v>58.509622898000003</v>
      </c>
      <c r="G276" s="34">
        <v>58.509622898000003</v>
      </c>
      <c r="H276" s="34">
        <v>58.509622898000003</v>
      </c>
      <c r="I276" s="34">
        <v>59.040982898000003</v>
      </c>
      <c r="J276" s="34">
        <v>63.922792100000002</v>
      </c>
      <c r="K276" s="34">
        <v>64.332757700000002</v>
      </c>
      <c r="L276" s="34">
        <v>64.410569080000002</v>
      </c>
      <c r="M276" s="34">
        <v>64.410569080000002</v>
      </c>
      <c r="Z276" s="34" t="s">
        <v>2055</v>
      </c>
      <c r="AA276" s="34">
        <v>59.040982898000003</v>
      </c>
      <c r="AB276" s="34">
        <v>59.040982898000003</v>
      </c>
      <c r="AC276" s="34">
        <v>59.040982898000003</v>
      </c>
      <c r="AD276" s="10">
        <v>59.040982898000003</v>
      </c>
      <c r="AE276" s="34">
        <v>63.922792100000002</v>
      </c>
      <c r="AF276" s="34">
        <v>63.922792100000002</v>
      </c>
      <c r="AG276" s="34">
        <v>63.922792100000002</v>
      </c>
      <c r="AH276" s="10">
        <v>63.922792100000002</v>
      </c>
      <c r="AI276" s="34">
        <v>64.332757700000002</v>
      </c>
      <c r="AJ276" s="34">
        <v>64.332757700000002</v>
      </c>
      <c r="AK276" s="34">
        <v>64.332757700000002</v>
      </c>
      <c r="AM276" s="34">
        <v>64.410569080000002</v>
      </c>
      <c r="AN276" s="34">
        <v>64.410569080000002</v>
      </c>
      <c r="AO276" s="34">
        <v>64.410569080000002</v>
      </c>
      <c r="AP276" s="10">
        <v>64.410569080000002</v>
      </c>
      <c r="AQ276" s="34">
        <v>64.410569080000002</v>
      </c>
      <c r="AR276" s="34">
        <v>64.410569080000002</v>
      </c>
      <c r="AS276" s="34">
        <v>64.410569080000002</v>
      </c>
      <c r="AT276" s="10">
        <v>64.410569080000002</v>
      </c>
      <c r="AU276" s="34">
        <v>69.168297228</v>
      </c>
      <c r="AV276" s="34">
        <v>69.168297228</v>
      </c>
      <c r="AW276" s="34">
        <v>69.17</v>
      </c>
      <c r="AY276" s="53"/>
      <c r="AZ276" s="53"/>
      <c r="BA276" s="53"/>
    </row>
    <row r="277" spans="1:55">
      <c r="A277" s="33" t="s">
        <v>2056</v>
      </c>
      <c r="B277" s="33" t="s">
        <v>2057</v>
      </c>
      <c r="C277" s="34">
        <v>0</v>
      </c>
      <c r="D277" s="34">
        <v>0.15297142499999999</v>
      </c>
      <c r="E277" s="34">
        <v>0.1549152</v>
      </c>
      <c r="F277" s="34">
        <v>0</v>
      </c>
      <c r="G277" s="34">
        <v>0</v>
      </c>
      <c r="H277" s="34">
        <v>0.53136000000000005</v>
      </c>
      <c r="I277" s="34">
        <v>4.8818092020000003</v>
      </c>
      <c r="J277" s="34">
        <v>0.40996559999999999</v>
      </c>
      <c r="K277" s="34">
        <v>7.7811379999999999E-2</v>
      </c>
      <c r="L277" s="34">
        <v>0</v>
      </c>
      <c r="M277" s="34">
        <v>4.757728148</v>
      </c>
      <c r="Z277" s="34" t="s">
        <v>2057</v>
      </c>
      <c r="AA277" s="34">
        <v>1.3365129600000001</v>
      </c>
      <c r="AB277" s="34">
        <v>2.8799608019999998</v>
      </c>
      <c r="AC277" s="34">
        <v>3.6682834020000001</v>
      </c>
      <c r="AD277" s="10">
        <v>4.907931402</v>
      </c>
      <c r="AE277" s="34">
        <v>2.6122200000000002E-2</v>
      </c>
      <c r="AF277" s="34">
        <v>0.1132896</v>
      </c>
      <c r="AG277" s="34">
        <v>0.47428680000000001</v>
      </c>
      <c r="AH277" s="10">
        <v>0.82082480000000002</v>
      </c>
      <c r="AI277" s="34">
        <v>1.4833800000000001E-3</v>
      </c>
      <c r="AJ277" s="34">
        <v>1.4833800000000001E-3</v>
      </c>
      <c r="AK277" s="34">
        <v>1.4833800000000001E-3</v>
      </c>
      <c r="AM277" s="34">
        <v>0</v>
      </c>
      <c r="AN277" s="34">
        <v>0</v>
      </c>
      <c r="AO277" s="34">
        <v>0</v>
      </c>
      <c r="AP277" s="10">
        <v>0</v>
      </c>
      <c r="AQ277" s="34">
        <v>0.25835039999999998</v>
      </c>
      <c r="AR277" s="34">
        <v>0.45383866499999997</v>
      </c>
      <c r="AS277" s="34">
        <v>3.3658127050000002</v>
      </c>
      <c r="AT277" s="10">
        <v>4.757728148</v>
      </c>
      <c r="AU277" s="34">
        <v>0</v>
      </c>
      <c r="AV277" s="34">
        <v>5.6193522299999996</v>
      </c>
      <c r="AW277" s="34">
        <v>11.02</v>
      </c>
      <c r="AY277" s="53"/>
      <c r="AZ277" s="53"/>
      <c r="BA277" s="53"/>
    </row>
    <row r="278" spans="1:55">
      <c r="A278" s="33" t="s">
        <v>2058</v>
      </c>
      <c r="B278" s="33" t="s">
        <v>2059</v>
      </c>
      <c r="C278" s="34">
        <v>0</v>
      </c>
      <c r="D278" s="34">
        <v>0</v>
      </c>
      <c r="E278" s="34">
        <v>0</v>
      </c>
      <c r="F278" s="34">
        <v>0</v>
      </c>
      <c r="G278" s="34">
        <v>0</v>
      </c>
      <c r="H278" s="34">
        <v>0</v>
      </c>
      <c r="I278" s="34">
        <v>0</v>
      </c>
      <c r="J278" s="34">
        <v>0</v>
      </c>
      <c r="K278" s="34">
        <v>0</v>
      </c>
      <c r="L278" s="34">
        <v>0</v>
      </c>
      <c r="M278" s="34">
        <v>0</v>
      </c>
      <c r="Z278" s="34" t="s">
        <v>2059</v>
      </c>
      <c r="AA278" s="34">
        <v>0</v>
      </c>
      <c r="AB278" s="34">
        <v>0</v>
      </c>
      <c r="AC278" s="34">
        <v>0</v>
      </c>
      <c r="AD278" s="10">
        <v>0</v>
      </c>
      <c r="AE278" s="34">
        <v>0</v>
      </c>
      <c r="AF278" s="34">
        <v>0</v>
      </c>
      <c r="AG278" s="34">
        <v>0</v>
      </c>
      <c r="AH278" s="10">
        <v>0</v>
      </c>
      <c r="AI278" s="34">
        <v>0</v>
      </c>
      <c r="AJ278" s="34">
        <v>0</v>
      </c>
      <c r="AK278" s="34">
        <v>0</v>
      </c>
      <c r="AM278" s="34">
        <v>0</v>
      </c>
      <c r="AN278" s="34">
        <v>0</v>
      </c>
      <c r="AO278" s="34">
        <v>0</v>
      </c>
      <c r="AP278" s="10">
        <v>0</v>
      </c>
      <c r="AQ278" s="34">
        <v>0</v>
      </c>
      <c r="AR278" s="34">
        <v>0</v>
      </c>
      <c r="AS278" s="34">
        <v>0</v>
      </c>
      <c r="AT278" s="10">
        <v>0</v>
      </c>
      <c r="AU278" s="34">
        <v>0</v>
      </c>
      <c r="AV278" s="34">
        <v>0</v>
      </c>
      <c r="AW278" s="34">
        <v>0</v>
      </c>
      <c r="AY278" s="53"/>
      <c r="AZ278" s="53"/>
      <c r="BA278" s="53"/>
    </row>
    <row r="279" spans="1:55" s="41" customFormat="1">
      <c r="A279" s="40" t="s">
        <v>2069</v>
      </c>
      <c r="B279" s="40" t="s">
        <v>2070</v>
      </c>
      <c r="C279" s="41">
        <v>0</v>
      </c>
      <c r="D279" s="41">
        <v>0.85767578200000005</v>
      </c>
      <c r="E279" s="41">
        <v>1.1636781460000001</v>
      </c>
      <c r="F279" s="41">
        <v>1.4736880080000001</v>
      </c>
      <c r="G279" s="41">
        <v>1.6663163050000001</v>
      </c>
      <c r="H279" s="41">
        <v>1.8589446009999999</v>
      </c>
      <c r="I279" s="41">
        <v>2.2323430360000001</v>
      </c>
      <c r="J279" s="41">
        <v>2.8291889879999998</v>
      </c>
      <c r="K279" s="41">
        <v>3.4169277290000002</v>
      </c>
      <c r="L279" s="41">
        <v>4.0299240909999998</v>
      </c>
      <c r="M279" s="41">
        <v>5.8173275990000004</v>
      </c>
      <c r="O279" s="7"/>
      <c r="P279" s="7"/>
      <c r="Z279" s="41" t="s">
        <v>2070</v>
      </c>
      <c r="AA279" s="41">
        <v>1.933828383</v>
      </c>
      <c r="AB279" s="41">
        <v>2.0079840610000002</v>
      </c>
      <c r="AC279" s="41">
        <v>2.1237753559999999</v>
      </c>
      <c r="AD279" s="11">
        <v>2.2584652360000002</v>
      </c>
      <c r="AE279" s="41">
        <v>2.406123241</v>
      </c>
      <c r="AF279" s="41">
        <v>2.528681379</v>
      </c>
      <c r="AG279" s="41">
        <v>2.7329636329999998</v>
      </c>
      <c r="AH279" s="11">
        <v>2.9752465219999999</v>
      </c>
      <c r="AI279" s="41">
        <v>2.979442792</v>
      </c>
      <c r="AJ279" s="41">
        <v>3.1231508809999999</v>
      </c>
      <c r="AK279" s="41">
        <v>3.2668589720000001</v>
      </c>
      <c r="AL279" s="11"/>
      <c r="AM279" s="41">
        <v>3.570176821</v>
      </c>
      <c r="AN279" s="41">
        <v>3.7234259139999999</v>
      </c>
      <c r="AO279" s="41">
        <v>3.8766750029999999</v>
      </c>
      <c r="AP279" s="11">
        <v>4.0299240909999998</v>
      </c>
      <c r="AQ279" s="41">
        <v>4.2047023829999999</v>
      </c>
      <c r="AR279" s="41">
        <v>4.4159439999999996</v>
      </c>
      <c r="AS279" s="41">
        <v>4.9144131010000001</v>
      </c>
      <c r="AT279" s="11">
        <v>5.8173275990000004</v>
      </c>
      <c r="AU279" s="41">
        <v>6.5547128040000002</v>
      </c>
      <c r="AV279" s="41">
        <v>7.4405249839999996</v>
      </c>
      <c r="AW279" s="41">
        <v>8.81</v>
      </c>
      <c r="AY279" s="55">
        <f>AU279-AT279</f>
        <v>0.73738520499999982</v>
      </c>
      <c r="AZ279" s="55">
        <f>AV279-AU279</f>
        <v>0.88581217999999939</v>
      </c>
      <c r="BA279" s="55">
        <f>AW279-AV279</f>
        <v>1.3694750160000009</v>
      </c>
      <c r="BC279" s="55">
        <f>AT279-AP279</f>
        <v>1.7874035080000006</v>
      </c>
    </row>
    <row r="280" spans="1:55">
      <c r="A280" s="33" t="s">
        <v>2054</v>
      </c>
      <c r="B280" s="33" t="s">
        <v>2062</v>
      </c>
      <c r="C280" s="34">
        <v>0</v>
      </c>
      <c r="D280" s="34">
        <v>0.55168457999999998</v>
      </c>
      <c r="E280" s="34">
        <v>0.85767578200000005</v>
      </c>
      <c r="F280" s="34">
        <v>1.1636781460000001</v>
      </c>
      <c r="G280" s="34">
        <v>1.4736880080000001</v>
      </c>
      <c r="H280" s="34">
        <v>1.6663163050000001</v>
      </c>
      <c r="I280" s="34">
        <v>1.8589446009999999</v>
      </c>
      <c r="J280" s="34">
        <v>2.2323430360000001</v>
      </c>
      <c r="K280" s="34">
        <v>2.8291889879999998</v>
      </c>
      <c r="L280" s="34">
        <v>3.4169277290000002</v>
      </c>
      <c r="M280" s="34">
        <v>4.0299240909999998</v>
      </c>
      <c r="Z280" s="34" t="s">
        <v>2062</v>
      </c>
      <c r="AA280" s="34">
        <v>1.8589446009999999</v>
      </c>
      <c r="AB280" s="34">
        <v>1.8589446009999999</v>
      </c>
      <c r="AC280" s="34">
        <v>1.8589446009999999</v>
      </c>
      <c r="AD280" s="10">
        <v>1.8589446009999999</v>
      </c>
      <c r="AE280" s="34">
        <v>2.2323430360000001</v>
      </c>
      <c r="AF280" s="34">
        <v>2.2323430360000001</v>
      </c>
      <c r="AG280" s="34">
        <v>2.2323430360000001</v>
      </c>
      <c r="AH280" s="10">
        <v>2.2323430360000001</v>
      </c>
      <c r="AI280" s="34">
        <v>2.8291889879999998</v>
      </c>
      <c r="AJ280" s="34">
        <v>2.8291889879999998</v>
      </c>
      <c r="AK280" s="34">
        <v>2.8291889879999998</v>
      </c>
      <c r="AM280" s="34">
        <v>3.4169277290000002</v>
      </c>
      <c r="AN280" s="34">
        <v>3.4169277290000002</v>
      </c>
      <c r="AO280" s="34">
        <v>3.4169277290000002</v>
      </c>
      <c r="AP280" s="10">
        <v>3.4169277290000002</v>
      </c>
      <c r="AQ280" s="34">
        <v>4.0299240909999998</v>
      </c>
      <c r="AR280" s="34">
        <v>4.0299240909999998</v>
      </c>
      <c r="AS280" s="34">
        <v>4.0299240909999998</v>
      </c>
      <c r="AT280" s="10">
        <v>4.0299240909999998</v>
      </c>
      <c r="AU280" s="34">
        <v>5.8173275990000004</v>
      </c>
      <c r="AV280" s="34">
        <v>5.8173275990000004</v>
      </c>
      <c r="AW280" s="34">
        <v>5.82</v>
      </c>
      <c r="AY280" s="53"/>
      <c r="AZ280" s="53"/>
      <c r="BA280" s="53"/>
    </row>
    <row r="281" spans="1:55">
      <c r="A281" s="33" t="s">
        <v>2056</v>
      </c>
      <c r="B281" s="33" t="s">
        <v>2057</v>
      </c>
      <c r="C281" s="34">
        <v>0</v>
      </c>
      <c r="D281" s="34">
        <v>0.30599120200000002</v>
      </c>
      <c r="E281" s="34">
        <v>0.30600236400000003</v>
      </c>
      <c r="F281" s="34">
        <v>0.31000986200000002</v>
      </c>
      <c r="G281" s="34">
        <v>0.192628297</v>
      </c>
      <c r="H281" s="34">
        <v>0.192628296</v>
      </c>
      <c r="I281" s="34">
        <v>0.37339843499999997</v>
      </c>
      <c r="J281" s="34">
        <v>0.59684595200000001</v>
      </c>
      <c r="K281" s="34">
        <v>0.58773874100000001</v>
      </c>
      <c r="L281" s="34">
        <v>0.61299636199999996</v>
      </c>
      <c r="M281" s="34">
        <v>1.7874035079999999</v>
      </c>
      <c r="Z281" s="34" t="s">
        <v>2057</v>
      </c>
      <c r="AA281" s="34">
        <v>7.4883781999999996E-2</v>
      </c>
      <c r="AB281" s="34">
        <v>0.14903946000000001</v>
      </c>
      <c r="AC281" s="34">
        <v>0.26483075499999997</v>
      </c>
      <c r="AD281" s="10">
        <v>0.39952063500000001</v>
      </c>
      <c r="AE281" s="34">
        <v>0.17378020499999999</v>
      </c>
      <c r="AF281" s="34">
        <v>0.296338343</v>
      </c>
      <c r="AG281" s="34">
        <v>0.50062059699999994</v>
      </c>
      <c r="AH281" s="10">
        <v>0.742903486</v>
      </c>
      <c r="AI281" s="34">
        <v>0.15025380399999999</v>
      </c>
      <c r="AJ281" s="34">
        <v>0.29396189299999997</v>
      </c>
      <c r="AK281" s="34">
        <v>0.43766998400000001</v>
      </c>
      <c r="AM281" s="34">
        <v>0.153249092</v>
      </c>
      <c r="AN281" s="34">
        <v>0.30649818499999998</v>
      </c>
      <c r="AO281" s="34">
        <v>0.45974727399999998</v>
      </c>
      <c r="AP281" s="10">
        <v>0.61299636199999996</v>
      </c>
      <c r="AQ281" s="34">
        <v>0.174778292</v>
      </c>
      <c r="AR281" s="34">
        <v>0.38601990899999999</v>
      </c>
      <c r="AS281" s="34">
        <v>0.88448901000000002</v>
      </c>
      <c r="AT281" s="10">
        <v>1.7874035079999999</v>
      </c>
      <c r="AU281" s="34">
        <v>0.73738520500000004</v>
      </c>
      <c r="AV281" s="34">
        <v>1.6231973850000001</v>
      </c>
      <c r="AW281" s="34">
        <v>2.99</v>
      </c>
      <c r="AY281" s="53"/>
      <c r="AZ281" s="53"/>
      <c r="BA281" s="53"/>
    </row>
    <row r="282" spans="1:55">
      <c r="A282" s="33" t="s">
        <v>2058</v>
      </c>
      <c r="B282" s="33" t="s">
        <v>2059</v>
      </c>
      <c r="C282" s="34">
        <v>0</v>
      </c>
      <c r="D282" s="34">
        <v>0</v>
      </c>
      <c r="E282" s="34">
        <v>0</v>
      </c>
      <c r="F282" s="34">
        <v>0</v>
      </c>
      <c r="G282" s="34">
        <v>0</v>
      </c>
      <c r="H282" s="34">
        <v>0</v>
      </c>
      <c r="I282" s="34">
        <v>0</v>
      </c>
      <c r="J282" s="34">
        <v>0</v>
      </c>
      <c r="K282" s="34">
        <v>0</v>
      </c>
      <c r="L282" s="34">
        <v>0</v>
      </c>
      <c r="M282" s="34">
        <v>0</v>
      </c>
      <c r="Z282" s="34" t="s">
        <v>2059</v>
      </c>
      <c r="AA282" s="34">
        <v>0</v>
      </c>
      <c r="AB282" s="34">
        <v>0</v>
      </c>
      <c r="AC282" s="34">
        <v>0</v>
      </c>
      <c r="AD282" s="10">
        <v>0</v>
      </c>
      <c r="AE282" s="34">
        <v>0</v>
      </c>
      <c r="AF282" s="34">
        <v>0</v>
      </c>
      <c r="AG282" s="34">
        <v>0</v>
      </c>
      <c r="AH282" s="10">
        <v>0</v>
      </c>
      <c r="AI282" s="34">
        <v>0</v>
      </c>
      <c r="AJ282" s="34">
        <v>0</v>
      </c>
      <c r="AK282" s="34">
        <v>0</v>
      </c>
      <c r="AM282" s="34">
        <v>0</v>
      </c>
      <c r="AN282" s="34">
        <v>0</v>
      </c>
      <c r="AO282" s="34">
        <v>0</v>
      </c>
      <c r="AP282" s="10">
        <v>0</v>
      </c>
      <c r="AQ282" s="34">
        <v>0</v>
      </c>
      <c r="AR282" s="34">
        <v>0</v>
      </c>
      <c r="AS282" s="34">
        <v>0</v>
      </c>
      <c r="AT282" s="10">
        <v>0</v>
      </c>
      <c r="AU282" s="34">
        <v>0</v>
      </c>
      <c r="AV282" s="34">
        <v>0</v>
      </c>
      <c r="AW282" s="34">
        <v>0</v>
      </c>
      <c r="AY282" s="53"/>
      <c r="AZ282" s="53"/>
      <c r="BA282" s="53"/>
    </row>
    <row r="283" spans="1:55">
      <c r="A283" s="33" t="s">
        <v>2071</v>
      </c>
      <c r="B283" s="33" t="s">
        <v>2072</v>
      </c>
      <c r="C283" s="34">
        <v>0</v>
      </c>
      <c r="D283" s="34">
        <v>0</v>
      </c>
      <c r="E283" s="34">
        <v>0</v>
      </c>
      <c r="F283" s="34">
        <v>0</v>
      </c>
      <c r="G283" s="34">
        <v>0</v>
      </c>
      <c r="H283" s="34">
        <v>0</v>
      </c>
      <c r="I283" s="34">
        <v>0</v>
      </c>
      <c r="J283" s="34">
        <v>0.60750000000000004</v>
      </c>
      <c r="K283" s="34">
        <v>0.60750000000000004</v>
      </c>
      <c r="L283" s="34">
        <v>0</v>
      </c>
      <c r="M283" s="34">
        <v>0</v>
      </c>
      <c r="Z283" s="34" t="s">
        <v>2072</v>
      </c>
      <c r="AA283" s="34">
        <v>0</v>
      </c>
      <c r="AB283" s="34">
        <v>0</v>
      </c>
      <c r="AC283" s="34">
        <v>0</v>
      </c>
      <c r="AD283" s="10">
        <v>0</v>
      </c>
      <c r="AE283" s="34">
        <v>0</v>
      </c>
      <c r="AF283" s="34">
        <v>0</v>
      </c>
      <c r="AG283" s="34">
        <v>0</v>
      </c>
      <c r="AH283" s="10">
        <v>0.86574972400000005</v>
      </c>
      <c r="AI283" s="34">
        <v>0.91871757899999995</v>
      </c>
      <c r="AJ283" s="34">
        <v>0.60750000000000004</v>
      </c>
      <c r="AK283" s="34">
        <v>39.772968638000002</v>
      </c>
      <c r="AM283" s="34">
        <v>0.60750000000000004</v>
      </c>
      <c r="AN283" s="34">
        <v>0.60750000000000004</v>
      </c>
      <c r="AO283" s="34">
        <v>0.67754999999999999</v>
      </c>
      <c r="AP283" s="10">
        <v>0</v>
      </c>
      <c r="AQ283" s="34">
        <v>0</v>
      </c>
      <c r="AR283" s="34">
        <v>0</v>
      </c>
      <c r="AS283" s="34">
        <v>0</v>
      </c>
      <c r="AT283" s="10">
        <v>0</v>
      </c>
      <c r="AU283" s="34">
        <v>0</v>
      </c>
      <c r="AV283" s="34">
        <v>0</v>
      </c>
      <c r="AW283" s="34">
        <v>0</v>
      </c>
      <c r="AY283" s="53"/>
      <c r="AZ283" s="53"/>
      <c r="BA283" s="53"/>
    </row>
    <row r="284" spans="1:55">
      <c r="A284" s="33" t="s">
        <v>2073</v>
      </c>
      <c r="B284" s="33" t="s">
        <v>2074</v>
      </c>
      <c r="C284" s="34">
        <v>0</v>
      </c>
      <c r="D284" s="34">
        <v>0</v>
      </c>
      <c r="E284" s="34">
        <v>0</v>
      </c>
      <c r="F284" s="34">
        <v>0</v>
      </c>
      <c r="G284" s="34">
        <v>0</v>
      </c>
      <c r="H284" s="34">
        <v>0</v>
      </c>
      <c r="I284" s="34">
        <v>0</v>
      </c>
      <c r="J284" s="34">
        <v>0</v>
      </c>
      <c r="K284" s="34">
        <v>0</v>
      </c>
      <c r="L284" s="34">
        <v>0</v>
      </c>
      <c r="M284" s="34">
        <v>0</v>
      </c>
      <c r="Z284" s="34" t="s">
        <v>2074</v>
      </c>
      <c r="AA284" s="34">
        <v>0</v>
      </c>
      <c r="AB284" s="34">
        <v>0</v>
      </c>
      <c r="AC284" s="34">
        <v>0</v>
      </c>
      <c r="AD284" s="10">
        <v>0</v>
      </c>
      <c r="AE284" s="34">
        <v>0</v>
      </c>
      <c r="AF284" s="34">
        <v>0</v>
      </c>
      <c r="AG284" s="34">
        <v>0</v>
      </c>
      <c r="AH284" s="10">
        <v>0</v>
      </c>
      <c r="AI284" s="34">
        <v>0</v>
      </c>
      <c r="AJ284" s="34">
        <v>0</v>
      </c>
      <c r="AK284" s="34">
        <v>0</v>
      </c>
      <c r="AM284" s="34">
        <v>0</v>
      </c>
      <c r="AN284" s="34">
        <v>0</v>
      </c>
      <c r="AO284" s="34">
        <v>0</v>
      </c>
      <c r="AP284" s="10">
        <v>0</v>
      </c>
      <c r="AQ284" s="34">
        <v>0</v>
      </c>
      <c r="AR284" s="34">
        <v>0</v>
      </c>
      <c r="AS284" s="34">
        <v>0</v>
      </c>
      <c r="AT284" s="10">
        <v>0</v>
      </c>
      <c r="AU284" s="34">
        <v>0</v>
      </c>
      <c r="AV284" s="34">
        <v>0</v>
      </c>
      <c r="AW284" s="34">
        <v>0</v>
      </c>
      <c r="AY284" s="53"/>
      <c r="AZ284" s="53"/>
      <c r="BA284" s="53"/>
    </row>
    <row r="285" spans="1:55">
      <c r="A285" s="33" t="s">
        <v>2075</v>
      </c>
      <c r="B285" s="33" t="s">
        <v>2076</v>
      </c>
      <c r="C285" s="34">
        <v>0</v>
      </c>
      <c r="D285" s="34">
        <v>0</v>
      </c>
      <c r="E285" s="34">
        <v>0</v>
      </c>
      <c r="F285" s="34">
        <v>0</v>
      </c>
      <c r="G285" s="34">
        <v>0</v>
      </c>
      <c r="H285" s="34">
        <v>0</v>
      </c>
      <c r="I285" s="34">
        <v>0</v>
      </c>
      <c r="J285" s="34">
        <v>0</v>
      </c>
      <c r="K285" s="34">
        <v>0</v>
      </c>
      <c r="L285" s="34">
        <v>0</v>
      </c>
      <c r="M285" s="34">
        <v>0</v>
      </c>
      <c r="Z285" s="34" t="s">
        <v>2076</v>
      </c>
      <c r="AA285" s="34">
        <v>0</v>
      </c>
      <c r="AB285" s="34">
        <v>0</v>
      </c>
      <c r="AC285" s="34">
        <v>0</v>
      </c>
      <c r="AD285" s="10">
        <v>0</v>
      </c>
      <c r="AE285" s="34">
        <v>0</v>
      </c>
      <c r="AF285" s="34">
        <v>0</v>
      </c>
      <c r="AG285" s="34">
        <v>0</v>
      </c>
      <c r="AH285" s="10">
        <v>0</v>
      </c>
      <c r="AI285" s="34">
        <v>0</v>
      </c>
      <c r="AJ285" s="34">
        <v>0</v>
      </c>
      <c r="AK285" s="34">
        <v>0</v>
      </c>
      <c r="AM285" s="34">
        <v>0</v>
      </c>
      <c r="AN285" s="34">
        <v>0</v>
      </c>
      <c r="AO285" s="34">
        <v>0</v>
      </c>
      <c r="AP285" s="10">
        <v>0</v>
      </c>
      <c r="AQ285" s="34">
        <v>0</v>
      </c>
      <c r="AR285" s="34">
        <v>0</v>
      </c>
      <c r="AS285" s="34">
        <v>0</v>
      </c>
      <c r="AT285" s="10">
        <v>0</v>
      </c>
      <c r="AU285" s="34">
        <v>0</v>
      </c>
      <c r="AV285" s="34">
        <v>0</v>
      </c>
      <c r="AW285" s="34">
        <v>0</v>
      </c>
      <c r="AY285" s="53"/>
      <c r="AZ285" s="53"/>
      <c r="BA285" s="53"/>
    </row>
    <row r="286" spans="1:55">
      <c r="A286" s="33" t="s">
        <v>2077</v>
      </c>
      <c r="B286" s="33" t="s">
        <v>2078</v>
      </c>
      <c r="C286" s="34">
        <v>0</v>
      </c>
      <c r="D286" s="34">
        <v>0</v>
      </c>
      <c r="E286" s="34">
        <v>0</v>
      </c>
      <c r="F286" s="34">
        <v>0</v>
      </c>
      <c r="G286" s="34">
        <v>0</v>
      </c>
      <c r="H286" s="34">
        <v>0</v>
      </c>
      <c r="I286" s="34">
        <v>0</v>
      </c>
      <c r="J286" s="34">
        <v>0</v>
      </c>
      <c r="K286" s="34">
        <v>0</v>
      </c>
      <c r="L286" s="34">
        <v>0</v>
      </c>
      <c r="M286" s="34">
        <v>0</v>
      </c>
      <c r="Z286" s="34" t="s">
        <v>2078</v>
      </c>
      <c r="AA286" s="34">
        <v>0</v>
      </c>
      <c r="AB286" s="34">
        <v>0</v>
      </c>
      <c r="AC286" s="34">
        <v>0</v>
      </c>
      <c r="AD286" s="10">
        <v>0</v>
      </c>
      <c r="AE286" s="34">
        <v>0</v>
      </c>
      <c r="AF286" s="34">
        <v>0</v>
      </c>
      <c r="AG286" s="34">
        <v>0</v>
      </c>
      <c r="AH286" s="10">
        <v>0</v>
      </c>
      <c r="AI286" s="34">
        <v>0</v>
      </c>
      <c r="AJ286" s="34">
        <v>0</v>
      </c>
      <c r="AK286" s="34">
        <v>0</v>
      </c>
      <c r="AM286" s="34">
        <v>0</v>
      </c>
      <c r="AN286" s="34">
        <v>0</v>
      </c>
      <c r="AO286" s="34">
        <v>0</v>
      </c>
      <c r="AP286" s="10">
        <v>0</v>
      </c>
      <c r="AQ286" s="34">
        <v>0</v>
      </c>
      <c r="AR286" s="34">
        <v>0</v>
      </c>
      <c r="AS286" s="34">
        <v>0</v>
      </c>
      <c r="AT286" s="10">
        <v>0</v>
      </c>
      <c r="AU286" s="34">
        <v>0</v>
      </c>
      <c r="AV286" s="34">
        <v>0</v>
      </c>
      <c r="AW286" s="34">
        <v>0</v>
      </c>
      <c r="AY286" s="53"/>
      <c r="AZ286" s="53"/>
      <c r="BA286" s="53"/>
    </row>
    <row r="287" spans="1:55">
      <c r="A287" s="33" t="s">
        <v>2079</v>
      </c>
      <c r="B287" s="33" t="s">
        <v>2080</v>
      </c>
      <c r="C287" s="34">
        <v>0</v>
      </c>
      <c r="D287" s="34">
        <v>0</v>
      </c>
      <c r="E287" s="34">
        <v>0</v>
      </c>
      <c r="F287" s="34">
        <v>0</v>
      </c>
      <c r="G287" s="34">
        <v>0</v>
      </c>
      <c r="H287" s="34">
        <v>0</v>
      </c>
      <c r="I287" s="34">
        <v>0</v>
      </c>
      <c r="J287" s="34">
        <v>0</v>
      </c>
      <c r="K287" s="34">
        <v>0</v>
      </c>
      <c r="L287" s="34">
        <v>0</v>
      </c>
      <c r="M287" s="34">
        <v>0</v>
      </c>
      <c r="Z287" s="34" t="s">
        <v>2080</v>
      </c>
      <c r="AA287" s="34">
        <v>0</v>
      </c>
      <c r="AB287" s="34">
        <v>0</v>
      </c>
      <c r="AC287" s="34">
        <v>0</v>
      </c>
      <c r="AD287" s="10">
        <v>0</v>
      </c>
      <c r="AE287" s="34">
        <v>0</v>
      </c>
      <c r="AF287" s="34">
        <v>0</v>
      </c>
      <c r="AG287" s="34">
        <v>0</v>
      </c>
      <c r="AH287" s="10">
        <v>0</v>
      </c>
      <c r="AI287" s="34">
        <v>0</v>
      </c>
      <c r="AJ287" s="34">
        <v>0</v>
      </c>
      <c r="AK287" s="34">
        <v>0</v>
      </c>
      <c r="AM287" s="34">
        <v>0</v>
      </c>
      <c r="AN287" s="34">
        <v>0</v>
      </c>
      <c r="AO287" s="34">
        <v>0</v>
      </c>
      <c r="AP287" s="10">
        <v>0</v>
      </c>
      <c r="AQ287" s="34">
        <v>0</v>
      </c>
      <c r="AR287" s="34">
        <v>0</v>
      </c>
      <c r="AS287" s="34">
        <v>0</v>
      </c>
      <c r="AT287" s="10">
        <v>0</v>
      </c>
      <c r="AU287" s="34">
        <v>0</v>
      </c>
      <c r="AV287" s="34">
        <v>0</v>
      </c>
      <c r="AW287" s="34">
        <v>0</v>
      </c>
      <c r="AY287" s="53"/>
      <c r="AZ287" s="53"/>
      <c r="BA287" s="53"/>
    </row>
    <row r="288" spans="1:55">
      <c r="A288" s="33" t="s">
        <v>2071</v>
      </c>
      <c r="B288" s="33" t="s">
        <v>1781</v>
      </c>
      <c r="C288" s="34">
        <v>0</v>
      </c>
      <c r="D288" s="34">
        <v>0</v>
      </c>
      <c r="E288" s="34">
        <v>0</v>
      </c>
      <c r="F288" s="34">
        <v>0</v>
      </c>
      <c r="G288" s="34">
        <v>0</v>
      </c>
      <c r="H288" s="34">
        <v>0</v>
      </c>
      <c r="I288" s="34">
        <v>0</v>
      </c>
      <c r="J288" s="34">
        <v>0.60750000000000004</v>
      </c>
      <c r="K288" s="34">
        <v>0.60750000000000004</v>
      </c>
      <c r="L288" s="34">
        <v>0</v>
      </c>
      <c r="M288" s="34">
        <v>0</v>
      </c>
      <c r="Z288" s="34" t="s">
        <v>1781</v>
      </c>
      <c r="AA288" s="34">
        <v>0</v>
      </c>
      <c r="AB288" s="34">
        <v>0</v>
      </c>
      <c r="AC288" s="34">
        <v>0</v>
      </c>
      <c r="AD288" s="10">
        <v>0</v>
      </c>
      <c r="AE288" s="34">
        <v>0</v>
      </c>
      <c r="AF288" s="34">
        <v>0</v>
      </c>
      <c r="AG288" s="34">
        <v>0</v>
      </c>
      <c r="AH288" s="10">
        <v>0.86574972400000005</v>
      </c>
      <c r="AI288" s="34">
        <v>0.91871757899999995</v>
      </c>
      <c r="AJ288" s="34">
        <v>0.60750000000000004</v>
      </c>
      <c r="AK288" s="34">
        <v>39.772968638000002</v>
      </c>
      <c r="AM288" s="34">
        <v>0.60750000000000004</v>
      </c>
      <c r="AN288" s="34">
        <v>0.60750000000000004</v>
      </c>
      <c r="AO288" s="34">
        <v>0.67754999999999999</v>
      </c>
      <c r="AP288" s="10">
        <v>0</v>
      </c>
      <c r="AQ288" s="34">
        <v>0</v>
      </c>
      <c r="AR288" s="34">
        <v>0</v>
      </c>
      <c r="AS288" s="34">
        <v>0</v>
      </c>
      <c r="AT288" s="10">
        <v>0</v>
      </c>
      <c r="AU288" s="34">
        <v>0</v>
      </c>
      <c r="AV288" s="34">
        <v>0</v>
      </c>
      <c r="AW288" s="34">
        <v>0</v>
      </c>
      <c r="AY288" s="53"/>
      <c r="AZ288" s="53"/>
      <c r="BA288" s="53"/>
    </row>
    <row r="289" spans="1:55">
      <c r="A289" s="33" t="s">
        <v>2081</v>
      </c>
      <c r="B289" s="33" t="s">
        <v>2082</v>
      </c>
      <c r="C289" s="34">
        <v>241.67538224800001</v>
      </c>
      <c r="D289" s="34">
        <v>453.98326474100003</v>
      </c>
      <c r="E289" s="34">
        <v>603.10450639099997</v>
      </c>
      <c r="F289" s="34">
        <v>422.90698452300001</v>
      </c>
      <c r="G289" s="34">
        <v>342.56903368600001</v>
      </c>
      <c r="H289" s="34">
        <v>620.94444701600003</v>
      </c>
      <c r="I289" s="34">
        <v>836.88413476999995</v>
      </c>
      <c r="J289" s="34">
        <v>620.25172500600002</v>
      </c>
      <c r="K289" s="34">
        <v>629.601074208</v>
      </c>
      <c r="L289" s="34">
        <v>0</v>
      </c>
      <c r="M289" s="34">
        <v>1914.8263759930001</v>
      </c>
      <c r="Z289" s="34" t="s">
        <v>2082</v>
      </c>
      <c r="AA289" s="34">
        <v>560.92544109300002</v>
      </c>
      <c r="AB289" s="34">
        <v>501.17501431900001</v>
      </c>
      <c r="AC289" s="34">
        <v>644.61825578499997</v>
      </c>
      <c r="AD289" s="10">
        <v>836.88413476999995</v>
      </c>
      <c r="AE289" s="34">
        <v>809.84537202000001</v>
      </c>
      <c r="AF289" s="34">
        <v>934.32833514000004</v>
      </c>
      <c r="AG289" s="34">
        <v>594.19351556399999</v>
      </c>
      <c r="AH289" s="10">
        <v>620.25172500600002</v>
      </c>
      <c r="AI289" s="34">
        <v>510.93424370299999</v>
      </c>
      <c r="AJ289" s="34">
        <v>529.16149662999999</v>
      </c>
      <c r="AK289" s="34">
        <v>474.04531081099998</v>
      </c>
      <c r="AM289" s="34">
        <v>675.78344246999995</v>
      </c>
      <c r="AN289" s="34">
        <v>612.01809300299999</v>
      </c>
      <c r="AO289" s="34">
        <v>1067.3626280650001</v>
      </c>
      <c r="AP289" s="10">
        <v>0</v>
      </c>
      <c r="AQ289" s="34">
        <v>1978.9143955049999</v>
      </c>
      <c r="AR289" s="34">
        <v>0</v>
      </c>
      <c r="AS289" s="34">
        <v>2372.42427864</v>
      </c>
      <c r="AT289" s="10">
        <v>1914.8263759930001</v>
      </c>
      <c r="AU289" s="34">
        <v>1752.303244014</v>
      </c>
      <c r="AV289" s="34">
        <v>2120.7407170880001</v>
      </c>
      <c r="AW289" s="34">
        <v>2022.13</v>
      </c>
      <c r="AY289" s="53"/>
      <c r="AZ289" s="53"/>
      <c r="BA289" s="53"/>
    </row>
    <row r="290" spans="1:55">
      <c r="A290" s="33" t="s">
        <v>2083</v>
      </c>
      <c r="B290" s="33" t="s">
        <v>1820</v>
      </c>
      <c r="C290" s="34">
        <v>238.07538224800001</v>
      </c>
      <c r="D290" s="34">
        <v>449.883264741</v>
      </c>
      <c r="E290" s="34">
        <v>598.30450639100002</v>
      </c>
      <c r="F290" s="34">
        <v>422.90698452300001</v>
      </c>
      <c r="G290" s="34">
        <v>342.56903368600001</v>
      </c>
      <c r="H290" s="34">
        <v>620.94444701600003</v>
      </c>
      <c r="I290" s="34">
        <v>836.88413476999995</v>
      </c>
      <c r="J290" s="34">
        <v>620.25172500600002</v>
      </c>
      <c r="K290" s="34">
        <v>629.601074208</v>
      </c>
      <c r="L290" s="34">
        <v>0</v>
      </c>
      <c r="M290" s="34">
        <v>1914.8263759930001</v>
      </c>
      <c r="Z290" s="34" t="s">
        <v>1820</v>
      </c>
      <c r="AA290" s="34">
        <v>560.92544109300002</v>
      </c>
      <c r="AB290" s="34">
        <v>501.17501431900001</v>
      </c>
      <c r="AC290" s="34">
        <v>644.61825578499997</v>
      </c>
      <c r="AD290" s="10">
        <v>836.88413476999995</v>
      </c>
      <c r="AE290" s="34">
        <v>809.84537202000001</v>
      </c>
      <c r="AF290" s="34">
        <v>934.32833514000004</v>
      </c>
      <c r="AG290" s="34">
        <v>594.19351556399999</v>
      </c>
      <c r="AH290" s="10">
        <v>620.25172500600002</v>
      </c>
      <c r="AI290" s="34">
        <v>510.93424370299999</v>
      </c>
      <c r="AJ290" s="34">
        <v>529.11149663000003</v>
      </c>
      <c r="AK290" s="34">
        <v>474.04531081099998</v>
      </c>
      <c r="AM290" s="34">
        <v>675.78344246999995</v>
      </c>
      <c r="AN290" s="34">
        <v>612.01809300299999</v>
      </c>
      <c r="AO290" s="34">
        <v>1067.3626280650001</v>
      </c>
      <c r="AP290" s="10">
        <v>0</v>
      </c>
      <c r="AQ290" s="34">
        <v>1978.9143955049999</v>
      </c>
      <c r="AR290" s="34">
        <v>0</v>
      </c>
      <c r="AS290" s="34">
        <v>2372.42427864</v>
      </c>
      <c r="AT290" s="10">
        <v>1914.8263759930001</v>
      </c>
      <c r="AU290" s="34">
        <v>1752.303244014</v>
      </c>
      <c r="AV290" s="34">
        <v>2120.7407170880001</v>
      </c>
      <c r="AW290" s="34">
        <v>2022.13</v>
      </c>
      <c r="AY290" s="53"/>
      <c r="AZ290" s="53"/>
      <c r="BA290" s="53"/>
    </row>
    <row r="291" spans="1:55">
      <c r="A291" s="33" t="s">
        <v>2084</v>
      </c>
      <c r="B291" s="33" t="s">
        <v>2085</v>
      </c>
      <c r="C291" s="34">
        <v>3.6</v>
      </c>
      <c r="D291" s="34">
        <v>4.0999999999999996</v>
      </c>
      <c r="E291" s="34">
        <v>4.8</v>
      </c>
      <c r="F291" s="34">
        <v>0</v>
      </c>
      <c r="G291" s="34">
        <v>0</v>
      </c>
      <c r="H291" s="34">
        <v>0</v>
      </c>
      <c r="I291" s="34">
        <v>0</v>
      </c>
      <c r="J291" s="34">
        <v>0</v>
      </c>
      <c r="K291" s="34">
        <v>0</v>
      </c>
      <c r="L291" s="34">
        <v>0</v>
      </c>
      <c r="M291" s="34">
        <v>0</v>
      </c>
      <c r="Z291" s="34" t="s">
        <v>2085</v>
      </c>
      <c r="AA291" s="34">
        <v>0</v>
      </c>
      <c r="AB291" s="34">
        <v>0</v>
      </c>
      <c r="AC291" s="34">
        <v>0</v>
      </c>
      <c r="AD291" s="10">
        <v>0</v>
      </c>
      <c r="AE291" s="34">
        <v>0</v>
      </c>
      <c r="AF291" s="34">
        <v>0</v>
      </c>
      <c r="AG291" s="34">
        <v>0</v>
      </c>
      <c r="AH291" s="10">
        <v>0</v>
      </c>
      <c r="AI291" s="34">
        <v>0</v>
      </c>
      <c r="AJ291" s="34">
        <v>0.05</v>
      </c>
      <c r="AK291" s="34">
        <v>0</v>
      </c>
      <c r="AM291" s="34">
        <v>0</v>
      </c>
      <c r="AN291" s="34">
        <v>0</v>
      </c>
      <c r="AO291" s="34">
        <v>0</v>
      </c>
      <c r="AP291" s="10">
        <v>0</v>
      </c>
      <c r="AQ291" s="34">
        <v>0</v>
      </c>
      <c r="AR291" s="34">
        <v>0</v>
      </c>
      <c r="AS291" s="34">
        <v>0</v>
      </c>
      <c r="AT291" s="10">
        <v>0</v>
      </c>
      <c r="AU291" s="34">
        <v>0</v>
      </c>
      <c r="AV291" s="34">
        <v>0</v>
      </c>
      <c r="AW291" s="34">
        <v>0</v>
      </c>
      <c r="AY291" s="53"/>
      <c r="AZ291" s="53"/>
      <c r="BA291" s="53"/>
    </row>
    <row r="292" spans="1:55">
      <c r="A292" s="33" t="s">
        <v>2086</v>
      </c>
      <c r="B292" s="33" t="s">
        <v>2087</v>
      </c>
      <c r="C292" s="34">
        <v>0</v>
      </c>
      <c r="D292" s="34">
        <v>0</v>
      </c>
      <c r="E292" s="34">
        <v>0</v>
      </c>
      <c r="F292" s="34">
        <v>0</v>
      </c>
      <c r="G292" s="34">
        <v>0</v>
      </c>
      <c r="H292" s="34">
        <v>0</v>
      </c>
      <c r="I292" s="34">
        <v>0</v>
      </c>
      <c r="J292" s="34">
        <v>6.7159670150000004</v>
      </c>
      <c r="K292" s="34">
        <v>6.7159670150000004</v>
      </c>
      <c r="L292" s="34">
        <v>6.7159670150000004</v>
      </c>
      <c r="M292" s="34">
        <v>280.219387058</v>
      </c>
      <c r="Z292" s="34" t="s">
        <v>2087</v>
      </c>
      <c r="AA292" s="34">
        <v>0</v>
      </c>
      <c r="AB292" s="34">
        <v>5.7527997150000001</v>
      </c>
      <c r="AC292" s="34">
        <v>5.7527997150000001</v>
      </c>
      <c r="AD292" s="10">
        <v>0</v>
      </c>
      <c r="AE292" s="34">
        <v>6.7159670150000004</v>
      </c>
      <c r="AF292" s="34">
        <v>6.7159670150000004</v>
      </c>
      <c r="AG292" s="34">
        <v>6.7159670150000004</v>
      </c>
      <c r="AH292" s="10">
        <v>6.7159670150000004</v>
      </c>
      <c r="AI292" s="34">
        <v>6.7159670150000004</v>
      </c>
      <c r="AJ292" s="34">
        <v>6.7159670150000004</v>
      </c>
      <c r="AK292" s="34">
        <v>6.7159670150000004</v>
      </c>
      <c r="AM292" s="34">
        <v>7.6791343149999998</v>
      </c>
      <c r="AN292" s="34">
        <v>7.6791343149999998</v>
      </c>
      <c r="AO292" s="34">
        <v>7.6791343149999998</v>
      </c>
      <c r="AP292" s="10">
        <v>7.6791343149999998</v>
      </c>
      <c r="AQ292" s="34">
        <v>7.6791343149999998</v>
      </c>
      <c r="AR292" s="34">
        <v>6.7159670150000004</v>
      </c>
      <c r="AS292" s="34">
        <v>7.6791343149999998</v>
      </c>
      <c r="AT292" s="10">
        <v>282.14572165800001</v>
      </c>
      <c r="AU292" s="34">
        <v>281.182554358</v>
      </c>
      <c r="AV292" s="34">
        <v>280.219387058</v>
      </c>
      <c r="AW292" s="34">
        <v>281.18</v>
      </c>
      <c r="AY292" s="53"/>
      <c r="AZ292" s="53"/>
      <c r="BA292" s="53"/>
    </row>
    <row r="293" spans="1:55">
      <c r="A293" s="33" t="s">
        <v>2054</v>
      </c>
      <c r="B293" s="33" t="s">
        <v>2088</v>
      </c>
      <c r="C293" s="34">
        <v>0</v>
      </c>
      <c r="D293" s="34">
        <v>0</v>
      </c>
      <c r="E293" s="34">
        <v>0</v>
      </c>
      <c r="F293" s="34">
        <v>0</v>
      </c>
      <c r="G293" s="34">
        <v>0</v>
      </c>
      <c r="H293" s="34">
        <v>0</v>
      </c>
      <c r="I293" s="34">
        <v>0</v>
      </c>
      <c r="J293" s="34">
        <v>5.7527997150000001</v>
      </c>
      <c r="K293" s="34">
        <v>6.7159670150000004</v>
      </c>
      <c r="L293" s="34">
        <v>6.7159670150000004</v>
      </c>
      <c r="M293" s="34">
        <v>5.7527997150000001</v>
      </c>
      <c r="Z293" s="34" t="s">
        <v>2088</v>
      </c>
      <c r="AA293" s="34">
        <v>0</v>
      </c>
      <c r="AB293" s="34">
        <v>5.7527997150000001</v>
      </c>
      <c r="AC293" s="34">
        <v>5.7527997150000001</v>
      </c>
      <c r="AD293" s="10">
        <v>0</v>
      </c>
      <c r="AE293" s="34">
        <v>5.7527997150000001</v>
      </c>
      <c r="AF293" s="34">
        <v>5.7527997150000001</v>
      </c>
      <c r="AG293" s="34">
        <v>5.7527997150000001</v>
      </c>
      <c r="AH293" s="10">
        <v>5.7527997150000001</v>
      </c>
      <c r="AI293" s="34">
        <v>5.7527997150000001</v>
      </c>
      <c r="AJ293" s="34">
        <v>6.7159670150000004</v>
      </c>
      <c r="AK293" s="34">
        <v>5.7527997150000001</v>
      </c>
      <c r="AM293" s="34">
        <v>6.7159670150000004</v>
      </c>
      <c r="AN293" s="34">
        <v>6.7159670150000004</v>
      </c>
      <c r="AO293" s="34">
        <v>6.7159670150000004</v>
      </c>
      <c r="AP293" s="10">
        <v>6.7159670150000004</v>
      </c>
      <c r="AQ293" s="34">
        <v>6.7159670150000004</v>
      </c>
      <c r="AR293" s="34">
        <v>6.7159670150000004</v>
      </c>
      <c r="AS293" s="34">
        <v>6.7159670150000004</v>
      </c>
      <c r="AT293" s="10">
        <v>6.7159670150000004</v>
      </c>
      <c r="AU293" s="34">
        <v>281.182554358</v>
      </c>
      <c r="AV293" s="34">
        <v>280.219387058</v>
      </c>
      <c r="AW293" s="34">
        <v>281.18</v>
      </c>
      <c r="AY293" s="53"/>
      <c r="AZ293" s="53"/>
      <c r="BA293" s="53"/>
    </row>
    <row r="294" spans="1:55">
      <c r="A294" s="33" t="s">
        <v>2089</v>
      </c>
      <c r="B294" s="33" t="s">
        <v>2057</v>
      </c>
      <c r="C294" s="34">
        <v>0</v>
      </c>
      <c r="D294" s="34">
        <v>0</v>
      </c>
      <c r="E294" s="34">
        <v>0</v>
      </c>
      <c r="F294" s="34">
        <v>0</v>
      </c>
      <c r="G294" s="34">
        <v>0</v>
      </c>
      <c r="H294" s="34">
        <v>0</v>
      </c>
      <c r="I294" s="34">
        <v>0</v>
      </c>
      <c r="J294" s="34">
        <v>0.96316729999999995</v>
      </c>
      <c r="K294" s="34">
        <v>0</v>
      </c>
      <c r="L294" s="34">
        <v>0</v>
      </c>
      <c r="M294" s="34">
        <v>274.46658734300001</v>
      </c>
      <c r="Z294" s="34" t="s">
        <v>2057</v>
      </c>
      <c r="AA294" s="34">
        <v>0</v>
      </c>
      <c r="AB294" s="34">
        <v>0</v>
      </c>
      <c r="AC294" s="34">
        <v>0</v>
      </c>
      <c r="AD294" s="10">
        <v>0</v>
      </c>
      <c r="AE294" s="34">
        <v>0.96316729999999995</v>
      </c>
      <c r="AF294" s="34">
        <v>0.96316729999999995</v>
      </c>
      <c r="AG294" s="34">
        <v>0.96316729999999995</v>
      </c>
      <c r="AH294" s="10">
        <v>0.96316729999999995</v>
      </c>
      <c r="AI294" s="34">
        <v>0.96316729999999995</v>
      </c>
      <c r="AJ294" s="34">
        <v>0</v>
      </c>
      <c r="AK294" s="34">
        <v>0.96316729999999995</v>
      </c>
      <c r="AM294" s="34">
        <v>0.96316729999999995</v>
      </c>
      <c r="AN294" s="34">
        <v>0.96316729999999995</v>
      </c>
      <c r="AO294" s="34">
        <v>0.96316729999999995</v>
      </c>
      <c r="AP294" s="10">
        <v>0.96316729999999995</v>
      </c>
      <c r="AQ294" s="34">
        <v>0.96316729999999995</v>
      </c>
      <c r="AR294" s="34">
        <v>0</v>
      </c>
      <c r="AS294" s="34">
        <v>0.96316729999999995</v>
      </c>
      <c r="AT294" s="10">
        <v>275.42975464300002</v>
      </c>
      <c r="AU294" s="34">
        <v>0</v>
      </c>
      <c r="AV294" s="34">
        <v>0</v>
      </c>
      <c r="AW294" s="34">
        <v>0</v>
      </c>
      <c r="AY294" s="53"/>
      <c r="AZ294" s="53"/>
      <c r="BA294" s="53"/>
    </row>
    <row r="295" spans="1:55">
      <c r="A295" s="33" t="s">
        <v>2058</v>
      </c>
      <c r="B295" s="33" t="s">
        <v>2059</v>
      </c>
      <c r="C295" s="34">
        <v>0</v>
      </c>
      <c r="D295" s="34">
        <v>0</v>
      </c>
      <c r="E295" s="34">
        <v>0</v>
      </c>
      <c r="F295" s="34">
        <v>0</v>
      </c>
      <c r="G295" s="34">
        <v>0</v>
      </c>
      <c r="H295" s="34">
        <v>0</v>
      </c>
      <c r="I295" s="34">
        <v>0</v>
      </c>
      <c r="J295" s="34">
        <v>0</v>
      </c>
      <c r="K295" s="34">
        <v>0</v>
      </c>
      <c r="L295" s="34">
        <v>0</v>
      </c>
      <c r="M295" s="34">
        <v>0</v>
      </c>
      <c r="Z295" s="34" t="s">
        <v>2059</v>
      </c>
      <c r="AA295" s="34">
        <v>0</v>
      </c>
      <c r="AB295" s="34">
        <v>0</v>
      </c>
      <c r="AC295" s="34">
        <v>0</v>
      </c>
      <c r="AD295" s="10">
        <v>0</v>
      </c>
      <c r="AE295" s="34">
        <v>0</v>
      </c>
      <c r="AF295" s="34">
        <v>0</v>
      </c>
      <c r="AG295" s="34">
        <v>0</v>
      </c>
      <c r="AH295" s="10">
        <v>0</v>
      </c>
      <c r="AI295" s="34">
        <v>0</v>
      </c>
      <c r="AJ295" s="34">
        <v>0</v>
      </c>
      <c r="AK295" s="34">
        <v>0</v>
      </c>
      <c r="AM295" s="34">
        <v>0</v>
      </c>
      <c r="AN295" s="34">
        <v>0</v>
      </c>
      <c r="AO295" s="34">
        <v>0</v>
      </c>
      <c r="AP295" s="10">
        <v>0</v>
      </c>
      <c r="AQ295" s="34">
        <v>0</v>
      </c>
      <c r="AR295" s="34">
        <v>0</v>
      </c>
      <c r="AS295" s="34">
        <v>0</v>
      </c>
      <c r="AT295" s="10">
        <v>0</v>
      </c>
      <c r="AU295" s="34">
        <v>0</v>
      </c>
      <c r="AV295" s="34">
        <v>0</v>
      </c>
      <c r="AW295" s="34">
        <v>0</v>
      </c>
      <c r="AY295" s="53"/>
      <c r="AZ295" s="53"/>
      <c r="BA295" s="53"/>
    </row>
    <row r="296" spans="1:55" s="41" customFormat="1">
      <c r="A296" s="40" t="s">
        <v>2090</v>
      </c>
      <c r="B296" s="40" t="s">
        <v>2091</v>
      </c>
      <c r="C296" s="41">
        <v>0</v>
      </c>
      <c r="D296" s="41">
        <v>0</v>
      </c>
      <c r="E296" s="41">
        <v>0</v>
      </c>
      <c r="F296" s="41">
        <v>0</v>
      </c>
      <c r="G296" s="41">
        <v>0</v>
      </c>
      <c r="H296" s="41">
        <v>0</v>
      </c>
      <c r="I296" s="41">
        <v>0</v>
      </c>
      <c r="J296" s="41">
        <v>2.40136723</v>
      </c>
      <c r="K296" s="41">
        <v>2.9766472020000001</v>
      </c>
      <c r="L296" s="41">
        <v>3.5519271739999998</v>
      </c>
      <c r="M296" s="41">
        <v>3.1640398460000001</v>
      </c>
      <c r="O296" s="7"/>
      <c r="P296" s="7"/>
      <c r="Z296" s="41" t="s">
        <v>2091</v>
      </c>
      <c r="AA296" s="41">
        <v>0</v>
      </c>
      <c r="AB296" s="41">
        <v>0.57527997200000003</v>
      </c>
      <c r="AC296" s="41">
        <v>0.71909996499999995</v>
      </c>
      <c r="AD296" s="11">
        <v>0</v>
      </c>
      <c r="AE296" s="41">
        <v>1.0067399509999999</v>
      </c>
      <c r="AF296" s="41">
        <v>1.1826655210000001</v>
      </c>
      <c r="AG296" s="41">
        <v>1.1505599440000001</v>
      </c>
      <c r="AH296" s="11">
        <v>2.40136723</v>
      </c>
      <c r="AI296" s="41">
        <v>3.5083545229999999</v>
      </c>
      <c r="AJ296" s="41">
        <v>2.6890072159999998</v>
      </c>
      <c r="AK296" s="41">
        <v>2.832827209</v>
      </c>
      <c r="AL296" s="11"/>
      <c r="AM296" s="41">
        <v>4.0836344950000001</v>
      </c>
      <c r="AN296" s="41">
        <v>4.2274544880000002</v>
      </c>
      <c r="AO296" s="41">
        <v>4.3712744810000004</v>
      </c>
      <c r="AP296" s="11">
        <v>4.5150944739999996</v>
      </c>
      <c r="AQ296" s="41">
        <v>4.6589144669999998</v>
      </c>
      <c r="AR296" s="41">
        <v>3.8395671600000001</v>
      </c>
      <c r="AS296" s="41">
        <v>4.9465544530000001</v>
      </c>
      <c r="AT296" s="11">
        <v>5.0903744460000002</v>
      </c>
      <c r="AU296" s="41">
        <v>11.132691823</v>
      </c>
      <c r="AV296" s="41">
        <v>17.175008199000001</v>
      </c>
      <c r="AW296" s="41">
        <v>25.14</v>
      </c>
      <c r="AY296" s="55">
        <f>AU296-AT296</f>
        <v>6.0423173769999998</v>
      </c>
      <c r="AZ296" s="55">
        <f>AV296-AU296</f>
        <v>6.0423163760000005</v>
      </c>
      <c r="BA296" s="55">
        <f>AW296-AV296</f>
        <v>7.964991801</v>
      </c>
      <c r="BC296" s="55">
        <f>AT296-AP296</f>
        <v>0.57527997200000058</v>
      </c>
    </row>
    <row r="297" spans="1:55">
      <c r="A297" s="33" t="s">
        <v>2054</v>
      </c>
      <c r="B297" s="33" t="s">
        <v>2092</v>
      </c>
      <c r="C297" s="34">
        <v>0</v>
      </c>
      <c r="D297" s="34">
        <v>0</v>
      </c>
      <c r="E297" s="34">
        <v>0</v>
      </c>
      <c r="F297" s="34">
        <v>0</v>
      </c>
      <c r="G297" s="34">
        <v>0</v>
      </c>
      <c r="H297" s="34">
        <v>0</v>
      </c>
      <c r="I297" s="34">
        <v>0</v>
      </c>
      <c r="J297" s="34">
        <v>0.86291995799999999</v>
      </c>
      <c r="K297" s="34">
        <v>2.40136723</v>
      </c>
      <c r="L297" s="34">
        <v>2.9766472020000001</v>
      </c>
      <c r="M297" s="34">
        <v>2.588759874</v>
      </c>
      <c r="Z297" s="34" t="s">
        <v>2092</v>
      </c>
      <c r="AA297" s="34">
        <v>0</v>
      </c>
      <c r="AB297" s="34">
        <v>0.28763998600000001</v>
      </c>
      <c r="AC297" s="34">
        <v>0.28763998600000001</v>
      </c>
      <c r="AD297" s="10">
        <v>0</v>
      </c>
      <c r="AE297" s="34">
        <v>0.86291995799999999</v>
      </c>
      <c r="AF297" s="34">
        <v>0.86291995799999999</v>
      </c>
      <c r="AG297" s="34">
        <v>0.86291995799999999</v>
      </c>
      <c r="AH297" s="10">
        <v>0.86291995799999999</v>
      </c>
      <c r="AI297" s="34">
        <v>2.40136723</v>
      </c>
      <c r="AJ297" s="34">
        <v>2.40136723</v>
      </c>
      <c r="AK297" s="34">
        <v>1.4381999299999999</v>
      </c>
      <c r="AM297" s="34">
        <v>2.9766472020000001</v>
      </c>
      <c r="AN297" s="34">
        <v>2.9766472020000001</v>
      </c>
      <c r="AO297" s="34">
        <v>2.9766472020000001</v>
      </c>
      <c r="AP297" s="10">
        <v>2.9766472020000001</v>
      </c>
      <c r="AQ297" s="34">
        <v>3.5519271739999998</v>
      </c>
      <c r="AR297" s="34">
        <v>3.5519271739999998</v>
      </c>
      <c r="AS297" s="34">
        <v>3.5519271739999998</v>
      </c>
      <c r="AT297" s="10">
        <v>3.5519271739999998</v>
      </c>
      <c r="AU297" s="34">
        <v>4.1272071459999999</v>
      </c>
      <c r="AV297" s="34">
        <v>3.164038846</v>
      </c>
      <c r="AW297" s="34">
        <v>4.13</v>
      </c>
      <c r="AY297" s="53"/>
      <c r="AZ297" s="53"/>
      <c r="BA297" s="53"/>
    </row>
    <row r="298" spans="1:55">
      <c r="A298" s="33" t="s">
        <v>2056</v>
      </c>
      <c r="B298" s="33" t="s">
        <v>2057</v>
      </c>
      <c r="C298" s="34">
        <v>0</v>
      </c>
      <c r="D298" s="34">
        <v>0</v>
      </c>
      <c r="E298" s="34">
        <v>0</v>
      </c>
      <c r="F298" s="34">
        <v>0</v>
      </c>
      <c r="G298" s="34">
        <v>0</v>
      </c>
      <c r="H298" s="34">
        <v>0</v>
      </c>
      <c r="I298" s="34">
        <v>0</v>
      </c>
      <c r="J298" s="34">
        <v>1.538447272</v>
      </c>
      <c r="K298" s="34">
        <v>0.57527997200000003</v>
      </c>
      <c r="L298" s="34">
        <v>0.57527997200000003</v>
      </c>
      <c r="M298" s="34">
        <v>0.57527997200000003</v>
      </c>
      <c r="Z298" s="34" t="s">
        <v>2057</v>
      </c>
      <c r="AA298" s="34">
        <v>0</v>
      </c>
      <c r="AB298" s="34">
        <v>0.28763998600000001</v>
      </c>
      <c r="AC298" s="34">
        <v>0.43145997899999999</v>
      </c>
      <c r="AD298" s="10">
        <v>0</v>
      </c>
      <c r="AE298" s="34">
        <v>0.14381999300000001</v>
      </c>
      <c r="AF298" s="34">
        <v>0.31974556300000001</v>
      </c>
      <c r="AG298" s="34">
        <v>0.28763998600000001</v>
      </c>
      <c r="AH298" s="10">
        <v>1.538447272</v>
      </c>
      <c r="AI298" s="34">
        <v>1.106987293</v>
      </c>
      <c r="AJ298" s="34">
        <v>0.28763998600000001</v>
      </c>
      <c r="AK298" s="34">
        <v>1.3946272790000001</v>
      </c>
      <c r="AM298" s="34">
        <v>1.106987293</v>
      </c>
      <c r="AN298" s="34">
        <v>1.2508072859999999</v>
      </c>
      <c r="AO298" s="34">
        <v>1.3946272790000001</v>
      </c>
      <c r="AP298" s="10">
        <v>1.538447272</v>
      </c>
      <c r="AQ298" s="34">
        <v>1.106987293</v>
      </c>
      <c r="AR298" s="34">
        <v>0.28763998600000001</v>
      </c>
      <c r="AS298" s="34">
        <v>1.3946272790000001</v>
      </c>
      <c r="AT298" s="10">
        <v>1.538447272</v>
      </c>
      <c r="AU298" s="34">
        <v>7.0054846770000001</v>
      </c>
      <c r="AV298" s="34">
        <v>14.010969353</v>
      </c>
      <c r="AW298" s="34">
        <v>21.02</v>
      </c>
      <c r="AY298" s="53"/>
      <c r="AZ298" s="53"/>
      <c r="BA298" s="53"/>
    </row>
    <row r="299" spans="1:55">
      <c r="A299" s="33" t="s">
        <v>2058</v>
      </c>
      <c r="B299" s="33" t="s">
        <v>2059</v>
      </c>
      <c r="C299" s="34">
        <v>0</v>
      </c>
      <c r="D299" s="34">
        <v>0</v>
      </c>
      <c r="E299" s="34">
        <v>0</v>
      </c>
      <c r="F299" s="34">
        <v>0</v>
      </c>
      <c r="G299" s="34">
        <v>0</v>
      </c>
      <c r="H299" s="34">
        <v>0</v>
      </c>
      <c r="I299" s="34">
        <v>0</v>
      </c>
      <c r="J299" s="34">
        <v>0</v>
      </c>
      <c r="K299" s="34">
        <v>0</v>
      </c>
      <c r="L299" s="34">
        <v>0</v>
      </c>
      <c r="M299" s="34">
        <v>0</v>
      </c>
      <c r="Z299" s="34" t="s">
        <v>2059</v>
      </c>
      <c r="AA299" s="34">
        <v>0</v>
      </c>
      <c r="AB299" s="34">
        <v>0</v>
      </c>
      <c r="AC299" s="34">
        <v>0</v>
      </c>
      <c r="AD299" s="10">
        <v>0</v>
      </c>
      <c r="AE299" s="34">
        <v>0</v>
      </c>
      <c r="AF299" s="34">
        <v>0</v>
      </c>
      <c r="AG299" s="34">
        <v>0</v>
      </c>
      <c r="AH299" s="10">
        <v>0</v>
      </c>
      <c r="AI299" s="34">
        <v>0</v>
      </c>
      <c r="AJ299" s="34">
        <v>0</v>
      </c>
      <c r="AK299" s="34">
        <v>0</v>
      </c>
      <c r="AM299" s="34">
        <v>0</v>
      </c>
      <c r="AN299" s="34">
        <v>0</v>
      </c>
      <c r="AO299" s="34">
        <v>0</v>
      </c>
      <c r="AP299" s="10">
        <v>0</v>
      </c>
      <c r="AQ299" s="34">
        <v>0</v>
      </c>
      <c r="AR299" s="34">
        <v>0</v>
      </c>
      <c r="AS299" s="34">
        <v>0</v>
      </c>
      <c r="AT299" s="10">
        <v>0</v>
      </c>
      <c r="AU299" s="34">
        <v>0</v>
      </c>
      <c r="AV299" s="34">
        <v>0</v>
      </c>
      <c r="AW299" s="34">
        <v>0</v>
      </c>
    </row>
    <row r="300" spans="1:55">
      <c r="A300" s="33" t="s">
        <v>2093</v>
      </c>
      <c r="B300" s="33" t="s">
        <v>2094</v>
      </c>
      <c r="C300" s="34">
        <v>12.258988798000001</v>
      </c>
      <c r="D300" s="34">
        <v>12.546317733</v>
      </c>
      <c r="E300" s="34">
        <v>12.176188353000001</v>
      </c>
      <c r="F300" s="34">
        <v>5.8724034329999997</v>
      </c>
      <c r="G300" s="34">
        <v>5.6288866789999998</v>
      </c>
      <c r="H300" s="34">
        <v>7.5196960869999998</v>
      </c>
      <c r="I300" s="34">
        <v>11.278583864</v>
      </c>
      <c r="J300" s="34">
        <v>27.815993433999999</v>
      </c>
      <c r="K300" s="34">
        <v>30.392029531999999</v>
      </c>
      <c r="L300" s="34">
        <v>71.114497326999995</v>
      </c>
      <c r="M300" s="34">
        <v>38.651778315000001</v>
      </c>
      <c r="Z300" s="34" t="s">
        <v>2094</v>
      </c>
      <c r="AA300" s="34">
        <v>5.4506966319999997</v>
      </c>
      <c r="AB300" s="34">
        <v>5.9074005549999997</v>
      </c>
      <c r="AC300" s="34">
        <v>10.928246272999999</v>
      </c>
      <c r="AD300" s="10">
        <v>11.724938204000001</v>
      </c>
      <c r="AE300" s="34">
        <v>10.163455895</v>
      </c>
      <c r="AF300" s="34">
        <v>12.419973034</v>
      </c>
      <c r="AG300" s="34">
        <v>16.902079665999999</v>
      </c>
      <c r="AH300" s="10">
        <v>28.087301159999999</v>
      </c>
      <c r="AI300" s="34">
        <v>10.224678176999999</v>
      </c>
      <c r="AJ300" s="34">
        <v>21.047284466000001</v>
      </c>
      <c r="AK300" s="34">
        <v>39.130999817000003</v>
      </c>
      <c r="AM300" s="34">
        <v>29.707647803</v>
      </c>
      <c r="AN300" s="34">
        <v>30.454364621</v>
      </c>
      <c r="AO300" s="34">
        <v>27.588004799</v>
      </c>
      <c r="AP300" s="10">
        <v>71.149271330000005</v>
      </c>
      <c r="AQ300" s="34">
        <v>54.924819087000003</v>
      </c>
      <c r="AR300" s="34">
        <v>28.815046584000001</v>
      </c>
      <c r="AS300" s="34">
        <v>37.251086950000001</v>
      </c>
      <c r="AT300" s="10">
        <v>38.651778315000001</v>
      </c>
      <c r="AU300" s="34">
        <v>3.9568449330000002</v>
      </c>
      <c r="AV300" s="34">
        <v>51.231287526999999</v>
      </c>
      <c r="AW300" s="34">
        <v>46.54</v>
      </c>
    </row>
    <row r="301" spans="1:55">
      <c r="A301" s="33" t="s">
        <v>2095</v>
      </c>
      <c r="B301" s="33" t="s">
        <v>2096</v>
      </c>
      <c r="C301" s="34">
        <v>3.2266560000000001E-3</v>
      </c>
      <c r="D301" s="34">
        <v>0</v>
      </c>
      <c r="E301" s="34">
        <v>0</v>
      </c>
      <c r="F301" s="34">
        <v>0.10272229200000001</v>
      </c>
      <c r="G301" s="34">
        <v>0</v>
      </c>
      <c r="H301" s="34">
        <v>0.127730437</v>
      </c>
      <c r="I301" s="34">
        <v>0</v>
      </c>
      <c r="J301" s="34">
        <v>0</v>
      </c>
      <c r="K301" s="34">
        <v>4.7559189909999997</v>
      </c>
      <c r="L301" s="34">
        <v>0.35809538899999999</v>
      </c>
      <c r="M301" s="34">
        <v>37.448453743000002</v>
      </c>
      <c r="Z301" s="34" t="s">
        <v>2096</v>
      </c>
      <c r="AA301" s="34">
        <v>0</v>
      </c>
      <c r="AB301" s="34">
        <v>0.22274398200000001</v>
      </c>
      <c r="AC301" s="34">
        <v>0</v>
      </c>
      <c r="AD301" s="10">
        <v>0</v>
      </c>
      <c r="AE301" s="34">
        <v>0</v>
      </c>
      <c r="AF301" s="34">
        <v>0</v>
      </c>
      <c r="AG301" s="34">
        <v>0</v>
      </c>
      <c r="AH301" s="10">
        <v>0</v>
      </c>
      <c r="AI301" s="34">
        <v>0</v>
      </c>
      <c r="AJ301" s="34">
        <v>2.3739270000000001E-3</v>
      </c>
      <c r="AK301" s="34">
        <v>0</v>
      </c>
      <c r="AM301" s="34">
        <v>0</v>
      </c>
      <c r="AN301" s="34">
        <v>0</v>
      </c>
      <c r="AO301" s="34">
        <v>0</v>
      </c>
      <c r="AP301" s="10">
        <v>0.35809538899999999</v>
      </c>
      <c r="AQ301" s="34">
        <v>0</v>
      </c>
      <c r="AR301" s="34">
        <v>1.2350440000000001E-2</v>
      </c>
      <c r="AS301" s="34">
        <v>0</v>
      </c>
      <c r="AT301" s="10">
        <v>0</v>
      </c>
      <c r="AU301" s="34">
        <v>0</v>
      </c>
      <c r="AV301" s="34">
        <v>31.139279043999998</v>
      </c>
      <c r="AW301" s="34">
        <v>23.68</v>
      </c>
    </row>
    <row r="302" spans="1:55">
      <c r="A302" s="33" t="s">
        <v>2097</v>
      </c>
      <c r="B302" s="33" t="s">
        <v>2098</v>
      </c>
      <c r="C302" s="34">
        <v>0</v>
      </c>
      <c r="D302" s="34">
        <v>0</v>
      </c>
      <c r="E302" s="34">
        <v>0</v>
      </c>
      <c r="F302" s="34">
        <v>0</v>
      </c>
      <c r="G302" s="34">
        <v>0</v>
      </c>
      <c r="H302" s="34">
        <v>0</v>
      </c>
      <c r="I302" s="34">
        <v>0</v>
      </c>
      <c r="J302" s="34">
        <v>0</v>
      </c>
      <c r="K302" s="34">
        <v>0</v>
      </c>
      <c r="L302" s="34">
        <v>0</v>
      </c>
      <c r="M302" s="34">
        <v>0</v>
      </c>
      <c r="Z302" s="34" t="s">
        <v>2098</v>
      </c>
      <c r="AA302" s="34">
        <v>0</v>
      </c>
      <c r="AB302" s="34">
        <v>0</v>
      </c>
      <c r="AC302" s="34">
        <v>0</v>
      </c>
      <c r="AD302" s="10">
        <v>0</v>
      </c>
      <c r="AE302" s="34">
        <v>0</v>
      </c>
      <c r="AF302" s="34">
        <v>0</v>
      </c>
      <c r="AG302" s="34">
        <v>0</v>
      </c>
      <c r="AH302" s="10">
        <v>0</v>
      </c>
      <c r="AI302" s="34">
        <v>0</v>
      </c>
      <c r="AJ302" s="34">
        <v>0</v>
      </c>
      <c r="AK302" s="34">
        <v>0</v>
      </c>
      <c r="AM302" s="34">
        <v>0</v>
      </c>
      <c r="AN302" s="34">
        <v>0</v>
      </c>
      <c r="AO302" s="34">
        <v>0</v>
      </c>
      <c r="AP302" s="10">
        <v>0</v>
      </c>
      <c r="AQ302" s="34">
        <v>0</v>
      </c>
      <c r="AR302" s="34">
        <v>0</v>
      </c>
      <c r="AS302" s="34">
        <v>0</v>
      </c>
      <c r="AT302" s="10">
        <v>0</v>
      </c>
      <c r="AU302" s="34">
        <v>0</v>
      </c>
      <c r="AV302" s="34">
        <v>0</v>
      </c>
      <c r="AW302" s="34">
        <v>0</v>
      </c>
    </row>
    <row r="303" spans="1:55">
      <c r="A303" s="33" t="s">
        <v>2099</v>
      </c>
      <c r="B303" s="33" t="s">
        <v>2100</v>
      </c>
      <c r="C303" s="34">
        <v>2.8177926999999998E-2</v>
      </c>
      <c r="D303" s="34">
        <v>0</v>
      </c>
      <c r="E303" s="34">
        <v>0</v>
      </c>
      <c r="F303" s="34">
        <v>0</v>
      </c>
      <c r="G303" s="34">
        <v>0</v>
      </c>
      <c r="H303" s="34">
        <v>0</v>
      </c>
      <c r="I303" s="34">
        <v>0</v>
      </c>
      <c r="J303" s="34">
        <v>0</v>
      </c>
      <c r="K303" s="34">
        <v>0</v>
      </c>
      <c r="L303" s="34">
        <v>0</v>
      </c>
      <c r="M303" s="34">
        <v>0</v>
      </c>
      <c r="Z303" s="34" t="s">
        <v>2100</v>
      </c>
      <c r="AA303" s="34">
        <v>0</v>
      </c>
      <c r="AB303" s="34">
        <v>0</v>
      </c>
      <c r="AC303" s="34">
        <v>0</v>
      </c>
      <c r="AD303" s="10">
        <v>0</v>
      </c>
      <c r="AE303" s="34">
        <v>0</v>
      </c>
      <c r="AF303" s="34">
        <v>0</v>
      </c>
      <c r="AG303" s="34">
        <v>0</v>
      </c>
      <c r="AH303" s="10">
        <v>0</v>
      </c>
      <c r="AI303" s="34">
        <v>0</v>
      </c>
      <c r="AJ303" s="34">
        <v>0</v>
      </c>
      <c r="AK303" s="34">
        <v>0</v>
      </c>
      <c r="AM303" s="34">
        <v>0</v>
      </c>
      <c r="AN303" s="34">
        <v>0</v>
      </c>
      <c r="AO303" s="34">
        <v>0</v>
      </c>
      <c r="AP303" s="10">
        <v>0</v>
      </c>
      <c r="AQ303" s="34">
        <v>0</v>
      </c>
      <c r="AR303" s="34">
        <v>0</v>
      </c>
      <c r="AS303" s="34">
        <v>0</v>
      </c>
      <c r="AT303" s="10">
        <v>0</v>
      </c>
      <c r="AU303" s="34">
        <v>0</v>
      </c>
      <c r="AV303" s="34">
        <v>0</v>
      </c>
      <c r="AW303" s="34">
        <v>0</v>
      </c>
    </row>
    <row r="304" spans="1:55">
      <c r="A304" s="33" t="s">
        <v>2101</v>
      </c>
      <c r="B304" s="33" t="s">
        <v>2102</v>
      </c>
      <c r="C304" s="34">
        <v>12.100661089999999</v>
      </c>
      <c r="D304" s="34">
        <v>12.341138259999999</v>
      </c>
      <c r="E304" s="34">
        <v>11.881823496999999</v>
      </c>
      <c r="F304" s="34">
        <v>5.4603250680000004</v>
      </c>
      <c r="G304" s="34">
        <v>5.2582868740000004</v>
      </c>
      <c r="H304" s="34">
        <v>6.7720040619999997</v>
      </c>
      <c r="I304" s="34">
        <v>10.925449252</v>
      </c>
      <c r="J304" s="34">
        <v>27.484024385000001</v>
      </c>
      <c r="K304" s="34">
        <v>25.424656302999999</v>
      </c>
      <c r="L304" s="34">
        <v>70.531715697999999</v>
      </c>
      <c r="M304" s="34">
        <v>1.113199968</v>
      </c>
      <c r="Z304" s="34" t="s">
        <v>2102</v>
      </c>
      <c r="AA304" s="34">
        <v>3.5473721550000001</v>
      </c>
      <c r="AB304" s="34">
        <v>5.1110580490000004</v>
      </c>
      <c r="AC304" s="34">
        <v>10.471425779</v>
      </c>
      <c r="AD304" s="10">
        <v>10.471425779</v>
      </c>
      <c r="AE304" s="34">
        <v>8.8144323539999991</v>
      </c>
      <c r="AF304" s="34">
        <v>11.993175529</v>
      </c>
      <c r="AG304" s="34">
        <v>16.761633371999999</v>
      </c>
      <c r="AH304" s="10">
        <v>27.822841392000001</v>
      </c>
      <c r="AI304" s="34">
        <v>8.6377648679999997</v>
      </c>
      <c r="AJ304" s="34">
        <v>20.857293466000002</v>
      </c>
      <c r="AK304" s="34">
        <v>38.926413701000001</v>
      </c>
      <c r="AM304" s="34">
        <v>27.788953183</v>
      </c>
      <c r="AN304" s="34">
        <v>30.163326974</v>
      </c>
      <c r="AO304" s="34">
        <v>26.931582169999999</v>
      </c>
      <c r="AP304" s="10">
        <v>70.593693431000005</v>
      </c>
      <c r="AQ304" s="34">
        <v>52.986243960000003</v>
      </c>
      <c r="AR304" s="34">
        <v>28.522558540999999</v>
      </c>
      <c r="AS304" s="34">
        <v>36.856027568000002</v>
      </c>
      <c r="AT304" s="10">
        <v>37.475657472999998</v>
      </c>
      <c r="AU304" s="34">
        <v>1.8615432270000001</v>
      </c>
      <c r="AV304" s="34">
        <v>19.488019976</v>
      </c>
      <c r="AW304" s="34">
        <v>22.21</v>
      </c>
    </row>
    <row r="305" spans="1:49">
      <c r="A305" s="33" t="s">
        <v>2103</v>
      </c>
      <c r="B305" s="33" t="s">
        <v>2104</v>
      </c>
      <c r="C305" s="34">
        <v>0.126923125</v>
      </c>
      <c r="D305" s="34">
        <v>0.205179473</v>
      </c>
      <c r="E305" s="34">
        <v>0.29436485600000001</v>
      </c>
      <c r="F305" s="34">
        <v>0.30935607300000001</v>
      </c>
      <c r="G305" s="34">
        <v>0.370599805</v>
      </c>
      <c r="H305" s="34">
        <v>0.61996158800000001</v>
      </c>
      <c r="I305" s="34">
        <v>0.35313461200000001</v>
      </c>
      <c r="J305" s="34">
        <v>0.33196904900000002</v>
      </c>
      <c r="K305" s="34">
        <v>0.21145423799999999</v>
      </c>
      <c r="L305" s="34">
        <v>0.217877925</v>
      </c>
      <c r="M305" s="34">
        <v>9.0124603999999997E-2</v>
      </c>
      <c r="Z305" s="34" t="s">
        <v>2104</v>
      </c>
      <c r="AA305" s="34">
        <v>1.254248982</v>
      </c>
      <c r="AB305" s="34">
        <v>0.56959852399999999</v>
      </c>
      <c r="AC305" s="34">
        <v>0.33053254900000001</v>
      </c>
      <c r="AD305" s="10">
        <v>0.46017476800000001</v>
      </c>
      <c r="AE305" s="34">
        <v>1.349023541</v>
      </c>
      <c r="AF305" s="34">
        <v>0.42679750500000002</v>
      </c>
      <c r="AG305" s="34">
        <v>6.2246174000000001E-2</v>
      </c>
      <c r="AH305" s="10">
        <v>0.237546603</v>
      </c>
      <c r="AI305" s="34">
        <v>1.586913309</v>
      </c>
      <c r="AJ305" s="34">
        <v>0.187617073</v>
      </c>
      <c r="AK305" s="34">
        <v>0.20458611600000001</v>
      </c>
      <c r="AM305" s="34">
        <v>1.125014827</v>
      </c>
      <c r="AN305" s="34">
        <v>0.29103764700000001</v>
      </c>
      <c r="AO305" s="34">
        <v>0.65642262900000004</v>
      </c>
      <c r="AP305" s="10">
        <v>0.18829040999999999</v>
      </c>
      <c r="AQ305" s="34">
        <v>1.9355239310000001</v>
      </c>
      <c r="AR305" s="34">
        <v>0.26803748199999999</v>
      </c>
      <c r="AS305" s="34">
        <v>0.35102166899999998</v>
      </c>
      <c r="AT305" s="10">
        <v>1.0859962379999999</v>
      </c>
      <c r="AU305" s="34">
        <v>1.925688801</v>
      </c>
      <c r="AV305" s="34">
        <v>0.40604226500000001</v>
      </c>
      <c r="AW305" s="34">
        <v>0.39</v>
      </c>
    </row>
    <row r="306" spans="1:49">
      <c r="A306" s="33" t="s">
        <v>2105</v>
      </c>
      <c r="B306" s="33" t="s">
        <v>2106</v>
      </c>
      <c r="C306" s="34">
        <v>0</v>
      </c>
      <c r="D306" s="34">
        <v>0</v>
      </c>
      <c r="E306" s="34">
        <v>0</v>
      </c>
      <c r="F306" s="34">
        <v>0</v>
      </c>
      <c r="G306" s="34">
        <v>0</v>
      </c>
      <c r="H306" s="34">
        <v>0</v>
      </c>
      <c r="I306" s="34">
        <v>0</v>
      </c>
      <c r="J306" s="34">
        <v>0</v>
      </c>
      <c r="K306" s="34">
        <v>0</v>
      </c>
      <c r="L306" s="34">
        <v>0</v>
      </c>
      <c r="M306" s="34">
        <v>0</v>
      </c>
      <c r="Z306" s="34" t="s">
        <v>2106</v>
      </c>
      <c r="AA306" s="34">
        <v>0</v>
      </c>
      <c r="AB306" s="34">
        <v>0</v>
      </c>
      <c r="AC306" s="34">
        <v>0</v>
      </c>
      <c r="AD306" s="10">
        <v>0</v>
      </c>
      <c r="AE306" s="34">
        <v>0</v>
      </c>
      <c r="AF306" s="34">
        <v>0</v>
      </c>
      <c r="AG306" s="34">
        <v>0</v>
      </c>
      <c r="AH306" s="10">
        <v>0</v>
      </c>
      <c r="AI306" s="34">
        <v>0</v>
      </c>
      <c r="AJ306" s="34">
        <v>0</v>
      </c>
      <c r="AK306" s="34">
        <v>0</v>
      </c>
      <c r="AM306" s="34">
        <v>0</v>
      </c>
      <c r="AN306" s="34">
        <v>0</v>
      </c>
      <c r="AO306" s="34">
        <v>0</v>
      </c>
      <c r="AP306" s="10">
        <v>0</v>
      </c>
      <c r="AQ306" s="34">
        <v>0</v>
      </c>
      <c r="AR306" s="34">
        <v>0</v>
      </c>
      <c r="AS306" s="34">
        <v>0</v>
      </c>
      <c r="AT306" s="10">
        <v>0</v>
      </c>
      <c r="AU306" s="34">
        <v>0</v>
      </c>
      <c r="AV306" s="34">
        <v>0</v>
      </c>
      <c r="AW306" s="34">
        <v>0</v>
      </c>
    </row>
    <row r="307" spans="1:49">
      <c r="A307" s="33" t="s">
        <v>2107</v>
      </c>
      <c r="B307" s="33" t="s">
        <v>2108</v>
      </c>
      <c r="C307" s="34">
        <v>0</v>
      </c>
      <c r="D307" s="34">
        <v>0</v>
      </c>
      <c r="E307" s="34">
        <v>0</v>
      </c>
      <c r="F307" s="34">
        <v>0</v>
      </c>
      <c r="G307" s="34">
        <v>0</v>
      </c>
      <c r="H307" s="34">
        <v>0</v>
      </c>
      <c r="I307" s="34">
        <v>0</v>
      </c>
      <c r="J307" s="34">
        <v>0</v>
      </c>
      <c r="K307" s="34">
        <v>0</v>
      </c>
      <c r="L307" s="34">
        <v>0</v>
      </c>
      <c r="M307" s="34">
        <v>0</v>
      </c>
      <c r="Z307" s="34" t="s">
        <v>2108</v>
      </c>
      <c r="AA307" s="34">
        <v>0</v>
      </c>
      <c r="AB307" s="34">
        <v>0</v>
      </c>
      <c r="AC307" s="34">
        <v>0</v>
      </c>
      <c r="AD307" s="10">
        <v>0</v>
      </c>
      <c r="AE307" s="34">
        <v>0</v>
      </c>
      <c r="AF307" s="34">
        <v>0</v>
      </c>
      <c r="AG307" s="34">
        <v>0</v>
      </c>
      <c r="AH307" s="10">
        <v>0</v>
      </c>
      <c r="AI307" s="34">
        <v>0</v>
      </c>
      <c r="AJ307" s="34">
        <v>0</v>
      </c>
      <c r="AK307" s="34">
        <v>0</v>
      </c>
      <c r="AM307" s="34">
        <v>0</v>
      </c>
      <c r="AN307" s="34">
        <v>0</v>
      </c>
      <c r="AO307" s="34">
        <v>0</v>
      </c>
      <c r="AP307" s="10">
        <v>0</v>
      </c>
      <c r="AQ307" s="34">
        <v>0</v>
      </c>
      <c r="AR307" s="34">
        <v>0</v>
      </c>
      <c r="AS307" s="34">
        <v>0</v>
      </c>
      <c r="AT307" s="10">
        <v>0</v>
      </c>
      <c r="AU307" s="34">
        <v>0</v>
      </c>
      <c r="AV307" s="34">
        <v>0</v>
      </c>
      <c r="AW307" s="34">
        <v>0</v>
      </c>
    </row>
    <row r="308" spans="1:49">
      <c r="A308" s="33" t="s">
        <v>2109</v>
      </c>
      <c r="B308" s="33" t="s">
        <v>2110</v>
      </c>
      <c r="C308" s="34">
        <v>0</v>
      </c>
      <c r="D308" s="34">
        <v>0</v>
      </c>
      <c r="E308" s="34">
        <v>0</v>
      </c>
      <c r="F308" s="34">
        <v>0</v>
      </c>
      <c r="G308" s="34">
        <v>0</v>
      </c>
      <c r="H308" s="34">
        <v>0</v>
      </c>
      <c r="I308" s="34">
        <v>0</v>
      </c>
      <c r="J308" s="34">
        <v>0</v>
      </c>
      <c r="K308" s="34">
        <v>0</v>
      </c>
      <c r="L308" s="34">
        <v>6.8083149999999997E-3</v>
      </c>
      <c r="M308" s="34">
        <v>0</v>
      </c>
      <c r="Z308" s="34" t="s">
        <v>2110</v>
      </c>
      <c r="AA308" s="34">
        <v>0.64907549499999995</v>
      </c>
      <c r="AB308" s="34">
        <v>4.0000000000000001E-3</v>
      </c>
      <c r="AC308" s="34">
        <v>0.12628794500000001</v>
      </c>
      <c r="AD308" s="10">
        <v>0.79333765700000003</v>
      </c>
      <c r="AE308" s="34">
        <v>0</v>
      </c>
      <c r="AF308" s="34">
        <v>0</v>
      </c>
      <c r="AG308" s="34">
        <v>7.8200119999999998E-2</v>
      </c>
      <c r="AH308" s="10">
        <v>2.6913164999999999E-2</v>
      </c>
      <c r="AI308" s="34">
        <v>0</v>
      </c>
      <c r="AJ308" s="34">
        <v>0</v>
      </c>
      <c r="AK308" s="34">
        <v>0</v>
      </c>
      <c r="AM308" s="34">
        <v>0.79367979300000002</v>
      </c>
      <c r="AN308" s="34">
        <v>0</v>
      </c>
      <c r="AO308" s="34">
        <v>0</v>
      </c>
      <c r="AP308" s="10">
        <v>9.1920999999999999E-3</v>
      </c>
      <c r="AQ308" s="34">
        <v>3.0511959999999999E-3</v>
      </c>
      <c r="AR308" s="34">
        <v>1.2100121E-2</v>
      </c>
      <c r="AS308" s="34">
        <v>4.4037712999999999E-2</v>
      </c>
      <c r="AT308" s="10">
        <v>9.0124603999999997E-2</v>
      </c>
      <c r="AU308" s="34">
        <v>0.16961290500000001</v>
      </c>
      <c r="AV308" s="34">
        <v>0.19794624199999999</v>
      </c>
      <c r="AW308" s="34">
        <v>0.26</v>
      </c>
    </row>
    <row r="309" spans="1:49">
      <c r="A309" s="33" t="s">
        <v>2111</v>
      </c>
      <c r="B309" s="33" t="s">
        <v>2112</v>
      </c>
      <c r="C309" s="34">
        <v>0</v>
      </c>
      <c r="D309" s="34">
        <v>0</v>
      </c>
      <c r="E309" s="34">
        <v>0</v>
      </c>
      <c r="F309" s="34">
        <v>0</v>
      </c>
      <c r="G309" s="34">
        <v>0</v>
      </c>
      <c r="H309" s="34">
        <v>0</v>
      </c>
      <c r="I309" s="34">
        <v>0</v>
      </c>
      <c r="J309" s="34">
        <v>0</v>
      </c>
      <c r="K309" s="34">
        <v>0</v>
      </c>
      <c r="L309" s="34">
        <v>0</v>
      </c>
      <c r="M309" s="34">
        <v>0</v>
      </c>
      <c r="Z309" s="34" t="s">
        <v>2112</v>
      </c>
      <c r="AA309" s="34">
        <v>0</v>
      </c>
      <c r="AB309" s="34">
        <v>0</v>
      </c>
      <c r="AC309" s="34">
        <v>0</v>
      </c>
      <c r="AD309" s="10">
        <v>0</v>
      </c>
      <c r="AE309" s="34">
        <v>0</v>
      </c>
      <c r="AF309" s="34">
        <v>0</v>
      </c>
      <c r="AG309" s="34">
        <v>0</v>
      </c>
      <c r="AH309" s="10">
        <v>0</v>
      </c>
      <c r="AI309" s="34">
        <v>0</v>
      </c>
      <c r="AJ309" s="34">
        <v>0</v>
      </c>
      <c r="AK309" s="34">
        <v>0</v>
      </c>
      <c r="AM309" s="34">
        <v>0</v>
      </c>
      <c r="AN309" s="34">
        <v>0</v>
      </c>
      <c r="AO309" s="34">
        <v>0</v>
      </c>
      <c r="AP309" s="10">
        <v>0</v>
      </c>
      <c r="AQ309" s="34">
        <v>0</v>
      </c>
      <c r="AR309" s="34">
        <v>0</v>
      </c>
      <c r="AS309" s="34">
        <v>0</v>
      </c>
      <c r="AT309" s="10">
        <v>0</v>
      </c>
      <c r="AU309" s="34">
        <v>0</v>
      </c>
      <c r="AV309" s="34">
        <v>0</v>
      </c>
      <c r="AW309" s="34">
        <v>0</v>
      </c>
    </row>
    <row r="310" spans="1:49">
      <c r="A310" s="33" t="s">
        <v>2113</v>
      </c>
      <c r="B310" s="33" t="s">
        <v>2114</v>
      </c>
      <c r="C310" s="34">
        <v>8.995305278</v>
      </c>
      <c r="D310" s="34">
        <v>1.193572517</v>
      </c>
      <c r="E310" s="34">
        <v>12.903691338</v>
      </c>
      <c r="F310" s="34">
        <v>1.871363656</v>
      </c>
      <c r="G310" s="34">
        <v>1.135201197</v>
      </c>
      <c r="H310" s="34">
        <v>7.3491306390000002</v>
      </c>
      <c r="I310" s="34">
        <v>16.025875558999999</v>
      </c>
      <c r="J310" s="34">
        <v>100.16804254</v>
      </c>
      <c r="K310" s="34">
        <v>204.06965517500001</v>
      </c>
      <c r="L310" s="34">
        <v>604.94606534699994</v>
      </c>
      <c r="M310" s="34">
        <v>306.51099730700003</v>
      </c>
      <c r="Z310" s="34" t="s">
        <v>2114</v>
      </c>
      <c r="AA310" s="34">
        <v>10.164842754</v>
      </c>
      <c r="AB310" s="34">
        <v>4.5929229789999999</v>
      </c>
      <c r="AC310" s="34">
        <v>3.3626751690000001</v>
      </c>
      <c r="AD310" s="10">
        <v>14.209970655999999</v>
      </c>
      <c r="AE310" s="34">
        <v>6.0604467179999997</v>
      </c>
      <c r="AF310" s="34">
        <v>9.2360224940000002</v>
      </c>
      <c r="AG310" s="34">
        <v>42.171019979999997</v>
      </c>
      <c r="AH310" s="10">
        <v>109.222535675</v>
      </c>
      <c r="AI310" s="34">
        <v>76.650067475</v>
      </c>
      <c r="AJ310" s="34">
        <v>47.898679467999997</v>
      </c>
      <c r="AK310" s="34">
        <v>97.412370453999998</v>
      </c>
      <c r="AM310" s="34">
        <v>304.628079243</v>
      </c>
      <c r="AN310" s="34">
        <v>422.42891822000001</v>
      </c>
      <c r="AO310" s="34">
        <v>442.23923432800001</v>
      </c>
      <c r="AP310" s="10">
        <v>604.94606534699994</v>
      </c>
      <c r="AQ310" s="34">
        <v>735.71876393499997</v>
      </c>
      <c r="AR310" s="34">
        <v>480.67034411999998</v>
      </c>
      <c r="AS310" s="34">
        <v>211.16830596299999</v>
      </c>
      <c r="AT310" s="10">
        <v>306.51099730700003</v>
      </c>
      <c r="AU310" s="34">
        <v>157.89493897899999</v>
      </c>
      <c r="AV310" s="34">
        <v>161.30947463999999</v>
      </c>
      <c r="AW310" s="34">
        <v>111.52</v>
      </c>
    </row>
    <row r="311" spans="1:49">
      <c r="A311" s="33" t="s">
        <v>2115</v>
      </c>
      <c r="B311" s="33" t="s">
        <v>2116</v>
      </c>
      <c r="C311" s="34">
        <v>0</v>
      </c>
      <c r="D311" s="34">
        <v>0</v>
      </c>
      <c r="E311" s="34">
        <v>0</v>
      </c>
      <c r="F311" s="34">
        <v>0</v>
      </c>
      <c r="G311" s="34">
        <v>0</v>
      </c>
      <c r="H311" s="34">
        <v>0</v>
      </c>
      <c r="I311" s="34">
        <v>0</v>
      </c>
      <c r="J311" s="34">
        <v>0</v>
      </c>
      <c r="K311" s="34">
        <v>0</v>
      </c>
      <c r="L311" s="34">
        <v>0</v>
      </c>
      <c r="M311" s="34">
        <v>0</v>
      </c>
      <c r="Z311" s="34" t="s">
        <v>2116</v>
      </c>
      <c r="AA311" s="34">
        <v>0</v>
      </c>
      <c r="AB311" s="34">
        <v>0</v>
      </c>
      <c r="AC311" s="34">
        <v>0</v>
      </c>
      <c r="AD311" s="10">
        <v>0</v>
      </c>
      <c r="AE311" s="34">
        <v>0</v>
      </c>
      <c r="AF311" s="34">
        <v>0</v>
      </c>
      <c r="AG311" s="34">
        <v>0</v>
      </c>
      <c r="AH311" s="10">
        <v>0</v>
      </c>
      <c r="AI311" s="34">
        <v>0</v>
      </c>
      <c r="AJ311" s="34">
        <v>0</v>
      </c>
      <c r="AK311" s="34">
        <v>0</v>
      </c>
      <c r="AM311" s="34">
        <v>0</v>
      </c>
      <c r="AN311" s="34">
        <v>0</v>
      </c>
      <c r="AO311" s="34">
        <v>0</v>
      </c>
      <c r="AP311" s="10">
        <v>0</v>
      </c>
      <c r="AQ311" s="34">
        <v>0</v>
      </c>
      <c r="AR311" s="34">
        <v>0</v>
      </c>
      <c r="AS311" s="34">
        <v>0</v>
      </c>
      <c r="AT311" s="10">
        <v>0</v>
      </c>
      <c r="AU311" s="34">
        <v>0</v>
      </c>
      <c r="AV311" s="34">
        <v>0</v>
      </c>
      <c r="AW311" s="34">
        <v>0</v>
      </c>
    </row>
    <row r="312" spans="1:49">
      <c r="A312" s="33" t="s">
        <v>2117</v>
      </c>
      <c r="B312" s="33" t="s">
        <v>2118</v>
      </c>
      <c r="C312" s="34">
        <v>0</v>
      </c>
      <c r="D312" s="34">
        <v>0</v>
      </c>
      <c r="E312" s="34">
        <v>0</v>
      </c>
      <c r="F312" s="34">
        <v>0</v>
      </c>
      <c r="G312" s="34">
        <v>0</v>
      </c>
      <c r="H312" s="34">
        <v>0</v>
      </c>
      <c r="I312" s="34">
        <v>0</v>
      </c>
      <c r="J312" s="34">
        <v>0</v>
      </c>
      <c r="K312" s="34">
        <v>0</v>
      </c>
      <c r="L312" s="34">
        <v>0</v>
      </c>
      <c r="M312" s="34">
        <v>0</v>
      </c>
      <c r="Z312" s="34" t="s">
        <v>2118</v>
      </c>
      <c r="AA312" s="34">
        <v>0</v>
      </c>
      <c r="AB312" s="34">
        <v>0</v>
      </c>
      <c r="AC312" s="34">
        <v>0</v>
      </c>
      <c r="AD312" s="10">
        <v>0</v>
      </c>
      <c r="AE312" s="34">
        <v>0</v>
      </c>
      <c r="AF312" s="34">
        <v>0</v>
      </c>
      <c r="AG312" s="34">
        <v>0</v>
      </c>
      <c r="AH312" s="10">
        <v>0</v>
      </c>
      <c r="AI312" s="34">
        <v>0</v>
      </c>
      <c r="AJ312" s="34">
        <v>0</v>
      </c>
      <c r="AK312" s="34">
        <v>0</v>
      </c>
      <c r="AM312" s="34">
        <v>0</v>
      </c>
      <c r="AN312" s="34">
        <v>0</v>
      </c>
      <c r="AO312" s="34">
        <v>0</v>
      </c>
      <c r="AP312" s="10">
        <v>0</v>
      </c>
      <c r="AQ312" s="34">
        <v>0</v>
      </c>
      <c r="AR312" s="34">
        <v>0</v>
      </c>
      <c r="AS312" s="34">
        <v>0</v>
      </c>
      <c r="AT312" s="10">
        <v>0</v>
      </c>
      <c r="AU312" s="34">
        <v>0</v>
      </c>
      <c r="AV312" s="34">
        <v>0</v>
      </c>
      <c r="AW312" s="34">
        <v>0</v>
      </c>
    </row>
    <row r="313" spans="1:49">
      <c r="A313" s="33" t="s">
        <v>2119</v>
      </c>
      <c r="B313" s="33" t="s">
        <v>2120</v>
      </c>
      <c r="C313" s="34">
        <v>0</v>
      </c>
      <c r="D313" s="34">
        <v>0</v>
      </c>
      <c r="E313" s="34">
        <v>0</v>
      </c>
      <c r="F313" s="34">
        <v>0</v>
      </c>
      <c r="G313" s="34">
        <v>0</v>
      </c>
      <c r="H313" s="34">
        <v>0</v>
      </c>
      <c r="I313" s="34">
        <v>0</v>
      </c>
      <c r="J313" s="34">
        <v>0</v>
      </c>
      <c r="K313" s="34">
        <v>0</v>
      </c>
      <c r="L313" s="34">
        <v>0</v>
      </c>
      <c r="M313" s="34">
        <v>0</v>
      </c>
      <c r="Z313" s="34" t="s">
        <v>2120</v>
      </c>
      <c r="AA313" s="34">
        <v>0</v>
      </c>
      <c r="AB313" s="34">
        <v>0</v>
      </c>
      <c r="AC313" s="34">
        <v>0</v>
      </c>
      <c r="AD313" s="10">
        <v>0</v>
      </c>
      <c r="AE313" s="34">
        <v>0</v>
      </c>
      <c r="AF313" s="34">
        <v>0</v>
      </c>
      <c r="AG313" s="34">
        <v>0</v>
      </c>
      <c r="AH313" s="10">
        <v>0</v>
      </c>
      <c r="AI313" s="34">
        <v>0</v>
      </c>
      <c r="AJ313" s="34">
        <v>0</v>
      </c>
      <c r="AK313" s="34">
        <v>0</v>
      </c>
      <c r="AM313" s="34">
        <v>0</v>
      </c>
      <c r="AN313" s="34">
        <v>0</v>
      </c>
      <c r="AO313" s="34">
        <v>0</v>
      </c>
      <c r="AP313" s="10">
        <v>0</v>
      </c>
      <c r="AQ313" s="34">
        <v>0</v>
      </c>
      <c r="AR313" s="34">
        <v>0</v>
      </c>
      <c r="AS313" s="34">
        <v>0</v>
      </c>
      <c r="AT313" s="10">
        <v>0</v>
      </c>
      <c r="AU313" s="34">
        <v>0</v>
      </c>
      <c r="AV313" s="34">
        <v>0</v>
      </c>
      <c r="AW313" s="34">
        <v>0</v>
      </c>
    </row>
    <row r="314" spans="1:49">
      <c r="A314" s="33" t="s">
        <v>1522</v>
      </c>
      <c r="B314" s="33" t="s">
        <v>2043</v>
      </c>
      <c r="C314" s="34">
        <v>8.995305278</v>
      </c>
      <c r="D314" s="34">
        <v>1.193572517</v>
      </c>
      <c r="E314" s="34">
        <v>12.903691338</v>
      </c>
      <c r="F314" s="34">
        <v>1.871363656</v>
      </c>
      <c r="G314" s="34">
        <v>1.135201197</v>
      </c>
      <c r="H314" s="34">
        <v>7.3491306390000002</v>
      </c>
      <c r="I314" s="34">
        <v>16.025875558999999</v>
      </c>
      <c r="J314" s="34">
        <v>100.16804254</v>
      </c>
      <c r="K314" s="34">
        <v>204.06965517500001</v>
      </c>
      <c r="L314" s="34">
        <v>604.94606534699994</v>
      </c>
      <c r="M314" s="34">
        <v>306.51099730700003</v>
      </c>
      <c r="Z314" s="34" t="s">
        <v>2043</v>
      </c>
      <c r="AA314" s="34">
        <v>10.164842754</v>
      </c>
      <c r="AB314" s="34">
        <v>4.5929229789999999</v>
      </c>
      <c r="AC314" s="34">
        <v>3.3626751690000001</v>
      </c>
      <c r="AD314" s="10">
        <v>14.209970655999999</v>
      </c>
      <c r="AE314" s="34">
        <v>6.0604467179999997</v>
      </c>
      <c r="AF314" s="34">
        <v>9.2360224940000002</v>
      </c>
      <c r="AG314" s="34">
        <v>42.171019979999997</v>
      </c>
      <c r="AH314" s="10">
        <v>109.222535675</v>
      </c>
      <c r="AI314" s="34">
        <v>76.650067475</v>
      </c>
      <c r="AJ314" s="34">
        <v>47.898679467999997</v>
      </c>
      <c r="AK314" s="34">
        <v>97.412370453999998</v>
      </c>
      <c r="AM314" s="34">
        <v>304.628079243</v>
      </c>
      <c r="AN314" s="34">
        <v>422.42891822000001</v>
      </c>
      <c r="AO314" s="34">
        <v>442.23923432800001</v>
      </c>
      <c r="AP314" s="10">
        <v>604.94606534699994</v>
      </c>
      <c r="AQ314" s="34">
        <v>735.71876393499997</v>
      </c>
      <c r="AR314" s="34">
        <v>480.67034411999998</v>
      </c>
      <c r="AS314" s="34">
        <v>211.16830596299999</v>
      </c>
      <c r="AT314" s="10">
        <v>306.51099730700003</v>
      </c>
      <c r="AU314" s="34">
        <v>157.89493897899999</v>
      </c>
      <c r="AV314" s="34">
        <v>161.30947463999999</v>
      </c>
      <c r="AW314" s="34">
        <v>111.52</v>
      </c>
    </row>
    <row r="315" spans="1:49">
      <c r="A315" s="33" t="s">
        <v>2121</v>
      </c>
      <c r="B315" s="33" t="s">
        <v>2122</v>
      </c>
      <c r="C315" s="34">
        <v>8.8181895459999993</v>
      </c>
      <c r="D315" s="34">
        <v>21.645125295</v>
      </c>
      <c r="E315" s="34">
        <v>13.694065819</v>
      </c>
      <c r="F315" s="34">
        <v>15.67034686</v>
      </c>
      <c r="G315" s="34">
        <v>17.011020754</v>
      </c>
      <c r="H315" s="34">
        <v>14.896590517</v>
      </c>
      <c r="I315" s="34">
        <v>6.4556533800000002</v>
      </c>
      <c r="J315" s="34">
        <v>7.6762441270000004</v>
      </c>
      <c r="K315" s="34">
        <v>15.356213679</v>
      </c>
      <c r="L315" s="34">
        <v>16.589605047999999</v>
      </c>
      <c r="M315" s="34">
        <v>287.56515034199998</v>
      </c>
      <c r="Z315" s="34" t="s">
        <v>2122</v>
      </c>
      <c r="AA315" s="34">
        <v>12.738634781</v>
      </c>
      <c r="AB315" s="34">
        <v>10.701736882000001</v>
      </c>
      <c r="AC315" s="34">
        <v>6.8117423529999996</v>
      </c>
      <c r="AD315" s="10">
        <v>6.5182848580000003</v>
      </c>
      <c r="AE315" s="34">
        <v>7.0401104190000003</v>
      </c>
      <c r="AF315" s="34">
        <v>9.4666965839999992</v>
      </c>
      <c r="AG315" s="34">
        <v>13.605355618000001</v>
      </c>
      <c r="AH315" s="10">
        <v>12.906438232999999</v>
      </c>
      <c r="AI315" s="34">
        <v>14.742054528000001</v>
      </c>
      <c r="AJ315" s="34">
        <v>7.7822315179999997</v>
      </c>
      <c r="AK315" s="34">
        <v>19.548144094000001</v>
      </c>
      <c r="AM315" s="34">
        <v>49.571926951000002</v>
      </c>
      <c r="AN315" s="34">
        <v>6.8615415219999996</v>
      </c>
      <c r="AO315" s="34">
        <v>22.005509962000001</v>
      </c>
      <c r="AP315" s="10">
        <v>16.589605047999999</v>
      </c>
      <c r="AQ315" s="34">
        <v>6.0475280959999997</v>
      </c>
      <c r="AR315" s="34">
        <v>460.67261267800001</v>
      </c>
      <c r="AS315" s="34">
        <v>167.291955403</v>
      </c>
      <c r="AT315" s="10">
        <v>287.43315034199998</v>
      </c>
      <c r="AU315" s="34">
        <v>132.959470807</v>
      </c>
      <c r="AV315" s="34">
        <v>196.387216271</v>
      </c>
      <c r="AW315" s="34">
        <v>463.37</v>
      </c>
    </row>
    <row r="316" spans="1:49">
      <c r="A316" s="33" t="s">
        <v>2123</v>
      </c>
      <c r="B316" s="33" t="s">
        <v>2124</v>
      </c>
      <c r="C316" s="34">
        <v>0</v>
      </c>
      <c r="D316" s="34">
        <v>0</v>
      </c>
      <c r="E316" s="34">
        <v>0</v>
      </c>
      <c r="F316" s="34">
        <v>0</v>
      </c>
      <c r="G316" s="34">
        <v>0</v>
      </c>
      <c r="H316" s="34">
        <v>0</v>
      </c>
      <c r="I316" s="34">
        <v>0</v>
      </c>
      <c r="J316" s="34">
        <v>0</v>
      </c>
      <c r="K316" s="34">
        <v>0</v>
      </c>
      <c r="L316" s="34">
        <v>0</v>
      </c>
      <c r="M316" s="34">
        <v>0</v>
      </c>
      <c r="Z316" s="34" t="s">
        <v>2124</v>
      </c>
      <c r="AA316" s="34">
        <v>0</v>
      </c>
      <c r="AB316" s="34">
        <v>0</v>
      </c>
      <c r="AC316" s="34">
        <v>0</v>
      </c>
      <c r="AD316" s="10">
        <v>0</v>
      </c>
      <c r="AE316" s="34">
        <v>0</v>
      </c>
      <c r="AF316" s="34">
        <v>0</v>
      </c>
      <c r="AG316" s="34">
        <v>0</v>
      </c>
      <c r="AH316" s="10">
        <v>0</v>
      </c>
      <c r="AI316" s="34">
        <v>0</v>
      </c>
      <c r="AJ316" s="34">
        <v>0</v>
      </c>
      <c r="AK316" s="34">
        <v>0</v>
      </c>
      <c r="AM316" s="34">
        <v>0</v>
      </c>
      <c r="AN316" s="34">
        <v>0</v>
      </c>
      <c r="AO316" s="34">
        <v>0</v>
      </c>
      <c r="AP316" s="10">
        <v>0</v>
      </c>
      <c r="AQ316" s="34">
        <v>0</v>
      </c>
      <c r="AR316" s="34">
        <v>0</v>
      </c>
      <c r="AS316" s="34">
        <v>0</v>
      </c>
      <c r="AT316" s="10">
        <v>0</v>
      </c>
      <c r="AU316" s="34">
        <v>0</v>
      </c>
      <c r="AV316" s="34">
        <v>0</v>
      </c>
      <c r="AW316" s="34">
        <v>0</v>
      </c>
    </row>
    <row r="317" spans="1:49">
      <c r="A317" s="33" t="s">
        <v>2125</v>
      </c>
      <c r="B317" s="33" t="s">
        <v>2126</v>
      </c>
      <c r="C317" s="34">
        <v>0</v>
      </c>
      <c r="D317" s="34">
        <v>0</v>
      </c>
      <c r="E317" s="34">
        <v>0</v>
      </c>
      <c r="F317" s="34">
        <v>0</v>
      </c>
      <c r="G317" s="34">
        <v>0</v>
      </c>
      <c r="H317" s="34">
        <v>0</v>
      </c>
      <c r="I317" s="34">
        <v>0</v>
      </c>
      <c r="J317" s="34">
        <v>0</v>
      </c>
      <c r="K317" s="34">
        <v>0</v>
      </c>
      <c r="L317" s="34">
        <v>0</v>
      </c>
      <c r="M317" s="34">
        <v>0</v>
      </c>
      <c r="Z317" s="34" t="s">
        <v>2126</v>
      </c>
      <c r="AA317" s="34">
        <v>0</v>
      </c>
      <c r="AB317" s="34">
        <v>0</v>
      </c>
      <c r="AC317" s="34">
        <v>0</v>
      </c>
      <c r="AD317" s="10">
        <v>0</v>
      </c>
      <c r="AE317" s="34">
        <v>0</v>
      </c>
      <c r="AF317" s="34">
        <v>0</v>
      </c>
      <c r="AG317" s="34">
        <v>0</v>
      </c>
      <c r="AH317" s="10">
        <v>0</v>
      </c>
      <c r="AI317" s="34">
        <v>0</v>
      </c>
      <c r="AJ317" s="34">
        <v>0</v>
      </c>
      <c r="AK317" s="34">
        <v>0</v>
      </c>
      <c r="AM317" s="34">
        <v>0</v>
      </c>
      <c r="AN317" s="34">
        <v>0</v>
      </c>
      <c r="AO317" s="34">
        <v>0</v>
      </c>
      <c r="AP317" s="10">
        <v>0</v>
      </c>
      <c r="AQ317" s="34">
        <v>0</v>
      </c>
      <c r="AR317" s="34">
        <v>0</v>
      </c>
      <c r="AS317" s="34">
        <v>0</v>
      </c>
      <c r="AT317" s="10">
        <v>0</v>
      </c>
      <c r="AU317" s="34">
        <v>0</v>
      </c>
      <c r="AV317" s="34">
        <v>0</v>
      </c>
      <c r="AW317" s="34">
        <v>0</v>
      </c>
    </row>
    <row r="318" spans="1:49">
      <c r="A318" s="33" t="s">
        <v>2127</v>
      </c>
      <c r="B318" s="33" t="s">
        <v>2128</v>
      </c>
      <c r="C318" s="34">
        <v>0</v>
      </c>
      <c r="D318" s="34">
        <v>0</v>
      </c>
      <c r="E318" s="34">
        <v>0</v>
      </c>
      <c r="F318" s="34">
        <v>0.84082605899999996</v>
      </c>
      <c r="G318" s="34">
        <v>1.398035455</v>
      </c>
      <c r="H318" s="34">
        <v>1.6152506710000001</v>
      </c>
      <c r="I318" s="34">
        <v>1.984958585</v>
      </c>
      <c r="J318" s="34">
        <v>0</v>
      </c>
      <c r="K318" s="34">
        <v>0</v>
      </c>
      <c r="L318" s="34">
        <v>2.032511645</v>
      </c>
      <c r="M318" s="34">
        <v>0</v>
      </c>
      <c r="Z318" s="34" t="s">
        <v>2128</v>
      </c>
      <c r="AA318" s="34">
        <v>2.3844016080000001</v>
      </c>
      <c r="AB318" s="34">
        <v>1.8646253989999999</v>
      </c>
      <c r="AC318" s="34">
        <v>2.3824103270000001</v>
      </c>
      <c r="AD318" s="10">
        <v>2.3228765500000002</v>
      </c>
      <c r="AE318" s="34">
        <v>2.4057234350000001</v>
      </c>
      <c r="AF318" s="34">
        <v>0</v>
      </c>
      <c r="AG318" s="34">
        <v>2.7068907430000002</v>
      </c>
      <c r="AH318" s="10">
        <v>0</v>
      </c>
      <c r="AI318" s="34">
        <v>0</v>
      </c>
      <c r="AJ318" s="34">
        <v>2.1245251550000002</v>
      </c>
      <c r="AK318" s="34">
        <v>2.0105678550000001</v>
      </c>
      <c r="AM318" s="34">
        <v>0</v>
      </c>
      <c r="AN318" s="34">
        <v>0</v>
      </c>
      <c r="AO318" s="34">
        <v>0</v>
      </c>
      <c r="AP318" s="10">
        <v>0</v>
      </c>
      <c r="AQ318" s="34">
        <v>0</v>
      </c>
      <c r="AR318" s="34">
        <v>0</v>
      </c>
      <c r="AS318" s="34">
        <v>0</v>
      </c>
      <c r="AT318" s="10">
        <v>0</v>
      </c>
      <c r="AU318" s="34">
        <v>0</v>
      </c>
      <c r="AV318" s="34">
        <v>0</v>
      </c>
      <c r="AW318" s="34">
        <v>0</v>
      </c>
    </row>
    <row r="319" spans="1:49">
      <c r="A319" s="33" t="s">
        <v>2129</v>
      </c>
      <c r="B319" s="33" t="s">
        <v>2130</v>
      </c>
      <c r="C319" s="34">
        <v>0</v>
      </c>
      <c r="D319" s="34">
        <v>0</v>
      </c>
      <c r="E319" s="34">
        <v>0</v>
      </c>
      <c r="F319" s="34">
        <v>0</v>
      </c>
      <c r="G319" s="34">
        <v>0</v>
      </c>
      <c r="H319" s="34">
        <v>0</v>
      </c>
      <c r="I319" s="34">
        <v>0</v>
      </c>
      <c r="J319" s="34">
        <v>0</v>
      </c>
      <c r="K319" s="34">
        <v>0</v>
      </c>
      <c r="L319" s="34">
        <v>0</v>
      </c>
      <c r="M319" s="34">
        <v>0</v>
      </c>
      <c r="Z319" s="34" t="s">
        <v>2130</v>
      </c>
      <c r="AA319" s="34">
        <v>0</v>
      </c>
      <c r="AB319" s="34">
        <v>0</v>
      </c>
      <c r="AC319" s="34">
        <v>0</v>
      </c>
      <c r="AD319" s="10">
        <v>0</v>
      </c>
      <c r="AE319" s="34">
        <v>0</v>
      </c>
      <c r="AF319" s="34">
        <v>0</v>
      </c>
      <c r="AG319" s="34">
        <v>0</v>
      </c>
      <c r="AH319" s="10">
        <v>0</v>
      </c>
      <c r="AI319" s="34">
        <v>0</v>
      </c>
      <c r="AJ319" s="34">
        <v>0</v>
      </c>
      <c r="AK319" s="34">
        <v>0</v>
      </c>
      <c r="AM319" s="34">
        <v>0</v>
      </c>
      <c r="AN319" s="34">
        <v>0</v>
      </c>
      <c r="AO319" s="34">
        <v>0</v>
      </c>
      <c r="AP319" s="10">
        <v>0</v>
      </c>
      <c r="AQ319" s="34">
        <v>0</v>
      </c>
      <c r="AR319" s="34">
        <v>0</v>
      </c>
      <c r="AS319" s="34">
        <v>0</v>
      </c>
      <c r="AT319" s="10">
        <v>0</v>
      </c>
      <c r="AU319" s="34">
        <v>0</v>
      </c>
      <c r="AV319" s="34">
        <v>0</v>
      </c>
      <c r="AW319" s="34">
        <v>0</v>
      </c>
    </row>
    <row r="320" spans="1:49">
      <c r="A320" s="33" t="s">
        <v>2131</v>
      </c>
      <c r="B320" s="33" t="s">
        <v>2132</v>
      </c>
      <c r="C320" s="34">
        <v>0</v>
      </c>
      <c r="D320" s="34">
        <v>0</v>
      </c>
      <c r="E320" s="34">
        <v>0</v>
      </c>
      <c r="F320" s="34">
        <v>0</v>
      </c>
      <c r="G320" s="34">
        <v>0</v>
      </c>
      <c r="H320" s="34">
        <v>0</v>
      </c>
      <c r="I320" s="34">
        <v>0</v>
      </c>
      <c r="J320" s="34">
        <v>0</v>
      </c>
      <c r="K320" s="34">
        <v>0</v>
      </c>
      <c r="L320" s="34">
        <v>0</v>
      </c>
      <c r="M320" s="34">
        <v>0</v>
      </c>
      <c r="Z320" s="34" t="s">
        <v>2132</v>
      </c>
      <c r="AA320" s="34">
        <v>0</v>
      </c>
      <c r="AB320" s="34">
        <v>0</v>
      </c>
      <c r="AC320" s="34">
        <v>0</v>
      </c>
      <c r="AD320" s="10">
        <v>0</v>
      </c>
      <c r="AE320" s="34">
        <v>0</v>
      </c>
      <c r="AF320" s="34">
        <v>0</v>
      </c>
      <c r="AG320" s="34">
        <v>0</v>
      </c>
      <c r="AH320" s="10">
        <v>0</v>
      </c>
      <c r="AI320" s="34">
        <v>0</v>
      </c>
      <c r="AJ320" s="34">
        <v>0</v>
      </c>
      <c r="AK320" s="34">
        <v>0</v>
      </c>
      <c r="AM320" s="34">
        <v>0</v>
      </c>
      <c r="AN320" s="34">
        <v>0</v>
      </c>
      <c r="AO320" s="34">
        <v>0</v>
      </c>
      <c r="AP320" s="10">
        <v>0</v>
      </c>
      <c r="AQ320" s="34">
        <v>0</v>
      </c>
      <c r="AR320" s="34">
        <v>0</v>
      </c>
      <c r="AS320" s="34">
        <v>0</v>
      </c>
      <c r="AT320" s="10">
        <v>0</v>
      </c>
      <c r="AU320" s="34">
        <v>0</v>
      </c>
      <c r="AV320" s="34">
        <v>0</v>
      </c>
      <c r="AW320" s="34">
        <v>0</v>
      </c>
    </row>
    <row r="321" spans="1:49">
      <c r="A321" s="33" t="s">
        <v>2133</v>
      </c>
      <c r="B321" s="33" t="s">
        <v>2134</v>
      </c>
      <c r="C321" s="34">
        <v>0</v>
      </c>
      <c r="D321" s="34">
        <v>0</v>
      </c>
      <c r="E321" s="34">
        <v>0</v>
      </c>
      <c r="F321" s="34">
        <v>8.8000000000000007</v>
      </c>
      <c r="G321" s="34">
        <v>0</v>
      </c>
      <c r="H321" s="34">
        <v>0</v>
      </c>
      <c r="I321" s="34">
        <v>0</v>
      </c>
      <c r="J321" s="34">
        <v>0</v>
      </c>
      <c r="K321" s="34">
        <v>0</v>
      </c>
      <c r="L321" s="34">
        <v>0</v>
      </c>
      <c r="M321" s="34">
        <v>0</v>
      </c>
      <c r="Z321" s="34" t="s">
        <v>2134</v>
      </c>
      <c r="AA321" s="34">
        <v>0</v>
      </c>
      <c r="AB321" s="34">
        <v>0</v>
      </c>
      <c r="AC321" s="34">
        <v>0</v>
      </c>
      <c r="AD321" s="10">
        <v>0</v>
      </c>
      <c r="AE321" s="34">
        <v>0</v>
      </c>
      <c r="AF321" s="34">
        <v>0</v>
      </c>
      <c r="AG321" s="34">
        <v>0</v>
      </c>
      <c r="AH321" s="10">
        <v>0</v>
      </c>
      <c r="AI321" s="34">
        <v>0</v>
      </c>
      <c r="AJ321" s="34">
        <v>0</v>
      </c>
      <c r="AK321" s="34">
        <v>0</v>
      </c>
      <c r="AM321" s="34">
        <v>0</v>
      </c>
      <c r="AN321" s="34">
        <v>0</v>
      </c>
      <c r="AO321" s="34">
        <v>0</v>
      </c>
      <c r="AP321" s="10">
        <v>0</v>
      </c>
      <c r="AQ321" s="34">
        <v>0</v>
      </c>
      <c r="AR321" s="34">
        <v>0</v>
      </c>
      <c r="AS321" s="34">
        <v>0</v>
      </c>
      <c r="AT321" s="10">
        <v>0</v>
      </c>
      <c r="AU321" s="34">
        <v>0</v>
      </c>
      <c r="AV321" s="34">
        <v>0</v>
      </c>
      <c r="AW321" s="34">
        <v>0</v>
      </c>
    </row>
    <row r="322" spans="1:49">
      <c r="A322" s="33" t="s">
        <v>2135</v>
      </c>
      <c r="B322" s="33" t="s">
        <v>2136</v>
      </c>
      <c r="C322" s="34">
        <v>0</v>
      </c>
      <c r="D322" s="34">
        <v>0</v>
      </c>
      <c r="E322" s="34">
        <v>0</v>
      </c>
      <c r="F322" s="34">
        <v>0</v>
      </c>
      <c r="G322" s="34">
        <v>0</v>
      </c>
      <c r="H322" s="34">
        <v>0</v>
      </c>
      <c r="I322" s="34">
        <v>0</v>
      </c>
      <c r="J322" s="34">
        <v>0</v>
      </c>
      <c r="K322" s="34">
        <v>0</v>
      </c>
      <c r="L322" s="34">
        <v>0</v>
      </c>
      <c r="M322" s="34">
        <v>0</v>
      </c>
      <c r="Z322" s="34" t="s">
        <v>2136</v>
      </c>
      <c r="AA322" s="34">
        <v>0</v>
      </c>
      <c r="AB322" s="34">
        <v>0</v>
      </c>
      <c r="AC322" s="34">
        <v>0</v>
      </c>
      <c r="AD322" s="10">
        <v>0</v>
      </c>
      <c r="AE322" s="34">
        <v>0</v>
      </c>
      <c r="AF322" s="34">
        <v>0</v>
      </c>
      <c r="AG322" s="34">
        <v>0</v>
      </c>
      <c r="AH322" s="10">
        <v>0</v>
      </c>
      <c r="AI322" s="34">
        <v>0</v>
      </c>
      <c r="AJ322" s="34">
        <v>0</v>
      </c>
      <c r="AK322" s="34">
        <v>0</v>
      </c>
      <c r="AM322" s="34">
        <v>0</v>
      </c>
      <c r="AN322" s="34">
        <v>0</v>
      </c>
      <c r="AO322" s="34">
        <v>0</v>
      </c>
      <c r="AP322" s="10">
        <v>0</v>
      </c>
      <c r="AQ322" s="34">
        <v>0</v>
      </c>
      <c r="AR322" s="34">
        <v>0</v>
      </c>
      <c r="AS322" s="34">
        <v>0</v>
      </c>
      <c r="AT322" s="10">
        <v>0</v>
      </c>
      <c r="AU322" s="34">
        <v>0</v>
      </c>
      <c r="AV322" s="34">
        <v>0</v>
      </c>
      <c r="AW322" s="34">
        <v>0</v>
      </c>
    </row>
    <row r="323" spans="1:49">
      <c r="A323" s="33" t="s">
        <v>2137</v>
      </c>
      <c r="B323" s="33" t="s">
        <v>2138</v>
      </c>
      <c r="C323" s="34">
        <v>0</v>
      </c>
      <c r="D323" s="34">
        <v>0</v>
      </c>
      <c r="E323" s="34">
        <v>0</v>
      </c>
      <c r="F323" s="34">
        <v>0</v>
      </c>
      <c r="G323" s="34">
        <v>0</v>
      </c>
      <c r="H323" s="34">
        <v>0</v>
      </c>
      <c r="I323" s="34">
        <v>0</v>
      </c>
      <c r="J323" s="34">
        <v>0</v>
      </c>
      <c r="K323" s="34">
        <v>0</v>
      </c>
      <c r="L323" s="34">
        <v>0</v>
      </c>
      <c r="M323" s="34">
        <v>0</v>
      </c>
      <c r="Z323" s="34" t="s">
        <v>2138</v>
      </c>
      <c r="AA323" s="34">
        <v>0</v>
      </c>
      <c r="AB323" s="34">
        <v>0</v>
      </c>
      <c r="AC323" s="34">
        <v>0</v>
      </c>
      <c r="AD323" s="10">
        <v>0</v>
      </c>
      <c r="AE323" s="34">
        <v>0</v>
      </c>
      <c r="AF323" s="34">
        <v>0</v>
      </c>
      <c r="AG323" s="34">
        <v>0</v>
      </c>
      <c r="AH323" s="10">
        <v>0</v>
      </c>
      <c r="AI323" s="34">
        <v>0</v>
      </c>
      <c r="AJ323" s="34">
        <v>0</v>
      </c>
      <c r="AK323" s="34">
        <v>0</v>
      </c>
      <c r="AM323" s="34">
        <v>0</v>
      </c>
      <c r="AN323" s="34">
        <v>0</v>
      </c>
      <c r="AO323" s="34">
        <v>0</v>
      </c>
      <c r="AP323" s="10">
        <v>0</v>
      </c>
      <c r="AQ323" s="34">
        <v>0</v>
      </c>
      <c r="AR323" s="34">
        <v>0</v>
      </c>
      <c r="AS323" s="34">
        <v>0</v>
      </c>
      <c r="AT323" s="10">
        <v>0</v>
      </c>
      <c r="AU323" s="34">
        <v>0</v>
      </c>
      <c r="AV323" s="34">
        <v>0</v>
      </c>
      <c r="AW323" s="34">
        <v>0</v>
      </c>
    </row>
    <row r="324" spans="1:49">
      <c r="A324" s="33" t="s">
        <v>1522</v>
      </c>
      <c r="B324" s="33" t="s">
        <v>2043</v>
      </c>
      <c r="C324" s="34">
        <v>8.8181895459999993</v>
      </c>
      <c r="D324" s="34">
        <v>21.645125295</v>
      </c>
      <c r="E324" s="34">
        <v>13.694065819</v>
      </c>
      <c r="F324" s="34">
        <v>6.0295208010000003</v>
      </c>
      <c r="G324" s="34">
        <v>15.612985299</v>
      </c>
      <c r="H324" s="34">
        <v>13.281339846</v>
      </c>
      <c r="I324" s="34">
        <v>4.470694795</v>
      </c>
      <c r="J324" s="34">
        <v>7.6762441270000004</v>
      </c>
      <c r="K324" s="34">
        <v>15.356213679</v>
      </c>
      <c r="L324" s="34">
        <v>14.557093403</v>
      </c>
      <c r="M324" s="34">
        <v>287.56515034199998</v>
      </c>
      <c r="Z324" s="34" t="s">
        <v>2043</v>
      </c>
      <c r="AA324" s="34">
        <v>10.354233173000001</v>
      </c>
      <c r="AB324" s="34">
        <v>8.8371114829999993</v>
      </c>
      <c r="AC324" s="34">
        <v>4.429332026</v>
      </c>
      <c r="AD324" s="10">
        <v>4.1954083080000002</v>
      </c>
      <c r="AE324" s="34">
        <v>4.6343869839999998</v>
      </c>
      <c r="AF324" s="34">
        <v>9.4666965839999992</v>
      </c>
      <c r="AG324" s="34">
        <v>10.898464875</v>
      </c>
      <c r="AH324" s="10">
        <v>12.906438232999999</v>
      </c>
      <c r="AI324" s="34">
        <v>14.742054528000001</v>
      </c>
      <c r="AJ324" s="34">
        <v>5.657706363</v>
      </c>
      <c r="AK324" s="34">
        <v>17.537576239</v>
      </c>
      <c r="AM324" s="34">
        <v>49.571926951000002</v>
      </c>
      <c r="AN324" s="34">
        <v>6.8615415219999996</v>
      </c>
      <c r="AO324" s="34">
        <v>22.005509962000001</v>
      </c>
      <c r="AP324" s="10">
        <v>16.589605047999999</v>
      </c>
      <c r="AQ324" s="34">
        <v>6.0475280959999997</v>
      </c>
      <c r="AR324" s="34">
        <v>460.67261267800001</v>
      </c>
      <c r="AS324" s="34">
        <v>167.291955403</v>
      </c>
      <c r="AT324" s="10">
        <v>287.43315034199998</v>
      </c>
      <c r="AU324" s="34">
        <v>132.959470807</v>
      </c>
      <c r="AV324" s="34">
        <v>196.387216271</v>
      </c>
      <c r="AW324" s="34">
        <v>463.37</v>
      </c>
    </row>
    <row r="325" spans="1:49">
      <c r="A325" s="33" t="s">
        <v>1843</v>
      </c>
      <c r="B325" s="33" t="s">
        <v>2139</v>
      </c>
      <c r="C325" s="34">
        <v>37.4</v>
      </c>
      <c r="D325" s="34">
        <v>33.299999999999997</v>
      </c>
      <c r="E325" s="34">
        <v>28.5</v>
      </c>
      <c r="F325" s="34">
        <v>22.9</v>
      </c>
      <c r="G325" s="34">
        <v>0</v>
      </c>
      <c r="H325" s="34">
        <v>0</v>
      </c>
      <c r="I325" s="34">
        <v>0</v>
      </c>
      <c r="J325" s="34">
        <v>0</v>
      </c>
      <c r="K325" s="34">
        <v>0</v>
      </c>
      <c r="L325" s="34">
        <v>0</v>
      </c>
      <c r="M325" s="34">
        <v>41.1</v>
      </c>
      <c r="Z325" s="34" t="s">
        <v>2139</v>
      </c>
      <c r="AA325" s="34">
        <v>0</v>
      </c>
      <c r="AB325" s="34">
        <v>0</v>
      </c>
      <c r="AC325" s="34">
        <v>0</v>
      </c>
      <c r="AD325" s="10">
        <v>0</v>
      </c>
      <c r="AE325" s="34">
        <v>0</v>
      </c>
      <c r="AF325" s="34">
        <v>0</v>
      </c>
      <c r="AG325" s="34">
        <v>0</v>
      </c>
      <c r="AH325" s="10">
        <v>0</v>
      </c>
      <c r="AI325" s="34">
        <v>0</v>
      </c>
      <c r="AJ325" s="34">
        <v>0</v>
      </c>
      <c r="AK325" s="34">
        <v>0</v>
      </c>
      <c r="AM325" s="34">
        <v>0</v>
      </c>
      <c r="AN325" s="34">
        <v>0</v>
      </c>
      <c r="AO325" s="34">
        <v>0</v>
      </c>
      <c r="AP325" s="10">
        <v>0</v>
      </c>
      <c r="AQ325" s="34">
        <v>0</v>
      </c>
      <c r="AR325" s="34">
        <v>0</v>
      </c>
      <c r="AS325" s="34">
        <v>0</v>
      </c>
      <c r="AT325" s="10">
        <v>0</v>
      </c>
      <c r="AU325" s="34">
        <v>0</v>
      </c>
      <c r="AV325" s="34">
        <v>9.8049999999999997</v>
      </c>
      <c r="AW325" s="34">
        <v>0</v>
      </c>
    </row>
    <row r="326" spans="1:49">
      <c r="A326" s="33" t="s">
        <v>2140</v>
      </c>
      <c r="B326" s="33" t="s">
        <v>2141</v>
      </c>
      <c r="C326" s="34">
        <v>37.4</v>
      </c>
      <c r="D326" s="34">
        <v>33.299999999999997</v>
      </c>
      <c r="E326" s="34">
        <v>28.5</v>
      </c>
      <c r="F326" s="34">
        <v>22.9</v>
      </c>
      <c r="G326" s="34">
        <v>0</v>
      </c>
      <c r="H326" s="34">
        <v>0</v>
      </c>
      <c r="I326" s="34">
        <v>0</v>
      </c>
      <c r="J326" s="34">
        <v>0</v>
      </c>
      <c r="K326" s="34">
        <v>0</v>
      </c>
      <c r="L326" s="34">
        <v>0</v>
      </c>
      <c r="M326" s="34">
        <v>41.1</v>
      </c>
      <c r="Z326" s="34" t="s">
        <v>2141</v>
      </c>
      <c r="AA326" s="34">
        <v>0</v>
      </c>
      <c r="AB326" s="34">
        <v>0</v>
      </c>
      <c r="AC326" s="34">
        <v>0</v>
      </c>
      <c r="AD326" s="10">
        <v>0</v>
      </c>
      <c r="AE326" s="34">
        <v>0</v>
      </c>
      <c r="AF326" s="34">
        <v>0</v>
      </c>
      <c r="AG326" s="34">
        <v>0</v>
      </c>
      <c r="AH326" s="10">
        <v>0</v>
      </c>
      <c r="AI326" s="34">
        <v>0</v>
      </c>
      <c r="AJ326" s="34">
        <v>0</v>
      </c>
      <c r="AK326" s="34">
        <v>0</v>
      </c>
      <c r="AM326" s="34">
        <v>0</v>
      </c>
      <c r="AN326" s="34">
        <v>0</v>
      </c>
      <c r="AO326" s="34">
        <v>0</v>
      </c>
      <c r="AP326" s="10">
        <v>0</v>
      </c>
      <c r="AQ326" s="34">
        <v>0</v>
      </c>
      <c r="AR326" s="34">
        <v>0</v>
      </c>
      <c r="AS326" s="34">
        <v>0</v>
      </c>
      <c r="AT326" s="10">
        <v>0</v>
      </c>
      <c r="AU326" s="34">
        <v>0</v>
      </c>
      <c r="AV326" s="34">
        <v>0</v>
      </c>
      <c r="AW326" s="34">
        <v>0</v>
      </c>
    </row>
    <row r="327" spans="1:49">
      <c r="A327" s="33" t="s">
        <v>2142</v>
      </c>
      <c r="B327" s="33" t="s">
        <v>2143</v>
      </c>
      <c r="C327" s="34">
        <v>0</v>
      </c>
      <c r="D327" s="34">
        <v>0</v>
      </c>
      <c r="E327" s="34">
        <v>0</v>
      </c>
      <c r="F327" s="34">
        <v>0</v>
      </c>
      <c r="G327" s="34">
        <v>0</v>
      </c>
      <c r="H327" s="34">
        <v>0</v>
      </c>
      <c r="I327" s="34">
        <v>0</v>
      </c>
      <c r="J327" s="34">
        <v>0</v>
      </c>
      <c r="K327" s="34">
        <v>0</v>
      </c>
      <c r="L327" s="34">
        <v>0</v>
      </c>
      <c r="M327" s="34">
        <v>0</v>
      </c>
      <c r="Z327" s="34" t="s">
        <v>2143</v>
      </c>
      <c r="AA327" s="34">
        <v>0</v>
      </c>
      <c r="AB327" s="34">
        <v>0</v>
      </c>
      <c r="AC327" s="34">
        <v>0</v>
      </c>
      <c r="AD327" s="10">
        <v>0</v>
      </c>
      <c r="AE327" s="34">
        <v>0</v>
      </c>
      <c r="AF327" s="34">
        <v>0</v>
      </c>
      <c r="AG327" s="34">
        <v>0</v>
      </c>
      <c r="AH327" s="10">
        <v>0</v>
      </c>
      <c r="AI327" s="34">
        <v>0</v>
      </c>
      <c r="AJ327" s="34">
        <v>0</v>
      </c>
      <c r="AK327" s="34">
        <v>0</v>
      </c>
      <c r="AM327" s="34">
        <v>0</v>
      </c>
      <c r="AN327" s="34">
        <v>0</v>
      </c>
      <c r="AO327" s="34">
        <v>0</v>
      </c>
      <c r="AP327" s="10">
        <v>0</v>
      </c>
      <c r="AQ327" s="34">
        <v>0</v>
      </c>
      <c r="AR327" s="34">
        <v>0</v>
      </c>
      <c r="AS327" s="34">
        <v>0</v>
      </c>
      <c r="AT327" s="10">
        <v>0</v>
      </c>
      <c r="AU327" s="34">
        <v>0</v>
      </c>
      <c r="AV327" s="34">
        <v>9.8049999999999997</v>
      </c>
      <c r="AW327" s="34">
        <v>0</v>
      </c>
    </row>
    <row r="328" spans="1:49">
      <c r="A328" s="33" t="s">
        <v>2144</v>
      </c>
      <c r="B328" s="33" t="s">
        <v>2145</v>
      </c>
      <c r="C328" s="34">
        <v>0</v>
      </c>
      <c r="D328" s="34">
        <v>0</v>
      </c>
      <c r="E328" s="34">
        <v>0</v>
      </c>
      <c r="F328" s="34">
        <v>0</v>
      </c>
      <c r="G328" s="34">
        <v>0</v>
      </c>
      <c r="H328" s="34">
        <v>0</v>
      </c>
      <c r="I328" s="34">
        <v>0</v>
      </c>
      <c r="J328" s="34">
        <v>0</v>
      </c>
      <c r="K328" s="34">
        <v>0</v>
      </c>
      <c r="L328" s="34">
        <v>0</v>
      </c>
      <c r="M328" s="34">
        <v>0</v>
      </c>
      <c r="Z328" s="34" t="s">
        <v>2145</v>
      </c>
      <c r="AA328" s="34">
        <v>0</v>
      </c>
      <c r="AB328" s="34">
        <v>0</v>
      </c>
      <c r="AC328" s="34">
        <v>0</v>
      </c>
      <c r="AD328" s="10">
        <v>0</v>
      </c>
      <c r="AE328" s="34">
        <v>0</v>
      </c>
      <c r="AF328" s="34">
        <v>0</v>
      </c>
      <c r="AG328" s="34">
        <v>0</v>
      </c>
      <c r="AH328" s="10">
        <v>0</v>
      </c>
      <c r="AI328" s="34">
        <v>0</v>
      </c>
      <c r="AJ328" s="34">
        <v>0</v>
      </c>
      <c r="AK328" s="34">
        <v>0</v>
      </c>
      <c r="AM328" s="34">
        <v>0</v>
      </c>
      <c r="AN328" s="34">
        <v>0</v>
      </c>
      <c r="AO328" s="34">
        <v>0</v>
      </c>
      <c r="AP328" s="10">
        <v>0</v>
      </c>
      <c r="AQ328" s="34">
        <v>0</v>
      </c>
      <c r="AR328" s="34">
        <v>0</v>
      </c>
      <c r="AS328" s="34">
        <v>0</v>
      </c>
      <c r="AT328" s="10">
        <v>0</v>
      </c>
      <c r="AU328" s="34">
        <v>0</v>
      </c>
      <c r="AV328" s="34">
        <v>0</v>
      </c>
      <c r="AW328" s="34">
        <v>0</v>
      </c>
    </row>
    <row r="329" spans="1:49">
      <c r="A329" s="33" t="s">
        <v>2146</v>
      </c>
      <c r="B329" s="33" t="s">
        <v>2147</v>
      </c>
      <c r="C329" s="34">
        <v>0</v>
      </c>
      <c r="D329" s="34">
        <v>0</v>
      </c>
      <c r="E329" s="34">
        <v>0</v>
      </c>
      <c r="F329" s="34">
        <v>0</v>
      </c>
      <c r="G329" s="34">
        <v>0</v>
      </c>
      <c r="H329" s="34">
        <v>0</v>
      </c>
      <c r="I329" s="34">
        <v>0</v>
      </c>
      <c r="J329" s="34">
        <v>0</v>
      </c>
      <c r="K329" s="34">
        <v>0</v>
      </c>
      <c r="L329" s="34">
        <v>0</v>
      </c>
      <c r="M329" s="34">
        <v>0</v>
      </c>
      <c r="Z329" s="34" t="s">
        <v>2147</v>
      </c>
      <c r="AA329" s="34">
        <v>0</v>
      </c>
      <c r="AB329" s="34">
        <v>0</v>
      </c>
      <c r="AC329" s="34">
        <v>0</v>
      </c>
      <c r="AD329" s="10">
        <v>0</v>
      </c>
      <c r="AE329" s="34">
        <v>0</v>
      </c>
      <c r="AF329" s="34">
        <v>0</v>
      </c>
      <c r="AG329" s="34">
        <v>0</v>
      </c>
      <c r="AH329" s="10">
        <v>0</v>
      </c>
      <c r="AI329" s="34">
        <v>0</v>
      </c>
      <c r="AJ329" s="34">
        <v>0</v>
      </c>
      <c r="AK329" s="34">
        <v>0</v>
      </c>
      <c r="AM329" s="34">
        <v>0</v>
      </c>
      <c r="AN329" s="34">
        <v>0</v>
      </c>
      <c r="AO329" s="34">
        <v>0</v>
      </c>
      <c r="AP329" s="10">
        <v>0</v>
      </c>
      <c r="AQ329" s="34">
        <v>0</v>
      </c>
      <c r="AR329" s="34">
        <v>0</v>
      </c>
      <c r="AS329" s="34">
        <v>0</v>
      </c>
      <c r="AT329" s="10">
        <v>0</v>
      </c>
      <c r="AU329" s="34">
        <v>0</v>
      </c>
      <c r="AV329" s="34">
        <v>0</v>
      </c>
      <c r="AW329" s="34">
        <v>0</v>
      </c>
    </row>
    <row r="330" spans="1:49">
      <c r="A330" s="33" t="s">
        <v>2148</v>
      </c>
      <c r="B330" s="33" t="s">
        <v>2149</v>
      </c>
      <c r="C330" s="34">
        <v>0</v>
      </c>
      <c r="D330" s="34">
        <v>0</v>
      </c>
      <c r="E330" s="34">
        <v>0</v>
      </c>
      <c r="F330" s="34">
        <v>0</v>
      </c>
      <c r="G330" s="34">
        <v>0</v>
      </c>
      <c r="H330" s="34">
        <v>0</v>
      </c>
      <c r="I330" s="34">
        <v>0</v>
      </c>
      <c r="J330" s="34">
        <v>0</v>
      </c>
      <c r="K330" s="34">
        <v>0</v>
      </c>
      <c r="L330" s="34">
        <v>0</v>
      </c>
      <c r="M330" s="34">
        <v>0</v>
      </c>
      <c r="Z330" s="34" t="s">
        <v>2149</v>
      </c>
      <c r="AA330" s="34">
        <v>0</v>
      </c>
      <c r="AB330" s="34">
        <v>0</v>
      </c>
      <c r="AC330" s="34">
        <v>0</v>
      </c>
      <c r="AD330" s="10">
        <v>0</v>
      </c>
      <c r="AE330" s="34">
        <v>0</v>
      </c>
      <c r="AF330" s="34">
        <v>0</v>
      </c>
      <c r="AG330" s="34">
        <v>0</v>
      </c>
      <c r="AH330" s="10">
        <v>0</v>
      </c>
      <c r="AI330" s="34">
        <v>0</v>
      </c>
      <c r="AJ330" s="34">
        <v>0</v>
      </c>
      <c r="AK330" s="34">
        <v>0</v>
      </c>
      <c r="AM330" s="34">
        <v>0</v>
      </c>
      <c r="AN330" s="34">
        <v>0</v>
      </c>
      <c r="AO330" s="34">
        <v>0</v>
      </c>
      <c r="AP330" s="10">
        <v>0</v>
      </c>
      <c r="AQ330" s="34">
        <v>0</v>
      </c>
      <c r="AR330" s="34">
        <v>0</v>
      </c>
      <c r="AS330" s="34">
        <v>0</v>
      </c>
      <c r="AT330" s="10">
        <v>0</v>
      </c>
      <c r="AU330" s="34">
        <v>0</v>
      </c>
      <c r="AV330" s="34">
        <v>0</v>
      </c>
      <c r="AW330" s="34">
        <v>0</v>
      </c>
    </row>
    <row r="331" spans="1:49">
      <c r="A331" s="33" t="s">
        <v>1861</v>
      </c>
      <c r="B331" s="33" t="s">
        <v>2150</v>
      </c>
      <c r="C331" s="34">
        <v>0</v>
      </c>
      <c r="D331" s="34">
        <v>108.02469000000001</v>
      </c>
      <c r="E331" s="34">
        <v>108.02469000000001</v>
      </c>
      <c r="F331" s="34">
        <v>306.13328999999999</v>
      </c>
      <c r="G331" s="34">
        <v>306.13328999999999</v>
      </c>
      <c r="H331" s="34">
        <v>407.51747</v>
      </c>
      <c r="I331" s="34">
        <v>407.51747</v>
      </c>
      <c r="J331" s="34">
        <v>419.51747</v>
      </c>
      <c r="K331" s="34">
        <v>0</v>
      </c>
      <c r="L331" s="34">
        <v>0</v>
      </c>
      <c r="M331" s="34">
        <v>0</v>
      </c>
      <c r="Z331" s="34" t="s">
        <v>2150</v>
      </c>
      <c r="AA331" s="34">
        <v>407.51747</v>
      </c>
      <c r="AB331" s="34">
        <v>407.51747</v>
      </c>
      <c r="AC331" s="34">
        <v>407.51747</v>
      </c>
      <c r="AD331" s="10">
        <v>407.51747</v>
      </c>
      <c r="AE331" s="34">
        <v>0</v>
      </c>
      <c r="AF331" s="34">
        <v>0</v>
      </c>
      <c r="AG331" s="34">
        <v>0</v>
      </c>
      <c r="AH331" s="10">
        <v>419.51747</v>
      </c>
      <c r="AI331" s="34">
        <v>419.93247000000002</v>
      </c>
      <c r="AJ331" s="34">
        <v>431.51747</v>
      </c>
      <c r="AK331" s="34">
        <v>0</v>
      </c>
      <c r="AM331" s="34">
        <v>0</v>
      </c>
      <c r="AN331" s="34">
        <v>0</v>
      </c>
      <c r="AO331" s="34">
        <v>0</v>
      </c>
      <c r="AP331" s="10">
        <v>0</v>
      </c>
      <c r="AQ331" s="34">
        <v>0</v>
      </c>
      <c r="AR331" s="34">
        <v>0</v>
      </c>
      <c r="AS331" s="34">
        <v>0</v>
      </c>
      <c r="AT331" s="10">
        <v>0</v>
      </c>
      <c r="AU331" s="34">
        <v>0</v>
      </c>
      <c r="AV331" s="34">
        <v>0</v>
      </c>
      <c r="AW331" s="34">
        <v>0</v>
      </c>
    </row>
    <row r="332" spans="1:49">
      <c r="A332" s="33" t="s">
        <v>2151</v>
      </c>
      <c r="B332" s="33" t="s">
        <v>2152</v>
      </c>
      <c r="C332" s="34">
        <v>0</v>
      </c>
      <c r="D332" s="34">
        <v>108.02469000000001</v>
      </c>
      <c r="E332" s="34">
        <v>0</v>
      </c>
      <c r="F332" s="34">
        <v>0</v>
      </c>
      <c r="G332" s="34">
        <v>0</v>
      </c>
      <c r="H332" s="34">
        <v>0</v>
      </c>
      <c r="I332" s="34">
        <v>0</v>
      </c>
      <c r="J332" s="34">
        <v>0</v>
      </c>
      <c r="K332" s="34">
        <v>0</v>
      </c>
      <c r="L332" s="34">
        <v>0</v>
      </c>
      <c r="M332" s="34">
        <v>0</v>
      </c>
      <c r="Z332" s="34" t="s">
        <v>2152</v>
      </c>
      <c r="AA332" s="34">
        <v>0</v>
      </c>
      <c r="AB332" s="34">
        <v>0</v>
      </c>
      <c r="AC332" s="34">
        <v>0</v>
      </c>
      <c r="AD332" s="10">
        <v>0</v>
      </c>
      <c r="AE332" s="34">
        <v>0</v>
      </c>
      <c r="AF332" s="34">
        <v>0</v>
      </c>
      <c r="AG332" s="34">
        <v>0</v>
      </c>
      <c r="AH332" s="10">
        <v>0</v>
      </c>
      <c r="AI332" s="34">
        <v>0</v>
      </c>
      <c r="AJ332" s="34">
        <v>0</v>
      </c>
      <c r="AK332" s="34">
        <v>0</v>
      </c>
      <c r="AM332" s="34">
        <v>0</v>
      </c>
      <c r="AN332" s="34">
        <v>0</v>
      </c>
      <c r="AO332" s="34">
        <v>0</v>
      </c>
      <c r="AP332" s="10">
        <v>0</v>
      </c>
      <c r="AQ332" s="34">
        <v>0</v>
      </c>
      <c r="AR332" s="34">
        <v>0</v>
      </c>
      <c r="AS332" s="34">
        <v>0</v>
      </c>
      <c r="AT332" s="10">
        <v>0</v>
      </c>
      <c r="AU332" s="34">
        <v>0</v>
      </c>
      <c r="AV332" s="34">
        <v>0</v>
      </c>
      <c r="AW332" s="34">
        <v>0</v>
      </c>
    </row>
    <row r="333" spans="1:49">
      <c r="A333" s="33" t="s">
        <v>2153</v>
      </c>
      <c r="B333" s="33" t="s">
        <v>2154</v>
      </c>
      <c r="C333" s="34">
        <v>0</v>
      </c>
      <c r="D333" s="34">
        <v>0</v>
      </c>
      <c r="E333" s="34">
        <v>108.02469000000001</v>
      </c>
      <c r="F333" s="34">
        <v>306.13328999999999</v>
      </c>
      <c r="G333" s="34">
        <v>306.13328999999999</v>
      </c>
      <c r="H333" s="34">
        <v>407.51747</v>
      </c>
      <c r="I333" s="34">
        <v>407.51747</v>
      </c>
      <c r="J333" s="34">
        <v>419.51747</v>
      </c>
      <c r="K333" s="34">
        <v>0</v>
      </c>
      <c r="L333" s="34">
        <v>0</v>
      </c>
      <c r="M333" s="34">
        <v>0</v>
      </c>
      <c r="Z333" s="34" t="s">
        <v>2154</v>
      </c>
      <c r="AA333" s="34">
        <v>407.51747</v>
      </c>
      <c r="AB333" s="34">
        <v>407.51747</v>
      </c>
      <c r="AC333" s="34">
        <v>407.51747</v>
      </c>
      <c r="AD333" s="10">
        <v>407.51747</v>
      </c>
      <c r="AE333" s="34">
        <v>0</v>
      </c>
      <c r="AF333" s="34">
        <v>0</v>
      </c>
      <c r="AG333" s="34">
        <v>0</v>
      </c>
      <c r="AH333" s="10">
        <v>419.51747</v>
      </c>
      <c r="AI333" s="34">
        <v>419.93247000000002</v>
      </c>
      <c r="AJ333" s="34">
        <v>431.51747</v>
      </c>
      <c r="AK333" s="34">
        <v>0</v>
      </c>
      <c r="AM333" s="34">
        <v>0</v>
      </c>
      <c r="AN333" s="34">
        <v>0</v>
      </c>
      <c r="AO333" s="34">
        <v>0</v>
      </c>
      <c r="AP333" s="10">
        <v>0</v>
      </c>
      <c r="AQ333" s="34">
        <v>0</v>
      </c>
      <c r="AR333" s="34">
        <v>0</v>
      </c>
      <c r="AS333" s="34">
        <v>0</v>
      </c>
      <c r="AT333" s="10">
        <v>0</v>
      </c>
      <c r="AU333" s="34">
        <v>0</v>
      </c>
      <c r="AV333" s="34">
        <v>0</v>
      </c>
      <c r="AW333" s="34">
        <v>0</v>
      </c>
    </row>
    <row r="334" spans="1:49">
      <c r="A334" s="33" t="s">
        <v>1626</v>
      </c>
      <c r="B334" s="33" t="s">
        <v>2155</v>
      </c>
      <c r="C334" s="34">
        <v>2250.1317825830001</v>
      </c>
      <c r="D334" s="34">
        <v>3151.278618199</v>
      </c>
      <c r="E334" s="34">
        <v>4956.0698697429998</v>
      </c>
      <c r="F334" s="34">
        <v>4246.3895809160003</v>
      </c>
      <c r="G334" s="34">
        <v>3843.909468369</v>
      </c>
      <c r="H334" s="34">
        <v>3865.3848881829999</v>
      </c>
      <c r="I334" s="34">
        <v>5998.266652845</v>
      </c>
      <c r="J334" s="34">
        <v>8603.2027487079995</v>
      </c>
      <c r="K334" s="34">
        <v>12709.255795237001</v>
      </c>
      <c r="L334" s="34">
        <v>21302.662313033001</v>
      </c>
      <c r="M334" s="34">
        <v>22107.364604909999</v>
      </c>
      <c r="Z334" s="34" t="s">
        <v>2155</v>
      </c>
      <c r="AA334" s="34">
        <v>1276.4952251669999</v>
      </c>
      <c r="AB334" s="34">
        <v>1371.6192590650001</v>
      </c>
      <c r="AC334" s="34">
        <v>1759.820460227</v>
      </c>
      <c r="AD334" s="10">
        <v>1585.6013205669999</v>
      </c>
      <c r="AE334" s="34">
        <v>1372.8715693950001</v>
      </c>
      <c r="AF334" s="34">
        <v>2010.5841188899999</v>
      </c>
      <c r="AG334" s="34">
        <v>2636.7649696499998</v>
      </c>
      <c r="AH334" s="10">
        <v>2587.6197254160002</v>
      </c>
      <c r="AI334" s="34">
        <v>2356.7487346439998</v>
      </c>
      <c r="AJ334" s="34">
        <v>2556.474575147</v>
      </c>
      <c r="AK334" s="34">
        <v>3654.806805407</v>
      </c>
      <c r="AM334" s="34">
        <v>5063.1606505440004</v>
      </c>
      <c r="AN334" s="34">
        <v>4346.1970736909998</v>
      </c>
      <c r="AO334" s="34">
        <v>3868.0906163099999</v>
      </c>
      <c r="AP334" s="10">
        <v>8073.4162574009997</v>
      </c>
      <c r="AQ334" s="34">
        <v>7104.0746711230004</v>
      </c>
      <c r="AR334" s="34">
        <v>4824.5138081470004</v>
      </c>
      <c r="AS334" s="34">
        <v>5942.2797151570003</v>
      </c>
      <c r="AT334" s="10">
        <v>4267.5691671840004</v>
      </c>
      <c r="AU334" s="34">
        <v>3941.9095183569998</v>
      </c>
      <c r="AV334" s="34">
        <v>4622.6422324770001</v>
      </c>
      <c r="AW334" s="34">
        <v>5552.96</v>
      </c>
    </row>
    <row r="335" spans="1:49">
      <c r="A335" s="33" t="s">
        <v>2156</v>
      </c>
      <c r="B335" s="33" t="s">
        <v>2157</v>
      </c>
      <c r="C335" s="34">
        <v>2250.1317825830001</v>
      </c>
      <c r="D335" s="34">
        <v>3151.278618199</v>
      </c>
      <c r="E335" s="34">
        <v>4894.1090754360002</v>
      </c>
      <c r="F335" s="34">
        <v>4225.296647274</v>
      </c>
      <c r="G335" s="34">
        <v>3829.535070334</v>
      </c>
      <c r="H335" s="34">
        <v>3843.6094390799999</v>
      </c>
      <c r="I335" s="34">
        <v>5958.0508058839996</v>
      </c>
      <c r="J335" s="34">
        <v>8434.9072729799991</v>
      </c>
      <c r="K335" s="34">
        <v>12291.809237805001</v>
      </c>
      <c r="L335" s="34">
        <v>21043.571487059002</v>
      </c>
      <c r="M335" s="34">
        <v>21691.769934874999</v>
      </c>
      <c r="Z335" s="34" t="s">
        <v>2157</v>
      </c>
      <c r="AA335" s="34">
        <v>1276.4952251669999</v>
      </c>
      <c r="AB335" s="34">
        <v>1367.7158953390001</v>
      </c>
      <c r="AC335" s="34">
        <v>1759.820460227</v>
      </c>
      <c r="AD335" s="10">
        <v>1585.6013205669999</v>
      </c>
      <c r="AE335" s="34">
        <v>1372.8715693950001</v>
      </c>
      <c r="AF335" s="34">
        <v>1970.619154946</v>
      </c>
      <c r="AG335" s="34">
        <v>2636.7649696499998</v>
      </c>
      <c r="AH335" s="10">
        <v>2587.6197254160002</v>
      </c>
      <c r="AI335" s="34">
        <v>2356.7487346439998</v>
      </c>
      <c r="AJ335" s="34">
        <v>2493.9211489610002</v>
      </c>
      <c r="AK335" s="34">
        <v>3654.806805407</v>
      </c>
      <c r="AM335" s="34">
        <v>5063.1606505440004</v>
      </c>
      <c r="AN335" s="34">
        <v>4239.8483617660004</v>
      </c>
      <c r="AO335" s="34">
        <v>3868.0906163099999</v>
      </c>
      <c r="AP335" s="10">
        <v>8179.764969326</v>
      </c>
      <c r="AQ335" s="34">
        <v>7104.0746711230004</v>
      </c>
      <c r="AR335" s="34">
        <v>4647.7703459960003</v>
      </c>
      <c r="AS335" s="34">
        <v>6119.0231773080004</v>
      </c>
      <c r="AT335" s="10">
        <v>4267.5691671840004</v>
      </c>
      <c r="AU335" s="34">
        <v>3941.9095183569998</v>
      </c>
      <c r="AV335" s="34">
        <v>4507.3987785560003</v>
      </c>
      <c r="AW335" s="34">
        <v>5552.96</v>
      </c>
    </row>
    <row r="336" spans="1:49">
      <c r="A336" s="33" t="s">
        <v>2158</v>
      </c>
      <c r="B336" s="33" t="s">
        <v>2159</v>
      </c>
      <c r="C336" s="34">
        <v>0</v>
      </c>
      <c r="D336" s="34">
        <v>0</v>
      </c>
      <c r="E336" s="34">
        <v>61.960794307</v>
      </c>
      <c r="F336" s="34">
        <v>21.092933641999998</v>
      </c>
      <c r="G336" s="34">
        <v>14.374398035</v>
      </c>
      <c r="H336" s="34">
        <v>21.775449103</v>
      </c>
      <c r="I336" s="34">
        <v>40.215846960999997</v>
      </c>
      <c r="J336" s="34">
        <v>168.29547572800001</v>
      </c>
      <c r="K336" s="34">
        <v>417.44655743200002</v>
      </c>
      <c r="L336" s="34">
        <v>259.09082597399998</v>
      </c>
      <c r="M336" s="34">
        <v>415.59467003499998</v>
      </c>
      <c r="Z336" s="34" t="s">
        <v>2159</v>
      </c>
      <c r="AA336" s="34">
        <v>0</v>
      </c>
      <c r="AB336" s="34">
        <v>3.9033637259999998</v>
      </c>
      <c r="AC336" s="34">
        <v>0</v>
      </c>
      <c r="AD336" s="10">
        <v>0</v>
      </c>
      <c r="AE336" s="34">
        <v>0</v>
      </c>
      <c r="AF336" s="34">
        <v>39.964963943999997</v>
      </c>
      <c r="AG336" s="34">
        <v>0</v>
      </c>
      <c r="AH336" s="10">
        <v>0</v>
      </c>
      <c r="AI336" s="34">
        <v>0</v>
      </c>
      <c r="AJ336" s="34">
        <v>62.553426186000003</v>
      </c>
      <c r="AK336" s="34">
        <v>0</v>
      </c>
      <c r="AM336" s="34">
        <v>0</v>
      </c>
      <c r="AN336" s="34">
        <v>106.348711925</v>
      </c>
      <c r="AO336" s="34">
        <v>0</v>
      </c>
      <c r="AP336" s="10">
        <v>-106.348711925</v>
      </c>
      <c r="AQ336" s="34">
        <v>0</v>
      </c>
      <c r="AR336" s="34">
        <v>176.74346215099999</v>
      </c>
      <c r="AS336" s="34">
        <v>-176.74346215099999</v>
      </c>
      <c r="AT336" s="10">
        <v>0</v>
      </c>
      <c r="AU336" s="34">
        <v>0</v>
      </c>
      <c r="AV336" s="34">
        <v>115.243453921</v>
      </c>
      <c r="AW336" s="34">
        <v>0</v>
      </c>
    </row>
    <row r="337" spans="1:49">
      <c r="A337" s="33" t="s">
        <v>2160</v>
      </c>
      <c r="B337" s="33" t="s">
        <v>2161</v>
      </c>
      <c r="C337" s="34">
        <v>0</v>
      </c>
      <c r="D337" s="34">
        <v>0</v>
      </c>
      <c r="E337" s="34">
        <v>0</v>
      </c>
      <c r="F337" s="34">
        <v>0</v>
      </c>
      <c r="G337" s="34">
        <v>0</v>
      </c>
      <c r="H337" s="34">
        <v>0</v>
      </c>
      <c r="I337" s="34">
        <v>0</v>
      </c>
      <c r="J337" s="34">
        <v>0</v>
      </c>
      <c r="K337" s="34">
        <v>0</v>
      </c>
      <c r="L337" s="34">
        <v>0</v>
      </c>
      <c r="M337" s="34">
        <v>0</v>
      </c>
      <c r="Z337" s="34" t="s">
        <v>2161</v>
      </c>
      <c r="AA337" s="34">
        <v>0</v>
      </c>
      <c r="AB337" s="34">
        <v>0</v>
      </c>
      <c r="AC337" s="34">
        <v>0</v>
      </c>
      <c r="AD337" s="10">
        <v>0</v>
      </c>
      <c r="AE337" s="34">
        <v>0</v>
      </c>
      <c r="AF337" s="34">
        <v>0</v>
      </c>
      <c r="AG337" s="34">
        <v>0</v>
      </c>
      <c r="AH337" s="10">
        <v>0</v>
      </c>
      <c r="AI337" s="34">
        <v>0</v>
      </c>
      <c r="AJ337" s="34">
        <v>0</v>
      </c>
      <c r="AK337" s="34">
        <v>0</v>
      </c>
      <c r="AM337" s="34">
        <v>0</v>
      </c>
      <c r="AN337" s="34">
        <v>0</v>
      </c>
      <c r="AO337" s="34">
        <v>0</v>
      </c>
      <c r="AP337" s="10">
        <v>0</v>
      </c>
      <c r="AQ337" s="34">
        <v>0</v>
      </c>
      <c r="AR337" s="34">
        <v>0</v>
      </c>
      <c r="AS337" s="34">
        <v>0</v>
      </c>
      <c r="AT337" s="10">
        <v>0</v>
      </c>
      <c r="AU337" s="34">
        <v>0</v>
      </c>
      <c r="AV337" s="34">
        <v>0</v>
      </c>
      <c r="AW337" s="34">
        <v>0</v>
      </c>
    </row>
    <row r="338" spans="1:49">
      <c r="A338" s="33" t="s">
        <v>2162</v>
      </c>
      <c r="B338" s="33" t="s">
        <v>2163</v>
      </c>
      <c r="C338" s="34">
        <v>110.45648120600001</v>
      </c>
      <c r="D338" s="34">
        <v>94.010352862000005</v>
      </c>
      <c r="E338" s="34">
        <v>79.505130468000004</v>
      </c>
      <c r="F338" s="34">
        <v>43.033836352000002</v>
      </c>
      <c r="G338" s="34">
        <v>43.035378234</v>
      </c>
      <c r="H338" s="34">
        <v>44.441133297</v>
      </c>
      <c r="I338" s="34">
        <v>60.896006044000003</v>
      </c>
      <c r="J338" s="34">
        <v>115.134138593</v>
      </c>
      <c r="K338" s="34">
        <v>173.51795780699999</v>
      </c>
      <c r="L338" s="34">
        <v>379.84884425400003</v>
      </c>
      <c r="M338" s="34">
        <v>79.229675376000003</v>
      </c>
      <c r="Z338" s="34" t="s">
        <v>2163</v>
      </c>
      <c r="AA338" s="34">
        <v>11.978546839</v>
      </c>
      <c r="AB338" s="34">
        <v>-0.99937448900000003</v>
      </c>
      <c r="AC338" s="34">
        <v>17.669730612999999</v>
      </c>
      <c r="AD338" s="10">
        <v>24.881038230000001</v>
      </c>
      <c r="AE338" s="34">
        <v>1.077190844</v>
      </c>
      <c r="AF338" s="34">
        <v>8.4298721289999996</v>
      </c>
      <c r="AG338" s="34">
        <v>17.843812534000001</v>
      </c>
      <c r="AH338" s="10">
        <v>87.813225824</v>
      </c>
      <c r="AI338" s="34">
        <v>46.033588262999999</v>
      </c>
      <c r="AJ338" s="34">
        <v>-25.501628113999999</v>
      </c>
      <c r="AK338" s="34">
        <v>30.532521799000001</v>
      </c>
      <c r="AM338" s="34">
        <v>56.363167517999997</v>
      </c>
      <c r="AN338" s="34">
        <v>128.656438708</v>
      </c>
      <c r="AO338" s="34">
        <v>42.966499102</v>
      </c>
      <c r="AP338" s="10">
        <v>151.86273892599999</v>
      </c>
      <c r="AQ338" s="34">
        <v>95.374478749999994</v>
      </c>
      <c r="AR338" s="34">
        <v>-85.650124802999997</v>
      </c>
      <c r="AS338" s="34">
        <v>0</v>
      </c>
      <c r="AT338" s="10">
        <v>192.446478211</v>
      </c>
      <c r="AU338" s="34">
        <v>-18.017694814999999</v>
      </c>
      <c r="AV338" s="34">
        <v>26.835644598999998</v>
      </c>
      <c r="AW338" s="34">
        <v>140.19999999999999</v>
      </c>
    </row>
    <row r="339" spans="1:49">
      <c r="A339" s="33" t="s">
        <v>2164</v>
      </c>
      <c r="B339" s="33" t="s">
        <v>2165</v>
      </c>
      <c r="C339" s="34">
        <v>110.45648120600001</v>
      </c>
      <c r="D339" s="34">
        <v>0</v>
      </c>
      <c r="E339" s="34">
        <v>6.9619218360000001</v>
      </c>
      <c r="F339" s="34">
        <v>7.0282965229999999</v>
      </c>
      <c r="G339" s="34">
        <v>43.035378234</v>
      </c>
      <c r="H339" s="34">
        <v>44.441133297</v>
      </c>
      <c r="I339" s="34">
        <v>60.896006044000003</v>
      </c>
      <c r="J339" s="34">
        <v>115.134138593</v>
      </c>
      <c r="K339" s="34">
        <v>173.51795780699999</v>
      </c>
      <c r="L339" s="34">
        <v>329.26312989899998</v>
      </c>
      <c r="M339" s="34">
        <v>79.229675376000003</v>
      </c>
      <c r="Z339" s="34" t="s">
        <v>2165</v>
      </c>
      <c r="AA339" s="34">
        <v>11.978546839</v>
      </c>
      <c r="AB339" s="34">
        <v>-11.978546839</v>
      </c>
      <c r="AC339" s="34">
        <v>17.669730612999999</v>
      </c>
      <c r="AD339" s="10">
        <v>24.881038230000001</v>
      </c>
      <c r="AE339" s="34">
        <v>0</v>
      </c>
      <c r="AF339" s="34">
        <v>8.4298721289999996</v>
      </c>
      <c r="AG339" s="34">
        <v>17.843812534000001</v>
      </c>
      <c r="AH339" s="10">
        <v>87.813225824</v>
      </c>
      <c r="AI339" s="34">
        <v>46.033588262999999</v>
      </c>
      <c r="AJ339" s="34">
        <v>-25.501628113999999</v>
      </c>
      <c r="AK339" s="34">
        <v>0</v>
      </c>
      <c r="AM339" s="34">
        <v>56.363167517999997</v>
      </c>
      <c r="AN339" s="34">
        <v>105.72129955699999</v>
      </c>
      <c r="AO339" s="34">
        <v>42.966499102</v>
      </c>
      <c r="AP339" s="10">
        <v>174.79787807700001</v>
      </c>
      <c r="AQ339" s="34">
        <v>95.374478749999994</v>
      </c>
      <c r="AR339" s="34">
        <v>-85.650124802999997</v>
      </c>
      <c r="AS339" s="34">
        <v>0</v>
      </c>
      <c r="AT339" s="10">
        <v>192.446478211</v>
      </c>
      <c r="AU339" s="34">
        <v>-18.017694814999999</v>
      </c>
      <c r="AV339" s="34">
        <v>26.835644598999998</v>
      </c>
      <c r="AW339" s="34">
        <v>140.19999999999999</v>
      </c>
    </row>
    <row r="340" spans="1:49">
      <c r="A340" s="33" t="s">
        <v>2166</v>
      </c>
      <c r="B340" s="33" t="s">
        <v>2167</v>
      </c>
      <c r="C340" s="34">
        <v>0</v>
      </c>
      <c r="D340" s="34">
        <v>94.010352862000005</v>
      </c>
      <c r="E340" s="34">
        <v>0</v>
      </c>
      <c r="F340" s="34">
        <v>0</v>
      </c>
      <c r="G340" s="34">
        <v>0</v>
      </c>
      <c r="H340" s="34">
        <v>0</v>
      </c>
      <c r="I340" s="34">
        <v>0</v>
      </c>
      <c r="J340" s="34">
        <v>0</v>
      </c>
      <c r="K340" s="34">
        <v>0</v>
      </c>
      <c r="L340" s="34">
        <v>0</v>
      </c>
      <c r="M340" s="34">
        <v>0</v>
      </c>
      <c r="Z340" s="34" t="s">
        <v>2167</v>
      </c>
      <c r="AA340" s="34">
        <v>0</v>
      </c>
      <c r="AB340" s="34">
        <v>0</v>
      </c>
      <c r="AC340" s="34">
        <v>0</v>
      </c>
      <c r="AD340" s="10">
        <v>0</v>
      </c>
      <c r="AE340" s="34">
        <v>0</v>
      </c>
      <c r="AF340" s="34">
        <v>0</v>
      </c>
      <c r="AG340" s="34">
        <v>0</v>
      </c>
      <c r="AH340" s="10">
        <v>0</v>
      </c>
      <c r="AI340" s="34">
        <v>0</v>
      </c>
      <c r="AJ340" s="34">
        <v>0</v>
      </c>
      <c r="AK340" s="34">
        <v>0</v>
      </c>
      <c r="AM340" s="34">
        <v>0</v>
      </c>
      <c r="AN340" s="34">
        <v>0</v>
      </c>
      <c r="AO340" s="34">
        <v>0</v>
      </c>
      <c r="AP340" s="10">
        <v>0</v>
      </c>
      <c r="AQ340" s="34">
        <v>0</v>
      </c>
      <c r="AR340" s="34">
        <v>0</v>
      </c>
      <c r="AS340" s="34">
        <v>0</v>
      </c>
      <c r="AT340" s="10">
        <v>0</v>
      </c>
      <c r="AU340" s="34">
        <v>0</v>
      </c>
      <c r="AV340" s="34">
        <v>0</v>
      </c>
      <c r="AW340" s="34">
        <v>0</v>
      </c>
    </row>
    <row r="341" spans="1:49">
      <c r="A341" s="33" t="s">
        <v>2168</v>
      </c>
      <c r="B341" s="33" t="s">
        <v>2169</v>
      </c>
      <c r="C341" s="34">
        <v>0</v>
      </c>
      <c r="D341" s="34">
        <v>0</v>
      </c>
      <c r="E341" s="34">
        <v>72.543208632000002</v>
      </c>
      <c r="F341" s="34">
        <v>36.005539829</v>
      </c>
      <c r="G341" s="34">
        <v>0</v>
      </c>
      <c r="H341" s="34">
        <v>0</v>
      </c>
      <c r="I341" s="34">
        <v>0</v>
      </c>
      <c r="J341" s="34">
        <v>0</v>
      </c>
      <c r="K341" s="34">
        <v>0</v>
      </c>
      <c r="L341" s="34">
        <v>50.585714355</v>
      </c>
      <c r="M341" s="34">
        <v>0</v>
      </c>
      <c r="Z341" s="34" t="s">
        <v>2169</v>
      </c>
      <c r="AA341" s="34">
        <v>0</v>
      </c>
      <c r="AB341" s="34">
        <v>10.979172350000001</v>
      </c>
      <c r="AC341" s="34">
        <v>0</v>
      </c>
      <c r="AD341" s="10">
        <v>0</v>
      </c>
      <c r="AE341" s="34">
        <v>1.077190844</v>
      </c>
      <c r="AF341" s="34">
        <v>0</v>
      </c>
      <c r="AG341" s="34">
        <v>0</v>
      </c>
      <c r="AH341" s="10">
        <v>0</v>
      </c>
      <c r="AI341" s="34">
        <v>0</v>
      </c>
      <c r="AJ341" s="34">
        <v>0</v>
      </c>
      <c r="AK341" s="34">
        <v>30.532521799000001</v>
      </c>
      <c r="AM341" s="34">
        <v>0</v>
      </c>
      <c r="AN341" s="34">
        <v>22.935139151000001</v>
      </c>
      <c r="AO341" s="34">
        <v>0</v>
      </c>
      <c r="AP341" s="10">
        <v>-22.935139151000001</v>
      </c>
      <c r="AQ341" s="34">
        <v>0</v>
      </c>
      <c r="AR341" s="34">
        <v>0</v>
      </c>
      <c r="AS341" s="34">
        <v>0</v>
      </c>
      <c r="AT341" s="10">
        <v>0</v>
      </c>
      <c r="AU341" s="34">
        <v>0</v>
      </c>
      <c r="AV341" s="34">
        <v>0</v>
      </c>
      <c r="AW341" s="34">
        <v>0</v>
      </c>
    </row>
    <row r="342" spans="1:49">
      <c r="A342" s="33" t="s">
        <v>2170</v>
      </c>
      <c r="B342" s="33" t="s">
        <v>2171</v>
      </c>
      <c r="C342" s="34">
        <v>0</v>
      </c>
      <c r="D342" s="34">
        <v>0</v>
      </c>
      <c r="E342" s="34">
        <v>0</v>
      </c>
      <c r="F342" s="34">
        <v>0</v>
      </c>
      <c r="G342" s="34">
        <v>0</v>
      </c>
      <c r="H342" s="34">
        <v>0</v>
      </c>
      <c r="I342" s="34">
        <v>0</v>
      </c>
      <c r="J342" s="34">
        <v>0</v>
      </c>
      <c r="K342" s="34">
        <v>0</v>
      </c>
      <c r="L342" s="34">
        <v>0</v>
      </c>
      <c r="M342" s="34">
        <v>0</v>
      </c>
      <c r="Z342" s="34" t="s">
        <v>2171</v>
      </c>
      <c r="AA342" s="34">
        <v>0</v>
      </c>
      <c r="AB342" s="34">
        <v>0</v>
      </c>
      <c r="AC342" s="34">
        <v>0</v>
      </c>
      <c r="AD342" s="10">
        <v>0</v>
      </c>
      <c r="AE342" s="34">
        <v>0</v>
      </c>
      <c r="AF342" s="34">
        <v>0</v>
      </c>
      <c r="AG342" s="34">
        <v>0</v>
      </c>
      <c r="AH342" s="10">
        <v>0</v>
      </c>
      <c r="AI342" s="34">
        <v>0</v>
      </c>
      <c r="AJ342" s="34">
        <v>0</v>
      </c>
      <c r="AK342" s="34">
        <v>0</v>
      </c>
      <c r="AM342" s="34">
        <v>0</v>
      </c>
      <c r="AN342" s="34">
        <v>0</v>
      </c>
      <c r="AO342" s="34">
        <v>0</v>
      </c>
      <c r="AP342" s="10">
        <v>0</v>
      </c>
      <c r="AQ342" s="34">
        <v>0</v>
      </c>
      <c r="AR342" s="34">
        <v>0</v>
      </c>
      <c r="AS342" s="34">
        <v>0</v>
      </c>
      <c r="AT342" s="10">
        <v>0</v>
      </c>
      <c r="AU342" s="34">
        <v>0</v>
      </c>
      <c r="AV342" s="34">
        <v>0</v>
      </c>
      <c r="AW342" s="34">
        <v>0</v>
      </c>
    </row>
    <row r="343" spans="1:49">
      <c r="A343" s="33" t="s">
        <v>2172</v>
      </c>
      <c r="B343" s="33" t="s">
        <v>2173</v>
      </c>
      <c r="C343" s="34">
        <v>0</v>
      </c>
      <c r="D343" s="34">
        <v>0</v>
      </c>
      <c r="E343" s="34">
        <v>0</v>
      </c>
      <c r="F343" s="34">
        <v>0</v>
      </c>
      <c r="G343" s="34">
        <v>0</v>
      </c>
      <c r="H343" s="34">
        <v>0</v>
      </c>
      <c r="I343" s="34">
        <v>0</v>
      </c>
      <c r="J343" s="34">
        <v>0</v>
      </c>
      <c r="K343" s="34">
        <v>0</v>
      </c>
      <c r="L343" s="34">
        <v>0</v>
      </c>
      <c r="M343" s="34">
        <v>0</v>
      </c>
      <c r="Z343" s="34" t="s">
        <v>2173</v>
      </c>
      <c r="AA343" s="34">
        <v>0</v>
      </c>
      <c r="AB343" s="34">
        <v>0</v>
      </c>
      <c r="AC343" s="34">
        <v>0</v>
      </c>
      <c r="AD343" s="10">
        <v>0</v>
      </c>
      <c r="AE343" s="34">
        <v>0</v>
      </c>
      <c r="AF343" s="34">
        <v>0</v>
      </c>
      <c r="AG343" s="34">
        <v>0</v>
      </c>
      <c r="AH343" s="10">
        <v>0</v>
      </c>
      <c r="AI343" s="34">
        <v>0</v>
      </c>
      <c r="AJ343" s="34">
        <v>0</v>
      </c>
      <c r="AK343" s="34">
        <v>0</v>
      </c>
      <c r="AM343" s="34">
        <v>0</v>
      </c>
      <c r="AN343" s="34">
        <v>0</v>
      </c>
      <c r="AO343" s="34">
        <v>0</v>
      </c>
      <c r="AP343" s="10">
        <v>0</v>
      </c>
      <c r="AQ343" s="34">
        <v>0</v>
      </c>
      <c r="AR343" s="34">
        <v>0</v>
      </c>
      <c r="AS343" s="34">
        <v>0</v>
      </c>
      <c r="AT343" s="10">
        <v>0</v>
      </c>
      <c r="AU343" s="34">
        <v>0</v>
      </c>
      <c r="AV343" s="34">
        <v>0</v>
      </c>
      <c r="AW343" s="34">
        <v>0</v>
      </c>
    </row>
    <row r="344" spans="1:49">
      <c r="A344" s="33" t="s">
        <v>2174</v>
      </c>
      <c r="B344" s="33" t="s">
        <v>2175</v>
      </c>
      <c r="C344" s="34">
        <v>0</v>
      </c>
      <c r="D344" s="34">
        <v>0</v>
      </c>
      <c r="E344" s="34">
        <v>0</v>
      </c>
      <c r="F344" s="34">
        <v>0</v>
      </c>
      <c r="G344" s="34">
        <v>0</v>
      </c>
      <c r="H344" s="34">
        <v>0</v>
      </c>
      <c r="I344" s="34">
        <v>0</v>
      </c>
      <c r="J344" s="34">
        <v>0</v>
      </c>
      <c r="K344" s="34">
        <v>0</v>
      </c>
      <c r="L344" s="34">
        <v>0</v>
      </c>
      <c r="M344" s="34">
        <v>0</v>
      </c>
      <c r="Z344" s="34" t="s">
        <v>2175</v>
      </c>
      <c r="AA344" s="34">
        <v>0</v>
      </c>
      <c r="AB344" s="34">
        <v>0</v>
      </c>
      <c r="AC344" s="34">
        <v>0</v>
      </c>
      <c r="AD344" s="10">
        <v>0</v>
      </c>
      <c r="AE344" s="34">
        <v>0</v>
      </c>
      <c r="AF344" s="34">
        <v>0</v>
      </c>
      <c r="AG344" s="34">
        <v>0</v>
      </c>
      <c r="AH344" s="10">
        <v>0</v>
      </c>
      <c r="AI344" s="34">
        <v>0</v>
      </c>
      <c r="AJ344" s="34">
        <v>0</v>
      </c>
      <c r="AK344" s="34">
        <v>0</v>
      </c>
      <c r="AM344" s="34">
        <v>0</v>
      </c>
      <c r="AN344" s="34">
        <v>0</v>
      </c>
      <c r="AO344" s="34">
        <v>0</v>
      </c>
      <c r="AP344" s="10">
        <v>0</v>
      </c>
      <c r="AQ344" s="34">
        <v>0</v>
      </c>
      <c r="AR344" s="34">
        <v>0</v>
      </c>
      <c r="AS344" s="34">
        <v>0</v>
      </c>
      <c r="AT344" s="10">
        <v>0</v>
      </c>
      <c r="AU344" s="34">
        <v>0</v>
      </c>
      <c r="AV344" s="34">
        <v>0</v>
      </c>
      <c r="AW344" s="34">
        <v>0</v>
      </c>
    </row>
    <row r="345" spans="1:49">
      <c r="A345" s="33" t="s">
        <v>1629</v>
      </c>
      <c r="B345" s="33" t="s">
        <v>2176</v>
      </c>
      <c r="C345" s="34">
        <v>1988.2367515989999</v>
      </c>
      <c r="D345" s="34">
        <v>2900.6026059239998</v>
      </c>
      <c r="E345" s="34">
        <v>4589.2206272249996</v>
      </c>
      <c r="F345" s="34">
        <v>3938.8893555700001</v>
      </c>
      <c r="G345" s="34">
        <v>3559.3117586220001</v>
      </c>
      <c r="H345" s="34">
        <v>3546.1934184880001</v>
      </c>
      <c r="I345" s="34">
        <v>5568.4643656090002</v>
      </c>
      <c r="J345" s="34">
        <v>7939.942178839</v>
      </c>
      <c r="K345" s="34">
        <v>11732.855520719</v>
      </c>
      <c r="L345" s="34">
        <v>19414.819300276002</v>
      </c>
      <c r="M345" s="34">
        <v>20365.038536062999</v>
      </c>
      <c r="Z345" s="34" t="s">
        <v>2176</v>
      </c>
      <c r="AA345" s="34">
        <v>1192.2493691489999</v>
      </c>
      <c r="AB345" s="34">
        <v>1290.8982798730001</v>
      </c>
      <c r="AC345" s="34">
        <v>1638.8025162250001</v>
      </c>
      <c r="AD345" s="10">
        <v>1448.852826499</v>
      </c>
      <c r="AE345" s="34">
        <v>1291.0731659749999</v>
      </c>
      <c r="AF345" s="34">
        <v>1881.040684173</v>
      </c>
      <c r="AG345" s="34">
        <v>2437.1383368000002</v>
      </c>
      <c r="AH345" s="10">
        <v>2333.6025072960001</v>
      </c>
      <c r="AI345" s="34">
        <v>2167.4511783439998</v>
      </c>
      <c r="AJ345" s="34">
        <v>2416.432847947</v>
      </c>
      <c r="AK345" s="34">
        <v>3392.968899988</v>
      </c>
      <c r="AM345" s="34">
        <v>4687.7688930450004</v>
      </c>
      <c r="AN345" s="34">
        <v>3912.4189683449999</v>
      </c>
      <c r="AO345" s="34">
        <v>3551.1529907079998</v>
      </c>
      <c r="AP345" s="10">
        <v>7308.6290162929999</v>
      </c>
      <c r="AQ345" s="34">
        <v>6542.2475455399999</v>
      </c>
      <c r="AR345" s="34">
        <v>4589.9357838659998</v>
      </c>
      <c r="AS345" s="34">
        <v>5659.2647217249996</v>
      </c>
      <c r="AT345" s="10">
        <v>3605.299884815</v>
      </c>
      <c r="AU345" s="34">
        <v>3699.1936032409999</v>
      </c>
      <c r="AV345" s="34">
        <v>4202.8301105680002</v>
      </c>
      <c r="AW345" s="34">
        <v>5027.92</v>
      </c>
    </row>
    <row r="346" spans="1:49">
      <c r="A346" s="33" t="s">
        <v>2177</v>
      </c>
      <c r="B346" s="33" t="s">
        <v>2178</v>
      </c>
      <c r="C346" s="34">
        <v>1988.2367515989999</v>
      </c>
      <c r="D346" s="34">
        <v>2900.6026059239998</v>
      </c>
      <c r="E346" s="34">
        <v>4589.2206272249996</v>
      </c>
      <c r="F346" s="34">
        <v>3922.406143877</v>
      </c>
      <c r="G346" s="34">
        <v>3555.3093861920001</v>
      </c>
      <c r="H346" s="34">
        <v>3536.7161406559999</v>
      </c>
      <c r="I346" s="34">
        <v>5548.0912912539998</v>
      </c>
      <c r="J346" s="34">
        <v>7823.4737501379996</v>
      </c>
      <c r="K346" s="34">
        <v>11608.059510526</v>
      </c>
      <c r="L346" s="34">
        <v>19211.090652462</v>
      </c>
      <c r="M346" s="34">
        <v>20018.336142233999</v>
      </c>
      <c r="Z346" s="34" t="s">
        <v>2178</v>
      </c>
      <c r="AA346" s="34">
        <v>1192.2493691489999</v>
      </c>
      <c r="AB346" s="34">
        <v>1289.761551523</v>
      </c>
      <c r="AC346" s="34">
        <v>1638.8025162250001</v>
      </c>
      <c r="AD346" s="10">
        <v>1448.852826499</v>
      </c>
      <c r="AE346" s="34">
        <v>1291.0731659749999</v>
      </c>
      <c r="AF346" s="34">
        <v>1865.165436426</v>
      </c>
      <c r="AG346" s="34">
        <v>2437.1383368000002</v>
      </c>
      <c r="AH346" s="10">
        <v>2333.6025072960001</v>
      </c>
      <c r="AI346" s="34">
        <v>2167.4511783439998</v>
      </c>
      <c r="AJ346" s="34">
        <v>2359.7720010329999</v>
      </c>
      <c r="AK346" s="34">
        <v>3392.968899988</v>
      </c>
      <c r="AM346" s="34">
        <v>4687.7688930450004</v>
      </c>
      <c r="AN346" s="34">
        <v>3830.702815098</v>
      </c>
      <c r="AO346" s="34">
        <v>3551.1529907079998</v>
      </c>
      <c r="AP346" s="10">
        <v>7390.3451695399999</v>
      </c>
      <c r="AQ346" s="34">
        <v>6542.2475455399999</v>
      </c>
      <c r="AR346" s="34">
        <v>4425.45408847</v>
      </c>
      <c r="AS346" s="34">
        <v>5659.2647217249996</v>
      </c>
      <c r="AT346" s="10">
        <v>3605.299884815</v>
      </c>
      <c r="AU346" s="34">
        <v>3699.1936032409999</v>
      </c>
      <c r="AV346" s="34">
        <v>4114.9262276500003</v>
      </c>
      <c r="AW346" s="34">
        <v>5027.92</v>
      </c>
    </row>
    <row r="347" spans="1:49">
      <c r="A347" s="33" t="s">
        <v>2179</v>
      </c>
      <c r="B347" s="33" t="s">
        <v>2180</v>
      </c>
      <c r="C347" s="34">
        <v>0</v>
      </c>
      <c r="D347" s="34">
        <v>0</v>
      </c>
      <c r="E347" s="34">
        <v>0</v>
      </c>
      <c r="F347" s="34">
        <v>0</v>
      </c>
      <c r="G347" s="34">
        <v>0</v>
      </c>
      <c r="H347" s="34">
        <v>0</v>
      </c>
      <c r="I347" s="34">
        <v>0</v>
      </c>
      <c r="J347" s="34">
        <v>0</v>
      </c>
      <c r="K347" s="34">
        <v>0</v>
      </c>
      <c r="L347" s="34">
        <v>0</v>
      </c>
      <c r="M347" s="34">
        <v>0</v>
      </c>
      <c r="Z347" s="34" t="s">
        <v>2180</v>
      </c>
      <c r="AA347" s="34">
        <v>0</v>
      </c>
      <c r="AB347" s="34">
        <v>0</v>
      </c>
      <c r="AC347" s="34">
        <v>0</v>
      </c>
      <c r="AD347" s="10">
        <v>0</v>
      </c>
      <c r="AE347" s="34">
        <v>0</v>
      </c>
      <c r="AF347" s="34">
        <v>0</v>
      </c>
      <c r="AG347" s="34">
        <v>0</v>
      </c>
      <c r="AH347" s="10">
        <v>0</v>
      </c>
      <c r="AI347" s="34">
        <v>0</v>
      </c>
      <c r="AJ347" s="34">
        <v>0</v>
      </c>
      <c r="AK347" s="34">
        <v>0</v>
      </c>
      <c r="AM347" s="34">
        <v>0</v>
      </c>
      <c r="AN347" s="34">
        <v>0</v>
      </c>
      <c r="AO347" s="34">
        <v>0</v>
      </c>
      <c r="AP347" s="10">
        <v>0</v>
      </c>
      <c r="AQ347" s="34">
        <v>0</v>
      </c>
      <c r="AR347" s="34">
        <v>0</v>
      </c>
      <c r="AS347" s="34">
        <v>0</v>
      </c>
      <c r="AT347" s="10">
        <v>0</v>
      </c>
      <c r="AU347" s="34">
        <v>0</v>
      </c>
      <c r="AV347" s="34">
        <v>0</v>
      </c>
      <c r="AW347" s="34">
        <v>0</v>
      </c>
    </row>
    <row r="348" spans="1:49">
      <c r="A348" s="33" t="s">
        <v>2181</v>
      </c>
      <c r="B348" s="33" t="s">
        <v>2182</v>
      </c>
      <c r="C348" s="34">
        <v>0</v>
      </c>
      <c r="D348" s="34">
        <v>0</v>
      </c>
      <c r="E348" s="34">
        <v>0</v>
      </c>
      <c r="F348" s="34">
        <v>16.483211693000001</v>
      </c>
      <c r="G348" s="34">
        <v>4.0023724300000003</v>
      </c>
      <c r="H348" s="34">
        <v>9.4772778320000004</v>
      </c>
      <c r="I348" s="34">
        <v>20.373074355</v>
      </c>
      <c r="J348" s="34">
        <v>116.46842870099999</v>
      </c>
      <c r="K348" s="34">
        <v>124.796010193</v>
      </c>
      <c r="L348" s="34">
        <v>203.728647814</v>
      </c>
      <c r="M348" s="34">
        <v>346.70239382900002</v>
      </c>
      <c r="Z348" s="34" t="s">
        <v>2182</v>
      </c>
      <c r="AA348" s="34">
        <v>0</v>
      </c>
      <c r="AB348" s="34">
        <v>1.1367283500000001</v>
      </c>
      <c r="AC348" s="34">
        <v>0</v>
      </c>
      <c r="AD348" s="10">
        <v>0</v>
      </c>
      <c r="AE348" s="34">
        <v>0</v>
      </c>
      <c r="AF348" s="34">
        <v>15.875247747</v>
      </c>
      <c r="AG348" s="34">
        <v>0</v>
      </c>
      <c r="AH348" s="10">
        <v>0</v>
      </c>
      <c r="AI348" s="34">
        <v>0</v>
      </c>
      <c r="AJ348" s="34">
        <v>56.660846913999997</v>
      </c>
      <c r="AK348" s="34">
        <v>0</v>
      </c>
      <c r="AM348" s="34">
        <v>0</v>
      </c>
      <c r="AN348" s="34">
        <v>81.716153246999994</v>
      </c>
      <c r="AO348" s="34">
        <v>0</v>
      </c>
      <c r="AP348" s="10">
        <v>-81.716153246999994</v>
      </c>
      <c r="AQ348" s="34">
        <v>0</v>
      </c>
      <c r="AR348" s="34">
        <v>164.48169539599999</v>
      </c>
      <c r="AS348" s="34">
        <v>0</v>
      </c>
      <c r="AT348" s="10">
        <v>0</v>
      </c>
      <c r="AU348" s="34">
        <v>0</v>
      </c>
      <c r="AV348" s="34">
        <v>87.903882917999994</v>
      </c>
      <c r="AW348" s="34">
        <v>0</v>
      </c>
    </row>
    <row r="349" spans="1:49">
      <c r="A349" s="33" t="s">
        <v>2183</v>
      </c>
      <c r="B349" s="33" t="s">
        <v>2184</v>
      </c>
      <c r="C349" s="34">
        <v>0</v>
      </c>
      <c r="D349" s="34">
        <v>0</v>
      </c>
      <c r="E349" s="34">
        <v>0</v>
      </c>
      <c r="F349" s="34">
        <v>0</v>
      </c>
      <c r="G349" s="34">
        <v>0</v>
      </c>
      <c r="H349" s="34">
        <v>0</v>
      </c>
      <c r="I349" s="34">
        <v>0</v>
      </c>
      <c r="J349" s="34">
        <v>0</v>
      </c>
      <c r="K349" s="34">
        <v>0</v>
      </c>
      <c r="L349" s="34">
        <v>0</v>
      </c>
      <c r="M349" s="34">
        <v>0</v>
      </c>
      <c r="Z349" s="34" t="s">
        <v>2184</v>
      </c>
      <c r="AA349" s="34">
        <v>0</v>
      </c>
      <c r="AB349" s="34">
        <v>0</v>
      </c>
      <c r="AC349" s="34">
        <v>0</v>
      </c>
      <c r="AD349" s="10">
        <v>0</v>
      </c>
      <c r="AE349" s="34">
        <v>0</v>
      </c>
      <c r="AF349" s="34">
        <v>0</v>
      </c>
      <c r="AG349" s="34">
        <v>0</v>
      </c>
      <c r="AH349" s="10">
        <v>0</v>
      </c>
      <c r="AI349" s="34">
        <v>0</v>
      </c>
      <c r="AJ349" s="34">
        <v>0</v>
      </c>
      <c r="AK349" s="34">
        <v>0</v>
      </c>
      <c r="AM349" s="34">
        <v>0</v>
      </c>
      <c r="AN349" s="34">
        <v>0</v>
      </c>
      <c r="AO349" s="34">
        <v>0</v>
      </c>
      <c r="AP349" s="10">
        <v>0</v>
      </c>
      <c r="AQ349" s="34">
        <v>0</v>
      </c>
      <c r="AR349" s="34">
        <v>0</v>
      </c>
      <c r="AS349" s="34">
        <v>0</v>
      </c>
      <c r="AT349" s="10">
        <v>0</v>
      </c>
      <c r="AU349" s="34">
        <v>0</v>
      </c>
      <c r="AV349" s="34">
        <v>0</v>
      </c>
      <c r="AW349" s="34">
        <v>0</v>
      </c>
    </row>
    <row r="350" spans="1:49">
      <c r="A350" s="33" t="s">
        <v>2185</v>
      </c>
      <c r="B350" s="33" t="s">
        <v>2186</v>
      </c>
      <c r="C350" s="34">
        <v>0</v>
      </c>
      <c r="D350" s="34">
        <v>0</v>
      </c>
      <c r="E350" s="34">
        <v>0</v>
      </c>
      <c r="F350" s="34">
        <v>0</v>
      </c>
      <c r="G350" s="34">
        <v>0</v>
      </c>
      <c r="H350" s="34">
        <v>0</v>
      </c>
      <c r="I350" s="34">
        <v>0</v>
      </c>
      <c r="J350" s="34">
        <v>0</v>
      </c>
      <c r="K350" s="34">
        <v>0</v>
      </c>
      <c r="L350" s="34">
        <v>0</v>
      </c>
      <c r="M350" s="34">
        <v>0</v>
      </c>
      <c r="Z350" s="34" t="s">
        <v>2186</v>
      </c>
      <c r="AA350" s="34">
        <v>0</v>
      </c>
      <c r="AB350" s="34">
        <v>0</v>
      </c>
      <c r="AC350" s="34">
        <v>0</v>
      </c>
      <c r="AD350" s="10">
        <v>0</v>
      </c>
      <c r="AE350" s="34">
        <v>0</v>
      </c>
      <c r="AF350" s="34">
        <v>0</v>
      </c>
      <c r="AG350" s="34">
        <v>0</v>
      </c>
      <c r="AH350" s="10">
        <v>0</v>
      </c>
      <c r="AI350" s="34">
        <v>0</v>
      </c>
      <c r="AJ350" s="34">
        <v>0</v>
      </c>
      <c r="AK350" s="34">
        <v>0</v>
      </c>
      <c r="AM350" s="34">
        <v>0</v>
      </c>
      <c r="AN350" s="34">
        <v>0</v>
      </c>
      <c r="AO350" s="34">
        <v>0</v>
      </c>
      <c r="AP350" s="10">
        <v>0</v>
      </c>
      <c r="AQ350" s="34">
        <v>0</v>
      </c>
      <c r="AR350" s="34">
        <v>0</v>
      </c>
      <c r="AS350" s="34">
        <v>0</v>
      </c>
      <c r="AT350" s="10">
        <v>0</v>
      </c>
      <c r="AU350" s="34">
        <v>0</v>
      </c>
      <c r="AV350" s="34">
        <v>0</v>
      </c>
      <c r="AW350" s="34">
        <v>0</v>
      </c>
    </row>
    <row r="351" spans="1:49">
      <c r="A351" s="33" t="s">
        <v>2187</v>
      </c>
      <c r="B351" s="33" t="s">
        <v>2188</v>
      </c>
      <c r="C351" s="34">
        <v>0</v>
      </c>
      <c r="D351" s="34">
        <v>0</v>
      </c>
      <c r="E351" s="34">
        <v>0</v>
      </c>
      <c r="F351" s="34">
        <v>0</v>
      </c>
      <c r="G351" s="34">
        <v>0</v>
      </c>
      <c r="H351" s="34">
        <v>0</v>
      </c>
      <c r="I351" s="34">
        <v>0</v>
      </c>
      <c r="J351" s="34">
        <v>0</v>
      </c>
      <c r="K351" s="34">
        <v>0</v>
      </c>
      <c r="L351" s="34">
        <v>0</v>
      </c>
      <c r="M351" s="34">
        <v>0</v>
      </c>
      <c r="Z351" s="34" t="s">
        <v>2188</v>
      </c>
      <c r="AA351" s="34">
        <v>0</v>
      </c>
      <c r="AB351" s="34">
        <v>0</v>
      </c>
      <c r="AC351" s="34">
        <v>0</v>
      </c>
      <c r="AD351" s="10">
        <v>0</v>
      </c>
      <c r="AE351" s="34">
        <v>0</v>
      </c>
      <c r="AF351" s="34">
        <v>0</v>
      </c>
      <c r="AG351" s="34">
        <v>0</v>
      </c>
      <c r="AH351" s="10">
        <v>0</v>
      </c>
      <c r="AI351" s="34">
        <v>0</v>
      </c>
      <c r="AJ351" s="34">
        <v>0</v>
      </c>
      <c r="AK351" s="34">
        <v>0</v>
      </c>
      <c r="AM351" s="34">
        <v>0</v>
      </c>
      <c r="AN351" s="34">
        <v>0</v>
      </c>
      <c r="AO351" s="34">
        <v>0</v>
      </c>
      <c r="AP351" s="10">
        <v>0</v>
      </c>
      <c r="AQ351" s="34">
        <v>0</v>
      </c>
      <c r="AR351" s="34">
        <v>0</v>
      </c>
      <c r="AS351" s="34">
        <v>0</v>
      </c>
      <c r="AT351" s="10">
        <v>0</v>
      </c>
      <c r="AU351" s="34">
        <v>0</v>
      </c>
      <c r="AV351" s="34">
        <v>0</v>
      </c>
      <c r="AW351" s="34">
        <v>0</v>
      </c>
    </row>
    <row r="352" spans="1:49">
      <c r="A352" s="33" t="s">
        <v>2189</v>
      </c>
      <c r="B352" s="33" t="s">
        <v>2190</v>
      </c>
      <c r="C352" s="34">
        <v>0</v>
      </c>
      <c r="D352" s="34">
        <v>0</v>
      </c>
      <c r="E352" s="34">
        <v>0</v>
      </c>
      <c r="F352" s="34">
        <v>0</v>
      </c>
      <c r="G352" s="34">
        <v>0</v>
      </c>
      <c r="H352" s="34">
        <v>0</v>
      </c>
      <c r="I352" s="34">
        <v>0</v>
      </c>
      <c r="J352" s="34">
        <v>0</v>
      </c>
      <c r="K352" s="34">
        <v>0</v>
      </c>
      <c r="L352" s="34">
        <v>0</v>
      </c>
      <c r="M352" s="34">
        <v>0</v>
      </c>
      <c r="Z352" s="34" t="s">
        <v>2190</v>
      </c>
      <c r="AA352" s="34">
        <v>0</v>
      </c>
      <c r="AB352" s="34">
        <v>0</v>
      </c>
      <c r="AC352" s="34">
        <v>0</v>
      </c>
      <c r="AD352" s="10">
        <v>0</v>
      </c>
      <c r="AE352" s="34">
        <v>0</v>
      </c>
      <c r="AF352" s="34">
        <v>0</v>
      </c>
      <c r="AG352" s="34">
        <v>0</v>
      </c>
      <c r="AH352" s="10">
        <v>0</v>
      </c>
      <c r="AI352" s="34">
        <v>0</v>
      </c>
      <c r="AJ352" s="34">
        <v>0</v>
      </c>
      <c r="AK352" s="34">
        <v>0</v>
      </c>
      <c r="AM352" s="34">
        <v>0</v>
      </c>
      <c r="AN352" s="34">
        <v>0</v>
      </c>
      <c r="AO352" s="34">
        <v>0</v>
      </c>
      <c r="AP352" s="10">
        <v>0</v>
      </c>
      <c r="AQ352" s="34">
        <v>0</v>
      </c>
      <c r="AR352" s="34">
        <v>0</v>
      </c>
      <c r="AS352" s="34">
        <v>0</v>
      </c>
      <c r="AT352" s="10">
        <v>0</v>
      </c>
      <c r="AU352" s="34">
        <v>0</v>
      </c>
      <c r="AV352" s="34">
        <v>0</v>
      </c>
      <c r="AW352" s="34">
        <v>0</v>
      </c>
    </row>
    <row r="353" spans="1:49">
      <c r="A353" s="33" t="s">
        <v>2191</v>
      </c>
      <c r="B353" s="33" t="s">
        <v>2192</v>
      </c>
      <c r="C353" s="34">
        <v>0</v>
      </c>
      <c r="D353" s="34">
        <v>0</v>
      </c>
      <c r="E353" s="34">
        <v>0</v>
      </c>
      <c r="F353" s="34">
        <v>0</v>
      </c>
      <c r="G353" s="34">
        <v>0</v>
      </c>
      <c r="H353" s="34">
        <v>0</v>
      </c>
      <c r="I353" s="34">
        <v>0</v>
      </c>
      <c r="J353" s="34">
        <v>0</v>
      </c>
      <c r="K353" s="34">
        <v>0</v>
      </c>
      <c r="L353" s="34">
        <v>0</v>
      </c>
      <c r="M353" s="34">
        <v>0</v>
      </c>
      <c r="Z353" s="34" t="s">
        <v>2192</v>
      </c>
      <c r="AA353" s="34">
        <v>0</v>
      </c>
      <c r="AB353" s="34">
        <v>0</v>
      </c>
      <c r="AC353" s="34">
        <v>0</v>
      </c>
      <c r="AD353" s="10">
        <v>0</v>
      </c>
      <c r="AE353" s="34">
        <v>0</v>
      </c>
      <c r="AF353" s="34">
        <v>0</v>
      </c>
      <c r="AG353" s="34">
        <v>0</v>
      </c>
      <c r="AH353" s="10">
        <v>0</v>
      </c>
      <c r="AI353" s="34">
        <v>0</v>
      </c>
      <c r="AJ353" s="34">
        <v>0</v>
      </c>
      <c r="AK353" s="34">
        <v>0</v>
      </c>
      <c r="AM353" s="34">
        <v>0</v>
      </c>
      <c r="AN353" s="34">
        <v>0</v>
      </c>
      <c r="AO353" s="34">
        <v>0</v>
      </c>
      <c r="AP353" s="10">
        <v>0</v>
      </c>
      <c r="AQ353" s="34">
        <v>0</v>
      </c>
      <c r="AR353" s="34">
        <v>0</v>
      </c>
      <c r="AS353" s="34">
        <v>0</v>
      </c>
      <c r="AT353" s="10">
        <v>0</v>
      </c>
      <c r="AU353" s="34">
        <v>0</v>
      </c>
      <c r="AV353" s="34">
        <v>0</v>
      </c>
      <c r="AW353" s="34">
        <v>0</v>
      </c>
    </row>
    <row r="354" spans="1:49" s="41" customFormat="1">
      <c r="A354" s="40" t="s">
        <v>501</v>
      </c>
      <c r="B354" s="40" t="s">
        <v>2193</v>
      </c>
      <c r="C354" s="41">
        <v>14.49893464</v>
      </c>
      <c r="D354" s="41">
        <v>5.9818555509999998</v>
      </c>
      <c r="E354" s="41">
        <v>10.737904223999999</v>
      </c>
      <c r="F354" s="41">
        <v>14.11404445</v>
      </c>
      <c r="G354" s="41">
        <v>19.265855640000002</v>
      </c>
      <c r="H354" s="41">
        <v>24.486747082000001</v>
      </c>
      <c r="I354" s="41">
        <f>SUM(I355:I363)</f>
        <v>32.404636504999999</v>
      </c>
      <c r="J354" s="41">
        <f>SUM(J355:J363)</f>
        <v>60.625155828999993</v>
      </c>
      <c r="K354" s="41">
        <f>SUM(K355:K363)</f>
        <v>82.757303962999984</v>
      </c>
      <c r="L354" s="41">
        <f>SUM(L355:L363)</f>
        <v>180.13014260900002</v>
      </c>
      <c r="M354" s="41">
        <f>SUM(M355:M363)</f>
        <v>209.04661797200001</v>
      </c>
      <c r="O354" s="7"/>
      <c r="P354" s="7"/>
      <c r="Z354" s="41" t="s">
        <v>2193</v>
      </c>
      <c r="AA354" s="41">
        <v>4.4124648369999999</v>
      </c>
      <c r="AB354" s="41">
        <v>6.4119894610000001</v>
      </c>
      <c r="AC354" s="41">
        <v>8.9684341249999999</v>
      </c>
      <c r="AD354" s="11">
        <v>12.611747012</v>
      </c>
      <c r="AE354" s="41">
        <v>11.684023215</v>
      </c>
      <c r="AF354" s="41">
        <v>12.630172614999999</v>
      </c>
      <c r="AG354" s="41">
        <v>21.342665153999999</v>
      </c>
      <c r="AH354" s="11">
        <v>14.706561401</v>
      </c>
      <c r="AI354" s="41">
        <v>14.373516472</v>
      </c>
      <c r="AJ354" s="41">
        <v>27.553942584000001</v>
      </c>
      <c r="AK354" s="41">
        <v>20.806711141000001</v>
      </c>
      <c r="AL354" s="11"/>
      <c r="AM354" s="41">
        <v>24.899826731000001</v>
      </c>
      <c r="AN354" s="41">
        <v>38.901809831000001</v>
      </c>
      <c r="AO354" s="41">
        <v>48.472524155999999</v>
      </c>
      <c r="AP354" s="11">
        <v>67.855981890999999</v>
      </c>
      <c r="AQ354" s="41">
        <v>73.276796016999995</v>
      </c>
      <c r="AR354" s="41">
        <v>29.651346468</v>
      </c>
      <c r="AS354" s="41">
        <v>38.241857039999999</v>
      </c>
      <c r="AT354" s="11">
        <v>67.876618446999998</v>
      </c>
      <c r="AU354" s="41">
        <v>37.004086645999998</v>
      </c>
      <c r="AV354" s="41">
        <v>44.646004861999998</v>
      </c>
      <c r="AW354" s="41">
        <v>46.74</v>
      </c>
    </row>
    <row r="355" spans="1:49">
      <c r="A355" s="48" t="s">
        <v>2194</v>
      </c>
      <c r="B355" s="33" t="s">
        <v>2195</v>
      </c>
      <c r="C355" s="34">
        <v>4.9593045150000004</v>
      </c>
      <c r="D355" s="34">
        <v>3.4299823169999999</v>
      </c>
      <c r="E355" s="34">
        <v>3.1332568410000001</v>
      </c>
      <c r="F355" s="34">
        <v>0.42309892900000001</v>
      </c>
      <c r="G355" s="34">
        <v>0.90869466600000004</v>
      </c>
      <c r="H355" s="34">
        <v>0.52731830400000002</v>
      </c>
      <c r="I355" s="34">
        <v>0.12630866499999999</v>
      </c>
      <c r="J355" s="34">
        <v>8.2251425000000003E-2</v>
      </c>
      <c r="K355" s="34">
        <v>0.58201485600000002</v>
      </c>
      <c r="L355" s="34">
        <v>0.908208829</v>
      </c>
      <c r="M355" s="34">
        <v>5.1218156959999996</v>
      </c>
      <c r="Z355" s="34" t="s">
        <v>2195</v>
      </c>
      <c r="AA355" s="34">
        <v>1.5568667E-2</v>
      </c>
      <c r="AB355" s="34">
        <v>1.6854534000000001E-2</v>
      </c>
      <c r="AC355" s="34">
        <v>2.4953518000000001E-2</v>
      </c>
      <c r="AD355" s="10">
        <v>12.611747012</v>
      </c>
      <c r="AE355" s="34">
        <v>2.2767365000000001E-2</v>
      </c>
      <c r="AF355" s="34">
        <v>1.5843989999999999E-2</v>
      </c>
      <c r="AG355" s="34">
        <v>1.6705459999999998E-2</v>
      </c>
      <c r="AH355" s="10">
        <v>2.2741338999999999E-2</v>
      </c>
      <c r="AI355" s="34">
        <v>1.6657930000000001E-2</v>
      </c>
      <c r="AJ355" s="34">
        <v>4.3300819999999997E-2</v>
      </c>
      <c r="AK355" s="34">
        <v>0</v>
      </c>
      <c r="AM355" s="34">
        <v>0.34013426899999999</v>
      </c>
      <c r="AN355" s="34">
        <v>12.216893348999999</v>
      </c>
      <c r="AO355" s="34">
        <v>48.472524155999999</v>
      </c>
      <c r="AP355" s="10">
        <v>67.855981890999999</v>
      </c>
      <c r="AQ355" s="34">
        <v>5.9526540000000003E-2</v>
      </c>
      <c r="AR355" s="34">
        <v>29.651346468</v>
      </c>
      <c r="AS355" s="34">
        <v>8.0647109310000005</v>
      </c>
      <c r="AT355" s="10">
        <v>2.5110268809999998</v>
      </c>
      <c r="AU355" s="34">
        <v>0.82554785100000005</v>
      </c>
      <c r="AV355" s="34">
        <v>23.621912097999999</v>
      </c>
      <c r="AW355" s="34">
        <v>2.6</v>
      </c>
    </row>
    <row r="356" spans="1:49">
      <c r="A356" s="48" t="s">
        <v>2196</v>
      </c>
      <c r="B356" s="33" t="s">
        <v>2197</v>
      </c>
      <c r="C356" s="34">
        <v>0</v>
      </c>
      <c r="D356" s="34">
        <v>0</v>
      </c>
      <c r="E356" s="34">
        <v>0</v>
      </c>
      <c r="F356" s="34">
        <v>0</v>
      </c>
      <c r="G356" s="34">
        <v>0</v>
      </c>
      <c r="H356" s="34">
        <v>0</v>
      </c>
      <c r="I356" s="34">
        <v>0</v>
      </c>
      <c r="J356" s="34">
        <v>0</v>
      </c>
      <c r="K356" s="34">
        <v>4.2802202730000003</v>
      </c>
      <c r="L356" s="34">
        <v>35.362561892999999</v>
      </c>
      <c r="M356" s="34">
        <v>40.465099168000002</v>
      </c>
      <c r="Z356" s="34" t="s">
        <v>2197</v>
      </c>
      <c r="AA356" s="34">
        <v>0</v>
      </c>
      <c r="AB356" s="34">
        <v>0</v>
      </c>
      <c r="AC356" s="34">
        <v>0</v>
      </c>
      <c r="AD356" s="10">
        <v>0</v>
      </c>
      <c r="AE356" s="34">
        <v>0</v>
      </c>
      <c r="AF356" s="34">
        <v>0</v>
      </c>
      <c r="AG356" s="34">
        <v>0</v>
      </c>
      <c r="AH356" s="10">
        <v>0</v>
      </c>
      <c r="AI356" s="34">
        <v>0</v>
      </c>
      <c r="AJ356" s="34">
        <v>0</v>
      </c>
      <c r="AK356" s="34">
        <v>0</v>
      </c>
      <c r="AM356" s="34">
        <v>0</v>
      </c>
      <c r="AN356" s="34">
        <v>0</v>
      </c>
      <c r="AO356" s="34">
        <v>0</v>
      </c>
      <c r="AP356" s="10">
        <v>0</v>
      </c>
      <c r="AQ356" s="34">
        <v>0</v>
      </c>
      <c r="AR356" s="34">
        <v>0</v>
      </c>
      <c r="AS356" s="34">
        <v>0</v>
      </c>
      <c r="AT356" s="10">
        <v>14.302086376</v>
      </c>
      <c r="AU356" s="34">
        <v>14.16170604</v>
      </c>
      <c r="AV356" s="34">
        <v>-14.16170604</v>
      </c>
      <c r="AW356" s="34">
        <v>16.53</v>
      </c>
    </row>
    <row r="357" spans="1:49">
      <c r="A357" s="48" t="s">
        <v>2198</v>
      </c>
      <c r="B357" s="33" t="s">
        <v>2199</v>
      </c>
      <c r="C357" s="34">
        <v>0</v>
      </c>
      <c r="D357" s="34">
        <v>0</v>
      </c>
      <c r="E357" s="34">
        <v>0</v>
      </c>
      <c r="F357" s="34">
        <v>0</v>
      </c>
      <c r="G357" s="34">
        <v>0</v>
      </c>
      <c r="H357" s="34">
        <v>0</v>
      </c>
      <c r="I357" s="34">
        <v>0</v>
      </c>
      <c r="J357" s="34">
        <v>0</v>
      </c>
      <c r="K357" s="34">
        <v>0</v>
      </c>
      <c r="L357" s="34">
        <v>0</v>
      </c>
      <c r="M357" s="34">
        <v>0</v>
      </c>
      <c r="Z357" s="34" t="s">
        <v>2199</v>
      </c>
      <c r="AA357" s="34">
        <v>0</v>
      </c>
      <c r="AB357" s="34">
        <v>0</v>
      </c>
      <c r="AC357" s="34">
        <v>0</v>
      </c>
      <c r="AD357" s="10">
        <v>0</v>
      </c>
      <c r="AE357" s="34">
        <v>0</v>
      </c>
      <c r="AF357" s="34">
        <v>0</v>
      </c>
      <c r="AG357" s="34">
        <v>0</v>
      </c>
      <c r="AH357" s="10">
        <v>0</v>
      </c>
      <c r="AI357" s="34">
        <v>0</v>
      </c>
      <c r="AJ357" s="34">
        <v>0</v>
      </c>
      <c r="AK357" s="34">
        <v>0</v>
      </c>
      <c r="AM357" s="34">
        <v>0</v>
      </c>
      <c r="AN357" s="34">
        <v>0</v>
      </c>
      <c r="AO357" s="34">
        <v>0</v>
      </c>
      <c r="AP357" s="10">
        <v>0</v>
      </c>
      <c r="AQ357" s="34">
        <v>0</v>
      </c>
      <c r="AR357" s="34">
        <v>0</v>
      </c>
      <c r="AS357" s="34">
        <v>0</v>
      </c>
      <c r="AT357" s="10">
        <v>0</v>
      </c>
      <c r="AU357" s="34">
        <v>0</v>
      </c>
      <c r="AV357" s="34">
        <v>0</v>
      </c>
      <c r="AW357" s="34">
        <v>0</v>
      </c>
    </row>
    <row r="358" spans="1:49">
      <c r="A358" s="48" t="s">
        <v>2200</v>
      </c>
      <c r="B358" s="33" t="s">
        <v>2201</v>
      </c>
      <c r="C358" s="34">
        <v>0</v>
      </c>
      <c r="D358" s="34">
        <v>0</v>
      </c>
      <c r="E358" s="34">
        <v>1.72029813</v>
      </c>
      <c r="F358" s="34">
        <v>0</v>
      </c>
      <c r="G358" s="34">
        <v>0</v>
      </c>
      <c r="H358" s="34">
        <v>0</v>
      </c>
      <c r="I358" s="34">
        <v>0</v>
      </c>
      <c r="J358" s="34">
        <v>0</v>
      </c>
      <c r="K358" s="34">
        <v>0</v>
      </c>
      <c r="L358" s="34">
        <v>0</v>
      </c>
      <c r="M358" s="34">
        <v>0</v>
      </c>
      <c r="Z358" s="34" t="s">
        <v>2201</v>
      </c>
      <c r="AA358" s="34">
        <v>0</v>
      </c>
      <c r="AB358" s="34">
        <v>0</v>
      </c>
      <c r="AC358" s="34">
        <v>0</v>
      </c>
      <c r="AD358" s="10">
        <v>0</v>
      </c>
      <c r="AE358" s="34">
        <v>0</v>
      </c>
      <c r="AF358" s="34">
        <v>0</v>
      </c>
      <c r="AG358" s="34">
        <v>0</v>
      </c>
      <c r="AH358" s="10">
        <v>0</v>
      </c>
      <c r="AI358" s="34">
        <v>0</v>
      </c>
      <c r="AJ358" s="34">
        <v>0</v>
      </c>
      <c r="AK358" s="34">
        <v>0</v>
      </c>
      <c r="AM358" s="34">
        <v>0</v>
      </c>
      <c r="AN358" s="34">
        <v>0</v>
      </c>
      <c r="AO358" s="34">
        <v>0</v>
      </c>
      <c r="AP358" s="10">
        <v>0</v>
      </c>
      <c r="AQ358" s="34">
        <v>0</v>
      </c>
      <c r="AR358" s="34">
        <v>0</v>
      </c>
      <c r="AS358" s="34">
        <v>0</v>
      </c>
      <c r="AT358" s="10">
        <v>0</v>
      </c>
      <c r="AU358" s="34">
        <v>0</v>
      </c>
      <c r="AV358" s="34">
        <v>0</v>
      </c>
      <c r="AW358" s="34">
        <v>0</v>
      </c>
    </row>
    <row r="359" spans="1:49">
      <c r="A359" s="48" t="s">
        <v>2202</v>
      </c>
      <c r="B359" s="33" t="s">
        <v>2203</v>
      </c>
      <c r="C359" s="34">
        <v>0</v>
      </c>
      <c r="D359" s="34">
        <v>0</v>
      </c>
      <c r="E359" s="34">
        <v>0</v>
      </c>
      <c r="F359" s="34">
        <v>0</v>
      </c>
      <c r="G359" s="34">
        <v>0</v>
      </c>
      <c r="H359" s="34">
        <v>0</v>
      </c>
      <c r="I359" s="34">
        <v>0</v>
      </c>
      <c r="J359" s="34">
        <v>0</v>
      </c>
      <c r="K359" s="34">
        <v>0</v>
      </c>
      <c r="L359" s="34">
        <v>0</v>
      </c>
      <c r="M359" s="34">
        <v>0</v>
      </c>
      <c r="Z359" s="34" t="s">
        <v>2203</v>
      </c>
      <c r="AA359" s="34">
        <v>0</v>
      </c>
      <c r="AB359" s="34">
        <v>0</v>
      </c>
      <c r="AC359" s="34">
        <v>0</v>
      </c>
      <c r="AD359" s="10">
        <v>0</v>
      </c>
      <c r="AE359" s="34">
        <v>0</v>
      </c>
      <c r="AF359" s="34">
        <v>0</v>
      </c>
      <c r="AG359" s="34">
        <v>0</v>
      </c>
      <c r="AH359" s="10">
        <v>0</v>
      </c>
      <c r="AI359" s="34">
        <v>0</v>
      </c>
      <c r="AJ359" s="34">
        <v>0</v>
      </c>
      <c r="AK359" s="34">
        <v>0</v>
      </c>
      <c r="AM359" s="34">
        <v>0</v>
      </c>
      <c r="AN359" s="34">
        <v>0</v>
      </c>
      <c r="AO359" s="34">
        <v>0</v>
      </c>
      <c r="AP359" s="10">
        <v>0</v>
      </c>
      <c r="AQ359" s="34">
        <v>0</v>
      </c>
      <c r="AR359" s="34">
        <v>0</v>
      </c>
      <c r="AS359" s="34">
        <v>0</v>
      </c>
      <c r="AT359" s="10">
        <v>0</v>
      </c>
      <c r="AU359" s="34">
        <v>0</v>
      </c>
      <c r="AV359" s="34">
        <v>0</v>
      </c>
      <c r="AW359" s="34">
        <v>0</v>
      </c>
    </row>
    <row r="360" spans="1:49">
      <c r="A360" s="48" t="s">
        <v>2204</v>
      </c>
      <c r="B360" s="33" t="s">
        <v>2205</v>
      </c>
      <c r="C360" s="34">
        <v>3.004736592</v>
      </c>
      <c r="D360" s="34">
        <v>0.20432205000000001</v>
      </c>
      <c r="E360" s="34">
        <v>3.030388598</v>
      </c>
      <c r="F360" s="34">
        <v>9.6009675120000004</v>
      </c>
      <c r="G360" s="34">
        <v>5.359039009</v>
      </c>
      <c r="H360" s="34">
        <v>4.6970388300000003</v>
      </c>
      <c r="I360" s="34">
        <v>6.5687490349999997</v>
      </c>
      <c r="J360" s="34">
        <v>18.507787874000002</v>
      </c>
      <c r="K360" s="34">
        <v>39.343661003999998</v>
      </c>
      <c r="L360" s="34">
        <v>64.038403299999999</v>
      </c>
      <c r="M360" s="34">
        <v>79.289335109000007</v>
      </c>
      <c r="Z360" s="34" t="s">
        <v>2205</v>
      </c>
      <c r="AA360" s="34">
        <v>0.45208040900000002</v>
      </c>
      <c r="AB360" s="34">
        <v>0.79505685800000003</v>
      </c>
      <c r="AC360" s="34">
        <v>1.220729959</v>
      </c>
      <c r="AD360" s="10">
        <v>0</v>
      </c>
      <c r="AE360" s="34">
        <v>1.810056187</v>
      </c>
      <c r="AF360" s="34">
        <v>2.3539741749999998</v>
      </c>
      <c r="AG360" s="34">
        <v>7.1658822229999997</v>
      </c>
      <c r="AH360" s="10">
        <v>7.4716277120000001</v>
      </c>
      <c r="AI360" s="34">
        <v>6.0731950020000003</v>
      </c>
      <c r="AJ360" s="34">
        <v>15.147353388999999</v>
      </c>
      <c r="AK360" s="34">
        <v>0</v>
      </c>
      <c r="AM360" s="34">
        <v>8.2692931789999999</v>
      </c>
      <c r="AN360" s="34">
        <v>13.395007572999999</v>
      </c>
      <c r="AO360" s="34">
        <v>0</v>
      </c>
      <c r="AP360" s="10">
        <v>0</v>
      </c>
      <c r="AQ360" s="34">
        <v>27.298038797</v>
      </c>
      <c r="AR360" s="34">
        <v>0</v>
      </c>
      <c r="AS360" s="34">
        <v>9.6240298430000006</v>
      </c>
      <c r="AT360" s="10">
        <v>30.042472461999999</v>
      </c>
      <c r="AU360" s="34">
        <v>12.683451294999999</v>
      </c>
      <c r="AV360" s="34">
        <v>18.699112353</v>
      </c>
      <c r="AW360" s="34">
        <v>8.42</v>
      </c>
    </row>
    <row r="361" spans="1:49">
      <c r="A361" s="48" t="s">
        <v>2206</v>
      </c>
      <c r="B361" s="33" t="s">
        <v>2207</v>
      </c>
      <c r="C361" s="34">
        <v>0.72489528299999995</v>
      </c>
      <c r="D361" s="34">
        <v>2.201644033</v>
      </c>
      <c r="E361" s="34">
        <v>0.33468532699999998</v>
      </c>
      <c r="F361" s="34">
        <v>0.20996796300000001</v>
      </c>
      <c r="G361" s="34">
        <v>0</v>
      </c>
      <c r="H361" s="34">
        <v>0</v>
      </c>
      <c r="I361" s="34">
        <v>0</v>
      </c>
      <c r="J361" s="34">
        <v>0</v>
      </c>
      <c r="K361" s="34">
        <v>0</v>
      </c>
      <c r="L361" s="34">
        <v>0</v>
      </c>
      <c r="M361" s="34">
        <v>0</v>
      </c>
      <c r="Z361" s="34" t="s">
        <v>2207</v>
      </c>
      <c r="AA361" s="34">
        <v>0</v>
      </c>
      <c r="AB361" s="34">
        <v>0</v>
      </c>
      <c r="AC361" s="34">
        <v>0</v>
      </c>
      <c r="AD361" s="10">
        <v>0</v>
      </c>
      <c r="AE361" s="34">
        <v>0</v>
      </c>
      <c r="AF361" s="34">
        <v>0</v>
      </c>
      <c r="AG361" s="34">
        <v>0</v>
      </c>
      <c r="AH361" s="10">
        <v>0</v>
      </c>
      <c r="AI361" s="34">
        <v>0</v>
      </c>
      <c r="AJ361" s="34">
        <v>0</v>
      </c>
      <c r="AK361" s="34">
        <v>0</v>
      </c>
      <c r="AM361" s="34">
        <v>0</v>
      </c>
      <c r="AN361" s="34">
        <v>0</v>
      </c>
      <c r="AO361" s="34">
        <v>0</v>
      </c>
      <c r="AP361" s="10">
        <v>0</v>
      </c>
      <c r="AQ361" s="34">
        <v>0</v>
      </c>
      <c r="AR361" s="34">
        <v>0</v>
      </c>
      <c r="AS361" s="34">
        <v>0</v>
      </c>
      <c r="AT361" s="10">
        <v>0</v>
      </c>
      <c r="AU361" s="34">
        <v>0</v>
      </c>
      <c r="AV361" s="34">
        <v>0</v>
      </c>
      <c r="AW361" s="34">
        <v>0</v>
      </c>
    </row>
    <row r="362" spans="1:49">
      <c r="A362" s="48" t="s">
        <v>2208</v>
      </c>
      <c r="B362" s="33" t="s">
        <v>2209</v>
      </c>
      <c r="C362" s="34">
        <v>0</v>
      </c>
      <c r="D362" s="34">
        <v>0</v>
      </c>
      <c r="E362" s="34">
        <v>0</v>
      </c>
      <c r="F362" s="34">
        <v>0</v>
      </c>
      <c r="G362" s="34">
        <v>12.769934105000001</v>
      </c>
      <c r="H362" s="34">
        <v>18.881816042000001</v>
      </c>
      <c r="I362" s="34">
        <v>25.490216365999999</v>
      </c>
      <c r="J362" s="34">
        <v>40.889055073999998</v>
      </c>
      <c r="K362" s="34">
        <v>38.114313973000002</v>
      </c>
      <c r="L362" s="34">
        <v>78.600195236999994</v>
      </c>
      <c r="M362" s="34">
        <v>82.623905230000005</v>
      </c>
      <c r="Z362" s="34" t="s">
        <v>2209</v>
      </c>
      <c r="AA362" s="34">
        <v>3.8631612299999998</v>
      </c>
      <c r="AB362" s="34">
        <v>-3.8631612299999998</v>
      </c>
      <c r="AC362" s="34">
        <v>17.085116256999999</v>
      </c>
      <c r="AD362" s="10">
        <v>0</v>
      </c>
      <c r="AE362" s="34">
        <v>9.7883379949999991</v>
      </c>
      <c r="AF362" s="34">
        <v>10.078955029999999</v>
      </c>
      <c r="AG362" s="34">
        <v>13.98841242</v>
      </c>
      <c r="AH362" s="10">
        <v>7.0333496289999999</v>
      </c>
      <c r="AI362" s="34">
        <v>8.1354644409999999</v>
      </c>
      <c r="AJ362" s="34">
        <v>-8.1354644409999999</v>
      </c>
      <c r="AK362" s="34">
        <v>0</v>
      </c>
      <c r="AM362" s="34">
        <v>12.589853356000001</v>
      </c>
      <c r="AN362" s="34">
        <v>16.831302864000001</v>
      </c>
      <c r="AO362" s="34">
        <v>0</v>
      </c>
      <c r="AP362" s="10">
        <v>0</v>
      </c>
      <c r="AQ362" s="34">
        <v>32.088341321999998</v>
      </c>
      <c r="AR362" s="34">
        <v>0</v>
      </c>
      <c r="AS362" s="34">
        <v>18.513713669000001</v>
      </c>
      <c r="AT362" s="10">
        <v>19.346205396999999</v>
      </c>
      <c r="AU362" s="34">
        <v>8.0800400270000008</v>
      </c>
      <c r="AV362" s="34">
        <v>11.423577884</v>
      </c>
      <c r="AW362" s="34">
        <v>15.16</v>
      </c>
    </row>
    <row r="363" spans="1:49">
      <c r="A363" s="48" t="s">
        <v>66</v>
      </c>
      <c r="B363" s="33" t="s">
        <v>2210</v>
      </c>
      <c r="C363" s="34">
        <v>5.8099982499999996</v>
      </c>
      <c r="D363" s="34">
        <v>0.14590715100000001</v>
      </c>
      <c r="E363" s="34">
        <v>2.519275328</v>
      </c>
      <c r="F363" s="34">
        <v>3.8800100460000002</v>
      </c>
      <c r="G363" s="34">
        <v>0.22818785999999999</v>
      </c>
      <c r="H363" s="34">
        <v>0.38057390600000002</v>
      </c>
      <c r="I363" s="34">
        <v>0.21936243899999999</v>
      </c>
      <c r="J363" s="34">
        <v>1.146061456</v>
      </c>
      <c r="K363" s="34">
        <v>0.43709385699999997</v>
      </c>
      <c r="L363" s="34">
        <v>1.22077335</v>
      </c>
      <c r="M363" s="34">
        <v>1.5464627689999999</v>
      </c>
      <c r="Z363" s="34" t="s">
        <v>2210</v>
      </c>
      <c r="AA363" s="34">
        <v>8.1654531000000002E-2</v>
      </c>
      <c r="AB363" s="34">
        <v>9.4632392989999996</v>
      </c>
      <c r="AC363" s="34">
        <v>-9.3623656089999994</v>
      </c>
      <c r="AD363" s="10">
        <v>0</v>
      </c>
      <c r="AE363" s="34">
        <v>6.2861667999999996E-2</v>
      </c>
      <c r="AF363" s="34">
        <v>0.18139942000000001</v>
      </c>
      <c r="AG363" s="34">
        <v>0.17166505100000001</v>
      </c>
      <c r="AH363" s="10">
        <v>0.17884272100000001</v>
      </c>
      <c r="AI363" s="34">
        <v>0.148199099</v>
      </c>
      <c r="AJ363" s="34">
        <v>20.498752816</v>
      </c>
      <c r="AK363" s="34">
        <v>20.806711141000001</v>
      </c>
      <c r="AM363" s="34">
        <v>3.7005459269999998</v>
      </c>
      <c r="AN363" s="34">
        <v>-3.5413939550000002</v>
      </c>
      <c r="AO363" s="34">
        <v>0</v>
      </c>
      <c r="AP363" s="10">
        <v>0</v>
      </c>
      <c r="AQ363" s="34">
        <v>13.830889358</v>
      </c>
      <c r="AR363" s="34">
        <v>0</v>
      </c>
      <c r="AS363" s="34">
        <v>2.039402597</v>
      </c>
      <c r="AT363" s="10">
        <v>1.6748273309999999</v>
      </c>
      <c r="AU363" s="34">
        <v>1.2533414329999999</v>
      </c>
      <c r="AV363" s="34">
        <v>5.0631085669999996</v>
      </c>
      <c r="AW363" s="34">
        <v>4.03</v>
      </c>
    </row>
    <row r="364" spans="1:49" s="41" customFormat="1">
      <c r="A364" s="40" t="s">
        <v>1636</v>
      </c>
      <c r="B364" s="40" t="s">
        <v>1637</v>
      </c>
      <c r="C364" s="41">
        <v>32.656914245999999</v>
      </c>
      <c r="D364" s="41">
        <v>36.242918381999999</v>
      </c>
      <c r="E364" s="41">
        <v>42.670207785999999</v>
      </c>
      <c r="F364" s="41">
        <v>40.204938067999997</v>
      </c>
      <c r="G364" s="41">
        <v>27.940966967000001</v>
      </c>
      <c r="H364" s="41">
        <v>23.869055498000002</v>
      </c>
      <c r="I364" s="41">
        <v>38.818358717999999</v>
      </c>
      <c r="J364" s="41">
        <v>51.400224745999999</v>
      </c>
      <c r="K364" s="41">
        <v>33.181287472999998</v>
      </c>
      <c r="L364" s="41">
        <v>42.367478869000003</v>
      </c>
      <c r="M364" s="41">
        <v>144.032907196</v>
      </c>
      <c r="O364" s="7"/>
      <c r="P364" s="7"/>
      <c r="Z364" s="41" t="s">
        <v>1637</v>
      </c>
      <c r="AA364" s="41">
        <v>7.5655917439999998</v>
      </c>
      <c r="AB364" s="41">
        <v>7.2118680030000002</v>
      </c>
      <c r="AC364" s="41">
        <v>11.052774256999999</v>
      </c>
      <c r="AD364" s="11">
        <v>12.985517095000001</v>
      </c>
      <c r="AE364" s="41">
        <v>11.865111711999999</v>
      </c>
      <c r="AF364" s="41">
        <v>18.042870157999999</v>
      </c>
      <c r="AG364" s="41">
        <v>19.040261604000001</v>
      </c>
      <c r="AH364" s="11">
        <v>3.6794758409999999</v>
      </c>
      <c r="AI364" s="41">
        <v>12.636189419999999</v>
      </c>
      <c r="AJ364" s="41">
        <v>9.4605480190000009</v>
      </c>
      <c r="AK364" s="41">
        <v>12.002124713000001</v>
      </c>
      <c r="AL364" s="11"/>
      <c r="AM364" s="41">
        <v>5.5847865480000003</v>
      </c>
      <c r="AN364" s="41">
        <v>6.3912285229999997</v>
      </c>
      <c r="AO364" s="41">
        <v>8.6357172569999996</v>
      </c>
      <c r="AP364" s="11">
        <v>21.755746541000001</v>
      </c>
      <c r="AQ364" s="41">
        <v>15.388422713000001</v>
      </c>
      <c r="AR364" s="41">
        <v>24.9879453</v>
      </c>
      <c r="AS364" s="41">
        <v>30.156690248</v>
      </c>
      <c r="AT364" s="11">
        <v>73.499848935000003</v>
      </c>
      <c r="AU364" s="41">
        <v>26.572395303</v>
      </c>
      <c r="AV364" s="41">
        <v>45.568525713</v>
      </c>
      <c r="AW364" s="41">
        <v>38.44</v>
      </c>
    </row>
    <row r="365" spans="1:49">
      <c r="A365" s="33" t="s">
        <v>2211</v>
      </c>
      <c r="B365" s="33" t="s">
        <v>2212</v>
      </c>
      <c r="C365" s="34">
        <v>27.224105650999999</v>
      </c>
      <c r="D365" s="34">
        <v>34.202162864999998</v>
      </c>
      <c r="E365" s="34">
        <v>25.117089461999999</v>
      </c>
      <c r="F365" s="34">
        <v>23.133793052000001</v>
      </c>
      <c r="G365" s="34">
        <v>22.795497880999999</v>
      </c>
      <c r="H365" s="34">
        <v>22.611716336000001</v>
      </c>
      <c r="I365" s="34">
        <v>32.134890085000002</v>
      </c>
      <c r="J365" s="34">
        <v>47.582349663999999</v>
      </c>
      <c r="K365" s="34">
        <v>27.018043416000001</v>
      </c>
      <c r="L365" s="34">
        <v>31.886522705000001</v>
      </c>
      <c r="M365" s="34">
        <v>94.462125254</v>
      </c>
      <c r="Z365" s="34" t="s">
        <v>2212</v>
      </c>
      <c r="AA365" s="34">
        <v>7.3885506379999999</v>
      </c>
      <c r="AB365" s="34">
        <v>6.5825805119999998</v>
      </c>
      <c r="AC365" s="34">
        <v>5.7743399350000004</v>
      </c>
      <c r="AD365" s="10">
        <v>12.373313496</v>
      </c>
      <c r="AE365" s="34">
        <v>11.655150828</v>
      </c>
      <c r="AF365" s="34">
        <v>15.389230889</v>
      </c>
      <c r="AG365" s="34">
        <v>11.71052789</v>
      </c>
      <c r="AH365" s="10">
        <v>8.8274400570000005</v>
      </c>
      <c r="AI365" s="34">
        <v>10.48468473</v>
      </c>
      <c r="AJ365" s="34">
        <v>7.7871945980000001</v>
      </c>
      <c r="AK365" s="34">
        <v>6.3917470549999997</v>
      </c>
      <c r="AM365" s="34">
        <v>5.5325722600000002</v>
      </c>
      <c r="AN365" s="34">
        <v>5.9143162929999997</v>
      </c>
      <c r="AO365" s="34">
        <v>8.4341058950000001</v>
      </c>
      <c r="AP365" s="10">
        <v>12.005528257</v>
      </c>
      <c r="AQ365" s="34">
        <v>13.822439606</v>
      </c>
      <c r="AR365" s="34">
        <v>21.826082442000001</v>
      </c>
      <c r="AS365" s="34">
        <v>21.773196287000001</v>
      </c>
      <c r="AT365" s="10">
        <v>41.567513759000001</v>
      </c>
      <c r="AU365" s="34">
        <v>24.134120926000001</v>
      </c>
      <c r="AV365" s="34">
        <v>44.523722853999999</v>
      </c>
      <c r="AW365" s="34">
        <v>30.68</v>
      </c>
    </row>
    <row r="366" spans="1:49">
      <c r="A366" s="33" t="s">
        <v>2213</v>
      </c>
      <c r="B366" s="33" t="s">
        <v>2214</v>
      </c>
      <c r="C366" s="34">
        <v>0</v>
      </c>
      <c r="D366" s="34">
        <v>0</v>
      </c>
      <c r="E366" s="34">
        <v>14.373451234999999</v>
      </c>
      <c r="F366" s="34">
        <v>6.7043280120000004</v>
      </c>
      <c r="G366" s="34">
        <v>0.297487271</v>
      </c>
      <c r="H366" s="34">
        <v>0</v>
      </c>
      <c r="I366" s="34">
        <v>0</v>
      </c>
      <c r="J366" s="34">
        <v>0</v>
      </c>
      <c r="K366" s="34">
        <v>0</v>
      </c>
      <c r="L366" s="34">
        <v>0</v>
      </c>
      <c r="M366" s="34">
        <v>0</v>
      </c>
      <c r="Z366" s="34" t="s">
        <v>2214</v>
      </c>
      <c r="AA366" s="34">
        <v>0</v>
      </c>
      <c r="AB366" s="34">
        <v>0</v>
      </c>
      <c r="AC366" s="34">
        <v>0</v>
      </c>
      <c r="AD366" s="10">
        <v>0</v>
      </c>
      <c r="AE366" s="34">
        <v>0</v>
      </c>
      <c r="AF366" s="34">
        <v>0</v>
      </c>
      <c r="AG366" s="34">
        <v>0</v>
      </c>
      <c r="AH366" s="10">
        <v>0</v>
      </c>
      <c r="AI366" s="34">
        <v>0</v>
      </c>
      <c r="AJ366" s="34">
        <v>0</v>
      </c>
      <c r="AK366" s="34">
        <v>0</v>
      </c>
      <c r="AM366" s="34">
        <v>0</v>
      </c>
      <c r="AN366" s="34">
        <v>0</v>
      </c>
      <c r="AO366" s="34">
        <v>0</v>
      </c>
      <c r="AP366" s="10">
        <v>1.759749298</v>
      </c>
      <c r="AQ366" s="34">
        <v>9.5084200000000001E-3</v>
      </c>
      <c r="AR366" s="34">
        <v>-9.5084200000000001E-3</v>
      </c>
      <c r="AS366" s="34">
        <v>1.4092546800000001</v>
      </c>
      <c r="AT366" s="10">
        <v>8.9296801999999995E-2</v>
      </c>
      <c r="AU366" s="34">
        <v>1.3137324000000001E-2</v>
      </c>
      <c r="AV366" s="34">
        <v>-1.3137324000000001E-2</v>
      </c>
      <c r="AW366" s="34">
        <v>0.06</v>
      </c>
    </row>
    <row r="367" spans="1:49">
      <c r="A367" s="33" t="s">
        <v>2215</v>
      </c>
      <c r="B367" s="33" t="s">
        <v>2216</v>
      </c>
      <c r="C367" s="34">
        <v>0</v>
      </c>
      <c r="D367" s="34">
        <v>0</v>
      </c>
      <c r="E367" s="34">
        <v>0</v>
      </c>
      <c r="F367" s="34">
        <v>0</v>
      </c>
      <c r="G367" s="34">
        <v>0</v>
      </c>
      <c r="H367" s="34">
        <v>0</v>
      </c>
      <c r="I367" s="34">
        <v>0</v>
      </c>
      <c r="J367" s="34">
        <v>0</v>
      </c>
      <c r="K367" s="34">
        <v>0</v>
      </c>
      <c r="L367" s="34">
        <v>0</v>
      </c>
      <c r="M367" s="34">
        <v>0</v>
      </c>
      <c r="Z367" s="34" t="s">
        <v>2216</v>
      </c>
      <c r="AA367" s="34">
        <v>0</v>
      </c>
      <c r="AB367" s="34">
        <v>0</v>
      </c>
      <c r="AC367" s="34">
        <v>0</v>
      </c>
      <c r="AD367" s="10">
        <v>0</v>
      </c>
      <c r="AE367" s="34">
        <v>0</v>
      </c>
      <c r="AF367" s="34">
        <v>0</v>
      </c>
      <c r="AG367" s="34">
        <v>0</v>
      </c>
      <c r="AH367" s="10">
        <v>0</v>
      </c>
      <c r="AI367" s="34">
        <v>0</v>
      </c>
      <c r="AJ367" s="34">
        <v>0</v>
      </c>
      <c r="AK367" s="34">
        <v>0</v>
      </c>
      <c r="AM367" s="34">
        <v>0</v>
      </c>
      <c r="AN367" s="34">
        <v>0</v>
      </c>
      <c r="AO367" s="34">
        <v>0</v>
      </c>
      <c r="AP367" s="10">
        <v>0</v>
      </c>
      <c r="AQ367" s="34">
        <v>0</v>
      </c>
      <c r="AR367" s="34">
        <v>0</v>
      </c>
      <c r="AS367" s="34">
        <v>0</v>
      </c>
      <c r="AT367" s="10">
        <v>0</v>
      </c>
      <c r="AU367" s="34">
        <v>0</v>
      </c>
      <c r="AV367" s="34">
        <v>0</v>
      </c>
      <c r="AW367" s="34">
        <v>0</v>
      </c>
    </row>
    <row r="368" spans="1:49">
      <c r="A368" s="33" t="s">
        <v>2217</v>
      </c>
      <c r="B368" s="33" t="s">
        <v>2218</v>
      </c>
      <c r="C368" s="34">
        <v>0</v>
      </c>
      <c r="D368" s="34">
        <v>0</v>
      </c>
      <c r="E368" s="34">
        <v>0</v>
      </c>
      <c r="F368" s="34">
        <v>0</v>
      </c>
      <c r="G368" s="34">
        <v>0</v>
      </c>
      <c r="H368" s="34">
        <v>0</v>
      </c>
      <c r="I368" s="34">
        <v>0</v>
      </c>
      <c r="J368" s="34">
        <v>0</v>
      </c>
      <c r="K368" s="34">
        <v>0</v>
      </c>
      <c r="L368" s="34">
        <v>0</v>
      </c>
      <c r="M368" s="34">
        <v>0</v>
      </c>
      <c r="Z368" s="34" t="s">
        <v>2218</v>
      </c>
      <c r="AA368" s="34">
        <v>0</v>
      </c>
      <c r="AB368" s="34">
        <v>0</v>
      </c>
      <c r="AC368" s="34">
        <v>0</v>
      </c>
      <c r="AD368" s="10">
        <v>0</v>
      </c>
      <c r="AE368" s="34">
        <v>0</v>
      </c>
      <c r="AF368" s="34">
        <v>0</v>
      </c>
      <c r="AG368" s="34">
        <v>0</v>
      </c>
      <c r="AH368" s="10">
        <v>0</v>
      </c>
      <c r="AI368" s="34">
        <v>0</v>
      </c>
      <c r="AJ368" s="34">
        <v>0</v>
      </c>
      <c r="AK368" s="34">
        <v>0</v>
      </c>
      <c r="AM368" s="34">
        <v>0</v>
      </c>
      <c r="AN368" s="34">
        <v>0</v>
      </c>
      <c r="AO368" s="34">
        <v>0</v>
      </c>
      <c r="AP368" s="10">
        <v>0</v>
      </c>
      <c r="AQ368" s="34">
        <v>0</v>
      </c>
      <c r="AR368" s="34">
        <v>0</v>
      </c>
      <c r="AS368" s="34">
        <v>0</v>
      </c>
      <c r="AT368" s="10">
        <v>0</v>
      </c>
      <c r="AU368" s="34">
        <v>0</v>
      </c>
      <c r="AV368" s="34">
        <v>0</v>
      </c>
      <c r="AW368" s="34">
        <v>0</v>
      </c>
    </row>
    <row r="369" spans="1:49">
      <c r="A369" s="33" t="s">
        <v>2219</v>
      </c>
      <c r="B369" s="33" t="s">
        <v>2220</v>
      </c>
      <c r="C369" s="34">
        <v>4.9958513179999997</v>
      </c>
      <c r="D369" s="34">
        <v>2.040755517</v>
      </c>
      <c r="E369" s="34">
        <v>3.1634754699999998</v>
      </c>
      <c r="F369" s="34">
        <v>10.366817004</v>
      </c>
      <c r="G369" s="34">
        <v>4.4520679840000001</v>
      </c>
      <c r="H369" s="34">
        <v>0.68846928900000004</v>
      </c>
      <c r="I369" s="34">
        <v>6.2205840449999998</v>
      </c>
      <c r="J369" s="34">
        <v>2.5314755369999999</v>
      </c>
      <c r="K369" s="34">
        <v>5.6382743389999996</v>
      </c>
      <c r="L369" s="34">
        <v>8.6576773639999995</v>
      </c>
      <c r="M369" s="34">
        <v>47.936163579000002</v>
      </c>
      <c r="Z369" s="34" t="s">
        <v>2220</v>
      </c>
      <c r="AA369" s="34">
        <v>0.15047084199999999</v>
      </c>
      <c r="AB369" s="34">
        <v>0.54349226900000003</v>
      </c>
      <c r="AC369" s="34">
        <v>5.1290451240000001</v>
      </c>
      <c r="AD369" s="10">
        <v>0.61220359899999999</v>
      </c>
      <c r="AE369" s="34">
        <v>3.3559919000000001E-2</v>
      </c>
      <c r="AF369" s="34">
        <v>2.3770529809999998</v>
      </c>
      <c r="AG369" s="34">
        <v>7.0572557460000001</v>
      </c>
      <c r="AH369" s="10">
        <v>-6.5827432750000003</v>
      </c>
      <c r="AI369" s="34">
        <v>2.1124484360000002</v>
      </c>
      <c r="AJ369" s="34">
        <v>1.648669706</v>
      </c>
      <c r="AK369" s="34">
        <v>0</v>
      </c>
      <c r="AM369" s="34">
        <v>5.2214287999999998E-2</v>
      </c>
      <c r="AN369" s="34">
        <v>9.5490164000000002E-2</v>
      </c>
      <c r="AO369" s="34">
        <v>0.20161136199999999</v>
      </c>
      <c r="AP369" s="10">
        <v>8.3472961740000002</v>
      </c>
      <c r="AQ369" s="34">
        <v>1.548054139</v>
      </c>
      <c r="AR369" s="34">
        <v>2.458214613</v>
      </c>
      <c r="AS369" s="34">
        <v>7.4586434500000003</v>
      </c>
      <c r="AT369" s="10">
        <v>36.471251377000002</v>
      </c>
      <c r="AU369" s="34">
        <v>2.407390929</v>
      </c>
      <c r="AV369" s="34">
        <v>0.69904853600000005</v>
      </c>
      <c r="AW369" s="34">
        <v>7.34</v>
      </c>
    </row>
    <row r="370" spans="1:49">
      <c r="A370" s="33" t="s">
        <v>2221</v>
      </c>
      <c r="B370" s="33" t="s">
        <v>2222</v>
      </c>
      <c r="C370" s="34">
        <v>0</v>
      </c>
      <c r="D370" s="34">
        <v>0</v>
      </c>
      <c r="E370" s="34">
        <v>0</v>
      </c>
      <c r="F370" s="34">
        <v>0</v>
      </c>
      <c r="G370" s="34">
        <v>0.39591383099999999</v>
      </c>
      <c r="H370" s="34">
        <v>0</v>
      </c>
      <c r="I370" s="34">
        <v>0</v>
      </c>
      <c r="J370" s="34">
        <v>0</v>
      </c>
      <c r="K370" s="34">
        <v>0</v>
      </c>
      <c r="L370" s="34">
        <v>0</v>
      </c>
      <c r="M370" s="34">
        <v>0</v>
      </c>
      <c r="Z370" s="34" t="s">
        <v>2222</v>
      </c>
      <c r="AA370" s="34">
        <v>0</v>
      </c>
      <c r="AB370" s="34">
        <v>0</v>
      </c>
      <c r="AC370" s="34">
        <v>0</v>
      </c>
      <c r="AD370" s="10">
        <v>0</v>
      </c>
      <c r="AE370" s="34">
        <v>0</v>
      </c>
      <c r="AF370" s="34">
        <v>0</v>
      </c>
      <c r="AG370" s="34">
        <v>0</v>
      </c>
      <c r="AH370" s="10">
        <v>0</v>
      </c>
      <c r="AI370" s="34">
        <v>0</v>
      </c>
      <c r="AJ370" s="34">
        <v>0</v>
      </c>
      <c r="AK370" s="34">
        <v>0</v>
      </c>
      <c r="AM370" s="34">
        <v>0</v>
      </c>
      <c r="AN370" s="34">
        <v>0</v>
      </c>
      <c r="AO370" s="34">
        <v>0</v>
      </c>
      <c r="AP370" s="10">
        <v>0</v>
      </c>
      <c r="AQ370" s="34">
        <v>0</v>
      </c>
      <c r="AR370" s="34">
        <v>0</v>
      </c>
      <c r="AS370" s="34">
        <v>0</v>
      </c>
      <c r="AT370" s="10">
        <v>0</v>
      </c>
      <c r="AU370" s="34">
        <v>0</v>
      </c>
      <c r="AV370" s="34">
        <v>0</v>
      </c>
      <c r="AW370" s="34">
        <v>0</v>
      </c>
    </row>
    <row r="371" spans="1:49">
      <c r="A371" s="33" t="s">
        <v>2223</v>
      </c>
      <c r="B371" s="33" t="s">
        <v>2224</v>
      </c>
      <c r="C371" s="34">
        <v>0</v>
      </c>
      <c r="D371" s="34">
        <v>0</v>
      </c>
      <c r="E371" s="34">
        <v>0</v>
      </c>
      <c r="F371" s="34">
        <v>0</v>
      </c>
      <c r="G371" s="34">
        <v>0</v>
      </c>
      <c r="H371" s="34">
        <v>0</v>
      </c>
      <c r="I371" s="34">
        <v>0</v>
      </c>
      <c r="J371" s="34">
        <v>0</v>
      </c>
      <c r="K371" s="34">
        <v>0</v>
      </c>
      <c r="L371" s="34">
        <v>0</v>
      </c>
      <c r="M371" s="34">
        <v>0</v>
      </c>
      <c r="Z371" s="34" t="s">
        <v>2224</v>
      </c>
      <c r="AA371" s="34">
        <v>0</v>
      </c>
      <c r="AB371" s="34">
        <v>0</v>
      </c>
      <c r="AC371" s="34">
        <v>0</v>
      </c>
      <c r="AD371" s="10">
        <v>0</v>
      </c>
      <c r="AE371" s="34">
        <v>0</v>
      </c>
      <c r="AF371" s="34">
        <v>0</v>
      </c>
      <c r="AG371" s="34">
        <v>0</v>
      </c>
      <c r="AH371" s="10">
        <v>0</v>
      </c>
      <c r="AI371" s="34">
        <v>0</v>
      </c>
      <c r="AJ371" s="34">
        <v>0</v>
      </c>
      <c r="AK371" s="34">
        <v>0</v>
      </c>
      <c r="AM371" s="34">
        <v>0</v>
      </c>
      <c r="AN371" s="34">
        <v>0</v>
      </c>
      <c r="AO371" s="34">
        <v>0</v>
      </c>
      <c r="AP371" s="10">
        <v>0</v>
      </c>
      <c r="AQ371" s="34">
        <v>0</v>
      </c>
      <c r="AR371" s="34">
        <v>0</v>
      </c>
      <c r="AS371" s="34">
        <v>0</v>
      </c>
      <c r="AT371" s="10">
        <v>0</v>
      </c>
      <c r="AU371" s="34">
        <v>0</v>
      </c>
      <c r="AV371" s="34">
        <v>0</v>
      </c>
      <c r="AW371" s="34">
        <v>0</v>
      </c>
    </row>
    <row r="372" spans="1:49">
      <c r="A372" s="33" t="s">
        <v>66</v>
      </c>
      <c r="B372" s="33" t="s">
        <v>2225</v>
      </c>
      <c r="C372" s="34">
        <v>0.43695727699999998</v>
      </c>
      <c r="D372" s="34">
        <v>0</v>
      </c>
      <c r="E372" s="34">
        <v>1.6191619000000001E-2</v>
      </c>
      <c r="F372" s="34">
        <v>0</v>
      </c>
      <c r="G372" s="34">
        <v>0</v>
      </c>
      <c r="H372" s="34">
        <v>0.56886987300000003</v>
      </c>
      <c r="I372" s="34">
        <v>0.46288458799999999</v>
      </c>
      <c r="J372" s="34">
        <v>1.2863995450000001</v>
      </c>
      <c r="K372" s="34">
        <v>0.52496971800000003</v>
      </c>
      <c r="L372" s="34">
        <v>1.8232788</v>
      </c>
      <c r="M372" s="34">
        <v>1.634618363</v>
      </c>
      <c r="Z372" s="34" t="s">
        <v>2225</v>
      </c>
      <c r="AA372" s="34">
        <v>2.6570264E-2</v>
      </c>
      <c r="AB372" s="34">
        <v>8.5795222000000004E-2</v>
      </c>
      <c r="AC372" s="34">
        <v>0.149389198</v>
      </c>
      <c r="AD372" s="10">
        <v>0</v>
      </c>
      <c r="AE372" s="34">
        <v>0.17640096499999999</v>
      </c>
      <c r="AF372" s="34">
        <v>0.27658628800000001</v>
      </c>
      <c r="AG372" s="34">
        <v>0.27247796800000001</v>
      </c>
      <c r="AH372" s="10">
        <v>1.434779059</v>
      </c>
      <c r="AI372" s="34">
        <v>3.9056253999999999E-2</v>
      </c>
      <c r="AJ372" s="34">
        <v>2.4683714999999998E-2</v>
      </c>
      <c r="AK372" s="34">
        <v>5.610377658</v>
      </c>
      <c r="AM372" s="34">
        <v>0</v>
      </c>
      <c r="AN372" s="34">
        <v>0.381422066</v>
      </c>
      <c r="AO372" s="34">
        <v>0</v>
      </c>
      <c r="AP372" s="10">
        <v>-0.35682718800000002</v>
      </c>
      <c r="AQ372" s="34">
        <v>8.4205479999999999E-3</v>
      </c>
      <c r="AR372" s="34">
        <v>0.71315666499999997</v>
      </c>
      <c r="AS372" s="34">
        <v>-0.484404169</v>
      </c>
      <c r="AT372" s="10">
        <v>-4.6282130029999999</v>
      </c>
      <c r="AU372" s="34">
        <v>1.7746123999999999E-2</v>
      </c>
      <c r="AV372" s="34">
        <v>0.35889164699999998</v>
      </c>
      <c r="AW372" s="34">
        <v>0.36</v>
      </c>
    </row>
    <row r="373" spans="1:49">
      <c r="A373" s="33" t="s">
        <v>2226</v>
      </c>
      <c r="B373" s="33" t="s">
        <v>2227</v>
      </c>
      <c r="C373" s="34">
        <v>0</v>
      </c>
      <c r="D373" s="34">
        <v>0</v>
      </c>
      <c r="E373" s="34">
        <v>4750.4179323130002</v>
      </c>
      <c r="F373" s="34">
        <v>4049.656179095</v>
      </c>
      <c r="G373" s="34">
        <v>3708.404466079</v>
      </c>
      <c r="H373" s="34">
        <v>3727.8420330280001</v>
      </c>
      <c r="I373" s="34">
        <v>5794.2332863279998</v>
      </c>
      <c r="J373" s="34">
        <v>8288.7521525489992</v>
      </c>
      <c r="K373" s="34">
        <v>12257.431377784</v>
      </c>
      <c r="L373" s="34">
        <v>20236.806132762998</v>
      </c>
      <c r="M373" s="34">
        <v>21223.078481451001</v>
      </c>
      <c r="Z373" s="34" t="s">
        <v>2227</v>
      </c>
      <c r="AA373" s="34">
        <v>1237.9728642959999</v>
      </c>
      <c r="AB373" s="34">
        <v>1342.5848227030001</v>
      </c>
      <c r="AC373" s="34">
        <v>1700.417464334</v>
      </c>
      <c r="AD373" s="10">
        <v>0</v>
      </c>
      <c r="AE373" s="34">
        <v>1343.771733845</v>
      </c>
      <c r="AF373" s="34">
        <v>1952.702645978</v>
      </c>
      <c r="AG373" s="34">
        <v>2554.4234015900001</v>
      </c>
      <c r="AH373" s="10">
        <v>2441.3935950290002</v>
      </c>
      <c r="AI373" s="34">
        <v>2259.7290920189998</v>
      </c>
      <c r="AJ373" s="34">
        <v>2537.1706562899999</v>
      </c>
      <c r="AK373" s="34">
        <v>3538.408305767</v>
      </c>
      <c r="AM373" s="34">
        <v>4889.8401409580001</v>
      </c>
      <c r="AN373" s="34">
        <v>0</v>
      </c>
      <c r="AO373" s="34">
        <v>0</v>
      </c>
      <c r="AP373" s="10">
        <v>20281.956700878</v>
      </c>
      <c r="AQ373" s="34">
        <v>6798.9252815990003</v>
      </c>
      <c r="AR373" s="34">
        <v>0</v>
      </c>
      <c r="AS373" s="34">
        <v>17385.580113563999</v>
      </c>
      <c r="AT373" s="10">
        <v>3868.7573463980002</v>
      </c>
      <c r="AU373" s="34">
        <v>3863.1240407939999</v>
      </c>
      <c r="AV373" s="34">
        <v>-3863.1240407939999</v>
      </c>
      <c r="AW373" s="34">
        <v>0</v>
      </c>
    </row>
    <row r="374" spans="1:49">
      <c r="A374" s="33" t="s">
        <v>2020</v>
      </c>
      <c r="B374" s="33" t="s">
        <v>2228</v>
      </c>
      <c r="C374" s="34">
        <v>0</v>
      </c>
      <c r="D374" s="34">
        <v>0</v>
      </c>
      <c r="E374" s="34">
        <v>4592.1222847210001</v>
      </c>
      <c r="F374" s="34">
        <v>3947.6915441800002</v>
      </c>
      <c r="G374" s="34">
        <v>3559.8150145250002</v>
      </c>
      <c r="H374" s="34">
        <v>3543.591636657</v>
      </c>
      <c r="I374" s="34">
        <v>5568.2962035580003</v>
      </c>
      <c r="J374" s="34">
        <v>7939.942178839</v>
      </c>
      <c r="K374" s="34">
        <v>11732.855520719</v>
      </c>
      <c r="L374" s="34">
        <v>19414.819300276002</v>
      </c>
      <c r="M374" s="34">
        <v>20396.747935946001</v>
      </c>
      <c r="Z374" s="34" t="s">
        <v>2228</v>
      </c>
      <c r="AA374" s="34">
        <v>1194.440146724</v>
      </c>
      <c r="AB374" s="34">
        <v>1288.6159055430001</v>
      </c>
      <c r="AC374" s="34">
        <v>1644.6036681830001</v>
      </c>
      <c r="AD374" s="10">
        <v>0</v>
      </c>
      <c r="AE374" s="34">
        <v>1291.0731659749999</v>
      </c>
      <c r="AF374" s="34">
        <v>1881.040684173</v>
      </c>
      <c r="AG374" s="34">
        <v>2437.1383368000002</v>
      </c>
      <c r="AH374" s="10">
        <v>2333.6025072960001</v>
      </c>
      <c r="AI374" s="34">
        <v>2167.4511783439998</v>
      </c>
      <c r="AJ374" s="34">
        <v>2416.432847947</v>
      </c>
      <c r="AK374" s="34">
        <v>3386.3215428670001</v>
      </c>
      <c r="AM374" s="34">
        <v>4687.7688930450004</v>
      </c>
      <c r="AN374" s="34">
        <v>0</v>
      </c>
      <c r="AO374" s="34">
        <v>0</v>
      </c>
      <c r="AP374" s="10">
        <v>19459.969868390999</v>
      </c>
      <c r="AQ374" s="34">
        <v>6542.2475455399999</v>
      </c>
      <c r="AR374" s="34">
        <v>0</v>
      </c>
      <c r="AS374" s="34">
        <v>16791.448051130999</v>
      </c>
      <c r="AT374" s="10">
        <v>3605.299884815</v>
      </c>
      <c r="AU374" s="34">
        <v>3699.1936032409999</v>
      </c>
      <c r="AV374" s="34">
        <v>-3699.1936032409999</v>
      </c>
      <c r="AW374" s="34">
        <v>0</v>
      </c>
    </row>
    <row r="375" spans="1:49">
      <c r="A375" s="33" t="s">
        <v>2229</v>
      </c>
      <c r="B375" s="33" t="s">
        <v>2230</v>
      </c>
      <c r="C375" s="34">
        <v>0</v>
      </c>
      <c r="D375" s="34">
        <v>0</v>
      </c>
      <c r="E375" s="34">
        <v>31.910685821000001</v>
      </c>
      <c r="F375" s="34">
        <v>59.872524634999998</v>
      </c>
      <c r="G375" s="34">
        <v>83.687011532</v>
      </c>
      <c r="H375" s="34">
        <v>80.289262777000005</v>
      </c>
      <c r="I375" s="34">
        <v>105.16759415200001</v>
      </c>
      <c r="J375" s="34">
        <v>97.232537395999998</v>
      </c>
      <c r="K375" s="34">
        <v>89.170065352999998</v>
      </c>
      <c r="L375" s="34">
        <v>108.947033874</v>
      </c>
      <c r="M375" s="34">
        <v>120.56499766100001</v>
      </c>
      <c r="Z375" s="34" t="s">
        <v>2230</v>
      </c>
      <c r="AA375" s="34">
        <v>24.122998602999999</v>
      </c>
      <c r="AB375" s="34">
        <v>29.131756605</v>
      </c>
      <c r="AC375" s="34">
        <v>16.594169815000001</v>
      </c>
      <c r="AD375" s="10">
        <v>0</v>
      </c>
      <c r="AE375" s="34">
        <v>19.333023308000001</v>
      </c>
      <c r="AF375" s="34">
        <v>18.880304536000001</v>
      </c>
      <c r="AG375" s="34">
        <v>24.363307705</v>
      </c>
      <c r="AH375" s="10">
        <v>32.969986433999999</v>
      </c>
      <c r="AI375" s="34">
        <v>24.306640271999999</v>
      </c>
      <c r="AJ375" s="34">
        <v>21.852612548</v>
      </c>
      <c r="AK375" s="34">
        <v>21.808963940000002</v>
      </c>
      <c r="AM375" s="34">
        <v>26.104268786999999</v>
      </c>
      <c r="AN375" s="34">
        <v>0</v>
      </c>
      <c r="AO375" s="34">
        <v>0</v>
      </c>
      <c r="AP375" s="10">
        <v>108.947033874</v>
      </c>
      <c r="AQ375" s="34">
        <v>23.876364677000002</v>
      </c>
      <c r="AR375" s="34">
        <v>0</v>
      </c>
      <c r="AS375" s="34">
        <v>87.307407210999997</v>
      </c>
      <c r="AT375" s="10">
        <v>33.257590450000002</v>
      </c>
      <c r="AU375" s="34">
        <v>35.767379290000001</v>
      </c>
      <c r="AV375" s="34">
        <v>-35.767379290000001</v>
      </c>
      <c r="AW375" s="34">
        <v>0</v>
      </c>
    </row>
    <row r="376" spans="1:49">
      <c r="A376" s="33" t="s">
        <v>2231</v>
      </c>
      <c r="B376" s="33" t="s">
        <v>2232</v>
      </c>
      <c r="C376" s="34">
        <v>0</v>
      </c>
      <c r="D376" s="34">
        <v>0</v>
      </c>
      <c r="E376" s="34">
        <v>2.954082262</v>
      </c>
      <c r="F376" s="34">
        <v>3.2516758590000001</v>
      </c>
      <c r="G376" s="34">
        <v>4.0039349849999999</v>
      </c>
      <c r="H376" s="34">
        <v>4.800459214</v>
      </c>
      <c r="I376" s="34">
        <v>5.4616505210000001</v>
      </c>
      <c r="J376" s="34">
        <v>6.2180324650000003</v>
      </c>
      <c r="K376" s="34">
        <v>53.449873859</v>
      </c>
      <c r="L376" s="34">
        <v>6.2896370959999999</v>
      </c>
      <c r="M376" s="34">
        <v>8.6832359140000008</v>
      </c>
      <c r="Z376" s="34" t="s">
        <v>2232</v>
      </c>
      <c r="AA376" s="34">
        <v>1.257884437</v>
      </c>
      <c r="AB376" s="34">
        <v>1.350843813</v>
      </c>
      <c r="AC376" s="34">
        <v>0.96190543900000003</v>
      </c>
      <c r="AD376" s="10">
        <v>0</v>
      </c>
      <c r="AE376" s="34">
        <v>1.165262416</v>
      </c>
      <c r="AF376" s="34">
        <v>1.4573045920000001</v>
      </c>
      <c r="AG376" s="34">
        <v>0.92893233500000005</v>
      </c>
      <c r="AH376" s="10">
        <v>1.274143384</v>
      </c>
      <c r="AI376" s="34">
        <v>1.1913830780000001</v>
      </c>
      <c r="AJ376" s="34">
        <v>1.645849264</v>
      </c>
      <c r="AK376" s="34">
        <v>1.7363531800000001</v>
      </c>
      <c r="AM376" s="34">
        <v>1.389706141</v>
      </c>
      <c r="AN376" s="34">
        <v>0</v>
      </c>
      <c r="AO376" s="34">
        <v>0</v>
      </c>
      <c r="AP376" s="10">
        <v>5.7143571240000002</v>
      </c>
      <c r="AQ376" s="34">
        <v>1.767211047</v>
      </c>
      <c r="AR376" s="34">
        <v>0</v>
      </c>
      <c r="AS376" s="34">
        <v>5.9589712590000001</v>
      </c>
      <c r="AT376" s="10">
        <v>6.8764603099999997</v>
      </c>
      <c r="AU376" s="34">
        <v>9.4308592939999993</v>
      </c>
      <c r="AV376" s="34">
        <v>-9.4308592939999993</v>
      </c>
      <c r="AW376" s="34">
        <v>0</v>
      </c>
    </row>
    <row r="377" spans="1:49">
      <c r="A377" s="33" t="s">
        <v>2233</v>
      </c>
      <c r="B377" s="33" t="s">
        <v>2234</v>
      </c>
      <c r="C377" s="34">
        <v>0</v>
      </c>
      <c r="D377" s="34">
        <v>0</v>
      </c>
      <c r="E377" s="34">
        <v>56.021182156999998</v>
      </c>
      <c r="F377" s="34">
        <v>23.722740756</v>
      </c>
      <c r="G377" s="34">
        <v>26.463705577999999</v>
      </c>
      <c r="H377" s="34">
        <v>29.417905063999999</v>
      </c>
      <c r="I377" s="34">
        <v>35.838777905999997</v>
      </c>
      <c r="J377" s="34">
        <v>52.969546989000001</v>
      </c>
      <c r="K377" s="34">
        <v>5.6315821269999997</v>
      </c>
      <c r="L377" s="34">
        <v>64.952479776999994</v>
      </c>
      <c r="M377" s="34">
        <v>129.75273771400001</v>
      </c>
      <c r="Z377" s="34" t="s">
        <v>2234</v>
      </c>
      <c r="AA377" s="34">
        <v>7.197305515</v>
      </c>
      <c r="AB377" s="34">
        <v>12.719782392000001</v>
      </c>
      <c r="AC377" s="34">
        <v>2.8510185199999998</v>
      </c>
      <c r="AD377" s="10">
        <v>0</v>
      </c>
      <c r="AE377" s="34">
        <v>10.517187763000001</v>
      </c>
      <c r="AF377" s="34">
        <v>7.8070610890000003</v>
      </c>
      <c r="AG377" s="34">
        <v>10.929318904000001</v>
      </c>
      <c r="AH377" s="10">
        <v>15.442926927</v>
      </c>
      <c r="AI377" s="34">
        <v>13.248294023</v>
      </c>
      <c r="AJ377" s="34">
        <v>13.644686062</v>
      </c>
      <c r="AK377" s="34">
        <v>14.644858262</v>
      </c>
      <c r="AM377" s="34">
        <v>15.242290062</v>
      </c>
      <c r="AN377" s="34">
        <v>0</v>
      </c>
      <c r="AO377" s="34">
        <v>0</v>
      </c>
      <c r="AP377" s="10">
        <v>56.621616961999997</v>
      </c>
      <c r="AQ377" s="34">
        <v>19.986361593000002</v>
      </c>
      <c r="AR377" s="34">
        <v>0</v>
      </c>
      <c r="AS377" s="34">
        <v>51.902283908000001</v>
      </c>
      <c r="AT377" s="10">
        <v>17.452736642000001</v>
      </c>
      <c r="AU377" s="34">
        <v>49.697112869999998</v>
      </c>
      <c r="AV377" s="34">
        <v>-49.697112869999998</v>
      </c>
      <c r="AW377" s="34">
        <v>0</v>
      </c>
    </row>
    <row r="378" spans="1:49">
      <c r="A378" s="33" t="s">
        <v>2235</v>
      </c>
      <c r="B378" s="33" t="s">
        <v>2236</v>
      </c>
      <c r="C378" s="34">
        <v>0</v>
      </c>
      <c r="D378" s="34">
        <v>0</v>
      </c>
      <c r="E378" s="34">
        <v>67.409697351999995</v>
      </c>
      <c r="F378" s="34">
        <v>15.117693664999999</v>
      </c>
      <c r="G378" s="34">
        <v>34.434799458999997</v>
      </c>
      <c r="H378" s="34">
        <v>69.742769315999993</v>
      </c>
      <c r="I378" s="34">
        <v>79.469060190999997</v>
      </c>
      <c r="J378" s="34">
        <v>192.38985686000001</v>
      </c>
      <c r="K378" s="34">
        <v>376.32433572600002</v>
      </c>
      <c r="L378" s="34">
        <v>641.79768174000003</v>
      </c>
      <c r="M378" s="34">
        <v>567.32957421599997</v>
      </c>
      <c r="Z378" s="34" t="s">
        <v>2236</v>
      </c>
      <c r="AA378" s="34">
        <v>10.954529017</v>
      </c>
      <c r="AB378" s="34">
        <v>10.766534350000001</v>
      </c>
      <c r="AC378" s="34">
        <v>35.406702377000002</v>
      </c>
      <c r="AD378" s="10">
        <v>0</v>
      </c>
      <c r="AE378" s="34">
        <v>21.683094383</v>
      </c>
      <c r="AF378" s="34">
        <v>43.517291587999999</v>
      </c>
      <c r="AG378" s="34">
        <v>81.063505845999998</v>
      </c>
      <c r="AH378" s="10">
        <v>58.104030987999998</v>
      </c>
      <c r="AI378" s="34">
        <v>53.531596301999997</v>
      </c>
      <c r="AJ378" s="34">
        <v>83.594660469000004</v>
      </c>
      <c r="AK378" s="34">
        <v>113.896587518</v>
      </c>
      <c r="AM378" s="34">
        <v>159.33498292300001</v>
      </c>
      <c r="AN378" s="34">
        <v>0</v>
      </c>
      <c r="AO378" s="34">
        <v>0</v>
      </c>
      <c r="AP378" s="10">
        <v>650.70382452700005</v>
      </c>
      <c r="AQ378" s="34">
        <v>211.047798742</v>
      </c>
      <c r="AR378" s="34">
        <v>0</v>
      </c>
      <c r="AS378" s="34">
        <v>448.96340005500002</v>
      </c>
      <c r="AT378" s="10">
        <v>205.870674181</v>
      </c>
      <c r="AU378" s="34">
        <v>69.035086098999997</v>
      </c>
      <c r="AV378" s="34">
        <v>-69.035086098999997</v>
      </c>
      <c r="AW378" s="34">
        <v>0</v>
      </c>
    </row>
    <row r="381" spans="1:49" s="41" customFormat="1">
      <c r="A381" s="46" t="s">
        <v>484</v>
      </c>
      <c r="B381" s="46"/>
      <c r="C381" s="46"/>
      <c r="D381" s="46"/>
      <c r="E381" s="46"/>
      <c r="F381" s="46"/>
      <c r="G381" s="46"/>
      <c r="H381" s="47">
        <v>125.9</v>
      </c>
      <c r="I381" s="47">
        <v>134.5</v>
      </c>
      <c r="J381" s="47">
        <v>248.3</v>
      </c>
      <c r="K381" s="47">
        <v>434.4</v>
      </c>
      <c r="L381" s="47">
        <v>708.3</v>
      </c>
      <c r="M381" s="47">
        <v>722.30000000000007</v>
      </c>
      <c r="O381" s="7"/>
      <c r="P381" s="7"/>
      <c r="AD381" s="11"/>
      <c r="AH381" s="11"/>
      <c r="AL381" s="11"/>
      <c r="AP381" s="11"/>
      <c r="AT381" s="11"/>
    </row>
    <row r="382" spans="1:49">
      <c r="A382" s="48" t="s">
        <v>2237</v>
      </c>
      <c r="B382" s="48"/>
      <c r="C382" s="48"/>
      <c r="D382" s="48"/>
      <c r="E382" s="48"/>
      <c r="F382" s="48"/>
      <c r="G382" s="48"/>
      <c r="H382" s="49">
        <v>52.1</v>
      </c>
      <c r="I382" s="49">
        <v>64.900000000000006</v>
      </c>
      <c r="J382" s="49">
        <v>60.4</v>
      </c>
      <c r="K382" s="49">
        <v>46.7</v>
      </c>
      <c r="L382" s="49">
        <v>59.6</v>
      </c>
      <c r="M382" s="49">
        <v>60.9</v>
      </c>
    </row>
    <row r="383" spans="1:49" s="212" customFormat="1">
      <c r="A383" s="207" t="s">
        <v>498</v>
      </c>
      <c r="B383" s="208"/>
      <c r="C383" s="208"/>
      <c r="D383" s="208"/>
      <c r="E383" s="208"/>
      <c r="F383" s="208"/>
      <c r="G383" s="208"/>
      <c r="H383" s="209"/>
      <c r="I383" s="210">
        <f>I382/I$14</f>
        <v>1.0930764451258828E-2</v>
      </c>
      <c r="J383" s="211">
        <f>J382/J$14</f>
        <v>7.1158708505281122E-3</v>
      </c>
      <c r="K383" s="211">
        <f>K382/K$14</f>
        <v>3.7253788443503905E-3</v>
      </c>
      <c r="L383" s="211">
        <f>L382/L$14</f>
        <v>2.8485652796616029E-3</v>
      </c>
      <c r="M383" s="211">
        <f>M382/M$14</f>
        <v>2.7646462215168716E-3</v>
      </c>
      <c r="O383" s="217"/>
      <c r="P383" s="217"/>
      <c r="AD383" s="213"/>
      <c r="AH383" s="213"/>
      <c r="AL383" s="213"/>
      <c r="AP383" s="213"/>
      <c r="AT383" s="213"/>
    </row>
    <row r="384" spans="1:49">
      <c r="A384" s="48" t="s">
        <v>488</v>
      </c>
      <c r="B384" s="48"/>
      <c r="C384" s="48"/>
      <c r="D384" s="48"/>
      <c r="E384" s="48"/>
      <c r="F384" s="48"/>
      <c r="G384" s="48"/>
      <c r="H384" s="49">
        <v>17.100000000000001</v>
      </c>
      <c r="I384" s="49">
        <v>16.600000000000001</v>
      </c>
      <c r="J384" s="49">
        <v>30.8</v>
      </c>
      <c r="K384" s="49">
        <v>20.2</v>
      </c>
      <c r="L384" s="49">
        <v>42.3</v>
      </c>
      <c r="M384" s="49">
        <v>72.8</v>
      </c>
    </row>
    <row r="385" spans="1:79" s="212" customFormat="1">
      <c r="A385" s="214" t="s">
        <v>498</v>
      </c>
      <c r="B385" s="215"/>
      <c r="C385" s="215"/>
      <c r="D385" s="215"/>
      <c r="E385" s="215"/>
      <c r="F385" s="215"/>
      <c r="G385" s="215"/>
      <c r="H385" s="216"/>
      <c r="I385" s="211">
        <f>I384/I$14</f>
        <v>2.7958503835269115E-3</v>
      </c>
      <c r="J385" s="211">
        <f>J384/J$14</f>
        <v>3.6286228840441367E-3</v>
      </c>
      <c r="K385" s="211">
        <f>K384/K$14</f>
        <v>1.6114058384556291E-3</v>
      </c>
      <c r="L385" s="211">
        <f>L384/L$14</f>
        <v>2.021716633048419E-3</v>
      </c>
      <c r="M385" s="211">
        <f>M384/M$14</f>
        <v>3.3048644487098239E-3</v>
      </c>
      <c r="N385" s="217"/>
      <c r="O385" s="217"/>
      <c r="P385" s="217"/>
      <c r="Q385" s="217"/>
      <c r="R385" s="217"/>
      <c r="S385" s="217"/>
      <c r="T385" s="217"/>
      <c r="U385" s="217"/>
      <c r="V385" s="217"/>
      <c r="W385" s="217"/>
      <c r="X385" s="217"/>
      <c r="Y385" s="217"/>
      <c r="Z385" s="217"/>
      <c r="AA385" s="217"/>
      <c r="AB385" s="217"/>
      <c r="AC385" s="217"/>
      <c r="AD385" s="213"/>
      <c r="AE385" s="217"/>
      <c r="AF385" s="217"/>
      <c r="AG385" s="217"/>
      <c r="AH385" s="213"/>
      <c r="AI385" s="217"/>
      <c r="AJ385" s="217"/>
      <c r="AK385" s="217"/>
      <c r="AL385" s="213"/>
      <c r="AM385" s="217"/>
      <c r="AN385" s="217"/>
      <c r="AO385" s="217"/>
      <c r="AP385" s="213"/>
      <c r="AQ385" s="217"/>
      <c r="AR385" s="217"/>
      <c r="AS385" s="217"/>
      <c r="AT385" s="213"/>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217"/>
      <c r="BS385" s="217"/>
      <c r="BT385" s="217"/>
      <c r="BU385" s="217"/>
      <c r="BV385" s="217"/>
      <c r="BW385" s="217"/>
      <c r="BX385" s="217"/>
      <c r="BY385" s="217"/>
      <c r="BZ385" s="217"/>
      <c r="CA385" s="217"/>
    </row>
    <row r="386" spans="1:79">
      <c r="A386" s="48" t="s">
        <v>489</v>
      </c>
      <c r="B386" s="48"/>
      <c r="C386" s="48"/>
      <c r="D386" s="48"/>
      <c r="E386" s="48"/>
      <c r="F386" s="48"/>
      <c r="G386" s="48"/>
      <c r="H386" s="49">
        <v>0</v>
      </c>
      <c r="I386" s="49">
        <v>0</v>
      </c>
      <c r="J386" s="49">
        <v>138.80000000000001</v>
      </c>
      <c r="K386" s="49">
        <v>317.89999999999998</v>
      </c>
      <c r="L386" s="49">
        <v>558.79999999999995</v>
      </c>
      <c r="M386" s="49">
        <v>530.5</v>
      </c>
    </row>
    <row r="387" spans="1:79" s="212" customFormat="1">
      <c r="A387" s="214" t="s">
        <v>498</v>
      </c>
      <c r="B387" s="215"/>
      <c r="C387" s="215"/>
      <c r="D387" s="215"/>
      <c r="E387" s="215"/>
      <c r="F387" s="215"/>
      <c r="G387" s="215"/>
      <c r="H387" s="216"/>
      <c r="I387" s="211">
        <f>I386/I$14</f>
        <v>0</v>
      </c>
      <c r="J387" s="211">
        <f>J386/J$14</f>
        <v>1.6352365464458642E-2</v>
      </c>
      <c r="K387" s="211">
        <f>K386/K$14</f>
        <v>2.5359698814111112E-2</v>
      </c>
      <c r="L387" s="211">
        <f>L386/L$14</f>
        <v>2.6707689232800393E-2</v>
      </c>
      <c r="M387" s="211">
        <f>M386/M$14</f>
        <v>2.4082837775282438E-2</v>
      </c>
      <c r="N387" s="217"/>
      <c r="O387" s="217"/>
      <c r="P387" s="217"/>
      <c r="Q387" s="217"/>
      <c r="R387" s="217"/>
      <c r="S387" s="217"/>
      <c r="T387" s="217"/>
      <c r="U387" s="217"/>
      <c r="V387" s="217"/>
      <c r="W387" s="217"/>
      <c r="X387" s="217"/>
      <c r="Y387" s="217"/>
      <c r="Z387" s="217"/>
      <c r="AA387" s="217"/>
      <c r="AB387" s="217"/>
      <c r="AC387" s="217"/>
      <c r="AD387" s="213"/>
      <c r="AE387" s="217"/>
      <c r="AF387" s="217"/>
      <c r="AG387" s="217"/>
      <c r="AH387" s="213"/>
      <c r="AI387" s="217"/>
      <c r="AJ387" s="217"/>
      <c r="AK387" s="217"/>
      <c r="AL387" s="213"/>
      <c r="AM387" s="217"/>
      <c r="AN387" s="217"/>
      <c r="AO387" s="217"/>
      <c r="AP387" s="213"/>
      <c r="AQ387" s="217"/>
      <c r="AR387" s="217"/>
      <c r="AS387" s="217"/>
      <c r="AT387" s="213"/>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217"/>
      <c r="BS387" s="217"/>
      <c r="BT387" s="217"/>
      <c r="BU387" s="217"/>
      <c r="BV387" s="217"/>
      <c r="BW387" s="217"/>
      <c r="BX387" s="217"/>
      <c r="BY387" s="217"/>
      <c r="BZ387" s="217"/>
      <c r="CA387" s="217"/>
    </row>
    <row r="388" spans="1:79">
      <c r="A388" s="48" t="s">
        <v>491</v>
      </c>
      <c r="B388" s="48"/>
      <c r="C388" s="48"/>
      <c r="D388" s="48"/>
      <c r="E388" s="48"/>
      <c r="F388" s="48"/>
      <c r="G388" s="48"/>
      <c r="H388" s="49">
        <v>56.7</v>
      </c>
      <c r="I388" s="49">
        <v>53</v>
      </c>
      <c r="J388" s="49">
        <v>18.3</v>
      </c>
      <c r="K388" s="49">
        <v>49.6</v>
      </c>
      <c r="L388" s="49">
        <v>47.6</v>
      </c>
      <c r="M388" s="49">
        <v>58.1</v>
      </c>
    </row>
    <row r="389" spans="1:79" s="212" customFormat="1">
      <c r="A389" s="214" t="s">
        <v>498</v>
      </c>
      <c r="B389" s="215"/>
      <c r="C389" s="215"/>
      <c r="D389" s="215"/>
      <c r="E389" s="215"/>
      <c r="F389" s="215"/>
      <c r="G389" s="215"/>
      <c r="H389" s="216"/>
      <c r="I389" s="211">
        <f>I388/I$14</f>
        <v>8.9265102606582106E-3</v>
      </c>
      <c r="J389" s="211">
        <f>J388/J$14</f>
        <v>2.1559674927924578E-3</v>
      </c>
      <c r="K389" s="211">
        <f>K388/K$14</f>
        <v>3.9567192865049118E-3</v>
      </c>
      <c r="L389" s="211">
        <f>L388/L$14</f>
        <v>2.2750286461726893E-3</v>
      </c>
      <c r="M389" s="211">
        <f>M388/M$14</f>
        <v>2.6375360504126478E-3</v>
      </c>
      <c r="N389" s="217"/>
      <c r="O389" s="217"/>
      <c r="P389" s="217"/>
      <c r="Q389" s="217"/>
      <c r="R389" s="217"/>
      <c r="S389" s="217"/>
      <c r="T389" s="217"/>
      <c r="U389" s="217"/>
      <c r="V389" s="217"/>
      <c r="W389" s="217"/>
      <c r="X389" s="217"/>
      <c r="Y389" s="217"/>
      <c r="Z389" s="217"/>
      <c r="AA389" s="217"/>
      <c r="AB389" s="217"/>
      <c r="AC389" s="217"/>
      <c r="AD389" s="213"/>
      <c r="AE389" s="217"/>
      <c r="AF389" s="217"/>
      <c r="AG389" s="217"/>
      <c r="AH389" s="213"/>
      <c r="AI389" s="217"/>
      <c r="AJ389" s="217"/>
      <c r="AK389" s="217"/>
      <c r="AL389" s="213"/>
      <c r="AM389" s="217"/>
      <c r="AN389" s="217"/>
      <c r="AO389" s="217"/>
      <c r="AP389" s="213"/>
      <c r="AQ389" s="217"/>
      <c r="AR389" s="217"/>
      <c r="AS389" s="217"/>
      <c r="AT389" s="213"/>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217"/>
      <c r="BS389" s="217"/>
      <c r="BT389" s="217"/>
      <c r="BU389" s="217"/>
      <c r="BV389" s="217"/>
      <c r="BW389" s="217"/>
      <c r="BX389" s="217"/>
      <c r="BY389" s="217"/>
      <c r="BZ389" s="217"/>
      <c r="CA389" s="217"/>
    </row>
    <row r="390" spans="1:79">
      <c r="A390" s="205"/>
      <c r="B390" s="206"/>
      <c r="C390" s="206"/>
      <c r="D390" s="206"/>
      <c r="E390" s="206"/>
      <c r="F390" s="206"/>
      <c r="G390" s="206"/>
      <c r="H390" s="16"/>
      <c r="I390" s="17"/>
      <c r="J390" s="17"/>
      <c r="K390" s="17"/>
      <c r="L390" s="17"/>
      <c r="M390" s="17"/>
      <c r="N390" s="3"/>
      <c r="Q390" s="3"/>
      <c r="R390" s="3"/>
      <c r="S390" s="3"/>
      <c r="T390" s="3"/>
      <c r="U390" s="3"/>
      <c r="V390" s="3"/>
      <c r="W390" s="3"/>
      <c r="X390" s="3"/>
      <c r="Y390" s="3"/>
      <c r="Z390" s="3"/>
      <c r="AA390" s="3"/>
      <c r="AB390" s="3"/>
      <c r="AC390" s="3"/>
      <c r="AE390" s="3"/>
      <c r="AF390" s="3"/>
      <c r="AG390" s="3"/>
      <c r="AI390" s="3"/>
      <c r="AJ390" s="3"/>
      <c r="AK390" s="3"/>
      <c r="AM390" s="3"/>
      <c r="AN390" s="3"/>
      <c r="AO390" s="3"/>
      <c r="AQ390" s="3"/>
      <c r="AR390" s="3"/>
      <c r="AS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row>
    <row r="391" spans="1:79" s="41" customFormat="1">
      <c r="A391" s="51" t="s">
        <v>1509</v>
      </c>
      <c r="B391" s="51"/>
      <c r="C391" s="51"/>
      <c r="D391" s="51"/>
      <c r="E391" s="51"/>
      <c r="F391" s="51"/>
      <c r="G391" s="51"/>
      <c r="H391" s="55">
        <v>55.599999999999994</v>
      </c>
      <c r="I391" s="55">
        <v>91.2</v>
      </c>
      <c r="J391" s="55">
        <v>100.5</v>
      </c>
      <c r="K391" s="55">
        <v>90.3</v>
      </c>
      <c r="L391" s="55">
        <v>113.7</v>
      </c>
      <c r="M391" s="55">
        <v>135.69999999999999</v>
      </c>
      <c r="O391" s="7"/>
      <c r="P391" s="7"/>
      <c r="AD391" s="11"/>
      <c r="AH391" s="11"/>
      <c r="AL391" s="11"/>
      <c r="AP391" s="11"/>
      <c r="AT391" s="11"/>
    </row>
    <row r="392" spans="1:79">
      <c r="A392" s="52" t="s">
        <v>2238</v>
      </c>
      <c r="B392" s="52"/>
      <c r="C392" s="52"/>
      <c r="D392" s="52"/>
      <c r="E392" s="52"/>
      <c r="F392" s="52"/>
      <c r="G392" s="52"/>
      <c r="H392" s="53">
        <v>28.2</v>
      </c>
      <c r="I392" s="53">
        <v>40.200000000000003</v>
      </c>
      <c r="J392" s="53">
        <v>36.799999999999997</v>
      </c>
      <c r="K392" s="53">
        <v>42.5</v>
      </c>
      <c r="L392" s="53">
        <v>49.3</v>
      </c>
      <c r="M392" s="53">
        <v>59.6</v>
      </c>
    </row>
    <row r="393" spans="1:79" s="217" customFormat="1">
      <c r="A393" s="214" t="s">
        <v>498</v>
      </c>
      <c r="B393" s="215"/>
      <c r="C393" s="215"/>
      <c r="D393" s="215"/>
      <c r="E393" s="215"/>
      <c r="F393" s="215"/>
      <c r="G393" s="215"/>
      <c r="H393" s="216"/>
      <c r="I393" s="211">
        <f>I392/I$14</f>
        <v>6.7706738203483037E-3</v>
      </c>
      <c r="J393" s="211">
        <f>J392/J$14</f>
        <v>4.3354974718449422E-3</v>
      </c>
      <c r="K393" s="211">
        <f>K392/K$14</f>
        <v>3.3903340660576355E-3</v>
      </c>
      <c r="L393" s="211">
        <f>L392/L$14</f>
        <v>2.3562796692502852E-3</v>
      </c>
      <c r="M393" s="211">
        <f>M392/M$14</f>
        <v>2.7056307849327678E-3</v>
      </c>
      <c r="AD393" s="213"/>
      <c r="AH393" s="213"/>
      <c r="AL393" s="213"/>
      <c r="AP393" s="213"/>
      <c r="AT393" s="213"/>
    </row>
    <row r="394" spans="1:79" s="50" customFormat="1">
      <c r="A394" s="52" t="s">
        <v>2239</v>
      </c>
      <c r="B394" s="52"/>
      <c r="C394" s="52"/>
      <c r="D394" s="52"/>
      <c r="E394" s="52"/>
      <c r="F394" s="52"/>
      <c r="G394" s="52"/>
      <c r="H394" s="54">
        <v>12.6</v>
      </c>
      <c r="I394" s="20">
        <v>20</v>
      </c>
      <c r="J394" s="20">
        <v>22.2</v>
      </c>
      <c r="K394" s="20">
        <v>33.299999999999997</v>
      </c>
      <c r="L394" s="20">
        <v>22.7</v>
      </c>
      <c r="M394" s="20">
        <v>20.5</v>
      </c>
      <c r="O394" s="3"/>
      <c r="P394" s="3"/>
      <c r="AD394" s="124"/>
      <c r="AH394" s="124"/>
      <c r="AL394" s="124"/>
      <c r="AP394" s="124"/>
      <c r="AT394" s="124"/>
    </row>
    <row r="395" spans="1:79" s="217" customFormat="1">
      <c r="A395" s="214" t="s">
        <v>498</v>
      </c>
      <c r="B395" s="215"/>
      <c r="C395" s="215"/>
      <c r="D395" s="215"/>
      <c r="E395" s="215"/>
      <c r="F395" s="215"/>
      <c r="G395" s="215"/>
      <c r="H395" s="216"/>
      <c r="I395" s="211">
        <f>I394/I$14</f>
        <v>3.3684944379842306E-3</v>
      </c>
      <c r="J395" s="211">
        <f>J394/J$14</f>
        <v>2.6154359748629817E-3</v>
      </c>
      <c r="K395" s="211">
        <f>K394/K$14</f>
        <v>2.6564264564639824E-3</v>
      </c>
      <c r="L395" s="211">
        <f>L394/L$14</f>
        <v>1.0849401316831942E-3</v>
      </c>
      <c r="M395" s="211">
        <f>M394/M$14</f>
        <v>9.3062803844163992E-4</v>
      </c>
      <c r="AD395" s="213"/>
      <c r="AH395" s="213"/>
      <c r="AL395" s="213"/>
      <c r="AP395" s="213"/>
      <c r="AT395" s="213"/>
    </row>
    <row r="396" spans="1:79">
      <c r="A396" s="52" t="s">
        <v>2240</v>
      </c>
      <c r="B396" s="52"/>
      <c r="C396" s="52"/>
      <c r="D396" s="52"/>
      <c r="E396" s="52"/>
      <c r="F396" s="52"/>
      <c r="G396" s="52"/>
      <c r="H396" s="53">
        <v>14.8</v>
      </c>
      <c r="I396" s="53">
        <v>31</v>
      </c>
      <c r="J396" s="53">
        <v>41.5</v>
      </c>
      <c r="K396" s="53">
        <v>14.5</v>
      </c>
      <c r="L396" s="53">
        <v>41.7</v>
      </c>
      <c r="M396" s="53">
        <v>55.6</v>
      </c>
    </row>
    <row r="397" spans="1:79" s="217" customFormat="1">
      <c r="A397" s="214" t="s">
        <v>498</v>
      </c>
      <c r="B397" s="215"/>
      <c r="C397" s="215"/>
      <c r="D397" s="215"/>
      <c r="E397" s="215"/>
      <c r="F397" s="215"/>
      <c r="G397" s="215"/>
      <c r="H397" s="216"/>
      <c r="I397" s="211">
        <f>I396/I$14</f>
        <v>5.221166378875557E-3</v>
      </c>
      <c r="J397" s="211">
        <f>J396/J$14</f>
        <v>4.8892158989555737E-3</v>
      </c>
      <c r="K397" s="211">
        <f>K396/K$14</f>
        <v>1.1567022107726052E-3</v>
      </c>
      <c r="L397" s="211">
        <f>L396/L$14</f>
        <v>1.993039801373974E-3</v>
      </c>
      <c r="M397" s="211">
        <f>M396/M$14</f>
        <v>2.5240448262124479E-3</v>
      </c>
      <c r="AD397" s="213"/>
      <c r="AH397" s="213"/>
      <c r="AL397" s="213"/>
      <c r="AP397" s="213"/>
      <c r="AT397" s="213"/>
    </row>
    <row r="400" spans="1:79" s="41" customFormat="1">
      <c r="A400" s="46" t="s">
        <v>484</v>
      </c>
      <c r="B400" s="40"/>
      <c r="C400" s="40"/>
      <c r="D400" s="40"/>
      <c r="E400" s="40"/>
      <c r="F400" s="40"/>
      <c r="G400" s="40"/>
      <c r="H400" s="56">
        <f t="shared" ref="H400:M401" si="1">H381/H$381</f>
        <v>1</v>
      </c>
      <c r="I400" s="56">
        <f t="shared" si="1"/>
        <v>1</v>
      </c>
      <c r="J400" s="56">
        <f t="shared" si="1"/>
        <v>1</v>
      </c>
      <c r="K400" s="56">
        <f t="shared" si="1"/>
        <v>1</v>
      </c>
      <c r="L400" s="56">
        <f t="shared" si="1"/>
        <v>1</v>
      </c>
      <c r="M400" s="56">
        <f t="shared" si="1"/>
        <v>1</v>
      </c>
      <c r="O400" s="7"/>
      <c r="P400" s="7"/>
      <c r="AD400" s="11"/>
      <c r="AH400" s="11"/>
      <c r="AL400" s="11"/>
      <c r="AP400" s="11"/>
      <c r="AT400" s="11"/>
    </row>
    <row r="401" spans="1:46">
      <c r="A401" s="48" t="s">
        <v>2237</v>
      </c>
      <c r="H401" s="45">
        <f t="shared" si="1"/>
        <v>0.41382049245432884</v>
      </c>
      <c r="I401" s="45">
        <f t="shared" si="1"/>
        <v>0.48252788104089223</v>
      </c>
      <c r="J401" s="45">
        <f t="shared" si="1"/>
        <v>0.24325412807088198</v>
      </c>
      <c r="K401" s="45">
        <f t="shared" si="1"/>
        <v>0.10750460405156539</v>
      </c>
      <c r="L401" s="45">
        <f t="shared" si="1"/>
        <v>8.4145136241705498E-2</v>
      </c>
      <c r="M401" s="45">
        <f t="shared" si="1"/>
        <v>8.4313996954174159E-2</v>
      </c>
    </row>
    <row r="402" spans="1:46">
      <c r="A402" s="48" t="s">
        <v>488</v>
      </c>
      <c r="H402" s="45">
        <f t="shared" ref="H402:M402" si="2">H384/H$381</f>
        <v>0.13582208101667992</v>
      </c>
      <c r="I402" s="45">
        <f t="shared" si="2"/>
        <v>0.1234200743494424</v>
      </c>
      <c r="J402" s="45">
        <f t="shared" si="2"/>
        <v>0.12404349577124446</v>
      </c>
      <c r="K402" s="45">
        <f t="shared" si="2"/>
        <v>4.6500920810313075E-2</v>
      </c>
      <c r="L402" s="45">
        <f t="shared" si="2"/>
        <v>5.9720457433290977E-2</v>
      </c>
      <c r="M402" s="45">
        <f t="shared" si="2"/>
        <v>0.10078914578430014</v>
      </c>
    </row>
    <row r="403" spans="1:46">
      <c r="A403" s="48" t="s">
        <v>489</v>
      </c>
      <c r="H403" s="45">
        <f t="shared" ref="H403:M403" si="3">H386/H$381</f>
        <v>0</v>
      </c>
      <c r="I403" s="45">
        <f t="shared" si="3"/>
        <v>0</v>
      </c>
      <c r="J403" s="45">
        <f t="shared" si="3"/>
        <v>0.55900120821586796</v>
      </c>
      <c r="K403" s="45">
        <f t="shared" si="3"/>
        <v>0.7318139963167587</v>
      </c>
      <c r="L403" s="45">
        <f t="shared" si="3"/>
        <v>0.78893124382323876</v>
      </c>
      <c r="M403" s="45">
        <f t="shared" si="3"/>
        <v>0.73445936591443994</v>
      </c>
    </row>
    <row r="404" spans="1:46">
      <c r="A404" s="48" t="s">
        <v>491</v>
      </c>
      <c r="H404" s="45">
        <f t="shared" ref="H404:M404" si="4">H388/H$381</f>
        <v>0.45035742652899124</v>
      </c>
      <c r="I404" s="45">
        <f t="shared" si="4"/>
        <v>0.39405204460966542</v>
      </c>
      <c r="J404" s="45">
        <f t="shared" si="4"/>
        <v>7.3701167942005638E-2</v>
      </c>
      <c r="K404" s="45">
        <f t="shared" si="4"/>
        <v>0.11418047882136281</v>
      </c>
      <c r="L404" s="45">
        <f t="shared" si="4"/>
        <v>6.7203162501764793E-2</v>
      </c>
      <c r="M404" s="45">
        <f t="shared" si="4"/>
        <v>8.0437491347085693E-2</v>
      </c>
    </row>
    <row r="406" spans="1:46" s="41" customFormat="1">
      <c r="A406" s="51" t="s">
        <v>1509</v>
      </c>
      <c r="B406" s="40"/>
      <c r="C406" s="40"/>
      <c r="D406" s="40"/>
      <c r="E406" s="40"/>
      <c r="F406" s="40"/>
      <c r="G406" s="40"/>
      <c r="H406" s="56">
        <f t="shared" ref="H406:M406" si="5">H391/H$391</f>
        <v>1</v>
      </c>
      <c r="I406" s="56">
        <f t="shared" si="5"/>
        <v>1</v>
      </c>
      <c r="J406" s="56">
        <f t="shared" si="5"/>
        <v>1</v>
      </c>
      <c r="K406" s="56">
        <f t="shared" si="5"/>
        <v>1</v>
      </c>
      <c r="L406" s="56">
        <f t="shared" si="5"/>
        <v>1</v>
      </c>
      <c r="M406" s="56">
        <f t="shared" si="5"/>
        <v>1</v>
      </c>
      <c r="O406" s="7"/>
      <c r="P406" s="7"/>
      <c r="AD406" s="11"/>
      <c r="AH406" s="11"/>
      <c r="AL406" s="11"/>
      <c r="AP406" s="11"/>
      <c r="AT406" s="11"/>
    </row>
    <row r="407" spans="1:46">
      <c r="A407" s="52" t="s">
        <v>2238</v>
      </c>
      <c r="H407" s="45">
        <f t="shared" ref="H407:M407" si="6">H392/H$391</f>
        <v>0.50719424460431661</v>
      </c>
      <c r="I407" s="45">
        <f t="shared" si="6"/>
        <v>0.44078947368421056</v>
      </c>
      <c r="J407" s="45">
        <f t="shared" si="6"/>
        <v>0.36616915422885571</v>
      </c>
      <c r="K407" s="45">
        <f t="shared" si="6"/>
        <v>0.47065337763012183</v>
      </c>
      <c r="L407" s="45">
        <f t="shared" si="6"/>
        <v>0.43359718557607735</v>
      </c>
      <c r="M407" s="45">
        <f t="shared" si="6"/>
        <v>0.43920412675018428</v>
      </c>
    </row>
    <row r="408" spans="1:46">
      <c r="A408" s="52" t="s">
        <v>2239</v>
      </c>
      <c r="H408" s="45">
        <f t="shared" ref="H408:M408" si="7">H394/H$391</f>
        <v>0.22661870503597123</v>
      </c>
      <c r="I408" s="45">
        <f t="shared" si="7"/>
        <v>0.21929824561403508</v>
      </c>
      <c r="J408" s="45">
        <f t="shared" si="7"/>
        <v>0.22089552238805971</v>
      </c>
      <c r="K408" s="45">
        <f t="shared" si="7"/>
        <v>0.3687707641196013</v>
      </c>
      <c r="L408" s="45">
        <f t="shared" si="7"/>
        <v>0.19964819700967457</v>
      </c>
      <c r="M408" s="45">
        <f t="shared" si="7"/>
        <v>0.15106853352984526</v>
      </c>
    </row>
    <row r="409" spans="1:46">
      <c r="A409" s="52" t="s">
        <v>2240</v>
      </c>
      <c r="H409" s="45">
        <f t="shared" ref="H409:M409" si="8">H396/H$391</f>
        <v>0.2661870503597123</v>
      </c>
      <c r="I409" s="45">
        <f t="shared" si="8"/>
        <v>0.33991228070175439</v>
      </c>
      <c r="J409" s="45">
        <f t="shared" si="8"/>
        <v>0.41293532338308458</v>
      </c>
      <c r="K409" s="45">
        <f t="shared" si="8"/>
        <v>0.16057585825027687</v>
      </c>
      <c r="L409" s="45">
        <f t="shared" si="8"/>
        <v>0.36675461741424803</v>
      </c>
      <c r="M409" s="45">
        <f t="shared" si="8"/>
        <v>0.40972733971997055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5AA9-F8C6-43E5-9A50-8EC700F32E55}">
  <sheetPr>
    <tabColor theme="5" tint="0.39997558519241921"/>
  </sheetPr>
  <dimension ref="A1:AY271"/>
  <sheetViews>
    <sheetView topLeftCell="A81" zoomScaleNormal="100" workbookViewId="0">
      <pane xSplit="1" topLeftCell="B1" activePane="topRight" state="frozen"/>
      <selection pane="topRight" activeCell="I99" sqref="I99"/>
      <selection activeCell="A83" sqref="A83"/>
    </sheetView>
  </sheetViews>
  <sheetFormatPr defaultColWidth="9.140625" defaultRowHeight="15" outlineLevelRow="1"/>
  <cols>
    <col min="1" max="1" width="27" style="1" customWidth="1"/>
    <col min="2" max="17" width="12.140625" style="258" customWidth="1"/>
    <col min="18" max="22" width="12.140625" style="1" customWidth="1"/>
    <col min="23" max="28" width="14.5703125" style="1" bestFit="1" customWidth="1"/>
    <col min="29" max="44" width="9.140625" style="1"/>
    <col min="45" max="45" width="12.85546875" style="1" customWidth="1"/>
    <col min="46" max="46" width="11.85546875" style="1" customWidth="1"/>
    <col min="47" max="47" width="8.140625" style="1" customWidth="1"/>
    <col min="48" max="51" width="11.140625" style="137" customWidth="1"/>
    <col min="52" max="52" width="11.85546875" style="1" customWidth="1"/>
    <col min="53" max="16384" width="9.140625" style="1"/>
  </cols>
  <sheetData>
    <row r="1" spans="1:51" ht="17.25" hidden="1" customHeight="1" outlineLevel="1">
      <c r="A1" s="112" t="s">
        <v>2241</v>
      </c>
      <c r="B1" s="233">
        <v>2014</v>
      </c>
      <c r="C1" s="233">
        <v>2015</v>
      </c>
      <c r="D1" s="233">
        <v>2016</v>
      </c>
      <c r="E1" s="233">
        <v>2017</v>
      </c>
      <c r="F1" s="233">
        <v>2018</v>
      </c>
      <c r="G1" s="233">
        <v>2019</v>
      </c>
      <c r="H1" s="233">
        <v>2020</v>
      </c>
      <c r="I1" s="233">
        <v>2021</v>
      </c>
      <c r="J1" s="233">
        <v>2022</v>
      </c>
      <c r="K1" s="234" t="s">
        <v>2242</v>
      </c>
      <c r="L1" s="235">
        <v>44682</v>
      </c>
      <c r="M1" s="235">
        <v>44713</v>
      </c>
      <c r="N1" s="235">
        <v>44743</v>
      </c>
      <c r="O1" s="235">
        <v>44774</v>
      </c>
      <c r="P1" s="235">
        <v>44805</v>
      </c>
      <c r="Q1" s="235">
        <v>44835</v>
      </c>
      <c r="R1" s="116">
        <v>44866</v>
      </c>
      <c r="S1" s="183">
        <v>44896</v>
      </c>
      <c r="T1" s="116">
        <v>44927</v>
      </c>
      <c r="U1" s="116">
        <v>44958</v>
      </c>
      <c r="V1" s="116">
        <v>44986</v>
      </c>
      <c r="W1" s="183">
        <v>45017</v>
      </c>
      <c r="X1" s="183">
        <v>45047</v>
      </c>
      <c r="Y1" s="183">
        <v>45078</v>
      </c>
      <c r="Z1" s="183">
        <v>45108</v>
      </c>
      <c r="AA1" s="183">
        <v>45139</v>
      </c>
      <c r="AB1" s="183">
        <v>45170</v>
      </c>
    </row>
    <row r="2" spans="1:51" hidden="1" outlineLevel="1">
      <c r="A2" s="113" t="s">
        <v>2243</v>
      </c>
      <c r="B2" s="236">
        <v>2945253900</v>
      </c>
      <c r="C2" s="236">
        <v>3242866200</v>
      </c>
      <c r="D2" s="236">
        <v>3527366100</v>
      </c>
      <c r="E2" s="236">
        <v>3934184700</v>
      </c>
      <c r="F2" s="236">
        <v>4395704000</v>
      </c>
      <c r="G2" s="236">
        <v>4940403000</v>
      </c>
      <c r="H2" s="236">
        <v>5059846167.3100004</v>
      </c>
      <c r="I2" s="236">
        <v>4789494884.8000002</v>
      </c>
      <c r="J2" s="236">
        <v>5679875575.9700003</v>
      </c>
      <c r="K2" s="237" t="s">
        <v>2243</v>
      </c>
      <c r="L2" s="238">
        <v>477305176.24000001</v>
      </c>
      <c r="M2" s="238">
        <v>471765701.63</v>
      </c>
      <c r="N2" s="238">
        <v>485984371.07999998</v>
      </c>
      <c r="O2" s="238">
        <v>481224897.66000003</v>
      </c>
      <c r="P2" s="238">
        <v>493091713.44999999</v>
      </c>
      <c r="Q2" s="238">
        <v>501158465.58999997</v>
      </c>
      <c r="R2" s="109">
        <v>497623793.75999999</v>
      </c>
      <c r="S2" s="184">
        <v>517660095.73000002</v>
      </c>
      <c r="T2" s="109">
        <v>512320508.00999999</v>
      </c>
      <c r="U2" s="109">
        <v>491620856.99000001</v>
      </c>
      <c r="V2" s="109">
        <v>501310039.25999999</v>
      </c>
      <c r="W2" s="184">
        <v>511507489.75999999</v>
      </c>
      <c r="X2" s="184">
        <v>503058653.30000001</v>
      </c>
      <c r="Y2" s="184">
        <v>506479735.24000001</v>
      </c>
      <c r="Z2" s="184">
        <v>510910476.10000002</v>
      </c>
      <c r="AA2" s="184">
        <v>512211655.38999999</v>
      </c>
      <c r="AB2" s="184">
        <v>524595167.44999999</v>
      </c>
    </row>
    <row r="3" spans="1:51" s="18" customFormat="1" hidden="1" outlineLevel="1">
      <c r="A3" s="114" t="s">
        <v>2244</v>
      </c>
      <c r="B3" s="239">
        <v>0.106</v>
      </c>
      <c r="C3" s="239">
        <v>9.5000000000000001E-2</v>
      </c>
      <c r="D3" s="239">
        <v>0.10199999999999999</v>
      </c>
      <c r="E3" s="239">
        <v>0.1086</v>
      </c>
      <c r="F3" s="239">
        <v>0.11700000000000001</v>
      </c>
      <c r="G3" s="239">
        <v>0.11799999999999999</v>
      </c>
      <c r="H3" s="239">
        <v>2.6200000000000001E-2</v>
      </c>
      <c r="I3" s="239">
        <v>-3.7600000000000001E-2</v>
      </c>
      <c r="J3" s="239">
        <v>0.19839999999999999</v>
      </c>
      <c r="K3" s="240" t="s">
        <v>2244</v>
      </c>
      <c r="L3" s="241">
        <v>0</v>
      </c>
      <c r="M3" s="241">
        <v>0</v>
      </c>
      <c r="N3" s="241">
        <v>0</v>
      </c>
      <c r="O3" s="241">
        <v>0</v>
      </c>
      <c r="P3" s="241">
        <v>0</v>
      </c>
      <c r="Q3" s="241">
        <v>0</v>
      </c>
      <c r="R3" s="111">
        <v>0.17460000000000001</v>
      </c>
      <c r="S3" s="185">
        <v>0.17130000000000001</v>
      </c>
      <c r="T3" s="111">
        <v>0.19950000000000001</v>
      </c>
      <c r="U3" s="111">
        <v>0.13159999999999999</v>
      </c>
      <c r="V3" s="111">
        <v>0.13439999999999999</v>
      </c>
      <c r="W3" s="185">
        <v>0.1152</v>
      </c>
      <c r="X3" s="185">
        <v>0.1154</v>
      </c>
      <c r="Y3" s="185">
        <v>6.54E-2</v>
      </c>
      <c r="Z3" s="185">
        <v>7.1099999999999997E-2</v>
      </c>
      <c r="AA3" s="185">
        <v>7.5700000000000003E-2</v>
      </c>
      <c r="AB3" s="185">
        <v>7.4700000000000003E-2</v>
      </c>
      <c r="AV3" s="1027"/>
      <c r="AW3" s="1027"/>
      <c r="AX3" s="1027"/>
      <c r="AY3" s="1027"/>
    </row>
    <row r="4" spans="1:51" hidden="1" outlineLevel="1">
      <c r="A4" s="113" t="s">
        <v>2245</v>
      </c>
      <c r="B4" s="236">
        <v>2216211300</v>
      </c>
      <c r="C4" s="236">
        <v>2469879600</v>
      </c>
      <c r="D4" s="236">
        <v>2676450200</v>
      </c>
      <c r="E4" s="236">
        <v>2937317200</v>
      </c>
      <c r="F4" s="236">
        <v>3306147000</v>
      </c>
      <c r="G4" s="236">
        <v>3751335000</v>
      </c>
      <c r="H4" s="236">
        <v>3996884783.0999999</v>
      </c>
      <c r="I4" s="236">
        <v>3950893823.5799999</v>
      </c>
      <c r="J4" s="236">
        <v>4475854912.0500002</v>
      </c>
      <c r="K4" s="237" t="s">
        <v>2245</v>
      </c>
      <c r="L4" s="238">
        <v>375367036.85000002</v>
      </c>
      <c r="M4" s="238">
        <v>373555692.24000001</v>
      </c>
      <c r="N4" s="238">
        <v>381453212.97000003</v>
      </c>
      <c r="O4" s="238">
        <v>376593003.35000002</v>
      </c>
      <c r="P4" s="238">
        <v>379271599.06999999</v>
      </c>
      <c r="Q4" s="238">
        <v>386901800.63</v>
      </c>
      <c r="R4" s="109">
        <v>389495743.30000001</v>
      </c>
      <c r="S4" s="184">
        <v>402808025.73000002</v>
      </c>
      <c r="T4" s="109">
        <v>404346715.67000002</v>
      </c>
      <c r="U4" s="109">
        <v>387159300.25</v>
      </c>
      <c r="V4" s="109">
        <v>395651361.98000002</v>
      </c>
      <c r="W4" s="184">
        <v>403971611.5</v>
      </c>
      <c r="X4" s="184">
        <v>395990985.00999999</v>
      </c>
      <c r="Y4" s="184">
        <v>397754840.92000002</v>
      </c>
      <c r="Z4" s="184">
        <v>397472367.05000001</v>
      </c>
      <c r="AA4" s="184">
        <v>394127684</v>
      </c>
      <c r="AB4" s="184">
        <v>402432130.25</v>
      </c>
    </row>
    <row r="5" spans="1:51" s="18" customFormat="1" hidden="1" outlineLevel="1">
      <c r="A5" s="114" t="s">
        <v>2244</v>
      </c>
      <c r="B5" s="239">
        <v>0.113</v>
      </c>
      <c r="C5" s="239">
        <v>0.106</v>
      </c>
      <c r="D5" s="239">
        <v>0.10199999999999999</v>
      </c>
      <c r="E5" s="239">
        <v>0.1089</v>
      </c>
      <c r="F5" s="239">
        <v>0.124</v>
      </c>
      <c r="G5" s="239">
        <v>0.127</v>
      </c>
      <c r="H5" s="239">
        <v>6.7799999999999999E-2</v>
      </c>
      <c r="I5" s="239">
        <v>1.5E-3</v>
      </c>
      <c r="J5" s="239">
        <v>0.14380000000000001</v>
      </c>
      <c r="K5" s="240" t="s">
        <v>2244</v>
      </c>
      <c r="L5" s="241">
        <v>0</v>
      </c>
      <c r="M5" s="241">
        <v>0</v>
      </c>
      <c r="N5" s="241">
        <v>0</v>
      </c>
      <c r="O5" s="241">
        <v>0</v>
      </c>
      <c r="P5" s="241">
        <v>0</v>
      </c>
      <c r="Q5" s="241">
        <v>0</v>
      </c>
      <c r="R5" s="111">
        <v>0.107</v>
      </c>
      <c r="S5" s="185">
        <v>0.12759999999999999</v>
      </c>
      <c r="T5" s="111">
        <v>0.18149999999999999</v>
      </c>
      <c r="U5" s="111">
        <v>0.105</v>
      </c>
      <c r="V5" s="111">
        <v>0.1128</v>
      </c>
      <c r="W5" s="185">
        <v>9.6799999999999997E-2</v>
      </c>
      <c r="X5" s="185">
        <v>0.1095</v>
      </c>
      <c r="Y5" s="185">
        <v>5.9700000000000003E-2</v>
      </c>
      <c r="Z5" s="185">
        <v>7.0000000000000007E-2</v>
      </c>
      <c r="AA5" s="185">
        <v>7.46E-2</v>
      </c>
      <c r="AB5" s="185">
        <v>7.3999999999999996E-2</v>
      </c>
      <c r="AV5" s="1027"/>
      <c r="AW5" s="1027"/>
      <c r="AX5" s="1027"/>
      <c r="AY5" s="1027"/>
    </row>
    <row r="6" spans="1:51" hidden="1" outlineLevel="1">
      <c r="A6" s="113" t="s">
        <v>2246</v>
      </c>
      <c r="B6" s="236">
        <v>352815900</v>
      </c>
      <c r="C6" s="236">
        <v>372244700</v>
      </c>
      <c r="D6" s="236">
        <v>413436700</v>
      </c>
      <c r="E6" s="236">
        <v>494654600</v>
      </c>
      <c r="F6" s="236">
        <v>539451000</v>
      </c>
      <c r="G6" s="236">
        <v>586686000</v>
      </c>
      <c r="H6" s="236">
        <v>510402000</v>
      </c>
      <c r="I6" s="236">
        <v>397950162</v>
      </c>
      <c r="J6" s="236">
        <v>578684000</v>
      </c>
      <c r="K6" s="237" t="s">
        <v>2247</v>
      </c>
      <c r="L6" s="238">
        <v>55068873.880000003</v>
      </c>
      <c r="M6" s="238">
        <v>49123707.780000001</v>
      </c>
      <c r="N6" s="238">
        <v>53891536.409999996</v>
      </c>
      <c r="O6" s="238">
        <v>53473535.670000002</v>
      </c>
      <c r="P6" s="238">
        <v>53642337.890000001</v>
      </c>
      <c r="Q6" s="238">
        <v>51924396.119999997</v>
      </c>
      <c r="R6" s="109">
        <v>46898184.43</v>
      </c>
      <c r="S6" s="184">
        <v>53115903.850000001</v>
      </c>
      <c r="T6" s="109">
        <v>55427190.149999999</v>
      </c>
      <c r="U6" s="109">
        <v>52298000</v>
      </c>
      <c r="V6" s="109">
        <v>53418039.520000003</v>
      </c>
      <c r="W6" s="184">
        <v>53454081.219999999</v>
      </c>
      <c r="X6" s="184">
        <v>53676937.469999999</v>
      </c>
      <c r="Y6" s="184">
        <v>53812930.399999999</v>
      </c>
      <c r="Z6" s="184">
        <v>56669901.780000001</v>
      </c>
      <c r="AA6" s="184">
        <v>59022059.950000003</v>
      </c>
      <c r="AB6" s="184">
        <v>61123040.039999999</v>
      </c>
    </row>
    <row r="7" spans="1:51" s="18" customFormat="1" hidden="1" outlineLevel="1">
      <c r="A7" s="114" t="s">
        <v>2244</v>
      </c>
      <c r="B7" s="239">
        <v>7.3999999999999996E-2</v>
      </c>
      <c r="C7" s="239">
        <v>5.1999999999999998E-2</v>
      </c>
      <c r="D7" s="239">
        <v>0.107</v>
      </c>
      <c r="E7" s="239">
        <v>0.11849999999999999</v>
      </c>
      <c r="F7" s="239">
        <v>9.0999999999999998E-2</v>
      </c>
      <c r="G7" s="239">
        <v>9.8000000000000004E-2</v>
      </c>
      <c r="H7" s="239">
        <v>-0.12970000000000001</v>
      </c>
      <c r="I7" s="239">
        <v>-0.19320000000000001</v>
      </c>
      <c r="J7" s="239">
        <v>0.52529999999999999</v>
      </c>
      <c r="K7" s="240" t="s">
        <v>2244</v>
      </c>
      <c r="L7" s="241">
        <v>0</v>
      </c>
      <c r="M7" s="241">
        <v>0</v>
      </c>
      <c r="N7" s="241">
        <v>0</v>
      </c>
      <c r="O7" s="241">
        <v>0</v>
      </c>
      <c r="P7" s="241">
        <v>0</v>
      </c>
      <c r="Q7" s="241">
        <v>0</v>
      </c>
      <c r="R7" s="111">
        <v>0.51900000000000002</v>
      </c>
      <c r="S7" s="185">
        <v>0.33350000000000002</v>
      </c>
      <c r="T7" s="111">
        <v>0.37340000000000001</v>
      </c>
      <c r="U7" s="111">
        <v>0.27310000000000001</v>
      </c>
      <c r="V7" s="111">
        <v>0.25509999999999999</v>
      </c>
      <c r="W7" s="185">
        <v>0.2109</v>
      </c>
      <c r="X7" s="185">
        <v>0.1208</v>
      </c>
      <c r="Y7" s="185">
        <v>6.5100000000000005E-2</v>
      </c>
      <c r="Z7" s="185">
        <v>5.67E-2</v>
      </c>
      <c r="AA7" s="185">
        <v>0.108</v>
      </c>
      <c r="AB7" s="185">
        <v>0.13719999999999999</v>
      </c>
      <c r="AV7" s="1027"/>
      <c r="AW7" s="1027"/>
      <c r="AX7" s="1027"/>
      <c r="AY7" s="1027"/>
    </row>
    <row r="8" spans="1:51" hidden="1" outlineLevel="1">
      <c r="A8" s="113" t="s">
        <v>2248</v>
      </c>
      <c r="B8" s="236">
        <v>28942800</v>
      </c>
      <c r="C8" s="236">
        <v>30414000</v>
      </c>
      <c r="D8" s="236">
        <v>34061600</v>
      </c>
      <c r="E8" s="236">
        <v>35916700</v>
      </c>
      <c r="F8" s="236">
        <v>40978000</v>
      </c>
      <c r="G8" s="236">
        <v>45972000</v>
      </c>
      <c r="H8" s="236">
        <v>17926715.059999999</v>
      </c>
      <c r="I8" s="236">
        <v>6521645.6200000001</v>
      </c>
      <c r="J8" s="236">
        <v>24510128.73</v>
      </c>
      <c r="K8" s="237" t="s">
        <v>2248</v>
      </c>
      <c r="L8" s="238">
        <v>1531700.31</v>
      </c>
      <c r="M8" s="238">
        <v>2462901.73</v>
      </c>
      <c r="N8" s="238">
        <v>3217272.45</v>
      </c>
      <c r="O8" s="238">
        <v>3302801.72</v>
      </c>
      <c r="P8" s="238">
        <v>3032925.5</v>
      </c>
      <c r="Q8" s="238">
        <v>2477000</v>
      </c>
      <c r="R8" s="109">
        <v>2012207.25</v>
      </c>
      <c r="S8" s="184">
        <v>2109905.52</v>
      </c>
      <c r="T8" s="109">
        <v>2586056.5499999998</v>
      </c>
      <c r="U8" s="109">
        <v>2026850.92</v>
      </c>
      <c r="V8" s="109">
        <v>2163027.31</v>
      </c>
      <c r="W8" s="184">
        <v>2322659.71</v>
      </c>
      <c r="X8" s="184">
        <v>2583961.61</v>
      </c>
      <c r="Y8" s="184">
        <v>3321189.11</v>
      </c>
      <c r="Z8" s="184">
        <v>3629044.04</v>
      </c>
      <c r="AA8" s="184">
        <v>3801724.69</v>
      </c>
      <c r="AB8" s="184">
        <v>3972802.31</v>
      </c>
    </row>
    <row r="9" spans="1:51" s="18" customFormat="1" hidden="1" outlineLevel="1">
      <c r="A9" s="114" t="s">
        <v>2244</v>
      </c>
      <c r="B9" s="239">
        <v>0.153</v>
      </c>
      <c r="C9" s="239">
        <v>9.5000000000000001E-2</v>
      </c>
      <c r="D9" s="239">
        <v>0.12</v>
      </c>
      <c r="E9" s="239">
        <v>0.1041</v>
      </c>
      <c r="F9" s="239">
        <v>0.14099999999999999</v>
      </c>
      <c r="G9" s="239">
        <v>0.121</v>
      </c>
      <c r="H9" s="239">
        <v>-0.59499999999999997</v>
      </c>
      <c r="I9" s="239">
        <v>-0.59899999999999998</v>
      </c>
      <c r="J9" s="239">
        <v>2.7149999999999999</v>
      </c>
      <c r="K9" s="240" t="s">
        <v>2244</v>
      </c>
      <c r="L9" s="241">
        <v>0</v>
      </c>
      <c r="M9" s="241">
        <v>0</v>
      </c>
      <c r="N9" s="241">
        <v>0</v>
      </c>
      <c r="O9" s="241">
        <v>0</v>
      </c>
      <c r="P9" s="241">
        <v>0</v>
      </c>
      <c r="Q9" s="241">
        <v>0</v>
      </c>
      <c r="R9" s="111">
        <v>3.0869</v>
      </c>
      <c r="S9" s="185">
        <v>1.1325000000000001</v>
      </c>
      <c r="T9" s="111">
        <v>1.1343000000000001</v>
      </c>
      <c r="U9" s="111">
        <v>0.94689999999999996</v>
      </c>
      <c r="V9" s="111">
        <v>1.1391</v>
      </c>
      <c r="W9" s="185">
        <v>0.86019999999999996</v>
      </c>
      <c r="X9" s="185">
        <v>0.40289999999999998</v>
      </c>
      <c r="Y9" s="185">
        <v>7.8399999999999997E-2</v>
      </c>
      <c r="Z9" s="185">
        <v>6.4899999999999999E-2</v>
      </c>
      <c r="AA9" s="185">
        <v>0.2135</v>
      </c>
      <c r="AB9" s="185">
        <v>0.44929999999999998</v>
      </c>
      <c r="AV9" s="1027"/>
      <c r="AW9" s="1027"/>
      <c r="AX9" s="1027"/>
      <c r="AY9" s="1027"/>
    </row>
    <row r="10" spans="1:51" hidden="1" outlineLevel="1">
      <c r="A10" s="113" t="s">
        <v>2249</v>
      </c>
      <c r="B10" s="236">
        <v>347283900</v>
      </c>
      <c r="C10" s="236">
        <v>370327900</v>
      </c>
      <c r="D10" s="236">
        <v>403417600</v>
      </c>
      <c r="E10" s="236">
        <v>466296200</v>
      </c>
      <c r="F10" s="236">
        <v>509128000</v>
      </c>
      <c r="G10" s="236">
        <v>556410000</v>
      </c>
      <c r="H10" s="236">
        <v>534632151.94</v>
      </c>
      <c r="I10" s="236">
        <v>434129253.60000002</v>
      </c>
      <c r="J10" s="236">
        <v>600827240.41999996</v>
      </c>
      <c r="K10" s="237" t="s">
        <v>2250</v>
      </c>
      <c r="L10" s="238">
        <v>45337000</v>
      </c>
      <c r="M10" s="238">
        <v>46623399.880000003</v>
      </c>
      <c r="N10" s="238">
        <v>47422400</v>
      </c>
      <c r="O10" s="238">
        <v>47855556.920000002</v>
      </c>
      <c r="P10" s="238">
        <v>57144850.979999997</v>
      </c>
      <c r="Q10" s="238">
        <v>59854725.530000001</v>
      </c>
      <c r="R10" s="109">
        <v>59217658.780000001</v>
      </c>
      <c r="S10" s="184">
        <v>59626260.630000003</v>
      </c>
      <c r="T10" s="109">
        <v>49960545.649999999</v>
      </c>
      <c r="U10" s="109">
        <v>50137273.969999999</v>
      </c>
      <c r="V10" s="109">
        <v>50077610.450000003</v>
      </c>
      <c r="W10" s="184">
        <v>51759137.329999998</v>
      </c>
      <c r="X10" s="184">
        <v>50806769.200000003</v>
      </c>
      <c r="Y10" s="184">
        <v>51590774.810000002</v>
      </c>
      <c r="Z10" s="184">
        <v>53139163.229999997</v>
      </c>
      <c r="AA10" s="184">
        <v>55260186.75</v>
      </c>
      <c r="AB10" s="184">
        <v>57067194.859999999</v>
      </c>
    </row>
    <row r="11" spans="1:51" s="18" customFormat="1" hidden="1" outlineLevel="1">
      <c r="A11" s="114" t="s">
        <v>2244</v>
      </c>
      <c r="B11" s="239">
        <v>9.4E-2</v>
      </c>
      <c r="C11" s="239">
        <v>7.0000000000000007E-2</v>
      </c>
      <c r="D11" s="239">
        <v>9.2999999999999999E-2</v>
      </c>
      <c r="E11" s="239">
        <v>9.7199999999999995E-2</v>
      </c>
      <c r="F11" s="239">
        <v>9.8000000000000004E-2</v>
      </c>
      <c r="G11" s="239">
        <v>8.5000000000000006E-2</v>
      </c>
      <c r="H11" s="239">
        <v>-4.0300000000000002E-2</v>
      </c>
      <c r="I11" s="239">
        <v>-0.16830000000000001</v>
      </c>
      <c r="J11" s="239">
        <v>0.3639</v>
      </c>
      <c r="K11" s="240" t="s">
        <v>2244</v>
      </c>
      <c r="L11" s="241">
        <v>0</v>
      </c>
      <c r="M11" s="241">
        <v>0</v>
      </c>
      <c r="N11" s="241">
        <v>0</v>
      </c>
      <c r="O11" s="241">
        <v>0</v>
      </c>
      <c r="P11" s="241">
        <v>0</v>
      </c>
      <c r="Q11" s="241">
        <v>0</v>
      </c>
      <c r="R11" s="111">
        <v>0.4148</v>
      </c>
      <c r="S11" s="185">
        <v>0.36870000000000003</v>
      </c>
      <c r="T11" s="111">
        <v>0.1681</v>
      </c>
      <c r="U11" s="111">
        <v>0.18659999999999999</v>
      </c>
      <c r="V11" s="111">
        <v>0.1694</v>
      </c>
      <c r="W11" s="185">
        <v>0.14699999999999999</v>
      </c>
      <c r="X11" s="185">
        <v>0.14599999999999999</v>
      </c>
      <c r="Y11" s="185">
        <v>0.11119999999999999</v>
      </c>
      <c r="Z11" s="185">
        <v>9.6299999999999997E-2</v>
      </c>
      <c r="AA11" s="185">
        <v>4.2299999999999997E-2</v>
      </c>
      <c r="AB11" s="185">
        <v>2.0999999999999999E-3</v>
      </c>
      <c r="AV11" s="1027"/>
      <c r="AW11" s="1027"/>
      <c r="AX11" s="1027"/>
      <c r="AY11" s="1027"/>
    </row>
    <row r="12" spans="1:51" hidden="1" outlineLevel="1">
      <c r="A12"/>
      <c r="B12" s="233">
        <v>2014</v>
      </c>
      <c r="C12" s="233">
        <v>2015</v>
      </c>
      <c r="D12" s="233">
        <v>2016</v>
      </c>
      <c r="E12" s="233">
        <v>2017</v>
      </c>
      <c r="F12" s="233">
        <v>2018</v>
      </c>
      <c r="G12" s="233">
        <v>2019</v>
      </c>
      <c r="H12" s="233">
        <v>2020</v>
      </c>
      <c r="I12" s="233">
        <v>2021</v>
      </c>
      <c r="J12" s="233">
        <v>2022</v>
      </c>
      <c r="K12" s="242"/>
      <c r="L12" s="242"/>
      <c r="M12" s="242"/>
      <c r="N12" s="242"/>
      <c r="O12" s="242"/>
      <c r="P12" s="242"/>
      <c r="Q12" s="242"/>
      <c r="R12"/>
      <c r="T12"/>
      <c r="U12"/>
      <c r="V12"/>
    </row>
    <row r="13" spans="1:51" hidden="1" outlineLevel="1">
      <c r="A13" s="115" t="str">
        <f>A2</f>
        <v xml:space="preserve">Total </v>
      </c>
      <c r="B13" s="243">
        <f t="shared" ref="B13:J13" si="0">B2</f>
        <v>2945253900</v>
      </c>
      <c r="C13" s="243">
        <f t="shared" si="0"/>
        <v>3242866200</v>
      </c>
      <c r="D13" s="243">
        <f t="shared" si="0"/>
        <v>3527366100</v>
      </c>
      <c r="E13" s="243">
        <f t="shared" si="0"/>
        <v>3934184700</v>
      </c>
      <c r="F13" s="243">
        <f t="shared" si="0"/>
        <v>4395704000</v>
      </c>
      <c r="G13" s="243">
        <f t="shared" si="0"/>
        <v>4940403000</v>
      </c>
      <c r="H13" s="243">
        <f t="shared" si="0"/>
        <v>5059846167.3100004</v>
      </c>
      <c r="I13" s="243">
        <f t="shared" si="0"/>
        <v>4789494884.8000002</v>
      </c>
      <c r="J13" s="244">
        <f t="shared" si="0"/>
        <v>5679875575.9700003</v>
      </c>
      <c r="K13" s="242"/>
      <c r="L13" s="242"/>
      <c r="M13" s="242"/>
      <c r="N13" s="242"/>
      <c r="O13" s="242"/>
      <c r="P13" s="242"/>
      <c r="Q13" s="242"/>
      <c r="R13"/>
      <c r="T13"/>
      <c r="U13"/>
      <c r="V13"/>
    </row>
    <row r="14" spans="1:51" hidden="1" outlineLevel="1">
      <c r="A14" s="115" t="str">
        <f>A4</f>
        <v xml:space="preserve"> Retail</v>
      </c>
      <c r="B14" s="243">
        <f t="shared" ref="B14:J14" si="1">B4</f>
        <v>2216211300</v>
      </c>
      <c r="C14" s="243">
        <f t="shared" si="1"/>
        <v>2469879600</v>
      </c>
      <c r="D14" s="243">
        <f t="shared" si="1"/>
        <v>2676450200</v>
      </c>
      <c r="E14" s="243">
        <f t="shared" si="1"/>
        <v>2937317200</v>
      </c>
      <c r="F14" s="243">
        <f t="shared" si="1"/>
        <v>3306147000</v>
      </c>
      <c r="G14" s="243">
        <f t="shared" si="1"/>
        <v>3751335000</v>
      </c>
      <c r="H14" s="243">
        <f t="shared" si="1"/>
        <v>3996884783.0999999</v>
      </c>
      <c r="I14" s="243">
        <f t="shared" si="1"/>
        <v>3950893823.5799999</v>
      </c>
      <c r="J14" s="244">
        <f t="shared" si="1"/>
        <v>4475854912.0500002</v>
      </c>
      <c r="K14" s="242"/>
      <c r="L14" s="242"/>
      <c r="M14" s="242"/>
      <c r="N14" s="242"/>
      <c r="O14" s="242"/>
      <c r="P14" s="242"/>
      <c r="Q14" s="242"/>
      <c r="R14"/>
      <c r="T14"/>
      <c r="U14"/>
      <c r="V14"/>
    </row>
    <row r="15" spans="1:51" hidden="1" outlineLevel="1">
      <c r="A15" s="115" t="str">
        <f>A6</f>
        <v>Accommodation and catering</v>
      </c>
      <c r="B15" s="243">
        <f t="shared" ref="B15:J15" si="2">B6</f>
        <v>352815900</v>
      </c>
      <c r="C15" s="243">
        <f t="shared" si="2"/>
        <v>372244700</v>
      </c>
      <c r="D15" s="243">
        <f t="shared" si="2"/>
        <v>413436700</v>
      </c>
      <c r="E15" s="243">
        <f t="shared" si="2"/>
        <v>494654600</v>
      </c>
      <c r="F15" s="243">
        <f t="shared" si="2"/>
        <v>539451000</v>
      </c>
      <c r="G15" s="243">
        <f t="shared" si="2"/>
        <v>586686000</v>
      </c>
      <c r="H15" s="243">
        <f t="shared" si="2"/>
        <v>510402000</v>
      </c>
      <c r="I15" s="243">
        <f t="shared" si="2"/>
        <v>397950162</v>
      </c>
      <c r="J15" s="244">
        <f t="shared" si="2"/>
        <v>578684000</v>
      </c>
      <c r="K15" s="242"/>
      <c r="L15" s="242"/>
      <c r="M15" s="242"/>
      <c r="N15" s="242"/>
      <c r="O15" s="242"/>
      <c r="P15" s="242"/>
      <c r="Q15" s="242"/>
      <c r="R15"/>
      <c r="T15"/>
      <c r="U15"/>
      <c r="V15"/>
    </row>
    <row r="16" spans="1:51" hidden="1" outlineLevel="1">
      <c r="A16" s="115" t="str">
        <f>A8</f>
        <v>Traveling service</v>
      </c>
      <c r="B16" s="243">
        <f t="shared" ref="B16:J16" si="3">B8</f>
        <v>28942800</v>
      </c>
      <c r="C16" s="243">
        <f t="shared" si="3"/>
        <v>30414000</v>
      </c>
      <c r="D16" s="243">
        <f t="shared" si="3"/>
        <v>34061600</v>
      </c>
      <c r="E16" s="243">
        <f t="shared" si="3"/>
        <v>35916700</v>
      </c>
      <c r="F16" s="243">
        <f t="shared" si="3"/>
        <v>40978000</v>
      </c>
      <c r="G16" s="243">
        <f t="shared" si="3"/>
        <v>45972000</v>
      </c>
      <c r="H16" s="243">
        <f t="shared" si="3"/>
        <v>17926715.059999999</v>
      </c>
      <c r="I16" s="243">
        <f t="shared" si="3"/>
        <v>6521645.6200000001</v>
      </c>
      <c r="J16" s="244">
        <f t="shared" si="3"/>
        <v>24510128.73</v>
      </c>
      <c r="K16" s="242"/>
      <c r="L16" s="242"/>
      <c r="M16" s="242"/>
      <c r="N16" s="242"/>
      <c r="O16" s="242"/>
      <c r="P16" s="242"/>
      <c r="Q16" s="242"/>
      <c r="R16"/>
      <c r="T16"/>
      <c r="U16"/>
      <c r="V16"/>
    </row>
    <row r="17" spans="1:22" hidden="1" outlineLevel="1">
      <c r="A17" s="115" t="str">
        <f>A10</f>
        <v>Other services</v>
      </c>
      <c r="B17" s="243">
        <f t="shared" ref="B17:J17" si="4">B10</f>
        <v>347283900</v>
      </c>
      <c r="C17" s="243">
        <f t="shared" si="4"/>
        <v>370327900</v>
      </c>
      <c r="D17" s="243">
        <f t="shared" si="4"/>
        <v>403417600</v>
      </c>
      <c r="E17" s="243">
        <f t="shared" si="4"/>
        <v>466296200</v>
      </c>
      <c r="F17" s="243">
        <f t="shared" si="4"/>
        <v>509128000</v>
      </c>
      <c r="G17" s="243">
        <f t="shared" si="4"/>
        <v>556410000</v>
      </c>
      <c r="H17" s="243">
        <f t="shared" si="4"/>
        <v>534632151.94</v>
      </c>
      <c r="I17" s="243">
        <f t="shared" si="4"/>
        <v>434129253.60000002</v>
      </c>
      <c r="J17" s="244">
        <f t="shared" si="4"/>
        <v>600827240.41999996</v>
      </c>
      <c r="K17" s="242"/>
      <c r="L17" s="242"/>
      <c r="M17" s="242"/>
      <c r="N17" s="242"/>
      <c r="O17" s="242"/>
      <c r="P17" s="242"/>
      <c r="Q17" s="242"/>
      <c r="R17"/>
      <c r="T17"/>
      <c r="U17"/>
      <c r="V17"/>
    </row>
    <row r="18" spans="1:22" hidden="1" outlineLevel="1">
      <c r="A18"/>
      <c r="B18" s="242"/>
      <c r="C18" s="242"/>
      <c r="D18" s="242"/>
      <c r="E18" s="242"/>
      <c r="F18" s="242"/>
      <c r="G18" s="242"/>
      <c r="H18" s="242"/>
      <c r="I18" s="242"/>
      <c r="J18" s="242"/>
      <c r="K18" s="242"/>
      <c r="L18" s="242"/>
      <c r="M18" s="242"/>
      <c r="N18" s="242"/>
      <c r="O18" s="242"/>
      <c r="P18" s="242"/>
      <c r="Q18" s="242"/>
      <c r="R18"/>
      <c r="T18"/>
      <c r="U18"/>
      <c r="V18"/>
    </row>
    <row r="19" spans="1:22" hidden="1" outlineLevel="1">
      <c r="A19"/>
      <c r="B19" s="242"/>
      <c r="C19" s="242"/>
      <c r="D19" s="242"/>
      <c r="E19" s="242"/>
      <c r="F19" s="242"/>
      <c r="G19" s="242"/>
      <c r="H19" s="242"/>
      <c r="I19" s="242"/>
      <c r="J19" s="242"/>
      <c r="K19" s="242"/>
      <c r="L19" s="242"/>
      <c r="M19" s="242"/>
      <c r="N19" s="242"/>
      <c r="O19" s="242"/>
      <c r="P19" s="242"/>
      <c r="Q19" s="242"/>
      <c r="R19"/>
      <c r="T19"/>
      <c r="U19"/>
      <c r="V19"/>
    </row>
    <row r="20" spans="1:22" hidden="1" outlineLevel="1">
      <c r="A20"/>
      <c r="B20" s="235">
        <v>44713</v>
      </c>
      <c r="C20" s="235">
        <v>44743</v>
      </c>
      <c r="D20" s="235">
        <v>44774</v>
      </c>
      <c r="E20" s="235">
        <v>44805</v>
      </c>
      <c r="F20" s="235">
        <v>44835</v>
      </c>
      <c r="G20" s="235">
        <v>44866</v>
      </c>
      <c r="H20" s="235">
        <v>44896</v>
      </c>
      <c r="I20" s="235">
        <v>44927</v>
      </c>
      <c r="J20" s="235">
        <v>44958</v>
      </c>
      <c r="K20" s="235">
        <v>44986</v>
      </c>
      <c r="L20" s="235">
        <v>45017</v>
      </c>
      <c r="M20" s="235">
        <v>45047</v>
      </c>
      <c r="N20" s="235">
        <v>45078</v>
      </c>
      <c r="O20" s="235">
        <v>45108</v>
      </c>
      <c r="P20" s="235">
        <v>45139</v>
      </c>
      <c r="Q20" s="235">
        <v>45170</v>
      </c>
      <c r="R20"/>
      <c r="T20"/>
      <c r="U20"/>
      <c r="V20"/>
    </row>
    <row r="21" spans="1:22" hidden="1" outlineLevel="1">
      <c r="A21"/>
      <c r="B21" s="244">
        <f t="shared" ref="B21:Q21" si="5">M2</f>
        <v>471765701.63</v>
      </c>
      <c r="C21" s="244">
        <f t="shared" si="5"/>
        <v>485984371.07999998</v>
      </c>
      <c r="D21" s="244">
        <f t="shared" si="5"/>
        <v>481224897.66000003</v>
      </c>
      <c r="E21" s="244">
        <f t="shared" si="5"/>
        <v>493091713.44999999</v>
      </c>
      <c r="F21" s="244">
        <f t="shared" si="5"/>
        <v>501158465.58999997</v>
      </c>
      <c r="G21" s="244">
        <f t="shared" si="5"/>
        <v>497623793.75999999</v>
      </c>
      <c r="H21" s="244">
        <f t="shared" si="5"/>
        <v>517660095.73000002</v>
      </c>
      <c r="I21" s="244">
        <f t="shared" si="5"/>
        <v>512320508.00999999</v>
      </c>
      <c r="J21" s="244">
        <f t="shared" si="5"/>
        <v>491620856.99000001</v>
      </c>
      <c r="K21" s="244">
        <f t="shared" si="5"/>
        <v>501310039.25999999</v>
      </c>
      <c r="L21" s="244">
        <f t="shared" si="5"/>
        <v>511507489.75999999</v>
      </c>
      <c r="M21" s="244">
        <f t="shared" si="5"/>
        <v>503058653.30000001</v>
      </c>
      <c r="N21" s="244">
        <f t="shared" si="5"/>
        <v>506479735.24000001</v>
      </c>
      <c r="O21" s="244">
        <f t="shared" si="5"/>
        <v>510910476.10000002</v>
      </c>
      <c r="P21" s="244">
        <f t="shared" si="5"/>
        <v>512211655.38999999</v>
      </c>
      <c r="Q21" s="244">
        <f t="shared" si="5"/>
        <v>524595167.44999999</v>
      </c>
      <c r="R21"/>
      <c r="T21"/>
      <c r="U21"/>
      <c r="V21"/>
    </row>
    <row r="22" spans="1:22" hidden="1" outlineLevel="1">
      <c r="A22"/>
      <c r="B22" s="244">
        <f t="shared" ref="B22:Q22" si="6">M4</f>
        <v>373555692.24000001</v>
      </c>
      <c r="C22" s="244">
        <f t="shared" si="6"/>
        <v>381453212.97000003</v>
      </c>
      <c r="D22" s="244">
        <f t="shared" si="6"/>
        <v>376593003.35000002</v>
      </c>
      <c r="E22" s="244">
        <f t="shared" si="6"/>
        <v>379271599.06999999</v>
      </c>
      <c r="F22" s="244">
        <f t="shared" si="6"/>
        <v>386901800.63</v>
      </c>
      <c r="G22" s="244">
        <f t="shared" si="6"/>
        <v>389495743.30000001</v>
      </c>
      <c r="H22" s="244">
        <f t="shared" si="6"/>
        <v>402808025.73000002</v>
      </c>
      <c r="I22" s="244">
        <f t="shared" si="6"/>
        <v>404346715.67000002</v>
      </c>
      <c r="J22" s="244">
        <f t="shared" si="6"/>
        <v>387159300.25</v>
      </c>
      <c r="K22" s="244">
        <f t="shared" si="6"/>
        <v>395651361.98000002</v>
      </c>
      <c r="L22" s="244">
        <f t="shared" si="6"/>
        <v>403971611.5</v>
      </c>
      <c r="M22" s="244">
        <f t="shared" si="6"/>
        <v>395990985.00999999</v>
      </c>
      <c r="N22" s="244">
        <f t="shared" si="6"/>
        <v>397754840.92000002</v>
      </c>
      <c r="O22" s="244">
        <f t="shared" si="6"/>
        <v>397472367.05000001</v>
      </c>
      <c r="P22" s="244">
        <f t="shared" si="6"/>
        <v>394127684</v>
      </c>
      <c r="Q22" s="244">
        <f t="shared" si="6"/>
        <v>402432130.25</v>
      </c>
      <c r="R22"/>
      <c r="T22"/>
      <c r="U22"/>
      <c r="V22"/>
    </row>
    <row r="23" spans="1:22" hidden="1" outlineLevel="1">
      <c r="A23"/>
      <c r="B23" s="244">
        <f t="shared" ref="B23:Q23" si="7">M6</f>
        <v>49123707.780000001</v>
      </c>
      <c r="C23" s="244">
        <f t="shared" si="7"/>
        <v>53891536.409999996</v>
      </c>
      <c r="D23" s="244">
        <f t="shared" si="7"/>
        <v>53473535.670000002</v>
      </c>
      <c r="E23" s="244">
        <f t="shared" si="7"/>
        <v>53642337.890000001</v>
      </c>
      <c r="F23" s="244">
        <f t="shared" si="7"/>
        <v>51924396.119999997</v>
      </c>
      <c r="G23" s="244">
        <f t="shared" si="7"/>
        <v>46898184.43</v>
      </c>
      <c r="H23" s="244">
        <f t="shared" si="7"/>
        <v>53115903.850000001</v>
      </c>
      <c r="I23" s="244">
        <f t="shared" si="7"/>
        <v>55427190.149999999</v>
      </c>
      <c r="J23" s="244">
        <f t="shared" si="7"/>
        <v>52298000</v>
      </c>
      <c r="K23" s="244">
        <f t="shared" si="7"/>
        <v>53418039.520000003</v>
      </c>
      <c r="L23" s="244">
        <f t="shared" si="7"/>
        <v>53454081.219999999</v>
      </c>
      <c r="M23" s="244">
        <f t="shared" si="7"/>
        <v>53676937.469999999</v>
      </c>
      <c r="N23" s="244">
        <f t="shared" si="7"/>
        <v>53812930.399999999</v>
      </c>
      <c r="O23" s="244">
        <f t="shared" si="7"/>
        <v>56669901.780000001</v>
      </c>
      <c r="P23" s="244">
        <f t="shared" si="7"/>
        <v>59022059.950000003</v>
      </c>
      <c r="Q23" s="244">
        <f t="shared" si="7"/>
        <v>61123040.039999999</v>
      </c>
      <c r="R23"/>
      <c r="T23"/>
      <c r="U23"/>
      <c r="V23"/>
    </row>
    <row r="24" spans="1:22" hidden="1" outlineLevel="1">
      <c r="A24"/>
      <c r="B24" s="244">
        <f t="shared" ref="B24:Q24" si="8">M8</f>
        <v>2462901.73</v>
      </c>
      <c r="C24" s="244">
        <f t="shared" si="8"/>
        <v>3217272.45</v>
      </c>
      <c r="D24" s="244">
        <f t="shared" si="8"/>
        <v>3302801.72</v>
      </c>
      <c r="E24" s="244">
        <f t="shared" si="8"/>
        <v>3032925.5</v>
      </c>
      <c r="F24" s="244">
        <f t="shared" si="8"/>
        <v>2477000</v>
      </c>
      <c r="G24" s="244">
        <f t="shared" si="8"/>
        <v>2012207.25</v>
      </c>
      <c r="H24" s="244">
        <f t="shared" si="8"/>
        <v>2109905.52</v>
      </c>
      <c r="I24" s="244">
        <f t="shared" si="8"/>
        <v>2586056.5499999998</v>
      </c>
      <c r="J24" s="244">
        <f t="shared" si="8"/>
        <v>2026850.92</v>
      </c>
      <c r="K24" s="244">
        <f t="shared" si="8"/>
        <v>2163027.31</v>
      </c>
      <c r="L24" s="244">
        <f t="shared" si="8"/>
        <v>2322659.71</v>
      </c>
      <c r="M24" s="244">
        <f t="shared" si="8"/>
        <v>2583961.61</v>
      </c>
      <c r="N24" s="244">
        <f t="shared" si="8"/>
        <v>3321189.11</v>
      </c>
      <c r="O24" s="244">
        <f t="shared" si="8"/>
        <v>3629044.04</v>
      </c>
      <c r="P24" s="244">
        <f t="shared" si="8"/>
        <v>3801724.69</v>
      </c>
      <c r="Q24" s="244">
        <f t="shared" si="8"/>
        <v>3972802.31</v>
      </c>
      <c r="R24"/>
      <c r="T24"/>
      <c r="U24"/>
      <c r="V24"/>
    </row>
    <row r="25" spans="1:22" hidden="1" outlineLevel="1">
      <c r="A25"/>
      <c r="B25" s="244">
        <f t="shared" ref="B25:Q25" si="9">M10</f>
        <v>46623399.880000003</v>
      </c>
      <c r="C25" s="244">
        <f t="shared" si="9"/>
        <v>47422400</v>
      </c>
      <c r="D25" s="244">
        <f t="shared" si="9"/>
        <v>47855556.920000002</v>
      </c>
      <c r="E25" s="244">
        <f t="shared" si="9"/>
        <v>57144850.979999997</v>
      </c>
      <c r="F25" s="244">
        <f t="shared" si="9"/>
        <v>59854725.530000001</v>
      </c>
      <c r="G25" s="244">
        <f t="shared" si="9"/>
        <v>59217658.780000001</v>
      </c>
      <c r="H25" s="244">
        <f t="shared" si="9"/>
        <v>59626260.630000003</v>
      </c>
      <c r="I25" s="244">
        <f t="shared" si="9"/>
        <v>49960545.649999999</v>
      </c>
      <c r="J25" s="244">
        <f t="shared" si="9"/>
        <v>50137273.969999999</v>
      </c>
      <c r="K25" s="244">
        <f t="shared" si="9"/>
        <v>50077610.450000003</v>
      </c>
      <c r="L25" s="244">
        <f t="shared" si="9"/>
        <v>51759137.329999998</v>
      </c>
      <c r="M25" s="244">
        <f t="shared" si="9"/>
        <v>50806769.200000003</v>
      </c>
      <c r="N25" s="244">
        <f t="shared" si="9"/>
        <v>51590774.810000002</v>
      </c>
      <c r="O25" s="244">
        <f t="shared" si="9"/>
        <v>53139163.229999997</v>
      </c>
      <c r="P25" s="244">
        <f t="shared" si="9"/>
        <v>55260186.75</v>
      </c>
      <c r="Q25" s="244">
        <f t="shared" si="9"/>
        <v>57067194.859999999</v>
      </c>
      <c r="R25"/>
      <c r="T25"/>
      <c r="U25"/>
      <c r="V25"/>
    </row>
    <row r="26" spans="1:22" hidden="1" outlineLevel="1">
      <c r="A26"/>
      <c r="B26" s="242"/>
      <c r="C26" s="242"/>
      <c r="D26" s="242"/>
      <c r="E26" s="242"/>
      <c r="F26" s="242"/>
      <c r="G26" s="242"/>
      <c r="H26" s="242"/>
      <c r="I26" s="242"/>
      <c r="J26" s="242"/>
      <c r="K26" s="242"/>
      <c r="L26" s="242"/>
      <c r="M26" s="242"/>
      <c r="N26" s="242"/>
      <c r="O26" s="242"/>
      <c r="P26" s="242"/>
      <c r="Q26" s="242"/>
      <c r="R26"/>
      <c r="T26"/>
      <c r="U26"/>
      <c r="V26"/>
    </row>
    <row r="27" spans="1:22" hidden="1" outlineLevel="1">
      <c r="A27"/>
      <c r="B27" s="242"/>
      <c r="C27" s="242"/>
      <c r="D27" s="242"/>
      <c r="E27" s="242"/>
      <c r="F27" s="242"/>
      <c r="G27" s="242"/>
      <c r="H27" s="242"/>
      <c r="I27" s="242"/>
      <c r="J27" s="242"/>
      <c r="K27" s="242"/>
      <c r="L27" s="242"/>
      <c r="M27" s="242"/>
      <c r="N27" s="242"/>
      <c r="O27" s="242"/>
      <c r="P27" s="242"/>
      <c r="Q27" s="242"/>
      <c r="R27"/>
      <c r="T27"/>
      <c r="U27"/>
      <c r="V27"/>
    </row>
    <row r="28" spans="1:22" hidden="1" outlineLevel="1">
      <c r="A28"/>
      <c r="B28" s="233">
        <v>2014</v>
      </c>
      <c r="C28" s="233">
        <v>2015</v>
      </c>
      <c r="D28" s="233">
        <v>2016</v>
      </c>
      <c r="E28" s="233">
        <v>2017</v>
      </c>
      <c r="F28" s="233">
        <v>2018</v>
      </c>
      <c r="G28" s="233">
        <v>2019</v>
      </c>
      <c r="H28" s="233">
        <v>2020</v>
      </c>
      <c r="I28" s="233">
        <v>2021</v>
      </c>
      <c r="J28" s="233">
        <v>2022</v>
      </c>
      <c r="K28" s="243"/>
      <c r="L28" s="243"/>
      <c r="M28" s="243"/>
      <c r="N28" s="243"/>
      <c r="O28" s="243"/>
      <c r="P28" s="243"/>
      <c r="Q28" s="243"/>
      <c r="R28"/>
      <c r="T28"/>
      <c r="U28"/>
      <c r="V28"/>
    </row>
    <row r="29" spans="1:22" hidden="1" outlineLevel="1">
      <c r="A29" s="117" t="str">
        <f>K2</f>
        <v xml:space="preserve">Total </v>
      </c>
      <c r="B29" s="243">
        <f>B13/10^6</f>
        <v>2945.2539000000002</v>
      </c>
      <c r="C29" s="243">
        <f t="shared" ref="C29:J29" si="10">C13/10^6</f>
        <v>3242.8661999999999</v>
      </c>
      <c r="D29" s="243">
        <f t="shared" si="10"/>
        <v>3527.3661000000002</v>
      </c>
      <c r="E29" s="243">
        <f t="shared" si="10"/>
        <v>3934.1846999999998</v>
      </c>
      <c r="F29" s="243">
        <f t="shared" si="10"/>
        <v>4395.7039999999997</v>
      </c>
      <c r="G29" s="243">
        <f t="shared" si="10"/>
        <v>4940.4030000000002</v>
      </c>
      <c r="H29" s="243">
        <f t="shared" si="10"/>
        <v>5059.8461673100001</v>
      </c>
      <c r="I29" s="243">
        <f t="shared" si="10"/>
        <v>4789.4948848000004</v>
      </c>
      <c r="J29" s="243">
        <f t="shared" si="10"/>
        <v>5679.8755759700007</v>
      </c>
      <c r="K29" s="243"/>
      <c r="L29" s="243"/>
      <c r="M29" s="243"/>
      <c r="N29" s="243"/>
      <c r="O29" s="243"/>
      <c r="P29" s="243"/>
      <c r="Q29" s="243"/>
      <c r="R29"/>
      <c r="T29"/>
      <c r="U29"/>
      <c r="V29"/>
    </row>
    <row r="30" spans="1:22" hidden="1" outlineLevel="1">
      <c r="A30" s="117" t="str">
        <f>K4</f>
        <v xml:space="preserve"> Retail</v>
      </c>
      <c r="B30" s="243">
        <f t="shared" ref="B30:J30" si="11">B14/10^6</f>
        <v>2216.2112999999999</v>
      </c>
      <c r="C30" s="243">
        <f t="shared" si="11"/>
        <v>2469.8796000000002</v>
      </c>
      <c r="D30" s="243">
        <f t="shared" si="11"/>
        <v>2676.4502000000002</v>
      </c>
      <c r="E30" s="243">
        <f t="shared" si="11"/>
        <v>2937.3172</v>
      </c>
      <c r="F30" s="243">
        <f t="shared" si="11"/>
        <v>3306.1469999999999</v>
      </c>
      <c r="G30" s="243">
        <f t="shared" si="11"/>
        <v>3751.335</v>
      </c>
      <c r="H30" s="243">
        <f t="shared" si="11"/>
        <v>3996.8847830999998</v>
      </c>
      <c r="I30" s="243">
        <f t="shared" si="11"/>
        <v>3950.8938235800001</v>
      </c>
      <c r="J30" s="243">
        <f t="shared" si="11"/>
        <v>4475.8549120500002</v>
      </c>
      <c r="K30" s="243"/>
      <c r="L30" s="243"/>
      <c r="M30" s="243"/>
      <c r="N30" s="243"/>
      <c r="O30" s="243"/>
      <c r="P30" s="243"/>
      <c r="Q30" s="243"/>
      <c r="R30"/>
      <c r="T30"/>
      <c r="U30"/>
      <c r="V30"/>
    </row>
    <row r="31" spans="1:22" hidden="1" outlineLevel="1">
      <c r="A31" s="117" t="str">
        <f>K6</f>
        <v xml:space="preserve"> Accommodation and catering</v>
      </c>
      <c r="B31" s="243">
        <f t="shared" ref="B31:J31" si="12">B15/10^6</f>
        <v>352.8159</v>
      </c>
      <c r="C31" s="243">
        <f t="shared" si="12"/>
        <v>372.24470000000002</v>
      </c>
      <c r="D31" s="243">
        <f t="shared" si="12"/>
        <v>413.43669999999997</v>
      </c>
      <c r="E31" s="243">
        <f t="shared" si="12"/>
        <v>494.65460000000002</v>
      </c>
      <c r="F31" s="243">
        <f t="shared" si="12"/>
        <v>539.45100000000002</v>
      </c>
      <c r="G31" s="243">
        <f t="shared" si="12"/>
        <v>586.68600000000004</v>
      </c>
      <c r="H31" s="243">
        <f t="shared" si="12"/>
        <v>510.40199999999999</v>
      </c>
      <c r="I31" s="243">
        <f t="shared" si="12"/>
        <v>397.95016199999998</v>
      </c>
      <c r="J31" s="243">
        <f t="shared" si="12"/>
        <v>578.68399999999997</v>
      </c>
      <c r="K31" s="243"/>
      <c r="L31" s="243"/>
      <c r="M31" s="243"/>
      <c r="N31" s="243"/>
      <c r="O31" s="243"/>
      <c r="P31" s="243"/>
      <c r="Q31" s="243"/>
      <c r="R31"/>
      <c r="T31"/>
      <c r="U31"/>
      <c r="V31"/>
    </row>
    <row r="32" spans="1:22" hidden="1" outlineLevel="1">
      <c r="A32" s="117" t="str">
        <f>K8</f>
        <v>Traveling service</v>
      </c>
      <c r="B32" s="243">
        <f t="shared" ref="B32:J32" si="13">B16/10^6</f>
        <v>28.942799999999998</v>
      </c>
      <c r="C32" s="243">
        <f t="shared" si="13"/>
        <v>30.414000000000001</v>
      </c>
      <c r="D32" s="243">
        <f t="shared" si="13"/>
        <v>34.061599999999999</v>
      </c>
      <c r="E32" s="243">
        <f t="shared" si="13"/>
        <v>35.916699999999999</v>
      </c>
      <c r="F32" s="243">
        <f t="shared" si="13"/>
        <v>40.978000000000002</v>
      </c>
      <c r="G32" s="243">
        <f t="shared" si="13"/>
        <v>45.972000000000001</v>
      </c>
      <c r="H32" s="243">
        <f t="shared" si="13"/>
        <v>17.926715059999999</v>
      </c>
      <c r="I32" s="243">
        <f t="shared" si="13"/>
        <v>6.5216456200000001</v>
      </c>
      <c r="J32" s="243">
        <f t="shared" si="13"/>
        <v>24.510128730000002</v>
      </c>
      <c r="K32" s="243"/>
      <c r="L32" s="243"/>
      <c r="M32" s="243"/>
      <c r="N32" s="243"/>
      <c r="O32" s="243"/>
      <c r="P32" s="243"/>
      <c r="Q32" s="243"/>
      <c r="R32"/>
      <c r="T32"/>
      <c r="U32"/>
      <c r="V32"/>
    </row>
    <row r="33" spans="1:22" hidden="1" outlineLevel="1">
      <c r="A33" s="117" t="str">
        <f>K10</f>
        <v xml:space="preserve"> Other services</v>
      </c>
      <c r="B33" s="243">
        <f t="shared" ref="B33:J33" si="14">B17/10^6</f>
        <v>347.28390000000002</v>
      </c>
      <c r="C33" s="243">
        <f t="shared" si="14"/>
        <v>370.3279</v>
      </c>
      <c r="D33" s="243">
        <f t="shared" si="14"/>
        <v>403.41759999999999</v>
      </c>
      <c r="E33" s="243">
        <f t="shared" si="14"/>
        <v>466.2962</v>
      </c>
      <c r="F33" s="243">
        <f t="shared" si="14"/>
        <v>509.12799999999999</v>
      </c>
      <c r="G33" s="243">
        <f t="shared" si="14"/>
        <v>556.41</v>
      </c>
      <c r="H33" s="243">
        <f t="shared" si="14"/>
        <v>534.63215193999997</v>
      </c>
      <c r="I33" s="243">
        <f t="shared" si="14"/>
        <v>434.12925360000003</v>
      </c>
      <c r="J33" s="243">
        <f t="shared" si="14"/>
        <v>600.82724041999995</v>
      </c>
      <c r="K33" s="243"/>
      <c r="L33" s="243"/>
      <c r="M33" s="243"/>
      <c r="N33" s="243"/>
      <c r="O33" s="243"/>
      <c r="P33" s="243"/>
      <c r="Q33" s="243"/>
      <c r="R33"/>
      <c r="T33"/>
      <c r="U33"/>
      <c r="V33"/>
    </row>
    <row r="34" spans="1:22" hidden="1" outlineLevel="1">
      <c r="A34" s="114" t="s">
        <v>2244</v>
      </c>
      <c r="B34" s="239">
        <v>0.106</v>
      </c>
      <c r="C34" s="239">
        <v>9.5000000000000001E-2</v>
      </c>
      <c r="D34" s="239">
        <v>0.10199999999999999</v>
      </c>
      <c r="E34" s="239">
        <v>0.1086</v>
      </c>
      <c r="F34" s="239">
        <v>0.11700000000000001</v>
      </c>
      <c r="G34" s="239">
        <v>0.11799999999999999</v>
      </c>
      <c r="H34" s="239">
        <v>2.6200000000000001E-2</v>
      </c>
      <c r="I34" s="239">
        <v>-3.7600000000000001E-2</v>
      </c>
      <c r="J34" s="239">
        <v>0.19839999999999999</v>
      </c>
      <c r="K34" s="243"/>
      <c r="L34" s="243" t="s">
        <v>2251</v>
      </c>
      <c r="M34" s="243" t="s">
        <v>2252</v>
      </c>
      <c r="N34" s="243"/>
      <c r="O34" s="243"/>
      <c r="P34" s="243"/>
      <c r="Q34" s="243"/>
      <c r="R34"/>
      <c r="T34"/>
      <c r="U34"/>
      <c r="V34"/>
    </row>
    <row r="35" spans="1:22" hidden="1" outlineLevel="1">
      <c r="A35" s="118" t="s">
        <v>2253</v>
      </c>
      <c r="B35" s="245">
        <v>5.9799999999999999E-2</v>
      </c>
      <c r="C35" s="245">
        <v>6.6799999999999998E-2</v>
      </c>
      <c r="D35" s="245">
        <v>6.2100000000000002E-2</v>
      </c>
      <c r="E35" s="245">
        <v>6.8099999999999994E-2</v>
      </c>
      <c r="F35" s="245">
        <v>7.0800000000000002E-2</v>
      </c>
      <c r="G35" s="245">
        <v>7.0199999999999999E-2</v>
      </c>
      <c r="H35" s="245">
        <v>2.9100000000000001E-2</v>
      </c>
      <c r="I35" s="245">
        <v>2.5999999999999999E-2</v>
      </c>
      <c r="J35" s="245">
        <v>0.08</v>
      </c>
      <c r="K35" s="243"/>
      <c r="L35" s="243"/>
      <c r="M35" s="243" t="s">
        <v>2254</v>
      </c>
      <c r="N35" s="243"/>
      <c r="O35" s="243"/>
      <c r="P35" s="243"/>
      <c r="Q35" s="243"/>
      <c r="R35"/>
      <c r="T35"/>
      <c r="U35"/>
      <c r="V35"/>
    </row>
    <row r="36" spans="1:22" hidden="1" outlineLevel="1">
      <c r="A36"/>
      <c r="B36" s="243"/>
      <c r="C36" s="242"/>
      <c r="D36" s="242"/>
      <c r="E36" s="242"/>
      <c r="F36" s="242"/>
      <c r="G36" s="242"/>
      <c r="H36" s="242"/>
      <c r="I36" s="242"/>
      <c r="J36" s="242"/>
      <c r="K36" s="242"/>
      <c r="L36" s="242"/>
      <c r="M36" s="242"/>
      <c r="N36" s="242"/>
      <c r="O36" s="242"/>
      <c r="P36" s="242"/>
      <c r="Q36" s="242"/>
      <c r="R36"/>
      <c r="T36"/>
      <c r="U36"/>
      <c r="V36"/>
    </row>
    <row r="37" spans="1:22" hidden="1" outlineLevel="1">
      <c r="A37"/>
      <c r="B37" s="235">
        <v>44713</v>
      </c>
      <c r="C37" s="235">
        <v>44743</v>
      </c>
      <c r="D37" s="235">
        <v>44774</v>
      </c>
      <c r="E37" s="235">
        <v>44805</v>
      </c>
      <c r="F37" s="235">
        <v>44835</v>
      </c>
      <c r="G37" s="235">
        <v>44866</v>
      </c>
      <c r="H37" s="235">
        <v>44896</v>
      </c>
      <c r="I37" s="235">
        <v>44927</v>
      </c>
      <c r="J37" s="235">
        <v>44958</v>
      </c>
      <c r="K37" s="235">
        <v>44986</v>
      </c>
      <c r="L37" s="235">
        <v>45017</v>
      </c>
      <c r="M37" s="235">
        <v>45047</v>
      </c>
      <c r="N37" s="235">
        <v>45078</v>
      </c>
      <c r="O37" s="235">
        <v>45108</v>
      </c>
      <c r="P37" s="235">
        <v>45139</v>
      </c>
      <c r="Q37" s="235">
        <v>45170</v>
      </c>
      <c r="R37"/>
      <c r="T37"/>
      <c r="U37"/>
      <c r="V37"/>
    </row>
    <row r="38" spans="1:22" hidden="1" outlineLevel="1">
      <c r="A38" s="117" t="s">
        <v>2243</v>
      </c>
      <c r="B38" s="246">
        <f t="shared" ref="B38:Q38" si="15">B21/10^6</f>
        <v>471.76570162999997</v>
      </c>
      <c r="C38" s="246">
        <f t="shared" si="15"/>
        <v>485.98437107999996</v>
      </c>
      <c r="D38" s="246">
        <f t="shared" si="15"/>
        <v>481.22489766000001</v>
      </c>
      <c r="E38" s="246">
        <f t="shared" si="15"/>
        <v>493.09171344999999</v>
      </c>
      <c r="F38" s="246">
        <f t="shared" si="15"/>
        <v>501.15846558999999</v>
      </c>
      <c r="G38" s="246">
        <f t="shared" si="15"/>
        <v>497.62379376000001</v>
      </c>
      <c r="H38" s="246">
        <f t="shared" si="15"/>
        <v>517.66009572999997</v>
      </c>
      <c r="I38" s="246">
        <f t="shared" si="15"/>
        <v>512.32050801000003</v>
      </c>
      <c r="J38" s="246">
        <f t="shared" si="15"/>
        <v>491.62085698999999</v>
      </c>
      <c r="K38" s="246">
        <f t="shared" si="15"/>
        <v>501.31003926</v>
      </c>
      <c r="L38" s="246">
        <f t="shared" si="15"/>
        <v>511.50748976</v>
      </c>
      <c r="M38" s="246">
        <f t="shared" si="15"/>
        <v>503.0586533</v>
      </c>
      <c r="N38" s="246">
        <f t="shared" si="15"/>
        <v>506.47973524000002</v>
      </c>
      <c r="O38" s="246">
        <f t="shared" si="15"/>
        <v>510.91047610000004</v>
      </c>
      <c r="P38" s="246">
        <f t="shared" si="15"/>
        <v>512.21165539000003</v>
      </c>
      <c r="Q38" s="246">
        <f t="shared" si="15"/>
        <v>524.59516744999996</v>
      </c>
      <c r="R38"/>
      <c r="T38"/>
      <c r="U38"/>
      <c r="V38"/>
    </row>
    <row r="39" spans="1:22" hidden="1" outlineLevel="1">
      <c r="A39" s="117" t="s">
        <v>2245</v>
      </c>
      <c r="B39" s="246">
        <f t="shared" ref="B39:Q39" si="16">B22/10^6</f>
        <v>373.55569223999998</v>
      </c>
      <c r="C39" s="246">
        <f t="shared" si="16"/>
        <v>381.45321297000004</v>
      </c>
      <c r="D39" s="246">
        <f t="shared" si="16"/>
        <v>376.59300335</v>
      </c>
      <c r="E39" s="246">
        <f t="shared" si="16"/>
        <v>379.27159906999998</v>
      </c>
      <c r="F39" s="246">
        <f t="shared" si="16"/>
        <v>386.90180062999997</v>
      </c>
      <c r="G39" s="246">
        <f t="shared" si="16"/>
        <v>389.49574330000002</v>
      </c>
      <c r="H39" s="246">
        <f t="shared" si="16"/>
        <v>402.80802573</v>
      </c>
      <c r="I39" s="246">
        <f t="shared" si="16"/>
        <v>404.34671567000004</v>
      </c>
      <c r="J39" s="246">
        <f t="shared" si="16"/>
        <v>387.15930025</v>
      </c>
      <c r="K39" s="246">
        <f t="shared" si="16"/>
        <v>395.65136198000005</v>
      </c>
      <c r="L39" s="246">
        <f t="shared" si="16"/>
        <v>403.97161149999999</v>
      </c>
      <c r="M39" s="246">
        <f t="shared" si="16"/>
        <v>395.99098500999997</v>
      </c>
      <c r="N39" s="246">
        <f t="shared" si="16"/>
        <v>397.75484091999999</v>
      </c>
      <c r="O39" s="246">
        <f t="shared" si="16"/>
        <v>397.47236705</v>
      </c>
      <c r="P39" s="246">
        <f t="shared" si="16"/>
        <v>394.12768399999999</v>
      </c>
      <c r="Q39" s="246">
        <f t="shared" si="16"/>
        <v>402.43213025</v>
      </c>
      <c r="R39"/>
      <c r="T39"/>
      <c r="U39"/>
      <c r="V39"/>
    </row>
    <row r="40" spans="1:22" hidden="1" outlineLevel="1">
      <c r="A40" s="117" t="s">
        <v>2247</v>
      </c>
      <c r="B40" s="246">
        <f t="shared" ref="B40:Q40" si="17">B23/10^6</f>
        <v>49.123707780000004</v>
      </c>
      <c r="C40" s="246">
        <f t="shared" si="17"/>
        <v>53.891536409999993</v>
      </c>
      <c r="D40" s="246">
        <f t="shared" si="17"/>
        <v>53.473535670000004</v>
      </c>
      <c r="E40" s="246">
        <f t="shared" si="17"/>
        <v>53.64233789</v>
      </c>
      <c r="F40" s="246">
        <f t="shared" si="17"/>
        <v>51.924396119999997</v>
      </c>
      <c r="G40" s="246">
        <f t="shared" si="17"/>
        <v>46.898184430000001</v>
      </c>
      <c r="H40" s="246">
        <f t="shared" si="17"/>
        <v>53.115903850000002</v>
      </c>
      <c r="I40" s="246">
        <f t="shared" si="17"/>
        <v>55.427190150000001</v>
      </c>
      <c r="J40" s="246">
        <f t="shared" si="17"/>
        <v>52.298000000000002</v>
      </c>
      <c r="K40" s="246">
        <f t="shared" si="17"/>
        <v>53.418039520000001</v>
      </c>
      <c r="L40" s="246">
        <f t="shared" si="17"/>
        <v>53.454081219999999</v>
      </c>
      <c r="M40" s="246">
        <f t="shared" si="17"/>
        <v>53.676937469999999</v>
      </c>
      <c r="N40" s="246">
        <f t="shared" si="17"/>
        <v>53.812930399999999</v>
      </c>
      <c r="O40" s="246">
        <f t="shared" si="17"/>
        <v>56.669901780000004</v>
      </c>
      <c r="P40" s="246">
        <f t="shared" si="17"/>
        <v>59.022059950000006</v>
      </c>
      <c r="Q40" s="246">
        <f t="shared" si="17"/>
        <v>61.123040039999999</v>
      </c>
      <c r="R40"/>
      <c r="T40"/>
      <c r="U40"/>
      <c r="V40"/>
    </row>
    <row r="41" spans="1:22" hidden="1" outlineLevel="1">
      <c r="A41" s="117" t="s">
        <v>2248</v>
      </c>
      <c r="B41" s="246">
        <f t="shared" ref="B41:Q41" si="18">B24/10^6</f>
        <v>2.46290173</v>
      </c>
      <c r="C41" s="246">
        <f t="shared" si="18"/>
        <v>3.2172724500000003</v>
      </c>
      <c r="D41" s="246">
        <f t="shared" si="18"/>
        <v>3.3028017200000002</v>
      </c>
      <c r="E41" s="246">
        <f t="shared" si="18"/>
        <v>3.0329255000000002</v>
      </c>
      <c r="F41" s="246">
        <f t="shared" si="18"/>
        <v>2.4769999999999999</v>
      </c>
      <c r="G41" s="246">
        <f t="shared" si="18"/>
        <v>2.0122072499999999</v>
      </c>
      <c r="H41" s="246">
        <f t="shared" si="18"/>
        <v>2.1099055199999999</v>
      </c>
      <c r="I41" s="246">
        <f t="shared" si="18"/>
        <v>2.5860565499999999</v>
      </c>
      <c r="J41" s="246">
        <f t="shared" si="18"/>
        <v>2.0268509199999998</v>
      </c>
      <c r="K41" s="246">
        <f t="shared" si="18"/>
        <v>2.1630273099999999</v>
      </c>
      <c r="L41" s="246">
        <f t="shared" si="18"/>
        <v>2.3226597099999999</v>
      </c>
      <c r="M41" s="246">
        <f t="shared" si="18"/>
        <v>2.5839616099999998</v>
      </c>
      <c r="N41" s="246">
        <f t="shared" si="18"/>
        <v>3.3211891099999997</v>
      </c>
      <c r="O41" s="246">
        <f t="shared" si="18"/>
        <v>3.6290440400000001</v>
      </c>
      <c r="P41" s="246">
        <f t="shared" si="18"/>
        <v>3.8017246899999999</v>
      </c>
      <c r="Q41" s="246">
        <f t="shared" si="18"/>
        <v>3.9728023100000001</v>
      </c>
      <c r="R41"/>
      <c r="T41"/>
      <c r="U41"/>
      <c r="V41"/>
    </row>
    <row r="42" spans="1:22" hidden="1" outlineLevel="1">
      <c r="A42" s="117" t="s">
        <v>2250</v>
      </c>
      <c r="B42" s="246">
        <f t="shared" ref="B42:Q42" si="19">B25/10^6</f>
        <v>46.623399880000001</v>
      </c>
      <c r="C42" s="246">
        <f t="shared" si="19"/>
        <v>47.422400000000003</v>
      </c>
      <c r="D42" s="246">
        <f t="shared" si="19"/>
        <v>47.855556920000005</v>
      </c>
      <c r="E42" s="246">
        <f t="shared" si="19"/>
        <v>57.144850979999994</v>
      </c>
      <c r="F42" s="246">
        <f t="shared" si="19"/>
        <v>59.854725530000003</v>
      </c>
      <c r="G42" s="246">
        <f t="shared" si="19"/>
        <v>59.217658780000001</v>
      </c>
      <c r="H42" s="246">
        <f t="shared" si="19"/>
        <v>59.626260630000004</v>
      </c>
      <c r="I42" s="246">
        <f t="shared" si="19"/>
        <v>49.96054565</v>
      </c>
      <c r="J42" s="246">
        <f t="shared" si="19"/>
        <v>50.137273969999995</v>
      </c>
      <c r="K42" s="246">
        <f t="shared" si="19"/>
        <v>50.077610450000002</v>
      </c>
      <c r="L42" s="246">
        <f t="shared" si="19"/>
        <v>51.759137330000001</v>
      </c>
      <c r="M42" s="246">
        <f t="shared" si="19"/>
        <v>50.806769200000005</v>
      </c>
      <c r="N42" s="246">
        <f t="shared" si="19"/>
        <v>51.590774809999999</v>
      </c>
      <c r="O42" s="246">
        <f t="shared" si="19"/>
        <v>53.139163229999994</v>
      </c>
      <c r="P42" s="246">
        <f t="shared" si="19"/>
        <v>55.260186750000003</v>
      </c>
      <c r="Q42" s="246">
        <f t="shared" si="19"/>
        <v>57.067194860000001</v>
      </c>
      <c r="R42"/>
      <c r="T42"/>
      <c r="U42"/>
      <c r="V42"/>
    </row>
    <row r="43" spans="1:22" hidden="1" outlineLevel="1">
      <c r="A43" s="110" t="s">
        <v>2244</v>
      </c>
      <c r="B43" s="241">
        <v>0</v>
      </c>
      <c r="C43" s="241">
        <v>0</v>
      </c>
      <c r="D43" s="241">
        <v>0</v>
      </c>
      <c r="E43" s="241">
        <v>0</v>
      </c>
      <c r="F43" s="241">
        <v>0</v>
      </c>
      <c r="G43" s="241">
        <v>0.17460000000000001</v>
      </c>
      <c r="H43" s="241">
        <v>0.17130000000000001</v>
      </c>
      <c r="I43" s="241">
        <v>0.19950000000000001</v>
      </c>
      <c r="J43" s="241">
        <v>0.13159999999999999</v>
      </c>
      <c r="K43" s="241">
        <v>0.13439999999999999</v>
      </c>
      <c r="L43" s="241">
        <v>0.1152</v>
      </c>
      <c r="M43" s="241">
        <v>0.1154</v>
      </c>
      <c r="N43" s="241">
        <v>6.54E-2</v>
      </c>
      <c r="O43" s="241">
        <v>7.1099999999999997E-2</v>
      </c>
      <c r="P43" s="241">
        <v>7.5700000000000003E-2</v>
      </c>
      <c r="Q43" s="241">
        <v>7.4700000000000003E-2</v>
      </c>
      <c r="R43"/>
      <c r="T43"/>
      <c r="U43"/>
      <c r="V43"/>
    </row>
    <row r="44" spans="1:22" hidden="1" outlineLevel="1">
      <c r="A44"/>
      <c r="B44" s="242"/>
      <c r="C44" s="242"/>
      <c r="D44" s="242"/>
      <c r="E44" s="242"/>
      <c r="F44" s="242"/>
      <c r="G44" s="242"/>
      <c r="H44" s="242"/>
      <c r="I44" s="247"/>
      <c r="J44" s="247"/>
      <c r="K44" s="247"/>
      <c r="L44" s="247"/>
      <c r="M44" s="247"/>
      <c r="N44" s="247"/>
      <c r="O44" s="247"/>
      <c r="P44" s="247"/>
      <c r="Q44" s="247"/>
      <c r="R44"/>
      <c r="T44"/>
      <c r="U44"/>
      <c r="V44"/>
    </row>
    <row r="45" spans="1:22" hidden="1" outlineLevel="1">
      <c r="A45"/>
      <c r="B45" s="242"/>
      <c r="C45" s="242"/>
      <c r="D45" s="242"/>
      <c r="E45" s="242"/>
      <c r="F45" s="242"/>
      <c r="G45" s="242"/>
      <c r="H45" s="242"/>
      <c r="I45" s="242"/>
      <c r="J45" s="242"/>
      <c r="K45" s="242"/>
      <c r="L45" s="242"/>
      <c r="M45" s="242"/>
      <c r="N45" s="242"/>
      <c r="O45" s="242"/>
      <c r="P45" s="242"/>
      <c r="Q45" s="242"/>
      <c r="R45"/>
      <c r="T45"/>
      <c r="U45"/>
      <c r="V45"/>
    </row>
    <row r="46" spans="1:22" hidden="1" outlineLevel="1">
      <c r="A46"/>
      <c r="B46" s="242"/>
      <c r="C46" s="242"/>
      <c r="D46" s="242"/>
      <c r="E46" s="242"/>
      <c r="F46" s="242"/>
      <c r="G46" s="242"/>
      <c r="H46" s="242"/>
      <c r="I46" s="242"/>
      <c r="J46" s="242"/>
      <c r="K46" s="242"/>
      <c r="L46" s="242"/>
      <c r="M46" s="242"/>
      <c r="N46" s="242"/>
      <c r="O46" s="242"/>
      <c r="P46" s="242"/>
      <c r="Q46" s="242"/>
      <c r="R46"/>
      <c r="T46"/>
      <c r="U46"/>
      <c r="V46"/>
    </row>
    <row r="47" spans="1:22" hidden="1" outlineLevel="1">
      <c r="A47"/>
      <c r="B47" s="242"/>
      <c r="C47" s="242"/>
      <c r="D47" s="242"/>
      <c r="E47" s="242"/>
      <c r="F47" s="242"/>
      <c r="G47" s="242"/>
      <c r="H47" s="242"/>
      <c r="I47" s="242"/>
      <c r="J47" s="242"/>
      <c r="K47" s="242"/>
      <c r="L47" s="242"/>
      <c r="M47" s="242"/>
      <c r="N47" s="242"/>
      <c r="O47" s="242"/>
      <c r="P47" s="242"/>
      <c r="Q47" s="242"/>
      <c r="R47"/>
      <c r="T47"/>
      <c r="U47"/>
      <c r="V47"/>
    </row>
    <row r="48" spans="1:22" hidden="1" outlineLevel="1">
      <c r="A48"/>
      <c r="B48" s="242"/>
      <c r="C48" s="242"/>
      <c r="D48" s="242"/>
      <c r="E48" s="242"/>
      <c r="F48" s="242"/>
      <c r="G48" s="242"/>
      <c r="H48" s="242"/>
      <c r="I48" s="242"/>
      <c r="J48" s="242"/>
      <c r="K48" s="242"/>
      <c r="L48" s="242"/>
      <c r="M48" s="242"/>
      <c r="N48" s="242"/>
      <c r="O48" s="242"/>
      <c r="P48" s="242"/>
      <c r="Q48" s="242"/>
      <c r="R48"/>
      <c r="T48"/>
      <c r="U48"/>
      <c r="V48"/>
    </row>
    <row r="49" spans="1:22" hidden="1" outlineLevel="1">
      <c r="A49"/>
      <c r="B49" s="242"/>
      <c r="C49" s="242"/>
      <c r="D49" s="242"/>
      <c r="E49" s="242"/>
      <c r="F49" s="242"/>
      <c r="G49" s="242"/>
      <c r="H49" s="242"/>
      <c r="I49" s="242"/>
      <c r="J49" s="242"/>
      <c r="K49" s="242"/>
      <c r="L49" s="242"/>
      <c r="M49" s="242"/>
      <c r="N49" s="242"/>
      <c r="O49" s="242"/>
      <c r="P49" s="242"/>
      <c r="Q49" s="242"/>
      <c r="R49"/>
      <c r="T49"/>
      <c r="U49"/>
      <c r="V49"/>
    </row>
    <row r="50" spans="1:22" hidden="1" outlineLevel="1">
      <c r="A50"/>
      <c r="B50" s="242" t="s">
        <v>2255</v>
      </c>
      <c r="C50" s="242" t="s">
        <v>2256</v>
      </c>
      <c r="D50" s="242" t="s">
        <v>2257</v>
      </c>
      <c r="E50" s="242" t="s">
        <v>2258</v>
      </c>
      <c r="F50" s="242" t="s">
        <v>2259</v>
      </c>
      <c r="G50" s="242" t="s">
        <v>2260</v>
      </c>
      <c r="H50" s="242" t="s">
        <v>649</v>
      </c>
      <c r="I50" s="242"/>
      <c r="J50" s="242"/>
      <c r="K50" s="242"/>
      <c r="L50" s="242"/>
      <c r="M50" s="242"/>
      <c r="N50" s="242"/>
      <c r="O50" s="242"/>
      <c r="P50" s="242"/>
      <c r="Q50" s="242"/>
      <c r="R50"/>
      <c r="T50"/>
      <c r="U50"/>
      <c r="V50"/>
    </row>
    <row r="51" spans="1:22" hidden="1" outlineLevel="1">
      <c r="A51" s="117" t="s">
        <v>2243</v>
      </c>
      <c r="B51" s="248">
        <v>1321.9398550939932</v>
      </c>
      <c r="C51" s="248">
        <v>1397.9144946342792</v>
      </c>
      <c r="D51" s="244">
        <f>SUM(C38:E38)</f>
        <v>1460.30098219</v>
      </c>
      <c r="E51" s="244">
        <f>SUM(F38:H38)</f>
        <v>1516.44235508</v>
      </c>
      <c r="F51" s="244">
        <f>SUM(I38:K38)</f>
        <v>1505.2514042600001</v>
      </c>
      <c r="G51" s="244">
        <f>SUM(L38:N38)</f>
        <v>1521.0458783000001</v>
      </c>
      <c r="H51" s="244">
        <f>SUM(O38:Q38)</f>
        <v>1547.7172989400001</v>
      </c>
      <c r="I51" s="242"/>
      <c r="J51" s="242"/>
      <c r="K51" s="242"/>
      <c r="L51" s="242"/>
      <c r="M51" s="242"/>
      <c r="N51" s="242"/>
      <c r="O51" s="242"/>
      <c r="P51" s="242"/>
      <c r="Q51" s="242"/>
      <c r="R51"/>
      <c r="T51"/>
      <c r="U51"/>
      <c r="V51"/>
    </row>
    <row r="52" spans="1:22" hidden="1" outlineLevel="1">
      <c r="A52" s="117" t="s">
        <v>2245</v>
      </c>
      <c r="B52" s="249">
        <v>1065.6806910970572</v>
      </c>
      <c r="C52" s="249">
        <v>1109.252</v>
      </c>
      <c r="D52" s="244">
        <f>SUM(C39:E39)</f>
        <v>1137.3178153899999</v>
      </c>
      <c r="E52" s="244">
        <f>SUM(F39:H39)</f>
        <v>1179.20556966</v>
      </c>
      <c r="F52" s="244">
        <f>SUM(I39:K39)</f>
        <v>1187.1573779</v>
      </c>
      <c r="G52" s="244">
        <f>SUM(L39:N39)</f>
        <v>1197.7174374299998</v>
      </c>
      <c r="H52" s="244">
        <f>SUM(O39:Q39)</f>
        <v>1194.0321813</v>
      </c>
      <c r="I52" s="242"/>
      <c r="J52" s="242"/>
      <c r="K52" s="242"/>
      <c r="L52" s="242"/>
      <c r="M52" s="242"/>
      <c r="N52" s="242"/>
      <c r="O52" s="242"/>
      <c r="P52" s="242"/>
      <c r="Q52" s="242"/>
      <c r="R52"/>
      <c r="T52"/>
      <c r="U52"/>
      <c r="V52"/>
    </row>
    <row r="53" spans="1:22" hidden="1" outlineLevel="1">
      <c r="A53" s="117" t="s">
        <v>2247</v>
      </c>
      <c r="B53" s="249">
        <v>125.46527551807476</v>
      </c>
      <c r="C53" s="249">
        <v>145.52240794095781</v>
      </c>
      <c r="D53" s="244">
        <f>SUM(C40:E40)</f>
        <v>161.00740997</v>
      </c>
      <c r="E53" s="244">
        <f>SUM(F40:H40)</f>
        <v>151.93848439999999</v>
      </c>
      <c r="F53" s="244">
        <f>SUM(I40:K40)</f>
        <v>161.14322967000001</v>
      </c>
      <c r="G53" s="244">
        <f>SUM(L40:N40)</f>
        <v>160.94394908999999</v>
      </c>
      <c r="H53" s="244">
        <f>SUM(O40:Q40)</f>
        <v>176.81500177000001</v>
      </c>
      <c r="I53" s="242"/>
      <c r="J53" s="242"/>
      <c r="K53" s="242"/>
      <c r="L53" s="242"/>
      <c r="M53" s="242"/>
      <c r="N53" s="242"/>
      <c r="O53" s="242"/>
      <c r="P53" s="242"/>
      <c r="Q53" s="242"/>
      <c r="R53"/>
      <c r="T53"/>
      <c r="U53"/>
      <c r="V53"/>
    </row>
    <row r="54" spans="1:22" hidden="1" outlineLevel="1">
      <c r="A54" s="117" t="s">
        <v>2248</v>
      </c>
      <c r="B54" s="249">
        <v>3.0821642635599891</v>
      </c>
      <c r="C54" s="249">
        <v>5.62261906313912</v>
      </c>
      <c r="D54" s="244">
        <f>SUM(C41:E41)</f>
        <v>9.5529996700000019</v>
      </c>
      <c r="E54" s="244">
        <f>SUM(F41:H41)</f>
        <v>6.5991127699999996</v>
      </c>
      <c r="F54" s="244">
        <f>SUM(I41:K41)</f>
        <v>6.77593478</v>
      </c>
      <c r="G54" s="244">
        <f>SUM(L41:N41)</f>
        <v>8.2278104299999981</v>
      </c>
      <c r="H54" s="244">
        <f>SUM(O41:Q41)</f>
        <v>11.403571040000001</v>
      </c>
      <c r="I54" s="242"/>
      <c r="J54" s="242"/>
      <c r="K54" s="242"/>
      <c r="L54" s="242"/>
      <c r="M54" s="242"/>
      <c r="N54" s="242"/>
      <c r="O54" s="242"/>
      <c r="P54" s="242"/>
      <c r="Q54" s="242"/>
      <c r="R54"/>
      <c r="T54"/>
      <c r="U54"/>
      <c r="V54"/>
    </row>
    <row r="55" spans="1:22" hidden="1" outlineLevel="1">
      <c r="A55" s="117" t="s">
        <v>2250</v>
      </c>
      <c r="B55" s="249">
        <v>127.71172421530113</v>
      </c>
      <c r="C55" s="249">
        <v>137.5169570579645</v>
      </c>
      <c r="D55" s="244">
        <f>SUM(C42:E42)</f>
        <v>152.42280790000001</v>
      </c>
      <c r="E55" s="244">
        <f>SUM(F42:H42)</f>
        <v>178.69864494000001</v>
      </c>
      <c r="F55" s="244">
        <f>SUM(I42:K42)</f>
        <v>150.17543007</v>
      </c>
      <c r="G55" s="244">
        <f>SUM(L42:N42)</f>
        <v>154.15668134000001</v>
      </c>
      <c r="H55" s="244">
        <f>SUM(O42:Q42)</f>
        <v>165.46654483999998</v>
      </c>
      <c r="I55" s="242"/>
      <c r="J55" s="242"/>
      <c r="K55" s="242"/>
      <c r="L55" s="242"/>
      <c r="M55" s="242"/>
      <c r="N55" s="242"/>
      <c r="O55" s="242"/>
      <c r="P55" s="242"/>
      <c r="Q55" s="242"/>
      <c r="R55"/>
      <c r="T55"/>
      <c r="U55"/>
      <c r="V55"/>
    </row>
    <row r="56" spans="1:22" hidden="1" outlineLevel="1">
      <c r="A56" s="117"/>
      <c r="B56" s="249"/>
      <c r="C56" s="249"/>
      <c r="D56" s="244"/>
      <c r="E56" s="244"/>
      <c r="F56" s="244"/>
      <c r="G56" s="244"/>
      <c r="H56" s="244"/>
      <c r="I56" s="242"/>
      <c r="J56" s="242"/>
      <c r="K56" s="242"/>
      <c r="L56" s="242"/>
      <c r="M56" s="242"/>
      <c r="N56" s="242"/>
      <c r="O56" s="242"/>
      <c r="P56" s="242"/>
      <c r="Q56" s="242"/>
      <c r="R56"/>
      <c r="T56"/>
      <c r="U56"/>
      <c r="V56"/>
    </row>
    <row r="57" spans="1:22" hidden="1" outlineLevel="1">
      <c r="A57"/>
      <c r="B57" s="242" t="s">
        <v>2255</v>
      </c>
      <c r="C57" s="242" t="s">
        <v>2256</v>
      </c>
      <c r="D57" s="242" t="s">
        <v>2257</v>
      </c>
      <c r="E57" s="242" t="s">
        <v>2258</v>
      </c>
      <c r="F57" s="242" t="s">
        <v>2259</v>
      </c>
      <c r="G57" s="242" t="s">
        <v>2260</v>
      </c>
      <c r="H57" s="242" t="s">
        <v>649</v>
      </c>
      <c r="I57" s="242"/>
      <c r="J57" s="242"/>
      <c r="K57" s="242"/>
      <c r="L57" s="242"/>
      <c r="M57" s="242"/>
      <c r="N57" s="242"/>
      <c r="O57" s="242"/>
      <c r="P57" s="242"/>
      <c r="Q57" s="242"/>
      <c r="R57"/>
      <c r="T57"/>
      <c r="U57"/>
      <c r="V57"/>
    </row>
    <row r="58" spans="1:22" hidden="1" outlineLevel="1">
      <c r="A58" s="119" t="s">
        <v>2261</v>
      </c>
      <c r="B58" s="250">
        <v>0.05</v>
      </c>
      <c r="C58" s="250">
        <v>0.2</v>
      </c>
      <c r="D58" s="251">
        <v>0.41699999999999998</v>
      </c>
      <c r="E58" s="251">
        <v>0.17100000000000001</v>
      </c>
      <c r="F58" s="251">
        <f>F51/B51-1</f>
        <v>0.13866860013307725</v>
      </c>
      <c r="G58" s="251">
        <f t="shared" ref="G58:H62" si="20">G51/C51-1</f>
        <v>8.80821996898562E-2</v>
      </c>
      <c r="H58" s="251">
        <f t="shared" si="20"/>
        <v>5.9861848903848935E-2</v>
      </c>
      <c r="I58" s="242"/>
      <c r="J58" s="242"/>
      <c r="K58" s="242"/>
      <c r="L58" s="242"/>
      <c r="M58" s="242"/>
      <c r="N58" s="242"/>
      <c r="O58" s="242"/>
      <c r="P58" s="242"/>
      <c r="Q58" s="242"/>
      <c r="R58"/>
      <c r="T58"/>
      <c r="U58"/>
      <c r="V58"/>
    </row>
    <row r="59" spans="1:22" hidden="1" outlineLevel="1">
      <c r="A59" s="120" t="s">
        <v>2245</v>
      </c>
      <c r="B59" s="252">
        <v>6.0999999999999999E-2</v>
      </c>
      <c r="C59" s="252">
        <v>0.16800000000000001</v>
      </c>
      <c r="D59" s="252">
        <v>0.255</v>
      </c>
      <c r="E59" s="252">
        <v>0.111</v>
      </c>
      <c r="F59" s="253">
        <f>F52/B52-1</f>
        <v>0.11398976055190557</v>
      </c>
      <c r="G59" s="253">
        <f t="shared" si="20"/>
        <v>7.97523352944145E-2</v>
      </c>
      <c r="H59" s="253">
        <f t="shared" si="20"/>
        <v>4.9866769993884397E-2</v>
      </c>
      <c r="I59" s="242"/>
      <c r="J59" s="242"/>
      <c r="K59" s="242"/>
      <c r="L59" s="242"/>
      <c r="M59" s="242"/>
      <c r="N59" s="242"/>
      <c r="O59" s="242"/>
      <c r="P59" s="242"/>
      <c r="Q59" s="242"/>
      <c r="R59"/>
      <c r="T59"/>
      <c r="U59"/>
      <c r="V59"/>
    </row>
    <row r="60" spans="1:22" hidden="1" outlineLevel="1">
      <c r="A60" s="117" t="s">
        <v>2247</v>
      </c>
      <c r="B60" s="254">
        <v>6.5000000000000002E-2</v>
      </c>
      <c r="C60" s="254">
        <v>0.52400000000000002</v>
      </c>
      <c r="D60" s="254">
        <v>1.456</v>
      </c>
      <c r="E60" s="254">
        <v>0.46299999999999997</v>
      </c>
      <c r="F60" s="255">
        <f>F53/B53-1</f>
        <v>0.28436516800846157</v>
      </c>
      <c r="G60" s="255">
        <f t="shared" si="20"/>
        <v>0.10597365290505012</v>
      </c>
      <c r="H60" s="255">
        <f t="shared" si="20"/>
        <v>9.8179281332116286E-2</v>
      </c>
      <c r="I60" s="242"/>
      <c r="J60" s="242"/>
      <c r="K60" s="242"/>
      <c r="L60" s="242"/>
      <c r="M60" s="242"/>
      <c r="N60" s="242"/>
      <c r="O60" s="242"/>
      <c r="P60" s="242"/>
      <c r="Q60" s="242"/>
      <c r="R60"/>
      <c r="T60"/>
      <c r="U60"/>
      <c r="V60"/>
    </row>
    <row r="61" spans="1:22" hidden="1" outlineLevel="1">
      <c r="A61" s="117" t="s">
        <v>2248</v>
      </c>
      <c r="B61" s="254">
        <v>6.0000000000000001E-3</v>
      </c>
      <c r="C61" s="254">
        <v>3.2440000000000002</v>
      </c>
      <c r="D61" s="254">
        <v>39.54</v>
      </c>
      <c r="E61" s="254">
        <v>2.3149999999999999</v>
      </c>
      <c r="F61" s="255">
        <f>F54/B54-1</f>
        <v>1.1984340225181893</v>
      </c>
      <c r="G61" s="255">
        <f t="shared" si="20"/>
        <v>0.46334125389003233</v>
      </c>
      <c r="H61" s="255">
        <f t="shared" si="20"/>
        <v>0.19371626022467958</v>
      </c>
      <c r="I61" s="242"/>
      <c r="J61" s="242"/>
      <c r="K61" s="242"/>
      <c r="L61" s="242"/>
      <c r="M61" s="242"/>
      <c r="N61" s="242"/>
      <c r="O61" s="242"/>
      <c r="P61" s="242"/>
      <c r="Q61" s="242"/>
      <c r="R61"/>
      <c r="T61"/>
      <c r="U61"/>
      <c r="V61"/>
    </row>
    <row r="62" spans="1:22" hidden="1" outlineLevel="1">
      <c r="A62" s="117" t="s">
        <v>2250</v>
      </c>
      <c r="B62" s="254">
        <v>-4.7E-2</v>
      </c>
      <c r="C62" s="254">
        <v>1.169</v>
      </c>
      <c r="D62" s="254">
        <v>1.5369999999999999</v>
      </c>
      <c r="E62" s="254">
        <v>0.41199999999999998</v>
      </c>
      <c r="F62" s="255">
        <f>F55/B55-1</f>
        <v>0.17589384210981862</v>
      </c>
      <c r="G62" s="255">
        <f t="shared" si="20"/>
        <v>0.12100125423093622</v>
      </c>
      <c r="H62" s="255">
        <f t="shared" si="20"/>
        <v>8.5576017918247427E-2</v>
      </c>
      <c r="I62" s="242"/>
      <c r="J62" s="242"/>
      <c r="K62" s="242"/>
      <c r="L62" s="242"/>
      <c r="M62" s="242"/>
      <c r="N62" s="242"/>
      <c r="O62" s="242"/>
      <c r="P62" s="242"/>
      <c r="Q62" s="242"/>
      <c r="R62"/>
      <c r="T62"/>
      <c r="U62"/>
      <c r="V62"/>
    </row>
    <row r="63" spans="1:22" hidden="1" outlineLevel="1">
      <c r="A63"/>
      <c r="B63" s="254"/>
      <c r="C63" s="254"/>
      <c r="D63" s="254"/>
      <c r="E63" s="254"/>
      <c r="F63" s="254"/>
      <c r="G63" s="254"/>
      <c r="H63" s="254"/>
      <c r="I63" s="242"/>
      <c r="J63" s="242"/>
      <c r="K63" s="242"/>
      <c r="L63" s="242"/>
      <c r="M63" s="242"/>
      <c r="N63" s="242"/>
      <c r="O63" s="242"/>
      <c r="P63" s="242"/>
      <c r="Q63" s="242"/>
      <c r="R63"/>
      <c r="T63"/>
      <c r="U63"/>
      <c r="V63"/>
    </row>
    <row r="64" spans="1:22" hidden="1" outlineLevel="1">
      <c r="A64"/>
      <c r="B64" s="242"/>
      <c r="C64" s="242"/>
      <c r="D64" s="242"/>
      <c r="E64" s="242"/>
      <c r="F64" s="242"/>
      <c r="G64" s="242"/>
      <c r="H64" s="242"/>
      <c r="I64" s="242"/>
      <c r="J64" s="242"/>
      <c r="K64" s="242"/>
      <c r="L64" s="242"/>
      <c r="M64" s="242"/>
      <c r="N64" s="242"/>
      <c r="O64" s="242"/>
      <c r="P64" s="242"/>
      <c r="Q64" s="242"/>
      <c r="R64"/>
      <c r="T64"/>
      <c r="U64"/>
      <c r="V64"/>
    </row>
    <row r="65" spans="1:22" ht="30" hidden="1" outlineLevel="1">
      <c r="A65" s="112" t="s">
        <v>2241</v>
      </c>
      <c r="B65" s="233">
        <v>2019</v>
      </c>
      <c r="C65" s="233">
        <v>2020</v>
      </c>
      <c r="D65" s="233">
        <v>2021</v>
      </c>
      <c r="E65" s="233">
        <v>2022</v>
      </c>
      <c r="F65" s="242"/>
      <c r="G65" s="242"/>
      <c r="H65" s="242"/>
      <c r="I65" s="242"/>
      <c r="J65" s="242"/>
      <c r="K65" s="242"/>
      <c r="L65" s="242"/>
      <c r="M65" s="242"/>
      <c r="N65" s="242"/>
      <c r="O65" s="242"/>
      <c r="P65" s="242"/>
      <c r="Q65" s="242"/>
      <c r="R65"/>
      <c r="T65"/>
      <c r="U65"/>
      <c r="V65"/>
    </row>
    <row r="66" spans="1:22" hidden="1" outlineLevel="1">
      <c r="A66" s="114" t="s">
        <v>2262</v>
      </c>
      <c r="B66" s="239">
        <v>0.127</v>
      </c>
      <c r="C66" s="239">
        <v>6.7799999999999999E-2</v>
      </c>
      <c r="D66" s="239">
        <v>1.5E-3</v>
      </c>
      <c r="E66" s="239">
        <v>0.14380000000000001</v>
      </c>
      <c r="F66" s="242"/>
      <c r="G66" s="242"/>
      <c r="H66" s="242"/>
      <c r="I66" s="242"/>
      <c r="J66" s="242"/>
      <c r="K66" s="242"/>
      <c r="L66" s="242"/>
      <c r="M66" s="242"/>
      <c r="N66" s="242"/>
      <c r="O66" s="242"/>
      <c r="P66" s="242"/>
      <c r="Q66" s="242"/>
      <c r="R66"/>
      <c r="T66"/>
      <c r="U66"/>
      <c r="V66"/>
    </row>
    <row r="67" spans="1:22" hidden="1" outlineLevel="1">
      <c r="A67" t="s">
        <v>2263</v>
      </c>
      <c r="B67" s="256">
        <v>-2.8000000000000025E-2</v>
      </c>
      <c r="C67" s="245">
        <v>-4.2365136107543999E-2</v>
      </c>
      <c r="D67" s="245">
        <v>0.26277830798410196</v>
      </c>
      <c r="E67" s="245">
        <v>4.6159439007356751E-2</v>
      </c>
      <c r="F67" s="242"/>
      <c r="G67" s="242"/>
      <c r="H67" s="242"/>
      <c r="I67" s="242"/>
      <c r="J67" s="242"/>
      <c r="K67" s="242"/>
      <c r="L67" s="242"/>
      <c r="M67" s="242"/>
      <c r="N67" s="242"/>
      <c r="O67" s="242"/>
      <c r="P67" s="242"/>
      <c r="Q67" s="242"/>
      <c r="R67"/>
      <c r="T67"/>
      <c r="U67"/>
      <c r="V67"/>
    </row>
    <row r="68" spans="1:22" hidden="1" outlineLevel="1">
      <c r="A68"/>
      <c r="B68" s="256"/>
      <c r="C68" s="245"/>
      <c r="D68" s="245">
        <v>0.11000348553502959</v>
      </c>
      <c r="E68" s="245">
        <v>-0.15336305972492614</v>
      </c>
      <c r="F68" s="242"/>
      <c r="G68" s="242"/>
      <c r="H68" s="242"/>
      <c r="I68" s="242"/>
      <c r="J68" s="242"/>
      <c r="K68" s="242"/>
      <c r="L68" s="242"/>
      <c r="M68" s="242"/>
      <c r="N68" s="242"/>
      <c r="O68" s="242"/>
      <c r="P68" s="242"/>
      <c r="Q68" s="242"/>
      <c r="R68"/>
      <c r="T68"/>
      <c r="U68"/>
      <c r="V68"/>
    </row>
    <row r="69" spans="1:22" hidden="1" outlineLevel="1">
      <c r="A69"/>
      <c r="B69" s="242"/>
      <c r="C69" s="242"/>
      <c r="D69" s="242"/>
      <c r="E69" s="242"/>
      <c r="F69" s="242"/>
      <c r="G69" s="242"/>
      <c r="H69" s="242"/>
      <c r="I69" s="242"/>
      <c r="J69" s="242"/>
      <c r="K69" s="242"/>
      <c r="L69" s="242"/>
      <c r="M69" s="242"/>
      <c r="N69" s="242"/>
      <c r="O69" s="242"/>
      <c r="P69" s="242"/>
      <c r="Q69" s="242"/>
      <c r="R69"/>
      <c r="T69"/>
      <c r="U69"/>
      <c r="V69"/>
    </row>
    <row r="70" spans="1:22" hidden="1" outlineLevel="1">
      <c r="A70"/>
      <c r="B70" s="242" t="s">
        <v>2255</v>
      </c>
      <c r="C70" s="242" t="s">
        <v>2256</v>
      </c>
      <c r="D70" s="242" t="s">
        <v>2257</v>
      </c>
      <c r="E70" s="242" t="s">
        <v>2258</v>
      </c>
      <c r="F70" s="242" t="s">
        <v>2259</v>
      </c>
      <c r="G70" s="242" t="s">
        <v>2260</v>
      </c>
      <c r="H70" s="242" t="s">
        <v>649</v>
      </c>
      <c r="I70" s="242"/>
      <c r="J70" s="242"/>
      <c r="K70" s="242"/>
      <c r="L70" s="242"/>
      <c r="M70" s="242"/>
      <c r="N70" s="242"/>
      <c r="O70" s="242"/>
      <c r="P70" s="242"/>
      <c r="Q70" s="242"/>
      <c r="R70"/>
      <c r="T70"/>
      <c r="U70"/>
      <c r="V70"/>
    </row>
    <row r="71" spans="1:22" hidden="1" outlineLevel="1">
      <c r="A71" s="114" t="s">
        <v>2262</v>
      </c>
      <c r="B71" s="257">
        <v>6.0999999999999999E-2</v>
      </c>
      <c r="C71" s="257">
        <v>0.16800000000000001</v>
      </c>
      <c r="D71" s="257">
        <v>0.255</v>
      </c>
      <c r="E71" s="257">
        <v>0.111</v>
      </c>
      <c r="F71" s="257">
        <v>0.11398976055190557</v>
      </c>
      <c r="G71" s="257">
        <v>7.97523352944145E-2</v>
      </c>
      <c r="H71" s="257">
        <v>4.9866769993884397E-2</v>
      </c>
      <c r="I71" s="242"/>
      <c r="J71" s="242"/>
      <c r="K71" s="242"/>
      <c r="L71" s="242"/>
      <c r="M71" s="242"/>
      <c r="N71" s="242"/>
      <c r="O71" s="242"/>
      <c r="P71" s="242"/>
      <c r="Q71" s="242"/>
      <c r="R71"/>
      <c r="T71"/>
      <c r="U71"/>
      <c r="V71"/>
    </row>
    <row r="72" spans="1:22" hidden="1" outlineLevel="1">
      <c r="A72"/>
      <c r="B72" s="242"/>
      <c r="C72" s="242"/>
      <c r="D72" s="242"/>
      <c r="E72" s="242"/>
      <c r="F72" s="242"/>
      <c r="G72" s="242"/>
      <c r="H72" s="242"/>
      <c r="I72" s="242"/>
      <c r="J72" s="242"/>
      <c r="K72" s="242"/>
      <c r="L72" s="242"/>
      <c r="M72" s="242"/>
      <c r="N72" s="242"/>
      <c r="O72" s="242"/>
      <c r="P72" s="242"/>
      <c r="Q72" s="242"/>
      <c r="R72"/>
      <c r="T72"/>
      <c r="U72"/>
      <c r="V72"/>
    </row>
    <row r="73" spans="1:22" hidden="1" outlineLevel="1">
      <c r="A73"/>
      <c r="B73" s="242"/>
      <c r="C73" s="242"/>
      <c r="D73" s="242"/>
      <c r="E73" s="242"/>
      <c r="F73" s="242"/>
      <c r="G73" s="242"/>
      <c r="H73" s="242"/>
      <c r="I73" s="242"/>
      <c r="J73" s="242"/>
      <c r="K73" s="242"/>
      <c r="L73" s="242"/>
      <c r="M73" s="242"/>
      <c r="N73" s="242"/>
      <c r="O73" s="242"/>
      <c r="P73" s="242"/>
      <c r="Q73" s="242"/>
      <c r="R73"/>
      <c r="T73"/>
      <c r="U73"/>
      <c r="V73"/>
    </row>
    <row r="74" spans="1:22" hidden="1" outlineLevel="1">
      <c r="A74"/>
      <c r="B74" s="242"/>
      <c r="C74" s="242"/>
      <c r="D74" s="242"/>
      <c r="E74" s="242"/>
      <c r="F74" s="242"/>
      <c r="G74" s="242"/>
      <c r="H74" s="242"/>
      <c r="I74" s="242"/>
      <c r="J74" s="242"/>
      <c r="K74" s="242"/>
      <c r="L74" s="242"/>
      <c r="M74" s="242"/>
      <c r="N74" s="242"/>
      <c r="O74" s="242"/>
      <c r="P74" s="242"/>
      <c r="Q74" s="242"/>
      <c r="R74"/>
      <c r="T74"/>
      <c r="U74"/>
      <c r="V74"/>
    </row>
    <row r="75" spans="1:22" hidden="1" outlineLevel="1">
      <c r="A75"/>
      <c r="B75" s="242"/>
      <c r="C75" s="242"/>
      <c r="D75" s="242"/>
      <c r="E75" s="242"/>
      <c r="F75" s="242"/>
      <c r="G75" s="242"/>
      <c r="H75" s="242"/>
      <c r="I75" s="242"/>
      <c r="J75" s="242"/>
      <c r="K75" s="242"/>
      <c r="L75" s="242"/>
      <c r="M75" s="242"/>
      <c r="N75" s="242"/>
      <c r="O75" s="242"/>
      <c r="P75" s="242"/>
      <c r="Q75" s="242"/>
      <c r="R75"/>
      <c r="T75"/>
      <c r="U75"/>
      <c r="V75"/>
    </row>
    <row r="76" spans="1:22" hidden="1" outlineLevel="1">
      <c r="A76"/>
      <c r="B76" s="242"/>
      <c r="C76" s="242"/>
      <c r="D76" s="242"/>
      <c r="E76" s="242"/>
      <c r="F76" s="242"/>
      <c r="G76" s="242"/>
      <c r="H76" s="242"/>
      <c r="I76" s="242"/>
      <c r="J76" s="242"/>
      <c r="K76" s="242"/>
      <c r="L76" s="242"/>
      <c r="M76" s="242"/>
      <c r="N76" s="242"/>
      <c r="O76" s="242"/>
      <c r="P76" s="242"/>
      <c r="Q76" s="242"/>
      <c r="R76"/>
      <c r="T76"/>
      <c r="U76"/>
      <c r="V76"/>
    </row>
    <row r="77" spans="1:22" hidden="1" outlineLevel="1">
      <c r="A77"/>
      <c r="B77" s="242"/>
      <c r="C77" s="242"/>
      <c r="D77" s="242"/>
      <c r="E77" s="242"/>
      <c r="F77" s="242"/>
      <c r="G77" s="242"/>
      <c r="H77" s="242"/>
      <c r="I77" s="242"/>
      <c r="J77" s="242"/>
      <c r="K77" s="242"/>
      <c r="L77" s="242"/>
      <c r="M77" s="242"/>
      <c r="N77" s="242"/>
      <c r="O77" s="242"/>
      <c r="P77" s="242"/>
      <c r="Q77" s="242"/>
      <c r="R77"/>
      <c r="T77"/>
      <c r="U77"/>
      <c r="V77"/>
    </row>
    <row r="78" spans="1:22" hidden="1" outlineLevel="1">
      <c r="A78"/>
      <c r="B78" s="242"/>
      <c r="C78" s="242"/>
      <c r="D78" s="242"/>
      <c r="E78" s="242"/>
      <c r="F78" s="242"/>
      <c r="G78" s="242"/>
      <c r="H78" s="242"/>
      <c r="I78" s="242"/>
      <c r="J78" s="242"/>
      <c r="K78" s="242"/>
      <c r="L78" s="242"/>
      <c r="M78" s="242"/>
      <c r="N78" s="242"/>
      <c r="O78" s="242"/>
      <c r="P78" s="242"/>
      <c r="Q78" s="242"/>
      <c r="R78"/>
      <c r="T78"/>
      <c r="U78"/>
      <c r="V78"/>
    </row>
    <row r="79" spans="1:22" hidden="1" outlineLevel="1">
      <c r="A79"/>
      <c r="B79" s="242"/>
      <c r="C79" s="242"/>
      <c r="D79" s="242"/>
      <c r="E79" s="242"/>
      <c r="F79" s="242"/>
      <c r="G79" s="242"/>
      <c r="H79" s="242"/>
      <c r="I79" s="242"/>
      <c r="J79" s="242"/>
      <c r="K79" s="242"/>
      <c r="L79" s="242"/>
      <c r="M79" s="242"/>
      <c r="N79" s="242"/>
      <c r="O79" s="242"/>
      <c r="P79" s="242"/>
      <c r="Q79" s="242"/>
      <c r="R79"/>
      <c r="T79"/>
      <c r="U79"/>
      <c r="V79"/>
    </row>
    <row r="80" spans="1:22" hidden="1" outlineLevel="1">
      <c r="A80" s="78"/>
    </row>
    <row r="81" spans="1:26" collapsed="1">
      <c r="A81" s="78"/>
      <c r="G81" s="259"/>
    </row>
    <row r="82" spans="1:26" ht="15.75">
      <c r="A82" s="81" t="s">
        <v>2264</v>
      </c>
      <c r="B82" s="220"/>
      <c r="C82" s="220"/>
      <c r="D82" s="220"/>
      <c r="E82" s="220"/>
      <c r="F82" s="220"/>
      <c r="G82" s="220"/>
      <c r="H82" s="220"/>
      <c r="I82" s="220"/>
      <c r="J82" s="220"/>
      <c r="K82" s="220"/>
      <c r="L82" s="220"/>
      <c r="M82" s="220"/>
      <c r="N82" s="220"/>
      <c r="O82" s="220"/>
      <c r="P82" s="220"/>
      <c r="Q82" s="220"/>
      <c r="R82" s="62"/>
      <c r="S82" s="62"/>
      <c r="T82" s="62"/>
      <c r="U82" s="62"/>
      <c r="V82" s="62"/>
    </row>
    <row r="83" spans="1:26">
      <c r="A83" s="78"/>
      <c r="E83" s="260"/>
      <c r="F83" s="260"/>
      <c r="G83" s="259"/>
    </row>
    <row r="84" spans="1:26">
      <c r="A84" s="78" t="s">
        <v>2265</v>
      </c>
      <c r="G84" s="259"/>
    </row>
    <row r="85" spans="1:26">
      <c r="C85" s="261" t="s">
        <v>2266</v>
      </c>
      <c r="D85" s="261" t="s">
        <v>2266</v>
      </c>
      <c r="E85" s="261" t="s">
        <v>2266</v>
      </c>
      <c r="F85" s="261" t="s">
        <v>2266</v>
      </c>
      <c r="G85" s="261" t="s">
        <v>2266</v>
      </c>
      <c r="H85" s="261" t="s">
        <v>2266</v>
      </c>
      <c r="I85" s="261" t="s">
        <v>2266</v>
      </c>
      <c r="J85" s="261" t="s">
        <v>2266</v>
      </c>
      <c r="K85" s="261" t="s">
        <v>2266</v>
      </c>
      <c r="L85" s="261" t="s">
        <v>2266</v>
      </c>
      <c r="M85" s="261" t="s">
        <v>1645</v>
      </c>
      <c r="N85" s="261" t="s">
        <v>2266</v>
      </c>
      <c r="O85" s="261" t="s">
        <v>2267</v>
      </c>
      <c r="P85" s="258" t="s">
        <v>179</v>
      </c>
      <c r="Q85" s="258" t="s">
        <v>179</v>
      </c>
    </row>
    <row r="86" spans="1:26">
      <c r="A86" s="186" t="s">
        <v>2268</v>
      </c>
      <c r="B86" s="262" t="s">
        <v>2269</v>
      </c>
      <c r="C86" s="262" t="s">
        <v>2270</v>
      </c>
      <c r="D86" s="262" t="s">
        <v>2271</v>
      </c>
      <c r="E86" s="262" t="s">
        <v>2272</v>
      </c>
      <c r="F86" s="262" t="s">
        <v>2273</v>
      </c>
      <c r="G86" s="262" t="s">
        <v>2274</v>
      </c>
      <c r="H86" s="262" t="s">
        <v>2275</v>
      </c>
      <c r="I86" s="263" t="s">
        <v>2276</v>
      </c>
      <c r="J86" s="263" t="s">
        <v>2255</v>
      </c>
      <c r="K86" s="263" t="s">
        <v>2256</v>
      </c>
      <c r="L86" s="263" t="s">
        <v>2257</v>
      </c>
      <c r="M86" s="263" t="s">
        <v>2258</v>
      </c>
      <c r="N86" s="262" t="s">
        <v>2259</v>
      </c>
      <c r="O86" s="262" t="s">
        <v>2260</v>
      </c>
      <c r="P86" s="262" t="s">
        <v>2277</v>
      </c>
      <c r="Q86" s="262" t="s">
        <v>650</v>
      </c>
    </row>
    <row r="87" spans="1:26">
      <c r="A87" s="105" t="s">
        <v>674</v>
      </c>
      <c r="B87" s="264">
        <v>2.8</v>
      </c>
      <c r="C87" s="265">
        <v>3</v>
      </c>
      <c r="D87" s="265">
        <v>3.5</v>
      </c>
      <c r="E87" s="265">
        <v>7</v>
      </c>
      <c r="F87" s="265">
        <v>7.4</v>
      </c>
      <c r="G87" s="265">
        <v>7.3</v>
      </c>
      <c r="H87" s="265">
        <v>6</v>
      </c>
      <c r="I87" s="265">
        <v>12</v>
      </c>
      <c r="J87" s="265">
        <v>10.6</v>
      </c>
      <c r="K87" s="265">
        <v>15.4</v>
      </c>
      <c r="L87" s="265">
        <v>10.4</v>
      </c>
      <c r="M87" s="265">
        <v>13</v>
      </c>
      <c r="N87" s="265">
        <v>16.8</v>
      </c>
      <c r="O87" s="266">
        <v>14.4</v>
      </c>
      <c r="P87" s="267">
        <v>10.5</v>
      </c>
      <c r="Q87" s="267">
        <v>15</v>
      </c>
    </row>
    <row r="88" spans="1:26">
      <c r="A88" s="105" t="s">
        <v>2278</v>
      </c>
      <c r="B88" s="264">
        <v>25</v>
      </c>
      <c r="C88" s="265">
        <v>25</v>
      </c>
      <c r="D88" s="265">
        <v>20</v>
      </c>
      <c r="E88" s="265">
        <v>19</v>
      </c>
      <c r="F88" s="265">
        <v>21.6</v>
      </c>
      <c r="G88" s="265">
        <v>16</v>
      </c>
      <c r="H88" s="265">
        <v>19</v>
      </c>
      <c r="I88" s="265">
        <v>17.399999999999999</v>
      </c>
      <c r="J88" s="265">
        <v>14.4</v>
      </c>
      <c r="K88" s="265">
        <v>20.7</v>
      </c>
      <c r="L88" s="265">
        <v>21.734694453489201</v>
      </c>
      <c r="M88" s="265">
        <v>21.224490431436301</v>
      </c>
      <c r="N88" s="265">
        <v>17.600000000000001</v>
      </c>
      <c r="O88" s="266">
        <v>18</v>
      </c>
      <c r="P88" s="267">
        <v>19</v>
      </c>
      <c r="Q88" s="267">
        <v>19</v>
      </c>
    </row>
    <row r="89" spans="1:26">
      <c r="A89" s="105" t="s">
        <v>2279</v>
      </c>
      <c r="B89" s="264">
        <v>39</v>
      </c>
      <c r="C89" s="265">
        <v>39</v>
      </c>
      <c r="D89" s="265">
        <v>36</v>
      </c>
      <c r="E89" s="265">
        <v>28</v>
      </c>
      <c r="F89" s="265">
        <v>31.9</v>
      </c>
      <c r="G89" s="265">
        <v>37</v>
      </c>
      <c r="H89" s="265">
        <v>49</v>
      </c>
      <c r="I89" s="265">
        <v>28</v>
      </c>
      <c r="J89" s="265">
        <v>30.8</v>
      </c>
      <c r="K89" s="265">
        <v>38.4</v>
      </c>
      <c r="L89" s="265">
        <v>33.979590982757301</v>
      </c>
      <c r="M89" s="265">
        <v>40.6122432694442</v>
      </c>
      <c r="N89" s="268">
        <v>30</v>
      </c>
      <c r="O89" s="266">
        <v>31</v>
      </c>
      <c r="P89" s="267">
        <v>33</v>
      </c>
      <c r="Q89" s="267">
        <v>36</v>
      </c>
    </row>
    <row r="90" spans="1:26">
      <c r="A90" s="105" t="s">
        <v>2280</v>
      </c>
      <c r="B90" s="264">
        <v>10</v>
      </c>
      <c r="C90" s="265">
        <v>10</v>
      </c>
      <c r="D90" s="265">
        <v>6</v>
      </c>
      <c r="E90" s="265">
        <v>14</v>
      </c>
      <c r="F90" s="265">
        <v>5.3</v>
      </c>
      <c r="G90" s="265">
        <v>12</v>
      </c>
      <c r="H90" s="265">
        <v>8</v>
      </c>
      <c r="I90" s="265">
        <v>18</v>
      </c>
      <c r="J90" s="265">
        <v>11</v>
      </c>
      <c r="K90" s="265">
        <v>4.4000000000000004</v>
      </c>
      <c r="L90" s="265">
        <v>9.6938764190039599</v>
      </c>
      <c r="M90" s="265">
        <v>6.4285737919040002</v>
      </c>
      <c r="N90" s="268">
        <v>7.5</v>
      </c>
      <c r="O90" s="266">
        <v>8</v>
      </c>
      <c r="P90" s="267">
        <v>8</v>
      </c>
      <c r="Q90" s="267">
        <v>8</v>
      </c>
    </row>
    <row r="91" spans="1:26">
      <c r="A91" s="105" t="s">
        <v>64</v>
      </c>
      <c r="B91" s="264">
        <v>10</v>
      </c>
      <c r="C91" s="265">
        <v>10</v>
      </c>
      <c r="D91" s="265">
        <v>17</v>
      </c>
      <c r="E91" s="265">
        <v>12</v>
      </c>
      <c r="F91" s="265">
        <v>12.2</v>
      </c>
      <c r="G91" s="265">
        <v>17</v>
      </c>
      <c r="H91" s="265">
        <v>13</v>
      </c>
      <c r="I91" s="265">
        <v>11</v>
      </c>
      <c r="J91" s="265">
        <v>20.6</v>
      </c>
      <c r="K91" s="265">
        <v>13.2</v>
      </c>
      <c r="L91" s="265">
        <v>14.591838144749399</v>
      </c>
      <c r="M91" s="265">
        <v>5.3061265004068696</v>
      </c>
      <c r="N91" s="268">
        <v>15.8</v>
      </c>
      <c r="O91" s="266">
        <v>22</v>
      </c>
      <c r="P91" s="267">
        <v>14</v>
      </c>
      <c r="Q91" s="267">
        <v>12</v>
      </c>
    </row>
    <row r="92" spans="1:26">
      <c r="A92" s="105" t="s">
        <v>66</v>
      </c>
      <c r="B92" s="265">
        <f t="shared" ref="B92:O92" si="21">100-SUM(B87:B91)</f>
        <v>13.200000000000003</v>
      </c>
      <c r="C92" s="265">
        <f t="shared" si="21"/>
        <v>13</v>
      </c>
      <c r="D92" s="265">
        <f t="shared" si="21"/>
        <v>17.5</v>
      </c>
      <c r="E92" s="265">
        <f t="shared" si="21"/>
        <v>20</v>
      </c>
      <c r="F92" s="265">
        <f t="shared" si="21"/>
        <v>21.599999999999994</v>
      </c>
      <c r="G92" s="265">
        <f t="shared" si="21"/>
        <v>10.700000000000003</v>
      </c>
      <c r="H92" s="265">
        <f t="shared" si="21"/>
        <v>5</v>
      </c>
      <c r="I92" s="265">
        <f t="shared" si="21"/>
        <v>13.599999999999994</v>
      </c>
      <c r="J92" s="265">
        <f t="shared" si="21"/>
        <v>12.599999999999994</v>
      </c>
      <c r="K92" s="265">
        <f t="shared" si="21"/>
        <v>7.8999999999999915</v>
      </c>
      <c r="L92" s="265">
        <f t="shared" si="21"/>
        <v>9.6000000000001364</v>
      </c>
      <c r="M92" s="265">
        <f t="shared" si="21"/>
        <v>13.428566006808623</v>
      </c>
      <c r="N92" s="268">
        <f t="shared" si="21"/>
        <v>12.299999999999997</v>
      </c>
      <c r="O92" s="266">
        <f t="shared" si="21"/>
        <v>6.5999999999999943</v>
      </c>
      <c r="P92" s="267">
        <f>100-SUM(P87:P91)</f>
        <v>15.5</v>
      </c>
      <c r="Q92" s="267">
        <f>100-SUM(Q87:Q91)</f>
        <v>10</v>
      </c>
    </row>
    <row r="93" spans="1:26">
      <c r="A93" s="188" t="s">
        <v>71</v>
      </c>
      <c r="B93" s="269">
        <f t="shared" ref="B93:Q93" si="22">SUM(B87:B92)</f>
        <v>100</v>
      </c>
      <c r="C93" s="269">
        <f t="shared" si="22"/>
        <v>100</v>
      </c>
      <c r="D93" s="269">
        <f t="shared" si="22"/>
        <v>100</v>
      </c>
      <c r="E93" s="269">
        <f t="shared" si="22"/>
        <v>100</v>
      </c>
      <c r="F93" s="269">
        <f t="shared" si="22"/>
        <v>100</v>
      </c>
      <c r="G93" s="269">
        <f t="shared" si="22"/>
        <v>100</v>
      </c>
      <c r="H93" s="269">
        <f t="shared" si="22"/>
        <v>100</v>
      </c>
      <c r="I93" s="269">
        <f t="shared" si="22"/>
        <v>100</v>
      </c>
      <c r="J93" s="269">
        <f t="shared" si="22"/>
        <v>100</v>
      </c>
      <c r="K93" s="269">
        <f t="shared" si="22"/>
        <v>100</v>
      </c>
      <c r="L93" s="269">
        <f t="shared" si="22"/>
        <v>100</v>
      </c>
      <c r="M93" s="269">
        <f t="shared" si="22"/>
        <v>100</v>
      </c>
      <c r="N93" s="269">
        <f t="shared" si="22"/>
        <v>100</v>
      </c>
      <c r="O93" s="269">
        <f t="shared" si="22"/>
        <v>100</v>
      </c>
      <c r="P93" s="269">
        <f t="shared" si="22"/>
        <v>100</v>
      </c>
      <c r="Q93" s="269">
        <f t="shared" si="22"/>
        <v>100</v>
      </c>
    </row>
    <row r="94" spans="1:26">
      <c r="B94" s="258" t="s">
        <v>393</v>
      </c>
      <c r="C94" s="258" t="s">
        <v>2281</v>
      </c>
      <c r="D94" s="258" t="s">
        <v>2281</v>
      </c>
      <c r="G94" s="258" t="s">
        <v>2281</v>
      </c>
      <c r="H94" s="258" t="s">
        <v>2281</v>
      </c>
      <c r="I94" s="270" t="s">
        <v>2282</v>
      </c>
      <c r="J94" s="258" t="s">
        <v>2282</v>
      </c>
      <c r="L94" s="271"/>
      <c r="M94" s="271"/>
      <c r="O94" s="258">
        <f>SUM(L96:O96)/SUM(L102:O102)</f>
        <v>0.13520917822105533</v>
      </c>
      <c r="P94" s="258">
        <f>SUM(L100:O100)/SUM(L102:O102)</f>
        <v>0.13424668518963381</v>
      </c>
    </row>
    <row r="95" spans="1:26">
      <c r="A95" s="187" t="s">
        <v>2283</v>
      </c>
      <c r="B95" s="272" t="s">
        <v>2269</v>
      </c>
      <c r="C95" s="272" t="s">
        <v>2270</v>
      </c>
      <c r="D95" s="272" t="s">
        <v>2271</v>
      </c>
      <c r="E95" s="272" t="s">
        <v>2272</v>
      </c>
      <c r="F95" s="272" t="s">
        <v>2273</v>
      </c>
      <c r="G95" s="272" t="s">
        <v>2274</v>
      </c>
      <c r="H95" s="272" t="s">
        <v>2275</v>
      </c>
      <c r="I95" s="272" t="s">
        <v>2276</v>
      </c>
      <c r="J95" s="272" t="s">
        <v>2255</v>
      </c>
      <c r="K95" s="272" t="s">
        <v>2256</v>
      </c>
      <c r="L95" s="272" t="s">
        <v>2257</v>
      </c>
      <c r="M95" s="272" t="s">
        <v>2258</v>
      </c>
      <c r="N95" s="272" t="s">
        <v>2259</v>
      </c>
      <c r="O95" s="272" t="s">
        <v>2260</v>
      </c>
      <c r="P95" s="272" t="s">
        <v>649</v>
      </c>
      <c r="Q95" s="272" t="s">
        <v>2284</v>
      </c>
      <c r="S95" s="272" t="s">
        <v>2285</v>
      </c>
      <c r="T95" s="272" t="s">
        <v>2286</v>
      </c>
      <c r="U95" s="272" t="s">
        <v>2287</v>
      </c>
      <c r="V95" s="272" t="s">
        <v>2288</v>
      </c>
      <c r="W95" s="311" t="s">
        <v>2289</v>
      </c>
      <c r="X95" s="311" t="s">
        <v>2290</v>
      </c>
      <c r="Y95" s="311" t="s">
        <v>2291</v>
      </c>
      <c r="Z95" s="311" t="s">
        <v>2292</v>
      </c>
    </row>
    <row r="96" spans="1:26">
      <c r="A96" s="105" t="s">
        <v>674</v>
      </c>
      <c r="B96" s="265">
        <f t="shared" ref="B96:Q96" si="23">B$137*B87/100*1000</f>
        <v>94188.877979580153</v>
      </c>
      <c r="C96" s="265">
        <f t="shared" si="23"/>
        <v>87077.942844825389</v>
      </c>
      <c r="D96" s="265">
        <f t="shared" si="23"/>
        <v>109338.07894018968</v>
      </c>
      <c r="E96" s="265">
        <f t="shared" si="23"/>
        <v>277520.80118983414</v>
      </c>
      <c r="F96" s="265">
        <f t="shared" si="23"/>
        <v>314893.60241673206</v>
      </c>
      <c r="G96" s="265">
        <f t="shared" si="23"/>
        <v>235197.52362387342</v>
      </c>
      <c r="H96" s="265">
        <f t="shared" si="23"/>
        <v>134954.4288633198</v>
      </c>
      <c r="I96" s="265">
        <f t="shared" si="23"/>
        <v>547112.4366313871</v>
      </c>
      <c r="J96" s="265">
        <f t="shared" si="23"/>
        <v>438176.34521408554</v>
      </c>
      <c r="K96" s="265">
        <f t="shared" si="23"/>
        <v>482127.78006195725</v>
      </c>
      <c r="L96" s="265">
        <f t="shared" si="23"/>
        <v>319270.45367531502</v>
      </c>
      <c r="M96" s="265">
        <f t="shared" si="23"/>
        <v>493920.94973666902</v>
      </c>
      <c r="N96" s="265">
        <f t="shared" si="23"/>
        <v>485106.3604798303</v>
      </c>
      <c r="O96" s="265">
        <f>O$137*O87/100*1000</f>
        <v>342623.79383104289</v>
      </c>
      <c r="P96" s="265">
        <f t="shared" si="23"/>
        <v>312287.31208558596</v>
      </c>
      <c r="Q96" s="265">
        <f t="shared" si="23"/>
        <v>490737.20470592083</v>
      </c>
      <c r="R96" s="203"/>
      <c r="S96" s="107">
        <f>SUM(B96:C96)</f>
        <v>181266.82082440553</v>
      </c>
      <c r="T96" s="107">
        <f t="shared" ref="T96:T102" si="24">SUM(D96:E96)</f>
        <v>386858.88013002381</v>
      </c>
      <c r="U96" s="107">
        <f>SUM(F96:G96)</f>
        <v>550091.12604060548</v>
      </c>
      <c r="V96" s="107">
        <f>SUM(H96:I96)</f>
        <v>682066.8654947069</v>
      </c>
      <c r="W96" s="107">
        <f>SUM(J96:K96)</f>
        <v>920304.12527604285</v>
      </c>
      <c r="X96" s="107">
        <f>SUM(L96:M96)</f>
        <v>813191.40341198398</v>
      </c>
      <c r="Y96" s="107">
        <f>SUM(N96:O96)</f>
        <v>827730.15431087324</v>
      </c>
      <c r="Z96" s="107">
        <f>SUM(P96:Q96)</f>
        <v>803024.51679150679</v>
      </c>
    </row>
    <row r="97" spans="1:26">
      <c r="A97" s="105" t="s">
        <v>2278</v>
      </c>
      <c r="B97" s="265">
        <f t="shared" ref="B97:Q97" si="25">B$137*B88/100*1000</f>
        <v>840972.12481767999</v>
      </c>
      <c r="C97" s="265">
        <f t="shared" si="25"/>
        <v>725649.52370687819</v>
      </c>
      <c r="D97" s="265">
        <f t="shared" si="25"/>
        <v>624789.02251536958</v>
      </c>
      <c r="E97" s="265">
        <f t="shared" si="25"/>
        <v>753270.74608669255</v>
      </c>
      <c r="F97" s="265">
        <f t="shared" si="25"/>
        <v>919148.89354073151</v>
      </c>
      <c r="G97" s="265">
        <f t="shared" si="25"/>
        <v>515501.42164136638</v>
      </c>
      <c r="H97" s="265">
        <f t="shared" si="25"/>
        <v>427355.69140051276</v>
      </c>
      <c r="I97" s="265">
        <f t="shared" si="25"/>
        <v>793313.03311551129</v>
      </c>
      <c r="J97" s="265">
        <f t="shared" si="25"/>
        <v>595258.43123422947</v>
      </c>
      <c r="K97" s="265">
        <f t="shared" si="25"/>
        <v>648054.87320016325</v>
      </c>
      <c r="L97" s="265">
        <f t="shared" si="25"/>
        <v>667235.16910190857</v>
      </c>
      <c r="M97" s="265">
        <f t="shared" si="25"/>
        <v>806401.57473629701</v>
      </c>
      <c r="N97" s="265">
        <f t="shared" si="25"/>
        <v>508206.66335982224</v>
      </c>
      <c r="O97" s="265">
        <f t="shared" si="25"/>
        <v>428279.74228880357</v>
      </c>
      <c r="P97" s="265">
        <f t="shared" si="25"/>
        <v>565091.32663106022</v>
      </c>
      <c r="Q97" s="265">
        <f t="shared" si="25"/>
        <v>621600.45929416642</v>
      </c>
      <c r="R97" s="203"/>
      <c r="S97" s="107">
        <f t="shared" ref="S97:S102" si="26">SUM(B97:C97)</f>
        <v>1566621.6485245582</v>
      </c>
      <c r="T97" s="107">
        <f t="shared" si="24"/>
        <v>1378059.768602062</v>
      </c>
      <c r="U97" s="107">
        <f t="shared" ref="U97:U102" si="27">SUM(F97:G97)</f>
        <v>1434650.315182098</v>
      </c>
      <c r="V97" s="107">
        <f t="shared" ref="V97:V102" si="28">SUM(H97:I97)</f>
        <v>1220668.7245160241</v>
      </c>
      <c r="W97" s="107">
        <f t="shared" ref="W97:W102" si="29">SUM(J97:K97)</f>
        <v>1243313.3044343926</v>
      </c>
      <c r="X97" s="107">
        <f t="shared" ref="X97:X102" si="30">SUM(L97:M97)</f>
        <v>1473636.7438382055</v>
      </c>
      <c r="Y97" s="107">
        <f t="shared" ref="Y97:Y102" si="31">SUM(N97:O97)</f>
        <v>936486.40564862581</v>
      </c>
      <c r="Z97" s="107">
        <f t="shared" ref="Z97:Z102" si="32">SUM(P97:Q97)</f>
        <v>1186691.7859252268</v>
      </c>
    </row>
    <row r="98" spans="1:26">
      <c r="A98" s="105" t="s">
        <v>2279</v>
      </c>
      <c r="B98" s="265">
        <f t="shared" ref="B98:Q98" si="33">B$137*B89/100*1000</f>
        <v>1311916.514715581</v>
      </c>
      <c r="C98" s="265">
        <f t="shared" si="33"/>
        <v>1132013.2569827302</v>
      </c>
      <c r="D98" s="265">
        <f t="shared" si="33"/>
        <v>1124620.2405276652</v>
      </c>
      <c r="E98" s="265">
        <f t="shared" si="33"/>
        <v>1110083.2047593365</v>
      </c>
      <c r="F98" s="265">
        <f t="shared" si="33"/>
        <v>1357446.7455532097</v>
      </c>
      <c r="G98" s="265">
        <f t="shared" si="33"/>
        <v>1192097.0375456598</v>
      </c>
      <c r="H98" s="265">
        <f t="shared" si="33"/>
        <v>1102127.8357171118</v>
      </c>
      <c r="I98" s="265">
        <f t="shared" si="33"/>
        <v>1276595.6854732367</v>
      </c>
      <c r="J98" s="265">
        <f t="shared" si="33"/>
        <v>1273191.6445843242</v>
      </c>
      <c r="K98" s="265">
        <f t="shared" si="33"/>
        <v>1202188.7502843607</v>
      </c>
      <c r="L98" s="265">
        <f t="shared" si="33"/>
        <v>1043142.2527660158</v>
      </c>
      <c r="M98" s="265">
        <f t="shared" si="33"/>
        <v>1543018.2897369633</v>
      </c>
      <c r="N98" s="265">
        <f t="shared" si="33"/>
        <v>866261.35799969686</v>
      </c>
      <c r="O98" s="265">
        <f t="shared" si="33"/>
        <v>737592.88949738396</v>
      </c>
      <c r="P98" s="265">
        <f t="shared" si="33"/>
        <v>981474.40941184154</v>
      </c>
      <c r="Q98" s="265">
        <f t="shared" si="33"/>
        <v>1177769.2912942099</v>
      </c>
      <c r="R98" s="203"/>
      <c r="S98" s="107">
        <f t="shared" si="26"/>
        <v>2443929.771698311</v>
      </c>
      <c r="T98" s="107">
        <f t="shared" si="24"/>
        <v>2234703.4452870018</v>
      </c>
      <c r="U98" s="107">
        <f t="shared" si="27"/>
        <v>2549543.7830988695</v>
      </c>
      <c r="V98" s="107">
        <f t="shared" si="28"/>
        <v>2378723.5211903485</v>
      </c>
      <c r="W98" s="107">
        <f t="shared" si="29"/>
        <v>2475380.3948686849</v>
      </c>
      <c r="X98" s="107">
        <f t="shared" si="30"/>
        <v>2586160.5425029793</v>
      </c>
      <c r="Y98" s="107">
        <f t="shared" si="31"/>
        <v>1603854.2474970808</v>
      </c>
      <c r="Z98" s="107">
        <f t="shared" si="32"/>
        <v>2159243.7007060517</v>
      </c>
    </row>
    <row r="99" spans="1:26">
      <c r="A99" s="105" t="s">
        <v>2280</v>
      </c>
      <c r="B99" s="265">
        <f t="shared" ref="B99:Q99" si="34">B$137*B90/100*1000</f>
        <v>336388.84992707201</v>
      </c>
      <c r="C99" s="265">
        <f t="shared" si="34"/>
        <v>290259.80948275136</v>
      </c>
      <c r="D99" s="265">
        <f t="shared" si="34"/>
        <v>187436.70675461087</v>
      </c>
      <c r="E99" s="265">
        <f t="shared" si="34"/>
        <v>555041.60237966827</v>
      </c>
      <c r="F99" s="265">
        <f t="shared" si="34"/>
        <v>225531.90443360538</v>
      </c>
      <c r="G99" s="265">
        <f t="shared" si="34"/>
        <v>386626.0662310248</v>
      </c>
      <c r="H99" s="265">
        <f t="shared" si="34"/>
        <v>179939.23848442643</v>
      </c>
      <c r="I99" s="265">
        <f t="shared" si="34"/>
        <v>820668.65494708077</v>
      </c>
      <c r="J99" s="265">
        <f t="shared" si="34"/>
        <v>454711.30163725861</v>
      </c>
      <c r="K99" s="265">
        <f t="shared" si="34"/>
        <v>137750.79430341636</v>
      </c>
      <c r="L99" s="265">
        <f t="shared" si="34"/>
        <v>297593.10790075309</v>
      </c>
      <c r="M99" s="265">
        <f t="shared" si="34"/>
        <v>244246.71328842177</v>
      </c>
      <c r="N99" s="265">
        <f t="shared" si="34"/>
        <v>216565.33949992422</v>
      </c>
      <c r="O99" s="265">
        <f t="shared" si="34"/>
        <v>190346.55212835714</v>
      </c>
      <c r="P99" s="265">
        <f t="shared" si="34"/>
        <v>237933.19016044642</v>
      </c>
      <c r="Q99" s="265">
        <f t="shared" si="34"/>
        <v>261726.50917649112</v>
      </c>
      <c r="R99" s="203"/>
      <c r="S99" s="107">
        <f t="shared" si="26"/>
        <v>626648.65940982336</v>
      </c>
      <c r="T99" s="107">
        <f t="shared" si="24"/>
        <v>742478.30913427914</v>
      </c>
      <c r="U99" s="107">
        <f t="shared" si="27"/>
        <v>612157.97066463018</v>
      </c>
      <c r="V99" s="107">
        <f t="shared" si="28"/>
        <v>1000607.8934315072</v>
      </c>
      <c r="W99" s="107">
        <f t="shared" si="29"/>
        <v>592462.095940675</v>
      </c>
      <c r="X99" s="107">
        <f t="shared" si="30"/>
        <v>541839.82118917489</v>
      </c>
      <c r="Y99" s="107">
        <f t="shared" si="31"/>
        <v>406911.89162828133</v>
      </c>
      <c r="Z99" s="107">
        <f t="shared" si="32"/>
        <v>499659.69933693751</v>
      </c>
    </row>
    <row r="100" spans="1:26">
      <c r="A100" s="105" t="s">
        <v>64</v>
      </c>
      <c r="B100" s="265">
        <f t="shared" ref="B100:Q100" si="35">B$137*B91/100*1000</f>
        <v>336388.84992707201</v>
      </c>
      <c r="C100" s="265">
        <f t="shared" si="35"/>
        <v>290259.80948275136</v>
      </c>
      <c r="D100" s="265">
        <f t="shared" si="35"/>
        <v>531070.66913806414</v>
      </c>
      <c r="E100" s="265">
        <f t="shared" si="35"/>
        <v>475749.94489685842</v>
      </c>
      <c r="F100" s="265">
        <f t="shared" si="35"/>
        <v>519148.91209245013</v>
      </c>
      <c r="G100" s="265">
        <f t="shared" si="35"/>
        <v>547720.26049395173</v>
      </c>
      <c r="H100" s="265">
        <f t="shared" si="35"/>
        <v>292401.2625371929</v>
      </c>
      <c r="I100" s="265">
        <f t="shared" si="35"/>
        <v>501519.73357877153</v>
      </c>
      <c r="J100" s="265">
        <f t="shared" si="35"/>
        <v>851550.25579341163</v>
      </c>
      <c r="K100" s="265">
        <f t="shared" si="35"/>
        <v>413252.38291024906</v>
      </c>
      <c r="L100" s="265">
        <f t="shared" si="35"/>
        <v>447956.03696451028</v>
      </c>
      <c r="M100" s="265">
        <f t="shared" si="35"/>
        <v>201600.54157722069</v>
      </c>
      <c r="N100" s="265">
        <f t="shared" si="35"/>
        <v>456230.98187984037</v>
      </c>
      <c r="O100" s="265">
        <f>O$137*O91/100*1000</f>
        <v>523453.01835298224</v>
      </c>
      <c r="P100" s="265">
        <f t="shared" si="35"/>
        <v>416383.08278078126</v>
      </c>
      <c r="Q100" s="265">
        <f t="shared" si="35"/>
        <v>392589.76376473665</v>
      </c>
      <c r="R100" s="203"/>
      <c r="S100" s="107">
        <f t="shared" si="26"/>
        <v>626648.65940982336</v>
      </c>
      <c r="T100" s="107">
        <f t="shared" si="24"/>
        <v>1006820.6140349226</v>
      </c>
      <c r="U100" s="107">
        <f t="shared" si="27"/>
        <v>1066869.1725864019</v>
      </c>
      <c r="V100" s="107">
        <f t="shared" si="28"/>
        <v>793920.99611596437</v>
      </c>
      <c r="W100" s="107">
        <f t="shared" si="29"/>
        <v>1264802.6387036606</v>
      </c>
      <c r="X100" s="107">
        <f t="shared" si="30"/>
        <v>649556.578541731</v>
      </c>
      <c r="Y100" s="107">
        <f t="shared" si="31"/>
        <v>979684.00023282261</v>
      </c>
      <c r="Z100" s="107">
        <f t="shared" si="32"/>
        <v>808972.84654551791</v>
      </c>
    </row>
    <row r="101" spans="1:26">
      <c r="A101" s="105" t="s">
        <v>66</v>
      </c>
      <c r="B101" s="265">
        <f t="shared" ref="B101:Q101" si="36">B$137*B92/100*1000</f>
        <v>444033.28190373507</v>
      </c>
      <c r="C101" s="265">
        <f t="shared" si="36"/>
        <v>377337.75232757675</v>
      </c>
      <c r="D101" s="265">
        <f t="shared" si="36"/>
        <v>546690.39470094838</v>
      </c>
      <c r="E101" s="265">
        <f t="shared" si="36"/>
        <v>792916.57482809736</v>
      </c>
      <c r="F101" s="265">
        <f t="shared" si="36"/>
        <v>919148.89354073128</v>
      </c>
      <c r="G101" s="265">
        <f t="shared" si="36"/>
        <v>344741.57572266384</v>
      </c>
      <c r="H101" s="265">
        <f t="shared" si="36"/>
        <v>112462.02405276653</v>
      </c>
      <c r="I101" s="265">
        <f t="shared" si="36"/>
        <v>620060.76151557185</v>
      </c>
      <c r="J101" s="265">
        <f t="shared" si="36"/>
        <v>520851.12732995051</v>
      </c>
      <c r="K101" s="265">
        <f t="shared" si="36"/>
        <v>247325.28977204274</v>
      </c>
      <c r="L101" s="265">
        <f t="shared" si="36"/>
        <v>294711.18800798722</v>
      </c>
      <c r="M101" s="265">
        <f t="shared" si="36"/>
        <v>510203.85197572794</v>
      </c>
      <c r="N101" s="265">
        <f t="shared" si="36"/>
        <v>355167.15677987563</v>
      </c>
      <c r="O101" s="265">
        <f>O$137*O92/100*1000</f>
        <v>157035.90550589451</v>
      </c>
      <c r="P101" s="265">
        <f t="shared" si="36"/>
        <v>460995.55593586498</v>
      </c>
      <c r="Q101" s="265">
        <f t="shared" si="36"/>
        <v>327158.13647061383</v>
      </c>
      <c r="R101" s="203"/>
      <c r="S101" s="107">
        <f t="shared" si="26"/>
        <v>821371.03423131187</v>
      </c>
      <c r="T101" s="107">
        <f t="shared" si="24"/>
        <v>1339606.9695290457</v>
      </c>
      <c r="U101" s="107">
        <f t="shared" si="27"/>
        <v>1263890.4692633951</v>
      </c>
      <c r="V101" s="107">
        <f t="shared" si="28"/>
        <v>732522.78556833835</v>
      </c>
      <c r="W101" s="107">
        <f t="shared" si="29"/>
        <v>768176.41710199323</v>
      </c>
      <c r="X101" s="107">
        <f t="shared" si="30"/>
        <v>804915.03998371516</v>
      </c>
      <c r="Y101" s="107">
        <f t="shared" si="31"/>
        <v>512203.06228577014</v>
      </c>
      <c r="Z101" s="107">
        <f t="shared" si="32"/>
        <v>788153.6924064788</v>
      </c>
    </row>
    <row r="102" spans="1:26">
      <c r="A102" s="190" t="s">
        <v>71</v>
      </c>
      <c r="B102" s="273">
        <f t="shared" ref="B102:Q102" si="37">SUM(B96:B101)</f>
        <v>3363888.4992707199</v>
      </c>
      <c r="C102" s="273">
        <f t="shared" si="37"/>
        <v>2902598.0948275132</v>
      </c>
      <c r="D102" s="273">
        <f t="shared" si="37"/>
        <v>3123945.1125768479</v>
      </c>
      <c r="E102" s="273">
        <f t="shared" si="37"/>
        <v>3964582.8741404871</v>
      </c>
      <c r="F102" s="273">
        <f t="shared" si="37"/>
        <v>4255318.9515774604</v>
      </c>
      <c r="G102" s="273">
        <f t="shared" si="37"/>
        <v>3221883.88525854</v>
      </c>
      <c r="H102" s="273">
        <f t="shared" si="37"/>
        <v>2249240.4810553305</v>
      </c>
      <c r="I102" s="273">
        <f t="shared" si="37"/>
        <v>4559270.3052615589</v>
      </c>
      <c r="J102" s="273">
        <f t="shared" si="37"/>
        <v>4133739.10579326</v>
      </c>
      <c r="K102" s="273">
        <f t="shared" si="37"/>
        <v>3130699.870532189</v>
      </c>
      <c r="L102" s="273">
        <f t="shared" si="37"/>
        <v>3069908.2084164899</v>
      </c>
      <c r="M102" s="273">
        <f t="shared" si="37"/>
        <v>3799391.9210513001</v>
      </c>
      <c r="N102" s="273">
        <f t="shared" si="37"/>
        <v>2887537.8599989894</v>
      </c>
      <c r="O102" s="273">
        <f>SUM(O96:O101)</f>
        <v>2379331.9016044643</v>
      </c>
      <c r="P102" s="273">
        <f>SUM(P96:P101)</f>
        <v>2974164.8770055803</v>
      </c>
      <c r="Q102" s="273">
        <f t="shared" si="37"/>
        <v>3271581.3647061391</v>
      </c>
      <c r="R102" s="203"/>
      <c r="S102" s="189">
        <f t="shared" si="26"/>
        <v>6266486.5940982327</v>
      </c>
      <c r="T102" s="189">
        <f t="shared" si="24"/>
        <v>7088527.9867173349</v>
      </c>
      <c r="U102" s="189">
        <f t="shared" si="27"/>
        <v>7477202.8368360009</v>
      </c>
      <c r="V102" s="189">
        <f t="shared" si="28"/>
        <v>6808510.7863168893</v>
      </c>
      <c r="W102" s="123">
        <f t="shared" si="29"/>
        <v>7264438.9763254486</v>
      </c>
      <c r="X102" s="123">
        <f t="shared" si="30"/>
        <v>6869300.12946779</v>
      </c>
      <c r="Y102" s="123">
        <f t="shared" si="31"/>
        <v>5266869.7616034541</v>
      </c>
      <c r="Z102" s="123">
        <f t="shared" si="32"/>
        <v>6245746.241711719</v>
      </c>
    </row>
    <row r="103" spans="1:26">
      <c r="A103" s="88" t="s">
        <v>132</v>
      </c>
      <c r="B103" s="361"/>
      <c r="C103" s="361"/>
      <c r="D103" s="361"/>
      <c r="E103" s="792">
        <f>SUM(B102:E102)</f>
        <v>13355014.580815569</v>
      </c>
      <c r="F103" s="792">
        <f>SUM(E102:F102)</f>
        <v>8219901.8257179474</v>
      </c>
      <c r="G103" s="361"/>
      <c r="H103" s="361">
        <f>I103/F103-1</f>
        <v>0.73794212218649435</v>
      </c>
      <c r="I103" s="792">
        <f>SUM(F102:I102)</f>
        <v>14285713.623152889</v>
      </c>
      <c r="J103" s="361"/>
      <c r="K103" s="361"/>
      <c r="L103" s="361"/>
      <c r="M103" s="792">
        <f>SUM(J102:M102)</f>
        <v>14133739.105793238</v>
      </c>
      <c r="N103" s="361"/>
      <c r="O103" s="361"/>
      <c r="P103" s="361"/>
      <c r="Q103" s="361"/>
      <c r="U103" s="18">
        <f t="shared" ref="U103:Z103" si="38">U102/S102-1</f>
        <v>0.19320495217815026</v>
      </c>
      <c r="V103" s="18">
        <f t="shared" si="38"/>
        <v>-3.9502870119882294E-2</v>
      </c>
      <c r="W103" s="18">
        <f t="shared" si="38"/>
        <v>-2.8455007193650461E-2</v>
      </c>
      <c r="X103" s="18">
        <f t="shared" si="38"/>
        <v>8.9284345811817545E-3</v>
      </c>
      <c r="Y103" s="18">
        <f t="shared" si="38"/>
        <v>-0.27497914446414962</v>
      </c>
      <c r="Z103" s="18">
        <f t="shared" si="38"/>
        <v>-9.0774005503291622E-2</v>
      </c>
    </row>
    <row r="104" spans="1:26">
      <c r="A104" s="187" t="s">
        <v>2293</v>
      </c>
      <c r="B104" s="262" t="s">
        <v>2269</v>
      </c>
      <c r="C104" s="262" t="s">
        <v>2270</v>
      </c>
      <c r="D104" s="262" t="s">
        <v>2271</v>
      </c>
      <c r="E104" s="262" t="s">
        <v>2272</v>
      </c>
      <c r="F104" s="262" t="s">
        <v>2273</v>
      </c>
      <c r="G104" s="262" t="s">
        <v>2274</v>
      </c>
      <c r="H104" s="262" t="s">
        <v>2275</v>
      </c>
      <c r="I104" s="263" t="s">
        <v>2276</v>
      </c>
      <c r="J104" s="263" t="s">
        <v>2255</v>
      </c>
      <c r="K104" s="263" t="s">
        <v>2256</v>
      </c>
      <c r="L104" s="263" t="s">
        <v>2257</v>
      </c>
      <c r="M104" s="263" t="s">
        <v>2258</v>
      </c>
      <c r="N104" s="262" t="s">
        <v>2259</v>
      </c>
      <c r="O104" s="262" t="s">
        <v>2260</v>
      </c>
      <c r="P104" s="262" t="s">
        <v>649</v>
      </c>
      <c r="Q104" s="262" t="s">
        <v>2284</v>
      </c>
    </row>
    <row r="105" spans="1:26">
      <c r="A105" s="105" t="s">
        <v>674</v>
      </c>
      <c r="B105" s="275"/>
      <c r="C105" s="275"/>
      <c r="D105" s="275"/>
      <c r="E105" s="275"/>
      <c r="F105" s="275">
        <f t="shared" ref="F105:Q111" si="39">F96/B96-1</f>
        <v>2.3432142857142857</v>
      </c>
      <c r="G105" s="275">
        <f t="shared" si="39"/>
        <v>1.7010000000000005</v>
      </c>
      <c r="H105" s="275">
        <f t="shared" si="39"/>
        <v>0.23428571428571399</v>
      </c>
      <c r="I105" s="275">
        <f t="shared" si="39"/>
        <v>0.97142857142857064</v>
      </c>
      <c r="J105" s="275">
        <f t="shared" si="39"/>
        <v>0.39150602568991033</v>
      </c>
      <c r="K105" s="275">
        <f t="shared" si="39"/>
        <v>1.0498845933130374</v>
      </c>
      <c r="L105" s="275">
        <f t="shared" si="39"/>
        <v>1.3657649205323099</v>
      </c>
      <c r="M105" s="275">
        <f t="shared" si="39"/>
        <v>-9.7222222222221988E-2</v>
      </c>
      <c r="N105" s="275">
        <f t="shared" si="39"/>
        <v>0.10710303232552532</v>
      </c>
      <c r="O105" s="276">
        <f t="shared" si="39"/>
        <v>-0.28935064935064936</v>
      </c>
      <c r="P105" s="275">
        <f t="shared" si="39"/>
        <v>-2.1872182374979898E-2</v>
      </c>
      <c r="Q105" s="275">
        <f t="shared" si="39"/>
        <v>-6.4458594688999726E-3</v>
      </c>
    </row>
    <row r="106" spans="1:26">
      <c r="A106" s="105" t="s">
        <v>2278</v>
      </c>
      <c r="B106" s="275"/>
      <c r="C106" s="275"/>
      <c r="D106" s="275"/>
      <c r="E106" s="275"/>
      <c r="F106" s="275">
        <f t="shared" si="39"/>
        <v>9.2959999999999932E-2</v>
      </c>
      <c r="G106" s="275">
        <f t="shared" si="39"/>
        <v>-0.28959999999999986</v>
      </c>
      <c r="H106" s="275">
        <f t="shared" si="39"/>
        <v>-0.31600000000000006</v>
      </c>
      <c r="I106" s="275">
        <f t="shared" si="39"/>
        <v>5.3157894736841849E-2</v>
      </c>
      <c r="J106" s="275">
        <f t="shared" si="39"/>
        <v>-0.35238084338960152</v>
      </c>
      <c r="K106" s="275">
        <f t="shared" si="39"/>
        <v>0.25713498740070229</v>
      </c>
      <c r="L106" s="275">
        <f t="shared" si="39"/>
        <v>0.5613110636605132</v>
      </c>
      <c r="M106" s="275">
        <f t="shared" si="39"/>
        <v>1.6498583881048967E-2</v>
      </c>
      <c r="N106" s="275">
        <f t="shared" si="39"/>
        <v>-0.14624197374896664</v>
      </c>
      <c r="O106" s="275">
        <f t="shared" si="39"/>
        <v>-0.33913043478260863</v>
      </c>
      <c r="P106" s="275">
        <f t="shared" si="39"/>
        <v>-0.1530852197259519</v>
      </c>
      <c r="Q106" s="275">
        <f t="shared" si="39"/>
        <v>-0.22916760238540301</v>
      </c>
    </row>
    <row r="107" spans="1:26">
      <c r="A107" s="105" t="s">
        <v>2279</v>
      </c>
      <c r="B107" s="275"/>
      <c r="C107" s="275"/>
      <c r="D107" s="275"/>
      <c r="E107" s="275"/>
      <c r="F107" s="275">
        <f t="shared" si="39"/>
        <v>3.4705128205127833E-2</v>
      </c>
      <c r="G107" s="275">
        <f t="shared" si="39"/>
        <v>5.3076923076923022E-2</v>
      </c>
      <c r="H107" s="275">
        <f t="shared" si="39"/>
        <v>-2.0000000000000129E-2</v>
      </c>
      <c r="I107" s="275">
        <f t="shared" si="39"/>
        <v>0.14999999999999969</v>
      </c>
      <c r="J107" s="275">
        <f t="shared" si="39"/>
        <v>-6.2068807667698511E-2</v>
      </c>
      <c r="K107" s="275">
        <f t="shared" si="39"/>
        <v>8.4655128071438046E-3</v>
      </c>
      <c r="L107" s="275">
        <f t="shared" si="39"/>
        <v>-5.3519728873117844E-2</v>
      </c>
      <c r="M107" s="275">
        <f t="shared" si="39"/>
        <v>0.20869771635250611</v>
      </c>
      <c r="N107" s="275">
        <f t="shared" si="39"/>
        <v>-0.31961432382591803</v>
      </c>
      <c r="O107" s="275">
        <f t="shared" si="39"/>
        <v>-0.38645833333333324</v>
      </c>
      <c r="P107" s="275">
        <f t="shared" si="39"/>
        <v>-5.9117386138520134E-2</v>
      </c>
      <c r="Q107" s="275">
        <f t="shared" si="39"/>
        <v>-0.23671073821491584</v>
      </c>
    </row>
    <row r="108" spans="1:26">
      <c r="A108" s="105" t="s">
        <v>2280</v>
      </c>
      <c r="B108" s="275"/>
      <c r="C108" s="275"/>
      <c r="D108" s="275"/>
      <c r="E108" s="275"/>
      <c r="F108" s="275">
        <f t="shared" si="39"/>
        <v>-0.32955000000000012</v>
      </c>
      <c r="G108" s="275">
        <f t="shared" si="39"/>
        <v>0.33200000000000007</v>
      </c>
      <c r="H108" s="275">
        <f t="shared" si="39"/>
        <v>-4.0000000000000036E-2</v>
      </c>
      <c r="I108" s="275">
        <f t="shared" si="39"/>
        <v>0.4785714285714282</v>
      </c>
      <c r="J108" s="275">
        <f t="shared" si="39"/>
        <v>1.0161728460512407</v>
      </c>
      <c r="K108" s="275">
        <f t="shared" si="39"/>
        <v>-0.64371053497178155</v>
      </c>
      <c r="L108" s="275">
        <f t="shared" si="39"/>
        <v>0.65385332519626882</v>
      </c>
      <c r="M108" s="275">
        <f t="shared" si="39"/>
        <v>-0.70238084296740744</v>
      </c>
      <c r="N108" s="275">
        <f t="shared" si="39"/>
        <v>-0.52373002667814261</v>
      </c>
      <c r="O108" s="275">
        <f t="shared" si="39"/>
        <v>0.38181818181818183</v>
      </c>
      <c r="P108" s="275">
        <f t="shared" si="39"/>
        <v>-0.20047479648017652</v>
      </c>
      <c r="Q108" s="275">
        <f t="shared" si="39"/>
        <v>7.1566145774203838E-2</v>
      </c>
    </row>
    <row r="109" spans="1:26">
      <c r="A109" s="105" t="s">
        <v>64</v>
      </c>
      <c r="B109" s="275"/>
      <c r="C109" s="275"/>
      <c r="D109" s="275"/>
      <c r="E109" s="275"/>
      <c r="F109" s="275">
        <f t="shared" si="39"/>
        <v>0.54329999999999967</v>
      </c>
      <c r="G109" s="275">
        <f t="shared" si="39"/>
        <v>0.88699999999999979</v>
      </c>
      <c r="H109" s="275">
        <f t="shared" si="39"/>
        <v>-0.44941176470588251</v>
      </c>
      <c r="I109" s="275">
        <f t="shared" si="39"/>
        <v>5.4166666666666474E-2</v>
      </c>
      <c r="J109" s="275">
        <f t="shared" si="39"/>
        <v>0.64028130649682913</v>
      </c>
      <c r="K109" s="275">
        <f t="shared" si="39"/>
        <v>-0.24550466229318457</v>
      </c>
      <c r="L109" s="275">
        <f t="shared" si="39"/>
        <v>0.5319907755443809</v>
      </c>
      <c r="M109" s="275">
        <f t="shared" si="39"/>
        <v>-0.59802071966614623</v>
      </c>
      <c r="N109" s="275">
        <f t="shared" si="39"/>
        <v>-0.464234813182273</v>
      </c>
      <c r="O109" s="275">
        <f t="shared" si="39"/>
        <v>0.26666666666666683</v>
      </c>
      <c r="P109" s="275">
        <f t="shared" si="39"/>
        <v>-7.0482260709504474E-2</v>
      </c>
      <c r="Q109" s="275">
        <f t="shared" si="39"/>
        <v>0.94736462855363812</v>
      </c>
    </row>
    <row r="110" spans="1:26">
      <c r="A110" s="108" t="s">
        <v>66</v>
      </c>
      <c r="B110" s="275"/>
      <c r="C110" s="275"/>
      <c r="D110" s="275"/>
      <c r="E110" s="275"/>
      <c r="F110" s="275">
        <f t="shared" si="39"/>
        <v>1.0699999999999994</v>
      </c>
      <c r="G110" s="275">
        <f t="shared" si="39"/>
        <v>-8.6384615384615171E-2</v>
      </c>
      <c r="H110" s="275">
        <f t="shared" si="39"/>
        <v>-0.79428571428571426</v>
      </c>
      <c r="I110" s="275">
        <f t="shared" si="39"/>
        <v>-0.21800000000000042</v>
      </c>
      <c r="J110" s="275">
        <f t="shared" si="39"/>
        <v>-0.43333323796590151</v>
      </c>
      <c r="K110" s="275">
        <f t="shared" si="39"/>
        <v>-0.28257771272992649</v>
      </c>
      <c r="L110" s="275">
        <f t="shared" si="39"/>
        <v>1.6205396042819791</v>
      </c>
      <c r="M110" s="275">
        <f t="shared" si="39"/>
        <v>-0.1771712005631968</v>
      </c>
      <c r="N110" s="275">
        <f t="shared" si="39"/>
        <v>-0.31810235565664202</v>
      </c>
      <c r="O110" s="275">
        <f t="shared" si="39"/>
        <v>-0.36506329113924041</v>
      </c>
      <c r="P110" s="275">
        <f t="shared" si="39"/>
        <v>0.56422821628126019</v>
      </c>
      <c r="Q110" s="275">
        <f t="shared" si="39"/>
        <v>-0.35876976388218684</v>
      </c>
    </row>
    <row r="111" spans="1:26">
      <c r="A111" s="188" t="s">
        <v>132</v>
      </c>
      <c r="B111" s="269">
        <f>SUM(B105:B110)</f>
        <v>0</v>
      </c>
      <c r="C111" s="269">
        <f>SUM(C105:C110)</f>
        <v>0</v>
      </c>
      <c r="D111" s="269">
        <f>SUM(D105:D110)</f>
        <v>0</v>
      </c>
      <c r="E111" s="269">
        <f>SUM(E105:E110)</f>
        <v>0</v>
      </c>
      <c r="F111" s="277">
        <f t="shared" si="39"/>
        <v>0.2649999999999999</v>
      </c>
      <c r="G111" s="277">
        <f t="shared" si="39"/>
        <v>0.1100000000000001</v>
      </c>
      <c r="H111" s="277">
        <f t="shared" si="39"/>
        <v>-0.28000000000000003</v>
      </c>
      <c r="I111" s="277">
        <f t="shared" si="39"/>
        <v>0.14999999999999969</v>
      </c>
      <c r="J111" s="277">
        <f t="shared" si="39"/>
        <v>-2.857126508440222E-2</v>
      </c>
      <c r="K111" s="277">
        <f t="shared" si="39"/>
        <v>-2.8301459013950092E-2</v>
      </c>
      <c r="L111" s="277">
        <f t="shared" si="39"/>
        <v>0.36486437723017806</v>
      </c>
      <c r="M111" s="277">
        <f t="shared" si="39"/>
        <v>-0.16666666666666641</v>
      </c>
      <c r="N111" s="277">
        <f t="shared" si="39"/>
        <v>-0.30147070579460911</v>
      </c>
      <c r="O111" s="277">
        <f t="shared" si="39"/>
        <v>-0.23999999999999977</v>
      </c>
      <c r="P111" s="277">
        <f>P102/L102-1</f>
        <v>-3.1187685399979959E-2</v>
      </c>
      <c r="Q111" s="277">
        <f>Q102/M102-1</f>
        <v>-0.13891974487304659</v>
      </c>
    </row>
    <row r="112" spans="1:26">
      <c r="A112" s="88"/>
      <c r="B112" s="274"/>
      <c r="C112" s="274"/>
      <c r="D112" s="274"/>
      <c r="E112" s="274"/>
      <c r="F112" s="274"/>
      <c r="G112" s="274"/>
      <c r="H112" s="274"/>
      <c r="I112" s="274"/>
      <c r="J112" s="274"/>
      <c r="K112" s="274"/>
      <c r="L112" s="274"/>
      <c r="M112" s="274"/>
      <c r="N112" s="274"/>
      <c r="O112" s="274"/>
      <c r="P112" s="274"/>
      <c r="Q112" s="274"/>
    </row>
    <row r="113" spans="1:17">
      <c r="A113" s="187" t="s">
        <v>2294</v>
      </c>
      <c r="B113" s="262" t="s">
        <v>2269</v>
      </c>
      <c r="C113" s="262" t="s">
        <v>2270</v>
      </c>
      <c r="D113" s="262" t="s">
        <v>2271</v>
      </c>
      <c r="E113" s="262" t="s">
        <v>2272</v>
      </c>
      <c r="F113" s="262" t="s">
        <v>2273</v>
      </c>
      <c r="G113" s="262" t="s">
        <v>2274</v>
      </c>
      <c r="H113" s="262" t="s">
        <v>2275</v>
      </c>
      <c r="I113" s="263" t="s">
        <v>2276</v>
      </c>
      <c r="J113" s="263" t="s">
        <v>2255</v>
      </c>
      <c r="K113" s="263" t="s">
        <v>2256</v>
      </c>
      <c r="L113" s="263" t="s">
        <v>2257</v>
      </c>
      <c r="M113" s="263" t="s">
        <v>2258</v>
      </c>
      <c r="N113" s="262" t="s">
        <v>2259</v>
      </c>
      <c r="O113" s="262" t="s">
        <v>2260</v>
      </c>
      <c r="P113" s="262" t="s">
        <v>649</v>
      </c>
      <c r="Q113" s="262" t="s">
        <v>2284</v>
      </c>
    </row>
    <row r="114" spans="1:17">
      <c r="A114" s="106" t="s">
        <v>2295</v>
      </c>
      <c r="B114" s="264"/>
      <c r="C114" s="264"/>
      <c r="D114" s="264"/>
      <c r="E114" s="264"/>
      <c r="F114" s="264"/>
      <c r="G114" s="264"/>
      <c r="H114" s="264"/>
      <c r="I114" s="264"/>
      <c r="J114" s="264"/>
      <c r="K114" s="264"/>
      <c r="L114" s="264"/>
      <c r="M114" s="264"/>
      <c r="N114" s="278">
        <v>0.71</v>
      </c>
      <c r="O114" s="264"/>
      <c r="P114" s="264"/>
      <c r="Q114" s="264"/>
    </row>
    <row r="115" spans="1:17">
      <c r="A115" s="106" t="s">
        <v>2296</v>
      </c>
      <c r="B115" s="264"/>
      <c r="C115" s="264"/>
      <c r="D115" s="264"/>
      <c r="E115" s="264"/>
      <c r="F115" s="264"/>
      <c r="G115" s="264"/>
      <c r="H115" s="264"/>
      <c r="I115" s="264"/>
      <c r="J115" s="264"/>
      <c r="K115" s="264"/>
      <c r="L115" s="279"/>
      <c r="M115" s="264"/>
      <c r="N115" s="280"/>
      <c r="O115" s="264"/>
      <c r="P115" s="264"/>
      <c r="Q115" s="264"/>
    </row>
    <row r="116" spans="1:17">
      <c r="A116" s="106" t="s">
        <v>2297</v>
      </c>
      <c r="B116" s="264"/>
      <c r="C116" s="264"/>
      <c r="D116" s="264"/>
      <c r="E116" s="264"/>
      <c r="F116" s="264"/>
      <c r="G116" s="264"/>
      <c r="H116" s="264"/>
      <c r="I116" s="264"/>
      <c r="J116" s="264"/>
      <c r="K116" s="264"/>
      <c r="L116" s="264"/>
      <c r="M116" s="264"/>
      <c r="N116" s="264"/>
      <c r="O116" s="264"/>
      <c r="P116" s="264"/>
      <c r="Q116" s="264"/>
    </row>
    <row r="117" spans="1:17">
      <c r="A117" s="106" t="s">
        <v>2298</v>
      </c>
      <c r="B117" s="264"/>
      <c r="C117" s="264"/>
      <c r="D117" s="264"/>
      <c r="E117" s="264"/>
      <c r="F117" s="264"/>
      <c r="G117" s="264"/>
      <c r="H117" s="264"/>
      <c r="I117" s="264"/>
      <c r="J117" s="279">
        <v>0.17</v>
      </c>
      <c r="K117" s="264"/>
      <c r="L117" s="264"/>
      <c r="M117" s="264"/>
      <c r="N117" s="279">
        <v>0.24</v>
      </c>
      <c r="O117" s="264"/>
      <c r="P117" s="264"/>
      <c r="Q117" s="264"/>
    </row>
    <row r="118" spans="1:17">
      <c r="A118" s="106"/>
      <c r="B118" s="264"/>
      <c r="C118" s="264"/>
      <c r="D118" s="264"/>
      <c r="E118" s="264"/>
      <c r="F118" s="264"/>
      <c r="G118" s="264"/>
      <c r="H118" s="264"/>
      <c r="I118" s="264"/>
      <c r="J118" s="264"/>
      <c r="K118" s="264"/>
      <c r="L118" s="264"/>
      <c r="M118" s="264"/>
      <c r="N118" s="264"/>
      <c r="O118" s="264"/>
      <c r="P118" s="264"/>
      <c r="Q118" s="264"/>
    </row>
    <row r="119" spans="1:17">
      <c r="A119" s="106" t="s">
        <v>2299</v>
      </c>
      <c r="B119" s="264"/>
      <c r="C119" s="264"/>
      <c r="D119" s="264"/>
      <c r="E119" s="264"/>
      <c r="F119" s="264"/>
      <c r="G119" s="264"/>
      <c r="H119" s="264"/>
      <c r="I119" s="264"/>
      <c r="J119" s="264"/>
      <c r="K119" s="264"/>
      <c r="L119" s="279">
        <v>0.34</v>
      </c>
      <c r="M119" s="264"/>
      <c r="N119" s="279"/>
      <c r="O119" s="264"/>
      <c r="P119" s="264"/>
      <c r="Q119" s="264"/>
    </row>
    <row r="120" spans="1:17">
      <c r="A120" s="106"/>
      <c r="B120" s="264"/>
      <c r="C120" s="264"/>
      <c r="D120" s="264"/>
      <c r="E120" s="264"/>
      <c r="F120" s="264"/>
      <c r="G120" s="264"/>
      <c r="H120" s="264"/>
      <c r="I120" s="264"/>
      <c r="J120" s="264"/>
      <c r="K120" s="264"/>
      <c r="L120" s="264"/>
      <c r="M120" s="264"/>
      <c r="N120" s="264"/>
      <c r="O120" s="264"/>
      <c r="P120" s="264"/>
      <c r="Q120" s="264"/>
    </row>
    <row r="122" spans="1:17">
      <c r="A122" s="187" t="s">
        <v>2300</v>
      </c>
      <c r="B122" s="262" t="s">
        <v>2269</v>
      </c>
      <c r="C122" s="262" t="s">
        <v>2270</v>
      </c>
      <c r="D122" s="262" t="s">
        <v>2271</v>
      </c>
      <c r="E122" s="262" t="s">
        <v>2272</v>
      </c>
      <c r="F122" s="262" t="s">
        <v>2273</v>
      </c>
      <c r="G122" s="262" t="s">
        <v>2274</v>
      </c>
      <c r="H122" s="262" t="s">
        <v>2275</v>
      </c>
      <c r="I122" s="263" t="s">
        <v>2276</v>
      </c>
      <c r="J122" s="263" t="s">
        <v>2255</v>
      </c>
      <c r="K122" s="263" t="s">
        <v>2256</v>
      </c>
      <c r="L122" s="263" t="s">
        <v>2257</v>
      </c>
      <c r="M122" s="263" t="s">
        <v>2258</v>
      </c>
      <c r="N122" s="262" t="s">
        <v>2259</v>
      </c>
      <c r="O122" s="262" t="s">
        <v>2260</v>
      </c>
      <c r="P122" s="262" t="s">
        <v>649</v>
      </c>
      <c r="Q122" s="262" t="s">
        <v>2284</v>
      </c>
    </row>
    <row r="123" spans="1:17">
      <c r="A123" s="106" t="s">
        <v>2295</v>
      </c>
      <c r="B123" s="264"/>
      <c r="C123" s="264"/>
      <c r="D123" s="264"/>
      <c r="E123" s="264"/>
      <c r="F123" s="264"/>
      <c r="G123" s="264"/>
      <c r="H123" s="264"/>
      <c r="I123" s="264"/>
      <c r="J123" s="264"/>
      <c r="K123" s="264"/>
      <c r="L123" s="279">
        <v>0</v>
      </c>
      <c r="M123" s="264"/>
      <c r="N123" s="279">
        <v>-0.38</v>
      </c>
      <c r="O123" s="264"/>
      <c r="P123" s="264"/>
      <c r="Q123" s="264"/>
    </row>
    <row r="124" spans="1:17">
      <c r="A124" s="106" t="s">
        <v>2296</v>
      </c>
      <c r="B124" s="264"/>
      <c r="C124" s="264"/>
      <c r="D124" s="264"/>
      <c r="E124" s="264"/>
      <c r="F124" s="264"/>
      <c r="G124" s="264"/>
      <c r="H124" s="264"/>
      <c r="I124" s="264"/>
      <c r="J124" s="264"/>
      <c r="K124" s="264"/>
      <c r="L124" s="279">
        <v>1.59</v>
      </c>
      <c r="M124" s="264"/>
      <c r="N124" s="264"/>
      <c r="O124" s="264"/>
      <c r="P124" s="264"/>
      <c r="Q124" s="264"/>
    </row>
    <row r="125" spans="1:17">
      <c r="A125" s="106" t="s">
        <v>2297</v>
      </c>
      <c r="B125" s="264"/>
      <c r="C125" s="264"/>
      <c r="D125" s="264"/>
      <c r="E125" s="264"/>
      <c r="F125" s="264"/>
      <c r="G125" s="264"/>
      <c r="H125" s="264"/>
      <c r="I125" s="264"/>
      <c r="J125" s="264"/>
      <c r="K125" s="264"/>
      <c r="L125" s="279">
        <v>1.17</v>
      </c>
      <c r="M125" s="264"/>
      <c r="N125" s="264"/>
      <c r="O125" s="264"/>
      <c r="P125" s="264"/>
      <c r="Q125" s="264"/>
    </row>
    <row r="126" spans="1:17">
      <c r="A126" s="106" t="s">
        <v>2298</v>
      </c>
      <c r="B126" s="264"/>
      <c r="C126" s="264"/>
      <c r="D126" s="264"/>
      <c r="E126" s="264"/>
      <c r="F126" s="264"/>
      <c r="G126" s="264"/>
      <c r="H126" s="264"/>
      <c r="I126" s="264"/>
      <c r="J126" s="264"/>
      <c r="K126" s="1626">
        <v>0.75</v>
      </c>
      <c r="L126" s="279">
        <v>0.17</v>
      </c>
      <c r="M126" s="264"/>
      <c r="N126" s="279"/>
      <c r="O126" s="264"/>
      <c r="P126" s="264"/>
      <c r="Q126" s="264"/>
    </row>
    <row r="127" spans="1:17">
      <c r="A127" s="106" t="s">
        <v>2299</v>
      </c>
      <c r="B127" s="264"/>
      <c r="C127" s="264"/>
      <c r="D127" s="264"/>
      <c r="E127" s="264"/>
      <c r="F127" s="264"/>
      <c r="G127" s="264"/>
      <c r="H127" s="264"/>
      <c r="I127" s="264"/>
      <c r="J127" s="264"/>
      <c r="K127" s="1627"/>
      <c r="L127" s="279">
        <v>1.29</v>
      </c>
      <c r="M127" s="264"/>
      <c r="N127" s="279">
        <v>0.18</v>
      </c>
      <c r="O127" s="264"/>
      <c r="P127" s="264"/>
      <c r="Q127" s="264"/>
    </row>
    <row r="128" spans="1:17">
      <c r="A128" s="106" t="s">
        <v>2301</v>
      </c>
      <c r="B128" s="264"/>
      <c r="C128" s="264"/>
      <c r="D128" s="264"/>
      <c r="E128" s="264"/>
      <c r="F128" s="264"/>
      <c r="G128" s="264"/>
      <c r="H128" s="264"/>
      <c r="I128" s="264"/>
      <c r="J128" s="264"/>
      <c r="K128" s="264"/>
      <c r="L128" s="264"/>
      <c r="M128" s="264"/>
      <c r="N128" s="279"/>
      <c r="O128" s="264"/>
      <c r="P128" s="264"/>
      <c r="Q128" s="264"/>
    </row>
    <row r="129" spans="1:17">
      <c r="A129" s="106" t="s">
        <v>2302</v>
      </c>
      <c r="B129" s="264"/>
      <c r="C129" s="264"/>
      <c r="D129" s="264"/>
      <c r="E129" s="264"/>
      <c r="F129" s="264"/>
      <c r="G129" s="264"/>
      <c r="H129" s="264"/>
      <c r="I129" s="264"/>
      <c r="J129" s="264"/>
      <c r="K129" s="264"/>
      <c r="L129" s="264"/>
      <c r="M129" s="264"/>
      <c r="N129" s="279">
        <v>1</v>
      </c>
      <c r="O129" s="264"/>
      <c r="P129" s="264"/>
      <c r="Q129" s="264"/>
    </row>
    <row r="130" spans="1:17">
      <c r="A130" s="88"/>
    </row>
    <row r="131" spans="1:17">
      <c r="A131" s="104" t="s">
        <v>2266</v>
      </c>
    </row>
    <row r="132" spans="1:17">
      <c r="A132" s="187" t="s">
        <v>2300</v>
      </c>
      <c r="B132" s="262" t="s">
        <v>2269</v>
      </c>
      <c r="C132" s="262" t="s">
        <v>2270</v>
      </c>
      <c r="D132" s="262" t="s">
        <v>2271</v>
      </c>
      <c r="E132" s="262" t="s">
        <v>2272</v>
      </c>
      <c r="F132" s="262" t="s">
        <v>2273</v>
      </c>
      <c r="G132" s="262" t="s">
        <v>2274</v>
      </c>
      <c r="H132" s="262" t="s">
        <v>2275</v>
      </c>
      <c r="I132" s="263" t="s">
        <v>2276</v>
      </c>
      <c r="J132" s="263" t="s">
        <v>2255</v>
      </c>
      <c r="K132" s="263" t="s">
        <v>2256</v>
      </c>
      <c r="L132" s="263" t="s">
        <v>2257</v>
      </c>
      <c r="M132" s="263" t="s">
        <v>2258</v>
      </c>
      <c r="N132" s="262" t="s">
        <v>2259</v>
      </c>
      <c r="O132" s="262" t="s">
        <v>2260</v>
      </c>
      <c r="P132" s="262" t="s">
        <v>649</v>
      </c>
      <c r="Q132" s="262" t="s">
        <v>2284</v>
      </c>
    </row>
    <row r="133" spans="1:17">
      <c r="A133" s="108" t="s">
        <v>253</v>
      </c>
      <c r="B133" s="281"/>
      <c r="C133" s="281"/>
      <c r="D133" s="281"/>
      <c r="E133" s="281"/>
      <c r="F133" s="282">
        <v>8541.0337342127696</v>
      </c>
      <c r="G133" s="282">
        <v>10547.1122047349</v>
      </c>
      <c r="H133" s="282">
        <v>10668.6932100015</v>
      </c>
      <c r="I133" s="282">
        <v>11975.6837989466</v>
      </c>
      <c r="J133" s="282">
        <v>9574.4676410492903</v>
      </c>
      <c r="K133" s="282">
        <v>9361.7014615739408</v>
      </c>
      <c r="L133" s="282">
        <v>8389.0580573707193</v>
      </c>
      <c r="M133" s="282">
        <v>9452.8877952650892</v>
      </c>
      <c r="N133" s="282">
        <v>8723.4040826302808</v>
      </c>
      <c r="O133" s="282"/>
      <c r="P133" s="267"/>
      <c r="Q133" s="267"/>
    </row>
    <row r="134" spans="1:17">
      <c r="A134" s="108" t="s">
        <v>257</v>
      </c>
      <c r="B134" s="281"/>
      <c r="C134" s="281"/>
      <c r="D134" s="281"/>
      <c r="E134" s="281"/>
      <c r="F134" s="282">
        <v>3647.4162442092497</v>
      </c>
      <c r="G134" s="282">
        <v>3525.83523894265</v>
      </c>
      <c r="H134" s="282">
        <v>2462.0055010482802</v>
      </c>
      <c r="I134" s="282">
        <v>2887.5378599989899</v>
      </c>
      <c r="J134" s="282">
        <v>2492.4001726237298</v>
      </c>
      <c r="K134" s="282">
        <v>2188.4488189396302</v>
      </c>
      <c r="L134" s="282">
        <v>1914.89445579577</v>
      </c>
      <c r="M134" s="282">
        <v>2036.47314209758</v>
      </c>
      <c r="N134" s="282">
        <v>1793.3134505291698</v>
      </c>
      <c r="O134" s="282"/>
      <c r="P134" s="267"/>
      <c r="Q134" s="267"/>
    </row>
    <row r="135" spans="1:17">
      <c r="A135" s="108" t="s">
        <v>2303</v>
      </c>
      <c r="B135" s="281"/>
      <c r="C135" s="281"/>
      <c r="D135" s="281"/>
      <c r="E135" s="281"/>
      <c r="F135" s="282">
        <v>4620.0584889300699</v>
      </c>
      <c r="G135" s="282">
        <v>4893.6174900035094</v>
      </c>
      <c r="H135" s="282">
        <v>4711.24598210362</v>
      </c>
      <c r="I135" s="282">
        <v>5015.1973357877196</v>
      </c>
      <c r="J135" s="282">
        <v>4437.6904594773605</v>
      </c>
      <c r="K135" s="282">
        <v>4741.64181316146</v>
      </c>
      <c r="L135" s="282">
        <v>4620.0584889300699</v>
      </c>
      <c r="M135" s="282">
        <v>5015.1973357877196</v>
      </c>
      <c r="N135" s="282">
        <v>3890.5770952600501</v>
      </c>
      <c r="O135" s="282"/>
      <c r="P135" s="267"/>
      <c r="Q135" s="267"/>
    </row>
    <row r="136" spans="1:17">
      <c r="A136" s="108" t="s">
        <v>261</v>
      </c>
      <c r="B136" s="281"/>
      <c r="C136" s="281"/>
      <c r="D136" s="281"/>
      <c r="E136" s="281"/>
      <c r="F136" s="282">
        <v>5136.7783410543207</v>
      </c>
      <c r="G136" s="282">
        <v>4984.8026642122704</v>
      </c>
      <c r="H136" s="282">
        <v>4772.0341657721201</v>
      </c>
      <c r="I136" s="282">
        <v>5775.0757199979798</v>
      </c>
      <c r="J136" s="282">
        <v>4620.0584889300699</v>
      </c>
      <c r="K136" s="282">
        <v>4133.73910579326</v>
      </c>
      <c r="L136" s="282">
        <v>4133.73910579326</v>
      </c>
      <c r="M136" s="282">
        <v>4954.4068331544195</v>
      </c>
      <c r="N136" s="282">
        <v>4589.6661363194098</v>
      </c>
      <c r="O136" s="282"/>
      <c r="P136" s="267"/>
      <c r="Q136" s="267"/>
    </row>
    <row r="137" spans="1:17">
      <c r="A137" s="108" t="s">
        <v>245</v>
      </c>
      <c r="B137" s="283">
        <f>F137/1.265</f>
        <v>3363.8884992707199</v>
      </c>
      <c r="C137" s="283">
        <f>G137/1.11</f>
        <v>2902.5980948275133</v>
      </c>
      <c r="D137" s="283">
        <f>H137/(0.72)</f>
        <v>3123.9451125768478</v>
      </c>
      <c r="E137" s="283">
        <f>I137/(1.15)</f>
        <v>3964.5828741404871</v>
      </c>
      <c r="F137" s="282">
        <v>4255.3189515774602</v>
      </c>
      <c r="G137" s="282">
        <v>3221.88388525854</v>
      </c>
      <c r="H137" s="282">
        <v>2249.2404810553303</v>
      </c>
      <c r="I137" s="282">
        <v>4559.2703052615598</v>
      </c>
      <c r="J137" s="282">
        <v>4133.73910579326</v>
      </c>
      <c r="K137" s="282">
        <v>3130.6998705321898</v>
      </c>
      <c r="L137" s="282">
        <v>3069.9082084164902</v>
      </c>
      <c r="M137" s="282">
        <v>3799.3919210513</v>
      </c>
      <c r="N137" s="282">
        <v>2887.5378599989899</v>
      </c>
      <c r="O137" s="284">
        <f>K137*0.76</f>
        <v>2379.3319016044643</v>
      </c>
      <c r="P137" s="267">
        <f>O137*1.25</f>
        <v>2974.1648770055804</v>
      </c>
      <c r="Q137" s="267">
        <f>P137*1.1</f>
        <v>3271.5813647061386</v>
      </c>
    </row>
    <row r="138" spans="1:17">
      <c r="A138" s="108" t="s">
        <v>2304</v>
      </c>
      <c r="B138" s="281"/>
      <c r="C138" s="281"/>
      <c r="D138" s="281"/>
      <c r="E138" s="281"/>
      <c r="F138" s="282">
        <v>0</v>
      </c>
      <c r="G138" s="282">
        <v>0</v>
      </c>
      <c r="H138" s="282">
        <v>0</v>
      </c>
      <c r="I138" s="282">
        <v>0</v>
      </c>
      <c r="J138" s="282">
        <v>0</v>
      </c>
      <c r="K138" s="282">
        <v>0</v>
      </c>
      <c r="L138" s="282">
        <v>0</v>
      </c>
      <c r="M138" s="282">
        <v>0</v>
      </c>
      <c r="N138" s="282">
        <v>0</v>
      </c>
      <c r="O138" s="282"/>
      <c r="P138" s="282"/>
      <c r="Q138" s="282"/>
    </row>
    <row r="139" spans="1:17">
      <c r="A139" s="78"/>
      <c r="F139" s="285">
        <f>SUM(F137:I137)</f>
        <v>14285.713623152891</v>
      </c>
      <c r="H139" s="285"/>
      <c r="I139" s="243"/>
      <c r="J139" s="285">
        <f>SUM(J137:M137)</f>
        <v>14133.739105793238</v>
      </c>
      <c r="L139" s="285"/>
      <c r="M139" s="285"/>
      <c r="N139" s="285">
        <f>SUM(N137:Q137)</f>
        <v>11512.616003315174</v>
      </c>
    </row>
    <row r="140" spans="1:17">
      <c r="A140" s="301" t="s">
        <v>2265</v>
      </c>
      <c r="J140" s="285"/>
      <c r="K140" s="285"/>
      <c r="L140" s="285"/>
      <c r="M140" s="285"/>
      <c r="N140" s="285"/>
      <c r="O140" s="285"/>
    </row>
    <row r="141" spans="1:17">
      <c r="A141" s="187" t="s">
        <v>2305</v>
      </c>
      <c r="B141" s="262" t="s">
        <v>109</v>
      </c>
      <c r="C141" s="262" t="s">
        <v>110</v>
      </c>
      <c r="D141" s="262" t="s">
        <v>111</v>
      </c>
      <c r="E141" s="262" t="s">
        <v>112</v>
      </c>
      <c r="F141" s="262" t="s">
        <v>113</v>
      </c>
      <c r="G141" s="262" t="s">
        <v>470</v>
      </c>
      <c r="H141" s="262" t="s">
        <v>2291</v>
      </c>
      <c r="J141" s="302"/>
      <c r="K141" s="264" t="s">
        <v>2295</v>
      </c>
      <c r="L141" s="264" t="s">
        <v>2296</v>
      </c>
      <c r="M141" s="264" t="s">
        <v>2297</v>
      </c>
      <c r="N141" s="264" t="s">
        <v>2298</v>
      </c>
      <c r="O141" s="285"/>
    </row>
    <row r="142" spans="1:17">
      <c r="A142" s="106" t="s">
        <v>674</v>
      </c>
      <c r="B142" s="275"/>
      <c r="C142" s="275"/>
      <c r="D142" s="286">
        <f t="shared" ref="D142:D147" si="40">SUM(B96:E96)/1000</f>
        <v>568.12570095442936</v>
      </c>
      <c r="E142" s="287">
        <f t="shared" ref="E142:E147" si="41">SUM(F96:I96)/1000</f>
        <v>1232.1579915353125</v>
      </c>
      <c r="F142" s="287">
        <f t="shared" ref="F142:F147" si="42">SUM(J96:M96)/1000</f>
        <v>1733.4955286880268</v>
      </c>
      <c r="G142" s="287">
        <f t="shared" ref="G142:G147" si="43">SUM(N96:Q96)/1000</f>
        <v>1630.7546711023799</v>
      </c>
      <c r="H142" s="287">
        <f t="shared" ref="H142:H148" si="44">SUM(N96:O96)/1000</f>
        <v>827.73015431087322</v>
      </c>
      <c r="J142" s="300" t="s">
        <v>674</v>
      </c>
      <c r="K142" s="89"/>
      <c r="L142" s="89"/>
      <c r="M142" s="89" t="s">
        <v>314</v>
      </c>
      <c r="N142" s="89" t="s">
        <v>314</v>
      </c>
    </row>
    <row r="143" spans="1:17">
      <c r="A143" s="106" t="s">
        <v>2278</v>
      </c>
      <c r="B143" s="275"/>
      <c r="C143" s="275"/>
      <c r="D143" s="286">
        <f t="shared" si="40"/>
        <v>2944.6814171266201</v>
      </c>
      <c r="E143" s="287">
        <f t="shared" si="41"/>
        <v>2655.3190396981222</v>
      </c>
      <c r="F143" s="287">
        <f t="shared" si="42"/>
        <v>2716.950048272598</v>
      </c>
      <c r="G143" s="287">
        <f t="shared" si="43"/>
        <v>2123.1781915738525</v>
      </c>
      <c r="H143" s="287">
        <f t="shared" si="44"/>
        <v>936.48640564862581</v>
      </c>
      <c r="J143" s="300" t="s">
        <v>2278</v>
      </c>
      <c r="K143" s="89" t="s">
        <v>2306</v>
      </c>
      <c r="L143" s="89" t="s">
        <v>314</v>
      </c>
      <c r="M143" s="89"/>
      <c r="N143" s="89"/>
      <c r="O143" s="285"/>
    </row>
    <row r="144" spans="1:17" ht="36.75" customHeight="1">
      <c r="A144" s="106" t="s">
        <v>713</v>
      </c>
      <c r="B144" s="275"/>
      <c r="C144" s="275"/>
      <c r="D144" s="286">
        <f t="shared" si="40"/>
        <v>4678.6332169853131</v>
      </c>
      <c r="E144" s="287">
        <f t="shared" si="41"/>
        <v>4928.2673042892184</v>
      </c>
      <c r="F144" s="287">
        <f t="shared" si="42"/>
        <v>5061.5409373716639</v>
      </c>
      <c r="G144" s="287">
        <f t="shared" si="43"/>
        <v>3763.0979482031325</v>
      </c>
      <c r="H144" s="287">
        <f t="shared" si="44"/>
        <v>1603.8542474970809</v>
      </c>
      <c r="J144" s="300" t="s">
        <v>2279</v>
      </c>
      <c r="K144" s="89" t="s">
        <v>2307</v>
      </c>
      <c r="L144" s="89"/>
      <c r="M144" s="89"/>
      <c r="N144" s="89"/>
      <c r="O144" s="260"/>
    </row>
    <row r="145" spans="1:51">
      <c r="A145" s="106" t="s">
        <v>2280</v>
      </c>
      <c r="B145" s="275"/>
      <c r="C145" s="275"/>
      <c r="D145" s="286">
        <f t="shared" si="40"/>
        <v>1369.1269685441025</v>
      </c>
      <c r="E145" s="287">
        <f t="shared" si="41"/>
        <v>1612.7658640961372</v>
      </c>
      <c r="F145" s="287">
        <f t="shared" si="42"/>
        <v>1134.3019171298497</v>
      </c>
      <c r="G145" s="287">
        <f t="shared" si="43"/>
        <v>906.57159096521889</v>
      </c>
      <c r="H145" s="287">
        <f t="shared" si="44"/>
        <v>406.91189162828135</v>
      </c>
      <c r="J145" s="300" t="s">
        <v>2280</v>
      </c>
      <c r="K145" s="89" t="s">
        <v>314</v>
      </c>
      <c r="L145" s="89"/>
      <c r="M145" s="89"/>
      <c r="N145" s="89"/>
    </row>
    <row r="146" spans="1:51">
      <c r="A146" s="106" t="s">
        <v>64</v>
      </c>
      <c r="B146" s="275"/>
      <c r="C146" s="275"/>
      <c r="D146" s="286">
        <f t="shared" si="40"/>
        <v>1633.469273444746</v>
      </c>
      <c r="E146" s="287">
        <f t="shared" si="41"/>
        <v>1860.7901687023666</v>
      </c>
      <c r="F146" s="287">
        <f t="shared" si="42"/>
        <v>1914.3592172453916</v>
      </c>
      <c r="G146" s="287">
        <f t="shared" si="43"/>
        <v>1788.6568467783407</v>
      </c>
      <c r="H146" s="287">
        <f>SUM(N100:O100)/1000</f>
        <v>979.68400023282265</v>
      </c>
      <c r="J146" s="300" t="s">
        <v>64</v>
      </c>
      <c r="K146" s="89" t="s">
        <v>314</v>
      </c>
      <c r="L146" s="89" t="s">
        <v>2306</v>
      </c>
      <c r="M146" s="89"/>
      <c r="N146" s="89"/>
      <c r="O146" s="285"/>
    </row>
    <row r="147" spans="1:51">
      <c r="A147" s="106" t="s">
        <v>66</v>
      </c>
      <c r="B147" s="275"/>
      <c r="C147" s="275"/>
      <c r="D147" s="286">
        <f t="shared" si="40"/>
        <v>2160.9780037603573</v>
      </c>
      <c r="E147" s="287">
        <f t="shared" si="41"/>
        <v>1996.4132548317336</v>
      </c>
      <c r="F147" s="287">
        <f t="shared" si="42"/>
        <v>1573.091457085708</v>
      </c>
      <c r="G147" s="287">
        <f t="shared" si="43"/>
        <v>1300.3567546922491</v>
      </c>
      <c r="H147" s="287">
        <f t="shared" si="44"/>
        <v>512.2030622857701</v>
      </c>
      <c r="J147" s="300" t="s">
        <v>66</v>
      </c>
      <c r="K147" s="89" t="s">
        <v>314</v>
      </c>
      <c r="L147" s="89"/>
      <c r="M147" s="89"/>
      <c r="N147" s="89"/>
    </row>
    <row r="148" spans="1:51">
      <c r="A148" s="121" t="s">
        <v>71</v>
      </c>
      <c r="B148" s="289"/>
      <c r="C148" s="289"/>
      <c r="D148" s="286">
        <f>SUM(D142:D147)</f>
        <v>13355.014580815568</v>
      </c>
      <c r="E148" s="286">
        <f>SUM(E142:E147)</f>
        <v>14285.713623152891</v>
      </c>
      <c r="F148" s="286">
        <f>SUM(F142:F147)</f>
        <v>14133.739105793238</v>
      </c>
      <c r="G148" s="286">
        <f>SUM(G142:G147)</f>
        <v>11512.616003315174</v>
      </c>
      <c r="H148" s="286">
        <f t="shared" si="44"/>
        <v>5266.8697616034542</v>
      </c>
      <c r="J148" s="300" t="s">
        <v>71</v>
      </c>
      <c r="K148" s="1628" t="s">
        <v>2308</v>
      </c>
      <c r="L148" s="1629"/>
      <c r="M148" s="303"/>
      <c r="N148" s="303"/>
    </row>
    <row r="149" spans="1:51">
      <c r="A149" s="106"/>
      <c r="B149" s="264"/>
      <c r="C149" s="264"/>
      <c r="D149" s="264"/>
      <c r="E149" s="264"/>
      <c r="F149" s="264"/>
      <c r="G149" s="264"/>
      <c r="H149" s="264"/>
      <c r="J149" s="303"/>
      <c r="K149" s="303"/>
      <c r="L149" s="303"/>
      <c r="M149" s="303"/>
      <c r="N149" s="303"/>
    </row>
    <row r="150" spans="1:51">
      <c r="A150" s="187" t="s">
        <v>2309</v>
      </c>
      <c r="B150" s="262" t="s">
        <v>109</v>
      </c>
      <c r="C150" s="262" t="s">
        <v>110</v>
      </c>
      <c r="D150" s="262" t="s">
        <v>111</v>
      </c>
      <c r="E150" s="262" t="s">
        <v>112</v>
      </c>
      <c r="F150" s="262" t="s">
        <v>113</v>
      </c>
      <c r="G150" s="262" t="s">
        <v>470</v>
      </c>
      <c r="H150" s="262" t="s">
        <v>2291</v>
      </c>
      <c r="J150" s="300" t="s">
        <v>674</v>
      </c>
      <c r="K150" s="303"/>
      <c r="L150" s="303"/>
      <c r="M150" s="303"/>
      <c r="N150" s="303"/>
      <c r="T150" s="187" t="s">
        <v>2309</v>
      </c>
      <c r="U150" s="262" t="s">
        <v>111</v>
      </c>
      <c r="V150" s="262" t="s">
        <v>112</v>
      </c>
      <c r="W150" s="262" t="s">
        <v>113</v>
      </c>
      <c r="X150" s="262" t="s">
        <v>2291</v>
      </c>
      <c r="AS150" s="1630" t="s">
        <v>2310</v>
      </c>
      <c r="AT150" s="1630"/>
      <c r="AU150" s="976" t="s">
        <v>2311</v>
      </c>
      <c r="AV150" s="1630" t="s">
        <v>2312</v>
      </c>
      <c r="AW150" s="1630"/>
      <c r="AX150" s="1630"/>
      <c r="AY150" s="1630"/>
    </row>
    <row r="151" spans="1:51">
      <c r="A151" s="106" t="s">
        <v>674</v>
      </c>
      <c r="B151" s="264"/>
      <c r="C151" s="264"/>
      <c r="D151" s="275">
        <f t="shared" ref="D151:H157" si="45">D142/D$148</f>
        <v>4.2540253139861033E-2</v>
      </c>
      <c r="E151" s="275">
        <f t="shared" si="45"/>
        <v>8.6251063407735612E-2</v>
      </c>
      <c r="F151" s="275">
        <f t="shared" si="45"/>
        <v>0.12264946421555845</v>
      </c>
      <c r="G151" s="904">
        <f t="shared" si="45"/>
        <v>0.14164935846316665</v>
      </c>
      <c r="H151" s="275">
        <f>H142/H$148</f>
        <v>0.15715789297567095</v>
      </c>
      <c r="J151" s="300" t="s">
        <v>2278</v>
      </c>
      <c r="K151" s="303"/>
      <c r="L151" s="303"/>
      <c r="M151" s="303"/>
      <c r="N151" s="303"/>
      <c r="T151" s="106" t="s">
        <v>674</v>
      </c>
      <c r="U151" s="275">
        <v>4.2540253139861033E-2</v>
      </c>
      <c r="V151" s="275">
        <v>8.6251063407735612E-2</v>
      </c>
      <c r="W151" s="275">
        <v>0.12264946421555845</v>
      </c>
      <c r="X151" s="275">
        <v>0.15715789297567095</v>
      </c>
      <c r="AS151" s="1028" t="s">
        <v>2313</v>
      </c>
      <c r="AT151" s="1028" t="s">
        <v>2314</v>
      </c>
      <c r="AU151" s="409"/>
      <c r="AV151" s="1028" t="s">
        <v>2295</v>
      </c>
      <c r="AW151" s="1028" t="s">
        <v>2296</v>
      </c>
      <c r="AX151" s="1028" t="s">
        <v>2297</v>
      </c>
      <c r="AY151" s="1028" t="s">
        <v>2298</v>
      </c>
    </row>
    <row r="152" spans="1:51">
      <c r="A152" s="106" t="s">
        <v>2278</v>
      </c>
      <c r="B152" s="264"/>
      <c r="C152" s="264"/>
      <c r="D152" s="275">
        <f t="shared" si="45"/>
        <v>0.22049256474467985</v>
      </c>
      <c r="E152" s="275">
        <f t="shared" si="45"/>
        <v>0.18587234139949718</v>
      </c>
      <c r="F152" s="275">
        <f t="shared" si="45"/>
        <v>0.19223151269001104</v>
      </c>
      <c r="G152" s="275">
        <f t="shared" si="45"/>
        <v>0.18442187170687027</v>
      </c>
      <c r="H152" s="275">
        <f t="shared" si="45"/>
        <v>0.17780701783738817</v>
      </c>
      <c r="J152" s="300" t="s">
        <v>2279</v>
      </c>
      <c r="K152" s="303" t="s">
        <v>2315</v>
      </c>
      <c r="L152" s="303"/>
      <c r="M152" s="303"/>
      <c r="N152" s="303"/>
      <c r="R152" s="258" t="s">
        <v>2316</v>
      </c>
      <c r="T152" s="106" t="s">
        <v>2278</v>
      </c>
      <c r="U152" s="275">
        <v>0.22049256474467985</v>
      </c>
      <c r="V152" s="275">
        <v>0.18587234139949718</v>
      </c>
      <c r="W152" s="275">
        <v>0.19223151269001104</v>
      </c>
      <c r="X152" s="275">
        <v>0.17780701783738817</v>
      </c>
      <c r="AT152" s="1033">
        <v>0.15715789297567095</v>
      </c>
      <c r="AU152" s="1034" t="s">
        <v>674</v>
      </c>
      <c r="AV152" s="1035"/>
      <c r="AW152" s="1035"/>
      <c r="AX152" s="1036"/>
      <c r="AY152" s="1036"/>
    </row>
    <row r="153" spans="1:51">
      <c r="A153" s="106" t="s">
        <v>713</v>
      </c>
      <c r="B153" s="264"/>
      <c r="C153" s="264"/>
      <c r="D153" s="275">
        <f t="shared" si="45"/>
        <v>0.35032782545263208</v>
      </c>
      <c r="E153" s="275">
        <f t="shared" si="45"/>
        <v>0.34497872730011636</v>
      </c>
      <c r="F153" s="275">
        <f t="shared" si="45"/>
        <v>0.35811761484241655</v>
      </c>
      <c r="G153" s="275">
        <f t="shared" si="45"/>
        <v>0.32686732078265363</v>
      </c>
      <c r="H153" s="275">
        <f t="shared" si="45"/>
        <v>0.30451754459347047</v>
      </c>
      <c r="J153" s="300" t="s">
        <v>2280</v>
      </c>
      <c r="K153" s="303"/>
      <c r="L153" s="303"/>
      <c r="M153" s="303"/>
      <c r="N153" s="303"/>
      <c r="T153" s="106" t="s">
        <v>713</v>
      </c>
      <c r="U153" s="275">
        <v>0.35032782545263208</v>
      </c>
      <c r="V153" s="275">
        <v>0.34497872730011636</v>
      </c>
      <c r="W153" s="275">
        <v>0.35811761484241655</v>
      </c>
      <c r="X153" s="275">
        <v>0.30451754459347047</v>
      </c>
      <c r="AT153" s="1041">
        <v>0.17780701783738817</v>
      </c>
      <c r="AU153" s="1032" t="s">
        <v>2278</v>
      </c>
      <c r="AV153" s="1030"/>
      <c r="AW153" s="1031"/>
      <c r="AX153" s="1031"/>
      <c r="AY153" s="1030"/>
    </row>
    <row r="154" spans="1:51">
      <c r="A154" s="106" t="s">
        <v>2280</v>
      </c>
      <c r="B154" s="264"/>
      <c r="C154" s="264"/>
      <c r="D154" s="275">
        <f t="shared" si="45"/>
        <v>0.10251781907530438</v>
      </c>
      <c r="E154" s="275">
        <f t="shared" si="45"/>
        <v>0.1128936157226562</v>
      </c>
      <c r="F154" s="275">
        <f t="shared" si="45"/>
        <v>8.0254906973973639E-2</v>
      </c>
      <c r="G154" s="275">
        <f t="shared" si="45"/>
        <v>7.8745924532196893E-2</v>
      </c>
      <c r="H154" s="275">
        <f t="shared" si="45"/>
        <v>7.7258772296735209E-2</v>
      </c>
      <c r="J154" s="300" t="s">
        <v>64</v>
      </c>
      <c r="K154" s="303"/>
      <c r="L154" s="303"/>
      <c r="M154" s="303"/>
      <c r="N154" s="303"/>
      <c r="T154" s="106" t="s">
        <v>2280</v>
      </c>
      <c r="U154" s="275">
        <v>0.10251781907530438</v>
      </c>
      <c r="V154" s="275">
        <v>0.1128936157226562</v>
      </c>
      <c r="W154" s="275">
        <v>8.0254906973973639E-2</v>
      </c>
      <c r="X154" s="275">
        <v>7.7258772296735209E-2</v>
      </c>
      <c r="AT154" s="1041">
        <v>0.30451754459347047</v>
      </c>
      <c r="AU154" s="1032" t="s">
        <v>713</v>
      </c>
      <c r="AV154" s="1031"/>
      <c r="AW154" s="1031"/>
      <c r="AX154" s="1031"/>
      <c r="AY154" s="1031"/>
    </row>
    <row r="155" spans="1:51">
      <c r="A155" s="106" t="s">
        <v>64</v>
      </c>
      <c r="B155" s="264"/>
      <c r="C155" s="264"/>
      <c r="D155" s="275">
        <f t="shared" si="45"/>
        <v>0.12231130588140419</v>
      </c>
      <c r="E155" s="275">
        <f t="shared" si="45"/>
        <v>0.13025531785031583</v>
      </c>
      <c r="F155" s="275">
        <f t="shared" si="45"/>
        <v>0.13544605591741257</v>
      </c>
      <c r="G155" s="275">
        <f t="shared" si="45"/>
        <v>0.15536493584631667</v>
      </c>
      <c r="H155" s="275">
        <f>H146/H$148</f>
        <v>0.18600877647951677</v>
      </c>
      <c r="J155" s="300" t="s">
        <v>66</v>
      </c>
      <c r="K155" s="303"/>
      <c r="L155" s="303"/>
      <c r="M155" s="303"/>
      <c r="N155" s="303"/>
      <c r="T155" s="106" t="s">
        <v>64</v>
      </c>
      <c r="U155" s="275">
        <v>0.12231130588140419</v>
      </c>
      <c r="V155" s="275">
        <v>0.13025531785031583</v>
      </c>
      <c r="W155" s="275">
        <v>0.13544605591741257</v>
      </c>
      <c r="X155" s="275">
        <v>0.18600877647951677</v>
      </c>
      <c r="AT155" s="314">
        <v>7.7258772296735209E-2</v>
      </c>
      <c r="AU155" s="137" t="s">
        <v>2280</v>
      </c>
      <c r="AV155" s="1029"/>
      <c r="AW155" s="134"/>
      <c r="AX155" s="134"/>
      <c r="AY155" s="134"/>
    </row>
    <row r="156" spans="1:51">
      <c r="A156" s="106" t="s">
        <v>66</v>
      </c>
      <c r="B156" s="264"/>
      <c r="C156" s="264"/>
      <c r="D156" s="275">
        <f t="shared" si="45"/>
        <v>0.16181023170611844</v>
      </c>
      <c r="E156" s="275">
        <f t="shared" si="45"/>
        <v>0.13974893431967877</v>
      </c>
      <c r="F156" s="275">
        <f t="shared" si="45"/>
        <v>0.11130044536062775</v>
      </c>
      <c r="G156" s="275">
        <f t="shared" si="45"/>
        <v>0.11295058866879588</v>
      </c>
      <c r="H156" s="275">
        <f t="shared" si="45"/>
        <v>9.7249995817218424E-2</v>
      </c>
      <c r="J156" s="302"/>
      <c r="K156" s="302"/>
      <c r="L156" s="302"/>
      <c r="M156" s="302"/>
      <c r="N156" s="302"/>
      <c r="T156" s="106" t="s">
        <v>66</v>
      </c>
      <c r="U156" s="275">
        <v>0.16181023170611844</v>
      </c>
      <c r="V156" s="275">
        <v>0.13974893431967877</v>
      </c>
      <c r="W156" s="275">
        <v>0.11130044536062775</v>
      </c>
      <c r="X156" s="275">
        <v>9.7249995817218424E-2</v>
      </c>
      <c r="AT156" s="1041">
        <v>0.18600877647951677</v>
      </c>
      <c r="AU156" s="1032" t="s">
        <v>64</v>
      </c>
      <c r="AV156" s="1031"/>
      <c r="AW156" s="1031"/>
      <c r="AX156" s="1030"/>
      <c r="AY156" s="1030"/>
    </row>
    <row r="157" spans="1:51">
      <c r="A157" s="121" t="s">
        <v>71</v>
      </c>
      <c r="B157" s="264"/>
      <c r="C157" s="264"/>
      <c r="D157" s="289">
        <f t="shared" si="45"/>
        <v>1</v>
      </c>
      <c r="E157" s="289">
        <f t="shared" si="45"/>
        <v>1</v>
      </c>
      <c r="F157" s="289">
        <f t="shared" si="45"/>
        <v>1</v>
      </c>
      <c r="G157" s="289">
        <f t="shared" si="45"/>
        <v>1</v>
      </c>
      <c r="H157" s="289">
        <f t="shared" si="45"/>
        <v>1</v>
      </c>
      <c r="J157" s="302"/>
      <c r="K157" s="302"/>
      <c r="L157" s="302"/>
      <c r="M157" s="302"/>
      <c r="N157" s="302"/>
      <c r="T157" s="121" t="s">
        <v>71</v>
      </c>
      <c r="U157" s="289">
        <v>1</v>
      </c>
      <c r="V157" s="289">
        <v>1</v>
      </c>
      <c r="W157" s="289">
        <v>1</v>
      </c>
      <c r="X157" s="289">
        <v>1</v>
      </c>
      <c r="AT157" s="1037">
        <v>9.7249995817218424E-2</v>
      </c>
      <c r="AU157" s="1038" t="s">
        <v>66</v>
      </c>
      <c r="AV157" s="1039"/>
      <c r="AW157" s="1039"/>
      <c r="AX157" s="1040"/>
      <c r="AY157" s="1040"/>
    </row>
    <row r="158" spans="1:51">
      <c r="A158" s="121"/>
      <c r="B158" s="264"/>
      <c r="C158" s="264"/>
      <c r="D158" s="264"/>
      <c r="E158" s="264"/>
      <c r="F158" s="264"/>
      <c r="G158" s="264"/>
      <c r="H158" s="264"/>
      <c r="J158" s="302"/>
      <c r="K158" s="302"/>
      <c r="L158" s="302"/>
      <c r="M158" s="302"/>
      <c r="N158" s="302"/>
      <c r="AV158" s="1"/>
      <c r="AW158" s="1"/>
      <c r="AX158" s="1"/>
      <c r="AY158" s="1"/>
    </row>
    <row r="159" spans="1:51">
      <c r="A159" s="187" t="s">
        <v>132</v>
      </c>
      <c r="B159" s="262" t="s">
        <v>109</v>
      </c>
      <c r="C159" s="262" t="s">
        <v>110</v>
      </c>
      <c r="D159" s="262" t="s">
        <v>111</v>
      </c>
      <c r="E159" s="262" t="s">
        <v>112</v>
      </c>
      <c r="F159" s="262" t="s">
        <v>113</v>
      </c>
      <c r="G159" s="262" t="s">
        <v>470</v>
      </c>
      <c r="H159" s="262" t="s">
        <v>2291</v>
      </c>
      <c r="J159" s="302"/>
      <c r="K159" s="721">
        <v>2022</v>
      </c>
      <c r="L159" s="302"/>
      <c r="M159" s="302"/>
      <c r="N159" s="302"/>
    </row>
    <row r="160" spans="1:51">
      <c r="A160" s="106" t="s">
        <v>674</v>
      </c>
      <c r="B160" s="264"/>
      <c r="C160" s="264"/>
      <c r="D160" s="264"/>
      <c r="E160" s="290">
        <f t="shared" ref="E160:G166" si="46">E142/D142-1</f>
        <v>1.168812270709342</v>
      </c>
      <c r="F160" s="290">
        <f t="shared" si="46"/>
        <v>0.40687764117654268</v>
      </c>
      <c r="G160" s="290">
        <f>G142/F142-1</f>
        <v>-5.9268025723380413E-2</v>
      </c>
      <c r="H160" s="290">
        <f>H142/SUM(J96:K96)*1000-1</f>
        <v>-0.10059062914381944</v>
      </c>
      <c r="J160" s="105" t="s">
        <v>674</v>
      </c>
      <c r="K160" s="720">
        <f t="shared" ref="K160:K165" si="47">SUM(J96:M96)</f>
        <v>1733495.5286880268</v>
      </c>
      <c r="L160" s="724">
        <f t="shared" ref="L160:L165" si="48">K160/K$166</f>
        <v>0.12264946421555843</v>
      </c>
      <c r="M160" s="302"/>
      <c r="N160" s="302"/>
    </row>
    <row r="161" spans="1:14">
      <c r="A161" s="106" t="s">
        <v>2278</v>
      </c>
      <c r="B161" s="264"/>
      <c r="C161" s="264"/>
      <c r="D161" s="264"/>
      <c r="E161" s="290">
        <f t="shared" si="46"/>
        <v>-9.8266106392878916E-2</v>
      </c>
      <c r="F161" s="290">
        <f t="shared" si="46"/>
        <v>2.3210396812234801E-2</v>
      </c>
      <c r="G161" s="290">
        <f t="shared" si="46"/>
        <v>-0.21854353085227241</v>
      </c>
      <c r="H161" s="290">
        <f t="shared" ref="H161:H166" si="49">H143/SUM(J97:K97)*1000-1</f>
        <v>-0.24678164199758823</v>
      </c>
      <c r="J161" s="105" t="s">
        <v>2278</v>
      </c>
      <c r="K161" s="720">
        <f t="shared" si="47"/>
        <v>2716950.0482725981</v>
      </c>
      <c r="L161" s="724">
        <f t="shared" si="48"/>
        <v>0.19223151269001101</v>
      </c>
      <c r="M161" s="302"/>
      <c r="N161" s="302"/>
    </row>
    <row r="162" spans="1:14">
      <c r="A162" s="106" t="s">
        <v>713</v>
      </c>
      <c r="B162" s="264"/>
      <c r="C162" s="264"/>
      <c r="D162" s="264"/>
      <c r="E162" s="290">
        <f t="shared" si="46"/>
        <v>5.3356199498099999E-2</v>
      </c>
      <c r="F162" s="290">
        <f t="shared" si="46"/>
        <v>2.7042695708987541E-2</v>
      </c>
      <c r="G162" s="290">
        <f t="shared" si="46"/>
        <v>-0.25653116417206756</v>
      </c>
      <c r="H162" s="290">
        <f t="shared" si="49"/>
        <v>-0.35207766417566588</v>
      </c>
      <c r="J162" s="105" t="s">
        <v>2279</v>
      </c>
      <c r="K162" s="720">
        <f t="shared" si="47"/>
        <v>5061540.9373716637</v>
      </c>
      <c r="L162" s="724">
        <f t="shared" si="48"/>
        <v>0.3581176148424165</v>
      </c>
    </row>
    <row r="163" spans="1:14">
      <c r="A163" s="106" t="s">
        <v>2280</v>
      </c>
      <c r="B163" s="264"/>
      <c r="C163" s="264"/>
      <c r="D163" s="264"/>
      <c r="E163" s="290">
        <f t="shared" si="46"/>
        <v>0.17795200967454061</v>
      </c>
      <c r="F163" s="290">
        <f t="shared" si="46"/>
        <v>-0.29667291304831722</v>
      </c>
      <c r="G163" s="290">
        <f t="shared" si="46"/>
        <v>-0.20076694108113835</v>
      </c>
      <c r="H163" s="290">
        <f t="shared" si="49"/>
        <v>-0.31318493720309382</v>
      </c>
      <c r="J163" s="105" t="s">
        <v>2280</v>
      </c>
      <c r="K163" s="720">
        <f t="shared" si="47"/>
        <v>1134301.9171298498</v>
      </c>
      <c r="L163" s="724">
        <f t="shared" si="48"/>
        <v>8.0254906973973639E-2</v>
      </c>
    </row>
    <row r="164" spans="1:14">
      <c r="A164" s="106" t="s">
        <v>64</v>
      </c>
      <c r="B164" s="264"/>
      <c r="C164" s="264"/>
      <c r="D164" s="264"/>
      <c r="E164" s="290">
        <f t="shared" si="46"/>
        <v>0.13916447585098091</v>
      </c>
      <c r="F164" s="290">
        <f t="shared" si="46"/>
        <v>2.8788333818628109E-2</v>
      </c>
      <c r="G164" s="290">
        <f t="shared" si="46"/>
        <v>-6.5662896145440519E-2</v>
      </c>
      <c r="H164" s="290">
        <f t="shared" si="49"/>
        <v>-0.22542539819735496</v>
      </c>
      <c r="J164" s="105" t="s">
        <v>64</v>
      </c>
      <c r="K164" s="720">
        <f t="shared" si="47"/>
        <v>1914359.2172453916</v>
      </c>
      <c r="L164" s="724">
        <f t="shared" si="48"/>
        <v>0.13544605591741254</v>
      </c>
    </row>
    <row r="165" spans="1:14">
      <c r="A165" s="106" t="s">
        <v>66</v>
      </c>
      <c r="B165" s="264"/>
      <c r="C165" s="264"/>
      <c r="D165" s="264"/>
      <c r="E165" s="290">
        <f t="shared" si="46"/>
        <v>-7.6152903288354445E-2</v>
      </c>
      <c r="F165" s="290">
        <f t="shared" si="46"/>
        <v>-0.21204116768985537</v>
      </c>
      <c r="G165" s="290">
        <f t="shared" si="46"/>
        <v>-0.17337498157845466</v>
      </c>
      <c r="H165" s="290">
        <f t="shared" si="49"/>
        <v>-0.3332220947134813</v>
      </c>
      <c r="J165" s="105" t="s">
        <v>66</v>
      </c>
      <c r="K165" s="720">
        <f t="shared" si="47"/>
        <v>1573091.4570857082</v>
      </c>
      <c r="L165" s="724">
        <f t="shared" si="48"/>
        <v>0.11130044536062775</v>
      </c>
    </row>
    <row r="166" spans="1:14">
      <c r="A166" s="121" t="s">
        <v>71</v>
      </c>
      <c r="B166" s="264"/>
      <c r="C166" s="264"/>
      <c r="D166" s="264"/>
      <c r="E166" s="291">
        <f t="shared" si="46"/>
        <v>6.9689107166851727E-2</v>
      </c>
      <c r="F166" s="291">
        <f t="shared" si="46"/>
        <v>-1.0638216708568682E-2</v>
      </c>
      <c r="G166" s="291">
        <f>G148/F148-1</f>
        <v>-0.18545149891748747</v>
      </c>
      <c r="H166" s="291">
        <f t="shared" si="49"/>
        <v>-0.27497914446414962</v>
      </c>
      <c r="J166" s="722" t="s">
        <v>71</v>
      </c>
      <c r="K166" s="723">
        <f>SUM(K160:K165)</f>
        <v>14133739.10579324</v>
      </c>
      <c r="L166" s="725">
        <f>SUM(L160:L165)</f>
        <v>0.99999999999999989</v>
      </c>
    </row>
    <row r="167" spans="1:14">
      <c r="A167" s="121"/>
      <c r="B167" s="264"/>
      <c r="C167" s="264"/>
      <c r="D167" s="264"/>
      <c r="E167" s="291"/>
      <c r="F167" s="291"/>
      <c r="G167" s="291"/>
      <c r="H167" s="291"/>
    </row>
    <row r="168" spans="1:14">
      <c r="A168" s="312" t="s">
        <v>2317</v>
      </c>
      <c r="B168" s="262" t="s">
        <v>109</v>
      </c>
      <c r="C168" s="262" t="s">
        <v>110</v>
      </c>
      <c r="D168" s="262" t="s">
        <v>111</v>
      </c>
      <c r="E168" s="262" t="s">
        <v>112</v>
      </c>
      <c r="F168" s="262" t="s">
        <v>113</v>
      </c>
      <c r="G168" s="262" t="s">
        <v>470</v>
      </c>
      <c r="H168" s="262" t="s">
        <v>2291</v>
      </c>
    </row>
    <row r="169" spans="1:14">
      <c r="A169" s="121" t="s">
        <v>2318</v>
      </c>
      <c r="B169" s="264"/>
      <c r="C169" s="292"/>
      <c r="D169" s="292"/>
      <c r="E169" s="293">
        <v>91.3</v>
      </c>
      <c r="F169" s="293">
        <v>100</v>
      </c>
      <c r="G169" s="293"/>
      <c r="H169" s="293"/>
    </row>
    <row r="170" spans="1:14">
      <c r="A170" s="121" t="s">
        <v>2319</v>
      </c>
      <c r="B170" s="264"/>
      <c r="C170" s="292"/>
      <c r="D170" s="292"/>
      <c r="E170" s="293">
        <v>10</v>
      </c>
      <c r="F170" s="293"/>
      <c r="G170" s="293"/>
      <c r="H170" s="293"/>
    </row>
    <row r="171" spans="1:14">
      <c r="A171" s="121" t="s">
        <v>2320</v>
      </c>
      <c r="B171" s="264"/>
      <c r="C171" s="292"/>
      <c r="D171" s="292"/>
      <c r="E171" s="289"/>
      <c r="F171" s="293"/>
      <c r="G171" s="293">
        <v>20</v>
      </c>
      <c r="H171" s="293" t="s">
        <v>2321</v>
      </c>
    </row>
    <row r="172" spans="1:14">
      <c r="A172" s="121" t="s">
        <v>2322</v>
      </c>
      <c r="B172" s="264"/>
      <c r="C172" s="292"/>
      <c r="D172" s="292"/>
      <c r="E172" s="289">
        <v>0.73499999999999999</v>
      </c>
      <c r="F172" s="289">
        <v>0.8</v>
      </c>
      <c r="G172" s="289">
        <v>0.85</v>
      </c>
      <c r="H172" s="289"/>
    </row>
    <row r="173" spans="1:14">
      <c r="A173" s="121" t="s">
        <v>2323</v>
      </c>
      <c r="B173" s="264"/>
      <c r="C173" s="292"/>
      <c r="D173" s="292"/>
      <c r="E173" s="293"/>
      <c r="F173" s="293"/>
      <c r="G173" s="293">
        <v>0.3</v>
      </c>
      <c r="H173" s="293"/>
    </row>
    <row r="174" spans="1:14">
      <c r="A174" s="121" t="s">
        <v>2318</v>
      </c>
      <c r="B174" s="264"/>
      <c r="C174" s="292"/>
      <c r="D174" s="292"/>
      <c r="E174" s="293"/>
      <c r="F174" s="293"/>
      <c r="G174" s="293"/>
      <c r="H174" s="293"/>
    </row>
    <row r="175" spans="1:14">
      <c r="A175" s="121"/>
      <c r="B175" s="264"/>
      <c r="C175" s="292"/>
      <c r="D175" s="292"/>
      <c r="E175" s="293"/>
      <c r="F175" s="293"/>
      <c r="G175" s="293"/>
      <c r="H175" s="293"/>
    </row>
    <row r="176" spans="1:14">
      <c r="A176" s="121"/>
      <c r="B176" s="264"/>
      <c r="C176" s="292"/>
      <c r="D176" s="292"/>
      <c r="E176" s="293"/>
      <c r="F176" s="293"/>
      <c r="G176" s="293"/>
      <c r="H176" s="293"/>
    </row>
    <row r="177" spans="1:10">
      <c r="A177" s="187" t="s">
        <v>2324</v>
      </c>
      <c r="B177" s="262" t="s">
        <v>245</v>
      </c>
      <c r="C177" s="262" t="s">
        <v>261</v>
      </c>
      <c r="D177" s="262" t="s">
        <v>257</v>
      </c>
      <c r="E177" s="262" t="s">
        <v>253</v>
      </c>
      <c r="F177" s="262" t="s">
        <v>2325</v>
      </c>
      <c r="G177" s="262" t="s">
        <v>2326</v>
      </c>
      <c r="H177" s="262" t="s">
        <v>2327</v>
      </c>
      <c r="I177" s="262" t="s">
        <v>2328</v>
      </c>
      <c r="J177" s="262" t="s">
        <v>2329</v>
      </c>
    </row>
    <row r="178" spans="1:10">
      <c r="A178" s="106" t="s">
        <v>2330</v>
      </c>
      <c r="B178" s="294">
        <v>0.66700000000000004</v>
      </c>
      <c r="C178" s="275">
        <v>0.68</v>
      </c>
      <c r="D178" s="275">
        <v>0.88800000000000001</v>
      </c>
      <c r="E178" s="295">
        <v>0.8</v>
      </c>
      <c r="F178" s="295">
        <v>0.67900000000000005</v>
      </c>
      <c r="G178" s="295">
        <v>0.93700000000000006</v>
      </c>
      <c r="H178" s="295">
        <v>0.94</v>
      </c>
      <c r="I178" s="295">
        <v>0.72</v>
      </c>
      <c r="J178" s="295">
        <v>0.71</v>
      </c>
    </row>
    <row r="179" spans="1:10">
      <c r="A179" s="106" t="s">
        <v>2331</v>
      </c>
      <c r="B179" s="292">
        <v>13.413</v>
      </c>
      <c r="C179" s="292">
        <v>16.600000000000001</v>
      </c>
      <c r="D179" s="296">
        <v>10.5</v>
      </c>
      <c r="E179" s="296">
        <v>35.5</v>
      </c>
      <c r="F179" s="296">
        <v>16.3</v>
      </c>
      <c r="G179" s="296">
        <v>2.2000000000000002</v>
      </c>
      <c r="H179" s="296">
        <v>20</v>
      </c>
      <c r="I179" s="296">
        <v>286</v>
      </c>
      <c r="J179" s="296">
        <v>151.6</v>
      </c>
    </row>
    <row r="180" spans="1:10">
      <c r="A180" s="106" t="s">
        <v>2332</v>
      </c>
      <c r="B180" s="264">
        <v>4.0999999999999996</v>
      </c>
      <c r="C180" s="292">
        <v>3.5</v>
      </c>
      <c r="D180" s="296">
        <v>2.2000000000000002</v>
      </c>
      <c r="E180" s="296">
        <v>11.1</v>
      </c>
      <c r="F180" s="296">
        <v>4.9000000000000004</v>
      </c>
      <c r="G180" s="296">
        <v>1.1000000000000001</v>
      </c>
      <c r="H180" s="296">
        <v>8.8000000000000007</v>
      </c>
      <c r="I180" s="296">
        <v>119.2</v>
      </c>
      <c r="J180" s="296">
        <v>41.7</v>
      </c>
    </row>
    <row r="181" spans="1:10">
      <c r="A181" s="106" t="s">
        <v>2333</v>
      </c>
      <c r="B181" s="264">
        <v>100</v>
      </c>
      <c r="C181" s="292">
        <v>72</v>
      </c>
      <c r="D181" s="296">
        <v>34</v>
      </c>
      <c r="E181" s="296">
        <v>275</v>
      </c>
      <c r="F181" s="296">
        <v>115</v>
      </c>
      <c r="G181" s="296">
        <v>5.45</v>
      </c>
      <c r="H181" s="296">
        <v>52</v>
      </c>
      <c r="I181" s="296">
        <v>1412</v>
      </c>
      <c r="J181" s="296">
        <v>1408</v>
      </c>
    </row>
    <row r="182" spans="1:10">
      <c r="A182" s="121" t="s">
        <v>2334</v>
      </c>
      <c r="B182" s="297">
        <v>41.27</v>
      </c>
      <c r="C182" s="293">
        <v>50.4</v>
      </c>
      <c r="D182" s="293">
        <v>64.7</v>
      </c>
      <c r="E182" s="293">
        <v>39.270000000000003</v>
      </c>
      <c r="F182" s="293">
        <v>42.7</v>
      </c>
      <c r="G182" s="293">
        <v>182.5</v>
      </c>
      <c r="H182" s="293">
        <f>H180/H181*1000</f>
        <v>169.23076923076923</v>
      </c>
      <c r="I182" s="293">
        <v>81.67</v>
      </c>
      <c r="J182" s="293">
        <v>29.39</v>
      </c>
    </row>
    <row r="183" spans="1:10">
      <c r="A183" s="121"/>
      <c r="B183" s="264"/>
      <c r="C183" s="292"/>
      <c r="D183" s="292"/>
      <c r="E183" s="293"/>
      <c r="F183" s="293"/>
      <c r="G183" s="293"/>
      <c r="H183" s="293"/>
      <c r="I183" s="293"/>
      <c r="J183" s="293"/>
    </row>
    <row r="184" spans="1:10">
      <c r="A184" s="121" t="s">
        <v>2335</v>
      </c>
      <c r="B184" s="290">
        <v>8.0999999999999996E-3</v>
      </c>
      <c r="C184" s="290">
        <v>-4.8000000000000001E-2</v>
      </c>
      <c r="D184" s="290">
        <v>-2.1999999999999999E-2</v>
      </c>
      <c r="E184" s="291">
        <v>1.6299999999999999E-2</v>
      </c>
      <c r="F184" s="291">
        <v>-8.8000000000000005E-3</v>
      </c>
      <c r="G184" s="291">
        <v>-1.5100000000000001E-2</v>
      </c>
      <c r="H184" s="291">
        <v>3.3999999999999998E-3</v>
      </c>
      <c r="I184" s="291">
        <v>1.9199999999999998E-2</v>
      </c>
      <c r="J184" s="291">
        <v>7.1999999999999995E-2</v>
      </c>
    </row>
    <row r="185" spans="1:10">
      <c r="A185" s="121" t="s">
        <v>2336</v>
      </c>
      <c r="B185" s="304">
        <f>B179/B181</f>
        <v>0.13413</v>
      </c>
      <c r="C185" s="304">
        <f t="shared" ref="C185:I185" si="50">C179/C181</f>
        <v>0.23055555555555557</v>
      </c>
      <c r="D185" s="304">
        <f t="shared" si="50"/>
        <v>0.30882352941176472</v>
      </c>
      <c r="E185" s="304">
        <f t="shared" si="50"/>
        <v>0.12909090909090909</v>
      </c>
      <c r="F185" s="304">
        <f t="shared" si="50"/>
        <v>0.14173913043478262</v>
      </c>
      <c r="G185" s="304">
        <f t="shared" si="50"/>
        <v>0.40366972477064222</v>
      </c>
      <c r="H185" s="304">
        <f t="shared" si="50"/>
        <v>0.38461538461538464</v>
      </c>
      <c r="I185" s="304">
        <f t="shared" si="50"/>
        <v>0.20254957507082152</v>
      </c>
      <c r="J185" s="304">
        <v>0.1</v>
      </c>
    </row>
    <row r="186" spans="1:10">
      <c r="A186" s="121"/>
      <c r="B186" s="264"/>
      <c r="C186" s="292"/>
      <c r="D186" s="292"/>
      <c r="E186" s="293"/>
      <c r="F186" s="293"/>
      <c r="G186" s="293"/>
      <c r="H186" s="293"/>
      <c r="I186" s="293"/>
      <c r="J186" s="293"/>
    </row>
    <row r="187" spans="1:10">
      <c r="A187" s="187" t="s">
        <v>2337</v>
      </c>
      <c r="B187" s="262" t="s">
        <v>245</v>
      </c>
      <c r="C187" s="262" t="s">
        <v>261</v>
      </c>
      <c r="D187" s="262" t="s">
        <v>257</v>
      </c>
      <c r="E187" s="262" t="s">
        <v>253</v>
      </c>
      <c r="F187" s="262" t="s">
        <v>2325</v>
      </c>
      <c r="G187" s="262" t="s">
        <v>2326</v>
      </c>
      <c r="H187" s="262" t="s">
        <v>2327</v>
      </c>
      <c r="I187" s="262" t="s">
        <v>2328</v>
      </c>
      <c r="J187" s="262" t="s">
        <v>2329</v>
      </c>
    </row>
    <row r="188" spans="1:10">
      <c r="A188" s="106" t="s">
        <v>2338</v>
      </c>
      <c r="B188" s="294">
        <v>0.28000000000000003</v>
      </c>
      <c r="C188" s="275">
        <v>0.17</v>
      </c>
      <c r="D188" s="275"/>
      <c r="E188" s="295">
        <v>0.16</v>
      </c>
      <c r="F188" s="295"/>
      <c r="G188" s="295">
        <v>0.97</v>
      </c>
      <c r="H188" s="298">
        <v>0.34</v>
      </c>
      <c r="I188" s="295"/>
      <c r="J188" s="295">
        <v>0.14000000000000001</v>
      </c>
    </row>
    <row r="189" spans="1:10">
      <c r="A189" s="106" t="s">
        <v>2331</v>
      </c>
      <c r="B189" s="292"/>
      <c r="C189" s="292"/>
      <c r="D189" s="296"/>
      <c r="E189" s="296"/>
      <c r="F189" s="296"/>
      <c r="G189" s="296"/>
      <c r="H189" s="296"/>
      <c r="I189" s="296"/>
      <c r="J189" s="296"/>
    </row>
    <row r="190" spans="1:10">
      <c r="A190" s="106" t="s">
        <v>2339</v>
      </c>
      <c r="B190" s="288">
        <v>1</v>
      </c>
      <c r="C190" s="292">
        <v>0.9</v>
      </c>
      <c r="D190" s="296">
        <v>0.5</v>
      </c>
      <c r="E190" s="296">
        <v>2.7</v>
      </c>
      <c r="F190" s="296">
        <v>1.2</v>
      </c>
      <c r="G190" s="296">
        <v>0.3</v>
      </c>
      <c r="H190" s="296">
        <v>2.2999999999999998</v>
      </c>
      <c r="I190" s="296">
        <v>23.25</v>
      </c>
      <c r="J190" s="296">
        <v>6</v>
      </c>
    </row>
    <row r="191" spans="1:10">
      <c r="A191" s="106" t="s">
        <v>2333</v>
      </c>
      <c r="B191" s="264">
        <v>100</v>
      </c>
      <c r="C191" s="292">
        <v>72</v>
      </c>
      <c r="D191" s="296">
        <v>34</v>
      </c>
      <c r="E191" s="296">
        <v>275</v>
      </c>
      <c r="F191" s="296">
        <v>115</v>
      </c>
      <c r="G191" s="296">
        <v>5.45</v>
      </c>
      <c r="H191" s="296">
        <v>52</v>
      </c>
      <c r="I191" s="296">
        <v>1412</v>
      </c>
      <c r="J191" s="296">
        <v>1408</v>
      </c>
    </row>
    <row r="192" spans="1:10">
      <c r="A192" s="121" t="s">
        <v>2340</v>
      </c>
      <c r="B192" s="297">
        <v>9.89</v>
      </c>
      <c r="C192" s="293">
        <v>12.22</v>
      </c>
      <c r="D192" s="293">
        <v>15.19</v>
      </c>
      <c r="E192" s="293">
        <v>9.48</v>
      </c>
      <c r="F192" s="293">
        <v>10.3</v>
      </c>
      <c r="G192" s="293">
        <v>50.87</v>
      </c>
      <c r="H192" s="293">
        <v>45.6</v>
      </c>
      <c r="I192" s="293">
        <v>15.92</v>
      </c>
      <c r="J192" s="293">
        <v>4.2</v>
      </c>
    </row>
    <row r="193" spans="1:10">
      <c r="A193" s="121"/>
      <c r="B193" s="264"/>
      <c r="C193" s="264"/>
      <c r="D193" s="292"/>
      <c r="E193" s="293"/>
      <c r="F193" s="293"/>
      <c r="G193" s="293"/>
      <c r="H193" s="293"/>
      <c r="I193" s="293"/>
      <c r="J193" s="293"/>
    </row>
    <row r="194" spans="1:10">
      <c r="A194" s="121" t="s">
        <v>2335</v>
      </c>
      <c r="B194" s="290">
        <v>3.4000000000000002E-2</v>
      </c>
      <c r="C194" s="290">
        <v>4.5999999999999999E-3</v>
      </c>
      <c r="D194" s="290">
        <v>1.15E-2</v>
      </c>
      <c r="E194" s="299">
        <v>4.3299999999999998E-2</v>
      </c>
      <c r="F194" s="291">
        <v>1.7999999999999999E-2</v>
      </c>
      <c r="G194" s="291">
        <v>4.8999999999999998E-3</v>
      </c>
      <c r="H194" s="291">
        <v>9.1999999999999998E-3</v>
      </c>
      <c r="I194" s="291">
        <v>3.2800000000000003E-2</v>
      </c>
      <c r="J194" s="291">
        <v>7.0000000000000007E-2</v>
      </c>
    </row>
    <row r="195" spans="1:10">
      <c r="A195" s="121" t="s">
        <v>2336</v>
      </c>
      <c r="B195" s="304">
        <f>B189/B191</f>
        <v>0</v>
      </c>
      <c r="C195" s="304">
        <f t="shared" ref="C195:I195" si="51">C189/C191</f>
        <v>0</v>
      </c>
      <c r="D195" s="304">
        <f t="shared" si="51"/>
        <v>0</v>
      </c>
      <c r="E195" s="304">
        <f t="shared" si="51"/>
        <v>0</v>
      </c>
      <c r="F195" s="304">
        <f t="shared" si="51"/>
        <v>0</v>
      </c>
      <c r="G195" s="304">
        <f t="shared" si="51"/>
        <v>0</v>
      </c>
      <c r="H195" s="304">
        <f t="shared" si="51"/>
        <v>0</v>
      </c>
      <c r="I195" s="304">
        <f t="shared" si="51"/>
        <v>0</v>
      </c>
      <c r="J195" s="304"/>
    </row>
    <row r="196" spans="1:10">
      <c r="A196" s="121" t="s">
        <v>2341</v>
      </c>
      <c r="B196" s="304">
        <v>3757</v>
      </c>
      <c r="C196" s="304">
        <v>7066</v>
      </c>
      <c r="D196" s="304">
        <v>11109</v>
      </c>
      <c r="E196" s="304">
        <v>4332</v>
      </c>
      <c r="F196" s="304">
        <v>3460</v>
      </c>
      <c r="G196" s="304">
        <v>72794</v>
      </c>
      <c r="H196" s="304">
        <v>34997</v>
      </c>
      <c r="I196" s="304">
        <v>12556</v>
      </c>
      <c r="J196" s="304">
        <v>2256</v>
      </c>
    </row>
    <row r="203" spans="1:10">
      <c r="B203" s="830"/>
    </row>
    <row r="250" spans="1:12" ht="15.75" thickBot="1">
      <c r="A250" s="1" t="s">
        <v>2342</v>
      </c>
      <c r="B250" s="305">
        <v>2018</v>
      </c>
      <c r="C250" s="305">
        <v>2019</v>
      </c>
      <c r="D250" s="305">
        <v>2020</v>
      </c>
      <c r="E250" s="305">
        <v>2021</v>
      </c>
      <c r="F250" s="305">
        <v>2022</v>
      </c>
      <c r="G250" s="305">
        <v>2023</v>
      </c>
      <c r="H250" s="305">
        <v>2024</v>
      </c>
      <c r="I250" s="305">
        <v>2025</v>
      </c>
      <c r="J250" s="305">
        <v>2026</v>
      </c>
      <c r="K250" s="305">
        <v>2027</v>
      </c>
      <c r="L250" s="305">
        <v>2028</v>
      </c>
    </row>
    <row r="251" spans="1:12">
      <c r="A251" s="306" t="s">
        <v>245</v>
      </c>
      <c r="B251" s="307">
        <v>8.19</v>
      </c>
      <c r="C251" s="307">
        <v>9.17</v>
      </c>
      <c r="D251" s="307">
        <v>9.84</v>
      </c>
      <c r="E251" s="307">
        <v>10.130000000000001</v>
      </c>
      <c r="F251" s="307">
        <v>9.75</v>
      </c>
      <c r="G251" s="307">
        <v>9.89</v>
      </c>
      <c r="H251" s="307">
        <v>9.77</v>
      </c>
      <c r="I251" s="307">
        <v>10.17</v>
      </c>
      <c r="J251" s="307">
        <v>10.57</v>
      </c>
      <c r="K251" s="307">
        <v>10.97</v>
      </c>
      <c r="L251" s="307">
        <v>11.39</v>
      </c>
    </row>
    <row r="254" spans="1:12" ht="15.75" thickBot="1">
      <c r="A254" s="1" t="s">
        <v>2343</v>
      </c>
      <c r="B254" s="305">
        <v>2018</v>
      </c>
      <c r="C254" s="305">
        <v>2019</v>
      </c>
      <c r="D254" s="305">
        <v>2020</v>
      </c>
      <c r="E254" s="305">
        <v>2021</v>
      </c>
      <c r="F254" s="305">
        <v>2022</v>
      </c>
      <c r="G254" s="305">
        <v>2023</v>
      </c>
      <c r="H254" s="305">
        <v>2024</v>
      </c>
      <c r="I254" s="305">
        <v>2025</v>
      </c>
      <c r="J254" s="305">
        <v>2026</v>
      </c>
      <c r="K254" s="305">
        <v>2027</v>
      </c>
      <c r="L254" s="305">
        <v>2028</v>
      </c>
    </row>
    <row r="255" spans="1:12">
      <c r="A255" s="306" t="s">
        <v>245</v>
      </c>
      <c r="B255" s="307">
        <v>0.8</v>
      </c>
      <c r="C255" s="307">
        <v>0.9</v>
      </c>
      <c r="D255" s="307">
        <v>1</v>
      </c>
      <c r="E255" s="307">
        <v>1</v>
      </c>
      <c r="F255" s="307">
        <v>1</v>
      </c>
      <c r="G255" s="307">
        <v>1</v>
      </c>
      <c r="H255" s="307">
        <v>1</v>
      </c>
      <c r="I255" s="307">
        <v>1</v>
      </c>
      <c r="J255" s="307">
        <v>1.1000000000000001</v>
      </c>
      <c r="K255" s="307">
        <v>1.1000000000000001</v>
      </c>
      <c r="L255" s="307">
        <v>1.2</v>
      </c>
    </row>
    <row r="257" spans="1:12" ht="15.75" thickBot="1">
      <c r="A257" s="1" t="s">
        <v>2344</v>
      </c>
      <c r="B257" s="305">
        <v>2019</v>
      </c>
      <c r="C257" s="305">
        <v>2020</v>
      </c>
      <c r="D257" s="305">
        <v>2021</v>
      </c>
      <c r="E257" s="305">
        <v>2022</v>
      </c>
      <c r="F257" s="305">
        <v>2023</v>
      </c>
      <c r="G257" s="305">
        <v>2024</v>
      </c>
      <c r="H257" s="305">
        <v>2025</v>
      </c>
      <c r="I257" s="305">
        <v>2026</v>
      </c>
      <c r="J257" s="305">
        <v>2027</v>
      </c>
      <c r="K257" s="305">
        <v>2028</v>
      </c>
    </row>
    <row r="258" spans="1:12">
      <c r="A258" s="306" t="s">
        <v>245</v>
      </c>
      <c r="B258" s="307">
        <v>12.8</v>
      </c>
      <c r="C258" s="307">
        <v>9.1</v>
      </c>
      <c r="D258" s="307">
        <v>3.1</v>
      </c>
      <c r="E258" s="307">
        <v>-3</v>
      </c>
      <c r="F258" s="307">
        <v>3.1</v>
      </c>
      <c r="G258" s="307">
        <v>-1</v>
      </c>
      <c r="H258" s="307">
        <v>5.0999999999999996</v>
      </c>
      <c r="I258" s="307">
        <v>4.9000000000000004</v>
      </c>
      <c r="J258" s="307">
        <v>3.7</v>
      </c>
      <c r="K258" s="307">
        <v>4.5</v>
      </c>
    </row>
    <row r="260" spans="1:12" ht="15.75" thickBot="1">
      <c r="A260" s="1" t="s">
        <v>2345</v>
      </c>
      <c r="B260" s="305">
        <v>2018</v>
      </c>
      <c r="C260" s="305">
        <v>2019</v>
      </c>
      <c r="D260" s="305">
        <v>2020</v>
      </c>
      <c r="E260" s="305">
        <v>2021</v>
      </c>
      <c r="F260" s="305">
        <v>2022</v>
      </c>
      <c r="G260" s="305">
        <v>2023</v>
      </c>
      <c r="H260" s="305">
        <v>2024</v>
      </c>
      <c r="I260" s="305">
        <v>2025</v>
      </c>
      <c r="J260" s="305">
        <v>2026</v>
      </c>
      <c r="K260" s="305">
        <v>2027</v>
      </c>
      <c r="L260" s="305">
        <v>2028</v>
      </c>
    </row>
    <row r="261" spans="1:12">
      <c r="A261" s="306" t="s">
        <v>245</v>
      </c>
      <c r="B261" s="308">
        <v>1.8</v>
      </c>
      <c r="C261" s="307">
        <v>2</v>
      </c>
      <c r="D261" s="307">
        <v>2.2000000000000002</v>
      </c>
      <c r="E261" s="307">
        <v>2.2999999999999998</v>
      </c>
      <c r="F261" s="307">
        <v>2.2000000000000002</v>
      </c>
      <c r="G261" s="307">
        <v>2.2999999999999998</v>
      </c>
      <c r="H261" s="307">
        <v>2.2999999999999998</v>
      </c>
      <c r="I261" s="307">
        <v>2.4</v>
      </c>
      <c r="J261" s="307">
        <v>2.4</v>
      </c>
      <c r="K261" s="307">
        <v>2.5</v>
      </c>
      <c r="L261" s="307">
        <v>2.5</v>
      </c>
    </row>
    <row r="263" spans="1:12" ht="15.75" thickBot="1">
      <c r="A263" s="1" t="s">
        <v>851</v>
      </c>
      <c r="B263" s="305">
        <v>2019</v>
      </c>
      <c r="C263" s="305">
        <v>2020</v>
      </c>
      <c r="D263" s="305">
        <v>2021</v>
      </c>
      <c r="E263" s="305">
        <v>2022</v>
      </c>
      <c r="F263" s="305">
        <v>2023</v>
      </c>
      <c r="G263" s="305">
        <v>2024</v>
      </c>
      <c r="H263" s="305">
        <v>2025</v>
      </c>
      <c r="I263" s="305">
        <v>2026</v>
      </c>
      <c r="J263" s="305">
        <v>2027</v>
      </c>
      <c r="K263" s="305">
        <v>2028</v>
      </c>
    </row>
    <row r="264" spans="1:12">
      <c r="A264" s="306" t="s">
        <v>245</v>
      </c>
      <c r="B264" s="307">
        <v>14.5</v>
      </c>
      <c r="C264" s="307">
        <v>6.8</v>
      </c>
      <c r="D264" s="307">
        <v>4.0999999999999996</v>
      </c>
      <c r="E264" s="307">
        <v>-2.6</v>
      </c>
      <c r="F264" s="307">
        <v>2.2999999999999998</v>
      </c>
      <c r="G264" s="307">
        <v>0.9</v>
      </c>
      <c r="H264" s="307">
        <v>2.6</v>
      </c>
      <c r="I264" s="307">
        <v>2.1</v>
      </c>
      <c r="J264" s="307">
        <v>2.1</v>
      </c>
      <c r="K264" s="307">
        <v>2</v>
      </c>
    </row>
    <row r="266" spans="1:12" ht="15.75" thickBot="1">
      <c r="A266" s="1" t="s">
        <v>2346</v>
      </c>
      <c r="B266" s="309">
        <v>2018</v>
      </c>
      <c r="C266" s="309">
        <v>2019</v>
      </c>
      <c r="D266" s="309">
        <v>2020</v>
      </c>
      <c r="E266" s="309">
        <v>2021</v>
      </c>
      <c r="F266" s="309">
        <v>2022</v>
      </c>
      <c r="G266" s="309">
        <v>2023</v>
      </c>
      <c r="H266" s="309">
        <v>2024</v>
      </c>
      <c r="I266" s="309">
        <v>2025</v>
      </c>
      <c r="J266" s="309">
        <v>2026</v>
      </c>
      <c r="K266" s="309">
        <v>2027</v>
      </c>
      <c r="L266" s="309">
        <v>2028</v>
      </c>
    </row>
    <row r="267" spans="1:12">
      <c r="A267" s="306" t="s">
        <v>245</v>
      </c>
      <c r="B267" s="310">
        <v>0.44</v>
      </c>
      <c r="C267" s="310">
        <v>0.43</v>
      </c>
      <c r="D267" s="310">
        <v>0.44</v>
      </c>
      <c r="E267" s="310">
        <v>0.44</v>
      </c>
      <c r="F267" s="310">
        <v>0.43</v>
      </c>
      <c r="G267" s="310">
        <v>0.43</v>
      </c>
      <c r="H267" s="310">
        <v>0.43</v>
      </c>
      <c r="I267" s="310">
        <v>0.44</v>
      </c>
      <c r="J267" s="310">
        <v>0.45</v>
      </c>
      <c r="K267" s="310">
        <v>0.46</v>
      </c>
      <c r="L267" s="310">
        <v>0.47</v>
      </c>
    </row>
    <row r="270" spans="1:12" ht="15.75" thickBot="1">
      <c r="A270" s="306" t="s">
        <v>2347</v>
      </c>
      <c r="B270" s="305">
        <v>2018</v>
      </c>
      <c r="C270" s="305">
        <v>2019</v>
      </c>
      <c r="D270" s="305">
        <v>2020</v>
      </c>
      <c r="E270" s="305">
        <v>2021</v>
      </c>
      <c r="F270" s="305">
        <v>2022</v>
      </c>
      <c r="G270" s="305">
        <v>2023</v>
      </c>
      <c r="H270" s="305">
        <v>2024</v>
      </c>
      <c r="I270" s="305">
        <v>2025</v>
      </c>
      <c r="J270" s="305">
        <v>2026</v>
      </c>
      <c r="K270" s="305">
        <v>2027</v>
      </c>
      <c r="L270" s="305">
        <v>2028</v>
      </c>
    </row>
    <row r="271" spans="1:12">
      <c r="A271" s="306" t="s">
        <v>245</v>
      </c>
      <c r="B271" s="307">
        <v>19.600000000000001</v>
      </c>
      <c r="C271" s="307">
        <v>17.7</v>
      </c>
      <c r="D271" s="307">
        <v>20.100000000000001</v>
      </c>
      <c r="E271" s="307">
        <v>20.100000000000001</v>
      </c>
      <c r="F271" s="307">
        <v>20.7</v>
      </c>
      <c r="G271" s="307">
        <v>21</v>
      </c>
      <c r="H271" s="307">
        <v>22.1</v>
      </c>
      <c r="I271" s="307">
        <v>22.5</v>
      </c>
      <c r="J271" s="307">
        <v>23.2</v>
      </c>
      <c r="K271" s="307">
        <v>23.8</v>
      </c>
      <c r="L271" s="307">
        <v>24.2</v>
      </c>
    </row>
  </sheetData>
  <mergeCells count="4">
    <mergeCell ref="K126:K127"/>
    <mergeCell ref="K148:L148"/>
    <mergeCell ref="AV150:AY150"/>
    <mergeCell ref="AS150:AT150"/>
  </mergeCells>
  <phoneticPr fontId="33" type="noConversion"/>
  <hyperlinks>
    <hyperlink ref="I85" r:id="rId1" location=":~:text=Vietnam's%20smartphone%20shipments%20soared%20104,best%20ever%20show%20in%20Vietnam." xr:uid="{95C43FCB-D369-4BD0-A79C-7180D2C0AF80}"/>
    <hyperlink ref="G85" r:id="rId2" xr:uid="{1FF6F69A-EE9D-4528-A245-3F3D40805307}"/>
    <hyperlink ref="J85" r:id="rId3" xr:uid="{83DD5D7A-E632-4244-A510-B63E5A25E89E}"/>
    <hyperlink ref="N85" r:id="rId4" xr:uid="{FFC26A58-2A91-4D06-BF6B-7642F3837320}"/>
    <hyperlink ref="K85" r:id="rId5" xr:uid="{61533A10-F08B-46AD-ADC4-EE9DA5D32FCF}"/>
    <hyperlink ref="L85" r:id="rId6" xr:uid="{A16C43E6-F5F1-418A-89EB-A7C47B75DC30}"/>
    <hyperlink ref="A131" r:id="rId7" xr:uid="{978DEBD9-2AEB-4D36-ADE8-4C6795CBE8E4}"/>
    <hyperlink ref="M85" r:id="rId8" xr:uid="{5D3509C3-C105-42F3-BDE9-C5246D64B848}"/>
    <hyperlink ref="H85" r:id="rId9" xr:uid="{90B90732-DE9D-4FBE-926A-EC2523C898AE}"/>
    <hyperlink ref="O85" r:id="rId10" xr:uid="{F170D16B-659E-4CB6-8F0C-5F09383B6FF2}"/>
    <hyperlink ref="F85" r:id="rId11" xr:uid="{B1A78BB3-7103-471E-9D79-AFF503F64D59}"/>
    <hyperlink ref="E85" r:id="rId12" location=":~:text=Vietnam's%20smartphone%20shipments%20soared%20104,best%20ever%20show%20in%20Vietnam." xr:uid="{96E5F9F4-3CF0-4C9C-857B-B3DE250318C4}"/>
    <hyperlink ref="C85" r:id="rId13" xr:uid="{979D49E8-CDD5-4EA1-878F-190F1C9D998A}"/>
    <hyperlink ref="D85" r:id="rId14" xr:uid="{30BD2E54-27EC-49D0-B221-27074C9355BD}"/>
    <hyperlink ref="E177" r:id="rId15" xr:uid="{08B61793-1FB3-46B7-BF36-DE3FAAC6C138}"/>
    <hyperlink ref="C177" r:id="rId16" xr:uid="{7FDE37D1-DFC1-4AD9-9026-3AA55DD7123B}"/>
    <hyperlink ref="E187" r:id="rId17" xr:uid="{A00240E9-EA30-4CE9-BAB0-4D996FA0AFFE}"/>
    <hyperlink ref="C187" r:id="rId18" xr:uid="{F114FE68-8009-47A1-8A44-063EF2969E5D}"/>
    <hyperlink ref="B187" r:id="rId19" location="revenue" xr:uid="{8ABD9BD5-BC97-4BB3-B62E-4484989C1A47}"/>
    <hyperlink ref="H188" r:id="rId20" location=":~:text=In%202022%2C%20the%20penetration%20rate,increasing%20overall%20in%20South%20Korea." display="https://www.statista.com/statistics/749375/south-korea-laptop-computer-ownership-rate/ - :~:text=In%202022%2C%20the%20penetration%20rate,increasing%20overall%20in%20South%20Korea." xr:uid="{3C8B9456-E9DB-4A49-986D-F35182EBFEB5}"/>
  </hyperlinks>
  <pageMargins left="0.7" right="0.7" top="0.75" bottom="0.75" header="0.3" footer="0.3"/>
  <drawing r:id="rId21"/>
  <legacyDrawing r:id="rId22"/>
  <extLst>
    <ext xmlns:x14="http://schemas.microsoft.com/office/spreadsheetml/2009/9/main" uri="{05C60535-1F16-4fd2-B633-F4F36F0B64E0}">
      <x14:sparklineGroups xmlns:xm="http://schemas.microsoft.com/office/excel/2006/main">
        <x14:sparklineGroup displayEmptyCellsAs="gap" xr2:uid="{72C49327-86CF-4108-B884-54143CBAC342}">
          <x14:colorSeries rgb="FF376092"/>
          <x14:colorNegative rgb="FFD00000"/>
          <x14:colorAxis rgb="FF000000"/>
          <x14:colorMarkers rgb="FFD00000"/>
          <x14:colorFirst rgb="FFD00000"/>
          <x14:colorLast rgb="FFD00000"/>
          <x14:colorHigh rgb="FFD00000"/>
          <x14:colorLow rgb="FFD00000"/>
          <x14:sparklines>
            <x14:sparkline>
              <xm:f>'C. ICT Market'!U151:X151</xm:f>
              <xm:sqref>AS152</xm:sqref>
            </x14:sparkline>
            <x14:sparkline>
              <xm:f>'C. ICT Market'!U152:X152</xm:f>
              <xm:sqref>AS153</xm:sqref>
            </x14:sparkline>
            <x14:sparkline>
              <xm:f>'C. ICT Market'!U153:X153</xm:f>
              <xm:sqref>AS154</xm:sqref>
            </x14:sparkline>
            <x14:sparkline>
              <xm:f>'C. ICT Market'!U154:X154</xm:f>
              <xm:sqref>AS155</xm:sqref>
            </x14:sparkline>
            <x14:sparkline>
              <xm:f>'C. ICT Market'!U155:X155</xm:f>
              <xm:sqref>AS156</xm:sqref>
            </x14:sparkline>
            <x14:sparkline>
              <xm:f>'C. ICT Market'!U156:X156</xm:f>
              <xm:sqref>AS157</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3F796-23B0-4AB9-8B46-BC972A65EDD7}">
  <sheetPr>
    <tabColor theme="5" tint="0.39997558519241921"/>
  </sheetPr>
  <dimension ref="B2:N60"/>
  <sheetViews>
    <sheetView zoomScaleNormal="100" workbookViewId="0">
      <selection activeCell="O94" sqref="O94"/>
    </sheetView>
  </sheetViews>
  <sheetFormatPr defaultColWidth="9.140625" defaultRowHeight="15"/>
  <cols>
    <col min="1" max="1" width="3.42578125" style="1" customWidth="1"/>
    <col min="2" max="2" width="30.5703125" style="1" customWidth="1"/>
    <col min="3" max="3" width="19.85546875" style="258" customWidth="1"/>
    <col min="4" max="4" width="19.5703125" style="258" customWidth="1"/>
    <col min="5" max="5" width="15.85546875" style="258" customWidth="1"/>
    <col min="6" max="6" width="18.42578125" style="1" customWidth="1"/>
    <col min="7" max="7" width="20.42578125" style="231" bestFit="1" customWidth="1"/>
    <col min="8" max="8" width="16.5703125" style="1" bestFit="1" customWidth="1"/>
    <col min="9" max="9" width="15.42578125" style="1" bestFit="1" customWidth="1"/>
    <col min="10" max="10" width="16.5703125" style="1" bestFit="1" customWidth="1"/>
    <col min="11" max="11" width="18" style="1" bestFit="1" customWidth="1"/>
    <col min="12" max="12" width="16.140625" style="1" bestFit="1" customWidth="1"/>
    <col min="13" max="16384" width="9.140625" style="1"/>
  </cols>
  <sheetData>
    <row r="2" spans="2:10" ht="21">
      <c r="B2" s="317" t="s">
        <v>2348</v>
      </c>
      <c r="F2" s="258"/>
    </row>
    <row r="4" spans="2:10">
      <c r="B4" s="1" t="s">
        <v>2349</v>
      </c>
      <c r="J4" s="17"/>
    </row>
    <row r="6" spans="2:10">
      <c r="B6" s="218" t="s">
        <v>2350</v>
      </c>
      <c r="F6" s="316">
        <f>F15*F31/10^9</f>
        <v>13072.277943048495</v>
      </c>
      <c r="H6" s="17"/>
    </row>
    <row r="7" spans="2:10" ht="15.75" thickBot="1">
      <c r="B7" s="231" t="s">
        <v>2351</v>
      </c>
      <c r="F7" s="3">
        <v>24000</v>
      </c>
    </row>
    <row r="8" spans="2:10" ht="15.75" thickBot="1">
      <c r="B8" s="318" t="s">
        <v>2352</v>
      </c>
      <c r="C8" s="319"/>
      <c r="D8" s="319"/>
      <c r="E8" s="319"/>
      <c r="F8" s="320">
        <f>F6/F7</f>
        <v>0.54467824762702066</v>
      </c>
      <c r="G8" s="321" t="s">
        <v>2353</v>
      </c>
    </row>
    <row r="10" spans="2:10">
      <c r="B10" s="218" t="s">
        <v>2354</v>
      </c>
      <c r="C10" s="322"/>
      <c r="D10" s="322"/>
      <c r="E10" s="322"/>
      <c r="F10" s="316">
        <f>SUM([33]Employment!C19:E19)*1000</f>
        <v>16603700</v>
      </c>
      <c r="G10" s="231" t="s">
        <v>2355</v>
      </c>
    </row>
    <row r="11" spans="2:10">
      <c r="B11" s="16" t="s">
        <v>2356</v>
      </c>
      <c r="F11" s="323">
        <f>AVERAGE([33]Employment!T12:T16)-2%</f>
        <v>9.8144154237826728E-2</v>
      </c>
      <c r="G11" s="231" t="s">
        <v>2357</v>
      </c>
    </row>
    <row r="12" spans="2:10">
      <c r="B12" s="16" t="s">
        <v>2358</v>
      </c>
      <c r="F12" s="323">
        <v>0.1</v>
      </c>
      <c r="G12" s="231" t="s">
        <v>2359</v>
      </c>
    </row>
    <row r="13" spans="2:10">
      <c r="B13" s="218" t="s">
        <v>2360</v>
      </c>
      <c r="F13" s="324">
        <f>F10*(1-F12)*(1-F11)</f>
        <v>13476729.515653256</v>
      </c>
    </row>
    <row r="14" spans="2:10">
      <c r="B14" s="325" t="s">
        <v>2361</v>
      </c>
      <c r="C14" s="326"/>
      <c r="D14" s="326"/>
      <c r="E14" s="326"/>
      <c r="F14" s="327">
        <f>'[33]State &amp; FDI Enterprises'!$AN$19+0.1%</f>
        <v>1.9899990421173741E-2</v>
      </c>
      <c r="G14" s="231" t="s">
        <v>2362</v>
      </c>
    </row>
    <row r="15" spans="2:10">
      <c r="B15" s="328" t="s">
        <v>2363</v>
      </c>
      <c r="C15" s="329"/>
      <c r="D15" s="329"/>
      <c r="E15" s="329"/>
      <c r="F15" s="330">
        <f>F13*(1+F14)</f>
        <v>13744916.303923504</v>
      </c>
    </row>
    <row r="16" spans="2:10">
      <c r="B16" s="331"/>
      <c r="C16" s="332"/>
      <c r="D16" s="332"/>
      <c r="E16" s="333"/>
      <c r="F16" s="334"/>
    </row>
    <row r="17" spans="2:14">
      <c r="B17" s="332"/>
      <c r="C17" s="335" t="s">
        <v>2364</v>
      </c>
      <c r="D17" s="336"/>
      <c r="E17" s="337" t="s">
        <v>2365</v>
      </c>
      <c r="F17" s="338"/>
    </row>
    <row r="18" spans="2:14">
      <c r="B18" s="218" t="s">
        <v>2366</v>
      </c>
      <c r="C18" s="322" t="s">
        <v>2367</v>
      </c>
      <c r="D18" s="322" t="s">
        <v>2368</v>
      </c>
      <c r="E18" s="322" t="s">
        <v>2369</v>
      </c>
      <c r="F18" s="322" t="s">
        <v>2370</v>
      </c>
    </row>
    <row r="19" spans="2:14">
      <c r="B19" s="16" t="s">
        <v>2371</v>
      </c>
      <c r="C19" s="339">
        <f>1/2</f>
        <v>0.5</v>
      </c>
      <c r="D19" s="323">
        <f>[33]Employment!G19+[33]Employment!D19/[33]Employment!F19+1%</f>
        <v>0.30124833621421732</v>
      </c>
      <c r="E19" s="340">
        <v>200000</v>
      </c>
      <c r="F19" s="340">
        <f>PRODUCT(C19:E19)</f>
        <v>30124.833621421731</v>
      </c>
    </row>
    <row r="20" spans="2:14">
      <c r="B20" s="16" t="s">
        <v>2372</v>
      </c>
      <c r="C20" s="339">
        <v>1</v>
      </c>
      <c r="D20" s="323">
        <v>0.5</v>
      </c>
      <c r="E20" s="340">
        <v>100000</v>
      </c>
      <c r="F20" s="340">
        <f t="shared" ref="F20:F28" si="0">PRODUCT(C20:E20)</f>
        <v>50000</v>
      </c>
      <c r="H20" s="5"/>
    </row>
    <row r="21" spans="2:14">
      <c r="B21" s="16" t="s">
        <v>2373</v>
      </c>
      <c r="C21" s="339">
        <v>1</v>
      </c>
      <c r="D21" s="323">
        <v>0.5</v>
      </c>
      <c r="E21" s="340">
        <v>75000</v>
      </c>
      <c r="F21" s="340">
        <f t="shared" si="0"/>
        <v>37500</v>
      </c>
    </row>
    <row r="22" spans="2:14">
      <c r="B22" s="16" t="s">
        <v>2374</v>
      </c>
      <c r="C22" s="339">
        <v>240</v>
      </c>
      <c r="D22" s="323">
        <v>1</v>
      </c>
      <c r="E22" s="340">
        <f>40000/50</f>
        <v>800</v>
      </c>
      <c r="F22" s="340">
        <f t="shared" si="0"/>
        <v>192000</v>
      </c>
    </row>
    <row r="23" spans="2:14">
      <c r="B23" s="16" t="s">
        <v>2375</v>
      </c>
      <c r="C23" s="339">
        <v>0.5</v>
      </c>
      <c r="D23" s="323">
        <v>0.1</v>
      </c>
      <c r="E23" s="340">
        <v>400000</v>
      </c>
      <c r="F23" s="340">
        <f t="shared" si="0"/>
        <v>20000</v>
      </c>
    </row>
    <row r="24" spans="2:14">
      <c r="B24" s="16" t="s">
        <v>2376</v>
      </c>
      <c r="C24" s="339">
        <f>12/3</f>
        <v>4</v>
      </c>
      <c r="D24" s="323">
        <v>0.75</v>
      </c>
      <c r="E24" s="340">
        <v>75000</v>
      </c>
      <c r="F24" s="340">
        <f t="shared" si="0"/>
        <v>225000</v>
      </c>
    </row>
    <row r="25" spans="2:14">
      <c r="B25" s="16" t="s">
        <v>2377</v>
      </c>
      <c r="C25" s="339">
        <v>0.5</v>
      </c>
      <c r="D25" s="323">
        <v>0.75</v>
      </c>
      <c r="E25" s="340">
        <v>500000</v>
      </c>
      <c r="F25" s="340">
        <f t="shared" si="0"/>
        <v>187500</v>
      </c>
      <c r="N25" s="199"/>
    </row>
    <row r="26" spans="2:14">
      <c r="B26" s="16" t="s">
        <v>2378</v>
      </c>
      <c r="C26" s="339">
        <v>1</v>
      </c>
      <c r="D26" s="323">
        <v>1</v>
      </c>
      <c r="E26" s="340">
        <v>250000</v>
      </c>
      <c r="F26" s="340">
        <f t="shared" si="0"/>
        <v>250000</v>
      </c>
    </row>
    <row r="27" spans="2:14">
      <c r="B27" s="16" t="s">
        <v>2379</v>
      </c>
      <c r="C27" s="339">
        <v>0.5</v>
      </c>
      <c r="D27" s="323">
        <f>AVERAGE([33]Employment!G15:G19)+1%</f>
        <v>0.29741039244204309</v>
      </c>
      <c r="E27" s="340">
        <v>300000</v>
      </c>
      <c r="F27" s="340">
        <f t="shared" si="0"/>
        <v>44611.558866306463</v>
      </c>
    </row>
    <row r="28" spans="2:14">
      <c r="B28" s="16" t="s">
        <v>2380</v>
      </c>
      <c r="C28" s="339">
        <v>0.2</v>
      </c>
      <c r="D28" s="323">
        <v>0.1</v>
      </c>
      <c r="E28" s="340">
        <v>1000000</v>
      </c>
      <c r="F28" s="340">
        <f t="shared" si="0"/>
        <v>20000.000000000004</v>
      </c>
      <c r="G28" s="231" t="s">
        <v>2381</v>
      </c>
    </row>
    <row r="29" spans="2:14">
      <c r="B29" s="218" t="s">
        <v>2382</v>
      </c>
      <c r="C29" s="322"/>
      <c r="D29" s="322"/>
      <c r="E29" s="341"/>
      <c r="F29" s="342">
        <f>SUM(F19:F28)</f>
        <v>1056736.3924877283</v>
      </c>
    </row>
    <row r="30" spans="2:14">
      <c r="B30" s="16" t="s">
        <v>2383</v>
      </c>
      <c r="F30" s="323">
        <v>-0.1</v>
      </c>
      <c r="G30" s="343"/>
    </row>
    <row r="31" spans="2:14">
      <c r="B31" s="344" t="s">
        <v>2384</v>
      </c>
      <c r="C31" s="345"/>
      <c r="D31" s="345"/>
      <c r="E31" s="345"/>
      <c r="F31" s="346">
        <f>F29*(1+F30)</f>
        <v>951062.75323895551</v>
      </c>
    </row>
    <row r="33" spans="2:7">
      <c r="B33" s="347" t="s">
        <v>2385</v>
      </c>
    </row>
    <row r="34" spans="2:7">
      <c r="B34" s="16" t="s">
        <v>2386</v>
      </c>
      <c r="F34" s="3">
        <v>392305</v>
      </c>
    </row>
    <row r="35" spans="2:7">
      <c r="B35" s="16" t="s">
        <v>2387</v>
      </c>
      <c r="F35" s="3">
        <v>11994029</v>
      </c>
    </row>
    <row r="36" spans="2:7">
      <c r="B36" s="16" t="s">
        <v>2388</v>
      </c>
      <c r="F36" s="3">
        <v>1655339</v>
      </c>
    </row>
    <row r="37" spans="2:7">
      <c r="B37" s="218" t="s">
        <v>2389</v>
      </c>
      <c r="C37" s="322"/>
      <c r="D37" s="322"/>
      <c r="E37" s="322"/>
      <c r="F37" s="316">
        <f>SUM(F34:F36)</f>
        <v>14041673</v>
      </c>
    </row>
    <row r="38" spans="2:7">
      <c r="B38" s="231" t="s">
        <v>2390</v>
      </c>
      <c r="C38" s="322"/>
      <c r="D38" s="322"/>
      <c r="E38" s="322"/>
      <c r="F38" s="323">
        <f>('[33]State &amp; FDI Enterprises'!AW30/'[33]State &amp; FDI Enterprises'!AW28)-1</f>
        <v>0.31520634209091569</v>
      </c>
    </row>
    <row r="39" spans="2:7">
      <c r="B39" s="218" t="s">
        <v>2391</v>
      </c>
      <c r="C39" s="322"/>
      <c r="D39" s="322"/>
      <c r="E39" s="322"/>
      <c r="F39" s="316">
        <f>F37*(1+F38)</f>
        <v>18467697.383166775</v>
      </c>
    </row>
    <row r="40" spans="2:7">
      <c r="B40" s="348" t="s">
        <v>2392</v>
      </c>
      <c r="C40" s="349"/>
      <c r="D40" s="349"/>
      <c r="E40" s="349"/>
      <c r="F40" s="350">
        <f>F6/F39</f>
        <v>7.078455787868724E-4</v>
      </c>
      <c r="G40" s="231" t="s">
        <v>2393</v>
      </c>
    </row>
    <row r="42" spans="2:7">
      <c r="B42" s="347" t="s">
        <v>2394</v>
      </c>
    </row>
    <row r="43" spans="2:7">
      <c r="B43" s="1" t="s">
        <v>2395</v>
      </c>
      <c r="F43" s="4">
        <v>1</v>
      </c>
      <c r="G43" s="231" t="s">
        <v>2396</v>
      </c>
    </row>
    <row r="44" spans="2:7">
      <c r="B44" s="1" t="s">
        <v>2397</v>
      </c>
      <c r="F44" s="4">
        <f>F43*F7</f>
        <v>24000</v>
      </c>
      <c r="G44" s="351" t="s">
        <v>2398</v>
      </c>
    </row>
    <row r="45" spans="2:7">
      <c r="B45" s="1" t="s">
        <v>2399</v>
      </c>
      <c r="F45" s="3">
        <f>[33]Exports!AM7</f>
        <v>26265512.699999999</v>
      </c>
    </row>
    <row r="46" spans="2:7">
      <c r="B46" s="348" t="s">
        <v>2400</v>
      </c>
      <c r="C46" s="349"/>
      <c r="D46" s="349"/>
      <c r="E46" s="349"/>
      <c r="F46" s="352">
        <f>F44*10^9/F45</f>
        <v>913745.72711082094</v>
      </c>
      <c r="G46" s="321" t="s">
        <v>2401</v>
      </c>
    </row>
    <row r="48" spans="2:7">
      <c r="B48" s="353" t="s">
        <v>2402</v>
      </c>
    </row>
    <row r="49" spans="2:10">
      <c r="C49" s="335" t="s">
        <v>2403</v>
      </c>
      <c r="D49" s="335" t="s">
        <v>2404</v>
      </c>
    </row>
    <row r="50" spans="2:10">
      <c r="B50" s="218" t="s">
        <v>2405</v>
      </c>
      <c r="C50" s="322" t="s">
        <v>2406</v>
      </c>
      <c r="D50" s="322" t="s">
        <v>2407</v>
      </c>
      <c r="E50" s="322" t="s">
        <v>2408</v>
      </c>
      <c r="F50" s="322" t="s">
        <v>2395</v>
      </c>
    </row>
    <row r="51" spans="2:10">
      <c r="B51" s="60" t="s">
        <v>114</v>
      </c>
      <c r="C51" s="584">
        <f>F14</f>
        <v>1.9899990421173741E-2</v>
      </c>
      <c r="D51" s="585"/>
      <c r="F51" s="5">
        <f>F8</f>
        <v>0.54467824762702066</v>
      </c>
      <c r="H51" s="5"/>
    </row>
    <row r="52" spans="2:10">
      <c r="B52" s="60" t="str">
        <f>LEFT(B51,4)+1&amp;"E"</f>
        <v>2024E</v>
      </c>
      <c r="C52" s="584">
        <f>C51+1%</f>
        <v>2.9899990421173743E-2</v>
      </c>
      <c r="D52" s="584">
        <f t="array" ref="D52:D60">TRANSPOSE('C. S&amp;L'!I22:O22)</f>
        <v>3.6999999999999998E-2</v>
      </c>
      <c r="E52" s="354">
        <f>(1+C52)*(1+D52)-1</f>
        <v>6.8006290066757069E-2</v>
      </c>
      <c r="F52" s="5">
        <f>F51*(1+E52)</f>
        <v>0.58171979452819678</v>
      </c>
      <c r="H52" s="355"/>
      <c r="I52" s="5"/>
      <c r="J52" s="18"/>
    </row>
    <row r="53" spans="2:10">
      <c r="B53" s="60" t="str">
        <f>LEFT(B52,4)+1&amp;"E"</f>
        <v>2025E</v>
      </c>
      <c r="C53" s="584">
        <f>'[33]State &amp; FDI Enterprises'!$BI$15+1%</f>
        <v>4.4954677573761474E-2</v>
      </c>
      <c r="D53" s="584">
        <v>0.04</v>
      </c>
      <c r="E53" s="354">
        <f>(1+C53)*(1+D53)-1</f>
        <v>8.6752864676711949E-2</v>
      </c>
      <c r="F53" s="5">
        <f t="shared" ref="F53:F60" si="1">F52*(1+E53)</f>
        <v>0.63218565314266606</v>
      </c>
      <c r="H53" s="355"/>
      <c r="I53" s="5"/>
      <c r="J53" s="18"/>
    </row>
    <row r="54" spans="2:10">
      <c r="B54" s="60" t="str">
        <f>LEFT(B53,4)+1&amp;"E"</f>
        <v>2026E</v>
      </c>
      <c r="C54" s="584">
        <f>C53+0.5%</f>
        <v>4.9954677573761472E-2</v>
      </c>
      <c r="D54" s="584">
        <v>3.8333333333333337E-2</v>
      </c>
      <c r="E54" s="354">
        <f>(1+C54)*(1+D54)-1</f>
        <v>9.0202940214088922E-2</v>
      </c>
      <c r="F54" s="5">
        <f t="shared" si="1"/>
        <v>0.68921065781729873</v>
      </c>
      <c r="H54" s="355"/>
      <c r="I54" s="5"/>
      <c r="J54" s="18"/>
    </row>
    <row r="55" spans="2:10">
      <c r="B55" s="60" t="str">
        <f>LEFT(B54,4)+1&amp;"E"</f>
        <v>2027E</v>
      </c>
      <c r="C55" s="584">
        <f>C54+0.5%</f>
        <v>5.4954677573761469E-2</v>
      </c>
      <c r="D55" s="584">
        <v>3.6666666666666674E-2</v>
      </c>
      <c r="E55" s="354">
        <f t="shared" ref="E55:E60" si="2">(1+C55)*(1+D55)-1</f>
        <v>9.3636349084799342E-2</v>
      </c>
      <c r="F55" s="5">
        <f t="shared" si="1"/>
        <v>0.75374582756564346</v>
      </c>
      <c r="H55" s="355"/>
      <c r="I55" s="5"/>
      <c r="J55" s="18"/>
    </row>
    <row r="56" spans="2:10">
      <c r="B56" s="60" t="str">
        <f>LEFT(B55,4)+1&amp;"E"</f>
        <v>2028E</v>
      </c>
      <c r="C56" s="584">
        <f>C55</f>
        <v>5.4954677573761469E-2</v>
      </c>
      <c r="D56" s="584">
        <v>3.5000000000000003E-2</v>
      </c>
      <c r="E56" s="354">
        <f t="shared" si="2"/>
        <v>9.1878091288843056E-2</v>
      </c>
      <c r="F56" s="5">
        <f t="shared" si="1"/>
        <v>0.82299855551930423</v>
      </c>
      <c r="G56" s="327"/>
      <c r="H56" s="355"/>
      <c r="I56" s="5"/>
      <c r="J56" s="18"/>
    </row>
    <row r="57" spans="2:10">
      <c r="B57" s="1" t="s">
        <v>116</v>
      </c>
      <c r="C57" s="584">
        <f>C56</f>
        <v>5.4954677573761469E-2</v>
      </c>
      <c r="D57" s="584">
        <v>0</v>
      </c>
      <c r="E57" s="354">
        <f t="shared" si="2"/>
        <v>5.495467757376149E-2</v>
      </c>
      <c r="F57" s="5">
        <f>F56*(1+E57)</f>
        <v>0.86822617578153904</v>
      </c>
    </row>
    <row r="58" spans="2:10">
      <c r="B58" s="1" t="s">
        <v>117</v>
      </c>
      <c r="C58" s="584">
        <f>C57*0.95</f>
        <v>5.2206943695073393E-2</v>
      </c>
      <c r="D58" s="584" t="str">
        <v/>
      </c>
      <c r="E58" s="354" t="e">
        <f t="shared" si="2"/>
        <v>#VALUE!</v>
      </c>
      <c r="F58" s="5" t="e">
        <f>F57*(1+E58)</f>
        <v>#VALUE!</v>
      </c>
    </row>
    <row r="59" spans="2:10">
      <c r="B59" s="1" t="s">
        <v>118</v>
      </c>
      <c r="C59" s="584">
        <f>C58*0.95</f>
        <v>4.9596596510319724E-2</v>
      </c>
      <c r="D59" s="584" t="e">
        <v>#N/A</v>
      </c>
      <c r="E59" s="354" t="e">
        <f t="shared" si="2"/>
        <v>#N/A</v>
      </c>
      <c r="F59" s="5" t="e">
        <f>F58*(1+E59)</f>
        <v>#VALUE!</v>
      </c>
    </row>
    <row r="60" spans="2:10">
      <c r="B60" s="1" t="s">
        <v>119</v>
      </c>
      <c r="C60" s="584">
        <f>C59*0.95</f>
        <v>4.7116766684803732E-2</v>
      </c>
      <c r="D60" s="584" t="e">
        <v>#N/A</v>
      </c>
      <c r="E60" s="354" t="e">
        <f t="shared" si="2"/>
        <v>#N/A</v>
      </c>
      <c r="F60" s="5" t="e">
        <f t="shared" si="1"/>
        <v>#VALUE!</v>
      </c>
    </row>
  </sheetData>
  <hyperlinks>
    <hyperlink ref="G44" r:id="rId1" location=":~:text=b.-,The%20Southeast%20Asia%20personal%20protective%20equipment%20market%20size%20was%20estimated,USD%204.43%20billion%20in%202023." xr:uid="{29E8E97E-56AA-47E8-B53B-EF377042FFC0}"/>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264D4-7982-4603-9B8A-4BC79462999F}">
  <dimension ref="A6:AU755"/>
  <sheetViews>
    <sheetView topLeftCell="AF1" zoomScale="111" zoomScaleNormal="70" workbookViewId="0">
      <selection activeCell="AU16" sqref="AU16"/>
    </sheetView>
  </sheetViews>
  <sheetFormatPr defaultColWidth="8.85546875" defaultRowHeight="15"/>
  <cols>
    <col min="1" max="2" width="8.85546875" style="43"/>
    <col min="3" max="3" width="8.85546875" style="43" customWidth="1"/>
    <col min="4" max="4" width="18.42578125" style="42" customWidth="1"/>
    <col min="5" max="5" width="8.85546875" style="43"/>
    <col min="6" max="6" width="153.42578125" style="42" customWidth="1"/>
    <col min="7" max="8" width="8" style="43" bestFit="1" customWidth="1"/>
    <col min="9" max="9" width="8.5703125" style="43" bestFit="1" customWidth="1"/>
    <col min="10" max="10" width="22.140625" style="43" bestFit="1" customWidth="1"/>
    <col min="11" max="11" width="10.140625" style="43" bestFit="1" customWidth="1"/>
    <col min="12" max="12" width="38.42578125" style="43" bestFit="1" customWidth="1"/>
    <col min="13" max="26" width="8.42578125" style="43" customWidth="1"/>
    <col min="27" max="37" width="8.85546875" style="43"/>
    <col min="38" max="38" width="12.5703125" style="43" customWidth="1"/>
    <col min="39" max="42" width="25.5703125" style="43" customWidth="1"/>
    <col min="43" max="43" width="16.5703125" style="43" customWidth="1"/>
    <col min="44" max="16384" width="8.85546875" style="43"/>
  </cols>
  <sheetData>
    <row r="6" spans="32:47">
      <c r="AF6" s="154"/>
      <c r="AG6" s="154"/>
      <c r="AH6" s="154"/>
      <c r="AI6" s="154"/>
      <c r="AJ6" s="154"/>
      <c r="AK6" s="154"/>
      <c r="AU6" s="43" t="s">
        <v>2409</v>
      </c>
    </row>
    <row r="7" spans="32:47">
      <c r="AF7" s="154"/>
      <c r="AG7" s="154"/>
      <c r="AH7" s="154"/>
      <c r="AI7" s="154"/>
      <c r="AJ7" s="154"/>
      <c r="AK7" s="154"/>
      <c r="AU7" s="90" t="s">
        <v>2410</v>
      </c>
    </row>
    <row r="8" spans="32:47">
      <c r="AF8" s="154"/>
      <c r="AG8" s="156" t="s">
        <v>2411</v>
      </c>
      <c r="AH8" s="154"/>
      <c r="AI8" s="154"/>
      <c r="AJ8" s="154"/>
      <c r="AK8" s="154"/>
      <c r="AU8" s="408" t="s">
        <v>2412</v>
      </c>
    </row>
    <row r="9" spans="32:47">
      <c r="AF9" s="154"/>
      <c r="AG9" s="154"/>
      <c r="AH9" s="522" t="s">
        <v>2413</v>
      </c>
      <c r="AI9" s="154"/>
      <c r="AJ9" s="154"/>
      <c r="AK9" s="154"/>
      <c r="AU9" s="458" t="s">
        <v>2414</v>
      </c>
    </row>
    <row r="10" spans="32:47">
      <c r="AF10" s="154"/>
      <c r="AG10" s="154"/>
      <c r="AH10" s="154" t="s">
        <v>2415</v>
      </c>
      <c r="AI10" s="154"/>
      <c r="AJ10" s="154"/>
      <c r="AK10" s="154"/>
      <c r="AU10" s="416" t="s">
        <v>2416</v>
      </c>
    </row>
    <row r="11" spans="32:47">
      <c r="AF11" s="154"/>
      <c r="AG11" s="154"/>
      <c r="AH11" s="154" t="s">
        <v>2417</v>
      </c>
      <c r="AI11" s="154"/>
      <c r="AJ11" s="154"/>
      <c r="AK11" s="154"/>
      <c r="AU11" s="43" t="s">
        <v>2418</v>
      </c>
    </row>
    <row r="12" spans="32:47">
      <c r="AF12" s="154"/>
      <c r="AG12" s="154"/>
      <c r="AH12" s="154"/>
      <c r="AI12" s="154"/>
      <c r="AJ12" s="154"/>
      <c r="AK12" s="154"/>
      <c r="AU12" s="90" t="s">
        <v>2419</v>
      </c>
    </row>
    <row r="13" spans="32:47">
      <c r="AF13" s="154"/>
      <c r="AG13" s="154"/>
      <c r="AH13" s="154"/>
      <c r="AI13" s="154"/>
      <c r="AJ13" s="154"/>
      <c r="AK13" s="154"/>
      <c r="AU13" s="90" t="s">
        <v>2420</v>
      </c>
    </row>
    <row r="14" spans="32:47">
      <c r="AF14" s="154"/>
      <c r="AG14" s="154"/>
      <c r="AH14" s="522" t="s">
        <v>2421</v>
      </c>
      <c r="AI14" s="154"/>
      <c r="AJ14" s="154"/>
      <c r="AK14" s="154"/>
      <c r="AU14" s="90" t="s">
        <v>2422</v>
      </c>
    </row>
    <row r="15" spans="32:47">
      <c r="AF15" s="154"/>
      <c r="AG15" s="154"/>
      <c r="AH15" s="154"/>
      <c r="AI15" s="154"/>
      <c r="AJ15" s="154"/>
      <c r="AK15" s="154"/>
      <c r="AU15" s="43" t="s">
        <v>2423</v>
      </c>
    </row>
    <row r="16" spans="32:47">
      <c r="AF16" s="154"/>
      <c r="AG16" s="154"/>
      <c r="AH16" s="154"/>
      <c r="AI16" s="154"/>
      <c r="AJ16" s="154"/>
      <c r="AK16" s="154"/>
    </row>
    <row r="17" spans="32:37">
      <c r="AF17" s="154"/>
      <c r="AG17" s="154"/>
      <c r="AH17" s="522" t="s">
        <v>2424</v>
      </c>
      <c r="AI17" s="154" t="s">
        <v>2425</v>
      </c>
      <c r="AJ17" s="154"/>
      <c r="AK17" s="154"/>
    </row>
    <row r="18" spans="32:37">
      <c r="AF18" s="154"/>
      <c r="AG18" s="154"/>
      <c r="AH18" s="154"/>
      <c r="AI18" s="154"/>
      <c r="AJ18" s="154"/>
      <c r="AK18" s="154"/>
    </row>
    <row r="19" spans="32:37">
      <c r="AF19" s="154"/>
      <c r="AG19" s="154"/>
      <c r="AH19" s="522" t="s">
        <v>2426</v>
      </c>
      <c r="AI19" s="154"/>
      <c r="AJ19" s="154"/>
      <c r="AK19" s="154"/>
    </row>
    <row r="20" spans="32:37">
      <c r="AH20" s="154" t="s">
        <v>2427</v>
      </c>
      <c r="AI20" s="154"/>
      <c r="AJ20" s="154"/>
      <c r="AK20" s="154"/>
    </row>
    <row r="21" spans="32:37">
      <c r="AH21" s="154" t="s">
        <v>2428</v>
      </c>
      <c r="AI21" s="154"/>
    </row>
    <row r="22" spans="32:37">
      <c r="AH22" s="154" t="s">
        <v>2429</v>
      </c>
      <c r="AI22" s="154"/>
    </row>
    <row r="23" spans="32:37">
      <c r="AH23" s="154"/>
      <c r="AI23" s="154"/>
    </row>
    <row r="24" spans="32:37">
      <c r="AH24" s="522" t="s">
        <v>2430</v>
      </c>
      <c r="AI24" s="154"/>
    </row>
    <row r="25" spans="32:37">
      <c r="AH25" s="154" t="s">
        <v>2431</v>
      </c>
      <c r="AI25" s="154"/>
    </row>
    <row r="38" spans="17:17">
      <c r="Q38" s="43" t="s">
        <v>2432</v>
      </c>
    </row>
    <row r="47" spans="17:17">
      <c r="Q47" s="43" t="s">
        <v>2433</v>
      </c>
    </row>
    <row r="77" spans="15:15">
      <c r="O77" s="43">
        <v>3</v>
      </c>
    </row>
    <row r="108" spans="19:19">
      <c r="S108" s="525" t="s">
        <v>2434</v>
      </c>
    </row>
    <row r="195" spans="21:21">
      <c r="U195" s="43" t="s">
        <v>2435</v>
      </c>
    </row>
    <row r="239" spans="21:21">
      <c r="U239" s="43" t="s">
        <v>2436</v>
      </c>
    </row>
    <row r="270" spans="20:20">
      <c r="T270" s="43" t="s">
        <v>2437</v>
      </c>
    </row>
    <row r="273" spans="34:36">
      <c r="AH273" s="43" t="s">
        <v>2438</v>
      </c>
    </row>
    <row r="275" spans="34:36">
      <c r="AJ275" s="43" t="s">
        <v>2439</v>
      </c>
    </row>
    <row r="277" spans="34:36">
      <c r="AJ277" s="43" t="s">
        <v>2440</v>
      </c>
    </row>
    <row r="372" spans="28:28">
      <c r="AB372" s="43" t="s">
        <v>2441</v>
      </c>
    </row>
    <row r="428" spans="22:22">
      <c r="V428" s="525" t="s">
        <v>2442</v>
      </c>
    </row>
    <row r="517" spans="28:28">
      <c r="AB517" s="525" t="s">
        <v>2443</v>
      </c>
    </row>
    <row r="547" spans="4:9" ht="30">
      <c r="D547" s="89" t="s">
        <v>2444</v>
      </c>
      <c r="E547" s="90"/>
      <c r="F547" s="91">
        <v>2861.1814000000004</v>
      </c>
      <c r="G547" s="90">
        <v>3463.9</v>
      </c>
      <c r="H547" s="90">
        <v>6420.2</v>
      </c>
      <c r="I547" s="92">
        <v>6502.45</v>
      </c>
    </row>
    <row r="548" spans="4:9">
      <c r="D548" s="93" t="s">
        <v>724</v>
      </c>
      <c r="E548" s="94" t="str">
        <f>IFERROR(E547/D547-1,"")</f>
        <v/>
      </c>
      <c r="F548" s="95" t="str">
        <f>IFERROR(F547/E547-1,"")</f>
        <v/>
      </c>
      <c r="G548" s="94">
        <f>IFERROR(G547/F547-1,"")</f>
        <v>0.21065375302663414</v>
      </c>
      <c r="H548" s="94">
        <f>IFERROR(H547/G547-1,"")</f>
        <v>0.85345997286295794</v>
      </c>
      <c r="I548" s="94">
        <f>IFERROR(I547/H547-1,"")</f>
        <v>1.2811127379209308E-2</v>
      </c>
    </row>
    <row r="549" spans="4:9" ht="30">
      <c r="D549" s="89" t="s">
        <v>2445</v>
      </c>
      <c r="E549" s="90"/>
      <c r="F549" s="91">
        <v>12051.27</v>
      </c>
      <c r="G549" s="90">
        <v>12173</v>
      </c>
      <c r="H549" s="90">
        <v>20287.55</v>
      </c>
      <c r="I549" s="92">
        <v>22075.899999999998</v>
      </c>
    </row>
    <row r="550" spans="4:9">
      <c r="D550" s="93" t="s">
        <v>724</v>
      </c>
      <c r="E550" s="94" t="str">
        <f>IFERROR(E549/D549-1,"")</f>
        <v/>
      </c>
      <c r="F550" s="95" t="str">
        <f>IFERROR(F549/E549-1,"")</f>
        <v/>
      </c>
      <c r="G550" s="94">
        <f>IFERROR(G549/F549-1,"")</f>
        <v>1.0101010101010166E-2</v>
      </c>
      <c r="H550" s="94">
        <f>IFERROR(H549/G549-1,"")</f>
        <v>0.6666023166023165</v>
      </c>
      <c r="I550" s="94">
        <f>IFERROR(I549/H549-1,"")</f>
        <v>8.8150121626317635E-2</v>
      </c>
    </row>
    <row r="551" spans="4:9" ht="45">
      <c r="D551" s="89" t="s">
        <v>2446</v>
      </c>
      <c r="E551" s="90"/>
      <c r="F551" s="91">
        <v>45964.473961627664</v>
      </c>
      <c r="G551" s="90">
        <v>43601.9</v>
      </c>
      <c r="H551" s="90">
        <v>74471.5</v>
      </c>
      <c r="I551" s="92">
        <v>82261.75</v>
      </c>
    </row>
    <row r="552" spans="4:9">
      <c r="D552" s="93" t="s">
        <v>724</v>
      </c>
      <c r="E552" s="94" t="str">
        <f>IFERROR(E551/D551-1,"")</f>
        <v/>
      </c>
      <c r="F552" s="95" t="str">
        <f>IFERROR(F551/E551-1,"")</f>
        <v/>
      </c>
      <c r="G552" s="94">
        <f>IFERROR(G551/F551-1,"")</f>
        <v>-5.1400000000000001E-2</v>
      </c>
      <c r="H552" s="94">
        <f>IFERROR(H551/G551-1,"")</f>
        <v>0.70798749595774479</v>
      </c>
      <c r="I552" s="94">
        <f>IFERROR(I551/H551-1,"")</f>
        <v>0.10460713158725143</v>
      </c>
    </row>
    <row r="553" spans="4:9">
      <c r="D553" s="96"/>
      <c r="E553" s="97"/>
      <c r="F553" s="98"/>
      <c r="G553" s="97"/>
      <c r="H553" s="97"/>
      <c r="I553" s="99"/>
    </row>
    <row r="554" spans="4:9" ht="30">
      <c r="D554" s="96" t="s">
        <v>2447</v>
      </c>
      <c r="E554" s="100"/>
      <c r="F554" s="101">
        <f>'C. S&amp;L'!D63/F547</f>
        <v>1.2931721141483723</v>
      </c>
      <c r="G554" s="102">
        <f>'C. S&amp;L'!E63/G547</f>
        <v>1.5589364589047028</v>
      </c>
      <c r="H554" s="102">
        <f>'C. S&amp;L'!F63/H547</f>
        <v>1.1214603906420362</v>
      </c>
      <c r="I554" s="102">
        <f>'C. S&amp;L'!G63/I547</f>
        <v>1.3264231174403494</v>
      </c>
    </row>
    <row r="562" spans="25:25">
      <c r="Y562" s="43" t="s">
        <v>2448</v>
      </c>
    </row>
    <row r="601" spans="6:6">
      <c r="F601" s="42" t="s">
        <v>2449</v>
      </c>
    </row>
    <row r="602" spans="6:6">
      <c r="F602" s="42" t="s">
        <v>2450</v>
      </c>
    </row>
    <row r="603" spans="6:6">
      <c r="F603" s="42" t="s">
        <v>2451</v>
      </c>
    </row>
    <row r="604" spans="6:6">
      <c r="F604" s="42" t="s">
        <v>2452</v>
      </c>
    </row>
    <row r="613" spans="4:7">
      <c r="D613" s="42" t="s">
        <v>2453</v>
      </c>
    </row>
    <row r="614" spans="4:7">
      <c r="D614" s="524" t="s">
        <v>64</v>
      </c>
    </row>
    <row r="615" spans="4:7" ht="30">
      <c r="D615" s="43"/>
      <c r="E615" s="43">
        <v>12.2021</v>
      </c>
      <c r="F615" s="42" t="s">
        <v>2454</v>
      </c>
    </row>
    <row r="616" spans="4:7" ht="45">
      <c r="E616" s="43">
        <v>9.2022999999999993</v>
      </c>
      <c r="F616" s="42" t="s">
        <v>2455</v>
      </c>
    </row>
    <row r="617" spans="4:7" ht="120">
      <c r="E617" s="43">
        <v>2019</v>
      </c>
      <c r="F617" s="42" t="s">
        <v>2456</v>
      </c>
    </row>
    <row r="618" spans="4:7" ht="30">
      <c r="F618" s="42" t="s">
        <v>2457</v>
      </c>
    </row>
    <row r="619" spans="4:7">
      <c r="F619" s="42" t="s">
        <v>2458</v>
      </c>
    </row>
    <row r="622" spans="4:7">
      <c r="D622" s="42" t="s">
        <v>825</v>
      </c>
      <c r="E622" s="43">
        <v>9.2022999999999993</v>
      </c>
      <c r="F622" s="42" t="s">
        <v>2459</v>
      </c>
      <c r="G622" s="525" t="s">
        <v>2460</v>
      </c>
    </row>
    <row r="623" spans="4:7" ht="30">
      <c r="F623" s="42" t="s">
        <v>2461</v>
      </c>
    </row>
    <row r="630" spans="4:7">
      <c r="D630" s="42" t="s">
        <v>102</v>
      </c>
      <c r="E630" s="43">
        <v>5.2022000000000004</v>
      </c>
      <c r="F630" s="42" t="s">
        <v>2462</v>
      </c>
    </row>
    <row r="631" spans="4:7" ht="120">
      <c r="E631" s="43">
        <v>2020</v>
      </c>
      <c r="F631" s="42" t="s">
        <v>2463</v>
      </c>
    </row>
    <row r="632" spans="4:7">
      <c r="F632" s="42" t="s">
        <v>2452</v>
      </c>
    </row>
    <row r="636" spans="4:7">
      <c r="D636" s="42" t="s">
        <v>69</v>
      </c>
    </row>
    <row r="637" spans="4:7" ht="153.75" customHeight="1">
      <c r="D637" s="42" t="s">
        <v>2464</v>
      </c>
      <c r="E637" s="526">
        <v>44287</v>
      </c>
      <c r="F637" s="527" t="s">
        <v>2465</v>
      </c>
      <c r="G637" s="525" t="s">
        <v>2266</v>
      </c>
    </row>
    <row r="638" spans="4:7" ht="60">
      <c r="F638" s="42" t="s">
        <v>2466</v>
      </c>
    </row>
    <row r="639" spans="4:7">
      <c r="E639" s="43">
        <v>12.2021</v>
      </c>
      <c r="F639" s="528" t="s">
        <v>2467</v>
      </c>
    </row>
    <row r="640" spans="4:7">
      <c r="E640" s="43">
        <v>5.2022000000000004</v>
      </c>
      <c r="F640" s="42" t="s">
        <v>2468</v>
      </c>
    </row>
    <row r="642" spans="4:7">
      <c r="D642" s="42" t="s">
        <v>2469</v>
      </c>
      <c r="E642" s="42" t="s">
        <v>2470</v>
      </c>
      <c r="F642" s="42" t="s">
        <v>2471</v>
      </c>
      <c r="G642" s="525" t="s">
        <v>2266</v>
      </c>
    </row>
    <row r="647" spans="4:7">
      <c r="D647" s="42" t="s">
        <v>2472</v>
      </c>
      <c r="E647" s="43">
        <v>12.2021</v>
      </c>
      <c r="F647" s="42" t="s">
        <v>2473</v>
      </c>
      <c r="G647" s="525" t="s">
        <v>2266</v>
      </c>
    </row>
    <row r="648" spans="4:7" ht="60">
      <c r="E648" s="43">
        <v>3.2021000000000002</v>
      </c>
      <c r="F648" s="42" t="s">
        <v>2474</v>
      </c>
    </row>
    <row r="650" spans="4:7" ht="150">
      <c r="E650" s="43">
        <v>9.2022999999999993</v>
      </c>
      <c r="F650" s="42" t="s">
        <v>2475</v>
      </c>
    </row>
    <row r="651" spans="4:7" ht="45">
      <c r="E651" s="43">
        <v>8.2022999999999993</v>
      </c>
      <c r="F651" s="42" t="s">
        <v>2476</v>
      </c>
    </row>
    <row r="652" spans="4:7">
      <c r="E652" s="43">
        <v>8.2022999999999993</v>
      </c>
      <c r="F652" s="42" t="s">
        <v>2477</v>
      </c>
      <c r="G652" s="525" t="s">
        <v>2460</v>
      </c>
    </row>
    <row r="653" spans="4:7" ht="135">
      <c r="E653" s="43">
        <v>10.202199999999999</v>
      </c>
      <c r="F653" s="42" t="s">
        <v>2478</v>
      </c>
      <c r="G653" s="525" t="s">
        <v>2266</v>
      </c>
    </row>
    <row r="654" spans="4:7" ht="30">
      <c r="D654" s="42" t="s">
        <v>2479</v>
      </c>
      <c r="E654" s="43">
        <v>5.2022000000000004</v>
      </c>
      <c r="F654" s="42" t="s">
        <v>2480</v>
      </c>
    </row>
    <row r="658" spans="1:11" ht="30">
      <c r="D658" s="42" t="s">
        <v>2481</v>
      </c>
      <c r="E658" s="43">
        <v>12.202199999999999</v>
      </c>
      <c r="F658" s="42" t="s">
        <v>2482</v>
      </c>
    </row>
    <row r="659" spans="1:11">
      <c r="F659" s="42" t="s">
        <v>2483</v>
      </c>
    </row>
    <row r="660" spans="1:11">
      <c r="F660" s="42" t="s">
        <v>2484</v>
      </c>
    </row>
    <row r="661" spans="1:11" ht="90">
      <c r="F661" s="42" t="s">
        <v>2485</v>
      </c>
    </row>
    <row r="669" spans="1:11">
      <c r="I669" s="1"/>
      <c r="J669" s="1"/>
      <c r="K669" s="1"/>
    </row>
    <row r="670" spans="1:11">
      <c r="I670" s="1"/>
    </row>
    <row r="671" spans="1:11">
      <c r="I671" s="1"/>
    </row>
    <row r="672" spans="1:11">
      <c r="A672" s="1"/>
      <c r="B672" s="1"/>
      <c r="C672" s="1"/>
      <c r="D672" s="1"/>
      <c r="E672" s="1"/>
      <c r="F672" s="1"/>
      <c r="G672" s="1"/>
      <c r="H672" s="1"/>
      <c r="I672" s="1"/>
    </row>
    <row r="673" spans="1:29">
      <c r="A673" s="1"/>
      <c r="B673" s="1"/>
      <c r="C673" s="1"/>
      <c r="D673" s="1"/>
      <c r="E673" s="1"/>
      <c r="F673" s="1"/>
      <c r="G673" s="1"/>
      <c r="H673" s="1"/>
      <c r="I673" s="1"/>
    </row>
    <row r="674" spans="1:29">
      <c r="A674" s="1"/>
      <c r="I674" s="1"/>
    </row>
    <row r="675" spans="1:29">
      <c r="A675" s="1"/>
      <c r="I675" s="1"/>
      <c r="J675" s="529"/>
      <c r="K675" s="1"/>
    </row>
    <row r="676" spans="1:29">
      <c r="A676" s="1"/>
      <c r="I676" s="1"/>
      <c r="J676" s="529"/>
      <c r="K676" s="1"/>
    </row>
    <row r="677" spans="1:29">
      <c r="A677" s="1"/>
      <c r="I677" s="1"/>
      <c r="J677" s="529"/>
      <c r="K677" s="1"/>
      <c r="Z677" s="1"/>
      <c r="AA677" s="1"/>
      <c r="AB677" s="1"/>
      <c r="AC677" s="1"/>
    </row>
    <row r="678" spans="1:29">
      <c r="A678" s="1"/>
      <c r="I678" s="1"/>
      <c r="J678" s="529"/>
      <c r="K678" s="1"/>
      <c r="Z678" s="1"/>
      <c r="AA678" s="1"/>
      <c r="AB678" s="1"/>
      <c r="AC678" s="1"/>
    </row>
    <row r="679" spans="1:29">
      <c r="A679" s="1"/>
      <c r="I679" s="1"/>
      <c r="J679" s="529"/>
      <c r="K679" s="1"/>
      <c r="Z679" s="1"/>
      <c r="AA679" s="1"/>
      <c r="AB679" s="1"/>
      <c r="AC679" s="1"/>
    </row>
    <row r="680" spans="1:29">
      <c r="A680" s="1"/>
      <c r="I680" s="1"/>
      <c r="J680" s="529"/>
      <c r="K680" s="1"/>
      <c r="Z680" s="1"/>
    </row>
    <row r="681" spans="1:29">
      <c r="A681" s="1"/>
      <c r="I681" s="1"/>
      <c r="J681" s="529"/>
      <c r="K681" s="1"/>
    </row>
    <row r="682" spans="1:29">
      <c r="A682" s="1"/>
      <c r="I682" s="1"/>
      <c r="J682" s="529"/>
      <c r="K682" s="1"/>
    </row>
    <row r="683" spans="1:29">
      <c r="A683" s="1"/>
      <c r="I683" s="1"/>
      <c r="J683" s="529"/>
      <c r="K683" s="1"/>
    </row>
    <row r="684" spans="1:29">
      <c r="A684" s="1"/>
      <c r="I684" s="1"/>
      <c r="J684" s="529"/>
      <c r="K684" s="1"/>
    </row>
    <row r="685" spans="1:29">
      <c r="A685" s="1"/>
      <c r="I685" s="1"/>
      <c r="J685" s="529"/>
      <c r="K685" s="1"/>
    </row>
    <row r="686" spans="1:29">
      <c r="A686" s="1"/>
      <c r="I686" s="1"/>
      <c r="J686" s="529"/>
      <c r="K686" s="1"/>
    </row>
    <row r="687" spans="1:29">
      <c r="A687" s="1"/>
      <c r="I687" s="1"/>
      <c r="J687" s="529"/>
      <c r="K687" s="1"/>
    </row>
    <row r="688" spans="1:29">
      <c r="A688" s="1"/>
      <c r="I688" s="1"/>
      <c r="J688" s="529"/>
      <c r="K688" s="1"/>
      <c r="AA688" s="1"/>
      <c r="AB688" s="1"/>
      <c r="AC688" s="1"/>
    </row>
    <row r="689" spans="1:29">
      <c r="A689" s="1"/>
      <c r="I689" s="1"/>
      <c r="J689" s="529"/>
      <c r="K689" s="1"/>
      <c r="AA689" s="1"/>
      <c r="AB689" s="1"/>
      <c r="AC689" s="1"/>
    </row>
    <row r="690" spans="1:29">
      <c r="A690" s="1"/>
      <c r="I690" s="1"/>
      <c r="J690" s="529"/>
      <c r="K690" s="1"/>
      <c r="AA690" s="1"/>
      <c r="AB690" s="1"/>
      <c r="AC690" s="1"/>
    </row>
    <row r="691" spans="1:29">
      <c r="A691" s="1"/>
      <c r="I691" s="1"/>
      <c r="J691" s="529"/>
      <c r="K691" s="1"/>
      <c r="AA691" s="1"/>
      <c r="AB691" s="1"/>
      <c r="AC691" s="1"/>
    </row>
    <row r="692" spans="1:29">
      <c r="A692" s="1"/>
      <c r="I692" s="1"/>
      <c r="J692" s="529"/>
      <c r="K692" s="1"/>
      <c r="AA692" s="1"/>
      <c r="AB692" s="1"/>
      <c r="AC692" s="1"/>
    </row>
    <row r="693" spans="1:29">
      <c r="A693" s="1"/>
      <c r="I693" s="1"/>
      <c r="J693" s="529"/>
      <c r="K693" s="1"/>
      <c r="AA693" s="1"/>
      <c r="AB693" s="1"/>
      <c r="AC693" s="1"/>
    </row>
    <row r="694" spans="1:29">
      <c r="A694" s="1"/>
      <c r="I694" s="1"/>
      <c r="J694" s="529"/>
      <c r="K694" s="1"/>
      <c r="AA694" s="1"/>
      <c r="AB694" s="1"/>
      <c r="AC694" s="1"/>
    </row>
    <row r="695" spans="1:29">
      <c r="A695" s="1"/>
      <c r="I695" s="1"/>
      <c r="J695" s="529"/>
      <c r="K695" s="1"/>
      <c r="AA695" s="1"/>
      <c r="AB695" s="1"/>
      <c r="AC695" s="1"/>
    </row>
    <row r="696" spans="1:29">
      <c r="A696" s="1"/>
      <c r="I696" s="1"/>
      <c r="J696" s="529"/>
      <c r="K696" s="1"/>
      <c r="AA696" s="1"/>
      <c r="AB696" s="1"/>
      <c r="AC696" s="1"/>
    </row>
    <row r="697" spans="1:29">
      <c r="A697" s="1"/>
      <c r="I697" s="1"/>
      <c r="J697" s="1"/>
      <c r="K697" s="1"/>
      <c r="AA697" s="1"/>
      <c r="AB697" s="1"/>
      <c r="AC697" s="1"/>
    </row>
    <row r="698" spans="1:29">
      <c r="A698" s="1"/>
      <c r="I698" s="1"/>
      <c r="J698" s="1"/>
      <c r="K698" s="1"/>
      <c r="AA698" s="1"/>
      <c r="AB698" s="1"/>
      <c r="AC698" s="1"/>
    </row>
    <row r="699" spans="1:29">
      <c r="A699" s="1"/>
      <c r="I699" s="1"/>
      <c r="J699" s="1"/>
      <c r="K699" s="1"/>
      <c r="AA699" s="1"/>
      <c r="AB699" s="1"/>
      <c r="AC699" s="1"/>
    </row>
    <row r="700" spans="1:29">
      <c r="A700" s="1"/>
      <c r="I700" s="1"/>
      <c r="J700" s="1"/>
      <c r="K700" s="1"/>
      <c r="AA700" s="1"/>
      <c r="AB700" s="1"/>
      <c r="AC700" s="1"/>
    </row>
    <row r="701" spans="1:29">
      <c r="A701" s="1"/>
      <c r="I701" s="1"/>
      <c r="J701" s="1"/>
      <c r="K701" s="1"/>
      <c r="AA701" s="1"/>
      <c r="AB701" s="1"/>
      <c r="AC701" s="1"/>
    </row>
    <row r="702" spans="1:29">
      <c r="A702" s="1"/>
      <c r="I702" s="1"/>
      <c r="J702" s="1"/>
      <c r="K702" s="1"/>
      <c r="AA702" s="1"/>
      <c r="AB702" s="1"/>
      <c r="AC702" s="1"/>
    </row>
    <row r="703" spans="1:29">
      <c r="A703" s="1"/>
      <c r="I703" s="1"/>
      <c r="J703" s="1"/>
      <c r="K703" s="1"/>
      <c r="AA703" s="106"/>
      <c r="AB703" s="1"/>
      <c r="AC703" s="1"/>
    </row>
    <row r="704" spans="1:29">
      <c r="A704" s="1"/>
      <c r="I704" s="1"/>
      <c r="J704" s="529"/>
      <c r="K704" s="1"/>
      <c r="AA704" s="1"/>
      <c r="AB704" s="1"/>
      <c r="AC704" s="1"/>
    </row>
    <row r="705" spans="1:29">
      <c r="A705" s="1"/>
      <c r="I705" s="1"/>
      <c r="J705" s="529"/>
      <c r="K705" s="1"/>
      <c r="AA705" s="1"/>
      <c r="AB705" s="1"/>
      <c r="AC705" s="1"/>
    </row>
    <row r="706" spans="1:29">
      <c r="A706" s="1"/>
      <c r="I706" s="1"/>
      <c r="J706" s="529"/>
      <c r="K706" s="1"/>
      <c r="AA706" s="1"/>
      <c r="AB706" s="1"/>
      <c r="AC706" s="1"/>
    </row>
    <row r="707" spans="1:29">
      <c r="A707" s="1"/>
      <c r="I707" s="1"/>
      <c r="J707" s="529"/>
      <c r="K707" s="1"/>
      <c r="AA707" s="1"/>
      <c r="AB707" s="1"/>
      <c r="AC707" s="1"/>
    </row>
    <row r="708" spans="1:29">
      <c r="A708" s="1"/>
      <c r="I708" s="1"/>
      <c r="J708" s="529"/>
      <c r="K708" s="1"/>
      <c r="AA708" s="1"/>
      <c r="AB708" s="1"/>
      <c r="AC708" s="1"/>
    </row>
    <row r="709" spans="1:29">
      <c r="A709" s="1"/>
      <c r="I709" s="1"/>
      <c r="J709" s="529"/>
      <c r="K709" s="1"/>
      <c r="AA709" s="1"/>
      <c r="AB709" s="1"/>
      <c r="AC709" s="1"/>
    </row>
    <row r="710" spans="1:29">
      <c r="A710" s="1"/>
      <c r="I710" s="1"/>
      <c r="J710" s="529"/>
      <c r="K710" s="1"/>
      <c r="AA710" s="1"/>
      <c r="AB710" s="1"/>
      <c r="AC710" s="1"/>
    </row>
    <row r="711" spans="1:29">
      <c r="A711" s="1"/>
      <c r="I711" s="1"/>
      <c r="J711" s="529"/>
      <c r="K711" s="1"/>
      <c r="AA711" s="1"/>
      <c r="AB711" s="1"/>
      <c r="AC711" s="1"/>
    </row>
    <row r="712" spans="1:29">
      <c r="A712" s="1"/>
      <c r="I712" s="1"/>
      <c r="J712" s="529"/>
      <c r="K712" s="1"/>
      <c r="AA712" s="1"/>
      <c r="AB712" s="1"/>
      <c r="AC712" s="1"/>
    </row>
    <row r="713" spans="1:29">
      <c r="A713" s="1"/>
      <c r="I713" s="1"/>
      <c r="J713" s="529"/>
      <c r="K713" s="1"/>
      <c r="AA713" s="1"/>
      <c r="AB713" s="1"/>
      <c r="AC713" s="1"/>
    </row>
    <row r="714" spans="1:29">
      <c r="A714" s="1"/>
      <c r="I714" s="1"/>
      <c r="J714" s="529"/>
      <c r="K714" s="1"/>
      <c r="AA714" s="1"/>
      <c r="AB714" s="1"/>
      <c r="AC714" s="1"/>
    </row>
    <row r="715" spans="1:29">
      <c r="A715" s="1"/>
      <c r="I715" s="1"/>
      <c r="J715" s="529"/>
      <c r="K715" s="1"/>
      <c r="AA715" s="1"/>
      <c r="AB715" s="1"/>
      <c r="AC715" s="1"/>
    </row>
    <row r="716" spans="1:29">
      <c r="A716" s="1"/>
      <c r="I716" s="1"/>
      <c r="J716" s="529"/>
      <c r="K716" s="1"/>
      <c r="AA716" s="1"/>
      <c r="AB716" s="1"/>
      <c r="AC716" s="1"/>
    </row>
    <row r="717" spans="1:29">
      <c r="A717" s="1"/>
      <c r="I717" s="1"/>
      <c r="J717" s="529"/>
      <c r="K717" s="1"/>
      <c r="AA717" s="1"/>
      <c r="AB717" s="1"/>
      <c r="AC717" s="1"/>
    </row>
    <row r="718" spans="1:29">
      <c r="A718" s="1"/>
      <c r="I718" s="1"/>
      <c r="J718" s="529"/>
      <c r="K718" s="1"/>
      <c r="AA718" s="1"/>
      <c r="AB718" s="1"/>
      <c r="AC718" s="1"/>
    </row>
    <row r="719" spans="1:29">
      <c r="A719" s="1"/>
      <c r="I719" s="1"/>
      <c r="J719" s="529"/>
      <c r="K719" s="1"/>
      <c r="AA719" s="1"/>
      <c r="AB719" s="1"/>
      <c r="AC719" s="1"/>
    </row>
    <row r="720" spans="1:29">
      <c r="A720" s="1"/>
      <c r="I720" s="1"/>
      <c r="J720" s="529"/>
      <c r="K720" s="1"/>
      <c r="AA720" s="1"/>
      <c r="AB720" s="1"/>
      <c r="AC720" s="1"/>
    </row>
    <row r="721" spans="1:29">
      <c r="A721" s="1"/>
      <c r="I721" s="1"/>
      <c r="J721" s="529"/>
      <c r="K721" s="1"/>
      <c r="AA721" s="1"/>
      <c r="AB721" s="1"/>
      <c r="AC721" s="1"/>
    </row>
    <row r="722" spans="1:29">
      <c r="A722" s="1"/>
      <c r="I722" s="1"/>
      <c r="J722" s="529"/>
      <c r="K722" s="1"/>
      <c r="AA722" s="1"/>
      <c r="AB722" s="1"/>
      <c r="AC722" s="1"/>
    </row>
    <row r="723" spans="1:29">
      <c r="A723" s="1"/>
      <c r="I723" s="1"/>
      <c r="J723" s="529"/>
      <c r="K723" s="1"/>
      <c r="AA723" s="1"/>
      <c r="AB723" s="1"/>
      <c r="AC723" s="1"/>
    </row>
    <row r="724" spans="1:29">
      <c r="A724" s="1"/>
      <c r="I724" s="1"/>
      <c r="J724" s="529"/>
      <c r="K724" s="1"/>
      <c r="AA724" s="1"/>
      <c r="AB724" s="1"/>
      <c r="AC724" s="1"/>
    </row>
    <row r="725" spans="1:29">
      <c r="A725" s="1"/>
      <c r="I725" s="1"/>
      <c r="J725" s="529"/>
      <c r="K725" s="1"/>
      <c r="AA725" s="1"/>
      <c r="AB725" s="1"/>
      <c r="AC725" s="1"/>
    </row>
    <row r="726" spans="1:29">
      <c r="A726" s="1"/>
      <c r="I726" s="1"/>
      <c r="J726" s="529"/>
      <c r="K726" s="1"/>
      <c r="AA726" s="1"/>
      <c r="AB726" s="1"/>
      <c r="AC726" s="1"/>
    </row>
    <row r="727" spans="1:29">
      <c r="A727" s="1"/>
      <c r="I727" s="1"/>
      <c r="J727" s="529"/>
      <c r="K727" s="1"/>
      <c r="AA727" s="1"/>
      <c r="AB727" s="1"/>
      <c r="AC727" s="1"/>
    </row>
    <row r="728" spans="1:29">
      <c r="A728" s="1"/>
      <c r="I728" s="1"/>
      <c r="J728" s="529"/>
      <c r="K728" s="1"/>
      <c r="AA728" s="1"/>
      <c r="AB728" s="1"/>
      <c r="AC728" s="1"/>
    </row>
    <row r="729" spans="1:29">
      <c r="A729" s="1"/>
      <c r="I729" s="1"/>
      <c r="J729" s="529"/>
      <c r="K729" s="1"/>
      <c r="AA729" s="1"/>
      <c r="AB729" s="1"/>
      <c r="AC729" s="1"/>
    </row>
    <row r="730" spans="1:29">
      <c r="A730" s="1"/>
      <c r="I730" s="1"/>
      <c r="J730" s="529"/>
      <c r="K730" s="1"/>
      <c r="AA730" s="1"/>
      <c r="AB730" s="1"/>
      <c r="AC730" s="1"/>
    </row>
    <row r="731" spans="1:29">
      <c r="A731" s="1"/>
      <c r="I731" s="1"/>
      <c r="J731" s="529"/>
      <c r="K731" s="1"/>
      <c r="AA731" s="1"/>
      <c r="AB731" s="1"/>
      <c r="AC731" s="1"/>
    </row>
    <row r="732" spans="1:29">
      <c r="A732" s="1"/>
      <c r="I732" s="1"/>
      <c r="J732" s="529"/>
      <c r="K732" s="1"/>
      <c r="AA732" s="1"/>
      <c r="AB732" s="1"/>
      <c r="AC732" s="1"/>
    </row>
    <row r="733" spans="1:29">
      <c r="A733" s="1"/>
      <c r="I733" s="1"/>
      <c r="J733" s="529"/>
      <c r="K733" s="1"/>
      <c r="AA733" s="1"/>
      <c r="AB733" s="1"/>
      <c r="AC733" s="1"/>
    </row>
    <row r="734" spans="1:29">
      <c r="A734" s="1"/>
      <c r="I734" s="1"/>
      <c r="J734" s="529"/>
      <c r="K734" s="1"/>
      <c r="AA734" s="1"/>
      <c r="AB734" s="1"/>
      <c r="AC734" s="1"/>
    </row>
    <row r="735" spans="1:29">
      <c r="A735" s="1"/>
      <c r="I735" s="1"/>
      <c r="J735" s="529"/>
      <c r="K735" s="1"/>
      <c r="AA735" s="1"/>
      <c r="AB735" s="1"/>
      <c r="AC735" s="1"/>
    </row>
    <row r="736" spans="1:29">
      <c r="A736" s="1"/>
      <c r="I736" s="1"/>
      <c r="J736" s="529"/>
      <c r="K736" s="1"/>
      <c r="AA736" s="1"/>
      <c r="AB736" s="1"/>
      <c r="AC736" s="1"/>
    </row>
    <row r="737" spans="1:29">
      <c r="A737" s="1"/>
      <c r="I737" s="1"/>
      <c r="J737" s="529"/>
      <c r="K737" s="1"/>
      <c r="AA737" s="1"/>
      <c r="AB737" s="1"/>
      <c r="AC737" s="1"/>
    </row>
    <row r="738" spans="1:29">
      <c r="A738" s="1"/>
      <c r="I738" s="1"/>
      <c r="J738" s="529"/>
      <c r="K738" s="1"/>
      <c r="L738" s="1"/>
      <c r="M738" s="1"/>
      <c r="N738" s="1"/>
      <c r="O738" s="1"/>
      <c r="P738" s="1"/>
      <c r="Q738" s="1"/>
      <c r="R738" s="1"/>
      <c r="S738" s="1"/>
      <c r="T738" s="1"/>
      <c r="U738" s="1"/>
      <c r="V738" s="1"/>
      <c r="W738" s="1"/>
      <c r="X738" s="1"/>
      <c r="Y738" s="1"/>
      <c r="Z738" s="1"/>
      <c r="AA738" s="1"/>
      <c r="AB738" s="1"/>
      <c r="AC738" s="1"/>
    </row>
    <row r="739" spans="1:29">
      <c r="A739" s="1"/>
      <c r="I739" s="1"/>
      <c r="J739" s="529"/>
      <c r="K739" s="1"/>
      <c r="L739" s="105" t="s">
        <v>253</v>
      </c>
      <c r="M739" s="43">
        <v>2020</v>
      </c>
      <c r="N739" s="1">
        <v>2021</v>
      </c>
      <c r="O739" s="1">
        <v>2022</v>
      </c>
      <c r="P739" s="1">
        <v>2023</v>
      </c>
      <c r="Q739" s="1"/>
      <c r="R739" s="1"/>
      <c r="S739" s="1"/>
      <c r="T739" s="1"/>
      <c r="U739" s="5">
        <f>SUM('C. ICT Market'!J137:M137)</f>
        <v>14133.739105793238</v>
      </c>
      <c r="V739" s="1"/>
      <c r="W739" s="1"/>
      <c r="X739" s="1"/>
      <c r="Y739" s="1"/>
      <c r="Z739" s="1"/>
      <c r="AA739" s="1"/>
      <c r="AB739" s="1"/>
      <c r="AC739" s="1"/>
    </row>
    <row r="740" spans="1:29">
      <c r="A740" s="1"/>
      <c r="I740" s="1"/>
      <c r="J740" s="529"/>
      <c r="K740" s="1"/>
      <c r="L740" s="105" t="s">
        <v>257</v>
      </c>
      <c r="M740" s="1">
        <f>SUM('C. ICT Market'!B133:E133)</f>
        <v>0</v>
      </c>
      <c r="N740" s="5">
        <f>SUM('C. ICT Market'!F133:I133)</f>
        <v>41732.52294789577</v>
      </c>
      <c r="O740" s="5">
        <f>SUM('C. ICT Market'!J133:M133)</f>
        <v>36778.114955259036</v>
      </c>
      <c r="P740" s="1"/>
      <c r="Q740" s="1"/>
      <c r="R740" s="1"/>
      <c r="S740" s="1"/>
      <c r="T740" s="1"/>
      <c r="U740" s="1">
        <f>'C. ICT Market'!J137*13.5/U739</f>
        <v>3.9483874373579644</v>
      </c>
      <c r="V740" s="1"/>
      <c r="W740" s="1"/>
      <c r="X740" s="1"/>
      <c r="Y740" s="1"/>
      <c r="Z740" s="1"/>
      <c r="AA740" s="1"/>
      <c r="AB740" s="1"/>
      <c r="AC740" s="1"/>
    </row>
    <row r="741" spans="1:29">
      <c r="A741" s="1"/>
      <c r="I741" s="1"/>
      <c r="J741" s="529"/>
      <c r="K741" s="1"/>
      <c r="L741" s="105" t="s">
        <v>2303</v>
      </c>
      <c r="M741" s="1"/>
      <c r="N741" s="5">
        <f>SUM('C. ICT Market'!F134:I134)</f>
        <v>12522.794844199168</v>
      </c>
      <c r="O741" s="5">
        <f>SUM('C. ICT Market'!J134:M134)</f>
        <v>8632.2165894567097</v>
      </c>
      <c r="P741" s="1"/>
      <c r="Q741" s="1"/>
      <c r="R741" s="1"/>
      <c r="S741" s="1"/>
      <c r="T741" s="1"/>
      <c r="U741" s="1"/>
      <c r="V741" s="1"/>
      <c r="W741" s="1"/>
      <c r="X741" s="1"/>
      <c r="Y741" s="1"/>
      <c r="Z741" s="1"/>
      <c r="AA741" s="1"/>
      <c r="AB741" s="1"/>
      <c r="AC741" s="1"/>
    </row>
    <row r="742" spans="1:29">
      <c r="A742" s="1"/>
      <c r="I742" s="1"/>
      <c r="J742" s="529"/>
      <c r="K742" s="1"/>
      <c r="L742" s="105" t="s">
        <v>261</v>
      </c>
      <c r="M742" s="1"/>
      <c r="N742" s="5">
        <f>SUM('C. ICT Market'!F135:I135)</f>
        <v>19240.119296824916</v>
      </c>
      <c r="O742" s="5">
        <f>SUM('C. ICT Market'!J135:M135)</f>
        <v>18814.588097356609</v>
      </c>
      <c r="P742" s="1"/>
      <c r="Q742" s="1"/>
      <c r="R742" s="1"/>
      <c r="S742" s="1"/>
      <c r="T742" s="1"/>
      <c r="U742" s="1"/>
      <c r="V742" s="1"/>
      <c r="W742" s="1"/>
      <c r="X742" s="1"/>
      <c r="Y742" s="1"/>
      <c r="Z742" s="1"/>
      <c r="AA742" s="1"/>
      <c r="AB742" s="1"/>
      <c r="AC742" s="1"/>
    </row>
    <row r="743" spans="1:29">
      <c r="A743" s="1"/>
      <c r="I743" s="1"/>
      <c r="J743" s="529"/>
      <c r="K743" s="1"/>
      <c r="L743" s="105" t="s">
        <v>245</v>
      </c>
      <c r="M743" s="1"/>
      <c r="N743" s="5">
        <f>SUM('C. ICT Market'!F136:I136)</f>
        <v>20668.690891036691</v>
      </c>
      <c r="O743" s="5">
        <f>SUM('C. ICT Market'!J136:M136)</f>
        <v>17841.943533671008</v>
      </c>
      <c r="P743" s="1"/>
      <c r="Q743" s="1"/>
      <c r="R743" s="1"/>
      <c r="S743" s="1"/>
      <c r="T743" s="1"/>
      <c r="U743" s="1"/>
      <c r="V743" s="1"/>
      <c r="W743" s="1"/>
      <c r="X743" s="1"/>
      <c r="Y743" s="1"/>
      <c r="Z743" s="1"/>
      <c r="AA743" s="1"/>
      <c r="AB743" s="1"/>
      <c r="AC743" s="1"/>
    </row>
    <row r="744" spans="1:29">
      <c r="A744" s="1"/>
      <c r="I744" s="1"/>
      <c r="J744" s="1"/>
      <c r="K744" s="1"/>
      <c r="L744" s="1" t="s">
        <v>2265</v>
      </c>
      <c r="M744" s="1"/>
      <c r="N744" s="1"/>
      <c r="O744" s="1"/>
      <c r="P744" s="1"/>
      <c r="Q744" s="1"/>
      <c r="R744" s="1"/>
      <c r="S744" s="1"/>
      <c r="T744" s="1"/>
      <c r="U744" s="1"/>
      <c r="V744" s="1"/>
      <c r="W744" s="1"/>
      <c r="X744" s="1"/>
      <c r="Y744" s="1"/>
      <c r="Z744" s="1"/>
      <c r="AA744" s="1"/>
      <c r="AB744" s="1"/>
      <c r="AC744" s="1"/>
    </row>
    <row r="745" spans="1:29">
      <c r="A745" s="1"/>
      <c r="I745" s="1"/>
      <c r="J745" s="1"/>
      <c r="K745" s="1"/>
      <c r="L745" s="1"/>
      <c r="M745" s="1"/>
      <c r="N745" s="1"/>
      <c r="O745" s="1"/>
      <c r="P745" s="1"/>
      <c r="Q745" s="1"/>
      <c r="R745" s="1"/>
      <c r="S745" s="1"/>
      <c r="T745" s="1"/>
      <c r="U745" s="1"/>
      <c r="V745" s="1"/>
      <c r="W745" s="1"/>
      <c r="X745" s="1"/>
      <c r="Y745" s="1"/>
      <c r="Z745" s="1"/>
      <c r="AA745" s="1"/>
      <c r="AB745" s="1"/>
      <c r="AC745" s="1"/>
    </row>
    <row r="746" spans="1:29">
      <c r="A746" s="1"/>
      <c r="L746" s="1" t="s">
        <v>2486</v>
      </c>
      <c r="M746" s="1"/>
      <c r="N746" s="1"/>
      <c r="O746" s="1"/>
      <c r="P746" s="1"/>
      <c r="Q746" s="1"/>
      <c r="R746" s="1"/>
      <c r="S746" s="1"/>
      <c r="T746" s="1"/>
      <c r="U746" s="1"/>
      <c r="V746" s="1"/>
      <c r="W746" s="1"/>
      <c r="X746" s="1"/>
      <c r="Y746" s="1"/>
      <c r="Z746" s="1"/>
    </row>
    <row r="747" spans="1:29">
      <c r="A747" s="1"/>
      <c r="L747" s="1" t="s">
        <v>2305</v>
      </c>
      <c r="M747" s="1">
        <v>2020</v>
      </c>
      <c r="N747" s="1">
        <v>2021</v>
      </c>
      <c r="O747" s="1">
        <v>2022</v>
      </c>
      <c r="Q747" s="1"/>
      <c r="R747" s="1"/>
      <c r="S747" s="1"/>
      <c r="T747" s="1"/>
      <c r="U747" s="1"/>
      <c r="V747" s="1"/>
      <c r="W747" s="1"/>
      <c r="X747" s="1"/>
      <c r="Y747" s="1"/>
      <c r="Z747" s="1"/>
    </row>
    <row r="748" spans="1:29">
      <c r="A748" s="1"/>
      <c r="L748" s="1" t="s">
        <v>713</v>
      </c>
      <c r="M748" s="20">
        <v>4.2</v>
      </c>
      <c r="N748" s="20">
        <v>5.3</v>
      </c>
      <c r="O748" s="20">
        <v>4.9000000000000004</v>
      </c>
      <c r="Q748" s="1"/>
      <c r="R748" s="1"/>
      <c r="S748" s="1"/>
      <c r="T748" s="1"/>
      <c r="U748" s="1"/>
      <c r="V748" s="1"/>
      <c r="W748" s="1"/>
      <c r="X748" s="1"/>
      <c r="Y748" s="1"/>
      <c r="Z748" s="1"/>
    </row>
    <row r="749" spans="1:29">
      <c r="A749" s="1"/>
      <c r="L749" s="1" t="s">
        <v>2278</v>
      </c>
      <c r="M749" s="20">
        <v>2.7</v>
      </c>
      <c r="N749" s="20">
        <v>2.8</v>
      </c>
      <c r="O749" s="20">
        <v>2.7</v>
      </c>
      <c r="Q749" s="1"/>
      <c r="R749" s="1"/>
      <c r="S749" s="1"/>
      <c r="T749" s="1"/>
      <c r="U749" s="1"/>
      <c r="V749" s="1"/>
      <c r="W749" s="1"/>
      <c r="X749" s="1"/>
      <c r="Y749" s="1"/>
      <c r="Z749" s="1"/>
    </row>
    <row r="750" spans="1:29">
      <c r="A750" s="1"/>
      <c r="L750" s="1" t="s">
        <v>64</v>
      </c>
      <c r="M750" s="20">
        <v>1.2450000000000001</v>
      </c>
      <c r="N750" s="20">
        <v>2.0230000000000001</v>
      </c>
      <c r="O750" s="20">
        <v>1.9910000000000001</v>
      </c>
      <c r="Q750" s="1"/>
      <c r="R750" s="1"/>
      <c r="S750" s="1"/>
      <c r="T750" s="1"/>
      <c r="U750" s="1"/>
      <c r="V750" s="1"/>
      <c r="W750" s="1"/>
      <c r="X750" s="1"/>
      <c r="Y750" s="1"/>
      <c r="Z750" s="1"/>
    </row>
    <row r="751" spans="1:29">
      <c r="A751" s="1"/>
      <c r="B751" s="1"/>
      <c r="C751" s="1"/>
      <c r="D751" s="1"/>
      <c r="E751" s="1"/>
      <c r="F751" s="1"/>
      <c r="G751" s="1"/>
      <c r="H751" s="1"/>
      <c r="I751" s="1"/>
      <c r="J751" s="1"/>
      <c r="K751" s="1"/>
      <c r="L751" s="1" t="s">
        <v>2280</v>
      </c>
      <c r="M751" s="20">
        <v>1.4</v>
      </c>
      <c r="N751" s="20">
        <v>1.9</v>
      </c>
      <c r="O751" s="20">
        <v>0.9</v>
      </c>
      <c r="Q751" s="1"/>
      <c r="R751" s="1"/>
      <c r="S751" s="1"/>
      <c r="T751" s="1"/>
      <c r="U751" s="1"/>
      <c r="V751" s="1"/>
      <c r="W751" s="1"/>
      <c r="X751" s="1"/>
      <c r="Y751" s="1"/>
      <c r="Z751" s="1"/>
    </row>
    <row r="752" spans="1:29">
      <c r="A752" s="1"/>
      <c r="B752" s="1"/>
      <c r="C752" s="1"/>
      <c r="D752" s="1"/>
      <c r="E752" s="1"/>
      <c r="F752" s="1"/>
      <c r="G752" s="1"/>
      <c r="H752" s="1"/>
      <c r="I752" s="1"/>
      <c r="J752" s="1"/>
      <c r="K752" s="1"/>
      <c r="L752" s="1" t="s">
        <v>674</v>
      </c>
      <c r="M752" s="20">
        <v>0.9</v>
      </c>
      <c r="N752" s="20">
        <v>1.4</v>
      </c>
      <c r="O752" s="20">
        <v>1.845</v>
      </c>
      <c r="Q752" s="1"/>
      <c r="R752" s="1"/>
      <c r="S752" s="1"/>
      <c r="T752" s="1"/>
      <c r="U752" s="1"/>
      <c r="V752" s="1"/>
      <c r="W752" s="1"/>
      <c r="X752" s="1"/>
      <c r="Y752" s="1"/>
      <c r="Z752" s="1"/>
    </row>
    <row r="753" spans="1:26">
      <c r="A753" s="1"/>
      <c r="B753" s="1"/>
      <c r="C753" s="1"/>
      <c r="D753" s="1"/>
      <c r="E753" s="1"/>
      <c r="F753" s="1"/>
      <c r="G753" s="1"/>
      <c r="H753" s="1"/>
      <c r="I753" s="1"/>
      <c r="J753" s="1"/>
      <c r="K753" s="1"/>
      <c r="L753" s="1" t="s">
        <v>66</v>
      </c>
      <c r="M753" s="20">
        <v>3.9</v>
      </c>
      <c r="N753" s="20">
        <v>2.5</v>
      </c>
      <c r="O753" s="20">
        <v>1.145</v>
      </c>
      <c r="Q753" s="1"/>
      <c r="R753" s="1"/>
      <c r="S753" s="1"/>
      <c r="T753" s="1"/>
      <c r="U753" s="1"/>
      <c r="V753" s="1"/>
      <c r="W753" s="1"/>
      <c r="X753" s="1"/>
      <c r="Y753" s="1"/>
      <c r="Z753" s="1"/>
    </row>
    <row r="754" spans="1:26">
      <c r="A754" s="1"/>
      <c r="B754" s="1"/>
      <c r="C754" s="1"/>
      <c r="D754" s="1"/>
      <c r="E754" s="1"/>
      <c r="F754" s="1"/>
      <c r="G754" s="1"/>
      <c r="H754" s="1"/>
      <c r="I754" s="1"/>
      <c r="J754" s="1"/>
      <c r="K754" s="1"/>
      <c r="L754" s="1" t="s">
        <v>71</v>
      </c>
      <c r="M754" s="20">
        <v>14.345000000000001</v>
      </c>
      <c r="N754" s="20">
        <v>15.923</v>
      </c>
      <c r="O754" s="20">
        <v>13.481000000000002</v>
      </c>
      <c r="Q754" s="1"/>
      <c r="R754" s="1"/>
      <c r="S754" s="1"/>
      <c r="T754" s="1"/>
      <c r="U754" s="1"/>
      <c r="V754" s="1"/>
      <c r="W754" s="1"/>
      <c r="X754" s="1"/>
      <c r="Y754" s="1"/>
      <c r="Z754" s="1"/>
    </row>
    <row r="755" spans="1:26">
      <c r="L755" s="1"/>
      <c r="M755" s="1"/>
      <c r="N755" s="1"/>
      <c r="O755" s="1"/>
      <c r="P755" s="1"/>
      <c r="Q755" s="1"/>
      <c r="R755" s="1"/>
      <c r="S755" s="1"/>
      <c r="T755" s="1"/>
      <c r="U755" s="1"/>
      <c r="V755" s="1"/>
      <c r="W755" s="1"/>
      <c r="X755" s="1"/>
      <c r="Y755" s="1"/>
      <c r="Z755" s="1"/>
    </row>
  </sheetData>
  <hyperlinks>
    <hyperlink ref="S108" r:id="rId1" xr:uid="{A250C292-CBB3-4BEB-8B00-5C354AF7BB02}"/>
    <hyperlink ref="V428" r:id="rId2" xr:uid="{5E963D6E-F382-4C46-9EA0-6FE12453FF6B}"/>
    <hyperlink ref="AB517" r:id="rId3" xr:uid="{D0973F55-8EBD-4B55-9F69-D4601A51AB76}"/>
    <hyperlink ref="G637" r:id="rId4" xr:uid="{F5C54ECF-596D-47E6-9AF1-62F7F274B296}"/>
    <hyperlink ref="G642" r:id="rId5" xr:uid="{E4BDC480-E49D-4265-97EA-6ED2A038A0CB}"/>
    <hyperlink ref="G647" r:id="rId6" xr:uid="{687BB91C-0B55-4608-AEC2-6C5DBCFC351B}"/>
    <hyperlink ref="G652" r:id="rId7" xr:uid="{D9F455A6-5D1B-4DDB-B194-7B07474C451F}"/>
    <hyperlink ref="G622" r:id="rId8" xr:uid="{F36B3342-5CBD-4FAA-86D1-FCD766AC0FD6}"/>
    <hyperlink ref="G653" r:id="rId9" xr:uid="{ED7D2866-08B5-46E6-B1F2-791AA1AFDB27}"/>
  </hyperlinks>
  <pageMargins left="0.7" right="0.7" top="0.75" bottom="0.75" header="0.3" footer="0.3"/>
  <drawing r:id="rId1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1E37-DD13-4EDB-806F-E4E287EF039A}">
  <dimension ref="A1:AS206"/>
  <sheetViews>
    <sheetView workbookViewId="0">
      <selection activeCell="A193" sqref="A193:XFD193"/>
    </sheetView>
  </sheetViews>
  <sheetFormatPr defaultRowHeight="15"/>
  <cols>
    <col min="1" max="1" width="29.140625" bestFit="1" customWidth="1"/>
    <col min="2" max="2" width="14.42578125" bestFit="1" customWidth="1"/>
    <col min="3" max="3" width="14.140625" bestFit="1" customWidth="1"/>
    <col min="4" max="4" width="20.85546875" bestFit="1" customWidth="1"/>
    <col min="5" max="5" width="19.140625" bestFit="1" customWidth="1"/>
    <col min="6" max="6" width="18.140625" bestFit="1" customWidth="1"/>
    <col min="7" max="13" width="9.85546875" style="1" customWidth="1"/>
    <col min="14" max="45" width="9.140625" style="1"/>
  </cols>
  <sheetData>
    <row r="1" spans="1:12">
      <c r="A1" s="553" t="s">
        <v>2487</v>
      </c>
      <c r="B1" s="553" t="s">
        <v>2487</v>
      </c>
      <c r="C1" s="553" t="s">
        <v>2487</v>
      </c>
      <c r="D1" s="553" t="s">
        <v>2487</v>
      </c>
      <c r="E1" s="553" t="s">
        <v>2487</v>
      </c>
      <c r="F1" s="553" t="s">
        <v>2487</v>
      </c>
      <c r="G1" s="561" t="s">
        <v>2487</v>
      </c>
      <c r="H1" s="561" t="s">
        <v>2487</v>
      </c>
      <c r="I1" s="561" t="s">
        <v>2487</v>
      </c>
      <c r="J1" s="561" t="s">
        <v>2487</v>
      </c>
      <c r="K1" s="561" t="s">
        <v>2487</v>
      </c>
      <c r="L1" s="561" t="s">
        <v>2487</v>
      </c>
    </row>
    <row r="2" spans="1:12">
      <c r="A2" s="553" t="s">
        <v>2487</v>
      </c>
      <c r="B2" s="553" t="s">
        <v>2487</v>
      </c>
      <c r="C2" s="553" t="s">
        <v>2487</v>
      </c>
      <c r="D2" s="553" t="s">
        <v>2487</v>
      </c>
      <c r="E2" s="553" t="s">
        <v>2487</v>
      </c>
      <c r="F2" s="553" t="s">
        <v>2487</v>
      </c>
      <c r="G2" s="561" t="s">
        <v>2487</v>
      </c>
      <c r="H2" s="561" t="s">
        <v>2487</v>
      </c>
      <c r="I2" s="561" t="s">
        <v>2487</v>
      </c>
      <c r="J2" s="561" t="s">
        <v>2487</v>
      </c>
      <c r="K2" s="561" t="s">
        <v>2487</v>
      </c>
      <c r="L2" s="561" t="s">
        <v>2487</v>
      </c>
    </row>
    <row r="3" spans="1:12">
      <c r="A3" s="553" t="s">
        <v>2487</v>
      </c>
      <c r="B3" s="553" t="s">
        <v>2487</v>
      </c>
      <c r="C3" s="553" t="s">
        <v>2487</v>
      </c>
      <c r="D3" s="553" t="s">
        <v>2487</v>
      </c>
      <c r="E3" s="553" t="s">
        <v>2487</v>
      </c>
      <c r="F3" s="553" t="s">
        <v>2487</v>
      </c>
      <c r="G3" s="561" t="s">
        <v>2487</v>
      </c>
      <c r="H3" s="561" t="s">
        <v>2487</v>
      </c>
      <c r="I3" s="561" t="s">
        <v>2487</v>
      </c>
      <c r="J3" s="561" t="s">
        <v>2487</v>
      </c>
      <c r="K3" s="561" t="s">
        <v>2487</v>
      </c>
      <c r="L3" s="561" t="s">
        <v>2487</v>
      </c>
    </row>
    <row r="4" spans="1:12">
      <c r="A4" s="553" t="s">
        <v>2487</v>
      </c>
      <c r="B4" s="553" t="s">
        <v>2487</v>
      </c>
      <c r="C4" s="553" t="s">
        <v>2487</v>
      </c>
      <c r="D4" s="553" t="s">
        <v>2487</v>
      </c>
      <c r="E4" s="553" t="s">
        <v>2487</v>
      </c>
      <c r="F4" s="553" t="s">
        <v>2487</v>
      </c>
      <c r="G4" s="561" t="s">
        <v>2487</v>
      </c>
      <c r="H4" s="561" t="s">
        <v>2487</v>
      </c>
      <c r="I4" s="561" t="s">
        <v>2487</v>
      </c>
      <c r="J4" s="561" t="s">
        <v>2487</v>
      </c>
      <c r="K4" s="561" t="s">
        <v>2487</v>
      </c>
      <c r="L4" s="561" t="s">
        <v>2487</v>
      </c>
    </row>
    <row r="5" spans="1:12">
      <c r="A5" s="553" t="s">
        <v>2487</v>
      </c>
      <c r="B5" s="553" t="s">
        <v>2487</v>
      </c>
      <c r="C5" s="553" t="s">
        <v>2487</v>
      </c>
      <c r="D5" s="553" t="s">
        <v>2487</v>
      </c>
      <c r="E5" s="553" t="s">
        <v>2487</v>
      </c>
      <c r="F5" s="553" t="s">
        <v>2487</v>
      </c>
      <c r="G5" s="561" t="s">
        <v>2487</v>
      </c>
      <c r="H5" s="561" t="s">
        <v>2487</v>
      </c>
      <c r="I5" s="561" t="s">
        <v>2487</v>
      </c>
      <c r="J5" s="561" t="s">
        <v>2487</v>
      </c>
      <c r="K5" s="561" t="s">
        <v>2487</v>
      </c>
      <c r="L5" s="561" t="s">
        <v>2487</v>
      </c>
    </row>
    <row r="6" spans="1:12">
      <c r="A6" s="553" t="s">
        <v>2487</v>
      </c>
      <c r="B6" s="553" t="s">
        <v>2487</v>
      </c>
      <c r="C6" s="553" t="s">
        <v>2487</v>
      </c>
      <c r="D6" s="553" t="s">
        <v>2487</v>
      </c>
      <c r="E6" s="553" t="s">
        <v>2487</v>
      </c>
      <c r="F6" s="553" t="s">
        <v>2487</v>
      </c>
      <c r="G6" s="561" t="s">
        <v>2487</v>
      </c>
      <c r="H6" s="561" t="s">
        <v>2487</v>
      </c>
      <c r="I6" s="561" t="s">
        <v>2487</v>
      </c>
      <c r="J6" s="561" t="s">
        <v>2487</v>
      </c>
      <c r="K6" s="561" t="s">
        <v>2487</v>
      </c>
      <c r="L6" s="561" t="s">
        <v>2487</v>
      </c>
    </row>
    <row r="7" spans="1:12">
      <c r="A7" s="553" t="s">
        <v>2487</v>
      </c>
      <c r="B7" s="553" t="s">
        <v>2487</v>
      </c>
      <c r="C7" s="553" t="s">
        <v>2487</v>
      </c>
      <c r="D7" s="553" t="s">
        <v>2487</v>
      </c>
      <c r="E7" s="553" t="s">
        <v>2487</v>
      </c>
      <c r="F7" s="553" t="s">
        <v>2487</v>
      </c>
      <c r="G7" s="561" t="s">
        <v>2487</v>
      </c>
      <c r="H7" s="561" t="s">
        <v>2487</v>
      </c>
      <c r="I7" s="561" t="s">
        <v>2487</v>
      </c>
      <c r="J7" s="561" t="s">
        <v>2487</v>
      </c>
      <c r="K7" s="561" t="s">
        <v>2487</v>
      </c>
      <c r="L7" s="561" t="s">
        <v>2487</v>
      </c>
    </row>
    <row r="8" spans="1:12">
      <c r="A8" s="553" t="s">
        <v>2487</v>
      </c>
      <c r="B8" s="553" t="s">
        <v>2487</v>
      </c>
      <c r="C8" s="553" t="s">
        <v>2487</v>
      </c>
      <c r="D8" s="553" t="s">
        <v>2487</v>
      </c>
      <c r="E8" s="553" t="s">
        <v>2487</v>
      </c>
      <c r="F8" s="553" t="s">
        <v>2487</v>
      </c>
      <c r="G8" s="561" t="s">
        <v>2487</v>
      </c>
      <c r="H8" s="561" t="s">
        <v>2487</v>
      </c>
      <c r="I8" s="561" t="s">
        <v>2487</v>
      </c>
      <c r="J8" s="561" t="s">
        <v>2487</v>
      </c>
      <c r="K8" s="561" t="s">
        <v>2487</v>
      </c>
      <c r="L8" s="561" t="s">
        <v>2487</v>
      </c>
    </row>
    <row r="9" spans="1:12">
      <c r="A9" s="553" t="s">
        <v>2487</v>
      </c>
      <c r="B9" s="553" t="s">
        <v>2487</v>
      </c>
      <c r="C9" s="553" t="s">
        <v>2487</v>
      </c>
      <c r="D9" s="553" t="s">
        <v>2487</v>
      </c>
      <c r="E9" s="553" t="s">
        <v>2487</v>
      </c>
      <c r="F9" s="553" t="s">
        <v>2487</v>
      </c>
      <c r="G9" s="561" t="s">
        <v>2487</v>
      </c>
      <c r="H9" s="561" t="s">
        <v>2487</v>
      </c>
      <c r="I9" s="561" t="s">
        <v>2487</v>
      </c>
      <c r="J9" s="561" t="s">
        <v>2487</v>
      </c>
      <c r="K9" s="561" t="s">
        <v>2487</v>
      </c>
      <c r="L9" s="561" t="s">
        <v>2487</v>
      </c>
    </row>
    <row r="10" spans="1:12">
      <c r="A10" s="553" t="s">
        <v>2487</v>
      </c>
      <c r="B10" s="553" t="s">
        <v>2487</v>
      </c>
      <c r="C10" s="553" t="s">
        <v>2487</v>
      </c>
      <c r="D10" s="553" t="s">
        <v>2487</v>
      </c>
      <c r="E10" s="553" t="s">
        <v>2487</v>
      </c>
      <c r="F10" s="553" t="s">
        <v>2487</v>
      </c>
      <c r="G10" s="561" t="s">
        <v>2487</v>
      </c>
      <c r="H10" s="561" t="s">
        <v>2487</v>
      </c>
      <c r="I10" s="561" t="s">
        <v>2487</v>
      </c>
      <c r="J10" s="561" t="s">
        <v>2487</v>
      </c>
      <c r="K10" s="561" t="s">
        <v>2487</v>
      </c>
      <c r="L10" s="561" t="s">
        <v>2487</v>
      </c>
    </row>
    <row r="11" spans="1:12">
      <c r="A11" s="553" t="s">
        <v>2487</v>
      </c>
      <c r="B11" s="553" t="s">
        <v>2487</v>
      </c>
      <c r="C11" s="553" t="s">
        <v>2487</v>
      </c>
      <c r="D11" s="553" t="s">
        <v>2487</v>
      </c>
      <c r="E11" s="553" t="s">
        <v>2487</v>
      </c>
      <c r="F11" s="553" t="s">
        <v>2487</v>
      </c>
      <c r="G11" s="561" t="s">
        <v>2487</v>
      </c>
      <c r="H11" s="561" t="s">
        <v>2487</v>
      </c>
      <c r="I11" s="561" t="s">
        <v>2487</v>
      </c>
      <c r="J11" s="561" t="s">
        <v>2487</v>
      </c>
      <c r="K11" s="561" t="s">
        <v>2487</v>
      </c>
      <c r="L11" s="561" t="s">
        <v>2487</v>
      </c>
    </row>
    <row r="12" spans="1:12">
      <c r="A12" s="553" t="s">
        <v>2487</v>
      </c>
      <c r="B12" s="553" t="s">
        <v>2487</v>
      </c>
      <c r="C12" s="553" t="s">
        <v>2487</v>
      </c>
      <c r="D12" s="553" t="s">
        <v>2487</v>
      </c>
      <c r="E12" s="553" t="s">
        <v>2487</v>
      </c>
      <c r="F12" s="553" t="s">
        <v>2487</v>
      </c>
      <c r="G12" s="561" t="s">
        <v>2487</v>
      </c>
      <c r="H12" s="561" t="s">
        <v>2487</v>
      </c>
      <c r="I12" s="561" t="s">
        <v>2487</v>
      </c>
      <c r="J12" s="561" t="s">
        <v>2487</v>
      </c>
      <c r="K12" s="561" t="s">
        <v>2487</v>
      </c>
      <c r="L12" s="561" t="s">
        <v>2487</v>
      </c>
    </row>
    <row r="13" spans="1:12">
      <c r="A13" s="553" t="s">
        <v>2487</v>
      </c>
      <c r="B13" s="553" t="s">
        <v>2487</v>
      </c>
      <c r="C13" s="553" t="s">
        <v>2487</v>
      </c>
      <c r="D13" s="553" t="s">
        <v>2487</v>
      </c>
      <c r="E13" s="553" t="s">
        <v>2487</v>
      </c>
      <c r="F13" s="553" t="s">
        <v>2487</v>
      </c>
      <c r="G13" s="561" t="s">
        <v>2487</v>
      </c>
      <c r="H13" s="561" t="s">
        <v>2487</v>
      </c>
      <c r="I13" s="561" t="s">
        <v>2487</v>
      </c>
      <c r="J13" s="561" t="s">
        <v>2487</v>
      </c>
      <c r="K13" s="561" t="s">
        <v>2487</v>
      </c>
      <c r="L13" s="561" t="s">
        <v>2487</v>
      </c>
    </row>
    <row r="14" spans="1:12">
      <c r="A14" s="553" t="s">
        <v>2487</v>
      </c>
      <c r="B14" s="553" t="s">
        <v>2487</v>
      </c>
      <c r="C14" s="553" t="s">
        <v>2487</v>
      </c>
      <c r="D14" s="553" t="s">
        <v>2487</v>
      </c>
      <c r="E14" s="553" t="s">
        <v>2487</v>
      </c>
      <c r="F14" s="553" t="s">
        <v>2487</v>
      </c>
      <c r="G14" s="561" t="s">
        <v>2487</v>
      </c>
      <c r="H14" s="561" t="s">
        <v>2487</v>
      </c>
      <c r="I14" s="561" t="s">
        <v>2487</v>
      </c>
      <c r="J14" s="561" t="s">
        <v>2487</v>
      </c>
      <c r="K14" s="561" t="s">
        <v>2487</v>
      </c>
      <c r="L14" s="561" t="s">
        <v>2487</v>
      </c>
    </row>
    <row r="15" spans="1:12">
      <c r="A15" s="553" t="s">
        <v>2487</v>
      </c>
      <c r="B15" s="553" t="s">
        <v>2487</v>
      </c>
      <c r="C15" s="553" t="s">
        <v>2487</v>
      </c>
      <c r="D15" s="553" t="s">
        <v>2487</v>
      </c>
      <c r="E15" s="553" t="s">
        <v>2487</v>
      </c>
      <c r="F15" s="553" t="s">
        <v>2487</v>
      </c>
      <c r="G15" s="561" t="s">
        <v>2487</v>
      </c>
      <c r="H15" s="561" t="s">
        <v>2487</v>
      </c>
      <c r="I15" s="561" t="s">
        <v>2487</v>
      </c>
      <c r="J15" s="561" t="s">
        <v>2487</v>
      </c>
      <c r="K15" s="561" t="s">
        <v>2487</v>
      </c>
      <c r="L15" s="561" t="s">
        <v>2487</v>
      </c>
    </row>
    <row r="16" spans="1:12">
      <c r="A16" s="553" t="s">
        <v>2487</v>
      </c>
      <c r="B16" s="553" t="s">
        <v>2487</v>
      </c>
      <c r="C16" s="553" t="s">
        <v>2487</v>
      </c>
      <c r="D16" s="553" t="s">
        <v>2487</v>
      </c>
      <c r="E16" s="553" t="s">
        <v>2487</v>
      </c>
      <c r="F16" s="553" t="s">
        <v>2487</v>
      </c>
      <c r="G16" s="561" t="s">
        <v>2487</v>
      </c>
      <c r="H16" s="561" t="s">
        <v>2487</v>
      </c>
      <c r="I16" s="561" t="s">
        <v>2487</v>
      </c>
      <c r="J16" s="561" t="s">
        <v>2487</v>
      </c>
      <c r="K16" s="561" t="s">
        <v>2487</v>
      </c>
      <c r="L16" s="561" t="s">
        <v>2487</v>
      </c>
    </row>
    <row r="17" spans="1:12">
      <c r="A17" s="553" t="s">
        <v>2487</v>
      </c>
      <c r="B17" s="553" t="s">
        <v>2487</v>
      </c>
      <c r="C17" s="553" t="s">
        <v>2487</v>
      </c>
      <c r="D17" s="553" t="s">
        <v>2487</v>
      </c>
      <c r="E17" s="553" t="s">
        <v>2487</v>
      </c>
      <c r="F17" s="553" t="s">
        <v>2487</v>
      </c>
      <c r="G17" s="561" t="s">
        <v>2487</v>
      </c>
      <c r="H17" s="561" t="s">
        <v>2487</v>
      </c>
      <c r="I17" s="561" t="s">
        <v>2487</v>
      </c>
      <c r="J17" s="561" t="s">
        <v>2487</v>
      </c>
      <c r="K17" s="561" t="s">
        <v>2487</v>
      </c>
      <c r="L17" s="561" t="s">
        <v>2487</v>
      </c>
    </row>
    <row r="18" spans="1:12">
      <c r="A18" s="553" t="s">
        <v>2487</v>
      </c>
      <c r="B18" s="553" t="s">
        <v>2487</v>
      </c>
      <c r="C18" s="553" t="s">
        <v>2487</v>
      </c>
      <c r="D18" s="553" t="s">
        <v>2487</v>
      </c>
      <c r="E18" s="553" t="s">
        <v>2487</v>
      </c>
      <c r="F18" s="553" t="s">
        <v>2487</v>
      </c>
      <c r="G18" s="561" t="s">
        <v>2487</v>
      </c>
      <c r="H18" s="561" t="s">
        <v>2487</v>
      </c>
      <c r="I18" s="561" t="s">
        <v>2487</v>
      </c>
      <c r="J18" s="561" t="s">
        <v>2487</v>
      </c>
      <c r="K18" s="561" t="s">
        <v>2487</v>
      </c>
      <c r="L18" s="561" t="s">
        <v>2487</v>
      </c>
    </row>
    <row r="19" spans="1:12">
      <c r="A19" s="554" t="s">
        <v>221</v>
      </c>
      <c r="B19" s="555" t="s">
        <v>2488</v>
      </c>
      <c r="C19" s="555" t="s">
        <v>2489</v>
      </c>
      <c r="D19" s="555" t="s">
        <v>2490</v>
      </c>
      <c r="E19" s="556" t="s">
        <v>2491</v>
      </c>
      <c r="F19" s="555" t="s">
        <v>2492</v>
      </c>
      <c r="G19" s="561" t="s">
        <v>2487</v>
      </c>
      <c r="H19" s="561" t="s">
        <v>2487</v>
      </c>
      <c r="I19" s="561" t="s">
        <v>2487</v>
      </c>
      <c r="J19" s="561" t="s">
        <v>2487</v>
      </c>
      <c r="K19" s="561" t="s">
        <v>2487</v>
      </c>
      <c r="L19" s="561" t="s">
        <v>2487</v>
      </c>
    </row>
    <row r="20" spans="1:12">
      <c r="A20" s="557" t="s">
        <v>2493</v>
      </c>
      <c r="B20" s="558" t="s">
        <v>2494</v>
      </c>
      <c r="C20" s="559">
        <v>5.3E-3</v>
      </c>
      <c r="D20" s="559">
        <v>7.4999999999999997E-3</v>
      </c>
      <c r="E20" s="560">
        <v>5.7500000000000002E-2</v>
      </c>
      <c r="F20" s="559">
        <v>0.15</v>
      </c>
      <c r="G20" s="561" t="s">
        <v>2487</v>
      </c>
      <c r="H20" s="561" t="s">
        <v>2487</v>
      </c>
      <c r="I20" s="561" t="s">
        <v>2487</v>
      </c>
      <c r="J20" s="561" t="s">
        <v>2487</v>
      </c>
      <c r="K20" s="561" t="s">
        <v>2487</v>
      </c>
      <c r="L20" s="561" t="s">
        <v>2487</v>
      </c>
    </row>
    <row r="21" spans="1:12">
      <c r="A21" s="557" t="s">
        <v>2495</v>
      </c>
      <c r="B21" s="558" t="s">
        <v>2496</v>
      </c>
      <c r="C21" s="559">
        <v>4.82E-2</v>
      </c>
      <c r="D21" s="559">
        <v>6.83E-2</v>
      </c>
      <c r="E21" s="560">
        <v>0.1183</v>
      </c>
      <c r="F21" s="559">
        <v>0.15</v>
      </c>
      <c r="G21" s="561" t="s">
        <v>2487</v>
      </c>
      <c r="H21" s="561" t="s">
        <v>2487</v>
      </c>
      <c r="I21" s="561" t="s">
        <v>2487</v>
      </c>
      <c r="J21" s="561" t="s">
        <v>2487</v>
      </c>
      <c r="K21" s="561" t="s">
        <v>2487</v>
      </c>
      <c r="L21" s="561" t="s">
        <v>2487</v>
      </c>
    </row>
    <row r="22" spans="1:12">
      <c r="A22" s="557" t="s">
        <v>2497</v>
      </c>
      <c r="B22" s="558" t="s">
        <v>2498</v>
      </c>
      <c r="C22" s="559">
        <v>3.85E-2</v>
      </c>
      <c r="D22" s="559">
        <v>5.4600000000000003E-2</v>
      </c>
      <c r="E22" s="560">
        <v>0.1046</v>
      </c>
      <c r="F22" s="559">
        <v>0.26</v>
      </c>
      <c r="G22" s="561" t="s">
        <v>2487</v>
      </c>
      <c r="H22" s="561" t="s">
        <v>2487</v>
      </c>
      <c r="I22" s="561" t="s">
        <v>2487</v>
      </c>
      <c r="J22" s="561" t="s">
        <v>2487</v>
      </c>
      <c r="K22" s="561" t="s">
        <v>2487</v>
      </c>
      <c r="L22" s="561" t="s">
        <v>2487</v>
      </c>
    </row>
    <row r="23" spans="1:12">
      <c r="A23" s="557" t="s">
        <v>2499</v>
      </c>
      <c r="B23" s="558" t="s">
        <v>2500</v>
      </c>
      <c r="C23" s="559">
        <v>2.0400000000000001E-2</v>
      </c>
      <c r="D23" s="559">
        <v>2.8899999999999999E-2</v>
      </c>
      <c r="E23" s="560">
        <v>7.8899999999999998E-2</v>
      </c>
      <c r="F23" s="559">
        <v>0.1898</v>
      </c>
      <c r="G23" s="561" t="s">
        <v>2487</v>
      </c>
      <c r="H23" s="561" t="s">
        <v>2487</v>
      </c>
      <c r="I23" s="561" t="s">
        <v>2487</v>
      </c>
      <c r="J23" s="561" t="s">
        <v>2487</v>
      </c>
      <c r="K23" s="561" t="s">
        <v>2487</v>
      </c>
      <c r="L23" s="561" t="s">
        <v>2487</v>
      </c>
    </row>
    <row r="24" spans="1:12">
      <c r="A24" s="557" t="s">
        <v>2501</v>
      </c>
      <c r="B24" s="558" t="s">
        <v>2502</v>
      </c>
      <c r="C24" s="559">
        <v>6.9500000000000006E-2</v>
      </c>
      <c r="D24" s="559">
        <v>9.8599999999999993E-2</v>
      </c>
      <c r="E24" s="560">
        <v>0.14860000000000001</v>
      </c>
      <c r="F24" s="559">
        <v>0.25</v>
      </c>
      <c r="G24" s="561" t="s">
        <v>2487</v>
      </c>
      <c r="H24" s="561" t="s">
        <v>2487</v>
      </c>
      <c r="I24" s="561" t="s">
        <v>2487</v>
      </c>
      <c r="J24" s="561" t="s">
        <v>2487</v>
      </c>
      <c r="K24" s="561" t="s">
        <v>2487</v>
      </c>
      <c r="L24" s="561" t="s">
        <v>2487</v>
      </c>
    </row>
    <row r="25" spans="1:12">
      <c r="A25" s="557" t="s">
        <v>2503</v>
      </c>
      <c r="B25" s="558" t="s">
        <v>2504</v>
      </c>
      <c r="C25" s="559">
        <v>0.12839999999999999</v>
      </c>
      <c r="D25" s="559">
        <v>0.18210000000000001</v>
      </c>
      <c r="E25" s="560">
        <v>0.2321</v>
      </c>
      <c r="F25" s="559">
        <v>0.35</v>
      </c>
      <c r="G25" s="561" t="s">
        <v>2487</v>
      </c>
      <c r="H25" s="561" t="s">
        <v>2487</v>
      </c>
      <c r="I25" s="561" t="s">
        <v>2487</v>
      </c>
      <c r="J25" s="561" t="s">
        <v>2487</v>
      </c>
      <c r="K25" s="561" t="s">
        <v>2487</v>
      </c>
      <c r="L25" s="561" t="s">
        <v>2487</v>
      </c>
    </row>
    <row r="26" spans="1:12">
      <c r="A26" s="557" t="s">
        <v>2505</v>
      </c>
      <c r="B26" s="558" t="s">
        <v>2506</v>
      </c>
      <c r="C26" s="559">
        <v>3.85E-2</v>
      </c>
      <c r="D26" s="559">
        <v>5.4600000000000003E-2</v>
      </c>
      <c r="E26" s="560">
        <v>0.1046</v>
      </c>
      <c r="F26" s="559">
        <v>0.18</v>
      </c>
      <c r="G26" s="561" t="s">
        <v>2487</v>
      </c>
      <c r="H26" s="561" t="s">
        <v>2487</v>
      </c>
      <c r="I26" s="561" t="s">
        <v>2487</v>
      </c>
      <c r="J26" s="561" t="s">
        <v>2487</v>
      </c>
      <c r="K26" s="561" t="s">
        <v>2487</v>
      </c>
      <c r="L26" s="561" t="s">
        <v>2487</v>
      </c>
    </row>
    <row r="27" spans="1:12">
      <c r="A27" s="557" t="s">
        <v>2507</v>
      </c>
      <c r="B27" s="558" t="s">
        <v>2500</v>
      </c>
      <c r="C27" s="559">
        <v>2.0400000000000001E-2</v>
      </c>
      <c r="D27" s="559">
        <v>2.8899999999999999E-2</v>
      </c>
      <c r="E27" s="560">
        <v>7.8899999999999998E-2</v>
      </c>
      <c r="F27" s="559">
        <v>0.25</v>
      </c>
      <c r="G27" s="561" t="s">
        <v>2487</v>
      </c>
      <c r="H27" s="561" t="s">
        <v>2487</v>
      </c>
      <c r="I27" s="561" t="s">
        <v>2487</v>
      </c>
      <c r="J27" s="561" t="s">
        <v>2487</v>
      </c>
      <c r="K27" s="561" t="s">
        <v>2487</v>
      </c>
      <c r="L27" s="561" t="s">
        <v>2487</v>
      </c>
    </row>
    <row r="28" spans="1:12">
      <c r="A28" s="557" t="s">
        <v>2508</v>
      </c>
      <c r="B28" s="558" t="s">
        <v>2509</v>
      </c>
      <c r="C28" s="559">
        <v>0</v>
      </c>
      <c r="D28" s="559">
        <v>0</v>
      </c>
      <c r="E28" s="560">
        <v>0.05</v>
      </c>
      <c r="F28" s="559">
        <v>0.3</v>
      </c>
      <c r="G28" s="561" t="s">
        <v>2487</v>
      </c>
      <c r="H28" s="561" t="s">
        <v>2487</v>
      </c>
      <c r="I28" s="561" t="s">
        <v>2487</v>
      </c>
      <c r="J28" s="561" t="s">
        <v>2487</v>
      </c>
      <c r="K28" s="561" t="s">
        <v>2487</v>
      </c>
      <c r="L28" s="561" t="s">
        <v>2487</v>
      </c>
    </row>
    <row r="29" spans="1:12">
      <c r="A29" s="557" t="s">
        <v>2510</v>
      </c>
      <c r="B29" s="558" t="s">
        <v>2511</v>
      </c>
      <c r="C29" s="559">
        <v>4.3E-3</v>
      </c>
      <c r="D29" s="559">
        <v>6.1000000000000004E-3</v>
      </c>
      <c r="E29" s="560">
        <v>5.6099999999999997E-2</v>
      </c>
      <c r="F29" s="559">
        <v>0.24</v>
      </c>
      <c r="G29" s="561" t="s">
        <v>2487</v>
      </c>
      <c r="H29" s="561" t="s">
        <v>2487</v>
      </c>
      <c r="I29" s="561" t="s">
        <v>2487</v>
      </c>
      <c r="J29" s="561" t="s">
        <v>2487</v>
      </c>
      <c r="K29" s="561" t="s">
        <v>2487</v>
      </c>
      <c r="L29" s="561" t="s">
        <v>2487</v>
      </c>
    </row>
    <row r="30" spans="1:12">
      <c r="A30" s="557" t="s">
        <v>2512</v>
      </c>
      <c r="B30" s="558" t="s">
        <v>2513</v>
      </c>
      <c r="C30" s="559">
        <v>2.6800000000000001E-2</v>
      </c>
      <c r="D30" s="559">
        <v>3.7999999999999999E-2</v>
      </c>
      <c r="E30" s="560">
        <v>8.7999999999999995E-2</v>
      </c>
      <c r="F30" s="559">
        <v>0.2</v>
      </c>
      <c r="G30" s="561" t="s">
        <v>2487</v>
      </c>
      <c r="H30" s="561" t="s">
        <v>2487</v>
      </c>
      <c r="I30" s="561" t="s">
        <v>2487</v>
      </c>
      <c r="J30" s="561" t="s">
        <v>2487</v>
      </c>
      <c r="K30" s="561" t="s">
        <v>2487</v>
      </c>
      <c r="L30" s="561" t="s">
        <v>2487</v>
      </c>
    </row>
    <row r="31" spans="1:12">
      <c r="A31" s="557" t="s">
        <v>2514</v>
      </c>
      <c r="B31" s="558" t="s">
        <v>2496</v>
      </c>
      <c r="C31" s="559">
        <v>4.82E-2</v>
      </c>
      <c r="D31" s="559">
        <v>6.83E-2</v>
      </c>
      <c r="E31" s="560">
        <v>0.1183</v>
      </c>
      <c r="F31" s="559">
        <v>0</v>
      </c>
      <c r="G31" s="561" t="s">
        <v>2487</v>
      </c>
      <c r="H31" s="561" t="s">
        <v>2487</v>
      </c>
      <c r="I31" s="561" t="s">
        <v>2487</v>
      </c>
      <c r="J31" s="561" t="s">
        <v>2487</v>
      </c>
      <c r="K31" s="561" t="s">
        <v>2487</v>
      </c>
      <c r="L31" s="561" t="s">
        <v>2487</v>
      </c>
    </row>
    <row r="32" spans="1:12">
      <c r="A32" s="557" t="s">
        <v>2515</v>
      </c>
      <c r="B32" s="558" t="s">
        <v>2516</v>
      </c>
      <c r="C32" s="559">
        <v>5.8799999999999998E-2</v>
      </c>
      <c r="D32" s="559">
        <v>8.3500000000000005E-2</v>
      </c>
      <c r="E32" s="560">
        <v>0.13350000000000001</v>
      </c>
      <c r="F32" s="559">
        <v>0</v>
      </c>
      <c r="G32" s="561" t="s">
        <v>2487</v>
      </c>
      <c r="H32" s="561" t="s">
        <v>2487</v>
      </c>
      <c r="I32" s="561" t="s">
        <v>2487</v>
      </c>
      <c r="J32" s="561" t="s">
        <v>2487</v>
      </c>
      <c r="K32" s="561" t="s">
        <v>2487</v>
      </c>
      <c r="L32" s="561" t="s">
        <v>2487</v>
      </c>
    </row>
    <row r="33" spans="1:12">
      <c r="A33" s="557" t="s">
        <v>2517</v>
      </c>
      <c r="B33" s="558" t="s">
        <v>2496</v>
      </c>
      <c r="C33" s="559">
        <v>4.82E-2</v>
      </c>
      <c r="D33" s="559">
        <v>6.83E-2</v>
      </c>
      <c r="E33" s="560">
        <v>0.1183</v>
      </c>
      <c r="F33" s="559">
        <v>0.32500000000000001</v>
      </c>
      <c r="G33" s="561" t="s">
        <v>2487</v>
      </c>
      <c r="H33" s="561" t="s">
        <v>2487</v>
      </c>
      <c r="I33" s="561" t="s">
        <v>2487</v>
      </c>
      <c r="J33" s="561" t="s">
        <v>2487</v>
      </c>
      <c r="K33" s="561" t="s">
        <v>2487</v>
      </c>
      <c r="L33" s="561" t="s">
        <v>2487</v>
      </c>
    </row>
    <row r="34" spans="1:12">
      <c r="A34" s="557" t="s">
        <v>2518</v>
      </c>
      <c r="B34" s="558" t="s">
        <v>2519</v>
      </c>
      <c r="C34" s="559">
        <v>8.0199999999999994E-2</v>
      </c>
      <c r="D34" s="559">
        <v>0.1138</v>
      </c>
      <c r="E34" s="560">
        <v>0.1638</v>
      </c>
      <c r="F34" s="559">
        <v>5.5E-2</v>
      </c>
      <c r="G34" s="561" t="s">
        <v>2487</v>
      </c>
      <c r="H34" s="561" t="s">
        <v>2487</v>
      </c>
      <c r="I34" s="561" t="s">
        <v>2487</v>
      </c>
      <c r="J34" s="561" t="s">
        <v>2487</v>
      </c>
      <c r="K34" s="561" t="s">
        <v>2487</v>
      </c>
      <c r="L34" s="561" t="s">
        <v>2487</v>
      </c>
    </row>
    <row r="35" spans="1:12">
      <c r="A35" s="557" t="s">
        <v>2520</v>
      </c>
      <c r="B35" s="558" t="s">
        <v>2521</v>
      </c>
      <c r="C35" s="559">
        <v>0.17499999999999999</v>
      </c>
      <c r="D35" s="559">
        <v>0.2482</v>
      </c>
      <c r="E35" s="560">
        <v>0.29820000000000002</v>
      </c>
      <c r="F35" s="559">
        <v>0.18</v>
      </c>
      <c r="G35" s="561" t="s">
        <v>2487</v>
      </c>
      <c r="H35" s="561" t="s">
        <v>2487</v>
      </c>
      <c r="I35" s="561" t="s">
        <v>2487</v>
      </c>
      <c r="J35" s="561" t="s">
        <v>2487</v>
      </c>
      <c r="K35" s="561" t="s">
        <v>2487</v>
      </c>
      <c r="L35" s="561" t="s">
        <v>2487</v>
      </c>
    </row>
    <row r="36" spans="1:12">
      <c r="A36" s="557" t="s">
        <v>2522</v>
      </c>
      <c r="B36" s="558" t="s">
        <v>2523</v>
      </c>
      <c r="C36" s="559">
        <v>6.4000000000000003E-3</v>
      </c>
      <c r="D36" s="559">
        <v>9.1000000000000004E-3</v>
      </c>
      <c r="E36" s="560">
        <v>5.91E-2</v>
      </c>
      <c r="F36" s="559">
        <v>0.25</v>
      </c>
      <c r="G36" s="561" t="s">
        <v>2487</v>
      </c>
      <c r="H36" s="561" t="s">
        <v>2487</v>
      </c>
      <c r="I36" s="561" t="s">
        <v>2487</v>
      </c>
      <c r="J36" s="561" t="s">
        <v>2487</v>
      </c>
      <c r="K36" s="561" t="s">
        <v>2487</v>
      </c>
      <c r="L36" s="561" t="s">
        <v>2487</v>
      </c>
    </row>
    <row r="37" spans="1:12">
      <c r="A37" s="557" t="s">
        <v>2524</v>
      </c>
      <c r="B37" s="558" t="s">
        <v>2525</v>
      </c>
      <c r="C37" s="559">
        <v>9.6299999999999997E-2</v>
      </c>
      <c r="D37" s="559">
        <v>0.1366</v>
      </c>
      <c r="E37" s="560">
        <v>0.18659999999999999</v>
      </c>
      <c r="F37" s="559">
        <v>0.27179999999999999</v>
      </c>
      <c r="G37" s="561" t="s">
        <v>2487</v>
      </c>
      <c r="H37" s="561" t="s">
        <v>2487</v>
      </c>
      <c r="I37" s="561" t="s">
        <v>2487</v>
      </c>
      <c r="J37" s="561" t="s">
        <v>2487</v>
      </c>
      <c r="K37" s="561" t="s">
        <v>2487</v>
      </c>
      <c r="L37" s="561" t="s">
        <v>2487</v>
      </c>
    </row>
    <row r="38" spans="1:12">
      <c r="A38" s="557" t="s">
        <v>2526</v>
      </c>
      <c r="B38" s="558" t="s">
        <v>2496</v>
      </c>
      <c r="C38" s="559">
        <v>4.82E-2</v>
      </c>
      <c r="D38" s="559">
        <v>6.83E-2</v>
      </c>
      <c r="E38" s="560">
        <v>0.1183</v>
      </c>
      <c r="F38" s="559">
        <v>0.3</v>
      </c>
      <c r="G38" s="561" t="s">
        <v>2487</v>
      </c>
      <c r="H38" s="561" t="s">
        <v>2487</v>
      </c>
      <c r="I38" s="561" t="s">
        <v>2487</v>
      </c>
      <c r="J38" s="561" t="s">
        <v>2487</v>
      </c>
      <c r="K38" s="561" t="s">
        <v>2487</v>
      </c>
      <c r="L38" s="561" t="s">
        <v>2487</v>
      </c>
    </row>
    <row r="39" spans="1:12">
      <c r="A39" s="557" t="s">
        <v>2527</v>
      </c>
      <c r="B39" s="558" t="s">
        <v>2528</v>
      </c>
      <c r="C39" s="559">
        <v>9.1000000000000004E-3</v>
      </c>
      <c r="D39" s="559">
        <v>1.2800000000000001E-2</v>
      </c>
      <c r="E39" s="560">
        <v>6.2799999999999995E-2</v>
      </c>
      <c r="F39" s="559">
        <v>0</v>
      </c>
      <c r="G39" s="561" t="s">
        <v>2487</v>
      </c>
      <c r="H39" s="561" t="s">
        <v>2487</v>
      </c>
      <c r="I39" s="561" t="s">
        <v>2487</v>
      </c>
      <c r="J39" s="561" t="s">
        <v>2487</v>
      </c>
      <c r="K39" s="561" t="s">
        <v>2487</v>
      </c>
      <c r="L39" s="561" t="s">
        <v>2487</v>
      </c>
    </row>
    <row r="40" spans="1:12">
      <c r="A40" s="557" t="s">
        <v>2529</v>
      </c>
      <c r="B40" s="558" t="s">
        <v>2519</v>
      </c>
      <c r="C40" s="559">
        <v>8.0199999999999994E-2</v>
      </c>
      <c r="D40" s="559">
        <v>0.1138</v>
      </c>
      <c r="E40" s="560">
        <v>0.1638</v>
      </c>
      <c r="F40" s="559">
        <v>0.25</v>
      </c>
      <c r="G40" s="561" t="s">
        <v>2487</v>
      </c>
      <c r="H40" s="561" t="s">
        <v>2487</v>
      </c>
      <c r="I40" s="561" t="s">
        <v>2487</v>
      </c>
      <c r="J40" s="561" t="s">
        <v>2487</v>
      </c>
      <c r="K40" s="561" t="s">
        <v>2487</v>
      </c>
      <c r="L40" s="561" t="s">
        <v>2487</v>
      </c>
    </row>
    <row r="41" spans="1:12">
      <c r="A41" s="557" t="s">
        <v>2530</v>
      </c>
      <c r="B41" s="558" t="s">
        <v>2502</v>
      </c>
      <c r="C41" s="559">
        <v>6.9500000000000006E-2</v>
      </c>
      <c r="D41" s="559">
        <v>9.8599999999999993E-2</v>
      </c>
      <c r="E41" s="560">
        <v>0.14860000000000001</v>
      </c>
      <c r="F41" s="559">
        <v>0.1</v>
      </c>
      <c r="G41" s="561" t="s">
        <v>2487</v>
      </c>
      <c r="H41" s="561" t="s">
        <v>2487</v>
      </c>
      <c r="I41" s="561" t="s">
        <v>2487</v>
      </c>
      <c r="J41" s="561" t="s">
        <v>2487</v>
      </c>
      <c r="K41" s="561" t="s">
        <v>2487</v>
      </c>
      <c r="L41" s="561" t="s">
        <v>2487</v>
      </c>
    </row>
    <row r="42" spans="1:12">
      <c r="A42" s="557" t="s">
        <v>2531</v>
      </c>
      <c r="B42" s="558" t="s">
        <v>2532</v>
      </c>
      <c r="C42" s="559">
        <v>1.2800000000000001E-2</v>
      </c>
      <c r="D42" s="559">
        <v>1.8200000000000001E-2</v>
      </c>
      <c r="E42" s="560">
        <v>6.8199999999999997E-2</v>
      </c>
      <c r="F42" s="559">
        <v>0.22</v>
      </c>
      <c r="G42" s="561" t="s">
        <v>2487</v>
      </c>
      <c r="H42" s="561" t="s">
        <v>2487</v>
      </c>
      <c r="I42" s="561" t="s">
        <v>2487</v>
      </c>
      <c r="J42" s="561" t="s">
        <v>2487</v>
      </c>
      <c r="K42" s="561" t="s">
        <v>2487</v>
      </c>
      <c r="L42" s="561" t="s">
        <v>2487</v>
      </c>
    </row>
    <row r="43" spans="1:12">
      <c r="A43" s="557" t="s">
        <v>2533</v>
      </c>
      <c r="B43" s="558" t="s">
        <v>2534</v>
      </c>
      <c r="C43" s="559">
        <v>3.2199999999999999E-2</v>
      </c>
      <c r="D43" s="559">
        <v>4.5699999999999998E-2</v>
      </c>
      <c r="E43" s="560">
        <v>9.5699999999999993E-2</v>
      </c>
      <c r="F43" s="559">
        <v>0.34</v>
      </c>
      <c r="G43" s="561" t="s">
        <v>2487</v>
      </c>
      <c r="H43" s="561" t="s">
        <v>2487</v>
      </c>
      <c r="I43" s="561" t="s">
        <v>2487</v>
      </c>
      <c r="J43" s="561" t="s">
        <v>2487</v>
      </c>
      <c r="K43" s="561" t="s">
        <v>2487</v>
      </c>
      <c r="L43" s="561" t="s">
        <v>2487</v>
      </c>
    </row>
    <row r="44" spans="1:12">
      <c r="A44" s="557" t="s">
        <v>2535</v>
      </c>
      <c r="B44" s="558" t="s">
        <v>2498</v>
      </c>
      <c r="C44" s="559">
        <v>6.4000000000000003E-3</v>
      </c>
      <c r="D44" s="559">
        <v>9.1000000000000004E-3</v>
      </c>
      <c r="E44" s="560">
        <v>5.91E-2</v>
      </c>
      <c r="F44" s="559">
        <v>0.185</v>
      </c>
      <c r="G44" s="561" t="s">
        <v>2487</v>
      </c>
      <c r="H44" s="561" t="s">
        <v>2487</v>
      </c>
      <c r="I44" s="561" t="s">
        <v>2487</v>
      </c>
      <c r="J44" s="561" t="s">
        <v>2487</v>
      </c>
      <c r="K44" s="561" t="s">
        <v>2487</v>
      </c>
      <c r="L44" s="561" t="s">
        <v>2487</v>
      </c>
    </row>
    <row r="45" spans="1:12">
      <c r="A45" s="557" t="s">
        <v>2536</v>
      </c>
      <c r="B45" s="558" t="s">
        <v>2537</v>
      </c>
      <c r="C45" s="559">
        <v>1.7100000000000001E-2</v>
      </c>
      <c r="D45" s="559">
        <v>2.4299999999999999E-2</v>
      </c>
      <c r="E45" s="560">
        <v>7.4300000000000005E-2</v>
      </c>
      <c r="F45" s="559">
        <v>0.1</v>
      </c>
      <c r="G45" s="561" t="s">
        <v>2487</v>
      </c>
      <c r="H45" s="561" t="s">
        <v>2487</v>
      </c>
      <c r="I45" s="561" t="s">
        <v>2487</v>
      </c>
      <c r="J45" s="561" t="s">
        <v>2487</v>
      </c>
      <c r="K45" s="561" t="s">
        <v>2487</v>
      </c>
      <c r="L45" s="561" t="s">
        <v>2487</v>
      </c>
    </row>
    <row r="46" spans="1:12">
      <c r="A46" s="557" t="s">
        <v>2538</v>
      </c>
      <c r="B46" s="558" t="s">
        <v>2519</v>
      </c>
      <c r="C46" s="559">
        <v>8.0199999999999994E-2</v>
      </c>
      <c r="D46" s="559">
        <v>0.1138</v>
      </c>
      <c r="E46" s="560">
        <v>0.1638</v>
      </c>
      <c r="F46" s="559">
        <v>0.28000000000000003</v>
      </c>
      <c r="G46" s="561" t="s">
        <v>2487</v>
      </c>
      <c r="H46" s="561" t="s">
        <v>2487</v>
      </c>
      <c r="I46" s="561" t="s">
        <v>2487</v>
      </c>
      <c r="J46" s="561" t="s">
        <v>2487</v>
      </c>
      <c r="K46" s="561" t="s">
        <v>2487</v>
      </c>
      <c r="L46" s="561" t="s">
        <v>2487</v>
      </c>
    </row>
    <row r="47" spans="1:12">
      <c r="A47" s="557" t="s">
        <v>2539</v>
      </c>
      <c r="B47" s="558" t="s">
        <v>2516</v>
      </c>
      <c r="C47" s="559">
        <v>5.8799999999999998E-2</v>
      </c>
      <c r="D47" s="559">
        <v>8.3500000000000005E-2</v>
      </c>
      <c r="E47" s="560">
        <v>0.13350000000000001</v>
      </c>
      <c r="F47" s="559">
        <v>0.2</v>
      </c>
      <c r="G47" s="561" t="s">
        <v>2487</v>
      </c>
      <c r="H47" s="561" t="s">
        <v>2487</v>
      </c>
      <c r="I47" s="561" t="s">
        <v>2487</v>
      </c>
      <c r="J47" s="561" t="s">
        <v>2487</v>
      </c>
      <c r="K47" s="561" t="s">
        <v>2487</v>
      </c>
      <c r="L47" s="561" t="s">
        <v>2487</v>
      </c>
    </row>
    <row r="48" spans="1:12">
      <c r="A48" s="557" t="s">
        <v>2540</v>
      </c>
      <c r="B48" s="558" t="s">
        <v>2516</v>
      </c>
      <c r="C48" s="559">
        <v>5.8799999999999998E-2</v>
      </c>
      <c r="D48" s="559">
        <v>8.3500000000000005E-2</v>
      </c>
      <c r="E48" s="560">
        <v>0.13350000000000001</v>
      </c>
      <c r="F48" s="559">
        <v>0.33</v>
      </c>
      <c r="G48" s="561" t="s">
        <v>2487</v>
      </c>
      <c r="H48" s="561" t="s">
        <v>2487</v>
      </c>
      <c r="I48" s="561" t="s">
        <v>2487</v>
      </c>
      <c r="J48" s="561" t="s">
        <v>2487</v>
      </c>
      <c r="K48" s="561" t="s">
        <v>2487</v>
      </c>
      <c r="L48" s="561" t="s">
        <v>2487</v>
      </c>
    </row>
    <row r="49" spans="1:12">
      <c r="A49" s="557" t="s">
        <v>2541</v>
      </c>
      <c r="B49" s="558" t="s">
        <v>2509</v>
      </c>
      <c r="C49" s="559">
        <v>0</v>
      </c>
      <c r="D49" s="559">
        <v>0</v>
      </c>
      <c r="E49" s="560">
        <v>0.05</v>
      </c>
      <c r="F49" s="559">
        <v>0.25</v>
      </c>
      <c r="G49" s="561" t="s">
        <v>2487</v>
      </c>
      <c r="H49" s="561" t="s">
        <v>2487</v>
      </c>
      <c r="I49" s="561" t="s">
        <v>2487</v>
      </c>
      <c r="J49" s="561" t="s">
        <v>2487</v>
      </c>
      <c r="K49" s="561" t="s">
        <v>2487</v>
      </c>
      <c r="L49" s="561" t="s">
        <v>2487</v>
      </c>
    </row>
    <row r="50" spans="1:12">
      <c r="A50" s="557" t="s">
        <v>2542</v>
      </c>
      <c r="B50" s="558" t="s">
        <v>2502</v>
      </c>
      <c r="C50" s="559">
        <v>6.9500000000000006E-2</v>
      </c>
      <c r="D50" s="559">
        <v>9.8599999999999993E-2</v>
      </c>
      <c r="E50" s="560">
        <v>0.14860000000000001</v>
      </c>
      <c r="F50" s="559">
        <v>0</v>
      </c>
      <c r="G50" s="561" t="s">
        <v>2487</v>
      </c>
      <c r="H50" s="561" t="s">
        <v>2487</v>
      </c>
      <c r="I50" s="561" t="s">
        <v>2487</v>
      </c>
      <c r="J50" s="561" t="s">
        <v>2487</v>
      </c>
      <c r="K50" s="561" t="s">
        <v>2487</v>
      </c>
      <c r="L50" s="561" t="s">
        <v>2487</v>
      </c>
    </row>
    <row r="51" spans="1:12">
      <c r="A51" s="557" t="s">
        <v>2543</v>
      </c>
      <c r="B51" s="558" t="s">
        <v>2523</v>
      </c>
      <c r="C51" s="559">
        <v>6.4000000000000003E-3</v>
      </c>
      <c r="D51" s="559">
        <v>9.1000000000000004E-3</v>
      </c>
      <c r="E51" s="560">
        <v>5.91E-2</v>
      </c>
      <c r="F51" s="559">
        <v>0</v>
      </c>
      <c r="G51" s="561" t="s">
        <v>2487</v>
      </c>
      <c r="H51" s="561" t="s">
        <v>2487</v>
      </c>
      <c r="I51" s="561" t="s">
        <v>2487</v>
      </c>
      <c r="J51" s="561" t="s">
        <v>2487</v>
      </c>
      <c r="K51" s="561" t="s">
        <v>2487</v>
      </c>
      <c r="L51" s="561" t="s">
        <v>2487</v>
      </c>
    </row>
    <row r="52" spans="1:12">
      <c r="A52" s="557" t="s">
        <v>2544</v>
      </c>
      <c r="B52" s="558" t="s">
        <v>2528</v>
      </c>
      <c r="C52" s="559">
        <v>9.1000000000000004E-3</v>
      </c>
      <c r="D52" s="559">
        <v>1.2800000000000001E-2</v>
      </c>
      <c r="E52" s="560">
        <v>6.2799999999999995E-2</v>
      </c>
      <c r="F52" s="559">
        <v>0.27</v>
      </c>
      <c r="G52" s="561" t="s">
        <v>2487</v>
      </c>
      <c r="H52" s="561" t="s">
        <v>2487</v>
      </c>
      <c r="I52" s="561" t="s">
        <v>2487</v>
      </c>
      <c r="J52" s="561" t="s">
        <v>2487</v>
      </c>
      <c r="K52" s="561" t="s">
        <v>2487</v>
      </c>
      <c r="L52" s="561" t="s">
        <v>2487</v>
      </c>
    </row>
    <row r="53" spans="1:12">
      <c r="A53" s="557" t="s">
        <v>2328</v>
      </c>
      <c r="B53" s="558" t="s">
        <v>2545</v>
      </c>
      <c r="C53" s="559">
        <v>7.4999999999999997E-3</v>
      </c>
      <c r="D53" s="559">
        <v>1.0699999999999999E-2</v>
      </c>
      <c r="E53" s="560">
        <v>6.0699999999999997E-2</v>
      </c>
      <c r="F53" s="559">
        <v>0.25</v>
      </c>
      <c r="G53" s="561" t="s">
        <v>2487</v>
      </c>
      <c r="H53" s="561" t="s">
        <v>2487</v>
      </c>
      <c r="I53" s="561" t="s">
        <v>2487</v>
      </c>
      <c r="J53" s="561" t="s">
        <v>2487</v>
      </c>
      <c r="K53" s="561" t="s">
        <v>2487</v>
      </c>
      <c r="L53" s="561" t="s">
        <v>2487</v>
      </c>
    </row>
    <row r="54" spans="1:12">
      <c r="A54" s="557" t="s">
        <v>2546</v>
      </c>
      <c r="B54" s="558" t="s">
        <v>2500</v>
      </c>
      <c r="C54" s="559">
        <v>2.0400000000000001E-2</v>
      </c>
      <c r="D54" s="559">
        <v>2.8899999999999999E-2</v>
      </c>
      <c r="E54" s="560">
        <v>7.8899999999999998E-2</v>
      </c>
      <c r="F54" s="559">
        <v>0.35</v>
      </c>
      <c r="G54" s="561" t="s">
        <v>2487</v>
      </c>
      <c r="H54" s="561" t="s">
        <v>2487</v>
      </c>
      <c r="I54" s="561" t="s">
        <v>2487</v>
      </c>
      <c r="J54" s="561" t="s">
        <v>2487</v>
      </c>
      <c r="K54" s="561" t="s">
        <v>2487</v>
      </c>
      <c r="L54" s="561" t="s">
        <v>2487</v>
      </c>
    </row>
    <row r="55" spans="1:12">
      <c r="A55" s="557" t="s">
        <v>2547</v>
      </c>
      <c r="B55" s="558" t="s">
        <v>2502</v>
      </c>
      <c r="C55" s="559">
        <v>6.9500000000000006E-2</v>
      </c>
      <c r="D55" s="559">
        <v>9.8599999999999993E-2</v>
      </c>
      <c r="E55" s="560">
        <v>0.14860000000000001</v>
      </c>
      <c r="F55" s="559">
        <v>0.3</v>
      </c>
      <c r="G55" s="561" t="s">
        <v>2487</v>
      </c>
      <c r="H55" s="561" t="s">
        <v>2487</v>
      </c>
      <c r="I55" s="561" t="s">
        <v>2487</v>
      </c>
      <c r="J55" s="561" t="s">
        <v>2487</v>
      </c>
      <c r="K55" s="561" t="s">
        <v>2487</v>
      </c>
      <c r="L55" s="561" t="s">
        <v>2487</v>
      </c>
    </row>
    <row r="56" spans="1:12">
      <c r="A56" s="557" t="s">
        <v>2548</v>
      </c>
      <c r="B56" s="558" t="s">
        <v>2525</v>
      </c>
      <c r="C56" s="559">
        <v>9.6299999999999997E-2</v>
      </c>
      <c r="D56" s="559">
        <v>0.1366</v>
      </c>
      <c r="E56" s="560">
        <v>0.18659999999999999</v>
      </c>
      <c r="F56" s="559">
        <v>0.28000000000000003</v>
      </c>
      <c r="G56" s="561" t="s">
        <v>2487</v>
      </c>
      <c r="H56" s="561" t="s">
        <v>2487</v>
      </c>
      <c r="I56" s="561" t="s">
        <v>2487</v>
      </c>
      <c r="J56" s="561" t="s">
        <v>2487</v>
      </c>
      <c r="K56" s="561" t="s">
        <v>2487</v>
      </c>
      <c r="L56" s="561" t="s">
        <v>2487</v>
      </c>
    </row>
    <row r="57" spans="1:12">
      <c r="A57" s="557" t="s">
        <v>2549</v>
      </c>
      <c r="B57" s="558" t="s">
        <v>2516</v>
      </c>
      <c r="C57" s="559">
        <v>5.8799999999999998E-2</v>
      </c>
      <c r="D57" s="559">
        <v>8.3500000000000005E-2</v>
      </c>
      <c r="E57" s="560">
        <v>0.13350000000000001</v>
      </c>
      <c r="F57" s="559">
        <v>0.2843</v>
      </c>
      <c r="G57" s="561" t="s">
        <v>2487</v>
      </c>
      <c r="H57" s="561" t="s">
        <v>2487</v>
      </c>
      <c r="I57" s="561" t="s">
        <v>2487</v>
      </c>
      <c r="J57" s="561" t="s">
        <v>2487</v>
      </c>
      <c r="K57" s="561" t="s">
        <v>2487</v>
      </c>
      <c r="L57" s="561" t="s">
        <v>2487</v>
      </c>
    </row>
    <row r="58" spans="1:12">
      <c r="A58" s="557" t="s">
        <v>2550</v>
      </c>
      <c r="B58" s="558" t="s">
        <v>2516</v>
      </c>
      <c r="C58" s="559">
        <v>5.8799999999999998E-2</v>
      </c>
      <c r="D58" s="559">
        <v>8.3500000000000005E-2</v>
      </c>
      <c r="E58" s="560">
        <v>0.13350000000000001</v>
      </c>
      <c r="F58" s="559">
        <v>0.3</v>
      </c>
      <c r="G58" s="561" t="s">
        <v>2487</v>
      </c>
      <c r="H58" s="561" t="s">
        <v>2487</v>
      </c>
      <c r="I58" s="561" t="s">
        <v>2487</v>
      </c>
      <c r="J58" s="561" t="s">
        <v>2487</v>
      </c>
      <c r="K58" s="561" t="s">
        <v>2487</v>
      </c>
      <c r="L58" s="561" t="s">
        <v>2487</v>
      </c>
    </row>
    <row r="59" spans="1:12">
      <c r="A59" s="557" t="s">
        <v>2551</v>
      </c>
      <c r="B59" s="558" t="s">
        <v>2506</v>
      </c>
      <c r="C59" s="559">
        <v>3.85E-2</v>
      </c>
      <c r="D59" s="559">
        <v>5.4600000000000003E-2</v>
      </c>
      <c r="E59" s="560">
        <v>0.1046</v>
      </c>
      <c r="F59" s="559">
        <v>0.25</v>
      </c>
      <c r="G59" s="561" t="s">
        <v>2487</v>
      </c>
      <c r="H59" s="561" t="s">
        <v>2487</v>
      </c>
      <c r="I59" s="561" t="s">
        <v>2487</v>
      </c>
      <c r="J59" s="561" t="s">
        <v>2487</v>
      </c>
      <c r="K59" s="561" t="s">
        <v>2487</v>
      </c>
      <c r="L59" s="561" t="s">
        <v>2487</v>
      </c>
    </row>
    <row r="60" spans="1:12">
      <c r="A60" s="557" t="s">
        <v>2552</v>
      </c>
      <c r="B60" s="558" t="s">
        <v>2500</v>
      </c>
      <c r="C60" s="559">
        <v>2.0400000000000001E-2</v>
      </c>
      <c r="D60" s="559">
        <v>2.8899999999999999E-2</v>
      </c>
      <c r="E60" s="560">
        <v>7.8899999999999998E-2</v>
      </c>
      <c r="F60" s="559">
        <v>0.18</v>
      </c>
      <c r="G60" s="561" t="s">
        <v>2487</v>
      </c>
      <c r="H60" s="561" t="s">
        <v>2487</v>
      </c>
      <c r="I60" s="561" t="s">
        <v>2487</v>
      </c>
      <c r="J60" s="561" t="s">
        <v>2487</v>
      </c>
      <c r="K60" s="561" t="s">
        <v>2487</v>
      </c>
      <c r="L60" s="561" t="s">
        <v>2487</v>
      </c>
    </row>
    <row r="61" spans="1:12">
      <c r="A61" s="557" t="s">
        <v>2553</v>
      </c>
      <c r="B61" s="558" t="s">
        <v>2504</v>
      </c>
      <c r="C61" s="559">
        <v>0.12839999999999999</v>
      </c>
      <c r="D61" s="559">
        <v>0.18210000000000001</v>
      </c>
      <c r="E61" s="560">
        <v>0.2321</v>
      </c>
      <c r="F61" s="559">
        <v>0.27179999999999999</v>
      </c>
      <c r="G61" s="561" t="s">
        <v>2487</v>
      </c>
      <c r="H61" s="561" t="s">
        <v>2487</v>
      </c>
      <c r="I61" s="561" t="s">
        <v>2487</v>
      </c>
      <c r="J61" s="561" t="s">
        <v>2487</v>
      </c>
      <c r="K61" s="561" t="s">
        <v>2487</v>
      </c>
      <c r="L61" s="561" t="s">
        <v>2487</v>
      </c>
    </row>
    <row r="62" spans="1:12">
      <c r="A62" s="557" t="s">
        <v>2554</v>
      </c>
      <c r="B62" s="558" t="s">
        <v>2500</v>
      </c>
      <c r="C62" s="559">
        <v>2.0400000000000001E-2</v>
      </c>
      <c r="D62" s="559">
        <v>2.8899999999999999E-2</v>
      </c>
      <c r="E62" s="560">
        <v>7.8899999999999998E-2</v>
      </c>
      <c r="F62" s="559">
        <v>0.22</v>
      </c>
      <c r="G62" s="561" t="s">
        <v>2487</v>
      </c>
      <c r="H62" s="561" t="s">
        <v>2487</v>
      </c>
      <c r="I62" s="561" t="s">
        <v>2487</v>
      </c>
      <c r="J62" s="561" t="s">
        <v>2487</v>
      </c>
      <c r="K62" s="561" t="s">
        <v>2487</v>
      </c>
      <c r="L62" s="561" t="s">
        <v>2487</v>
      </c>
    </row>
    <row r="63" spans="1:12">
      <c r="A63" s="557" t="s">
        <v>2555</v>
      </c>
      <c r="B63" s="558" t="s">
        <v>2513</v>
      </c>
      <c r="C63" s="559">
        <v>2.6800000000000001E-2</v>
      </c>
      <c r="D63" s="559">
        <v>3.7999999999999999E-2</v>
      </c>
      <c r="E63" s="560">
        <v>8.7999999999999995E-2</v>
      </c>
      <c r="F63" s="559">
        <v>0.125</v>
      </c>
      <c r="G63" s="561" t="s">
        <v>2487</v>
      </c>
      <c r="H63" s="561" t="s">
        <v>2487</v>
      </c>
      <c r="I63" s="561" t="s">
        <v>2487</v>
      </c>
      <c r="J63" s="561" t="s">
        <v>2487</v>
      </c>
      <c r="K63" s="561" t="s">
        <v>2487</v>
      </c>
      <c r="L63" s="561" t="s">
        <v>2487</v>
      </c>
    </row>
    <row r="64" spans="1:12">
      <c r="A64" s="557" t="s">
        <v>2556</v>
      </c>
      <c r="B64" s="558" t="s">
        <v>2523</v>
      </c>
      <c r="C64" s="559">
        <v>6.4000000000000003E-3</v>
      </c>
      <c r="D64" s="559">
        <v>9.1000000000000004E-3</v>
      </c>
      <c r="E64" s="560">
        <v>5.91E-2</v>
      </c>
      <c r="F64" s="559">
        <v>0.19</v>
      </c>
      <c r="G64" s="561" t="s">
        <v>2487</v>
      </c>
      <c r="H64" s="561" t="s">
        <v>2487</v>
      </c>
      <c r="I64" s="561" t="s">
        <v>2487</v>
      </c>
      <c r="J64" s="561" t="s">
        <v>2487</v>
      </c>
      <c r="K64" s="561" t="s">
        <v>2487</v>
      </c>
      <c r="L64" s="561" t="s">
        <v>2487</v>
      </c>
    </row>
    <row r="65" spans="1:12">
      <c r="A65" s="557" t="s">
        <v>2557</v>
      </c>
      <c r="B65" s="558" t="s">
        <v>2509</v>
      </c>
      <c r="C65" s="559">
        <v>0</v>
      </c>
      <c r="D65" s="559">
        <v>0</v>
      </c>
      <c r="E65" s="560">
        <v>0.05</v>
      </c>
      <c r="F65" s="559">
        <v>0.22</v>
      </c>
      <c r="G65" s="561" t="s">
        <v>2487</v>
      </c>
      <c r="H65" s="561" t="s">
        <v>2487</v>
      </c>
      <c r="I65" s="561" t="s">
        <v>2487</v>
      </c>
      <c r="J65" s="561" t="s">
        <v>2487</v>
      </c>
      <c r="K65" s="561" t="s">
        <v>2487</v>
      </c>
      <c r="L65" s="561" t="s">
        <v>2487</v>
      </c>
    </row>
    <row r="66" spans="1:12">
      <c r="A66" s="557" t="s">
        <v>2558</v>
      </c>
      <c r="B66" s="558" t="s">
        <v>2506</v>
      </c>
      <c r="C66" s="559">
        <v>3.85E-2</v>
      </c>
      <c r="D66" s="559">
        <v>5.4600000000000003E-2</v>
      </c>
      <c r="E66" s="560">
        <v>0.1046</v>
      </c>
      <c r="F66" s="559">
        <v>0.27</v>
      </c>
      <c r="G66" s="561" t="s">
        <v>2487</v>
      </c>
      <c r="H66" s="561" t="s">
        <v>2487</v>
      </c>
      <c r="I66" s="561" t="s">
        <v>2487</v>
      </c>
      <c r="J66" s="561" t="s">
        <v>2487</v>
      </c>
      <c r="K66" s="561" t="s">
        <v>2487</v>
      </c>
      <c r="L66" s="561" t="s">
        <v>2487</v>
      </c>
    </row>
    <row r="67" spans="1:12">
      <c r="A67" s="557" t="s">
        <v>2559</v>
      </c>
      <c r="B67" s="558" t="s">
        <v>2560</v>
      </c>
      <c r="C67" s="559">
        <v>0.107</v>
      </c>
      <c r="D67" s="559">
        <v>0.15179999999999999</v>
      </c>
      <c r="E67" s="560">
        <v>0.20180000000000001</v>
      </c>
      <c r="F67" s="559">
        <v>0.25</v>
      </c>
      <c r="G67" s="561" t="s">
        <v>2487</v>
      </c>
      <c r="H67" s="561" t="s">
        <v>2487</v>
      </c>
      <c r="I67" s="561" t="s">
        <v>2487</v>
      </c>
      <c r="J67" s="561" t="s">
        <v>2487</v>
      </c>
      <c r="K67" s="561" t="s">
        <v>2487</v>
      </c>
      <c r="L67" s="561" t="s">
        <v>2487</v>
      </c>
    </row>
    <row r="68" spans="1:12">
      <c r="A68" s="557" t="s">
        <v>2561</v>
      </c>
      <c r="B68" s="558" t="s">
        <v>2502</v>
      </c>
      <c r="C68" s="559">
        <v>6.9500000000000006E-2</v>
      </c>
      <c r="D68" s="559">
        <v>9.8599999999999993E-2</v>
      </c>
      <c r="E68" s="560">
        <v>0.14860000000000001</v>
      </c>
      <c r="F68" s="559">
        <v>0.22500000000000001</v>
      </c>
      <c r="G68" s="561" t="s">
        <v>2487</v>
      </c>
      <c r="H68" s="561" t="s">
        <v>2487</v>
      </c>
      <c r="I68" s="561" t="s">
        <v>2487</v>
      </c>
      <c r="J68" s="561" t="s">
        <v>2487</v>
      </c>
      <c r="K68" s="561" t="s">
        <v>2487</v>
      </c>
      <c r="L68" s="561" t="s">
        <v>2487</v>
      </c>
    </row>
    <row r="69" spans="1:12">
      <c r="A69" s="557" t="s">
        <v>2562</v>
      </c>
      <c r="B69" s="558" t="s">
        <v>2560</v>
      </c>
      <c r="C69" s="559">
        <v>0.107</v>
      </c>
      <c r="D69" s="559">
        <v>0.15179999999999999</v>
      </c>
      <c r="E69" s="560">
        <v>0.20180000000000001</v>
      </c>
      <c r="F69" s="559">
        <v>0.3</v>
      </c>
      <c r="G69" s="561" t="s">
        <v>2487</v>
      </c>
      <c r="H69" s="561" t="s">
        <v>2487</v>
      </c>
      <c r="I69" s="561" t="s">
        <v>2487</v>
      </c>
      <c r="J69" s="561" t="s">
        <v>2487</v>
      </c>
      <c r="K69" s="561" t="s">
        <v>2487</v>
      </c>
      <c r="L69" s="561" t="s">
        <v>2487</v>
      </c>
    </row>
    <row r="70" spans="1:12">
      <c r="A70" s="557" t="s">
        <v>2563</v>
      </c>
      <c r="B70" s="558" t="s">
        <v>2545</v>
      </c>
      <c r="C70" s="559">
        <v>7.4999999999999997E-3</v>
      </c>
      <c r="D70" s="559">
        <v>1.0699999999999999E-2</v>
      </c>
      <c r="E70" s="560">
        <v>6.0699999999999997E-2</v>
      </c>
      <c r="F70" s="559">
        <v>0.2</v>
      </c>
      <c r="G70" s="561" t="s">
        <v>2487</v>
      </c>
      <c r="H70" s="561" t="s">
        <v>2487</v>
      </c>
      <c r="I70" s="561" t="s">
        <v>2487</v>
      </c>
      <c r="J70" s="561" t="s">
        <v>2487</v>
      </c>
      <c r="K70" s="561" t="s">
        <v>2487</v>
      </c>
      <c r="L70" s="561" t="s">
        <v>2487</v>
      </c>
    </row>
    <row r="71" spans="1:12">
      <c r="A71" s="557" t="s">
        <v>2564</v>
      </c>
      <c r="B71" s="558" t="s">
        <v>2525</v>
      </c>
      <c r="C71" s="559">
        <v>9.6299999999999997E-2</v>
      </c>
      <c r="D71" s="559">
        <v>0.1366</v>
      </c>
      <c r="E71" s="560">
        <v>0.18659999999999999</v>
      </c>
      <c r="F71" s="559">
        <v>0.3</v>
      </c>
      <c r="G71" s="561" t="s">
        <v>2487</v>
      </c>
      <c r="H71" s="561" t="s">
        <v>2487</v>
      </c>
      <c r="I71" s="561" t="s">
        <v>2487</v>
      </c>
      <c r="J71" s="561" t="s">
        <v>2487</v>
      </c>
      <c r="K71" s="561" t="s">
        <v>2487</v>
      </c>
      <c r="L71" s="561" t="s">
        <v>2487</v>
      </c>
    </row>
    <row r="72" spans="1:12">
      <c r="A72" s="557" t="s">
        <v>2565</v>
      </c>
      <c r="B72" s="558" t="s">
        <v>2496</v>
      </c>
      <c r="C72" s="559">
        <v>4.82E-2</v>
      </c>
      <c r="D72" s="559">
        <v>6.83E-2</v>
      </c>
      <c r="E72" s="560">
        <v>0.1183</v>
      </c>
      <c r="F72" s="559">
        <v>0.2</v>
      </c>
      <c r="G72" s="561" t="s">
        <v>2487</v>
      </c>
      <c r="H72" s="561" t="s">
        <v>2487</v>
      </c>
      <c r="I72" s="561" t="s">
        <v>2487</v>
      </c>
      <c r="J72" s="561" t="s">
        <v>2487</v>
      </c>
      <c r="K72" s="561" t="s">
        <v>2487</v>
      </c>
      <c r="L72" s="561" t="s">
        <v>2487</v>
      </c>
    </row>
    <row r="73" spans="1:12">
      <c r="A73" s="557" t="s">
        <v>2566</v>
      </c>
      <c r="B73" s="558" t="s">
        <v>2511</v>
      </c>
      <c r="C73" s="559">
        <v>4.3E-3</v>
      </c>
      <c r="D73" s="559">
        <v>6.1000000000000004E-3</v>
      </c>
      <c r="E73" s="560">
        <v>5.6099999999999997E-2</v>
      </c>
      <c r="F73" s="559">
        <v>0.2</v>
      </c>
      <c r="G73" s="561" t="s">
        <v>2487</v>
      </c>
      <c r="H73" s="561" t="s">
        <v>2487</v>
      </c>
      <c r="I73" s="561" t="s">
        <v>2487</v>
      </c>
      <c r="J73" s="561" t="s">
        <v>2487</v>
      </c>
      <c r="K73" s="561" t="s">
        <v>2487</v>
      </c>
      <c r="L73" s="561" t="s">
        <v>2487</v>
      </c>
    </row>
    <row r="74" spans="1:12">
      <c r="A74" s="557" t="s">
        <v>2567</v>
      </c>
      <c r="B74" s="558" t="s">
        <v>2494</v>
      </c>
      <c r="C74" s="559">
        <v>5.3E-3</v>
      </c>
      <c r="D74" s="559">
        <v>7.4999999999999997E-3</v>
      </c>
      <c r="E74" s="560">
        <v>5.7500000000000002E-2</v>
      </c>
      <c r="F74" s="559">
        <v>0.25</v>
      </c>
      <c r="G74" s="561" t="s">
        <v>2487</v>
      </c>
      <c r="H74" s="561" t="s">
        <v>2487</v>
      </c>
      <c r="I74" s="561" t="s">
        <v>2487</v>
      </c>
      <c r="J74" s="561" t="s">
        <v>2487</v>
      </c>
      <c r="K74" s="561" t="s">
        <v>2487</v>
      </c>
      <c r="L74" s="561" t="s">
        <v>2487</v>
      </c>
    </row>
    <row r="75" spans="1:12">
      <c r="A75" s="557" t="s">
        <v>2568</v>
      </c>
      <c r="B75" s="558" t="s">
        <v>2519</v>
      </c>
      <c r="C75" s="559">
        <v>8.0199999999999994E-2</v>
      </c>
      <c r="D75" s="559">
        <v>0.1138</v>
      </c>
      <c r="E75" s="560">
        <v>0.1638</v>
      </c>
      <c r="F75" s="559">
        <v>0.3</v>
      </c>
      <c r="G75" s="561" t="s">
        <v>2487</v>
      </c>
      <c r="H75" s="561" t="s">
        <v>2487</v>
      </c>
      <c r="I75" s="561" t="s">
        <v>2487</v>
      </c>
      <c r="J75" s="561" t="s">
        <v>2487</v>
      </c>
      <c r="K75" s="561" t="s">
        <v>2487</v>
      </c>
      <c r="L75" s="561" t="s">
        <v>2487</v>
      </c>
    </row>
    <row r="76" spans="1:12">
      <c r="A76" s="557" t="s">
        <v>2569</v>
      </c>
      <c r="B76" s="558" t="s">
        <v>2498</v>
      </c>
      <c r="C76" s="559">
        <v>5.8799999999999998E-2</v>
      </c>
      <c r="D76" s="559">
        <v>8.3500000000000005E-2</v>
      </c>
      <c r="E76" s="560">
        <v>0.13350000000000001</v>
      </c>
      <c r="F76" s="559">
        <v>0.31</v>
      </c>
      <c r="G76" s="561" t="s">
        <v>2487</v>
      </c>
      <c r="H76" s="561" t="s">
        <v>2487</v>
      </c>
      <c r="I76" s="561" t="s">
        <v>2487</v>
      </c>
      <c r="J76" s="561" t="s">
        <v>2487</v>
      </c>
      <c r="K76" s="561" t="s">
        <v>2487</v>
      </c>
      <c r="L76" s="561" t="s">
        <v>2487</v>
      </c>
    </row>
    <row r="77" spans="1:12">
      <c r="A77" s="557" t="s">
        <v>2570</v>
      </c>
      <c r="B77" s="558" t="s">
        <v>2534</v>
      </c>
      <c r="C77" s="559">
        <v>3.2199999999999999E-2</v>
      </c>
      <c r="D77" s="559">
        <v>4.5699999999999998E-2</v>
      </c>
      <c r="E77" s="560">
        <v>9.5699999999999993E-2</v>
      </c>
      <c r="F77" s="559">
        <v>0.15</v>
      </c>
      <c r="G77" s="561" t="s">
        <v>2487</v>
      </c>
      <c r="H77" s="561" t="s">
        <v>2487</v>
      </c>
      <c r="I77" s="561" t="s">
        <v>2487</v>
      </c>
      <c r="J77" s="561" t="s">
        <v>2487</v>
      </c>
      <c r="K77" s="561" t="s">
        <v>2487</v>
      </c>
      <c r="L77" s="561" t="s">
        <v>2487</v>
      </c>
    </row>
    <row r="78" spans="1:12">
      <c r="A78" s="557" t="s">
        <v>2571</v>
      </c>
      <c r="B78" s="558" t="s">
        <v>2509</v>
      </c>
      <c r="C78" s="559">
        <v>0</v>
      </c>
      <c r="D78" s="559">
        <v>0</v>
      </c>
      <c r="E78" s="560">
        <v>0.05</v>
      </c>
      <c r="F78" s="559">
        <v>0.3</v>
      </c>
      <c r="G78" s="561" t="s">
        <v>2487</v>
      </c>
      <c r="H78" s="561" t="s">
        <v>2487</v>
      </c>
      <c r="I78" s="561" t="s">
        <v>2487</v>
      </c>
      <c r="J78" s="561" t="s">
        <v>2487</v>
      </c>
      <c r="K78" s="561" t="s">
        <v>2487</v>
      </c>
      <c r="L78" s="561" t="s">
        <v>2487</v>
      </c>
    </row>
    <row r="79" spans="1:12">
      <c r="A79" s="557" t="s">
        <v>2572</v>
      </c>
      <c r="B79" s="558" t="s">
        <v>2504</v>
      </c>
      <c r="C79" s="559">
        <v>0.12839999999999999</v>
      </c>
      <c r="D79" s="559">
        <v>0.18210000000000001</v>
      </c>
      <c r="E79" s="560">
        <v>0.2321</v>
      </c>
      <c r="F79" s="559">
        <v>0.25</v>
      </c>
      <c r="G79" s="561" t="s">
        <v>2487</v>
      </c>
      <c r="H79" s="561" t="s">
        <v>2487</v>
      </c>
      <c r="I79" s="561" t="s">
        <v>2487</v>
      </c>
      <c r="J79" s="561" t="s">
        <v>2487</v>
      </c>
      <c r="K79" s="561" t="s">
        <v>2487</v>
      </c>
      <c r="L79" s="561" t="s">
        <v>2487</v>
      </c>
    </row>
    <row r="80" spans="1:12">
      <c r="A80" s="557" t="s">
        <v>2573</v>
      </c>
      <c r="B80" s="558" t="s">
        <v>2506</v>
      </c>
      <c r="C80" s="559">
        <v>3.85E-2</v>
      </c>
      <c r="D80" s="559">
        <v>5.4600000000000003E-2</v>
      </c>
      <c r="E80" s="560">
        <v>0.1046</v>
      </c>
      <c r="F80" s="559">
        <v>0.22</v>
      </c>
      <c r="G80" s="561" t="s">
        <v>2487</v>
      </c>
      <c r="H80" s="561" t="s">
        <v>2487</v>
      </c>
      <c r="I80" s="561" t="s">
        <v>2487</v>
      </c>
      <c r="J80" s="561" t="s">
        <v>2487</v>
      </c>
      <c r="K80" s="561" t="s">
        <v>2487</v>
      </c>
      <c r="L80" s="561" t="s">
        <v>2487</v>
      </c>
    </row>
    <row r="81" spans="1:12">
      <c r="A81" s="557" t="s">
        <v>2574</v>
      </c>
      <c r="B81" s="558" t="s">
        <v>2513</v>
      </c>
      <c r="C81" s="559">
        <v>2.6800000000000001E-2</v>
      </c>
      <c r="D81" s="559">
        <v>3.7999999999999999E-2</v>
      </c>
      <c r="E81" s="560">
        <v>8.7999999999999995E-2</v>
      </c>
      <c r="F81" s="559">
        <v>0.25</v>
      </c>
      <c r="G81" s="561" t="s">
        <v>2487</v>
      </c>
      <c r="H81" s="561" t="s">
        <v>2487</v>
      </c>
      <c r="I81" s="561" t="s">
        <v>2487</v>
      </c>
      <c r="J81" s="561" t="s">
        <v>2487</v>
      </c>
      <c r="K81" s="561" t="s">
        <v>2487</v>
      </c>
      <c r="L81" s="561" t="s">
        <v>2487</v>
      </c>
    </row>
    <row r="82" spans="1:12">
      <c r="A82" s="557" t="s">
        <v>2575</v>
      </c>
      <c r="B82" s="558" t="s">
        <v>2494</v>
      </c>
      <c r="C82" s="559">
        <v>5.3E-3</v>
      </c>
      <c r="D82" s="559">
        <v>7.4999999999999997E-3</v>
      </c>
      <c r="E82" s="560">
        <v>5.7500000000000002E-2</v>
      </c>
      <c r="F82" s="559">
        <v>0</v>
      </c>
      <c r="G82" s="561" t="s">
        <v>2487</v>
      </c>
      <c r="H82" s="561" t="s">
        <v>2487</v>
      </c>
      <c r="I82" s="561" t="s">
        <v>2487</v>
      </c>
      <c r="J82" s="561" t="s">
        <v>2487</v>
      </c>
      <c r="K82" s="561" t="s">
        <v>2487</v>
      </c>
      <c r="L82" s="561" t="s">
        <v>2487</v>
      </c>
    </row>
    <row r="83" spans="1:12">
      <c r="A83" s="557" t="s">
        <v>2576</v>
      </c>
      <c r="B83" s="558" t="s">
        <v>2498</v>
      </c>
      <c r="C83" s="559">
        <v>9.6299999999999997E-2</v>
      </c>
      <c r="D83" s="559">
        <v>0.1366</v>
      </c>
      <c r="E83" s="560">
        <v>0.18659999999999999</v>
      </c>
      <c r="F83" s="559">
        <v>0.29149999999999998</v>
      </c>
      <c r="G83" s="561" t="s">
        <v>2487</v>
      </c>
      <c r="H83" s="561" t="s">
        <v>2487</v>
      </c>
      <c r="I83" s="561" t="s">
        <v>2487</v>
      </c>
      <c r="J83" s="561" t="s">
        <v>2487</v>
      </c>
      <c r="K83" s="561" t="s">
        <v>2487</v>
      </c>
      <c r="L83" s="561" t="s">
        <v>2487</v>
      </c>
    </row>
    <row r="84" spans="1:12">
      <c r="A84" s="557" t="s">
        <v>2577</v>
      </c>
      <c r="B84" s="558" t="s">
        <v>2498</v>
      </c>
      <c r="C84" s="559">
        <v>5.8799999999999998E-2</v>
      </c>
      <c r="D84" s="559">
        <v>8.3500000000000005E-2</v>
      </c>
      <c r="E84" s="560">
        <v>0.13350000000000001</v>
      </c>
      <c r="F84" s="559">
        <v>0.29149999999999998</v>
      </c>
      <c r="G84" s="561" t="s">
        <v>2487</v>
      </c>
      <c r="H84" s="561" t="s">
        <v>2487</v>
      </c>
      <c r="I84" s="561" t="s">
        <v>2487</v>
      </c>
      <c r="J84" s="561" t="s">
        <v>2487</v>
      </c>
      <c r="K84" s="561" t="s">
        <v>2487</v>
      </c>
      <c r="L84" s="561" t="s">
        <v>2487</v>
      </c>
    </row>
    <row r="85" spans="1:12">
      <c r="A85" s="557" t="s">
        <v>2578</v>
      </c>
      <c r="B85" s="558" t="s">
        <v>2498</v>
      </c>
      <c r="C85" s="559">
        <v>1.7100000000000001E-2</v>
      </c>
      <c r="D85" s="559">
        <v>2.4299999999999999E-2</v>
      </c>
      <c r="E85" s="560">
        <v>7.4300000000000005E-2</v>
      </c>
      <c r="F85" s="559">
        <v>0.18640000000000001</v>
      </c>
      <c r="G85" s="561" t="s">
        <v>2487</v>
      </c>
      <c r="H85" s="561" t="s">
        <v>2487</v>
      </c>
      <c r="I85" s="561" t="s">
        <v>2487</v>
      </c>
      <c r="J85" s="561" t="s">
        <v>2487</v>
      </c>
      <c r="K85" s="561" t="s">
        <v>2487</v>
      </c>
      <c r="L85" s="561" t="s">
        <v>2487</v>
      </c>
    </row>
    <row r="86" spans="1:12">
      <c r="A86" s="557" t="s">
        <v>2579</v>
      </c>
      <c r="B86" s="558" t="s">
        <v>2498</v>
      </c>
      <c r="C86" s="559">
        <v>0.12839999999999999</v>
      </c>
      <c r="D86" s="559">
        <v>0.18210000000000001</v>
      </c>
      <c r="E86" s="560">
        <v>0.2321</v>
      </c>
      <c r="F86" s="559">
        <v>0.18640000000000001</v>
      </c>
      <c r="G86" s="561" t="s">
        <v>2487</v>
      </c>
      <c r="H86" s="561" t="s">
        <v>2487</v>
      </c>
      <c r="I86" s="561" t="s">
        <v>2487</v>
      </c>
      <c r="J86" s="561" t="s">
        <v>2487</v>
      </c>
      <c r="K86" s="561" t="s">
        <v>2487</v>
      </c>
      <c r="L86" s="561" t="s">
        <v>2487</v>
      </c>
    </row>
    <row r="87" spans="1:12">
      <c r="A87" s="557" t="s">
        <v>2580</v>
      </c>
      <c r="B87" s="558" t="s">
        <v>2496</v>
      </c>
      <c r="C87" s="559">
        <v>4.82E-2</v>
      </c>
      <c r="D87" s="559">
        <v>6.83E-2</v>
      </c>
      <c r="E87" s="560">
        <v>0.1183</v>
      </c>
      <c r="F87" s="559">
        <v>0.25</v>
      </c>
      <c r="G87" s="561" t="s">
        <v>2487</v>
      </c>
      <c r="H87" s="561" t="s">
        <v>2487</v>
      </c>
      <c r="I87" s="561" t="s">
        <v>2487</v>
      </c>
      <c r="J87" s="561" t="s">
        <v>2487</v>
      </c>
      <c r="K87" s="561" t="s">
        <v>2487</v>
      </c>
      <c r="L87" s="561" t="s">
        <v>2487</v>
      </c>
    </row>
    <row r="88" spans="1:12">
      <c r="A88" s="557" t="s">
        <v>2581</v>
      </c>
      <c r="B88" s="558" t="s">
        <v>2523</v>
      </c>
      <c r="C88" s="559">
        <v>6.4000000000000003E-3</v>
      </c>
      <c r="D88" s="559">
        <v>9.1000000000000004E-3</v>
      </c>
      <c r="E88" s="560">
        <v>5.91E-2</v>
      </c>
      <c r="F88" s="559">
        <v>0.16500000000000001</v>
      </c>
      <c r="G88" s="561" t="s">
        <v>2487</v>
      </c>
      <c r="H88" s="561" t="s">
        <v>2487</v>
      </c>
      <c r="I88" s="561" t="s">
        <v>2487</v>
      </c>
      <c r="J88" s="561" t="s">
        <v>2487</v>
      </c>
      <c r="K88" s="561" t="s">
        <v>2487</v>
      </c>
      <c r="L88" s="561" t="s">
        <v>2487</v>
      </c>
    </row>
    <row r="89" spans="1:12">
      <c r="A89" s="557" t="s">
        <v>2582</v>
      </c>
      <c r="B89" s="558" t="s">
        <v>2500</v>
      </c>
      <c r="C89" s="559">
        <v>2.0400000000000001E-2</v>
      </c>
      <c r="D89" s="559">
        <v>2.8899999999999999E-2</v>
      </c>
      <c r="E89" s="560">
        <v>7.8899999999999998E-2</v>
      </c>
      <c r="F89" s="559">
        <v>0.09</v>
      </c>
      <c r="G89" s="561" t="s">
        <v>2487</v>
      </c>
      <c r="H89" s="561" t="s">
        <v>2487</v>
      </c>
      <c r="I89" s="561" t="s">
        <v>2487</v>
      </c>
      <c r="J89" s="561" t="s">
        <v>2487</v>
      </c>
      <c r="K89" s="561" t="s">
        <v>2487</v>
      </c>
      <c r="L89" s="561" t="s">
        <v>2487</v>
      </c>
    </row>
    <row r="90" spans="1:12">
      <c r="A90" s="557" t="s">
        <v>2583</v>
      </c>
      <c r="B90" s="558" t="s">
        <v>2528</v>
      </c>
      <c r="C90" s="559">
        <v>9.1000000000000004E-3</v>
      </c>
      <c r="D90" s="559">
        <v>1.2800000000000001E-2</v>
      </c>
      <c r="E90" s="560">
        <v>6.2799999999999995E-2</v>
      </c>
      <c r="F90" s="559">
        <v>0.2</v>
      </c>
      <c r="G90" s="561" t="s">
        <v>2487</v>
      </c>
      <c r="H90" s="561" t="s">
        <v>2487</v>
      </c>
      <c r="I90" s="561" t="s">
        <v>2487</v>
      </c>
      <c r="J90" s="561" t="s">
        <v>2487</v>
      </c>
      <c r="K90" s="561" t="s">
        <v>2487</v>
      </c>
      <c r="L90" s="561" t="s">
        <v>2487</v>
      </c>
    </row>
    <row r="91" spans="1:12">
      <c r="A91" s="557" t="s">
        <v>2329</v>
      </c>
      <c r="B91" s="558" t="s">
        <v>2584</v>
      </c>
      <c r="C91" s="559">
        <v>2.35E-2</v>
      </c>
      <c r="D91" s="559">
        <v>3.3300000000000003E-2</v>
      </c>
      <c r="E91" s="560">
        <v>8.3299999999999999E-2</v>
      </c>
      <c r="F91" s="559">
        <v>0.3</v>
      </c>
      <c r="G91" s="561" t="s">
        <v>2487</v>
      </c>
      <c r="H91" s="561" t="s">
        <v>2487</v>
      </c>
      <c r="I91" s="561" t="s">
        <v>2487</v>
      </c>
      <c r="J91" s="561" t="s">
        <v>2487</v>
      </c>
      <c r="K91" s="561" t="s">
        <v>2487</v>
      </c>
      <c r="L91" s="561" t="s">
        <v>2487</v>
      </c>
    </row>
    <row r="92" spans="1:12">
      <c r="A92" s="557" t="s">
        <v>253</v>
      </c>
      <c r="B92" s="558" t="s">
        <v>2500</v>
      </c>
      <c r="C92" s="559">
        <v>2.0400000000000001E-2</v>
      </c>
      <c r="D92" s="559">
        <v>2.8899999999999999E-2</v>
      </c>
      <c r="E92" s="560">
        <v>7.8899999999999998E-2</v>
      </c>
      <c r="F92" s="559">
        <v>0.22</v>
      </c>
      <c r="G92" s="561" t="s">
        <v>2487</v>
      </c>
      <c r="H92" s="561" t="s">
        <v>2487</v>
      </c>
      <c r="I92" s="561" t="s">
        <v>2487</v>
      </c>
      <c r="J92" s="561" t="s">
        <v>2487</v>
      </c>
      <c r="K92" s="561" t="s">
        <v>2487</v>
      </c>
      <c r="L92" s="561" t="s">
        <v>2487</v>
      </c>
    </row>
    <row r="93" spans="1:12">
      <c r="A93" s="557" t="s">
        <v>2585</v>
      </c>
      <c r="B93" s="558" t="s">
        <v>2498</v>
      </c>
      <c r="C93" s="559">
        <v>6.9500000000000006E-2</v>
      </c>
      <c r="D93" s="559">
        <v>9.8599999999999993E-2</v>
      </c>
      <c r="E93" s="560">
        <v>0.14860000000000001</v>
      </c>
      <c r="F93" s="559">
        <v>0.20230000000000001</v>
      </c>
      <c r="G93" s="561" t="s">
        <v>2487</v>
      </c>
      <c r="H93" s="561" t="s">
        <v>2487</v>
      </c>
      <c r="I93" s="561" t="s">
        <v>2487</v>
      </c>
      <c r="J93" s="561" t="s">
        <v>2487</v>
      </c>
      <c r="K93" s="561" t="s">
        <v>2487</v>
      </c>
      <c r="L93" s="561" t="s">
        <v>2487</v>
      </c>
    </row>
    <row r="94" spans="1:12">
      <c r="A94" s="557" t="s">
        <v>2586</v>
      </c>
      <c r="B94" s="558" t="s">
        <v>2519</v>
      </c>
      <c r="C94" s="559">
        <v>8.0199999999999994E-2</v>
      </c>
      <c r="D94" s="559">
        <v>0.1138</v>
      </c>
      <c r="E94" s="560">
        <v>0.1638</v>
      </c>
      <c r="F94" s="559">
        <v>0.15</v>
      </c>
      <c r="G94" s="561" t="s">
        <v>2487</v>
      </c>
      <c r="H94" s="561" t="s">
        <v>2487</v>
      </c>
      <c r="I94" s="561" t="s">
        <v>2487</v>
      </c>
      <c r="J94" s="561" t="s">
        <v>2487</v>
      </c>
      <c r="K94" s="561" t="s">
        <v>2487</v>
      </c>
      <c r="L94" s="561" t="s">
        <v>2487</v>
      </c>
    </row>
    <row r="95" spans="1:12">
      <c r="A95" s="557" t="s">
        <v>2587</v>
      </c>
      <c r="B95" s="558" t="s">
        <v>2523</v>
      </c>
      <c r="C95" s="559">
        <v>6.4000000000000003E-3</v>
      </c>
      <c r="D95" s="559">
        <v>9.1000000000000004E-3</v>
      </c>
      <c r="E95" s="560">
        <v>5.91E-2</v>
      </c>
      <c r="F95" s="559">
        <v>0.125</v>
      </c>
      <c r="G95" s="561" t="s">
        <v>2487</v>
      </c>
      <c r="H95" s="561" t="s">
        <v>2487</v>
      </c>
      <c r="I95" s="561" t="s">
        <v>2487</v>
      </c>
      <c r="J95" s="561" t="s">
        <v>2487</v>
      </c>
      <c r="K95" s="561" t="s">
        <v>2487</v>
      </c>
      <c r="L95" s="561" t="s">
        <v>2487</v>
      </c>
    </row>
    <row r="96" spans="1:12">
      <c r="A96" s="557" t="s">
        <v>2588</v>
      </c>
      <c r="B96" s="558" t="s">
        <v>2523</v>
      </c>
      <c r="C96" s="559">
        <v>6.4000000000000003E-3</v>
      </c>
      <c r="D96" s="559">
        <v>9.1000000000000004E-3</v>
      </c>
      <c r="E96" s="560">
        <v>5.91E-2</v>
      </c>
      <c r="F96" s="559">
        <v>0</v>
      </c>
      <c r="G96" s="561" t="s">
        <v>2487</v>
      </c>
      <c r="H96" s="561" t="s">
        <v>2487</v>
      </c>
      <c r="I96" s="561" t="s">
        <v>2487</v>
      </c>
      <c r="J96" s="561" t="s">
        <v>2487</v>
      </c>
      <c r="K96" s="561" t="s">
        <v>2487</v>
      </c>
      <c r="L96" s="561" t="s">
        <v>2487</v>
      </c>
    </row>
    <row r="97" spans="1:12">
      <c r="A97" s="557" t="s">
        <v>2589</v>
      </c>
      <c r="B97" s="558" t="s">
        <v>2545</v>
      </c>
      <c r="C97" s="559">
        <v>7.4999999999999997E-3</v>
      </c>
      <c r="D97" s="559">
        <v>1.0699999999999999E-2</v>
      </c>
      <c r="E97" s="560">
        <v>6.0699999999999997E-2</v>
      </c>
      <c r="F97" s="559">
        <v>0.23</v>
      </c>
      <c r="G97" s="561" t="s">
        <v>2487</v>
      </c>
      <c r="H97" s="561" t="s">
        <v>2487</v>
      </c>
      <c r="I97" s="561" t="s">
        <v>2487</v>
      </c>
      <c r="J97" s="561" t="s">
        <v>2487</v>
      </c>
      <c r="K97" s="561" t="s">
        <v>2487</v>
      </c>
      <c r="L97" s="561" t="s">
        <v>2487</v>
      </c>
    </row>
    <row r="98" spans="1:12">
      <c r="A98" s="557" t="s">
        <v>2590</v>
      </c>
      <c r="B98" s="558" t="s">
        <v>2584</v>
      </c>
      <c r="C98" s="559">
        <v>2.35E-2</v>
      </c>
      <c r="D98" s="559">
        <v>3.3300000000000003E-2</v>
      </c>
      <c r="E98" s="560">
        <v>8.3299999999999999E-2</v>
      </c>
      <c r="F98" s="559">
        <v>0.24</v>
      </c>
      <c r="G98" s="561" t="s">
        <v>2487</v>
      </c>
      <c r="H98" s="561" t="s">
        <v>2487</v>
      </c>
      <c r="I98" s="561" t="s">
        <v>2487</v>
      </c>
      <c r="J98" s="561" t="s">
        <v>2487</v>
      </c>
      <c r="K98" s="561" t="s">
        <v>2487</v>
      </c>
      <c r="L98" s="561" t="s">
        <v>2487</v>
      </c>
    </row>
    <row r="99" spans="1:12">
      <c r="A99" s="557" t="s">
        <v>2591</v>
      </c>
      <c r="B99" s="558" t="s">
        <v>2516</v>
      </c>
      <c r="C99" s="559">
        <v>5.8799999999999998E-2</v>
      </c>
      <c r="D99" s="559">
        <v>8.3500000000000005E-2</v>
      </c>
      <c r="E99" s="560">
        <v>0.13350000000000001</v>
      </c>
      <c r="F99" s="559">
        <v>0.25</v>
      </c>
      <c r="G99" s="561" t="s">
        <v>2487</v>
      </c>
      <c r="H99" s="561" t="s">
        <v>2487</v>
      </c>
      <c r="I99" s="561" t="s">
        <v>2487</v>
      </c>
      <c r="J99" s="561" t="s">
        <v>2487</v>
      </c>
      <c r="K99" s="561" t="s">
        <v>2487</v>
      </c>
      <c r="L99" s="561" t="s">
        <v>2487</v>
      </c>
    </row>
    <row r="100" spans="1:12">
      <c r="A100" s="557" t="s">
        <v>2592</v>
      </c>
      <c r="B100" s="558" t="s">
        <v>2545</v>
      </c>
      <c r="C100" s="559">
        <v>7.4999999999999997E-3</v>
      </c>
      <c r="D100" s="559">
        <v>1.0699999999999999E-2</v>
      </c>
      <c r="E100" s="560">
        <v>6.0699999999999997E-2</v>
      </c>
      <c r="F100" s="559">
        <v>0.23200000000000001</v>
      </c>
      <c r="G100" s="561" t="s">
        <v>2487</v>
      </c>
      <c r="H100" s="561" t="s">
        <v>2487</v>
      </c>
      <c r="I100" s="561" t="s">
        <v>2487</v>
      </c>
      <c r="J100" s="561" t="s">
        <v>2487</v>
      </c>
      <c r="K100" s="561" t="s">
        <v>2487</v>
      </c>
      <c r="L100" s="561" t="s">
        <v>2487</v>
      </c>
    </row>
    <row r="101" spans="1:12">
      <c r="A101" s="557" t="s">
        <v>2593</v>
      </c>
      <c r="B101" s="558" t="s">
        <v>2523</v>
      </c>
      <c r="C101" s="559">
        <v>6.4000000000000003E-3</v>
      </c>
      <c r="D101" s="559">
        <v>9.1000000000000004E-3</v>
      </c>
      <c r="E101" s="560">
        <v>5.91E-2</v>
      </c>
      <c r="F101" s="559">
        <v>0</v>
      </c>
      <c r="G101" s="561" t="s">
        <v>2487</v>
      </c>
      <c r="H101" s="561" t="s">
        <v>2487</v>
      </c>
      <c r="I101" s="561" t="s">
        <v>2487</v>
      </c>
      <c r="J101" s="561" t="s">
        <v>2487</v>
      </c>
      <c r="K101" s="561" t="s">
        <v>2487</v>
      </c>
      <c r="L101" s="561" t="s">
        <v>2487</v>
      </c>
    </row>
    <row r="102" spans="1:12">
      <c r="A102" s="557" t="s">
        <v>2594</v>
      </c>
      <c r="B102" s="558" t="s">
        <v>2496</v>
      </c>
      <c r="C102" s="559">
        <v>4.82E-2</v>
      </c>
      <c r="D102" s="559">
        <v>6.83E-2</v>
      </c>
      <c r="E102" s="560">
        <v>0.1183</v>
      </c>
      <c r="F102" s="559">
        <v>0.2</v>
      </c>
      <c r="G102" s="561" t="s">
        <v>2487</v>
      </c>
      <c r="H102" s="561" t="s">
        <v>2487</v>
      </c>
      <c r="I102" s="561" t="s">
        <v>2487</v>
      </c>
      <c r="J102" s="561" t="s">
        <v>2487</v>
      </c>
      <c r="K102" s="561" t="s">
        <v>2487</v>
      </c>
      <c r="L102" s="561" t="s">
        <v>2487</v>
      </c>
    </row>
    <row r="103" spans="1:12">
      <c r="A103" s="557" t="s">
        <v>2595</v>
      </c>
      <c r="B103" s="558" t="s">
        <v>2500</v>
      </c>
      <c r="C103" s="559">
        <v>2.0400000000000001E-2</v>
      </c>
      <c r="D103" s="559">
        <v>2.8899999999999999E-2</v>
      </c>
      <c r="E103" s="560">
        <v>7.8899999999999998E-2</v>
      </c>
      <c r="F103" s="559">
        <v>0.2</v>
      </c>
      <c r="G103" s="561" t="s">
        <v>2487</v>
      </c>
      <c r="H103" s="561" t="s">
        <v>2487</v>
      </c>
      <c r="I103" s="561" t="s">
        <v>2487</v>
      </c>
      <c r="J103" s="561" t="s">
        <v>2487</v>
      </c>
      <c r="K103" s="561" t="s">
        <v>2487</v>
      </c>
      <c r="L103" s="561" t="s">
        <v>2487</v>
      </c>
    </row>
    <row r="104" spans="1:12">
      <c r="A104" s="557" t="s">
        <v>2596</v>
      </c>
      <c r="B104" s="558" t="s">
        <v>2502</v>
      </c>
      <c r="C104" s="559">
        <v>6.9500000000000006E-2</v>
      </c>
      <c r="D104" s="559">
        <v>9.8599999999999993E-2</v>
      </c>
      <c r="E104" s="560">
        <v>0.14860000000000001</v>
      </c>
      <c r="F104" s="559">
        <v>0.3</v>
      </c>
      <c r="G104" s="561" t="s">
        <v>2487</v>
      </c>
      <c r="H104" s="561" t="s">
        <v>2487</v>
      </c>
      <c r="I104" s="561" t="s">
        <v>2487</v>
      </c>
      <c r="J104" s="561" t="s">
        <v>2487</v>
      </c>
      <c r="K104" s="561" t="s">
        <v>2487</v>
      </c>
      <c r="L104" s="561" t="s">
        <v>2487</v>
      </c>
    </row>
    <row r="105" spans="1:12">
      <c r="A105" s="557" t="s">
        <v>2327</v>
      </c>
      <c r="B105" s="558" t="s">
        <v>2494</v>
      </c>
      <c r="C105" s="559">
        <v>5.3E-3</v>
      </c>
      <c r="D105" s="559">
        <v>7.4999999999999997E-3</v>
      </c>
      <c r="E105" s="560">
        <v>5.7500000000000002E-2</v>
      </c>
      <c r="F105" s="559">
        <v>0.25</v>
      </c>
      <c r="G105" s="561" t="s">
        <v>2487</v>
      </c>
      <c r="H105" s="561" t="s">
        <v>2487</v>
      </c>
      <c r="I105" s="561" t="s">
        <v>2487</v>
      </c>
      <c r="J105" s="561" t="s">
        <v>2487</v>
      </c>
      <c r="K105" s="561" t="s">
        <v>2487</v>
      </c>
      <c r="L105" s="561" t="s">
        <v>2487</v>
      </c>
    </row>
    <row r="106" spans="1:12">
      <c r="A106" s="557" t="s">
        <v>2597</v>
      </c>
      <c r="B106" s="558" t="s">
        <v>2498</v>
      </c>
      <c r="C106" s="559">
        <v>0.12839999999999999</v>
      </c>
      <c r="D106" s="559">
        <v>0.18210000000000001</v>
      </c>
      <c r="E106" s="560">
        <v>0.2321</v>
      </c>
      <c r="F106" s="559">
        <v>0.23100000000000001</v>
      </c>
      <c r="G106" s="561" t="s">
        <v>2487</v>
      </c>
      <c r="H106" s="561" t="s">
        <v>2487</v>
      </c>
      <c r="I106" s="561" t="s">
        <v>2487</v>
      </c>
      <c r="J106" s="561" t="s">
        <v>2487</v>
      </c>
      <c r="K106" s="561" t="s">
        <v>2487</v>
      </c>
      <c r="L106" s="561" t="s">
        <v>2487</v>
      </c>
    </row>
    <row r="107" spans="1:12">
      <c r="A107" s="557" t="s">
        <v>2598</v>
      </c>
      <c r="B107" s="558" t="s">
        <v>2545</v>
      </c>
      <c r="C107" s="559">
        <v>7.4999999999999997E-3</v>
      </c>
      <c r="D107" s="559">
        <v>1.0699999999999999E-2</v>
      </c>
      <c r="E107" s="560">
        <v>6.0699999999999997E-2</v>
      </c>
      <c r="F107" s="559">
        <v>0.15</v>
      </c>
      <c r="G107" s="561" t="s">
        <v>2487</v>
      </c>
      <c r="H107" s="561" t="s">
        <v>2487</v>
      </c>
      <c r="I107" s="561" t="s">
        <v>2487</v>
      </c>
      <c r="J107" s="561" t="s">
        <v>2487</v>
      </c>
      <c r="K107" s="561" t="s">
        <v>2487</v>
      </c>
      <c r="L107" s="561" t="s">
        <v>2487</v>
      </c>
    </row>
    <row r="108" spans="1:12">
      <c r="A108" s="557" t="s">
        <v>2599</v>
      </c>
      <c r="B108" s="558" t="s">
        <v>2502</v>
      </c>
      <c r="C108" s="559">
        <v>6.9500000000000006E-2</v>
      </c>
      <c r="D108" s="559">
        <v>9.8599999999999993E-2</v>
      </c>
      <c r="E108" s="560">
        <v>0.14860000000000001</v>
      </c>
      <c r="F108" s="559">
        <v>0.1</v>
      </c>
      <c r="G108" s="561" t="s">
        <v>2487</v>
      </c>
      <c r="H108" s="561" t="s">
        <v>2487</v>
      </c>
      <c r="I108" s="561" t="s">
        <v>2487</v>
      </c>
      <c r="J108" s="561" t="s">
        <v>2487</v>
      </c>
      <c r="K108" s="561" t="s">
        <v>2487</v>
      </c>
      <c r="L108" s="561" t="s">
        <v>2487</v>
      </c>
    </row>
    <row r="109" spans="1:12">
      <c r="A109" s="557" t="s">
        <v>2600</v>
      </c>
      <c r="B109" s="558" t="s">
        <v>2560</v>
      </c>
      <c r="C109" s="559">
        <v>0.107</v>
      </c>
      <c r="D109" s="559">
        <v>0.15179999999999999</v>
      </c>
      <c r="E109" s="560">
        <v>0.20180000000000001</v>
      </c>
      <c r="F109" s="559">
        <v>0.2281</v>
      </c>
      <c r="G109" s="561" t="s">
        <v>2487</v>
      </c>
      <c r="H109" s="561" t="s">
        <v>2487</v>
      </c>
      <c r="I109" s="561" t="s">
        <v>2487</v>
      </c>
      <c r="J109" s="561" t="s">
        <v>2487</v>
      </c>
      <c r="K109" s="561" t="s">
        <v>2487</v>
      </c>
      <c r="L109" s="561" t="s">
        <v>2487</v>
      </c>
    </row>
    <row r="110" spans="1:12">
      <c r="A110" s="557" t="s">
        <v>2601</v>
      </c>
      <c r="B110" s="558" t="s">
        <v>2532</v>
      </c>
      <c r="C110" s="559">
        <v>1.2800000000000001E-2</v>
      </c>
      <c r="D110" s="559">
        <v>1.8200000000000001E-2</v>
      </c>
      <c r="E110" s="560">
        <v>6.8199999999999997E-2</v>
      </c>
      <c r="F110" s="559">
        <v>0.2</v>
      </c>
      <c r="G110" s="561" t="s">
        <v>2487</v>
      </c>
      <c r="H110" s="561" t="s">
        <v>2487</v>
      </c>
      <c r="I110" s="561" t="s">
        <v>2487</v>
      </c>
      <c r="J110" s="561" t="s">
        <v>2487</v>
      </c>
      <c r="K110" s="561" t="s">
        <v>2487</v>
      </c>
      <c r="L110" s="561" t="s">
        <v>2487</v>
      </c>
    </row>
    <row r="111" spans="1:12">
      <c r="A111" s="557" t="s">
        <v>2602</v>
      </c>
      <c r="B111" s="558" t="s">
        <v>2521</v>
      </c>
      <c r="C111" s="559">
        <v>0.17499999999999999</v>
      </c>
      <c r="D111" s="559">
        <v>0.2482</v>
      </c>
      <c r="E111" s="560">
        <v>0.29820000000000002</v>
      </c>
      <c r="F111" s="559">
        <v>0.17</v>
      </c>
      <c r="G111" s="561" t="s">
        <v>2487</v>
      </c>
      <c r="H111" s="561" t="s">
        <v>2487</v>
      </c>
      <c r="I111" s="561" t="s">
        <v>2487</v>
      </c>
      <c r="J111" s="561" t="s">
        <v>2487</v>
      </c>
      <c r="K111" s="561" t="s">
        <v>2487</v>
      </c>
      <c r="L111" s="561" t="s">
        <v>2487</v>
      </c>
    </row>
    <row r="112" spans="1:12">
      <c r="A112" s="557" t="s">
        <v>2603</v>
      </c>
      <c r="B112" s="558" t="s">
        <v>2498</v>
      </c>
      <c r="C112" s="559">
        <v>0.107</v>
      </c>
      <c r="D112" s="559">
        <v>0.15179999999999999</v>
      </c>
      <c r="E112" s="560">
        <v>0.20180000000000001</v>
      </c>
      <c r="F112" s="559">
        <v>0.29149999999999998</v>
      </c>
      <c r="G112" s="561" t="s">
        <v>2487</v>
      </c>
      <c r="H112" s="561" t="s">
        <v>2487</v>
      </c>
      <c r="I112" s="561" t="s">
        <v>2487</v>
      </c>
      <c r="J112" s="561" t="s">
        <v>2487</v>
      </c>
      <c r="K112" s="561" t="s">
        <v>2487</v>
      </c>
      <c r="L112" s="561" t="s">
        <v>2487</v>
      </c>
    </row>
    <row r="113" spans="1:12">
      <c r="A113" s="557" t="s">
        <v>2604</v>
      </c>
      <c r="B113" s="558" t="s">
        <v>2498</v>
      </c>
      <c r="C113" s="559">
        <v>2.0400000000000001E-2</v>
      </c>
      <c r="D113" s="559">
        <v>2.8899999999999999E-2</v>
      </c>
      <c r="E113" s="560">
        <v>7.8899999999999998E-2</v>
      </c>
      <c r="F113" s="559">
        <v>0.2</v>
      </c>
      <c r="G113" s="561" t="s">
        <v>2487</v>
      </c>
      <c r="H113" s="561" t="s">
        <v>2487</v>
      </c>
      <c r="I113" s="561" t="s">
        <v>2487</v>
      </c>
      <c r="J113" s="561" t="s">
        <v>2487</v>
      </c>
      <c r="K113" s="561" t="s">
        <v>2487</v>
      </c>
      <c r="L113" s="561" t="s">
        <v>2487</v>
      </c>
    </row>
    <row r="114" spans="1:12">
      <c r="A114" s="557" t="s">
        <v>2605</v>
      </c>
      <c r="B114" s="558" t="s">
        <v>2509</v>
      </c>
      <c r="C114" s="559">
        <v>0</v>
      </c>
      <c r="D114" s="559">
        <v>0</v>
      </c>
      <c r="E114" s="560">
        <v>0.05</v>
      </c>
      <c r="F114" s="559">
        <v>0.125</v>
      </c>
      <c r="G114" s="561" t="s">
        <v>2487</v>
      </c>
      <c r="H114" s="561" t="s">
        <v>2487</v>
      </c>
      <c r="I114" s="561" t="s">
        <v>2487</v>
      </c>
      <c r="J114" s="561" t="s">
        <v>2487</v>
      </c>
      <c r="K114" s="561" t="s">
        <v>2487</v>
      </c>
      <c r="L114" s="561" t="s">
        <v>2487</v>
      </c>
    </row>
    <row r="115" spans="1:12">
      <c r="A115" s="557" t="s">
        <v>2606</v>
      </c>
      <c r="B115" s="558" t="s">
        <v>2528</v>
      </c>
      <c r="C115" s="559">
        <v>9.1000000000000004E-3</v>
      </c>
      <c r="D115" s="559">
        <v>1.2800000000000001E-2</v>
      </c>
      <c r="E115" s="560">
        <v>6.2799999999999995E-2</v>
      </c>
      <c r="F115" s="559">
        <v>0.15</v>
      </c>
      <c r="G115" s="561" t="s">
        <v>2487</v>
      </c>
      <c r="H115" s="561" t="s">
        <v>2487</v>
      </c>
      <c r="I115" s="561" t="s">
        <v>2487</v>
      </c>
      <c r="J115" s="561" t="s">
        <v>2487</v>
      </c>
      <c r="K115" s="561" t="s">
        <v>2487</v>
      </c>
      <c r="L115" s="561" t="s">
        <v>2487</v>
      </c>
    </row>
    <row r="116" spans="1:12">
      <c r="A116" s="557" t="s">
        <v>2607</v>
      </c>
      <c r="B116" s="558" t="s">
        <v>2509</v>
      </c>
      <c r="C116" s="559">
        <v>0</v>
      </c>
      <c r="D116" s="559">
        <v>0</v>
      </c>
      <c r="E116" s="560">
        <v>0.05</v>
      </c>
      <c r="F116" s="559">
        <v>0.24940000000000001</v>
      </c>
      <c r="G116" s="561" t="s">
        <v>2487</v>
      </c>
      <c r="H116" s="561" t="s">
        <v>2487</v>
      </c>
      <c r="I116" s="561" t="s">
        <v>2487</v>
      </c>
      <c r="J116" s="561" t="s">
        <v>2487</v>
      </c>
      <c r="K116" s="561" t="s">
        <v>2487</v>
      </c>
      <c r="L116" s="561" t="s">
        <v>2487</v>
      </c>
    </row>
    <row r="117" spans="1:12">
      <c r="A117" s="557" t="s">
        <v>2608</v>
      </c>
      <c r="B117" s="558" t="s">
        <v>2523</v>
      </c>
      <c r="C117" s="559">
        <v>6.4000000000000003E-3</v>
      </c>
      <c r="D117" s="559">
        <v>9.1000000000000004E-3</v>
      </c>
      <c r="E117" s="560">
        <v>5.91E-2</v>
      </c>
      <c r="F117" s="559">
        <v>0.2281</v>
      </c>
      <c r="G117" s="561" t="s">
        <v>2487</v>
      </c>
      <c r="H117" s="561" t="s">
        <v>2487</v>
      </c>
      <c r="I117" s="561" t="s">
        <v>2487</v>
      </c>
      <c r="J117" s="561" t="s">
        <v>2487</v>
      </c>
      <c r="K117" s="561" t="s">
        <v>2487</v>
      </c>
      <c r="L117" s="561" t="s">
        <v>2487</v>
      </c>
    </row>
    <row r="118" spans="1:12">
      <c r="A118" s="557" t="s">
        <v>2609</v>
      </c>
      <c r="B118" s="558" t="s">
        <v>2506</v>
      </c>
      <c r="C118" s="559">
        <v>3.85E-2</v>
      </c>
      <c r="D118" s="559">
        <v>5.4600000000000003E-2</v>
      </c>
      <c r="E118" s="560">
        <v>0.1046</v>
      </c>
      <c r="F118" s="559">
        <v>0.1</v>
      </c>
      <c r="G118" s="561" t="s">
        <v>2487</v>
      </c>
      <c r="H118" s="561" t="s">
        <v>2487</v>
      </c>
      <c r="I118" s="561" t="s">
        <v>2487</v>
      </c>
      <c r="J118" s="561" t="s">
        <v>2487</v>
      </c>
      <c r="K118" s="561" t="s">
        <v>2487</v>
      </c>
      <c r="L118" s="561" t="s">
        <v>2487</v>
      </c>
    </row>
    <row r="119" spans="1:12">
      <c r="A119" s="557" t="s">
        <v>2610</v>
      </c>
      <c r="B119" s="558" t="s">
        <v>2498</v>
      </c>
      <c r="C119" s="559">
        <v>6.9500000000000006E-2</v>
      </c>
      <c r="D119" s="559">
        <v>9.8599999999999993E-2</v>
      </c>
      <c r="E119" s="560">
        <v>0.14860000000000001</v>
      </c>
      <c r="F119" s="559">
        <v>0.2</v>
      </c>
      <c r="G119" s="561" t="s">
        <v>2487</v>
      </c>
      <c r="H119" s="561" t="s">
        <v>2487</v>
      </c>
      <c r="I119" s="561" t="s">
        <v>2487</v>
      </c>
      <c r="J119" s="561" t="s">
        <v>2487</v>
      </c>
      <c r="K119" s="561" t="s">
        <v>2487</v>
      </c>
      <c r="L119" s="561" t="s">
        <v>2487</v>
      </c>
    </row>
    <row r="120" spans="1:12">
      <c r="A120" s="557" t="s">
        <v>2611</v>
      </c>
      <c r="B120" s="558" t="s">
        <v>2498</v>
      </c>
      <c r="C120" s="559">
        <v>0.12839999999999999</v>
      </c>
      <c r="D120" s="559">
        <v>0.18210000000000001</v>
      </c>
      <c r="E120" s="560">
        <v>0.2321</v>
      </c>
      <c r="F120" s="559">
        <v>0.3</v>
      </c>
      <c r="G120" s="561" t="s">
        <v>2487</v>
      </c>
      <c r="H120" s="561" t="s">
        <v>2487</v>
      </c>
      <c r="I120" s="561" t="s">
        <v>2487</v>
      </c>
      <c r="J120" s="561" t="s">
        <v>2487</v>
      </c>
      <c r="K120" s="561" t="s">
        <v>2487</v>
      </c>
      <c r="L120" s="561" t="s">
        <v>2487</v>
      </c>
    </row>
    <row r="121" spans="1:12">
      <c r="A121" s="557" t="s">
        <v>257</v>
      </c>
      <c r="B121" s="558" t="s">
        <v>2532</v>
      </c>
      <c r="C121" s="559">
        <v>1.2800000000000001E-2</v>
      </c>
      <c r="D121" s="559">
        <v>1.8200000000000001E-2</v>
      </c>
      <c r="E121" s="560">
        <v>6.8199999999999997E-2</v>
      </c>
      <c r="F121" s="559">
        <v>0.24</v>
      </c>
      <c r="G121" s="561" t="s">
        <v>2487</v>
      </c>
      <c r="H121" s="561" t="s">
        <v>2487</v>
      </c>
      <c r="I121" s="561" t="s">
        <v>2487</v>
      </c>
      <c r="J121" s="561" t="s">
        <v>2487</v>
      </c>
      <c r="K121" s="561" t="s">
        <v>2487</v>
      </c>
      <c r="L121" s="561" t="s">
        <v>2487</v>
      </c>
    </row>
    <row r="122" spans="1:12">
      <c r="A122" s="557" t="s">
        <v>2612</v>
      </c>
      <c r="B122" s="558" t="s">
        <v>2519</v>
      </c>
      <c r="C122" s="559">
        <v>8.0199999999999994E-2</v>
      </c>
      <c r="D122" s="559">
        <v>0.1138</v>
      </c>
      <c r="E122" s="560">
        <v>0.1638</v>
      </c>
      <c r="F122" s="559">
        <v>0.2281</v>
      </c>
      <c r="G122" s="561" t="s">
        <v>2487</v>
      </c>
      <c r="H122" s="561" t="s">
        <v>2487</v>
      </c>
      <c r="I122" s="561" t="s">
        <v>2487</v>
      </c>
      <c r="J122" s="561" t="s">
        <v>2487</v>
      </c>
      <c r="K122" s="561" t="s">
        <v>2487</v>
      </c>
      <c r="L122" s="561" t="s">
        <v>2487</v>
      </c>
    </row>
    <row r="123" spans="1:12">
      <c r="A123" s="557" t="s">
        <v>2613</v>
      </c>
      <c r="B123" s="558" t="s">
        <v>2525</v>
      </c>
      <c r="C123" s="559">
        <v>9.6299999999999997E-2</v>
      </c>
      <c r="D123" s="559">
        <v>0.1366</v>
      </c>
      <c r="E123" s="560">
        <v>0.18659999999999999</v>
      </c>
      <c r="F123" s="559">
        <v>0.2281</v>
      </c>
      <c r="G123" s="561" t="s">
        <v>2487</v>
      </c>
      <c r="H123" s="561" t="s">
        <v>2487</v>
      </c>
      <c r="I123" s="561" t="s">
        <v>2487</v>
      </c>
      <c r="J123" s="561" t="s">
        <v>2487</v>
      </c>
      <c r="K123" s="561" t="s">
        <v>2487</v>
      </c>
      <c r="L123" s="561" t="s">
        <v>2487</v>
      </c>
    </row>
    <row r="124" spans="1:12">
      <c r="A124" s="557" t="s">
        <v>2614</v>
      </c>
      <c r="B124" s="558" t="s">
        <v>2528</v>
      </c>
      <c r="C124" s="559">
        <v>9.1000000000000004E-3</v>
      </c>
      <c r="D124" s="559">
        <v>1.2800000000000001E-2</v>
      </c>
      <c r="E124" s="560">
        <v>6.2799999999999995E-2</v>
      </c>
      <c r="F124" s="559">
        <v>0.35</v>
      </c>
      <c r="G124" s="561" t="s">
        <v>2487</v>
      </c>
      <c r="H124" s="561" t="s">
        <v>2487</v>
      </c>
      <c r="I124" s="561" t="s">
        <v>2487</v>
      </c>
      <c r="J124" s="561" t="s">
        <v>2487</v>
      </c>
      <c r="K124" s="561" t="s">
        <v>2487</v>
      </c>
      <c r="L124" s="561" t="s">
        <v>2487</v>
      </c>
    </row>
    <row r="125" spans="1:12">
      <c r="A125" s="557" t="s">
        <v>2615</v>
      </c>
      <c r="B125" s="558" t="s">
        <v>2584</v>
      </c>
      <c r="C125" s="559">
        <v>2.35E-2</v>
      </c>
      <c r="D125" s="559">
        <v>3.3300000000000003E-2</v>
      </c>
      <c r="E125" s="560">
        <v>8.3299999999999999E-2</v>
      </c>
      <c r="F125" s="559">
        <v>0.15</v>
      </c>
      <c r="G125" s="561" t="s">
        <v>2487</v>
      </c>
      <c r="H125" s="561" t="s">
        <v>2487</v>
      </c>
      <c r="I125" s="561" t="s">
        <v>2487</v>
      </c>
      <c r="J125" s="561" t="s">
        <v>2487</v>
      </c>
      <c r="K125" s="561" t="s">
        <v>2487</v>
      </c>
      <c r="L125" s="561" t="s">
        <v>2487</v>
      </c>
    </row>
    <row r="126" spans="1:12">
      <c r="A126" s="557" t="s">
        <v>2616</v>
      </c>
      <c r="B126" s="558" t="s">
        <v>2500</v>
      </c>
      <c r="C126" s="559">
        <v>2.0400000000000001E-2</v>
      </c>
      <c r="D126" s="559">
        <v>2.8899999999999999E-2</v>
      </c>
      <c r="E126" s="560">
        <v>7.8899999999999998E-2</v>
      </c>
      <c r="F126" s="559">
        <v>0.3</v>
      </c>
      <c r="G126" s="561" t="s">
        <v>2487</v>
      </c>
      <c r="H126" s="561" t="s">
        <v>2487</v>
      </c>
      <c r="I126" s="561" t="s">
        <v>2487</v>
      </c>
      <c r="J126" s="561" t="s">
        <v>2487</v>
      </c>
      <c r="K126" s="561" t="s">
        <v>2487</v>
      </c>
      <c r="L126" s="561" t="s">
        <v>2487</v>
      </c>
    </row>
    <row r="127" spans="1:12">
      <c r="A127" s="557" t="s">
        <v>2617</v>
      </c>
      <c r="B127" s="558" t="s">
        <v>2502</v>
      </c>
      <c r="C127" s="559">
        <v>6.9500000000000006E-2</v>
      </c>
      <c r="D127" s="559">
        <v>9.8599999999999993E-2</v>
      </c>
      <c r="E127" s="560">
        <v>0.14860000000000001</v>
      </c>
      <c r="F127" s="559">
        <v>0.12</v>
      </c>
      <c r="G127" s="561" t="s">
        <v>2487</v>
      </c>
      <c r="H127" s="561" t="s">
        <v>2487</v>
      </c>
      <c r="I127" s="561" t="s">
        <v>2487</v>
      </c>
      <c r="J127" s="561" t="s">
        <v>2487</v>
      </c>
      <c r="K127" s="561" t="s">
        <v>2487</v>
      </c>
      <c r="L127" s="561" t="s">
        <v>2487</v>
      </c>
    </row>
    <row r="128" spans="1:12">
      <c r="A128" s="557" t="s">
        <v>2618</v>
      </c>
      <c r="B128" s="558" t="s">
        <v>2502</v>
      </c>
      <c r="C128" s="559">
        <v>6.9500000000000006E-2</v>
      </c>
      <c r="D128" s="559">
        <v>9.8599999999999993E-2</v>
      </c>
      <c r="E128" s="560">
        <v>0.14860000000000001</v>
      </c>
      <c r="F128" s="559">
        <v>0.25</v>
      </c>
      <c r="G128" s="561" t="s">
        <v>2487</v>
      </c>
      <c r="H128" s="561" t="s">
        <v>2487</v>
      </c>
      <c r="I128" s="561" t="s">
        <v>2487</v>
      </c>
      <c r="J128" s="561" t="s">
        <v>2487</v>
      </c>
      <c r="K128" s="561" t="s">
        <v>2487</v>
      </c>
      <c r="L128" s="561" t="s">
        <v>2487</v>
      </c>
    </row>
    <row r="129" spans="1:12">
      <c r="A129" s="557" t="s">
        <v>2619</v>
      </c>
      <c r="B129" s="558" t="s">
        <v>2496</v>
      </c>
      <c r="C129" s="559">
        <v>4.82E-2</v>
      </c>
      <c r="D129" s="559">
        <v>6.83E-2</v>
      </c>
      <c r="E129" s="560">
        <v>0.1183</v>
      </c>
      <c r="F129" s="559">
        <v>0.15</v>
      </c>
      <c r="G129" s="561" t="s">
        <v>2487</v>
      </c>
      <c r="H129" s="561" t="s">
        <v>2487</v>
      </c>
      <c r="I129" s="561" t="s">
        <v>2487</v>
      </c>
      <c r="J129" s="561" t="s">
        <v>2487</v>
      </c>
      <c r="K129" s="561" t="s">
        <v>2487</v>
      </c>
      <c r="L129" s="561" t="s">
        <v>2487</v>
      </c>
    </row>
    <row r="130" spans="1:12">
      <c r="A130" s="557" t="s">
        <v>2620</v>
      </c>
      <c r="B130" s="558" t="s">
        <v>2584</v>
      </c>
      <c r="C130" s="559">
        <v>2.35E-2</v>
      </c>
      <c r="D130" s="559">
        <v>3.3300000000000003E-2</v>
      </c>
      <c r="E130" s="560">
        <v>8.3299999999999999E-2</v>
      </c>
      <c r="F130" s="559">
        <v>0.27179999999999999</v>
      </c>
      <c r="G130" s="561" t="s">
        <v>2487</v>
      </c>
      <c r="H130" s="561" t="s">
        <v>2487</v>
      </c>
      <c r="I130" s="561" t="s">
        <v>2487</v>
      </c>
      <c r="J130" s="561" t="s">
        <v>2487</v>
      </c>
      <c r="K130" s="561" t="s">
        <v>2487</v>
      </c>
      <c r="L130" s="561" t="s">
        <v>2487</v>
      </c>
    </row>
    <row r="131" spans="1:12">
      <c r="A131" s="557" t="s">
        <v>2621</v>
      </c>
      <c r="B131" s="558" t="s">
        <v>2513</v>
      </c>
      <c r="C131" s="559">
        <v>2.6800000000000001E-2</v>
      </c>
      <c r="D131" s="559">
        <v>3.7999999999999999E-2</v>
      </c>
      <c r="E131" s="560">
        <v>8.7999999999999995E-2</v>
      </c>
      <c r="F131" s="559">
        <v>0.31</v>
      </c>
      <c r="G131" s="561" t="s">
        <v>2487</v>
      </c>
      <c r="H131" s="561" t="s">
        <v>2487</v>
      </c>
      <c r="I131" s="561" t="s">
        <v>2487</v>
      </c>
      <c r="J131" s="561" t="s">
        <v>2487</v>
      </c>
      <c r="K131" s="561" t="s">
        <v>2487</v>
      </c>
      <c r="L131" s="561" t="s">
        <v>2487</v>
      </c>
    </row>
    <row r="132" spans="1:12">
      <c r="A132" s="557" t="s">
        <v>2622</v>
      </c>
      <c r="B132" s="558" t="s">
        <v>2525</v>
      </c>
      <c r="C132" s="559">
        <v>9.6299999999999997E-2</v>
      </c>
      <c r="D132" s="559">
        <v>0.1366</v>
      </c>
      <c r="E132" s="560">
        <v>0.18659999999999999</v>
      </c>
      <c r="F132" s="559">
        <v>0.32</v>
      </c>
      <c r="G132" s="561" t="s">
        <v>2487</v>
      </c>
      <c r="H132" s="561" t="s">
        <v>2487</v>
      </c>
      <c r="I132" s="561" t="s">
        <v>2487</v>
      </c>
      <c r="J132" s="561" t="s">
        <v>2487</v>
      </c>
      <c r="K132" s="561" t="s">
        <v>2487</v>
      </c>
      <c r="L132" s="561" t="s">
        <v>2487</v>
      </c>
    </row>
    <row r="133" spans="1:12">
      <c r="A133" s="557" t="s">
        <v>2623</v>
      </c>
      <c r="B133" s="558" t="s">
        <v>2498</v>
      </c>
      <c r="C133" s="559">
        <v>0.107</v>
      </c>
      <c r="D133" s="559">
        <v>0.15179999999999999</v>
      </c>
      <c r="E133" s="560">
        <v>0.20180000000000001</v>
      </c>
      <c r="F133" s="559">
        <v>0.25</v>
      </c>
      <c r="G133" s="561" t="s">
        <v>2487</v>
      </c>
      <c r="H133" s="561" t="s">
        <v>2487</v>
      </c>
      <c r="I133" s="561" t="s">
        <v>2487</v>
      </c>
      <c r="J133" s="561" t="s">
        <v>2487</v>
      </c>
      <c r="K133" s="561" t="s">
        <v>2487</v>
      </c>
      <c r="L133" s="561" t="s">
        <v>2487</v>
      </c>
    </row>
    <row r="134" spans="1:12">
      <c r="A134" s="557" t="s">
        <v>2624</v>
      </c>
      <c r="B134" s="558" t="s">
        <v>2496</v>
      </c>
      <c r="C134" s="559">
        <v>4.82E-2</v>
      </c>
      <c r="D134" s="559">
        <v>6.83E-2</v>
      </c>
      <c r="E134" s="560">
        <v>0.1183</v>
      </c>
      <c r="F134" s="559">
        <v>0.32</v>
      </c>
      <c r="G134" s="561" t="s">
        <v>2487</v>
      </c>
      <c r="H134" s="561" t="s">
        <v>2487</v>
      </c>
      <c r="I134" s="561" t="s">
        <v>2487</v>
      </c>
      <c r="J134" s="561" t="s">
        <v>2487</v>
      </c>
      <c r="K134" s="561" t="s">
        <v>2487</v>
      </c>
      <c r="L134" s="561" t="s">
        <v>2487</v>
      </c>
    </row>
    <row r="135" spans="1:12">
      <c r="A135" s="557" t="s">
        <v>2625</v>
      </c>
      <c r="B135" s="558" t="s">
        <v>2509</v>
      </c>
      <c r="C135" s="559">
        <v>0</v>
      </c>
      <c r="D135" s="559">
        <v>0</v>
      </c>
      <c r="E135" s="560">
        <v>0.05</v>
      </c>
      <c r="F135" s="559">
        <v>0.25800000000000001</v>
      </c>
      <c r="G135" s="561" t="s">
        <v>2487</v>
      </c>
      <c r="H135" s="561" t="s">
        <v>2487</v>
      </c>
      <c r="I135" s="561" t="s">
        <v>2487</v>
      </c>
      <c r="J135" s="561" t="s">
        <v>2487</v>
      </c>
      <c r="K135" s="561" t="s">
        <v>2487</v>
      </c>
      <c r="L135" s="561" t="s">
        <v>2487</v>
      </c>
    </row>
    <row r="136" spans="1:12">
      <c r="A136" s="557" t="s">
        <v>2626</v>
      </c>
      <c r="B136" s="558" t="s">
        <v>2509</v>
      </c>
      <c r="C136" s="559">
        <v>0</v>
      </c>
      <c r="D136" s="559">
        <v>0</v>
      </c>
      <c r="E136" s="560">
        <v>0.05</v>
      </c>
      <c r="F136" s="559">
        <v>0.28000000000000003</v>
      </c>
      <c r="G136" s="561" t="s">
        <v>2487</v>
      </c>
      <c r="H136" s="561" t="s">
        <v>2487</v>
      </c>
      <c r="I136" s="561" t="s">
        <v>2487</v>
      </c>
      <c r="J136" s="561" t="s">
        <v>2487</v>
      </c>
      <c r="K136" s="561" t="s">
        <v>2487</v>
      </c>
      <c r="L136" s="561" t="s">
        <v>2487</v>
      </c>
    </row>
    <row r="137" spans="1:12">
      <c r="A137" s="557" t="s">
        <v>2627</v>
      </c>
      <c r="B137" s="558" t="s">
        <v>2502</v>
      </c>
      <c r="C137" s="559">
        <v>6.9500000000000006E-2</v>
      </c>
      <c r="D137" s="559">
        <v>9.8599999999999993E-2</v>
      </c>
      <c r="E137" s="560">
        <v>0.14860000000000001</v>
      </c>
      <c r="F137" s="559">
        <v>0.3</v>
      </c>
      <c r="G137" s="561" t="s">
        <v>2487</v>
      </c>
      <c r="H137" s="561" t="s">
        <v>2487</v>
      </c>
      <c r="I137" s="561" t="s">
        <v>2487</v>
      </c>
      <c r="J137" s="561" t="s">
        <v>2487</v>
      </c>
      <c r="K137" s="561" t="s">
        <v>2487</v>
      </c>
      <c r="L137" s="561" t="s">
        <v>2487</v>
      </c>
    </row>
    <row r="138" spans="1:12">
      <c r="A138" s="557" t="s">
        <v>2628</v>
      </c>
      <c r="B138" s="558" t="s">
        <v>2502</v>
      </c>
      <c r="C138" s="559">
        <v>6.9500000000000006E-2</v>
      </c>
      <c r="D138" s="559">
        <v>9.8599999999999993E-2</v>
      </c>
      <c r="E138" s="560">
        <v>0.14860000000000001</v>
      </c>
      <c r="F138" s="559">
        <v>0.2281</v>
      </c>
      <c r="G138" s="561" t="s">
        <v>2487</v>
      </c>
      <c r="H138" s="561" t="s">
        <v>2487</v>
      </c>
      <c r="I138" s="561" t="s">
        <v>2487</v>
      </c>
      <c r="J138" s="561" t="s">
        <v>2487</v>
      </c>
      <c r="K138" s="561" t="s">
        <v>2487</v>
      </c>
      <c r="L138" s="561" t="s">
        <v>2487</v>
      </c>
    </row>
    <row r="139" spans="1:12">
      <c r="A139" s="557" t="s">
        <v>2629</v>
      </c>
      <c r="B139" s="558" t="s">
        <v>2519</v>
      </c>
      <c r="C139" s="559">
        <v>8.0199999999999994E-2</v>
      </c>
      <c r="D139" s="559">
        <v>0.1138</v>
      </c>
      <c r="E139" s="560">
        <v>0.1638</v>
      </c>
      <c r="F139" s="559">
        <v>0.3</v>
      </c>
      <c r="G139" s="561" t="s">
        <v>2487</v>
      </c>
      <c r="H139" s="561" t="s">
        <v>2487</v>
      </c>
      <c r="I139" s="561" t="s">
        <v>2487</v>
      </c>
      <c r="J139" s="561" t="s">
        <v>2487</v>
      </c>
      <c r="K139" s="561" t="s">
        <v>2487</v>
      </c>
      <c r="L139" s="561" t="s">
        <v>2487</v>
      </c>
    </row>
    <row r="140" spans="1:12">
      <c r="A140" s="557" t="s">
        <v>2630</v>
      </c>
      <c r="B140" s="558" t="s">
        <v>2509</v>
      </c>
      <c r="C140" s="559">
        <v>0</v>
      </c>
      <c r="D140" s="559">
        <v>0</v>
      </c>
      <c r="E140" s="560">
        <v>0.05</v>
      </c>
      <c r="F140" s="559">
        <v>0.22</v>
      </c>
      <c r="G140" s="561" t="s">
        <v>2487</v>
      </c>
      <c r="H140" s="561" t="s">
        <v>2487</v>
      </c>
      <c r="I140" s="561" t="s">
        <v>2487</v>
      </c>
      <c r="J140" s="561" t="s">
        <v>2487</v>
      </c>
      <c r="K140" s="561" t="s">
        <v>2487</v>
      </c>
      <c r="L140" s="561" t="s">
        <v>2487</v>
      </c>
    </row>
    <row r="141" spans="1:12">
      <c r="A141" s="557" t="s">
        <v>2631</v>
      </c>
      <c r="B141" s="558" t="s">
        <v>2534</v>
      </c>
      <c r="C141" s="559">
        <v>3.2199999999999999E-2</v>
      </c>
      <c r="D141" s="559">
        <v>4.5699999999999998E-2</v>
      </c>
      <c r="E141" s="560">
        <v>9.5699999999999993E-2</v>
      </c>
      <c r="F141" s="559">
        <v>0.15</v>
      </c>
      <c r="G141" s="561" t="s">
        <v>2487</v>
      </c>
      <c r="H141" s="561" t="s">
        <v>2487</v>
      </c>
      <c r="I141" s="561" t="s">
        <v>2487</v>
      </c>
      <c r="J141" s="561" t="s">
        <v>2487</v>
      </c>
      <c r="K141" s="561" t="s">
        <v>2487</v>
      </c>
      <c r="L141" s="561" t="s">
        <v>2487</v>
      </c>
    </row>
    <row r="142" spans="1:12">
      <c r="A142" s="557" t="s">
        <v>2632</v>
      </c>
      <c r="B142" s="558" t="s">
        <v>2560</v>
      </c>
      <c r="C142" s="559">
        <v>0.107</v>
      </c>
      <c r="D142" s="559">
        <v>0.15179999999999999</v>
      </c>
      <c r="E142" s="560">
        <v>0.20180000000000001</v>
      </c>
      <c r="F142" s="559">
        <v>0.28999999999999998</v>
      </c>
      <c r="G142" s="561" t="s">
        <v>2487</v>
      </c>
      <c r="H142" s="561" t="s">
        <v>2487</v>
      </c>
      <c r="I142" s="561" t="s">
        <v>2487</v>
      </c>
      <c r="J142" s="561" t="s">
        <v>2487</v>
      </c>
      <c r="K142" s="561" t="s">
        <v>2487</v>
      </c>
      <c r="L142" s="561" t="s">
        <v>2487</v>
      </c>
    </row>
    <row r="143" spans="1:12">
      <c r="A143" s="557" t="s">
        <v>2633</v>
      </c>
      <c r="B143" s="558" t="s">
        <v>2500</v>
      </c>
      <c r="C143" s="559">
        <v>2.0400000000000001E-2</v>
      </c>
      <c r="D143" s="559">
        <v>2.8899999999999999E-2</v>
      </c>
      <c r="E143" s="560">
        <v>7.8899999999999998E-2</v>
      </c>
      <c r="F143" s="559">
        <v>0.25</v>
      </c>
      <c r="G143" s="561" t="s">
        <v>2487</v>
      </c>
      <c r="H143" s="561" t="s">
        <v>2487</v>
      </c>
      <c r="I143" s="561" t="s">
        <v>2487</v>
      </c>
      <c r="J143" s="561" t="s">
        <v>2487</v>
      </c>
      <c r="K143" s="561" t="s">
        <v>2487</v>
      </c>
      <c r="L143" s="561" t="s">
        <v>2487</v>
      </c>
    </row>
    <row r="144" spans="1:12">
      <c r="A144" s="557" t="s">
        <v>2634</v>
      </c>
      <c r="B144" s="558" t="s">
        <v>2516</v>
      </c>
      <c r="C144" s="559">
        <v>5.8799999999999998E-2</v>
      </c>
      <c r="D144" s="559">
        <v>8.3500000000000005E-2</v>
      </c>
      <c r="E144" s="560">
        <v>0.13350000000000001</v>
      </c>
      <c r="F144" s="559">
        <v>0.3</v>
      </c>
      <c r="G144" s="561" t="s">
        <v>2487</v>
      </c>
      <c r="H144" s="561" t="s">
        <v>2487</v>
      </c>
      <c r="I144" s="561" t="s">
        <v>2487</v>
      </c>
      <c r="J144" s="561" t="s">
        <v>2487</v>
      </c>
      <c r="K144" s="561" t="s">
        <v>2487</v>
      </c>
      <c r="L144" s="561" t="s">
        <v>2487</v>
      </c>
    </row>
    <row r="145" spans="1:12">
      <c r="A145" s="557" t="s">
        <v>2635</v>
      </c>
      <c r="B145" s="558" t="s">
        <v>2513</v>
      </c>
      <c r="C145" s="559">
        <v>2.6800000000000001E-2</v>
      </c>
      <c r="D145" s="559">
        <v>3.7999999999999999E-2</v>
      </c>
      <c r="E145" s="560">
        <v>8.7999999999999995E-2</v>
      </c>
      <c r="F145" s="559">
        <v>0.1</v>
      </c>
      <c r="G145" s="561" t="s">
        <v>2487</v>
      </c>
      <c r="H145" s="561" t="s">
        <v>2487</v>
      </c>
      <c r="I145" s="561" t="s">
        <v>2487</v>
      </c>
      <c r="J145" s="561" t="s">
        <v>2487</v>
      </c>
      <c r="K145" s="561" t="s">
        <v>2487</v>
      </c>
      <c r="L145" s="561" t="s">
        <v>2487</v>
      </c>
    </row>
    <row r="146" spans="1:12">
      <c r="A146" s="557" t="s">
        <v>2636</v>
      </c>
      <c r="B146" s="558" t="s">
        <v>2537</v>
      </c>
      <c r="C146" s="559">
        <v>1.7100000000000001E-2</v>
      </c>
      <c r="D146" s="559">
        <v>2.4299999999999999E-2</v>
      </c>
      <c r="E146" s="560">
        <v>7.4300000000000005E-2</v>
      </c>
      <c r="F146" s="559">
        <v>0.29499999999999998</v>
      </c>
      <c r="G146" s="561" t="s">
        <v>2487</v>
      </c>
      <c r="H146" s="561" t="s">
        <v>2487</v>
      </c>
      <c r="I146" s="561" t="s">
        <v>2487</v>
      </c>
      <c r="J146" s="561" t="s">
        <v>2487</v>
      </c>
      <c r="K146" s="561" t="s">
        <v>2487</v>
      </c>
      <c r="L146" s="561" t="s">
        <v>2487</v>
      </c>
    </row>
    <row r="147" spans="1:12">
      <c r="A147" s="557" t="s">
        <v>2637</v>
      </c>
      <c r="B147" s="558" t="s">
        <v>2500</v>
      </c>
      <c r="C147" s="559">
        <v>2.0400000000000001E-2</v>
      </c>
      <c r="D147" s="559">
        <v>2.8899999999999999E-2</v>
      </c>
      <c r="E147" s="560">
        <v>7.8899999999999998E-2</v>
      </c>
      <c r="F147" s="559">
        <v>0.25</v>
      </c>
      <c r="G147" s="561" t="s">
        <v>2487</v>
      </c>
      <c r="H147" s="561" t="s">
        <v>2487</v>
      </c>
      <c r="I147" s="561" t="s">
        <v>2487</v>
      </c>
      <c r="J147" s="561" t="s">
        <v>2487</v>
      </c>
      <c r="K147" s="561" t="s">
        <v>2487</v>
      </c>
      <c r="L147" s="561" t="s">
        <v>2487</v>
      </c>
    </row>
    <row r="148" spans="1:12">
      <c r="A148" s="557" t="s">
        <v>2638</v>
      </c>
      <c r="B148" s="558" t="s">
        <v>2528</v>
      </c>
      <c r="C148" s="559">
        <v>9.1000000000000004E-3</v>
      </c>
      <c r="D148" s="559">
        <v>1.2800000000000001E-2</v>
      </c>
      <c r="E148" s="560">
        <v>6.2799999999999995E-2</v>
      </c>
      <c r="F148" s="559">
        <v>0.19</v>
      </c>
      <c r="G148" s="561" t="s">
        <v>2487</v>
      </c>
      <c r="H148" s="561" t="s">
        <v>2487</v>
      </c>
      <c r="I148" s="561" t="s">
        <v>2487</v>
      </c>
      <c r="J148" s="561" t="s">
        <v>2487</v>
      </c>
      <c r="K148" s="561" t="s">
        <v>2487</v>
      </c>
      <c r="L148" s="561" t="s">
        <v>2487</v>
      </c>
    </row>
    <row r="149" spans="1:12">
      <c r="A149" s="557" t="s">
        <v>2639</v>
      </c>
      <c r="B149" s="558" t="s">
        <v>2500</v>
      </c>
      <c r="C149" s="559">
        <v>2.0400000000000001E-2</v>
      </c>
      <c r="D149" s="559">
        <v>2.8899999999999999E-2</v>
      </c>
      <c r="E149" s="560">
        <v>7.8899999999999998E-2</v>
      </c>
      <c r="F149" s="559">
        <v>0.21</v>
      </c>
      <c r="G149" s="561" t="s">
        <v>2487</v>
      </c>
      <c r="H149" s="561" t="s">
        <v>2487</v>
      </c>
      <c r="I149" s="561" t="s">
        <v>2487</v>
      </c>
      <c r="J149" s="561" t="s">
        <v>2487</v>
      </c>
      <c r="K149" s="561" t="s">
        <v>2487</v>
      </c>
      <c r="L149" s="561" t="s">
        <v>2487</v>
      </c>
    </row>
    <row r="150" spans="1:12">
      <c r="A150" s="557" t="s">
        <v>2640</v>
      </c>
      <c r="B150" s="558" t="s">
        <v>2523</v>
      </c>
      <c r="C150" s="559">
        <v>6.4000000000000003E-3</v>
      </c>
      <c r="D150" s="559">
        <v>9.1000000000000004E-3</v>
      </c>
      <c r="E150" s="560">
        <v>5.91E-2</v>
      </c>
      <c r="F150" s="559">
        <v>0.1</v>
      </c>
      <c r="G150" s="561" t="s">
        <v>2487</v>
      </c>
      <c r="H150" s="561" t="s">
        <v>2487</v>
      </c>
      <c r="I150" s="561" t="s">
        <v>2487</v>
      </c>
      <c r="J150" s="561" t="s">
        <v>2487</v>
      </c>
      <c r="K150" s="561" t="s">
        <v>2487</v>
      </c>
      <c r="L150" s="561" t="s">
        <v>2487</v>
      </c>
    </row>
    <row r="151" spans="1:12">
      <c r="A151" s="557" t="s">
        <v>2641</v>
      </c>
      <c r="B151" s="558" t="s">
        <v>2532</v>
      </c>
      <c r="C151" s="559">
        <v>1.2800000000000001E-2</v>
      </c>
      <c r="D151" s="559">
        <v>1.8200000000000001E-2</v>
      </c>
      <c r="E151" s="560">
        <v>6.8199999999999997E-2</v>
      </c>
      <c r="F151" s="559">
        <v>0</v>
      </c>
      <c r="G151" s="561" t="s">
        <v>2487</v>
      </c>
      <c r="H151" s="561" t="s">
        <v>2487</v>
      </c>
      <c r="I151" s="561" t="s">
        <v>2487</v>
      </c>
      <c r="J151" s="561" t="s">
        <v>2487</v>
      </c>
      <c r="K151" s="561" t="s">
        <v>2487</v>
      </c>
      <c r="L151" s="561" t="s">
        <v>2487</v>
      </c>
    </row>
    <row r="152" spans="1:12">
      <c r="A152" s="557" t="s">
        <v>2642</v>
      </c>
      <c r="B152" s="558" t="s">
        <v>2584</v>
      </c>
      <c r="C152" s="559">
        <v>2.35E-2</v>
      </c>
      <c r="D152" s="559">
        <v>3.3300000000000003E-2</v>
      </c>
      <c r="E152" s="560">
        <v>8.3299999999999999E-2</v>
      </c>
      <c r="F152" s="559">
        <v>0.16</v>
      </c>
      <c r="G152" s="561" t="s">
        <v>2487</v>
      </c>
      <c r="H152" s="561" t="s">
        <v>2487</v>
      </c>
      <c r="I152" s="561" t="s">
        <v>2487</v>
      </c>
      <c r="J152" s="561" t="s">
        <v>2487</v>
      </c>
      <c r="K152" s="561" t="s">
        <v>2487</v>
      </c>
      <c r="L152" s="561" t="s">
        <v>2487</v>
      </c>
    </row>
    <row r="153" spans="1:12">
      <c r="A153" s="557" t="s">
        <v>2643</v>
      </c>
      <c r="B153" s="558" t="s">
        <v>2504</v>
      </c>
      <c r="C153" s="559">
        <v>0.12839999999999999</v>
      </c>
      <c r="D153" s="559">
        <v>0.18210000000000001</v>
      </c>
      <c r="E153" s="560">
        <v>0.2321</v>
      </c>
      <c r="F153" s="559">
        <v>0.2</v>
      </c>
      <c r="G153" s="561" t="s">
        <v>2487</v>
      </c>
      <c r="H153" s="561" t="s">
        <v>2487</v>
      </c>
      <c r="I153" s="561" t="s">
        <v>2487</v>
      </c>
      <c r="J153" s="561" t="s">
        <v>2487</v>
      </c>
      <c r="K153" s="561" t="s">
        <v>2487</v>
      </c>
      <c r="L153" s="561" t="s">
        <v>2487</v>
      </c>
    </row>
    <row r="154" spans="1:12">
      <c r="A154" s="557" t="s">
        <v>2644</v>
      </c>
      <c r="B154" s="558" t="s">
        <v>2516</v>
      </c>
      <c r="C154" s="559">
        <v>5.8799999999999998E-2</v>
      </c>
      <c r="D154" s="559">
        <v>8.3500000000000005E-2</v>
      </c>
      <c r="E154" s="560">
        <v>0.13350000000000001</v>
      </c>
      <c r="F154" s="559">
        <v>0.3</v>
      </c>
      <c r="G154" s="561" t="s">
        <v>2487</v>
      </c>
      <c r="H154" s="561" t="s">
        <v>2487</v>
      </c>
      <c r="I154" s="561" t="s">
        <v>2487</v>
      </c>
      <c r="J154" s="561" t="s">
        <v>2487</v>
      </c>
      <c r="K154" s="561" t="s">
        <v>2487</v>
      </c>
      <c r="L154" s="561" t="s">
        <v>2487</v>
      </c>
    </row>
    <row r="155" spans="1:12">
      <c r="A155" s="557" t="s">
        <v>2645</v>
      </c>
      <c r="B155" s="558" t="s">
        <v>2545</v>
      </c>
      <c r="C155" s="559">
        <v>7.4999999999999997E-3</v>
      </c>
      <c r="D155" s="559">
        <v>1.0699999999999999E-2</v>
      </c>
      <c r="E155" s="560">
        <v>6.0699999999999997E-2</v>
      </c>
      <c r="F155" s="559">
        <v>0.2</v>
      </c>
      <c r="G155" s="561" t="s">
        <v>2487</v>
      </c>
      <c r="H155" s="561" t="s">
        <v>2487</v>
      </c>
      <c r="I155" s="561" t="s">
        <v>2487</v>
      </c>
      <c r="J155" s="561" t="s">
        <v>2487</v>
      </c>
      <c r="K155" s="561" t="s">
        <v>2487</v>
      </c>
      <c r="L155" s="561" t="s">
        <v>2487</v>
      </c>
    </row>
    <row r="156" spans="1:12">
      <c r="A156" s="557" t="s">
        <v>2646</v>
      </c>
      <c r="B156" s="558" t="s">
        <v>2506</v>
      </c>
      <c r="C156" s="559">
        <v>3.85E-2</v>
      </c>
      <c r="D156" s="559">
        <v>5.4600000000000003E-2</v>
      </c>
      <c r="E156" s="560">
        <v>0.1046</v>
      </c>
      <c r="F156" s="559">
        <v>0.3</v>
      </c>
      <c r="G156" s="561" t="s">
        <v>2487</v>
      </c>
      <c r="H156" s="561" t="s">
        <v>2487</v>
      </c>
      <c r="I156" s="561" t="s">
        <v>2487</v>
      </c>
      <c r="J156" s="561" t="s">
        <v>2487</v>
      </c>
      <c r="K156" s="561" t="s">
        <v>2487</v>
      </c>
      <c r="L156" s="561" t="s">
        <v>2487</v>
      </c>
    </row>
    <row r="157" spans="1:12">
      <c r="A157" s="557" t="s">
        <v>2647</v>
      </c>
      <c r="B157" s="558" t="s">
        <v>2534</v>
      </c>
      <c r="C157" s="559">
        <v>3.2199999999999999E-2</v>
      </c>
      <c r="D157" s="559">
        <v>4.5699999999999998E-2</v>
      </c>
      <c r="E157" s="560">
        <v>9.5699999999999993E-2</v>
      </c>
      <c r="F157" s="559">
        <v>0.15</v>
      </c>
      <c r="G157" s="561" t="s">
        <v>2487</v>
      </c>
      <c r="H157" s="561" t="s">
        <v>2487</v>
      </c>
      <c r="I157" s="561" t="s">
        <v>2487</v>
      </c>
      <c r="J157" s="561" t="s">
        <v>2487</v>
      </c>
      <c r="K157" s="561" t="s">
        <v>2487</v>
      </c>
      <c r="L157" s="561" t="s">
        <v>2487</v>
      </c>
    </row>
    <row r="158" spans="1:12">
      <c r="A158" s="557" t="s">
        <v>2648</v>
      </c>
      <c r="B158" s="558" t="s">
        <v>2513</v>
      </c>
      <c r="C158" s="559">
        <v>2.6800000000000001E-2</v>
      </c>
      <c r="D158" s="559">
        <v>3.7999999999999999E-2</v>
      </c>
      <c r="E158" s="560">
        <v>8.7999999999999995E-2</v>
      </c>
      <c r="F158" s="559">
        <v>0</v>
      </c>
      <c r="G158" s="561" t="s">
        <v>2487</v>
      </c>
      <c r="H158" s="561" t="s">
        <v>2487</v>
      </c>
      <c r="I158" s="561" t="s">
        <v>2487</v>
      </c>
      <c r="J158" s="561" t="s">
        <v>2487</v>
      </c>
      <c r="K158" s="561" t="s">
        <v>2487</v>
      </c>
      <c r="L158" s="561" t="s">
        <v>2487</v>
      </c>
    </row>
    <row r="159" spans="1:12">
      <c r="A159" s="557" t="s">
        <v>2649</v>
      </c>
      <c r="B159" s="558" t="s">
        <v>2498</v>
      </c>
      <c r="C159" s="559">
        <v>0.12839999999999999</v>
      </c>
      <c r="D159" s="559">
        <v>0.18210000000000001</v>
      </c>
      <c r="E159" s="560">
        <v>0.2321</v>
      </c>
      <c r="F159" s="559">
        <v>0.3</v>
      </c>
      <c r="G159" s="561" t="s">
        <v>2487</v>
      </c>
      <c r="H159" s="561" t="s">
        <v>2487</v>
      </c>
      <c r="I159" s="561" t="s">
        <v>2487</v>
      </c>
      <c r="J159" s="561" t="s">
        <v>2487</v>
      </c>
      <c r="K159" s="561" t="s">
        <v>2487</v>
      </c>
      <c r="L159" s="561" t="s">
        <v>2487</v>
      </c>
    </row>
    <row r="160" spans="1:12">
      <c r="A160" s="557" t="s">
        <v>2326</v>
      </c>
      <c r="B160" s="558" t="s">
        <v>2509</v>
      </c>
      <c r="C160" s="559">
        <v>0</v>
      </c>
      <c r="D160" s="559">
        <v>0</v>
      </c>
      <c r="E160" s="560">
        <v>0.05</v>
      </c>
      <c r="F160" s="559">
        <v>0.17</v>
      </c>
      <c r="G160" s="561" t="s">
        <v>2487</v>
      </c>
      <c r="H160" s="561" t="s">
        <v>2487</v>
      </c>
      <c r="I160" s="561" t="s">
        <v>2487</v>
      </c>
      <c r="J160" s="561" t="s">
        <v>2487</v>
      </c>
      <c r="K160" s="561" t="s">
        <v>2487</v>
      </c>
      <c r="L160" s="561" t="s">
        <v>2487</v>
      </c>
    </row>
    <row r="161" spans="1:12">
      <c r="A161" s="557" t="s">
        <v>2650</v>
      </c>
      <c r="B161" s="558" t="s">
        <v>2528</v>
      </c>
      <c r="C161" s="559">
        <v>9.1000000000000004E-3</v>
      </c>
      <c r="D161" s="559">
        <v>1.2800000000000001E-2</v>
      </c>
      <c r="E161" s="560">
        <v>6.2799999999999995E-2</v>
      </c>
      <c r="F161" s="559">
        <v>0.21</v>
      </c>
      <c r="G161" s="561" t="s">
        <v>2487</v>
      </c>
      <c r="H161" s="561" t="s">
        <v>2487</v>
      </c>
      <c r="I161" s="561" t="s">
        <v>2487</v>
      </c>
      <c r="J161" s="561" t="s">
        <v>2487</v>
      </c>
      <c r="K161" s="561" t="s">
        <v>2487</v>
      </c>
      <c r="L161" s="561" t="s">
        <v>2487</v>
      </c>
    </row>
    <row r="162" spans="1:12">
      <c r="A162" s="557" t="s">
        <v>2651</v>
      </c>
      <c r="B162" s="558" t="s">
        <v>2532</v>
      </c>
      <c r="C162" s="559">
        <v>1.2800000000000001E-2</v>
      </c>
      <c r="D162" s="559">
        <v>1.8200000000000001E-2</v>
      </c>
      <c r="E162" s="560">
        <v>6.8199999999999997E-2</v>
      </c>
      <c r="F162" s="559">
        <v>0.19</v>
      </c>
      <c r="G162" s="561" t="s">
        <v>2487</v>
      </c>
      <c r="H162" s="561" t="s">
        <v>2487</v>
      </c>
      <c r="I162" s="561" t="s">
        <v>2487</v>
      </c>
      <c r="J162" s="561" t="s">
        <v>2487</v>
      </c>
      <c r="K162" s="561" t="s">
        <v>2487</v>
      </c>
      <c r="L162" s="561" t="s">
        <v>2487</v>
      </c>
    </row>
    <row r="163" spans="1:12">
      <c r="A163" s="557" t="s">
        <v>2652</v>
      </c>
      <c r="B163" s="558" t="s">
        <v>2519</v>
      </c>
      <c r="C163" s="559">
        <v>8.0199999999999994E-2</v>
      </c>
      <c r="D163" s="559">
        <v>0.1138</v>
      </c>
      <c r="E163" s="560">
        <v>0.1638</v>
      </c>
      <c r="F163" s="559">
        <v>0.3</v>
      </c>
      <c r="G163" s="561" t="s">
        <v>2487</v>
      </c>
      <c r="H163" s="561" t="s">
        <v>2487</v>
      </c>
      <c r="I163" s="561" t="s">
        <v>2487</v>
      </c>
      <c r="J163" s="561" t="s">
        <v>2487</v>
      </c>
      <c r="K163" s="561" t="s">
        <v>2487</v>
      </c>
      <c r="L163" s="561" t="s">
        <v>2487</v>
      </c>
    </row>
    <row r="164" spans="1:12">
      <c r="A164" s="557" t="s">
        <v>2653</v>
      </c>
      <c r="B164" s="558" t="s">
        <v>2498</v>
      </c>
      <c r="C164" s="559">
        <v>0.12839999999999999</v>
      </c>
      <c r="D164" s="559">
        <v>0.18210000000000001</v>
      </c>
      <c r="E164" s="560">
        <v>0.2321</v>
      </c>
      <c r="F164" s="559">
        <v>0.29149999999999998</v>
      </c>
      <c r="G164" s="561" t="s">
        <v>2487</v>
      </c>
      <c r="H164" s="561" t="s">
        <v>2487</v>
      </c>
      <c r="I164" s="561" t="s">
        <v>2487</v>
      </c>
      <c r="J164" s="561" t="s">
        <v>2487</v>
      </c>
      <c r="K164" s="561" t="s">
        <v>2487</v>
      </c>
      <c r="L164" s="561" t="s">
        <v>2487</v>
      </c>
    </row>
    <row r="165" spans="1:12">
      <c r="A165" s="557" t="s">
        <v>2654</v>
      </c>
      <c r="B165" s="558" t="s">
        <v>2534</v>
      </c>
      <c r="C165" s="559">
        <v>3.2199999999999999E-2</v>
      </c>
      <c r="D165" s="559">
        <v>4.5699999999999998E-2</v>
      </c>
      <c r="E165" s="560">
        <v>9.5699999999999993E-2</v>
      </c>
      <c r="F165" s="559">
        <v>0.27</v>
      </c>
      <c r="G165" s="561" t="s">
        <v>2487</v>
      </c>
      <c r="H165" s="561" t="s">
        <v>2487</v>
      </c>
      <c r="I165" s="561" t="s">
        <v>2487</v>
      </c>
      <c r="J165" s="561" t="s">
        <v>2487</v>
      </c>
      <c r="K165" s="561" t="s">
        <v>2487</v>
      </c>
      <c r="L165" s="561" t="s">
        <v>2487</v>
      </c>
    </row>
    <row r="166" spans="1:12">
      <c r="A166" s="557" t="s">
        <v>2655</v>
      </c>
      <c r="B166" s="558" t="s">
        <v>2537</v>
      </c>
      <c r="C166" s="559">
        <v>1.7100000000000001E-2</v>
      </c>
      <c r="D166" s="559">
        <v>2.4299999999999999E-2</v>
      </c>
      <c r="E166" s="560">
        <v>7.4300000000000005E-2</v>
      </c>
      <c r="F166" s="559">
        <v>0.25</v>
      </c>
      <c r="G166" s="561" t="s">
        <v>2487</v>
      </c>
      <c r="H166" s="561" t="s">
        <v>2487</v>
      </c>
      <c r="I166" s="561" t="s">
        <v>2487</v>
      </c>
      <c r="J166" s="561" t="s">
        <v>2487</v>
      </c>
      <c r="K166" s="561" t="s">
        <v>2487</v>
      </c>
      <c r="L166" s="561" t="s">
        <v>2487</v>
      </c>
    </row>
    <row r="167" spans="1:12">
      <c r="A167" s="557" t="s">
        <v>2656</v>
      </c>
      <c r="B167" s="558" t="s">
        <v>2504</v>
      </c>
      <c r="C167" s="559">
        <v>0.12839999999999999</v>
      </c>
      <c r="D167" s="559">
        <v>0.18210000000000001</v>
      </c>
      <c r="E167" s="560">
        <v>0.2321</v>
      </c>
      <c r="F167" s="559">
        <v>0.24</v>
      </c>
      <c r="G167" s="561" t="s">
        <v>2487</v>
      </c>
      <c r="H167" s="561" t="s">
        <v>2487</v>
      </c>
      <c r="I167" s="561" t="s">
        <v>2487</v>
      </c>
      <c r="J167" s="561" t="s">
        <v>2487</v>
      </c>
      <c r="K167" s="561" t="s">
        <v>2487</v>
      </c>
      <c r="L167" s="561" t="s">
        <v>2487</v>
      </c>
    </row>
    <row r="168" spans="1:12">
      <c r="A168" s="557" t="s">
        <v>2657</v>
      </c>
      <c r="B168" s="558" t="s">
        <v>2534</v>
      </c>
      <c r="C168" s="559">
        <v>3.2199999999999999E-2</v>
      </c>
      <c r="D168" s="559">
        <v>4.5699999999999998E-2</v>
      </c>
      <c r="E168" s="560">
        <v>9.5699999999999993E-2</v>
      </c>
      <c r="F168" s="559">
        <v>0.27179999999999999</v>
      </c>
      <c r="G168" s="561" t="s">
        <v>2487</v>
      </c>
      <c r="H168" s="561" t="s">
        <v>2487</v>
      </c>
      <c r="I168" s="561" t="s">
        <v>2487</v>
      </c>
      <c r="J168" s="561" t="s">
        <v>2487</v>
      </c>
      <c r="K168" s="561" t="s">
        <v>2487</v>
      </c>
      <c r="L168" s="561" t="s">
        <v>2487</v>
      </c>
    </row>
    <row r="169" spans="1:12">
      <c r="A169" s="557" t="s">
        <v>2658</v>
      </c>
      <c r="B169" s="558" t="s">
        <v>2502</v>
      </c>
      <c r="C169" s="559">
        <v>6.9500000000000006E-2</v>
      </c>
      <c r="D169" s="559">
        <v>9.8599999999999993E-2</v>
      </c>
      <c r="E169" s="560">
        <v>0.14860000000000001</v>
      </c>
      <c r="F169" s="559">
        <v>0.27179999999999999</v>
      </c>
      <c r="G169" s="561" t="s">
        <v>2487</v>
      </c>
      <c r="H169" s="561" t="s">
        <v>2487</v>
      </c>
      <c r="I169" s="561" t="s">
        <v>2487</v>
      </c>
      <c r="J169" s="561" t="s">
        <v>2487</v>
      </c>
      <c r="K169" s="561" t="s">
        <v>2487</v>
      </c>
      <c r="L169" s="561" t="s">
        <v>2487</v>
      </c>
    </row>
    <row r="170" spans="1:12">
      <c r="A170" s="557" t="s">
        <v>2659</v>
      </c>
      <c r="B170" s="558" t="s">
        <v>2498</v>
      </c>
      <c r="C170" s="559">
        <v>0.17499999999999999</v>
      </c>
      <c r="D170" s="559">
        <v>0.2482</v>
      </c>
      <c r="E170" s="560">
        <v>0.29820000000000002</v>
      </c>
      <c r="F170" s="559">
        <v>0.35</v>
      </c>
      <c r="G170" s="561" t="s">
        <v>2487</v>
      </c>
      <c r="H170" s="561" t="s">
        <v>2487</v>
      </c>
      <c r="I170" s="561" t="s">
        <v>2487</v>
      </c>
      <c r="J170" s="561" t="s">
        <v>2487</v>
      </c>
      <c r="K170" s="561" t="s">
        <v>2487</v>
      </c>
      <c r="L170" s="561" t="s">
        <v>2487</v>
      </c>
    </row>
    <row r="171" spans="1:12">
      <c r="A171" s="557" t="s">
        <v>2660</v>
      </c>
      <c r="B171" s="558" t="s">
        <v>2560</v>
      </c>
      <c r="C171" s="559">
        <v>0.107</v>
      </c>
      <c r="D171" s="559">
        <v>0.15179999999999999</v>
      </c>
      <c r="E171" s="560">
        <v>0.20180000000000001</v>
      </c>
      <c r="F171" s="559">
        <v>0.36</v>
      </c>
      <c r="G171" s="561" t="s">
        <v>2487</v>
      </c>
      <c r="H171" s="561" t="s">
        <v>2487</v>
      </c>
      <c r="I171" s="561" t="s">
        <v>2487</v>
      </c>
      <c r="J171" s="561" t="s">
        <v>2487</v>
      </c>
      <c r="K171" s="561" t="s">
        <v>2487</v>
      </c>
      <c r="L171" s="561" t="s">
        <v>2487</v>
      </c>
    </row>
    <row r="172" spans="1:12">
      <c r="A172" s="557" t="s">
        <v>2661</v>
      </c>
      <c r="B172" s="558" t="s">
        <v>2502</v>
      </c>
      <c r="C172" s="559">
        <v>6.9500000000000006E-2</v>
      </c>
      <c r="D172" s="559">
        <v>9.8599999999999993E-2</v>
      </c>
      <c r="E172" s="560">
        <v>0.14860000000000001</v>
      </c>
      <c r="F172" s="559">
        <v>0.27500000000000002</v>
      </c>
      <c r="G172" s="561" t="s">
        <v>2487</v>
      </c>
      <c r="H172" s="561" t="s">
        <v>2487</v>
      </c>
      <c r="I172" s="561" t="s">
        <v>2487</v>
      </c>
      <c r="J172" s="561" t="s">
        <v>2487</v>
      </c>
      <c r="K172" s="561" t="s">
        <v>2487</v>
      </c>
      <c r="L172" s="561" t="s">
        <v>2487</v>
      </c>
    </row>
    <row r="173" spans="1:12">
      <c r="A173" s="557" t="s">
        <v>2662</v>
      </c>
      <c r="B173" s="558" t="s">
        <v>2509</v>
      </c>
      <c r="C173" s="559">
        <v>0</v>
      </c>
      <c r="D173" s="559">
        <v>0</v>
      </c>
      <c r="E173" s="560">
        <v>0.05</v>
      </c>
      <c r="F173" s="559">
        <v>0.20599999999999999</v>
      </c>
      <c r="G173" s="561" t="s">
        <v>2487</v>
      </c>
      <c r="H173" s="561" t="s">
        <v>2487</v>
      </c>
      <c r="I173" s="561" t="s">
        <v>2487</v>
      </c>
      <c r="J173" s="561" t="s">
        <v>2487</v>
      </c>
      <c r="K173" s="561" t="s">
        <v>2487</v>
      </c>
      <c r="L173" s="561" t="s">
        <v>2487</v>
      </c>
    </row>
    <row r="174" spans="1:12">
      <c r="A174" s="557" t="s">
        <v>2663</v>
      </c>
      <c r="B174" s="558" t="s">
        <v>2509</v>
      </c>
      <c r="C174" s="559">
        <v>0</v>
      </c>
      <c r="D174" s="559">
        <v>0</v>
      </c>
      <c r="E174" s="560">
        <v>0.05</v>
      </c>
      <c r="F174" s="559">
        <v>0.18</v>
      </c>
      <c r="G174" s="561" t="s">
        <v>2487</v>
      </c>
      <c r="H174" s="561" t="s">
        <v>2487</v>
      </c>
      <c r="I174" s="561" t="s">
        <v>2487</v>
      </c>
      <c r="J174" s="561" t="s">
        <v>2487</v>
      </c>
      <c r="K174" s="561" t="s">
        <v>2487</v>
      </c>
      <c r="L174" s="561" t="s">
        <v>2487</v>
      </c>
    </row>
    <row r="175" spans="1:12">
      <c r="A175" s="557" t="s">
        <v>2664</v>
      </c>
      <c r="B175" s="558" t="s">
        <v>2498</v>
      </c>
      <c r="C175" s="559">
        <v>0.17499999999999999</v>
      </c>
      <c r="D175" s="559">
        <v>0.2482</v>
      </c>
      <c r="E175" s="560">
        <v>0.29820000000000002</v>
      </c>
      <c r="F175" s="559">
        <v>0.28000000000000003</v>
      </c>
      <c r="G175" s="561" t="s">
        <v>2487</v>
      </c>
      <c r="H175" s="561" t="s">
        <v>2487</v>
      </c>
      <c r="I175" s="561" t="s">
        <v>2487</v>
      </c>
      <c r="J175" s="561" t="s">
        <v>2487</v>
      </c>
      <c r="K175" s="561" t="s">
        <v>2487</v>
      </c>
      <c r="L175" s="561" t="s">
        <v>2487</v>
      </c>
    </row>
    <row r="176" spans="1:12">
      <c r="A176" s="557" t="s">
        <v>2665</v>
      </c>
      <c r="B176" s="558" t="s">
        <v>2523</v>
      </c>
      <c r="C176" s="559">
        <v>6.4000000000000003E-3</v>
      </c>
      <c r="D176" s="559">
        <v>9.1000000000000004E-3</v>
      </c>
      <c r="E176" s="560">
        <v>5.91E-2</v>
      </c>
      <c r="F176" s="559">
        <v>0.2</v>
      </c>
      <c r="G176" s="561" t="s">
        <v>2487</v>
      </c>
      <c r="H176" s="561" t="s">
        <v>2487</v>
      </c>
      <c r="I176" s="561" t="s">
        <v>2487</v>
      </c>
      <c r="J176" s="561" t="s">
        <v>2487</v>
      </c>
      <c r="K176" s="561" t="s">
        <v>2487</v>
      </c>
      <c r="L176" s="561" t="s">
        <v>2487</v>
      </c>
    </row>
    <row r="177" spans="1:12">
      <c r="A177" s="557" t="s">
        <v>2666</v>
      </c>
      <c r="B177" s="558" t="s">
        <v>2502</v>
      </c>
      <c r="C177" s="559">
        <v>6.9500000000000006E-2</v>
      </c>
      <c r="D177" s="559">
        <v>9.8599999999999993E-2</v>
      </c>
      <c r="E177" s="560">
        <v>0.14860000000000001</v>
      </c>
      <c r="F177" s="559">
        <v>0.18</v>
      </c>
      <c r="G177" s="561" t="s">
        <v>2487</v>
      </c>
      <c r="H177" s="561" t="s">
        <v>2487</v>
      </c>
      <c r="I177" s="561" t="s">
        <v>2487</v>
      </c>
      <c r="J177" s="561" t="s">
        <v>2487</v>
      </c>
      <c r="K177" s="561" t="s">
        <v>2487</v>
      </c>
      <c r="L177" s="561" t="s">
        <v>2487</v>
      </c>
    </row>
    <row r="178" spans="1:12">
      <c r="A178" s="557" t="s">
        <v>2667</v>
      </c>
      <c r="B178" s="558" t="s">
        <v>2516</v>
      </c>
      <c r="C178" s="559">
        <v>5.8799999999999998E-2</v>
      </c>
      <c r="D178" s="559">
        <v>8.3500000000000005E-2</v>
      </c>
      <c r="E178" s="560">
        <v>0.13350000000000001</v>
      </c>
      <c r="F178" s="559">
        <v>0.3</v>
      </c>
      <c r="G178" s="561" t="s">
        <v>2487</v>
      </c>
      <c r="H178" s="561" t="s">
        <v>2487</v>
      </c>
      <c r="I178" s="561" t="s">
        <v>2487</v>
      </c>
      <c r="J178" s="561" t="s">
        <v>2487</v>
      </c>
      <c r="K178" s="561" t="s">
        <v>2487</v>
      </c>
      <c r="L178" s="561" t="s">
        <v>2487</v>
      </c>
    </row>
    <row r="179" spans="1:12">
      <c r="A179" s="557" t="s">
        <v>261</v>
      </c>
      <c r="B179" s="558" t="s">
        <v>2537</v>
      </c>
      <c r="C179" s="559">
        <v>1.7100000000000001E-2</v>
      </c>
      <c r="D179" s="559">
        <v>2.4299999999999999E-2</v>
      </c>
      <c r="E179" s="560">
        <v>7.4300000000000005E-2</v>
      </c>
      <c r="F179" s="559">
        <v>0.2</v>
      </c>
      <c r="G179" s="561" t="s">
        <v>2487</v>
      </c>
      <c r="H179" s="561" t="s">
        <v>2487</v>
      </c>
      <c r="I179" s="561" t="s">
        <v>2487</v>
      </c>
      <c r="J179" s="561" t="s">
        <v>2487</v>
      </c>
      <c r="K179" s="561" t="s">
        <v>2487</v>
      </c>
      <c r="L179" s="561" t="s">
        <v>2487</v>
      </c>
    </row>
    <row r="180" spans="1:12">
      <c r="A180" s="557" t="s">
        <v>2668</v>
      </c>
      <c r="B180" s="558" t="s">
        <v>2502</v>
      </c>
      <c r="C180" s="559">
        <v>6.9500000000000006E-2</v>
      </c>
      <c r="D180" s="559">
        <v>9.8599999999999993E-2</v>
      </c>
      <c r="E180" s="560">
        <v>0.14860000000000001</v>
      </c>
      <c r="F180" s="559">
        <v>0.2281</v>
      </c>
      <c r="G180" s="561" t="s">
        <v>2487</v>
      </c>
      <c r="H180" s="561" t="s">
        <v>2487</v>
      </c>
      <c r="I180" s="561" t="s">
        <v>2487</v>
      </c>
      <c r="J180" s="561" t="s">
        <v>2487</v>
      </c>
      <c r="K180" s="561" t="s">
        <v>2487</v>
      </c>
      <c r="L180" s="561" t="s">
        <v>2487</v>
      </c>
    </row>
    <row r="181" spans="1:12">
      <c r="A181" s="557" t="s">
        <v>2669</v>
      </c>
      <c r="B181" s="558" t="s">
        <v>2534</v>
      </c>
      <c r="C181" s="559">
        <v>3.2199999999999999E-2</v>
      </c>
      <c r="D181" s="559">
        <v>4.5699999999999998E-2</v>
      </c>
      <c r="E181" s="560">
        <v>9.5699999999999993E-2</v>
      </c>
      <c r="F181" s="559">
        <v>0.3</v>
      </c>
      <c r="G181" s="561" t="s">
        <v>2487</v>
      </c>
      <c r="H181" s="561" t="s">
        <v>2487</v>
      </c>
      <c r="I181" s="561" t="s">
        <v>2487</v>
      </c>
      <c r="J181" s="561" t="s">
        <v>2487</v>
      </c>
      <c r="K181" s="561" t="s">
        <v>2487</v>
      </c>
      <c r="L181" s="561" t="s">
        <v>2487</v>
      </c>
    </row>
    <row r="182" spans="1:12">
      <c r="A182" s="557" t="s">
        <v>2670</v>
      </c>
      <c r="B182" s="558" t="s">
        <v>2525</v>
      </c>
      <c r="C182" s="559">
        <v>9.6299999999999997E-2</v>
      </c>
      <c r="D182" s="559">
        <v>0.1366</v>
      </c>
      <c r="E182" s="560">
        <v>0.18659999999999999</v>
      </c>
      <c r="F182" s="559">
        <v>0.15</v>
      </c>
      <c r="G182" s="561" t="s">
        <v>2487</v>
      </c>
      <c r="H182" s="561" t="s">
        <v>2487</v>
      </c>
      <c r="I182" s="561" t="s">
        <v>2487</v>
      </c>
      <c r="J182" s="561" t="s">
        <v>2487</v>
      </c>
      <c r="K182" s="561" t="s">
        <v>2487</v>
      </c>
      <c r="L182" s="561" t="s">
        <v>2487</v>
      </c>
    </row>
    <row r="183" spans="1:12">
      <c r="A183" s="557" t="s">
        <v>2671</v>
      </c>
      <c r="B183" s="558" t="s">
        <v>2502</v>
      </c>
      <c r="C183" s="559">
        <v>6.9500000000000006E-2</v>
      </c>
      <c r="D183" s="559">
        <v>9.8599999999999993E-2</v>
      </c>
      <c r="E183" s="560">
        <v>0.14860000000000001</v>
      </c>
      <c r="F183" s="559">
        <v>0.23</v>
      </c>
      <c r="G183" s="561" t="s">
        <v>2487</v>
      </c>
      <c r="H183" s="561" t="s">
        <v>2487</v>
      </c>
      <c r="I183" s="561" t="s">
        <v>2487</v>
      </c>
      <c r="J183" s="561" t="s">
        <v>2487</v>
      </c>
      <c r="K183" s="561" t="s">
        <v>2487</v>
      </c>
      <c r="L183" s="561" t="s">
        <v>2487</v>
      </c>
    </row>
    <row r="184" spans="1:12">
      <c r="A184" s="557" t="s">
        <v>2672</v>
      </c>
      <c r="B184" s="558" t="s">
        <v>2537</v>
      </c>
      <c r="C184" s="559">
        <v>1.7100000000000001E-2</v>
      </c>
      <c r="D184" s="559">
        <v>2.4299999999999999E-2</v>
      </c>
      <c r="E184" s="560">
        <v>7.4300000000000005E-2</v>
      </c>
      <c r="F184" s="559">
        <v>0</v>
      </c>
      <c r="G184" s="561" t="s">
        <v>2487</v>
      </c>
      <c r="H184" s="561" t="s">
        <v>2487</v>
      </c>
      <c r="I184" s="561" t="s">
        <v>2487</v>
      </c>
      <c r="J184" s="561" t="s">
        <v>2487</v>
      </c>
      <c r="K184" s="561" t="s">
        <v>2487</v>
      </c>
      <c r="L184" s="561" t="s">
        <v>2487</v>
      </c>
    </row>
    <row r="185" spans="1:12">
      <c r="A185" s="557" t="s">
        <v>2673</v>
      </c>
      <c r="B185" s="558" t="s">
        <v>2516</v>
      </c>
      <c r="C185" s="559">
        <v>5.8799999999999998E-2</v>
      </c>
      <c r="D185" s="559">
        <v>8.3500000000000005E-2</v>
      </c>
      <c r="E185" s="560">
        <v>0.13350000000000001</v>
      </c>
      <c r="F185" s="559">
        <v>0.3</v>
      </c>
      <c r="G185" s="561" t="s">
        <v>2487</v>
      </c>
      <c r="H185" s="561" t="s">
        <v>2487</v>
      </c>
      <c r="I185" s="561" t="s">
        <v>2487</v>
      </c>
      <c r="J185" s="561" t="s">
        <v>2487</v>
      </c>
      <c r="K185" s="561" t="s">
        <v>2487</v>
      </c>
      <c r="L185" s="561" t="s">
        <v>2487</v>
      </c>
    </row>
    <row r="186" spans="1:12">
      <c r="A186" s="557" t="s">
        <v>2674</v>
      </c>
      <c r="B186" s="558" t="s">
        <v>2504</v>
      </c>
      <c r="C186" s="559">
        <v>0.12839999999999999</v>
      </c>
      <c r="D186" s="559">
        <v>0.18210000000000001</v>
      </c>
      <c r="E186" s="560">
        <v>0.2321</v>
      </c>
      <c r="F186" s="559">
        <v>0.18</v>
      </c>
      <c r="G186" s="561" t="s">
        <v>2487</v>
      </c>
      <c r="H186" s="561" t="s">
        <v>2487</v>
      </c>
      <c r="I186" s="561" t="s">
        <v>2487</v>
      </c>
      <c r="J186" s="561" t="s">
        <v>2487</v>
      </c>
      <c r="K186" s="561" t="s">
        <v>2487</v>
      </c>
      <c r="L186" s="561" t="s">
        <v>2487</v>
      </c>
    </row>
    <row r="187" spans="1:12">
      <c r="A187" s="557" t="s">
        <v>2675</v>
      </c>
      <c r="B187" s="558" t="s">
        <v>2494</v>
      </c>
      <c r="C187" s="559">
        <v>5.3E-3</v>
      </c>
      <c r="D187" s="559">
        <v>7.4999999999999997E-3</v>
      </c>
      <c r="E187" s="560">
        <v>5.7500000000000002E-2</v>
      </c>
      <c r="F187" s="559">
        <v>0</v>
      </c>
      <c r="G187" s="561" t="s">
        <v>2487</v>
      </c>
      <c r="H187" s="561" t="s">
        <v>2487</v>
      </c>
      <c r="I187" s="561" t="s">
        <v>2487</v>
      </c>
      <c r="J187" s="561" t="s">
        <v>2487</v>
      </c>
      <c r="K187" s="561" t="s">
        <v>2487</v>
      </c>
      <c r="L187" s="561" t="s">
        <v>2487</v>
      </c>
    </row>
    <row r="188" spans="1:12">
      <c r="A188" s="557" t="s">
        <v>2676</v>
      </c>
      <c r="B188" s="558" t="s">
        <v>2523</v>
      </c>
      <c r="C188" s="559">
        <v>6.4000000000000003E-3</v>
      </c>
      <c r="D188" s="559">
        <v>9.1000000000000004E-3</v>
      </c>
      <c r="E188" s="560">
        <v>5.91E-2</v>
      </c>
      <c r="F188" s="559">
        <v>0.25</v>
      </c>
      <c r="G188" s="561" t="s">
        <v>2487</v>
      </c>
      <c r="H188" s="561" t="s">
        <v>2487</v>
      </c>
      <c r="I188" s="561" t="s">
        <v>2487</v>
      </c>
      <c r="J188" s="561" t="s">
        <v>2487</v>
      </c>
      <c r="K188" s="561" t="s">
        <v>2487</v>
      </c>
      <c r="L188" s="561" t="s">
        <v>2487</v>
      </c>
    </row>
    <row r="189" spans="1:12">
      <c r="A189" s="557" t="s">
        <v>2677</v>
      </c>
      <c r="B189" s="558" t="s">
        <v>2509</v>
      </c>
      <c r="C189" s="559">
        <v>0</v>
      </c>
      <c r="D189" s="559">
        <v>0</v>
      </c>
      <c r="E189" s="560">
        <v>0.05</v>
      </c>
      <c r="F189" s="559">
        <v>0.25</v>
      </c>
      <c r="G189" s="561" t="s">
        <v>2487</v>
      </c>
      <c r="H189" s="561" t="s">
        <v>2487</v>
      </c>
      <c r="I189" s="561" t="s">
        <v>2487</v>
      </c>
      <c r="J189" s="561" t="s">
        <v>2487</v>
      </c>
      <c r="K189" s="561" t="s">
        <v>2487</v>
      </c>
      <c r="L189" s="561" t="s">
        <v>2487</v>
      </c>
    </row>
    <row r="190" spans="1:12">
      <c r="A190" s="557" t="s">
        <v>2678</v>
      </c>
      <c r="B190" s="558" t="s">
        <v>2500</v>
      </c>
      <c r="C190" s="559">
        <v>2.0400000000000001E-2</v>
      </c>
      <c r="D190" s="559">
        <v>2.8899999999999999E-2</v>
      </c>
      <c r="E190" s="560">
        <v>7.8899999999999998E-2</v>
      </c>
      <c r="F190" s="559">
        <v>0.25</v>
      </c>
      <c r="G190" s="561" t="s">
        <v>2487</v>
      </c>
      <c r="H190" s="561" t="s">
        <v>2487</v>
      </c>
      <c r="I190" s="561" t="s">
        <v>2487</v>
      </c>
      <c r="J190" s="561" t="s">
        <v>2487</v>
      </c>
      <c r="K190" s="561" t="s">
        <v>2487</v>
      </c>
      <c r="L190" s="561" t="s">
        <v>2487</v>
      </c>
    </row>
    <row r="191" spans="1:12">
      <c r="A191" s="557" t="s">
        <v>2679</v>
      </c>
      <c r="B191" s="558" t="s">
        <v>2506</v>
      </c>
      <c r="C191" s="559">
        <v>3.85E-2</v>
      </c>
      <c r="D191" s="559">
        <v>5.4600000000000003E-2</v>
      </c>
      <c r="E191" s="560">
        <v>0.1046</v>
      </c>
      <c r="F191" s="559">
        <v>0.15</v>
      </c>
      <c r="G191" s="561" t="s">
        <v>2487</v>
      </c>
      <c r="H191" s="561" t="s">
        <v>2487</v>
      </c>
      <c r="I191" s="561" t="s">
        <v>2487</v>
      </c>
      <c r="J191" s="561" t="s">
        <v>2487</v>
      </c>
      <c r="K191" s="561" t="s">
        <v>2487</v>
      </c>
      <c r="L191" s="561" t="s">
        <v>2487</v>
      </c>
    </row>
    <row r="192" spans="1:12">
      <c r="A192" s="557" t="s">
        <v>2680</v>
      </c>
      <c r="B192" s="558" t="s">
        <v>2521</v>
      </c>
      <c r="C192" s="559">
        <v>0.17499999999999999</v>
      </c>
      <c r="D192" s="559">
        <v>0.2482</v>
      </c>
      <c r="E192" s="560">
        <v>0.29820000000000002</v>
      </c>
      <c r="F192" s="559">
        <v>0.34</v>
      </c>
      <c r="G192" s="561" t="s">
        <v>2487</v>
      </c>
      <c r="H192" s="561" t="s">
        <v>2487</v>
      </c>
      <c r="I192" s="561" t="s">
        <v>2487</v>
      </c>
      <c r="J192" s="561" t="s">
        <v>2487</v>
      </c>
      <c r="K192" s="561" t="s">
        <v>2487</v>
      </c>
      <c r="L192" s="561" t="s">
        <v>2487</v>
      </c>
    </row>
    <row r="193" spans="1:12">
      <c r="A193" s="557" t="s">
        <v>245</v>
      </c>
      <c r="B193" s="558" t="s">
        <v>2534</v>
      </c>
      <c r="C193" s="559">
        <v>3.2199999999999999E-2</v>
      </c>
      <c r="D193" s="559">
        <v>4.5699999999999998E-2</v>
      </c>
      <c r="E193" s="560">
        <v>9.5699999999999993E-2</v>
      </c>
      <c r="F193" s="559">
        <v>0.2</v>
      </c>
      <c r="G193" s="561" t="s">
        <v>2487</v>
      </c>
      <c r="H193" s="561" t="s">
        <v>2487</v>
      </c>
      <c r="I193" s="561" t="s">
        <v>2487</v>
      </c>
      <c r="J193" s="561" t="s">
        <v>2487</v>
      </c>
      <c r="K193" s="561" t="s">
        <v>2487</v>
      </c>
      <c r="L193" s="561" t="s">
        <v>2487</v>
      </c>
    </row>
    <row r="194" spans="1:12">
      <c r="A194" s="557" t="s">
        <v>2681</v>
      </c>
      <c r="B194" s="558" t="s">
        <v>2498</v>
      </c>
      <c r="C194" s="559">
        <v>0.107</v>
      </c>
      <c r="D194" s="559">
        <v>0.15179999999999999</v>
      </c>
      <c r="E194" s="560">
        <v>0.20180000000000001</v>
      </c>
      <c r="F194" s="559">
        <v>0.2</v>
      </c>
      <c r="G194" s="561" t="s">
        <v>2487</v>
      </c>
      <c r="H194" s="561" t="s">
        <v>2487</v>
      </c>
      <c r="I194" s="561" t="s">
        <v>2487</v>
      </c>
      <c r="J194" s="561" t="s">
        <v>2487</v>
      </c>
      <c r="K194" s="561" t="s">
        <v>2487</v>
      </c>
      <c r="L194" s="561" t="s">
        <v>2487</v>
      </c>
    </row>
    <row r="195" spans="1:12">
      <c r="A195" s="557" t="s">
        <v>2682</v>
      </c>
      <c r="B195" s="558" t="s">
        <v>2504</v>
      </c>
      <c r="C195" s="559">
        <v>0.12839999999999999</v>
      </c>
      <c r="D195" s="559">
        <v>0.18210000000000001</v>
      </c>
      <c r="E195" s="560">
        <v>0.2321</v>
      </c>
      <c r="F195" s="559">
        <v>0.35</v>
      </c>
      <c r="G195" s="561" t="s">
        <v>2487</v>
      </c>
      <c r="H195" s="561" t="s">
        <v>2487</v>
      </c>
      <c r="I195" s="561" t="s">
        <v>2487</v>
      </c>
      <c r="J195" s="561" t="s">
        <v>2487</v>
      </c>
      <c r="K195" s="561" t="s">
        <v>2487</v>
      </c>
      <c r="L195" s="561" t="s">
        <v>2487</v>
      </c>
    </row>
    <row r="196" spans="1:12">
      <c r="A196" s="557" t="s">
        <v>2683</v>
      </c>
      <c r="B196" s="558" t="s">
        <v>2498</v>
      </c>
      <c r="C196" s="559">
        <v>8.0199999999999994E-2</v>
      </c>
      <c r="D196" s="559">
        <v>0.1138</v>
      </c>
      <c r="E196" s="560">
        <v>0.1638</v>
      </c>
      <c r="F196" s="559">
        <v>0.25</v>
      </c>
      <c r="G196" s="561" t="s">
        <v>2487</v>
      </c>
      <c r="H196" s="561" t="s">
        <v>2487</v>
      </c>
      <c r="I196" s="561" t="s">
        <v>2487</v>
      </c>
      <c r="J196" s="561" t="s">
        <v>2487</v>
      </c>
      <c r="K196" s="561" t="s">
        <v>2487</v>
      </c>
      <c r="L196" s="561" t="s">
        <v>2487</v>
      </c>
    </row>
    <row r="197" spans="1:12">
      <c r="A197" s="553" t="s">
        <v>2487</v>
      </c>
      <c r="B197" s="553" t="s">
        <v>2487</v>
      </c>
      <c r="C197" s="553" t="s">
        <v>2487</v>
      </c>
      <c r="D197" s="553" t="s">
        <v>2487</v>
      </c>
      <c r="E197" s="553" t="s">
        <v>2487</v>
      </c>
      <c r="F197" s="553" t="s">
        <v>2487</v>
      </c>
      <c r="G197" s="561" t="s">
        <v>2487</v>
      </c>
      <c r="H197" s="561" t="s">
        <v>2487</v>
      </c>
      <c r="I197" s="561" t="s">
        <v>2487</v>
      </c>
      <c r="J197" s="561" t="s">
        <v>2487</v>
      </c>
      <c r="K197" s="561" t="s">
        <v>2487</v>
      </c>
      <c r="L197" s="561" t="s">
        <v>2487</v>
      </c>
    </row>
    <row r="198" spans="1:12">
      <c r="A198" s="553" t="s">
        <v>2684</v>
      </c>
      <c r="B198" s="553" t="s">
        <v>2487</v>
      </c>
      <c r="C198" s="553" t="s">
        <v>2487</v>
      </c>
      <c r="D198" s="553" t="s">
        <v>2487</v>
      </c>
      <c r="E198" s="553" t="s">
        <v>2487</v>
      </c>
      <c r="F198" s="553" t="s">
        <v>2487</v>
      </c>
      <c r="G198" s="561" t="s">
        <v>2487</v>
      </c>
      <c r="H198" s="561" t="s">
        <v>2487</v>
      </c>
      <c r="I198" s="561" t="s">
        <v>2487</v>
      </c>
      <c r="J198" s="561" t="s">
        <v>2487</v>
      </c>
      <c r="K198" s="561" t="s">
        <v>2487</v>
      </c>
      <c r="L198" s="561" t="s">
        <v>2487</v>
      </c>
    </row>
    <row r="199" spans="1:12">
      <c r="A199" s="553" t="s">
        <v>2487</v>
      </c>
      <c r="B199" s="553" t="s">
        <v>2487</v>
      </c>
      <c r="C199" s="553" t="s">
        <v>2487</v>
      </c>
      <c r="D199" s="553" t="s">
        <v>2487</v>
      </c>
      <c r="E199" s="553" t="s">
        <v>2487</v>
      </c>
      <c r="F199" s="553" t="s">
        <v>2487</v>
      </c>
      <c r="G199" s="561" t="s">
        <v>2487</v>
      </c>
      <c r="H199" s="561" t="s">
        <v>2487</v>
      </c>
      <c r="I199" s="561" t="s">
        <v>2487</v>
      </c>
      <c r="J199" s="561" t="s">
        <v>2487</v>
      </c>
      <c r="K199" s="561" t="s">
        <v>2487</v>
      </c>
      <c r="L199" s="561" t="s">
        <v>2487</v>
      </c>
    </row>
    <row r="200" spans="1:12">
      <c r="A200" s="553" t="s">
        <v>2685</v>
      </c>
      <c r="B200" s="553" t="s">
        <v>2487</v>
      </c>
      <c r="C200" s="553" t="s">
        <v>2487</v>
      </c>
      <c r="D200" s="553" t="s">
        <v>2487</v>
      </c>
      <c r="E200" s="553" t="s">
        <v>2487</v>
      </c>
      <c r="F200" s="553" t="s">
        <v>2487</v>
      </c>
      <c r="G200" s="561" t="s">
        <v>2487</v>
      </c>
      <c r="H200" s="561" t="s">
        <v>2487</v>
      </c>
      <c r="I200" s="561" t="s">
        <v>2487</v>
      </c>
      <c r="J200" s="561" t="s">
        <v>2487</v>
      </c>
      <c r="K200" s="561" t="s">
        <v>2487</v>
      </c>
      <c r="L200" s="561" t="s">
        <v>2487</v>
      </c>
    </row>
    <row r="201" spans="1:12">
      <c r="A201" s="553" t="s">
        <v>2487</v>
      </c>
      <c r="B201" s="553" t="s">
        <v>2487</v>
      </c>
      <c r="C201" s="553" t="s">
        <v>2487</v>
      </c>
      <c r="D201" s="553" t="s">
        <v>2487</v>
      </c>
      <c r="E201" s="553" t="s">
        <v>2487</v>
      </c>
      <c r="F201" s="553" t="s">
        <v>2487</v>
      </c>
      <c r="G201" s="561" t="s">
        <v>2487</v>
      </c>
      <c r="H201" s="561" t="s">
        <v>2487</v>
      </c>
      <c r="I201" s="561" t="s">
        <v>2487</v>
      </c>
      <c r="J201" s="561" t="s">
        <v>2487</v>
      </c>
      <c r="K201" s="561" t="s">
        <v>2487</v>
      </c>
      <c r="L201" s="561" t="s">
        <v>2487</v>
      </c>
    </row>
    <row r="202" spans="1:12">
      <c r="A202" s="553" t="s">
        <v>2487</v>
      </c>
      <c r="B202" s="553" t="s">
        <v>2487</v>
      </c>
      <c r="C202" s="553" t="s">
        <v>2487</v>
      </c>
      <c r="D202" s="553" t="s">
        <v>2487</v>
      </c>
      <c r="E202" s="553" t="s">
        <v>2487</v>
      </c>
      <c r="F202" s="553" t="s">
        <v>2487</v>
      </c>
      <c r="G202" s="561" t="s">
        <v>2487</v>
      </c>
      <c r="H202" s="561" t="s">
        <v>2487</v>
      </c>
      <c r="I202" s="561" t="s">
        <v>2487</v>
      </c>
      <c r="J202" s="561" t="s">
        <v>2487</v>
      </c>
      <c r="K202" s="561" t="s">
        <v>2487</v>
      </c>
      <c r="L202" s="561" t="s">
        <v>2487</v>
      </c>
    </row>
    <row r="203" spans="1:12">
      <c r="A203" s="553" t="s">
        <v>2487</v>
      </c>
      <c r="B203" s="553" t="s">
        <v>2487</v>
      </c>
      <c r="C203" s="553" t="s">
        <v>2487</v>
      </c>
      <c r="D203" s="553" t="s">
        <v>2487</v>
      </c>
      <c r="E203" s="553" t="s">
        <v>2487</v>
      </c>
      <c r="F203" s="553" t="s">
        <v>2487</v>
      </c>
      <c r="G203" s="561" t="s">
        <v>2487</v>
      </c>
      <c r="H203" s="561" t="s">
        <v>2487</v>
      </c>
      <c r="I203" s="561" t="s">
        <v>2487</v>
      </c>
      <c r="J203" s="561" t="s">
        <v>2487</v>
      </c>
      <c r="K203" s="561" t="s">
        <v>2487</v>
      </c>
      <c r="L203" s="561" t="s">
        <v>2487</v>
      </c>
    </row>
    <row r="204" spans="1:12">
      <c r="A204" s="553" t="s">
        <v>2487</v>
      </c>
      <c r="B204" s="553" t="s">
        <v>2487</v>
      </c>
      <c r="C204" s="553" t="s">
        <v>2487</v>
      </c>
      <c r="D204" s="553" t="s">
        <v>2487</v>
      </c>
      <c r="E204" s="553" t="s">
        <v>2487</v>
      </c>
      <c r="F204" s="553" t="s">
        <v>2487</v>
      </c>
      <c r="G204" s="561" t="s">
        <v>2487</v>
      </c>
      <c r="H204" s="561" t="s">
        <v>2487</v>
      </c>
      <c r="I204" s="561" t="s">
        <v>2487</v>
      </c>
      <c r="J204" s="561" t="s">
        <v>2487</v>
      </c>
      <c r="K204" s="561" t="s">
        <v>2487</v>
      </c>
      <c r="L204" s="561" t="s">
        <v>2487</v>
      </c>
    </row>
    <row r="205" spans="1:12">
      <c r="A205" s="553" t="s">
        <v>2487</v>
      </c>
      <c r="B205" s="553" t="s">
        <v>2487</v>
      </c>
      <c r="C205" s="553" t="s">
        <v>2487</v>
      </c>
      <c r="D205" s="553" t="s">
        <v>2487</v>
      </c>
      <c r="E205" s="553" t="s">
        <v>2487</v>
      </c>
      <c r="F205" s="553" t="s">
        <v>2487</v>
      </c>
      <c r="G205" s="561" t="s">
        <v>2487</v>
      </c>
      <c r="H205" s="561" t="s">
        <v>2487</v>
      </c>
      <c r="I205" s="561" t="s">
        <v>2487</v>
      </c>
      <c r="J205" s="561" t="s">
        <v>2487</v>
      </c>
      <c r="K205" s="561" t="s">
        <v>2487</v>
      </c>
      <c r="L205" s="561" t="s">
        <v>2487</v>
      </c>
    </row>
    <row r="206" spans="1:12">
      <c r="A206" s="553" t="s">
        <v>2487</v>
      </c>
      <c r="B206" s="553" t="s">
        <v>2487</v>
      </c>
      <c r="C206" s="553" t="s">
        <v>2487</v>
      </c>
      <c r="D206" s="553" t="s">
        <v>2487</v>
      </c>
      <c r="E206" s="553" t="s">
        <v>2487</v>
      </c>
      <c r="F206" s="553" t="s">
        <v>2487</v>
      </c>
      <c r="G206" s="561" t="s">
        <v>2487</v>
      </c>
      <c r="H206" s="561" t="s">
        <v>2487</v>
      </c>
      <c r="I206" s="561" t="s">
        <v>2487</v>
      </c>
      <c r="J206" s="561" t="s">
        <v>2487</v>
      </c>
      <c r="K206" s="561" t="s">
        <v>2487</v>
      </c>
      <c r="L206" s="561" t="s">
        <v>2487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293B8-E97D-4399-ABFC-94B5EC261E8A}">
  <dimension ref="N1:AE1257"/>
  <sheetViews>
    <sheetView zoomScale="85" zoomScaleNormal="85" workbookViewId="0">
      <selection activeCell="AE3" sqref="AE3"/>
    </sheetView>
  </sheetViews>
  <sheetFormatPr defaultColWidth="9.140625" defaultRowHeight="15"/>
  <cols>
    <col min="1" max="13" width="9.140625" style="1"/>
    <col min="14" max="14" width="6.140625" style="1" bestFit="1" customWidth="1"/>
    <col min="15" max="15" width="11.42578125" style="1" bestFit="1" customWidth="1"/>
    <col min="16" max="16" width="9.140625" style="1" bestFit="1" customWidth="1"/>
    <col min="17" max="20" width="12.140625" style="1" customWidth="1"/>
    <col min="21" max="22" width="10.85546875" style="1" customWidth="1"/>
    <col min="23" max="23" width="9.140625" style="1"/>
    <col min="24" max="24" width="11.42578125" style="1" bestFit="1" customWidth="1"/>
    <col min="25" max="25" width="9.140625" style="1" bestFit="1" customWidth="1"/>
    <col min="26" max="27" width="11.42578125" style="1" bestFit="1" customWidth="1"/>
    <col min="28" max="28" width="14.85546875" style="1" bestFit="1" customWidth="1"/>
    <col min="29" max="29" width="11.85546875" style="1" bestFit="1" customWidth="1"/>
    <col min="30" max="16384" width="9.140625" style="1"/>
  </cols>
  <sheetData>
    <row r="1" spans="14:31">
      <c r="Q1" s="1631" t="s">
        <v>2686</v>
      </c>
      <c r="R1" s="1631"/>
      <c r="S1" s="1631" t="s">
        <v>2687</v>
      </c>
      <c r="T1" s="1631"/>
    </row>
    <row r="2" spans="14:31">
      <c r="N2" s="553" t="s">
        <v>2688</v>
      </c>
      <c r="O2" s="553" t="s">
        <v>338</v>
      </c>
      <c r="P2" s="553" t="s">
        <v>2689</v>
      </c>
      <c r="Q2" s="553" t="s">
        <v>2690</v>
      </c>
      <c r="R2" s="553" t="s">
        <v>268</v>
      </c>
      <c r="S2" s="553" t="s">
        <v>2690</v>
      </c>
      <c r="T2" s="553" t="s">
        <v>268</v>
      </c>
      <c r="U2" s="553" t="s">
        <v>2487</v>
      </c>
      <c r="V2" s="553" t="s">
        <v>20</v>
      </c>
      <c r="X2" s="553" t="s">
        <v>2487</v>
      </c>
      <c r="Y2" s="553" t="s">
        <v>2487</v>
      </c>
      <c r="Z2" s="562">
        <v>45226</v>
      </c>
      <c r="AA2" s="562">
        <v>43396</v>
      </c>
      <c r="AB2" s="553" t="s">
        <v>2691</v>
      </c>
      <c r="AC2" s="553"/>
      <c r="AE2" s="1" t="s">
        <v>20</v>
      </c>
    </row>
    <row r="3" spans="14:31">
      <c r="N3" s="553">
        <v>3</v>
      </c>
      <c r="O3" s="562">
        <v>45224</v>
      </c>
      <c r="P3" s="553">
        <v>4</v>
      </c>
      <c r="Q3" s="553">
        <v>1101.6600000000001</v>
      </c>
      <c r="R3" s="553">
        <v>54000</v>
      </c>
      <c r="S3" s="563">
        <v>-2E-3</v>
      </c>
      <c r="T3" s="563">
        <v>-3.4000000000000002E-2</v>
      </c>
      <c r="U3" s="553" t="s">
        <v>2487</v>
      </c>
      <c r="V3" s="553">
        <v>1.67</v>
      </c>
      <c r="X3" s="553" t="s">
        <v>338</v>
      </c>
      <c r="Y3" s="553" t="s">
        <v>2689</v>
      </c>
      <c r="Z3" s="553" t="s">
        <v>2692</v>
      </c>
      <c r="AA3" s="553" t="s">
        <v>2693</v>
      </c>
      <c r="AB3" s="553" t="s">
        <v>2694</v>
      </c>
      <c r="AC3" s="553" t="s">
        <v>2695</v>
      </c>
      <c r="AE3" s="1">
        <f>SLOPE(AC4:AC1256,AB4:AB1256)</f>
        <v>1.353942243359781</v>
      </c>
    </row>
    <row r="4" spans="14:31">
      <c r="N4" s="553">
        <v>8</v>
      </c>
      <c r="O4" s="562">
        <v>45217</v>
      </c>
      <c r="P4" s="553">
        <v>4</v>
      </c>
      <c r="Q4" s="553">
        <v>1103.4000000000001</v>
      </c>
      <c r="R4" s="553">
        <v>55900</v>
      </c>
      <c r="S4" s="563">
        <v>-4.1000000000000002E-2</v>
      </c>
      <c r="T4" s="563">
        <v>-6.0999999999999999E-2</v>
      </c>
      <c r="U4" s="553" t="s">
        <v>2487</v>
      </c>
      <c r="V4" s="553" t="s">
        <v>2487</v>
      </c>
      <c r="X4" s="562">
        <v>45226</v>
      </c>
      <c r="Y4" s="553">
        <v>6</v>
      </c>
      <c r="Z4" s="553">
        <v>1060.6199999999999</v>
      </c>
      <c r="AA4" s="553">
        <v>48550</v>
      </c>
      <c r="AB4" s="563">
        <v>5.0000000000000001E-3</v>
      </c>
      <c r="AC4" s="563">
        <v>-3.5000000000000003E-2</v>
      </c>
    </row>
    <row r="5" spans="14:31">
      <c r="N5" s="553">
        <v>13</v>
      </c>
      <c r="O5" s="562">
        <v>45210</v>
      </c>
      <c r="P5" s="553">
        <v>4</v>
      </c>
      <c r="Q5" s="553">
        <v>1150.81</v>
      </c>
      <c r="R5" s="553">
        <v>59500</v>
      </c>
      <c r="S5" s="563">
        <v>0.02</v>
      </c>
      <c r="T5" s="563">
        <v>7.0000000000000007E-2</v>
      </c>
      <c r="U5" s="553" t="s">
        <v>2487</v>
      </c>
      <c r="V5" s="553" t="s">
        <v>2487</v>
      </c>
      <c r="X5" s="562">
        <v>45225</v>
      </c>
      <c r="Y5" s="553">
        <v>5</v>
      </c>
      <c r="Z5" s="553">
        <v>1055.45</v>
      </c>
      <c r="AA5" s="553">
        <v>50300</v>
      </c>
      <c r="AB5" s="563">
        <v>-4.2000000000000003E-2</v>
      </c>
      <c r="AC5" s="563">
        <v>-6.9000000000000006E-2</v>
      </c>
    </row>
    <row r="6" spans="14:31">
      <c r="N6" s="553">
        <v>18</v>
      </c>
      <c r="O6" s="562">
        <v>45203</v>
      </c>
      <c r="P6" s="553">
        <v>4</v>
      </c>
      <c r="Q6" s="553">
        <v>1128.67</v>
      </c>
      <c r="R6" s="553">
        <v>55600</v>
      </c>
      <c r="S6" s="563">
        <v>-2.1999999999999999E-2</v>
      </c>
      <c r="T6" s="563">
        <v>-2.5000000000000001E-2</v>
      </c>
      <c r="U6" s="553" t="s">
        <v>2487</v>
      </c>
      <c r="V6" s="553" t="s">
        <v>2487</v>
      </c>
      <c r="X6" s="562">
        <v>45224</v>
      </c>
      <c r="Y6" s="553">
        <v>4</v>
      </c>
      <c r="Z6" s="553">
        <v>1101.6600000000001</v>
      </c>
      <c r="AA6" s="553">
        <v>54000</v>
      </c>
      <c r="AB6" s="563">
        <v>-4.0000000000000001E-3</v>
      </c>
      <c r="AC6" s="563">
        <v>0</v>
      </c>
    </row>
    <row r="7" spans="14:31">
      <c r="N7" s="553">
        <v>23</v>
      </c>
      <c r="O7" s="562">
        <v>45196</v>
      </c>
      <c r="P7" s="553">
        <v>4</v>
      </c>
      <c r="Q7" s="553">
        <v>1153.8499999999999</v>
      </c>
      <c r="R7" s="553">
        <v>57000</v>
      </c>
      <c r="S7" s="563">
        <v>-5.8999999999999997E-2</v>
      </c>
      <c r="T7" s="563">
        <v>-8.8999999999999996E-2</v>
      </c>
      <c r="U7" s="553" t="s">
        <v>2487</v>
      </c>
      <c r="V7" s="553" t="s">
        <v>2487</v>
      </c>
      <c r="X7" s="562">
        <v>45223</v>
      </c>
      <c r="Y7" s="553">
        <v>3</v>
      </c>
      <c r="Z7" s="553">
        <v>1105.9000000000001</v>
      </c>
      <c r="AA7" s="553">
        <v>54000</v>
      </c>
      <c r="AB7" s="563">
        <v>1.0999999999999999E-2</v>
      </c>
      <c r="AC7" s="563">
        <v>2.3E-2</v>
      </c>
    </row>
    <row r="8" spans="14:31">
      <c r="N8" s="553">
        <v>28</v>
      </c>
      <c r="O8" s="562">
        <v>45189</v>
      </c>
      <c r="P8" s="553">
        <v>4</v>
      </c>
      <c r="Q8" s="553">
        <v>1226.1099999999999</v>
      </c>
      <c r="R8" s="553">
        <v>62600</v>
      </c>
      <c r="S8" s="563">
        <v>-0.01</v>
      </c>
      <c r="T8" s="563">
        <v>0.02</v>
      </c>
      <c r="U8" s="553" t="s">
        <v>2487</v>
      </c>
      <c r="V8" s="553" t="s">
        <v>2487</v>
      </c>
      <c r="X8" s="562">
        <v>45222</v>
      </c>
      <c r="Y8" s="553">
        <v>2</v>
      </c>
      <c r="Z8" s="553">
        <v>1093.53</v>
      </c>
      <c r="AA8" s="553">
        <v>52800</v>
      </c>
      <c r="AB8" s="563">
        <v>-1.2999999999999999E-2</v>
      </c>
      <c r="AC8" s="563">
        <v>-3.1E-2</v>
      </c>
    </row>
    <row r="9" spans="14:31">
      <c r="N9" s="553">
        <v>33</v>
      </c>
      <c r="O9" s="562">
        <v>45182</v>
      </c>
      <c r="P9" s="553">
        <v>4</v>
      </c>
      <c r="Q9" s="553">
        <v>1238.3900000000001</v>
      </c>
      <c r="R9" s="553">
        <v>61400</v>
      </c>
      <c r="S9" s="563">
        <v>-6.0000000000000001E-3</v>
      </c>
      <c r="T9" s="563">
        <v>2.5000000000000001E-2</v>
      </c>
      <c r="U9" s="553" t="s">
        <v>2487</v>
      </c>
      <c r="V9" s="553" t="s">
        <v>2487</v>
      </c>
      <c r="X9" s="562">
        <v>45219</v>
      </c>
      <c r="Y9" s="553">
        <v>6</v>
      </c>
      <c r="Z9" s="553">
        <v>1108.03</v>
      </c>
      <c r="AA9" s="553">
        <v>54500</v>
      </c>
      <c r="AB9" s="563">
        <v>1.9E-2</v>
      </c>
      <c r="AC9" s="563">
        <v>1.7000000000000001E-2</v>
      </c>
    </row>
    <row r="10" spans="14:31">
      <c r="N10" s="553">
        <v>38</v>
      </c>
      <c r="O10" s="562">
        <v>45175</v>
      </c>
      <c r="P10" s="553">
        <v>4</v>
      </c>
      <c r="Q10" s="553">
        <v>1245.5</v>
      </c>
      <c r="R10" s="553">
        <v>59900</v>
      </c>
      <c r="S10" s="563">
        <v>2.7E-2</v>
      </c>
      <c r="T10" s="563">
        <v>2.9000000000000001E-2</v>
      </c>
      <c r="U10" s="553" t="s">
        <v>2487</v>
      </c>
      <c r="V10" s="553" t="s">
        <v>2487</v>
      </c>
      <c r="X10" s="562">
        <v>45218</v>
      </c>
      <c r="Y10" s="553">
        <v>5</v>
      </c>
      <c r="Z10" s="553">
        <v>1087.8499999999999</v>
      </c>
      <c r="AA10" s="553">
        <v>53600</v>
      </c>
      <c r="AB10" s="563">
        <v>-1.4E-2</v>
      </c>
      <c r="AC10" s="563">
        <v>-4.1000000000000002E-2</v>
      </c>
    </row>
    <row r="11" spans="14:31">
      <c r="N11" s="553">
        <v>41</v>
      </c>
      <c r="O11" s="562">
        <v>45168</v>
      </c>
      <c r="P11" s="553">
        <v>4</v>
      </c>
      <c r="Q11" s="553">
        <v>1213.1600000000001</v>
      </c>
      <c r="R11" s="553">
        <v>58200</v>
      </c>
      <c r="S11" s="563">
        <v>3.5000000000000003E-2</v>
      </c>
      <c r="T11" s="563">
        <v>0.13200000000000001</v>
      </c>
      <c r="U11" s="553" t="s">
        <v>2487</v>
      </c>
      <c r="V11" s="553" t="s">
        <v>2487</v>
      </c>
      <c r="X11" s="562">
        <v>45217</v>
      </c>
      <c r="Y11" s="553">
        <v>4</v>
      </c>
      <c r="Z11" s="553">
        <v>1103.4000000000001</v>
      </c>
      <c r="AA11" s="553">
        <v>55900</v>
      </c>
      <c r="AB11" s="563">
        <v>-1.6E-2</v>
      </c>
      <c r="AC11" s="563">
        <v>2.9000000000000001E-2</v>
      </c>
    </row>
    <row r="12" spans="14:31">
      <c r="N12" s="553">
        <v>46</v>
      </c>
      <c r="O12" s="562">
        <v>45161</v>
      </c>
      <c r="P12" s="553">
        <v>4</v>
      </c>
      <c r="Q12" s="553">
        <v>1172.56</v>
      </c>
      <c r="R12" s="553">
        <v>51400</v>
      </c>
      <c r="S12" s="563">
        <v>-5.7000000000000002E-2</v>
      </c>
      <c r="T12" s="563">
        <v>-0.03</v>
      </c>
      <c r="U12" s="553" t="s">
        <v>2487</v>
      </c>
      <c r="V12" s="553" t="s">
        <v>2487</v>
      </c>
      <c r="X12" s="562">
        <v>45216</v>
      </c>
      <c r="Y12" s="553">
        <v>3</v>
      </c>
      <c r="Z12" s="553">
        <v>1121.6500000000001</v>
      </c>
      <c r="AA12" s="553">
        <v>54300</v>
      </c>
      <c r="AB12" s="563">
        <v>-1.7000000000000001E-2</v>
      </c>
      <c r="AC12" s="563">
        <v>-6.7000000000000004E-2</v>
      </c>
    </row>
    <row r="13" spans="14:31">
      <c r="N13" s="553">
        <v>51</v>
      </c>
      <c r="O13" s="562">
        <v>45154</v>
      </c>
      <c r="P13" s="553">
        <v>4</v>
      </c>
      <c r="Q13" s="553">
        <v>1243.26</v>
      </c>
      <c r="R13" s="553">
        <v>53000</v>
      </c>
      <c r="S13" s="563">
        <v>8.0000000000000002E-3</v>
      </c>
      <c r="T13" s="563">
        <v>-0.05</v>
      </c>
      <c r="U13" s="553" t="s">
        <v>2487</v>
      </c>
      <c r="V13" s="553" t="s">
        <v>2487</v>
      </c>
      <c r="X13" s="562">
        <v>45215</v>
      </c>
      <c r="Y13" s="553">
        <v>2</v>
      </c>
      <c r="Z13" s="553">
        <v>1141.42</v>
      </c>
      <c r="AA13" s="553">
        <v>58200</v>
      </c>
      <c r="AB13" s="563">
        <v>-1.2E-2</v>
      </c>
      <c r="AC13" s="563">
        <v>-4.1000000000000002E-2</v>
      </c>
    </row>
    <row r="14" spans="14:31">
      <c r="N14" s="553">
        <v>56</v>
      </c>
      <c r="O14" s="562">
        <v>45147</v>
      </c>
      <c r="P14" s="553">
        <v>4</v>
      </c>
      <c r="Q14" s="553">
        <v>1233.99</v>
      </c>
      <c r="R14" s="553">
        <v>55800</v>
      </c>
      <c r="S14" s="563">
        <v>1.0999999999999999E-2</v>
      </c>
      <c r="T14" s="563">
        <v>3.3000000000000002E-2</v>
      </c>
      <c r="U14" s="553" t="s">
        <v>2487</v>
      </c>
      <c r="V14" s="553" t="s">
        <v>2487</v>
      </c>
      <c r="X14" s="562">
        <v>45212</v>
      </c>
      <c r="Y14" s="553">
        <v>6</v>
      </c>
      <c r="Z14" s="553">
        <v>1154.73</v>
      </c>
      <c r="AA14" s="553">
        <v>60700</v>
      </c>
      <c r="AB14" s="563">
        <v>3.0000000000000001E-3</v>
      </c>
      <c r="AC14" s="563">
        <v>0</v>
      </c>
    </row>
    <row r="15" spans="14:31">
      <c r="N15" s="553">
        <v>61</v>
      </c>
      <c r="O15" s="562">
        <v>45140</v>
      </c>
      <c r="P15" s="553">
        <v>4</v>
      </c>
      <c r="Q15" s="553">
        <v>1220.43</v>
      </c>
      <c r="R15" s="553">
        <v>54000</v>
      </c>
      <c r="S15" s="563">
        <v>1.6E-2</v>
      </c>
      <c r="T15" s="563">
        <v>3.1E-2</v>
      </c>
      <c r="U15" s="553" t="s">
        <v>2487</v>
      </c>
      <c r="V15" s="553" t="s">
        <v>2487</v>
      </c>
      <c r="X15" s="562">
        <v>45211</v>
      </c>
      <c r="Y15" s="553">
        <v>5</v>
      </c>
      <c r="Z15" s="553">
        <v>1151.6099999999999</v>
      </c>
      <c r="AA15" s="553">
        <v>60700</v>
      </c>
      <c r="AB15" s="563">
        <v>1E-3</v>
      </c>
      <c r="AC15" s="563">
        <v>0.02</v>
      </c>
    </row>
    <row r="16" spans="14:31">
      <c r="N16" s="553">
        <v>66</v>
      </c>
      <c r="O16" s="562">
        <v>45133</v>
      </c>
      <c r="P16" s="553">
        <v>4</v>
      </c>
      <c r="Q16" s="553">
        <v>1200.8399999999999</v>
      </c>
      <c r="R16" s="553">
        <v>52400</v>
      </c>
      <c r="S16" s="563">
        <v>2.4E-2</v>
      </c>
      <c r="T16" s="563">
        <v>6.2E-2</v>
      </c>
      <c r="U16" s="553" t="s">
        <v>2487</v>
      </c>
      <c r="V16" s="553" t="s">
        <v>2487</v>
      </c>
      <c r="X16" s="562">
        <v>45210</v>
      </c>
      <c r="Y16" s="553">
        <v>4</v>
      </c>
      <c r="Z16" s="553">
        <v>1150.81</v>
      </c>
      <c r="AA16" s="553">
        <v>59500</v>
      </c>
      <c r="AB16" s="563">
        <v>6.0000000000000001E-3</v>
      </c>
      <c r="AC16" s="563">
        <v>1.7000000000000001E-2</v>
      </c>
    </row>
    <row r="17" spans="14:29">
      <c r="N17" s="553">
        <v>71</v>
      </c>
      <c r="O17" s="562">
        <v>45126</v>
      </c>
      <c r="P17" s="553">
        <v>4</v>
      </c>
      <c r="Q17" s="553">
        <v>1172.98</v>
      </c>
      <c r="R17" s="553">
        <v>49350</v>
      </c>
      <c r="S17" s="563">
        <v>1.6E-2</v>
      </c>
      <c r="T17" s="563">
        <v>7.0000000000000001E-3</v>
      </c>
      <c r="U17" s="553" t="s">
        <v>2487</v>
      </c>
      <c r="V17" s="553" t="s">
        <v>2487</v>
      </c>
      <c r="X17" s="562">
        <v>45209</v>
      </c>
      <c r="Y17" s="553">
        <v>3</v>
      </c>
      <c r="Z17" s="553">
        <v>1143.69</v>
      </c>
      <c r="AA17" s="553">
        <v>58500</v>
      </c>
      <c r="AB17" s="563">
        <v>6.0000000000000001E-3</v>
      </c>
      <c r="AC17" s="563">
        <v>-5.0000000000000001E-3</v>
      </c>
    </row>
    <row r="18" spans="14:29">
      <c r="N18" s="553">
        <v>76</v>
      </c>
      <c r="O18" s="562">
        <v>45119</v>
      </c>
      <c r="P18" s="553">
        <v>4</v>
      </c>
      <c r="Q18" s="553">
        <v>1154.2</v>
      </c>
      <c r="R18" s="553">
        <v>49000</v>
      </c>
      <c r="S18" s="563">
        <v>1.7000000000000001E-2</v>
      </c>
      <c r="T18" s="563">
        <v>0.13300000000000001</v>
      </c>
      <c r="U18" s="553" t="s">
        <v>2487</v>
      </c>
      <c r="V18" s="553" t="s">
        <v>2487</v>
      </c>
      <c r="X18" s="562">
        <v>45208</v>
      </c>
      <c r="Y18" s="553">
        <v>2</v>
      </c>
      <c r="Z18" s="553">
        <v>1137.3599999999999</v>
      </c>
      <c r="AA18" s="553">
        <v>58800</v>
      </c>
      <c r="AB18" s="563">
        <v>8.0000000000000002E-3</v>
      </c>
      <c r="AC18" s="563">
        <v>1.4E-2</v>
      </c>
    </row>
    <row r="19" spans="14:29">
      <c r="N19" s="553">
        <v>81</v>
      </c>
      <c r="O19" s="562">
        <v>45112</v>
      </c>
      <c r="P19" s="553">
        <v>4</v>
      </c>
      <c r="Q19" s="553">
        <v>1134.6199999999999</v>
      </c>
      <c r="R19" s="553">
        <v>43250</v>
      </c>
      <c r="S19" s="563">
        <v>-3.0000000000000001E-3</v>
      </c>
      <c r="T19" s="563">
        <v>2.5000000000000001E-2</v>
      </c>
      <c r="U19" s="553" t="s">
        <v>2487</v>
      </c>
      <c r="V19" s="553" t="s">
        <v>2487</v>
      </c>
      <c r="X19" s="562">
        <v>45205</v>
      </c>
      <c r="Y19" s="553">
        <v>6</v>
      </c>
      <c r="Z19" s="553">
        <v>1128.54</v>
      </c>
      <c r="AA19" s="553">
        <v>58000</v>
      </c>
      <c r="AB19" s="563">
        <v>1.2999999999999999E-2</v>
      </c>
      <c r="AC19" s="563">
        <v>5.5E-2</v>
      </c>
    </row>
    <row r="20" spans="14:29">
      <c r="N20" s="553">
        <v>86</v>
      </c>
      <c r="O20" s="562">
        <v>45105</v>
      </c>
      <c r="P20" s="553">
        <v>4</v>
      </c>
      <c r="Q20" s="553">
        <v>1138.3499999999999</v>
      </c>
      <c r="R20" s="553">
        <v>42200</v>
      </c>
      <c r="S20" s="563">
        <v>1.7999999999999999E-2</v>
      </c>
      <c r="T20" s="563">
        <v>2.9000000000000001E-2</v>
      </c>
      <c r="U20" s="553" t="s">
        <v>2487</v>
      </c>
      <c r="V20" s="553" t="s">
        <v>2487</v>
      </c>
      <c r="X20" s="562">
        <v>45204</v>
      </c>
      <c r="Y20" s="553">
        <v>5</v>
      </c>
      <c r="Z20" s="553">
        <v>1113.8900000000001</v>
      </c>
      <c r="AA20" s="553">
        <v>55000</v>
      </c>
      <c r="AB20" s="563">
        <v>-1.2999999999999999E-2</v>
      </c>
      <c r="AC20" s="563">
        <v>-1.0999999999999999E-2</v>
      </c>
    </row>
    <row r="21" spans="14:29">
      <c r="N21" s="553">
        <v>91</v>
      </c>
      <c r="O21" s="562">
        <v>45098</v>
      </c>
      <c r="P21" s="553">
        <v>4</v>
      </c>
      <c r="Q21" s="553">
        <v>1118.46</v>
      </c>
      <c r="R21" s="553">
        <v>41000</v>
      </c>
      <c r="S21" s="563">
        <v>1E-3</v>
      </c>
      <c r="T21" s="563">
        <v>2.8000000000000001E-2</v>
      </c>
      <c r="U21" s="553" t="s">
        <v>2487</v>
      </c>
      <c r="V21" s="553" t="s">
        <v>2487</v>
      </c>
      <c r="X21" s="562">
        <v>45203</v>
      </c>
      <c r="Y21" s="553">
        <v>4</v>
      </c>
      <c r="Z21" s="553">
        <v>1128.67</v>
      </c>
      <c r="AA21" s="553">
        <v>55600</v>
      </c>
      <c r="AB21" s="563">
        <v>8.9999999999999993E-3</v>
      </c>
      <c r="AC21" s="563">
        <v>3.2000000000000001E-2</v>
      </c>
    </row>
    <row r="22" spans="14:29">
      <c r="N22" s="553">
        <v>96</v>
      </c>
      <c r="O22" s="562">
        <v>45091</v>
      </c>
      <c r="P22" s="553">
        <v>4</v>
      </c>
      <c r="Q22" s="553">
        <v>1117.42</v>
      </c>
      <c r="R22" s="553">
        <v>39900</v>
      </c>
      <c r="S22" s="563">
        <v>7.0000000000000001E-3</v>
      </c>
      <c r="T22" s="563">
        <v>0.05</v>
      </c>
      <c r="U22" s="553" t="s">
        <v>2487</v>
      </c>
      <c r="V22" s="553" t="s">
        <v>2487</v>
      </c>
      <c r="X22" s="562">
        <v>45202</v>
      </c>
      <c r="Y22" s="553">
        <v>3</v>
      </c>
      <c r="Z22" s="553">
        <v>1118.0999999999999</v>
      </c>
      <c r="AA22" s="553">
        <v>53900</v>
      </c>
      <c r="AB22" s="563">
        <v>-3.2000000000000001E-2</v>
      </c>
      <c r="AC22" s="563">
        <v>-6.9000000000000006E-2</v>
      </c>
    </row>
    <row r="23" spans="14:29">
      <c r="N23" s="553">
        <v>101</v>
      </c>
      <c r="O23" s="562">
        <v>45084</v>
      </c>
      <c r="P23" s="553">
        <v>4</v>
      </c>
      <c r="Q23" s="553">
        <v>1109.54</v>
      </c>
      <c r="R23" s="553">
        <v>38000</v>
      </c>
      <c r="S23" s="563">
        <v>3.2000000000000001E-2</v>
      </c>
      <c r="T23" s="563">
        <v>7.2999999999999995E-2</v>
      </c>
      <c r="U23" s="553" t="s">
        <v>2487</v>
      </c>
      <c r="V23" s="553" t="s">
        <v>2487</v>
      </c>
      <c r="X23" s="562">
        <v>45201</v>
      </c>
      <c r="Y23" s="553">
        <v>2</v>
      </c>
      <c r="Z23" s="553">
        <v>1155.25</v>
      </c>
      <c r="AA23" s="553">
        <v>57900</v>
      </c>
      <c r="AB23" s="563">
        <v>1E-3</v>
      </c>
      <c r="AC23" s="563">
        <v>0</v>
      </c>
    </row>
    <row r="24" spans="14:29">
      <c r="N24" s="553">
        <v>106</v>
      </c>
      <c r="O24" s="562">
        <v>45077</v>
      </c>
      <c r="P24" s="553">
        <v>4</v>
      </c>
      <c r="Q24" s="553">
        <v>1075.17</v>
      </c>
      <c r="R24" s="553">
        <v>35400</v>
      </c>
      <c r="S24" s="563">
        <v>1.2999999999999999E-2</v>
      </c>
      <c r="T24" s="563">
        <v>6.3E-2</v>
      </c>
      <c r="U24" s="553" t="s">
        <v>2487</v>
      </c>
      <c r="V24" s="553" t="s">
        <v>2487</v>
      </c>
      <c r="X24" s="562">
        <v>45198</v>
      </c>
      <c r="Y24" s="553">
        <v>6</v>
      </c>
      <c r="Z24" s="553">
        <v>1154.1500000000001</v>
      </c>
      <c r="AA24" s="553">
        <v>57900</v>
      </c>
      <c r="AB24" s="563">
        <v>1E-3</v>
      </c>
      <c r="AC24" s="563">
        <v>1.7999999999999999E-2</v>
      </c>
    </row>
    <row r="25" spans="14:29">
      <c r="N25" s="553">
        <v>111</v>
      </c>
      <c r="O25" s="562">
        <v>45070</v>
      </c>
      <c r="P25" s="553">
        <v>4</v>
      </c>
      <c r="Q25" s="553">
        <v>1061.79</v>
      </c>
      <c r="R25" s="553">
        <v>33300</v>
      </c>
      <c r="S25" s="563">
        <v>1E-3</v>
      </c>
      <c r="T25" s="563">
        <v>1.2E-2</v>
      </c>
      <c r="U25" s="553" t="s">
        <v>2487</v>
      </c>
      <c r="V25" s="553" t="s">
        <v>2487</v>
      </c>
      <c r="X25" s="562">
        <v>45197</v>
      </c>
      <c r="Y25" s="553">
        <v>5</v>
      </c>
      <c r="Z25" s="553">
        <v>1152.43</v>
      </c>
      <c r="AA25" s="553">
        <v>56900</v>
      </c>
      <c r="AB25" s="563">
        <v>-1E-3</v>
      </c>
      <c r="AC25" s="563">
        <v>-2E-3</v>
      </c>
    </row>
    <row r="26" spans="14:29">
      <c r="N26" s="553">
        <v>116</v>
      </c>
      <c r="O26" s="562">
        <v>45063</v>
      </c>
      <c r="P26" s="553">
        <v>4</v>
      </c>
      <c r="Q26" s="553">
        <v>1060.44</v>
      </c>
      <c r="R26" s="553">
        <v>32900</v>
      </c>
      <c r="S26" s="563">
        <v>2E-3</v>
      </c>
      <c r="T26" s="563">
        <v>-4.5999999999999999E-2</v>
      </c>
      <c r="U26" s="553" t="s">
        <v>2487</v>
      </c>
      <c r="V26" s="553" t="s">
        <v>2487</v>
      </c>
      <c r="X26" s="562">
        <v>45196</v>
      </c>
      <c r="Y26" s="553">
        <v>4</v>
      </c>
      <c r="Z26" s="553">
        <v>1153.8499999999999</v>
      </c>
      <c r="AA26" s="553">
        <v>57000</v>
      </c>
      <c r="AB26" s="563">
        <v>1.4E-2</v>
      </c>
      <c r="AC26" s="563">
        <v>5.6000000000000001E-2</v>
      </c>
    </row>
    <row r="27" spans="14:29">
      <c r="N27" s="553">
        <v>121</v>
      </c>
      <c r="O27" s="562">
        <v>45056</v>
      </c>
      <c r="P27" s="553">
        <v>4</v>
      </c>
      <c r="Q27" s="553">
        <v>1058.26</v>
      </c>
      <c r="R27" s="553">
        <v>34500</v>
      </c>
      <c r="S27" s="563">
        <v>1.7000000000000001E-2</v>
      </c>
      <c r="T27" s="563">
        <v>2.7E-2</v>
      </c>
      <c r="U27" s="553" t="s">
        <v>2487</v>
      </c>
      <c r="V27" s="553" t="s">
        <v>2487</v>
      </c>
      <c r="X27" s="562">
        <v>45195</v>
      </c>
      <c r="Y27" s="553">
        <v>3</v>
      </c>
      <c r="Z27" s="553">
        <v>1137.96</v>
      </c>
      <c r="AA27" s="553">
        <v>54000</v>
      </c>
      <c r="AB27" s="563">
        <v>-1.2999999999999999E-2</v>
      </c>
      <c r="AC27" s="563">
        <v>0</v>
      </c>
    </row>
    <row r="28" spans="14:29">
      <c r="N28" s="553">
        <v>128</v>
      </c>
      <c r="O28" s="562">
        <v>45042</v>
      </c>
      <c r="P28" s="553">
        <v>4</v>
      </c>
      <c r="Q28" s="553">
        <v>1040.8</v>
      </c>
      <c r="R28" s="553">
        <v>33600</v>
      </c>
      <c r="S28" s="563">
        <v>-8.0000000000000002E-3</v>
      </c>
      <c r="T28" s="563">
        <v>-5.8999999999999997E-2</v>
      </c>
      <c r="U28" s="553" t="s">
        <v>2487</v>
      </c>
      <c r="V28" s="553" t="s">
        <v>2487</v>
      </c>
      <c r="X28" s="562">
        <v>45194</v>
      </c>
      <c r="Y28" s="553">
        <v>2</v>
      </c>
      <c r="Z28" s="553">
        <v>1153.2</v>
      </c>
      <c r="AA28" s="553">
        <v>54000</v>
      </c>
      <c r="AB28" s="563">
        <v>-3.3000000000000002E-2</v>
      </c>
      <c r="AC28" s="563">
        <v>-6.9000000000000006E-2</v>
      </c>
    </row>
    <row r="29" spans="14:29">
      <c r="N29" s="553">
        <v>133</v>
      </c>
      <c r="O29" s="562">
        <v>45035</v>
      </c>
      <c r="P29" s="553">
        <v>4</v>
      </c>
      <c r="Q29" s="553">
        <v>1048.98</v>
      </c>
      <c r="R29" s="553">
        <v>35700</v>
      </c>
      <c r="S29" s="563">
        <v>-1.9E-2</v>
      </c>
      <c r="T29" s="563">
        <v>5.6000000000000001E-2</v>
      </c>
      <c r="U29" s="553" t="s">
        <v>2487</v>
      </c>
      <c r="V29" s="553" t="s">
        <v>2487</v>
      </c>
      <c r="X29" s="562">
        <v>45191</v>
      </c>
      <c r="Y29" s="553">
        <v>6</v>
      </c>
      <c r="Z29" s="553">
        <v>1193.05</v>
      </c>
      <c r="AA29" s="553">
        <v>58000</v>
      </c>
      <c r="AB29" s="563">
        <v>-1.6E-2</v>
      </c>
      <c r="AC29" s="563">
        <v>-4.9000000000000002E-2</v>
      </c>
    </row>
    <row r="30" spans="14:29">
      <c r="N30" s="553">
        <v>138</v>
      </c>
      <c r="O30" s="562">
        <v>45028</v>
      </c>
      <c r="P30" s="553">
        <v>4</v>
      </c>
      <c r="Q30" s="553">
        <v>1069.45</v>
      </c>
      <c r="R30" s="553">
        <v>33800</v>
      </c>
      <c r="S30" s="563">
        <v>-1.0999999999999999E-2</v>
      </c>
      <c r="T30" s="563">
        <v>3.4000000000000002E-2</v>
      </c>
      <c r="U30" s="553" t="s">
        <v>2487</v>
      </c>
      <c r="V30" s="553" t="s">
        <v>2487</v>
      </c>
      <c r="X30" s="562">
        <v>45190</v>
      </c>
      <c r="Y30" s="553">
        <v>5</v>
      </c>
      <c r="Z30" s="553">
        <v>1212.74</v>
      </c>
      <c r="AA30" s="553">
        <v>61000</v>
      </c>
      <c r="AB30" s="563">
        <v>-1.0999999999999999E-2</v>
      </c>
      <c r="AC30" s="563">
        <v>-2.5999999999999999E-2</v>
      </c>
    </row>
    <row r="31" spans="14:29">
      <c r="N31" s="553">
        <v>143</v>
      </c>
      <c r="O31" s="562">
        <v>45021</v>
      </c>
      <c r="P31" s="553">
        <v>4</v>
      </c>
      <c r="Q31" s="553">
        <v>1080.8599999999999</v>
      </c>
      <c r="R31" s="553">
        <v>32700</v>
      </c>
      <c r="S31" s="563">
        <v>2.3E-2</v>
      </c>
      <c r="T31" s="563">
        <v>0.04</v>
      </c>
      <c r="U31" s="553" t="s">
        <v>2487</v>
      </c>
      <c r="V31" s="553" t="s">
        <v>2487</v>
      </c>
      <c r="X31" s="562">
        <v>45189</v>
      </c>
      <c r="Y31" s="553">
        <v>4</v>
      </c>
      <c r="Z31" s="553">
        <v>1226.1099999999999</v>
      </c>
      <c r="AA31" s="553">
        <v>62600</v>
      </c>
      <c r="AB31" s="563">
        <v>1.2E-2</v>
      </c>
      <c r="AC31" s="563">
        <v>3.7999999999999999E-2</v>
      </c>
    </row>
    <row r="32" spans="14:29">
      <c r="N32" s="553">
        <v>148</v>
      </c>
      <c r="O32" s="562">
        <v>45014</v>
      </c>
      <c r="P32" s="553">
        <v>4</v>
      </c>
      <c r="Q32" s="553">
        <v>1056.33</v>
      </c>
      <c r="R32" s="553">
        <v>31450</v>
      </c>
      <c r="S32" s="563">
        <v>1.4999999999999999E-2</v>
      </c>
      <c r="T32" s="563">
        <v>-3.7999999999999999E-2</v>
      </c>
      <c r="U32" s="553" t="s">
        <v>2487</v>
      </c>
      <c r="V32" s="553" t="s">
        <v>2487</v>
      </c>
      <c r="X32" s="562">
        <v>45188</v>
      </c>
      <c r="Y32" s="553">
        <v>3</v>
      </c>
      <c r="Z32" s="553">
        <v>1211.5</v>
      </c>
      <c r="AA32" s="553">
        <v>60300</v>
      </c>
      <c r="AB32" s="563">
        <v>0</v>
      </c>
      <c r="AC32" s="563">
        <v>3.1E-2</v>
      </c>
    </row>
    <row r="33" spans="14:29">
      <c r="N33" s="553">
        <v>153</v>
      </c>
      <c r="O33" s="562">
        <v>45007</v>
      </c>
      <c r="P33" s="553">
        <v>4</v>
      </c>
      <c r="Q33" s="553">
        <v>1040.54</v>
      </c>
      <c r="R33" s="553">
        <v>32700</v>
      </c>
      <c r="S33" s="563">
        <v>-0.02</v>
      </c>
      <c r="T33" s="563">
        <v>-8.1000000000000003E-2</v>
      </c>
      <c r="U33" s="553" t="s">
        <v>2487</v>
      </c>
      <c r="V33" s="553" t="s">
        <v>2487</v>
      </c>
      <c r="X33" s="562">
        <v>45187</v>
      </c>
      <c r="Y33" s="553">
        <v>2</v>
      </c>
      <c r="Z33" s="553">
        <v>1211.81</v>
      </c>
      <c r="AA33" s="553">
        <v>58500</v>
      </c>
      <c r="AB33" s="563">
        <v>-1.2999999999999999E-2</v>
      </c>
      <c r="AC33" s="563">
        <v>-7.0000000000000001E-3</v>
      </c>
    </row>
    <row r="34" spans="14:29">
      <c r="N34" s="553">
        <v>158</v>
      </c>
      <c r="O34" s="562">
        <v>45000</v>
      </c>
      <c r="P34" s="553">
        <v>4</v>
      </c>
      <c r="Q34" s="553">
        <v>1062.19</v>
      </c>
      <c r="R34" s="553">
        <v>35600</v>
      </c>
      <c r="S34" s="563">
        <v>1.2E-2</v>
      </c>
      <c r="T34" s="563">
        <v>2.1999999999999999E-2</v>
      </c>
      <c r="U34" s="553" t="s">
        <v>2487</v>
      </c>
      <c r="V34" s="553" t="s">
        <v>2487</v>
      </c>
      <c r="X34" s="562">
        <v>45184</v>
      </c>
      <c r="Y34" s="553">
        <v>6</v>
      </c>
      <c r="Z34" s="553">
        <v>1227.3599999999999</v>
      </c>
      <c r="AA34" s="553">
        <v>58900</v>
      </c>
      <c r="AB34" s="563">
        <v>3.0000000000000001E-3</v>
      </c>
      <c r="AC34" s="563">
        <v>-0.01</v>
      </c>
    </row>
    <row r="35" spans="14:29">
      <c r="N35" s="553">
        <v>163</v>
      </c>
      <c r="O35" s="562">
        <v>44993</v>
      </c>
      <c r="P35" s="553">
        <v>4</v>
      </c>
      <c r="Q35" s="553">
        <v>1049.18</v>
      </c>
      <c r="R35" s="553">
        <v>34850</v>
      </c>
      <c r="S35" s="563">
        <v>8.0000000000000002E-3</v>
      </c>
      <c r="T35" s="563">
        <v>-7.6999999999999999E-2</v>
      </c>
      <c r="U35" s="553" t="s">
        <v>2487</v>
      </c>
      <c r="V35" s="553" t="s">
        <v>2487</v>
      </c>
      <c r="X35" s="562">
        <v>45183</v>
      </c>
      <c r="Y35" s="553">
        <v>5</v>
      </c>
      <c r="Z35" s="553">
        <v>1223.81</v>
      </c>
      <c r="AA35" s="553">
        <v>59500</v>
      </c>
      <c r="AB35" s="563">
        <v>-1.2E-2</v>
      </c>
      <c r="AC35" s="563">
        <v>-3.1E-2</v>
      </c>
    </row>
    <row r="36" spans="14:29">
      <c r="N36" s="553">
        <v>168</v>
      </c>
      <c r="O36" s="562">
        <v>44986</v>
      </c>
      <c r="P36" s="553">
        <v>4</v>
      </c>
      <c r="Q36" s="553">
        <v>1040.55</v>
      </c>
      <c r="R36" s="553">
        <v>37750</v>
      </c>
      <c r="S36" s="563">
        <v>-1.2999999999999999E-2</v>
      </c>
      <c r="T36" s="563">
        <v>-0.09</v>
      </c>
      <c r="U36" s="553" t="s">
        <v>2487</v>
      </c>
      <c r="V36" s="553" t="s">
        <v>2487</v>
      </c>
      <c r="X36" s="562">
        <v>45182</v>
      </c>
      <c r="Y36" s="553">
        <v>4</v>
      </c>
      <c r="Z36" s="553">
        <v>1238.3900000000001</v>
      </c>
      <c r="AA36" s="553">
        <v>61400</v>
      </c>
      <c r="AB36" s="563">
        <v>-6.0000000000000001E-3</v>
      </c>
      <c r="AC36" s="563">
        <v>-0.01</v>
      </c>
    </row>
    <row r="37" spans="14:29">
      <c r="N37" s="553">
        <v>173</v>
      </c>
      <c r="O37" s="562">
        <v>44979</v>
      </c>
      <c r="P37" s="553">
        <v>4</v>
      </c>
      <c r="Q37" s="553">
        <v>1054.28</v>
      </c>
      <c r="R37" s="553">
        <v>41500</v>
      </c>
      <c r="S37" s="563">
        <v>6.0000000000000001E-3</v>
      </c>
      <c r="T37" s="563">
        <v>4.3999999999999997E-2</v>
      </c>
      <c r="U37" s="553" t="s">
        <v>2487</v>
      </c>
      <c r="V37" s="553" t="s">
        <v>2487</v>
      </c>
      <c r="X37" s="562">
        <v>45181</v>
      </c>
      <c r="Y37" s="553">
        <v>3</v>
      </c>
      <c r="Z37" s="553">
        <v>1245.44</v>
      </c>
      <c r="AA37" s="553">
        <v>62000</v>
      </c>
      <c r="AB37" s="563">
        <v>1.7999999999999999E-2</v>
      </c>
      <c r="AC37" s="563">
        <v>3.3000000000000002E-2</v>
      </c>
    </row>
    <row r="38" spans="14:29">
      <c r="N38" s="553">
        <v>178</v>
      </c>
      <c r="O38" s="562">
        <v>44972</v>
      </c>
      <c r="P38" s="553">
        <v>4</v>
      </c>
      <c r="Q38" s="553">
        <v>1048.2</v>
      </c>
      <c r="R38" s="553">
        <v>39750</v>
      </c>
      <c r="S38" s="563">
        <v>-2.1999999999999999E-2</v>
      </c>
      <c r="T38" s="563">
        <v>-4.7E-2</v>
      </c>
      <c r="U38" s="553" t="s">
        <v>2487</v>
      </c>
      <c r="V38" s="553" t="s">
        <v>2487</v>
      </c>
      <c r="X38" s="562">
        <v>45180</v>
      </c>
      <c r="Y38" s="553">
        <v>2</v>
      </c>
      <c r="Z38" s="553">
        <v>1223.6300000000001</v>
      </c>
      <c r="AA38" s="553">
        <v>60000</v>
      </c>
      <c r="AB38" s="563">
        <v>-1.4E-2</v>
      </c>
      <c r="AC38" s="563">
        <v>2E-3</v>
      </c>
    </row>
    <row r="39" spans="14:29">
      <c r="N39" s="553">
        <v>183</v>
      </c>
      <c r="O39" s="562">
        <v>44965</v>
      </c>
      <c r="P39" s="553">
        <v>4</v>
      </c>
      <c r="Q39" s="553">
        <v>1072.22</v>
      </c>
      <c r="R39" s="553">
        <v>41700</v>
      </c>
      <c r="S39" s="563">
        <v>-3.0000000000000001E-3</v>
      </c>
      <c r="T39" s="563">
        <v>0.01</v>
      </c>
      <c r="U39" s="553" t="s">
        <v>2487</v>
      </c>
      <c r="V39" s="553" t="s">
        <v>2487</v>
      </c>
      <c r="X39" s="562">
        <v>45177</v>
      </c>
      <c r="Y39" s="553">
        <v>6</v>
      </c>
      <c r="Z39" s="553">
        <v>1241.48</v>
      </c>
      <c r="AA39" s="553">
        <v>59900</v>
      </c>
      <c r="AB39" s="563">
        <v>-1E-3</v>
      </c>
      <c r="AC39" s="563">
        <v>1.9E-2</v>
      </c>
    </row>
    <row r="40" spans="14:29">
      <c r="N40" s="553">
        <v>188</v>
      </c>
      <c r="O40" s="562">
        <v>44958</v>
      </c>
      <c r="P40" s="553">
        <v>4</v>
      </c>
      <c r="Q40" s="553">
        <v>1075.97</v>
      </c>
      <c r="R40" s="553">
        <v>41300</v>
      </c>
      <c r="S40" s="563">
        <v>-0.02</v>
      </c>
      <c r="T40" s="563">
        <v>-2.9000000000000001E-2</v>
      </c>
      <c r="U40" s="553" t="s">
        <v>2487</v>
      </c>
      <c r="V40" s="553" t="s">
        <v>2487</v>
      </c>
      <c r="X40" s="562">
        <v>45176</v>
      </c>
      <c r="Y40" s="553">
        <v>5</v>
      </c>
      <c r="Z40" s="553">
        <v>1243.1400000000001</v>
      </c>
      <c r="AA40" s="553">
        <v>58800</v>
      </c>
      <c r="AB40" s="563">
        <v>-2E-3</v>
      </c>
      <c r="AC40" s="563">
        <v>-1.7999999999999999E-2</v>
      </c>
    </row>
    <row r="41" spans="14:29">
      <c r="N41" s="553">
        <v>193</v>
      </c>
      <c r="O41" s="562">
        <v>44944</v>
      </c>
      <c r="P41" s="553">
        <v>4</v>
      </c>
      <c r="Q41" s="553">
        <v>1098.28</v>
      </c>
      <c r="R41" s="553">
        <v>42550</v>
      </c>
      <c r="S41" s="563">
        <v>0.04</v>
      </c>
      <c r="T41" s="563">
        <v>7.3999999999999996E-2</v>
      </c>
      <c r="U41" s="553" t="s">
        <v>2487</v>
      </c>
      <c r="V41" s="553" t="s">
        <v>2487</v>
      </c>
      <c r="X41" s="562">
        <v>45175</v>
      </c>
      <c r="Y41" s="553">
        <v>4</v>
      </c>
      <c r="Z41" s="553">
        <v>1245.5</v>
      </c>
      <c r="AA41" s="553">
        <v>59900</v>
      </c>
      <c r="AB41" s="563">
        <v>8.9999999999999993E-3</v>
      </c>
      <c r="AC41" s="563">
        <v>1.4999999999999999E-2</v>
      </c>
    </row>
    <row r="42" spans="14:29">
      <c r="N42" s="553">
        <v>198</v>
      </c>
      <c r="O42" s="562">
        <v>44937</v>
      </c>
      <c r="P42" s="553">
        <v>4</v>
      </c>
      <c r="Q42" s="553">
        <v>1055.76</v>
      </c>
      <c r="R42" s="553">
        <v>39600</v>
      </c>
      <c r="S42" s="563">
        <v>8.9999999999999993E-3</v>
      </c>
      <c r="T42" s="563">
        <v>-1.2E-2</v>
      </c>
      <c r="U42" s="553" t="s">
        <v>2487</v>
      </c>
      <c r="V42" s="553" t="s">
        <v>2487</v>
      </c>
      <c r="X42" s="562">
        <v>45174</v>
      </c>
      <c r="Y42" s="553">
        <v>3</v>
      </c>
      <c r="Z42" s="553">
        <v>1234.98</v>
      </c>
      <c r="AA42" s="553">
        <v>59000</v>
      </c>
      <c r="AB42" s="563">
        <v>8.9999999999999993E-3</v>
      </c>
      <c r="AC42" s="563">
        <v>1.9E-2</v>
      </c>
    </row>
    <row r="43" spans="14:29">
      <c r="N43" s="553">
        <v>203</v>
      </c>
      <c r="O43" s="562">
        <v>44930</v>
      </c>
      <c r="P43" s="553">
        <v>4</v>
      </c>
      <c r="Q43" s="553">
        <v>1046.3499999999999</v>
      </c>
      <c r="R43" s="553">
        <v>40100</v>
      </c>
      <c r="S43" s="563">
        <v>0.03</v>
      </c>
      <c r="T43" s="563">
        <v>4.2999999999999997E-2</v>
      </c>
      <c r="U43" s="553" t="s">
        <v>2487</v>
      </c>
      <c r="V43" s="553" t="s">
        <v>2487</v>
      </c>
      <c r="X43" s="562">
        <v>45169</v>
      </c>
      <c r="Y43" s="553">
        <v>5</v>
      </c>
      <c r="Z43" s="553">
        <v>1224.05</v>
      </c>
      <c r="AA43" s="553">
        <v>57900</v>
      </c>
      <c r="AB43" s="563">
        <v>8.9999999999999993E-3</v>
      </c>
      <c r="AC43" s="563">
        <v>-5.0000000000000001E-3</v>
      </c>
    </row>
    <row r="44" spans="14:29">
      <c r="N44" s="553">
        <v>207</v>
      </c>
      <c r="O44" s="562">
        <v>44923</v>
      </c>
      <c r="P44" s="553">
        <v>4</v>
      </c>
      <c r="Q44" s="553">
        <v>1015.66</v>
      </c>
      <c r="R44" s="553">
        <v>38450</v>
      </c>
      <c r="S44" s="563">
        <v>-3.0000000000000001E-3</v>
      </c>
      <c r="T44" s="563">
        <v>-2.9000000000000001E-2</v>
      </c>
      <c r="U44" s="553" t="s">
        <v>2487</v>
      </c>
      <c r="V44" s="553" t="s">
        <v>2487</v>
      </c>
      <c r="X44" s="562">
        <v>45168</v>
      </c>
      <c r="Y44" s="553">
        <v>4</v>
      </c>
      <c r="Z44" s="553">
        <v>1213.1600000000001</v>
      </c>
      <c r="AA44" s="553">
        <v>58200</v>
      </c>
      <c r="AB44" s="563">
        <v>7.0000000000000001E-3</v>
      </c>
      <c r="AC44" s="563">
        <v>1.6E-2</v>
      </c>
    </row>
    <row r="45" spans="14:29">
      <c r="N45" s="553">
        <v>212</v>
      </c>
      <c r="O45" s="562">
        <v>44916</v>
      </c>
      <c r="P45" s="553">
        <v>4</v>
      </c>
      <c r="Q45" s="553">
        <v>1018.88</v>
      </c>
      <c r="R45" s="553">
        <v>39600</v>
      </c>
      <c r="S45" s="563">
        <v>-0.03</v>
      </c>
      <c r="T45" s="563">
        <v>-0.09</v>
      </c>
      <c r="U45" s="553" t="s">
        <v>2487</v>
      </c>
      <c r="V45" s="553" t="s">
        <v>2487</v>
      </c>
      <c r="X45" s="562">
        <v>45167</v>
      </c>
      <c r="Y45" s="553">
        <v>3</v>
      </c>
      <c r="Z45" s="553">
        <v>1204.43</v>
      </c>
      <c r="AA45" s="553">
        <v>57300</v>
      </c>
      <c r="AB45" s="563">
        <v>2E-3</v>
      </c>
      <c r="AC45" s="563">
        <v>7.0000000000000001E-3</v>
      </c>
    </row>
    <row r="46" spans="14:29">
      <c r="N46" s="553">
        <v>217</v>
      </c>
      <c r="O46" s="562">
        <v>44909</v>
      </c>
      <c r="P46" s="553">
        <v>4</v>
      </c>
      <c r="Q46" s="553">
        <v>1050.43</v>
      </c>
      <c r="R46" s="553">
        <v>43500</v>
      </c>
      <c r="S46" s="563">
        <v>8.9999999999999993E-3</v>
      </c>
      <c r="T46" s="563">
        <v>6.0999999999999999E-2</v>
      </c>
      <c r="U46" s="553" t="s">
        <v>2487</v>
      </c>
      <c r="V46" s="553" t="s">
        <v>2487</v>
      </c>
      <c r="X46" s="562">
        <v>45166</v>
      </c>
      <c r="Y46" s="553">
        <v>2</v>
      </c>
      <c r="Z46" s="553">
        <v>1201.72</v>
      </c>
      <c r="AA46" s="553">
        <v>56900</v>
      </c>
      <c r="AB46" s="563">
        <v>1.6E-2</v>
      </c>
      <c r="AC46" s="563">
        <v>3.5000000000000003E-2</v>
      </c>
    </row>
    <row r="47" spans="14:29">
      <c r="N47" s="553">
        <v>222</v>
      </c>
      <c r="O47" s="562">
        <v>44902</v>
      </c>
      <c r="P47" s="553">
        <v>4</v>
      </c>
      <c r="Q47" s="553">
        <v>1041.02</v>
      </c>
      <c r="R47" s="553">
        <v>41000</v>
      </c>
      <c r="S47" s="563">
        <v>-7.0000000000000001E-3</v>
      </c>
      <c r="T47" s="563">
        <v>-7.2999999999999995E-2</v>
      </c>
      <c r="U47" s="553" t="s">
        <v>2487</v>
      </c>
      <c r="V47" s="553" t="s">
        <v>2487</v>
      </c>
      <c r="X47" s="562">
        <v>45163</v>
      </c>
      <c r="Y47" s="553">
        <v>6</v>
      </c>
      <c r="Z47" s="553">
        <v>1183.3699999999999</v>
      </c>
      <c r="AA47" s="553">
        <v>55000</v>
      </c>
      <c r="AB47" s="563">
        <v>-5.0000000000000001E-3</v>
      </c>
      <c r="AC47" s="563">
        <v>2.1999999999999999E-2</v>
      </c>
    </row>
    <row r="48" spans="14:29">
      <c r="N48" s="553">
        <v>227</v>
      </c>
      <c r="O48" s="562">
        <v>44895</v>
      </c>
      <c r="P48" s="553">
        <v>4</v>
      </c>
      <c r="Q48" s="553">
        <v>1048.42</v>
      </c>
      <c r="R48" s="553">
        <v>44250</v>
      </c>
      <c r="S48" s="563">
        <v>0.108</v>
      </c>
      <c r="T48" s="563">
        <v>0.17399999999999999</v>
      </c>
      <c r="U48" s="553" t="s">
        <v>2487</v>
      </c>
      <c r="V48" s="553" t="s">
        <v>2487</v>
      </c>
      <c r="X48" s="562">
        <v>45162</v>
      </c>
      <c r="Y48" s="553">
        <v>5</v>
      </c>
      <c r="Z48" s="553">
        <v>1189.3900000000001</v>
      </c>
      <c r="AA48" s="553">
        <v>53800</v>
      </c>
      <c r="AB48" s="563">
        <v>1.4E-2</v>
      </c>
      <c r="AC48" s="563">
        <v>4.7E-2</v>
      </c>
    </row>
    <row r="49" spans="14:29">
      <c r="N49" s="553">
        <v>232</v>
      </c>
      <c r="O49" s="562">
        <v>44888</v>
      </c>
      <c r="P49" s="553">
        <v>4</v>
      </c>
      <c r="Q49" s="553">
        <v>946</v>
      </c>
      <c r="R49" s="553">
        <v>37700</v>
      </c>
      <c r="S49" s="563">
        <v>3.0000000000000001E-3</v>
      </c>
      <c r="T49" s="563">
        <v>-4.1000000000000002E-2</v>
      </c>
      <c r="U49" s="553" t="s">
        <v>2487</v>
      </c>
      <c r="V49" s="553" t="s">
        <v>2487</v>
      </c>
      <c r="X49" s="562">
        <v>45161</v>
      </c>
      <c r="Y49" s="553">
        <v>4</v>
      </c>
      <c r="Z49" s="553">
        <v>1172.56</v>
      </c>
      <c r="AA49" s="553">
        <v>51400</v>
      </c>
      <c r="AB49" s="563">
        <v>-7.0000000000000001E-3</v>
      </c>
      <c r="AC49" s="563">
        <v>-0.01</v>
      </c>
    </row>
    <row r="50" spans="14:29">
      <c r="N50" s="553">
        <v>237</v>
      </c>
      <c r="O50" s="562">
        <v>44881</v>
      </c>
      <c r="P50" s="553">
        <v>4</v>
      </c>
      <c r="Q50" s="553">
        <v>942.9</v>
      </c>
      <c r="R50" s="553">
        <v>39300</v>
      </c>
      <c r="S50" s="563">
        <v>-4.2999999999999997E-2</v>
      </c>
      <c r="T50" s="563">
        <v>-0.19800000000000001</v>
      </c>
      <c r="U50" s="553" t="s">
        <v>2487</v>
      </c>
      <c r="V50" s="553" t="s">
        <v>2487</v>
      </c>
      <c r="X50" s="562">
        <v>45160</v>
      </c>
      <c r="Y50" s="553">
        <v>3</v>
      </c>
      <c r="Z50" s="553">
        <v>1180.49</v>
      </c>
      <c r="AA50" s="553">
        <v>51900</v>
      </c>
      <c r="AB50" s="563">
        <v>1E-3</v>
      </c>
      <c r="AC50" s="563">
        <v>6.9000000000000006E-2</v>
      </c>
    </row>
    <row r="51" spans="14:29">
      <c r="N51" s="553">
        <v>242</v>
      </c>
      <c r="O51" s="562">
        <v>44874</v>
      </c>
      <c r="P51" s="553">
        <v>4</v>
      </c>
      <c r="Q51" s="553">
        <v>985.59</v>
      </c>
      <c r="R51" s="553">
        <v>49000</v>
      </c>
      <c r="S51" s="563">
        <v>-3.6999999999999998E-2</v>
      </c>
      <c r="T51" s="563">
        <v>-0.16900000000000001</v>
      </c>
      <c r="U51" s="553" t="s">
        <v>2487</v>
      </c>
      <c r="V51" s="553" t="s">
        <v>2487</v>
      </c>
      <c r="X51" s="562">
        <v>45159</v>
      </c>
      <c r="Y51" s="553">
        <v>2</v>
      </c>
      <c r="Z51" s="553">
        <v>1179.76</v>
      </c>
      <c r="AA51" s="553">
        <v>48550</v>
      </c>
      <c r="AB51" s="563">
        <v>2E-3</v>
      </c>
      <c r="AC51" s="563">
        <v>-2.8000000000000001E-2</v>
      </c>
    </row>
    <row r="52" spans="14:29">
      <c r="N52" s="553">
        <v>247</v>
      </c>
      <c r="O52" s="562">
        <v>44867</v>
      </c>
      <c r="P52" s="553">
        <v>4</v>
      </c>
      <c r="Q52" s="553">
        <v>1023.19</v>
      </c>
      <c r="R52" s="553">
        <v>59000</v>
      </c>
      <c r="S52" s="563">
        <v>0.03</v>
      </c>
      <c r="T52" s="563">
        <v>-0.03</v>
      </c>
      <c r="U52" s="553" t="s">
        <v>2487</v>
      </c>
      <c r="V52" s="553" t="s">
        <v>2487</v>
      </c>
      <c r="X52" s="562">
        <v>45156</v>
      </c>
      <c r="Y52" s="553">
        <v>6</v>
      </c>
      <c r="Z52" s="553">
        <v>1177.99</v>
      </c>
      <c r="AA52" s="553">
        <v>49950</v>
      </c>
      <c r="AB52" s="563">
        <v>-4.4999999999999998E-2</v>
      </c>
      <c r="AC52" s="563">
        <v>-7.0000000000000007E-2</v>
      </c>
    </row>
    <row r="53" spans="14:29">
      <c r="N53" s="553">
        <v>252</v>
      </c>
      <c r="O53" s="562">
        <v>44860</v>
      </c>
      <c r="P53" s="553">
        <v>4</v>
      </c>
      <c r="Q53" s="553">
        <v>993.36</v>
      </c>
      <c r="R53" s="553">
        <v>60800</v>
      </c>
      <c r="S53" s="563">
        <v>-6.3E-2</v>
      </c>
      <c r="T53" s="563">
        <v>-9.7000000000000003E-2</v>
      </c>
      <c r="U53" s="553" t="s">
        <v>2487</v>
      </c>
      <c r="V53" s="553" t="s">
        <v>2487</v>
      </c>
      <c r="X53" s="562">
        <v>45155</v>
      </c>
      <c r="Y53" s="553">
        <v>5</v>
      </c>
      <c r="Z53" s="553">
        <v>1233.48</v>
      </c>
      <c r="AA53" s="553">
        <v>53700</v>
      </c>
      <c r="AB53" s="563">
        <v>-8.0000000000000002E-3</v>
      </c>
      <c r="AC53" s="563">
        <v>1.2999999999999999E-2</v>
      </c>
    </row>
    <row r="54" spans="14:29">
      <c r="N54" s="553">
        <v>257</v>
      </c>
      <c r="O54" s="562">
        <v>44853</v>
      </c>
      <c r="P54" s="553">
        <v>4</v>
      </c>
      <c r="Q54" s="553">
        <v>1060.07</v>
      </c>
      <c r="R54" s="553">
        <v>67300</v>
      </c>
      <c r="S54" s="563">
        <v>2.4E-2</v>
      </c>
      <c r="T54" s="563">
        <v>5.1999999999999998E-2</v>
      </c>
      <c r="U54" s="553" t="s">
        <v>2487</v>
      </c>
      <c r="V54" s="553" t="s">
        <v>2487</v>
      </c>
      <c r="X54" s="562">
        <v>45154</v>
      </c>
      <c r="Y54" s="553">
        <v>4</v>
      </c>
      <c r="Z54" s="553">
        <v>1243.26</v>
      </c>
      <c r="AA54" s="553">
        <v>53000</v>
      </c>
      <c r="AB54" s="563">
        <v>7.0000000000000001E-3</v>
      </c>
      <c r="AC54" s="563">
        <v>-1.9E-2</v>
      </c>
    </row>
    <row r="55" spans="14:29">
      <c r="N55" s="553">
        <v>262</v>
      </c>
      <c r="O55" s="562">
        <v>44846</v>
      </c>
      <c r="P55" s="553">
        <v>4</v>
      </c>
      <c r="Q55" s="553">
        <v>1034.81</v>
      </c>
      <c r="R55" s="553">
        <v>64000</v>
      </c>
      <c r="S55" s="563">
        <v>-6.3E-2</v>
      </c>
      <c r="T55" s="563">
        <v>4.9000000000000002E-2</v>
      </c>
      <c r="U55" s="553" t="s">
        <v>2487</v>
      </c>
      <c r="V55" s="553" t="s">
        <v>2487</v>
      </c>
      <c r="X55" s="562">
        <v>45153</v>
      </c>
      <c r="Y55" s="553">
        <v>3</v>
      </c>
      <c r="Z55" s="553">
        <v>1234.05</v>
      </c>
      <c r="AA55" s="553">
        <v>54000</v>
      </c>
      <c r="AB55" s="563">
        <v>-2E-3</v>
      </c>
      <c r="AC55" s="563">
        <v>-8.9999999999999993E-3</v>
      </c>
    </row>
    <row r="56" spans="14:29">
      <c r="N56" s="553">
        <v>267</v>
      </c>
      <c r="O56" s="562">
        <v>44839</v>
      </c>
      <c r="P56" s="553">
        <v>4</v>
      </c>
      <c r="Q56" s="553">
        <v>1104.26</v>
      </c>
      <c r="R56" s="553">
        <v>61000</v>
      </c>
      <c r="S56" s="563">
        <v>-3.4000000000000002E-2</v>
      </c>
      <c r="T56" s="563">
        <v>-2.1000000000000001E-2</v>
      </c>
      <c r="U56" s="553" t="s">
        <v>2487</v>
      </c>
      <c r="V56" s="553" t="s">
        <v>2487</v>
      </c>
      <c r="X56" s="562">
        <v>45152</v>
      </c>
      <c r="Y56" s="553">
        <v>2</v>
      </c>
      <c r="Z56" s="553">
        <v>1236.8399999999999</v>
      </c>
      <c r="AA56" s="553">
        <v>54500</v>
      </c>
      <c r="AB56" s="563">
        <v>4.0000000000000001E-3</v>
      </c>
      <c r="AC56" s="563">
        <v>1.7000000000000001E-2</v>
      </c>
    </row>
    <row r="57" spans="14:29">
      <c r="N57" s="553">
        <v>272</v>
      </c>
      <c r="O57" s="562">
        <v>44832</v>
      </c>
      <c r="P57" s="553">
        <v>4</v>
      </c>
      <c r="Q57" s="553">
        <v>1143.6199999999999</v>
      </c>
      <c r="R57" s="553">
        <v>62300</v>
      </c>
      <c r="S57" s="563">
        <v>-5.5E-2</v>
      </c>
      <c r="T57" s="563">
        <v>-0.13800000000000001</v>
      </c>
      <c r="U57" s="553" t="s">
        <v>2487</v>
      </c>
      <c r="V57" s="553" t="s">
        <v>2487</v>
      </c>
      <c r="X57" s="562">
        <v>45149</v>
      </c>
      <c r="Y57" s="553">
        <v>6</v>
      </c>
      <c r="Z57" s="553">
        <v>1232.21</v>
      </c>
      <c r="AA57" s="553">
        <v>53600</v>
      </c>
      <c r="AB57" s="563">
        <v>0.01</v>
      </c>
      <c r="AC57" s="563">
        <v>-1.7000000000000001E-2</v>
      </c>
    </row>
    <row r="58" spans="14:29">
      <c r="N58" s="553">
        <v>277</v>
      </c>
      <c r="O58" s="562">
        <v>44825</v>
      </c>
      <c r="P58" s="553">
        <v>4</v>
      </c>
      <c r="Q58" s="553">
        <v>1210.55</v>
      </c>
      <c r="R58" s="553">
        <v>72300</v>
      </c>
      <c r="S58" s="563">
        <v>-2.4E-2</v>
      </c>
      <c r="T58" s="563">
        <v>-7.0999999999999994E-2</v>
      </c>
      <c r="U58" s="553" t="s">
        <v>2487</v>
      </c>
      <c r="V58" s="553" t="s">
        <v>2487</v>
      </c>
      <c r="X58" s="562">
        <v>45148</v>
      </c>
      <c r="Y58" s="553">
        <v>5</v>
      </c>
      <c r="Z58" s="553">
        <v>1220.6099999999999</v>
      </c>
      <c r="AA58" s="553">
        <v>54500</v>
      </c>
      <c r="AB58" s="563">
        <v>-1.0999999999999999E-2</v>
      </c>
      <c r="AC58" s="563">
        <v>-2.3E-2</v>
      </c>
    </row>
    <row r="59" spans="14:29">
      <c r="N59" s="553">
        <v>282</v>
      </c>
      <c r="O59" s="562">
        <v>44818</v>
      </c>
      <c r="P59" s="553">
        <v>4</v>
      </c>
      <c r="Q59" s="553">
        <v>1240.77</v>
      </c>
      <c r="R59" s="553">
        <v>77800</v>
      </c>
      <c r="S59" s="563">
        <v>-2E-3</v>
      </c>
      <c r="T59" s="563">
        <v>0.11</v>
      </c>
      <c r="U59" s="553" t="s">
        <v>2487</v>
      </c>
      <c r="V59" s="553" t="s">
        <v>2487</v>
      </c>
      <c r="X59" s="562">
        <v>45147</v>
      </c>
      <c r="Y59" s="553">
        <v>4</v>
      </c>
      <c r="Z59" s="553">
        <v>1233.99</v>
      </c>
      <c r="AA59" s="553">
        <v>55800</v>
      </c>
      <c r="AB59" s="563">
        <v>-7.0000000000000001E-3</v>
      </c>
      <c r="AC59" s="563">
        <v>1.2999999999999999E-2</v>
      </c>
    </row>
    <row r="60" spans="14:29">
      <c r="N60" s="553">
        <v>287</v>
      </c>
      <c r="O60" s="562">
        <v>44811</v>
      </c>
      <c r="P60" s="553">
        <v>4</v>
      </c>
      <c r="Q60" s="553">
        <v>1243.17</v>
      </c>
      <c r="R60" s="553">
        <v>70100</v>
      </c>
      <c r="S60" s="563">
        <v>-2.9000000000000001E-2</v>
      </c>
      <c r="T60" s="563">
        <v>-2.1999999999999999E-2</v>
      </c>
      <c r="U60" s="553" t="s">
        <v>2487</v>
      </c>
      <c r="V60" s="553" t="s">
        <v>2487</v>
      </c>
      <c r="X60" s="562">
        <v>45146</v>
      </c>
      <c r="Y60" s="553">
        <v>3</v>
      </c>
      <c r="Z60" s="553">
        <v>1242.23</v>
      </c>
      <c r="AA60" s="553">
        <v>55100</v>
      </c>
      <c r="AB60" s="563">
        <v>1E-3</v>
      </c>
      <c r="AC60" s="563">
        <v>-0.02</v>
      </c>
    </row>
    <row r="61" spans="14:29">
      <c r="N61" s="553">
        <v>290</v>
      </c>
      <c r="O61" s="562">
        <v>44804</v>
      </c>
      <c r="P61" s="553">
        <v>4</v>
      </c>
      <c r="Q61" s="553">
        <v>1280.51</v>
      </c>
      <c r="R61" s="553">
        <v>71700</v>
      </c>
      <c r="S61" s="563">
        <v>3.0000000000000001E-3</v>
      </c>
      <c r="T61" s="563">
        <v>-0.02</v>
      </c>
      <c r="U61" s="553" t="s">
        <v>2487</v>
      </c>
      <c r="V61" s="553" t="s">
        <v>2487</v>
      </c>
      <c r="X61" s="562">
        <v>45145</v>
      </c>
      <c r="Y61" s="553">
        <v>2</v>
      </c>
      <c r="Z61" s="553">
        <v>1241.42</v>
      </c>
      <c r="AA61" s="553">
        <v>56200</v>
      </c>
      <c r="AB61" s="563">
        <v>1.2999999999999999E-2</v>
      </c>
      <c r="AC61" s="563">
        <v>4.0000000000000001E-3</v>
      </c>
    </row>
    <row r="62" spans="14:29">
      <c r="N62" s="553">
        <v>295</v>
      </c>
      <c r="O62" s="562">
        <v>44797</v>
      </c>
      <c r="P62" s="553">
        <v>4</v>
      </c>
      <c r="Q62" s="553">
        <v>1277.1600000000001</v>
      </c>
      <c r="R62" s="553">
        <v>73200</v>
      </c>
      <c r="S62" s="563">
        <v>1E-3</v>
      </c>
      <c r="T62" s="563">
        <v>2.4E-2</v>
      </c>
      <c r="U62" s="553" t="s">
        <v>2487</v>
      </c>
      <c r="V62" s="553" t="s">
        <v>2487</v>
      </c>
      <c r="X62" s="562">
        <v>45142</v>
      </c>
      <c r="Y62" s="553">
        <v>6</v>
      </c>
      <c r="Z62" s="553">
        <v>1225.98</v>
      </c>
      <c r="AA62" s="553">
        <v>56000</v>
      </c>
      <c r="AB62" s="563">
        <v>1.2E-2</v>
      </c>
      <c r="AC62" s="563">
        <v>0</v>
      </c>
    </row>
    <row r="63" spans="14:29">
      <c r="N63" s="553">
        <v>300</v>
      </c>
      <c r="O63" s="562">
        <v>44790</v>
      </c>
      <c r="P63" s="553">
        <v>4</v>
      </c>
      <c r="Q63" s="553">
        <v>1275.28</v>
      </c>
      <c r="R63" s="553">
        <v>71500</v>
      </c>
      <c r="S63" s="563">
        <v>1.4999999999999999E-2</v>
      </c>
      <c r="T63" s="563">
        <v>0.13900000000000001</v>
      </c>
      <c r="U63" s="553" t="s">
        <v>2487</v>
      </c>
      <c r="V63" s="553" t="s">
        <v>2487</v>
      </c>
      <c r="X63" s="562">
        <v>45141</v>
      </c>
      <c r="Y63" s="553">
        <v>5</v>
      </c>
      <c r="Z63" s="553">
        <v>1210.95</v>
      </c>
      <c r="AA63" s="553">
        <v>56000</v>
      </c>
      <c r="AB63" s="563">
        <v>-8.0000000000000002E-3</v>
      </c>
      <c r="AC63" s="563">
        <v>3.6999999999999998E-2</v>
      </c>
    </row>
    <row r="64" spans="14:29">
      <c r="N64" s="553">
        <v>305</v>
      </c>
      <c r="O64" s="562">
        <v>44783</v>
      </c>
      <c r="P64" s="553">
        <v>4</v>
      </c>
      <c r="Q64" s="553">
        <v>1256.5</v>
      </c>
      <c r="R64" s="553">
        <v>62800</v>
      </c>
      <c r="S64" s="563">
        <v>5.0000000000000001E-3</v>
      </c>
      <c r="T64" s="563">
        <v>3.1E-2</v>
      </c>
      <c r="U64" s="553" t="s">
        <v>2487</v>
      </c>
      <c r="V64" s="553" t="s">
        <v>2487</v>
      </c>
      <c r="X64" s="562">
        <v>45140</v>
      </c>
      <c r="Y64" s="553">
        <v>4</v>
      </c>
      <c r="Z64" s="553">
        <v>1220.43</v>
      </c>
      <c r="AA64" s="553">
        <v>54000</v>
      </c>
      <c r="AB64" s="563">
        <v>2E-3</v>
      </c>
      <c r="AC64" s="563">
        <v>1.7000000000000001E-2</v>
      </c>
    </row>
    <row r="65" spans="14:29">
      <c r="N65" s="553">
        <v>310</v>
      </c>
      <c r="O65" s="562">
        <v>44776</v>
      </c>
      <c r="P65" s="553">
        <v>4</v>
      </c>
      <c r="Q65" s="553">
        <v>1249.76</v>
      </c>
      <c r="R65" s="553">
        <v>60900</v>
      </c>
      <c r="S65" s="563">
        <v>4.9000000000000002E-2</v>
      </c>
      <c r="T65" s="563">
        <v>8.0000000000000002E-3</v>
      </c>
      <c r="U65" s="553" t="s">
        <v>2487</v>
      </c>
      <c r="V65" s="553" t="s">
        <v>2487</v>
      </c>
      <c r="X65" s="562">
        <v>45139</v>
      </c>
      <c r="Y65" s="553">
        <v>3</v>
      </c>
      <c r="Z65" s="553">
        <v>1217.56</v>
      </c>
      <c r="AA65" s="553">
        <v>53100</v>
      </c>
      <c r="AB65" s="563">
        <v>-4.0000000000000001E-3</v>
      </c>
      <c r="AC65" s="563">
        <v>-1.7999999999999999E-2</v>
      </c>
    </row>
    <row r="66" spans="14:29">
      <c r="N66" s="553">
        <v>315</v>
      </c>
      <c r="O66" s="562">
        <v>44769</v>
      </c>
      <c r="P66" s="553">
        <v>4</v>
      </c>
      <c r="Q66" s="553">
        <v>1191.04</v>
      </c>
      <c r="R66" s="553">
        <v>60400</v>
      </c>
      <c r="S66" s="563">
        <v>-3.0000000000000001E-3</v>
      </c>
      <c r="T66" s="563">
        <v>1.7000000000000001E-2</v>
      </c>
      <c r="U66" s="553" t="s">
        <v>2487</v>
      </c>
      <c r="V66" s="553" t="s">
        <v>2487</v>
      </c>
      <c r="X66" s="562">
        <v>45138</v>
      </c>
      <c r="Y66" s="553">
        <v>2</v>
      </c>
      <c r="Z66" s="553">
        <v>1222.9000000000001</v>
      </c>
      <c r="AA66" s="553">
        <v>54100</v>
      </c>
      <c r="AB66" s="563">
        <v>1.2999999999999999E-2</v>
      </c>
      <c r="AC66" s="563">
        <v>1.0999999999999999E-2</v>
      </c>
    </row>
    <row r="67" spans="14:29">
      <c r="N67" s="553">
        <v>320</v>
      </c>
      <c r="O67" s="562">
        <v>44762</v>
      </c>
      <c r="P67" s="553">
        <v>4</v>
      </c>
      <c r="Q67" s="553">
        <v>1194.1400000000001</v>
      </c>
      <c r="R67" s="553">
        <v>59400</v>
      </c>
      <c r="S67" s="563">
        <v>1.7000000000000001E-2</v>
      </c>
      <c r="T67" s="563">
        <v>8.7999999999999995E-2</v>
      </c>
      <c r="U67" s="553" t="s">
        <v>2487</v>
      </c>
      <c r="V67" s="553" t="s">
        <v>2487</v>
      </c>
      <c r="X67" s="562">
        <v>45135</v>
      </c>
      <c r="Y67" s="553">
        <v>6</v>
      </c>
      <c r="Z67" s="553">
        <v>1207.67</v>
      </c>
      <c r="AA67" s="553">
        <v>53500</v>
      </c>
      <c r="AB67" s="563">
        <v>8.9999999999999993E-3</v>
      </c>
      <c r="AC67" s="563">
        <v>-1.0999999999999999E-2</v>
      </c>
    </row>
    <row r="68" spans="14:29">
      <c r="N68" s="553">
        <v>325</v>
      </c>
      <c r="O68" s="562">
        <v>44755</v>
      </c>
      <c r="P68" s="553">
        <v>4</v>
      </c>
      <c r="Q68" s="553">
        <v>1173.92</v>
      </c>
      <c r="R68" s="553">
        <v>54600</v>
      </c>
      <c r="S68" s="563">
        <v>2.1000000000000001E-2</v>
      </c>
      <c r="T68" s="563">
        <v>1.7000000000000001E-2</v>
      </c>
      <c r="U68" s="553" t="s">
        <v>2487</v>
      </c>
      <c r="V68" s="553" t="s">
        <v>2487</v>
      </c>
      <c r="X68" s="562">
        <v>45134</v>
      </c>
      <c r="Y68" s="553">
        <v>5</v>
      </c>
      <c r="Z68" s="553">
        <v>1197.33</v>
      </c>
      <c r="AA68" s="553">
        <v>54100</v>
      </c>
      <c r="AB68" s="563">
        <v>-3.0000000000000001E-3</v>
      </c>
      <c r="AC68" s="563">
        <v>3.2000000000000001E-2</v>
      </c>
    </row>
    <row r="69" spans="14:29">
      <c r="N69" s="553">
        <v>330</v>
      </c>
      <c r="O69" s="562">
        <v>44748</v>
      </c>
      <c r="P69" s="553">
        <v>4</v>
      </c>
      <c r="Q69" s="553">
        <v>1149.6099999999999</v>
      </c>
      <c r="R69" s="553">
        <v>53700</v>
      </c>
      <c r="S69" s="563">
        <v>-5.6000000000000001E-2</v>
      </c>
      <c r="T69" s="563">
        <v>-0.53700000000000003</v>
      </c>
      <c r="U69" s="553" t="s">
        <v>2487</v>
      </c>
      <c r="V69" s="553" t="s">
        <v>2487</v>
      </c>
      <c r="X69" s="562">
        <v>45133</v>
      </c>
      <c r="Y69" s="553">
        <v>4</v>
      </c>
      <c r="Z69" s="553">
        <v>1200.8399999999999</v>
      </c>
      <c r="AA69" s="553">
        <v>52400</v>
      </c>
      <c r="AB69" s="563">
        <v>4.0000000000000001E-3</v>
      </c>
      <c r="AC69" s="563">
        <v>-2.1000000000000001E-2</v>
      </c>
    </row>
    <row r="70" spans="14:29">
      <c r="N70" s="553">
        <v>335</v>
      </c>
      <c r="O70" s="562">
        <v>44741</v>
      </c>
      <c r="P70" s="553">
        <v>4</v>
      </c>
      <c r="Q70" s="553">
        <v>1218.0899999999999</v>
      </c>
      <c r="R70" s="553">
        <v>116100</v>
      </c>
      <c r="S70" s="563">
        <v>4.2000000000000003E-2</v>
      </c>
      <c r="T70" s="563">
        <v>0.04</v>
      </c>
      <c r="U70" s="553" t="s">
        <v>2487</v>
      </c>
      <c r="V70" s="553" t="s">
        <v>2487</v>
      </c>
      <c r="X70" s="562">
        <v>45132</v>
      </c>
      <c r="Y70" s="553">
        <v>3</v>
      </c>
      <c r="Z70" s="553">
        <v>1195.9000000000001</v>
      </c>
      <c r="AA70" s="553">
        <v>53500</v>
      </c>
      <c r="AB70" s="563">
        <v>4.0000000000000001E-3</v>
      </c>
      <c r="AC70" s="563">
        <v>-1.7999999999999999E-2</v>
      </c>
    </row>
    <row r="71" spans="14:29">
      <c r="N71" s="553">
        <v>340</v>
      </c>
      <c r="O71" s="562">
        <v>44734</v>
      </c>
      <c r="P71" s="553">
        <v>4</v>
      </c>
      <c r="Q71" s="553">
        <v>1169.27</v>
      </c>
      <c r="R71" s="553">
        <v>111600</v>
      </c>
      <c r="S71" s="563">
        <v>-3.6999999999999998E-2</v>
      </c>
      <c r="T71" s="563">
        <v>-9.9000000000000005E-2</v>
      </c>
      <c r="U71" s="553" t="s">
        <v>2487</v>
      </c>
      <c r="V71" s="553" t="s">
        <v>2487</v>
      </c>
      <c r="X71" s="562">
        <v>45131</v>
      </c>
      <c r="Y71" s="553">
        <v>2</v>
      </c>
      <c r="Z71" s="553">
        <v>1190.72</v>
      </c>
      <c r="AA71" s="553">
        <v>54500</v>
      </c>
      <c r="AB71" s="563">
        <v>4.0000000000000001E-3</v>
      </c>
      <c r="AC71" s="563">
        <v>-7.0000000000000001E-3</v>
      </c>
    </row>
    <row r="72" spans="14:29">
      <c r="N72" s="553">
        <v>345</v>
      </c>
      <c r="O72" s="562">
        <v>44727</v>
      </c>
      <c r="P72" s="553">
        <v>4</v>
      </c>
      <c r="Q72" s="553">
        <v>1213.93</v>
      </c>
      <c r="R72" s="553">
        <v>123800</v>
      </c>
      <c r="S72" s="563">
        <v>-7.1999999999999995E-2</v>
      </c>
      <c r="T72" s="563">
        <v>-0.11</v>
      </c>
      <c r="U72" s="553" t="s">
        <v>2487</v>
      </c>
      <c r="V72" s="553" t="s">
        <v>2487</v>
      </c>
      <c r="X72" s="562">
        <v>45128</v>
      </c>
      <c r="Y72" s="553">
        <v>6</v>
      </c>
      <c r="Z72" s="553">
        <v>1185.9000000000001</v>
      </c>
      <c r="AA72" s="553">
        <v>54900</v>
      </c>
      <c r="AB72" s="563">
        <v>1.0999999999999999E-2</v>
      </c>
      <c r="AC72" s="563">
        <v>6.8000000000000005E-2</v>
      </c>
    </row>
    <row r="73" spans="14:29">
      <c r="N73" s="553">
        <v>350</v>
      </c>
      <c r="O73" s="562">
        <v>44720</v>
      </c>
      <c r="P73" s="553">
        <v>4</v>
      </c>
      <c r="Q73" s="553">
        <v>1307.9100000000001</v>
      </c>
      <c r="R73" s="553">
        <v>139100</v>
      </c>
      <c r="S73" s="563">
        <v>6.0000000000000001E-3</v>
      </c>
      <c r="T73" s="563">
        <v>8.3000000000000004E-2</v>
      </c>
      <c r="U73" s="553" t="s">
        <v>2487</v>
      </c>
      <c r="V73" s="553" t="s">
        <v>2487</v>
      </c>
      <c r="X73" s="562">
        <v>45127</v>
      </c>
      <c r="Y73" s="553">
        <v>5</v>
      </c>
      <c r="Z73" s="553">
        <v>1172.81</v>
      </c>
      <c r="AA73" s="553">
        <v>51400</v>
      </c>
      <c r="AB73" s="563">
        <v>0</v>
      </c>
      <c r="AC73" s="563">
        <v>4.2000000000000003E-2</v>
      </c>
    </row>
    <row r="74" spans="14:29">
      <c r="N74" s="553">
        <v>355</v>
      </c>
      <c r="O74" s="562">
        <v>44713</v>
      </c>
      <c r="P74" s="553">
        <v>4</v>
      </c>
      <c r="Q74" s="553">
        <v>1299.52</v>
      </c>
      <c r="R74" s="553">
        <v>128400</v>
      </c>
      <c r="S74" s="563">
        <v>2.5000000000000001E-2</v>
      </c>
      <c r="T74" s="563">
        <v>7.1999999999999995E-2</v>
      </c>
      <c r="U74" s="553" t="s">
        <v>2487</v>
      </c>
      <c r="V74" s="553" t="s">
        <v>2487</v>
      </c>
      <c r="X74" s="562">
        <v>45126</v>
      </c>
      <c r="Y74" s="553">
        <v>4</v>
      </c>
      <c r="Z74" s="553">
        <v>1172.98</v>
      </c>
      <c r="AA74" s="553">
        <v>49350</v>
      </c>
      <c r="AB74" s="563">
        <v>-1E-3</v>
      </c>
      <c r="AC74" s="563">
        <v>7.0000000000000001E-3</v>
      </c>
    </row>
    <row r="75" spans="14:29">
      <c r="N75" s="553">
        <v>360</v>
      </c>
      <c r="O75" s="562">
        <v>44706</v>
      </c>
      <c r="P75" s="553">
        <v>4</v>
      </c>
      <c r="Q75" s="553">
        <v>1268.43</v>
      </c>
      <c r="R75" s="553">
        <v>119800</v>
      </c>
      <c r="S75" s="563">
        <v>2.1999999999999999E-2</v>
      </c>
      <c r="T75" s="563">
        <v>0.124</v>
      </c>
      <c r="U75" s="553" t="s">
        <v>2487</v>
      </c>
      <c r="V75" s="553" t="s">
        <v>2487</v>
      </c>
      <c r="X75" s="562">
        <v>45125</v>
      </c>
      <c r="Y75" s="553">
        <v>3</v>
      </c>
      <c r="Z75" s="553">
        <v>1174.0899999999999</v>
      </c>
      <c r="AA75" s="553">
        <v>49000</v>
      </c>
      <c r="AB75" s="563">
        <v>1E-3</v>
      </c>
      <c r="AC75" s="563">
        <v>-7.0000000000000001E-3</v>
      </c>
    </row>
    <row r="76" spans="14:29">
      <c r="N76" s="553">
        <v>365</v>
      </c>
      <c r="O76" s="562">
        <v>44699</v>
      </c>
      <c r="P76" s="553">
        <v>4</v>
      </c>
      <c r="Q76" s="553">
        <v>1240.76</v>
      </c>
      <c r="R76" s="553">
        <v>106600</v>
      </c>
      <c r="S76" s="563">
        <v>-4.7E-2</v>
      </c>
      <c r="T76" s="563">
        <v>-7.9000000000000001E-2</v>
      </c>
      <c r="U76" s="553" t="s">
        <v>2487</v>
      </c>
      <c r="V76" s="553" t="s">
        <v>2487</v>
      </c>
      <c r="X76" s="562">
        <v>45124</v>
      </c>
      <c r="Y76" s="553">
        <v>2</v>
      </c>
      <c r="Z76" s="553">
        <v>1173.1300000000001</v>
      </c>
      <c r="AA76" s="553">
        <v>49350</v>
      </c>
      <c r="AB76" s="563">
        <v>4.0000000000000001E-3</v>
      </c>
      <c r="AC76" s="563">
        <v>-1.2999999999999999E-2</v>
      </c>
    </row>
    <row r="77" spans="14:29">
      <c r="N77" s="553">
        <v>370</v>
      </c>
      <c r="O77" s="562">
        <v>44692</v>
      </c>
      <c r="P77" s="553">
        <v>4</v>
      </c>
      <c r="Q77" s="553">
        <v>1301.53</v>
      </c>
      <c r="R77" s="553">
        <v>115800</v>
      </c>
      <c r="S77" s="563">
        <v>-3.5000000000000003E-2</v>
      </c>
      <c r="T77" s="563">
        <v>-0.152</v>
      </c>
      <c r="U77" s="553" t="s">
        <v>2487</v>
      </c>
      <c r="V77" s="553" t="s">
        <v>2487</v>
      </c>
      <c r="X77" s="562">
        <v>45121</v>
      </c>
      <c r="Y77" s="553">
        <v>6</v>
      </c>
      <c r="Z77" s="553">
        <v>1168.4000000000001</v>
      </c>
      <c r="AA77" s="553">
        <v>50000</v>
      </c>
      <c r="AB77" s="563">
        <v>3.0000000000000001E-3</v>
      </c>
      <c r="AC77" s="563">
        <v>-8.0000000000000002E-3</v>
      </c>
    </row>
    <row r="78" spans="14:29">
      <c r="N78" s="553">
        <v>375</v>
      </c>
      <c r="O78" s="562">
        <v>44685</v>
      </c>
      <c r="P78" s="553">
        <v>4</v>
      </c>
      <c r="Q78" s="553">
        <v>1348.68</v>
      </c>
      <c r="R78" s="553">
        <v>136600</v>
      </c>
      <c r="S78" s="563">
        <v>-4.0000000000000001E-3</v>
      </c>
      <c r="T78" s="563">
        <v>1.9E-2</v>
      </c>
      <c r="U78" s="553" t="s">
        <v>2487</v>
      </c>
      <c r="V78" s="553" t="s">
        <v>2487</v>
      </c>
      <c r="X78" s="562">
        <v>45120</v>
      </c>
      <c r="Y78" s="553">
        <v>5</v>
      </c>
      <c r="Z78" s="553">
        <v>1165.42</v>
      </c>
      <c r="AA78" s="553">
        <v>50400</v>
      </c>
      <c r="AB78" s="563">
        <v>0.01</v>
      </c>
      <c r="AC78" s="563">
        <v>2.9000000000000001E-2</v>
      </c>
    </row>
    <row r="79" spans="14:29">
      <c r="N79" s="553">
        <v>378</v>
      </c>
      <c r="O79" s="562">
        <v>44678</v>
      </c>
      <c r="P79" s="553">
        <v>4</v>
      </c>
      <c r="Q79" s="553">
        <v>1353.77</v>
      </c>
      <c r="R79" s="553">
        <v>134100</v>
      </c>
      <c r="S79" s="563">
        <v>-2.1999999999999999E-2</v>
      </c>
      <c r="T79" s="563">
        <v>-9.4E-2</v>
      </c>
      <c r="U79" s="553" t="s">
        <v>2487</v>
      </c>
      <c r="V79" s="553" t="s">
        <v>2487</v>
      </c>
      <c r="X79" s="562">
        <v>45119</v>
      </c>
      <c r="Y79" s="553">
        <v>4</v>
      </c>
      <c r="Z79" s="553">
        <v>1154.2</v>
      </c>
      <c r="AA79" s="553">
        <v>49000</v>
      </c>
      <c r="AB79" s="563">
        <v>2E-3</v>
      </c>
      <c r="AC79" s="563">
        <v>1.2E-2</v>
      </c>
    </row>
    <row r="80" spans="14:29">
      <c r="N80" s="553">
        <v>383</v>
      </c>
      <c r="O80" s="562">
        <v>44671</v>
      </c>
      <c r="P80" s="553">
        <v>4</v>
      </c>
      <c r="Q80" s="553">
        <v>1384.72</v>
      </c>
      <c r="R80" s="553">
        <v>148000</v>
      </c>
      <c r="S80" s="563">
        <v>-6.3E-2</v>
      </c>
      <c r="T80" s="563">
        <v>7.3999999999999996E-2</v>
      </c>
      <c r="U80" s="553" t="s">
        <v>2487</v>
      </c>
      <c r="V80" s="553" t="s">
        <v>2487</v>
      </c>
      <c r="X80" s="562">
        <v>45118</v>
      </c>
      <c r="Y80" s="553">
        <v>3</v>
      </c>
      <c r="Z80" s="553">
        <v>1151.77</v>
      </c>
      <c r="AA80" s="553">
        <v>48400</v>
      </c>
      <c r="AB80" s="563">
        <v>2E-3</v>
      </c>
      <c r="AC80" s="563">
        <v>1.0999999999999999E-2</v>
      </c>
    </row>
    <row r="81" spans="14:29">
      <c r="N81" s="553">
        <v>388</v>
      </c>
      <c r="O81" s="562">
        <v>44664</v>
      </c>
      <c r="P81" s="553">
        <v>4</v>
      </c>
      <c r="Q81" s="553">
        <v>1477.2</v>
      </c>
      <c r="R81" s="553">
        <v>137800</v>
      </c>
      <c r="S81" s="563">
        <v>-0.03</v>
      </c>
      <c r="T81" s="563">
        <v>-6.6000000000000003E-2</v>
      </c>
      <c r="U81" s="553" t="s">
        <v>2487</v>
      </c>
      <c r="V81" s="553" t="s">
        <v>2487</v>
      </c>
      <c r="X81" s="562">
        <v>45117</v>
      </c>
      <c r="Y81" s="553">
        <v>2</v>
      </c>
      <c r="Z81" s="553">
        <v>1149.02</v>
      </c>
      <c r="AA81" s="553">
        <v>47850</v>
      </c>
      <c r="AB81" s="563">
        <v>0.01</v>
      </c>
      <c r="AC81" s="563">
        <v>0.04</v>
      </c>
    </row>
    <row r="82" spans="14:29">
      <c r="N82" s="553">
        <v>392</v>
      </c>
      <c r="O82" s="562">
        <v>44657</v>
      </c>
      <c r="P82" s="553">
        <v>4</v>
      </c>
      <c r="Q82" s="553">
        <v>1522.9</v>
      </c>
      <c r="R82" s="553">
        <v>147500</v>
      </c>
      <c r="S82" s="563">
        <v>2.1999999999999999E-2</v>
      </c>
      <c r="T82" s="563">
        <v>8.9999999999999993E-3</v>
      </c>
      <c r="U82" s="553" t="s">
        <v>2487</v>
      </c>
      <c r="V82" s="553" t="s">
        <v>2487</v>
      </c>
      <c r="X82" s="562">
        <v>45114</v>
      </c>
      <c r="Y82" s="553">
        <v>6</v>
      </c>
      <c r="Z82" s="553">
        <v>1138.07</v>
      </c>
      <c r="AA82" s="553">
        <v>46000</v>
      </c>
      <c r="AB82" s="563">
        <v>1.0999999999999999E-2</v>
      </c>
      <c r="AC82" s="563">
        <v>7.0000000000000007E-2</v>
      </c>
    </row>
    <row r="83" spans="14:29">
      <c r="N83" s="553">
        <v>397</v>
      </c>
      <c r="O83" s="562">
        <v>44650</v>
      </c>
      <c r="P83" s="553">
        <v>4</v>
      </c>
      <c r="Q83" s="553">
        <v>1490.51</v>
      </c>
      <c r="R83" s="553">
        <v>146200</v>
      </c>
      <c r="S83" s="563">
        <v>-8.0000000000000002E-3</v>
      </c>
      <c r="T83" s="563">
        <v>0.11</v>
      </c>
      <c r="U83" s="553" t="s">
        <v>2487</v>
      </c>
      <c r="V83" s="553" t="s">
        <v>2487</v>
      </c>
      <c r="X83" s="562">
        <v>45113</v>
      </c>
      <c r="Y83" s="553">
        <v>5</v>
      </c>
      <c r="Z83" s="553">
        <v>1126.22</v>
      </c>
      <c r="AA83" s="553">
        <v>43000</v>
      </c>
      <c r="AB83" s="563">
        <v>-7.0000000000000001E-3</v>
      </c>
      <c r="AC83" s="563">
        <v>-6.0000000000000001E-3</v>
      </c>
    </row>
    <row r="84" spans="14:29">
      <c r="N84" s="553">
        <v>402</v>
      </c>
      <c r="O84" s="562">
        <v>44643</v>
      </c>
      <c r="P84" s="553">
        <v>4</v>
      </c>
      <c r="Q84" s="553">
        <v>1502.34</v>
      </c>
      <c r="R84" s="553">
        <v>131700</v>
      </c>
      <c r="S84" s="563">
        <v>2.9000000000000001E-2</v>
      </c>
      <c r="T84" s="563">
        <v>0.127</v>
      </c>
      <c r="U84" s="553" t="s">
        <v>2487</v>
      </c>
      <c r="V84" s="553" t="s">
        <v>2487</v>
      </c>
      <c r="X84" s="562">
        <v>45112</v>
      </c>
      <c r="Y84" s="553">
        <v>4</v>
      </c>
      <c r="Z84" s="553">
        <v>1134.6199999999999</v>
      </c>
      <c r="AA84" s="553">
        <v>43250</v>
      </c>
      <c r="AB84" s="563">
        <v>2E-3</v>
      </c>
      <c r="AC84" s="563">
        <v>2.1999999999999999E-2</v>
      </c>
    </row>
    <row r="85" spans="14:29">
      <c r="N85" s="553">
        <v>407</v>
      </c>
      <c r="O85" s="562">
        <v>44636</v>
      </c>
      <c r="P85" s="553">
        <v>4</v>
      </c>
      <c r="Q85" s="553">
        <v>1459.33</v>
      </c>
      <c r="R85" s="553">
        <v>116900</v>
      </c>
      <c r="S85" s="563">
        <v>-0.01</v>
      </c>
      <c r="T85" s="563">
        <v>-8.9999999999999993E-3</v>
      </c>
      <c r="U85" s="553" t="s">
        <v>2487</v>
      </c>
      <c r="V85" s="553" t="s">
        <v>2487</v>
      </c>
      <c r="X85" s="562">
        <v>45111</v>
      </c>
      <c r="Y85" s="553">
        <v>3</v>
      </c>
      <c r="Z85" s="553">
        <v>1132</v>
      </c>
      <c r="AA85" s="553">
        <v>42300</v>
      </c>
      <c r="AB85" s="563">
        <v>6.0000000000000001E-3</v>
      </c>
      <c r="AC85" s="563">
        <v>1.2E-2</v>
      </c>
    </row>
    <row r="86" spans="14:29">
      <c r="N86" s="553">
        <v>412</v>
      </c>
      <c r="O86" s="562">
        <v>44629</v>
      </c>
      <c r="P86" s="553">
        <v>4</v>
      </c>
      <c r="Q86" s="553">
        <v>1473.74</v>
      </c>
      <c r="R86" s="553">
        <v>118000</v>
      </c>
      <c r="S86" s="563">
        <v>-8.0000000000000002E-3</v>
      </c>
      <c r="T86" s="563">
        <v>-4.8000000000000001E-2</v>
      </c>
      <c r="U86" s="553" t="s">
        <v>2487</v>
      </c>
      <c r="V86" s="553" t="s">
        <v>2487</v>
      </c>
      <c r="X86" s="562">
        <v>45110</v>
      </c>
      <c r="Y86" s="553">
        <v>2</v>
      </c>
      <c r="Z86" s="553">
        <v>1125.5</v>
      </c>
      <c r="AA86" s="553">
        <v>41800</v>
      </c>
      <c r="AB86" s="563">
        <v>5.0000000000000001E-3</v>
      </c>
      <c r="AC86" s="563">
        <v>5.0000000000000001E-3</v>
      </c>
    </row>
    <row r="87" spans="14:29">
      <c r="N87" s="553">
        <v>417</v>
      </c>
      <c r="O87" s="562">
        <v>44622</v>
      </c>
      <c r="P87" s="553">
        <v>4</v>
      </c>
      <c r="Q87" s="553">
        <v>1485.52</v>
      </c>
      <c r="R87" s="553">
        <v>123900</v>
      </c>
      <c r="S87" s="563">
        <v>-1.7999999999999999E-2</v>
      </c>
      <c r="T87" s="563">
        <v>0.11</v>
      </c>
      <c r="U87" s="553" t="s">
        <v>2487</v>
      </c>
      <c r="V87" s="553" t="s">
        <v>2487</v>
      </c>
      <c r="X87" s="562">
        <v>45107</v>
      </c>
      <c r="Y87" s="553">
        <v>6</v>
      </c>
      <c r="Z87" s="553">
        <v>1120.18</v>
      </c>
      <c r="AA87" s="553">
        <v>41600</v>
      </c>
      <c r="AB87" s="563">
        <v>-5.0000000000000001E-3</v>
      </c>
      <c r="AC87" s="563">
        <v>0.03</v>
      </c>
    </row>
    <row r="88" spans="14:29">
      <c r="N88" s="553">
        <v>422</v>
      </c>
      <c r="O88" s="562">
        <v>44615</v>
      </c>
      <c r="P88" s="553">
        <v>4</v>
      </c>
      <c r="Q88" s="553">
        <v>1512.3</v>
      </c>
      <c r="R88" s="553">
        <v>111600</v>
      </c>
      <c r="S88" s="563">
        <v>1.4E-2</v>
      </c>
      <c r="T88" s="563">
        <v>-0.03</v>
      </c>
      <c r="U88" s="553" t="s">
        <v>2487</v>
      </c>
      <c r="V88" s="553" t="s">
        <v>2487</v>
      </c>
      <c r="X88" s="562">
        <v>45106</v>
      </c>
      <c r="Y88" s="553">
        <v>5</v>
      </c>
      <c r="Z88" s="553">
        <v>1125.3900000000001</v>
      </c>
      <c r="AA88" s="553">
        <v>40400</v>
      </c>
      <c r="AB88" s="563">
        <v>-1.0999999999999999E-2</v>
      </c>
      <c r="AC88" s="563">
        <v>-4.2999999999999997E-2</v>
      </c>
    </row>
    <row r="89" spans="14:29">
      <c r="N89" s="553">
        <v>427</v>
      </c>
      <c r="O89" s="562">
        <v>44608</v>
      </c>
      <c r="P89" s="553">
        <v>4</v>
      </c>
      <c r="Q89" s="553">
        <v>1492.1</v>
      </c>
      <c r="R89" s="553">
        <v>115000</v>
      </c>
      <c r="S89" s="563">
        <v>-8.9999999999999993E-3</v>
      </c>
      <c r="T89" s="563">
        <v>4.4999999999999998E-2</v>
      </c>
      <c r="U89" s="553" t="s">
        <v>2487</v>
      </c>
      <c r="V89" s="553" t="s">
        <v>2487</v>
      </c>
      <c r="X89" s="562">
        <v>45105</v>
      </c>
      <c r="Y89" s="553">
        <v>4</v>
      </c>
      <c r="Z89" s="553">
        <v>1138.3499999999999</v>
      </c>
      <c r="AA89" s="553">
        <v>42200</v>
      </c>
      <c r="AB89" s="563">
        <v>4.0000000000000001E-3</v>
      </c>
      <c r="AC89" s="563">
        <v>-7.0000000000000001E-3</v>
      </c>
    </row>
    <row r="90" spans="14:29">
      <c r="N90" s="553">
        <v>432</v>
      </c>
      <c r="O90" s="562">
        <v>44601</v>
      </c>
      <c r="P90" s="553">
        <v>4</v>
      </c>
      <c r="Q90" s="553">
        <v>1505.38</v>
      </c>
      <c r="R90" s="553">
        <v>110000</v>
      </c>
      <c r="S90" s="563">
        <v>1.6E-2</v>
      </c>
      <c r="T90" s="563">
        <v>8.3000000000000004E-2</v>
      </c>
      <c r="U90" s="553" t="s">
        <v>2487</v>
      </c>
      <c r="V90" s="553" t="s">
        <v>2487</v>
      </c>
      <c r="X90" s="562">
        <v>45104</v>
      </c>
      <c r="Y90" s="553">
        <v>3</v>
      </c>
      <c r="Z90" s="553">
        <v>1134.33</v>
      </c>
      <c r="AA90" s="553">
        <v>42500</v>
      </c>
      <c r="AB90" s="563">
        <v>2E-3</v>
      </c>
      <c r="AC90" s="563">
        <v>-7.0000000000000001E-3</v>
      </c>
    </row>
    <row r="91" spans="14:29">
      <c r="N91" s="553">
        <v>437</v>
      </c>
      <c r="O91" s="562">
        <v>44587</v>
      </c>
      <c r="P91" s="553">
        <v>4</v>
      </c>
      <c r="Q91" s="553">
        <v>1481.58</v>
      </c>
      <c r="R91" s="553">
        <v>101600</v>
      </c>
      <c r="S91" s="563">
        <v>2.7E-2</v>
      </c>
      <c r="T91" s="563">
        <v>-7.8E-2</v>
      </c>
      <c r="U91" s="553" t="s">
        <v>2487</v>
      </c>
      <c r="V91" s="553" t="s">
        <v>2487</v>
      </c>
      <c r="X91" s="562">
        <v>45103</v>
      </c>
      <c r="Y91" s="553">
        <v>2</v>
      </c>
      <c r="Z91" s="553">
        <v>1132.03</v>
      </c>
      <c r="AA91" s="553">
        <v>42800</v>
      </c>
      <c r="AB91" s="563">
        <v>2E-3</v>
      </c>
      <c r="AC91" s="563">
        <v>4.3999999999999997E-2</v>
      </c>
    </row>
    <row r="92" spans="14:29">
      <c r="N92" s="553">
        <v>442</v>
      </c>
      <c r="O92" s="562">
        <v>44580</v>
      </c>
      <c r="P92" s="553">
        <v>4</v>
      </c>
      <c r="Q92" s="553">
        <v>1442.79</v>
      </c>
      <c r="R92" s="553">
        <v>110200</v>
      </c>
      <c r="S92" s="563">
        <v>-4.4999999999999998E-2</v>
      </c>
      <c r="T92" s="563">
        <v>-8.8999999999999996E-2</v>
      </c>
      <c r="U92" s="553" t="s">
        <v>2487</v>
      </c>
      <c r="V92" s="553" t="s">
        <v>2487</v>
      </c>
      <c r="X92" s="562">
        <v>45100</v>
      </c>
      <c r="Y92" s="553">
        <v>6</v>
      </c>
      <c r="Z92" s="553">
        <v>1129.3800000000001</v>
      </c>
      <c r="AA92" s="553">
        <v>41000</v>
      </c>
      <c r="AB92" s="563">
        <v>4.0000000000000001E-3</v>
      </c>
      <c r="AC92" s="563">
        <v>-1.7000000000000001E-2</v>
      </c>
    </row>
    <row r="93" spans="14:29">
      <c r="N93" s="553">
        <v>447</v>
      </c>
      <c r="O93" s="562">
        <v>44573</v>
      </c>
      <c r="P93" s="553">
        <v>4</v>
      </c>
      <c r="Q93" s="553">
        <v>1510.51</v>
      </c>
      <c r="R93" s="553">
        <v>121000</v>
      </c>
      <c r="S93" s="563">
        <v>-8.0000000000000002E-3</v>
      </c>
      <c r="T93" s="563">
        <v>-3.2000000000000001E-2</v>
      </c>
      <c r="U93" s="553" t="s">
        <v>2487</v>
      </c>
      <c r="V93" s="553" t="s">
        <v>2487</v>
      </c>
      <c r="X93" s="562">
        <v>45099</v>
      </c>
      <c r="Y93" s="553">
        <v>5</v>
      </c>
      <c r="Z93" s="553">
        <v>1125.3</v>
      </c>
      <c r="AA93" s="553">
        <v>41700</v>
      </c>
      <c r="AB93" s="563">
        <v>6.0000000000000001E-3</v>
      </c>
      <c r="AC93" s="563">
        <v>1.7000000000000001E-2</v>
      </c>
    </row>
    <row r="94" spans="14:29">
      <c r="N94" s="553">
        <v>452</v>
      </c>
      <c r="O94" s="562">
        <v>44566</v>
      </c>
      <c r="P94" s="553">
        <v>4</v>
      </c>
      <c r="Q94" s="553">
        <v>1522.5</v>
      </c>
      <c r="R94" s="553">
        <v>125000</v>
      </c>
      <c r="S94" s="563">
        <v>2.5000000000000001E-2</v>
      </c>
      <c r="T94" s="563">
        <v>-1.4999999999999999E-2</v>
      </c>
      <c r="U94" s="553" t="s">
        <v>2487</v>
      </c>
      <c r="V94" s="553" t="s">
        <v>2487</v>
      </c>
      <c r="X94" s="562">
        <v>45098</v>
      </c>
      <c r="Y94" s="553">
        <v>4</v>
      </c>
      <c r="Z94" s="553">
        <v>1118.46</v>
      </c>
      <c r="AA94" s="553">
        <v>41000</v>
      </c>
      <c r="AB94" s="563">
        <v>6.0000000000000001E-3</v>
      </c>
      <c r="AC94" s="563">
        <v>0</v>
      </c>
    </row>
    <row r="95" spans="14:29">
      <c r="N95" s="553">
        <v>456</v>
      </c>
      <c r="O95" s="562">
        <v>44559</v>
      </c>
      <c r="P95" s="553">
        <v>4</v>
      </c>
      <c r="Q95" s="553">
        <v>1485.82</v>
      </c>
      <c r="R95" s="553">
        <v>126900</v>
      </c>
      <c r="S95" s="563">
        <v>6.0000000000000001E-3</v>
      </c>
      <c r="T95" s="563">
        <v>4.9000000000000002E-2</v>
      </c>
      <c r="U95" s="553" t="s">
        <v>2487</v>
      </c>
      <c r="V95" s="553" t="s">
        <v>2487</v>
      </c>
      <c r="X95" s="562">
        <v>45097</v>
      </c>
      <c r="Y95" s="553">
        <v>3</v>
      </c>
      <c r="Z95" s="553">
        <v>1111.72</v>
      </c>
      <c r="AA95" s="553">
        <v>41000</v>
      </c>
      <c r="AB95" s="563">
        <v>6.0000000000000001E-3</v>
      </c>
      <c r="AC95" s="563">
        <v>0.02</v>
      </c>
    </row>
    <row r="96" spans="14:29">
      <c r="N96" s="553">
        <v>461</v>
      </c>
      <c r="O96" s="562">
        <v>44552</v>
      </c>
      <c r="P96" s="553">
        <v>4</v>
      </c>
      <c r="Q96" s="553">
        <v>1477.67</v>
      </c>
      <c r="R96" s="553">
        <v>121000</v>
      </c>
      <c r="S96" s="563">
        <v>1E-3</v>
      </c>
      <c r="T96" s="563">
        <v>-2.1000000000000001E-2</v>
      </c>
      <c r="U96" s="553" t="s">
        <v>2487</v>
      </c>
      <c r="V96" s="553" t="s">
        <v>2487</v>
      </c>
      <c r="X96" s="562">
        <v>45096</v>
      </c>
      <c r="Y96" s="553">
        <v>2</v>
      </c>
      <c r="Z96" s="553">
        <v>1105.4000000000001</v>
      </c>
      <c r="AA96" s="553">
        <v>40200</v>
      </c>
      <c r="AB96" s="563">
        <v>-8.9999999999999993E-3</v>
      </c>
      <c r="AC96" s="563">
        <v>3.1E-2</v>
      </c>
    </row>
    <row r="97" spans="14:29">
      <c r="N97" s="553">
        <v>466</v>
      </c>
      <c r="O97" s="562">
        <v>44545</v>
      </c>
      <c r="P97" s="553">
        <v>4</v>
      </c>
      <c r="Q97" s="553">
        <v>1475.5</v>
      </c>
      <c r="R97" s="553">
        <v>123600</v>
      </c>
      <c r="S97" s="563">
        <v>1.6E-2</v>
      </c>
      <c r="T97" s="563">
        <v>-0.02</v>
      </c>
      <c r="U97" s="553" t="s">
        <v>2487</v>
      </c>
      <c r="V97" s="553" t="s">
        <v>2487</v>
      </c>
      <c r="X97" s="562">
        <v>45093</v>
      </c>
      <c r="Y97" s="553">
        <v>6</v>
      </c>
      <c r="Z97" s="553">
        <v>1115.22</v>
      </c>
      <c r="AA97" s="553">
        <v>39000</v>
      </c>
      <c r="AB97" s="563">
        <v>-2E-3</v>
      </c>
      <c r="AC97" s="563">
        <v>-1.2999999999999999E-2</v>
      </c>
    </row>
    <row r="98" spans="14:29">
      <c r="N98" s="553">
        <v>471</v>
      </c>
      <c r="O98" s="562">
        <v>44538</v>
      </c>
      <c r="P98" s="553">
        <v>4</v>
      </c>
      <c r="Q98" s="553">
        <v>1452.87</v>
      </c>
      <c r="R98" s="553">
        <v>126100</v>
      </c>
      <c r="S98" s="563">
        <v>-2.1999999999999999E-2</v>
      </c>
      <c r="T98" s="563">
        <v>-0.03</v>
      </c>
      <c r="U98" s="553" t="s">
        <v>2487</v>
      </c>
      <c r="V98" s="553" t="s">
        <v>2487</v>
      </c>
      <c r="X98" s="562">
        <v>45092</v>
      </c>
      <c r="Y98" s="553">
        <v>5</v>
      </c>
      <c r="Z98" s="553">
        <v>1116.97</v>
      </c>
      <c r="AA98" s="553">
        <v>39500</v>
      </c>
      <c r="AB98" s="563">
        <v>0</v>
      </c>
      <c r="AC98" s="563">
        <v>-0.01</v>
      </c>
    </row>
    <row r="99" spans="14:29">
      <c r="N99" s="553">
        <v>476</v>
      </c>
      <c r="O99" s="562">
        <v>44531</v>
      </c>
      <c r="P99" s="553">
        <v>4</v>
      </c>
      <c r="Q99" s="553">
        <v>1485.19</v>
      </c>
      <c r="R99" s="553">
        <v>130000</v>
      </c>
      <c r="S99" s="563">
        <v>-2E-3</v>
      </c>
      <c r="T99" s="563">
        <v>-5.2999999999999999E-2</v>
      </c>
      <c r="U99" s="553" t="s">
        <v>2487</v>
      </c>
      <c r="V99" s="553" t="s">
        <v>2487</v>
      </c>
      <c r="X99" s="562">
        <v>45091</v>
      </c>
      <c r="Y99" s="553">
        <v>4</v>
      </c>
      <c r="Z99" s="553">
        <v>1117.42</v>
      </c>
      <c r="AA99" s="553">
        <v>39900</v>
      </c>
      <c r="AB99" s="563">
        <v>-4.0000000000000001E-3</v>
      </c>
      <c r="AC99" s="563">
        <v>-0.02</v>
      </c>
    </row>
    <row r="100" spans="14:29">
      <c r="N100" s="553">
        <v>481</v>
      </c>
      <c r="O100" s="562">
        <v>44524</v>
      </c>
      <c r="P100" s="553">
        <v>4</v>
      </c>
      <c r="Q100" s="553">
        <v>1488.87</v>
      </c>
      <c r="R100" s="553">
        <v>137300</v>
      </c>
      <c r="S100" s="563">
        <v>8.9999999999999993E-3</v>
      </c>
      <c r="T100" s="563">
        <v>9.9000000000000005E-2</v>
      </c>
      <c r="U100" s="553" t="s">
        <v>2487</v>
      </c>
      <c r="V100" s="553" t="s">
        <v>2487</v>
      </c>
      <c r="X100" s="562">
        <v>45090</v>
      </c>
      <c r="Y100" s="553">
        <v>3</v>
      </c>
      <c r="Z100" s="553">
        <v>1122.46</v>
      </c>
      <c r="AA100" s="553">
        <v>40700</v>
      </c>
      <c r="AB100" s="563">
        <v>6.0000000000000001E-3</v>
      </c>
      <c r="AC100" s="563">
        <v>-7.0000000000000001E-3</v>
      </c>
    </row>
    <row r="101" spans="14:29">
      <c r="N101" s="553">
        <v>486</v>
      </c>
      <c r="O101" s="562">
        <v>44517</v>
      </c>
      <c r="P101" s="553">
        <v>4</v>
      </c>
      <c r="Q101" s="553">
        <v>1475.85</v>
      </c>
      <c r="R101" s="553">
        <v>124900</v>
      </c>
      <c r="S101" s="563">
        <v>7.0000000000000001E-3</v>
      </c>
      <c r="T101" s="563">
        <v>0.13100000000000001</v>
      </c>
      <c r="U101" s="553" t="s">
        <v>2487</v>
      </c>
      <c r="V101" s="553" t="s">
        <v>2487</v>
      </c>
      <c r="X101" s="562">
        <v>45089</v>
      </c>
      <c r="Y101" s="553">
        <v>2</v>
      </c>
      <c r="Z101" s="553">
        <v>1116.02</v>
      </c>
      <c r="AA101" s="553">
        <v>41000</v>
      </c>
      <c r="AB101" s="563">
        <v>8.0000000000000002E-3</v>
      </c>
      <c r="AC101" s="563">
        <v>6.9000000000000006E-2</v>
      </c>
    </row>
    <row r="102" spans="14:29">
      <c r="N102" s="553">
        <v>491</v>
      </c>
      <c r="O102" s="562">
        <v>44510</v>
      </c>
      <c r="P102" s="553">
        <v>4</v>
      </c>
      <c r="Q102" s="553">
        <v>1465.02</v>
      </c>
      <c r="R102" s="553">
        <v>110400</v>
      </c>
      <c r="S102" s="563">
        <v>1.4E-2</v>
      </c>
      <c r="T102" s="563">
        <v>4.0000000000000001E-3</v>
      </c>
      <c r="U102" s="553" t="s">
        <v>2487</v>
      </c>
      <c r="V102" s="553" t="s">
        <v>2487</v>
      </c>
      <c r="X102" s="562">
        <v>45086</v>
      </c>
      <c r="Y102" s="553">
        <v>6</v>
      </c>
      <c r="Z102" s="553">
        <v>1107.53</v>
      </c>
      <c r="AA102" s="553">
        <v>38350</v>
      </c>
      <c r="AB102" s="563">
        <v>6.0000000000000001E-3</v>
      </c>
      <c r="AC102" s="563">
        <v>3.4000000000000002E-2</v>
      </c>
    </row>
    <row r="103" spans="14:29">
      <c r="N103" s="553">
        <v>496</v>
      </c>
      <c r="O103" s="562">
        <v>44503</v>
      </c>
      <c r="P103" s="553">
        <v>4</v>
      </c>
      <c r="Q103" s="553">
        <v>1444.3</v>
      </c>
      <c r="R103" s="553">
        <v>110000</v>
      </c>
      <c r="S103" s="563">
        <v>1.4999999999999999E-2</v>
      </c>
      <c r="T103" s="563">
        <v>-5.5E-2</v>
      </c>
      <c r="U103" s="553" t="s">
        <v>2487</v>
      </c>
      <c r="V103" s="553" t="s">
        <v>2487</v>
      </c>
      <c r="X103" s="562">
        <v>45085</v>
      </c>
      <c r="Y103" s="553">
        <v>5</v>
      </c>
      <c r="Z103" s="553">
        <v>1101.32</v>
      </c>
      <c r="AA103" s="553">
        <v>37100</v>
      </c>
      <c r="AB103" s="563">
        <v>-7.0000000000000001E-3</v>
      </c>
      <c r="AC103" s="563">
        <v>-2.4E-2</v>
      </c>
    </row>
    <row r="104" spans="14:29">
      <c r="N104" s="553">
        <v>501</v>
      </c>
      <c r="O104" s="562">
        <v>44496</v>
      </c>
      <c r="P104" s="553">
        <v>4</v>
      </c>
      <c r="Q104" s="553">
        <v>1423.02</v>
      </c>
      <c r="R104" s="553">
        <v>116400</v>
      </c>
      <c r="S104" s="563">
        <v>2.1000000000000001E-2</v>
      </c>
      <c r="T104" s="563">
        <v>3.2000000000000001E-2</v>
      </c>
      <c r="U104" s="553" t="s">
        <v>2487</v>
      </c>
      <c r="V104" s="553" t="s">
        <v>2487</v>
      </c>
      <c r="X104" s="562">
        <v>45084</v>
      </c>
      <c r="Y104" s="553">
        <v>4</v>
      </c>
      <c r="Z104" s="553">
        <v>1109.54</v>
      </c>
      <c r="AA104" s="553">
        <v>38000</v>
      </c>
      <c r="AB104" s="563">
        <v>1E-3</v>
      </c>
      <c r="AC104" s="563">
        <v>1.9E-2</v>
      </c>
    </row>
    <row r="105" spans="14:29">
      <c r="N105" s="553">
        <v>506</v>
      </c>
      <c r="O105" s="562">
        <v>44489</v>
      </c>
      <c r="P105" s="553">
        <v>4</v>
      </c>
      <c r="Q105" s="553">
        <v>1393.8</v>
      </c>
      <c r="R105" s="553">
        <v>112800</v>
      </c>
      <c r="S105" s="563">
        <v>1E-3</v>
      </c>
      <c r="T105" s="563">
        <v>-0.01</v>
      </c>
      <c r="U105" s="553" t="s">
        <v>2487</v>
      </c>
      <c r="V105" s="553" t="s">
        <v>2487</v>
      </c>
      <c r="X105" s="562">
        <v>45083</v>
      </c>
      <c r="Y105" s="553">
        <v>3</v>
      </c>
      <c r="Z105" s="553">
        <v>1108.31</v>
      </c>
      <c r="AA105" s="553">
        <v>37300</v>
      </c>
      <c r="AB105" s="563">
        <v>0.01</v>
      </c>
      <c r="AC105" s="563">
        <v>-4.0000000000000001E-3</v>
      </c>
    </row>
    <row r="106" spans="14:29">
      <c r="N106" s="553">
        <v>511</v>
      </c>
      <c r="O106" s="562">
        <v>44482</v>
      </c>
      <c r="P106" s="553">
        <v>4</v>
      </c>
      <c r="Q106" s="553">
        <v>1391.91</v>
      </c>
      <c r="R106" s="553">
        <v>113900</v>
      </c>
      <c r="S106" s="563">
        <v>2.1000000000000001E-2</v>
      </c>
      <c r="T106" s="563">
        <v>-3.4000000000000002E-2</v>
      </c>
      <c r="U106" s="553" t="s">
        <v>2487</v>
      </c>
      <c r="V106" s="553" t="s">
        <v>2487</v>
      </c>
      <c r="X106" s="562">
        <v>45082</v>
      </c>
      <c r="Y106" s="553">
        <v>2</v>
      </c>
      <c r="Z106" s="553">
        <v>1097.82</v>
      </c>
      <c r="AA106" s="553">
        <v>37450</v>
      </c>
      <c r="AB106" s="563">
        <v>6.0000000000000001E-3</v>
      </c>
      <c r="AC106" s="563">
        <v>3.0000000000000001E-3</v>
      </c>
    </row>
    <row r="107" spans="14:29">
      <c r="N107" s="553">
        <v>516</v>
      </c>
      <c r="O107" s="562">
        <v>44475</v>
      </c>
      <c r="P107" s="553">
        <v>4</v>
      </c>
      <c r="Q107" s="553">
        <v>1362.82</v>
      </c>
      <c r="R107" s="553">
        <v>117900</v>
      </c>
      <c r="S107" s="563">
        <v>1.7999999999999999E-2</v>
      </c>
      <c r="T107" s="563">
        <v>4.2000000000000003E-2</v>
      </c>
      <c r="U107" s="553" t="s">
        <v>2487</v>
      </c>
      <c r="V107" s="553" t="s">
        <v>2487</v>
      </c>
      <c r="X107" s="562">
        <v>45079</v>
      </c>
      <c r="Y107" s="553">
        <v>6</v>
      </c>
      <c r="Z107" s="553">
        <v>1090.8399999999999</v>
      </c>
      <c r="AA107" s="553">
        <v>37350</v>
      </c>
      <c r="AB107" s="563">
        <v>1.2E-2</v>
      </c>
      <c r="AC107" s="563">
        <v>3.2000000000000001E-2</v>
      </c>
    </row>
    <row r="108" spans="14:29">
      <c r="N108" s="553">
        <v>521</v>
      </c>
      <c r="O108" s="562">
        <v>44468</v>
      </c>
      <c r="P108" s="553">
        <v>4</v>
      </c>
      <c r="Q108" s="553">
        <v>1339.21</v>
      </c>
      <c r="R108" s="553">
        <v>113200</v>
      </c>
      <c r="S108" s="563">
        <v>-8.0000000000000002E-3</v>
      </c>
      <c r="T108" s="563">
        <v>-4.1000000000000002E-2</v>
      </c>
      <c r="U108" s="553" t="s">
        <v>2487</v>
      </c>
      <c r="V108" s="553" t="s">
        <v>2487</v>
      </c>
      <c r="X108" s="562">
        <v>45078</v>
      </c>
      <c r="Y108" s="553">
        <v>5</v>
      </c>
      <c r="Z108" s="553">
        <v>1078.3900000000001</v>
      </c>
      <c r="AA108" s="553">
        <v>36200</v>
      </c>
      <c r="AB108" s="563">
        <v>3.0000000000000001E-3</v>
      </c>
      <c r="AC108" s="563">
        <v>2.3E-2</v>
      </c>
    </row>
    <row r="109" spans="14:29">
      <c r="N109" s="553">
        <v>526</v>
      </c>
      <c r="O109" s="562">
        <v>44461</v>
      </c>
      <c r="P109" s="553">
        <v>4</v>
      </c>
      <c r="Q109" s="553">
        <v>1350.68</v>
      </c>
      <c r="R109" s="553">
        <v>118000</v>
      </c>
      <c r="S109" s="563">
        <v>4.0000000000000001E-3</v>
      </c>
      <c r="T109" s="563">
        <v>4.0000000000000001E-3</v>
      </c>
      <c r="U109" s="553" t="s">
        <v>2487</v>
      </c>
      <c r="V109" s="553" t="s">
        <v>2487</v>
      </c>
      <c r="X109" s="562">
        <v>45077</v>
      </c>
      <c r="Y109" s="553">
        <v>4</v>
      </c>
      <c r="Z109" s="553">
        <v>1075.17</v>
      </c>
      <c r="AA109" s="553">
        <v>35400</v>
      </c>
      <c r="AB109" s="563">
        <v>-3.0000000000000001E-3</v>
      </c>
      <c r="AC109" s="563">
        <v>-7.0000000000000001E-3</v>
      </c>
    </row>
    <row r="110" spans="14:29">
      <c r="N110" s="553">
        <v>531</v>
      </c>
      <c r="O110" s="562">
        <v>44454</v>
      </c>
      <c r="P110" s="553">
        <v>4</v>
      </c>
      <c r="Q110" s="553">
        <v>1345.83</v>
      </c>
      <c r="R110" s="553">
        <v>117500</v>
      </c>
      <c r="S110" s="563">
        <v>8.9999999999999993E-3</v>
      </c>
      <c r="T110" s="563">
        <v>0.26300000000000001</v>
      </c>
      <c r="U110" s="553" t="s">
        <v>2487</v>
      </c>
      <c r="V110" s="553" t="s">
        <v>2487</v>
      </c>
      <c r="X110" s="562">
        <v>45076</v>
      </c>
      <c r="Y110" s="553">
        <v>3</v>
      </c>
      <c r="Z110" s="553">
        <v>1078.05</v>
      </c>
      <c r="AA110" s="553">
        <v>35650</v>
      </c>
      <c r="AB110" s="563">
        <v>3.0000000000000001E-3</v>
      </c>
      <c r="AC110" s="563">
        <v>4.4999999999999998E-2</v>
      </c>
    </row>
    <row r="111" spans="14:29">
      <c r="N111" s="553">
        <v>536</v>
      </c>
      <c r="O111" s="562">
        <v>44447</v>
      </c>
      <c r="P111" s="553">
        <v>4</v>
      </c>
      <c r="Q111" s="553">
        <v>1333.61</v>
      </c>
      <c r="R111" s="553">
        <v>93000</v>
      </c>
      <c r="S111" s="563">
        <v>-1E-3</v>
      </c>
      <c r="T111" s="563">
        <v>0.09</v>
      </c>
      <c r="U111" s="553" t="s">
        <v>2487</v>
      </c>
      <c r="V111" s="553" t="s">
        <v>2487</v>
      </c>
      <c r="X111" s="562">
        <v>45075</v>
      </c>
      <c r="Y111" s="553">
        <v>2</v>
      </c>
      <c r="Z111" s="553">
        <v>1074.98</v>
      </c>
      <c r="AA111" s="553">
        <v>34100</v>
      </c>
      <c r="AB111" s="563">
        <v>1.0999999999999999E-2</v>
      </c>
      <c r="AC111" s="563">
        <v>0.03</v>
      </c>
    </row>
    <row r="112" spans="14:29">
      <c r="N112" s="553">
        <v>539</v>
      </c>
      <c r="O112" s="562">
        <v>44440</v>
      </c>
      <c r="P112" s="553">
        <v>4</v>
      </c>
      <c r="Q112" s="553">
        <v>1334.65</v>
      </c>
      <c r="R112" s="553">
        <v>85300</v>
      </c>
      <c r="S112" s="563">
        <v>1.9E-2</v>
      </c>
      <c r="T112" s="563">
        <v>4.0000000000000001E-3</v>
      </c>
      <c r="U112" s="553" t="s">
        <v>2487</v>
      </c>
      <c r="V112" s="553" t="s">
        <v>2487</v>
      </c>
      <c r="X112" s="562">
        <v>45072</v>
      </c>
      <c r="Y112" s="553">
        <v>6</v>
      </c>
      <c r="Z112" s="553">
        <v>1063.76</v>
      </c>
      <c r="AA112" s="553">
        <v>33100</v>
      </c>
      <c r="AB112" s="563">
        <v>-1E-3</v>
      </c>
      <c r="AC112" s="563">
        <v>8.0000000000000002E-3</v>
      </c>
    </row>
    <row r="113" spans="14:29">
      <c r="N113" s="553">
        <v>544</v>
      </c>
      <c r="O113" s="562">
        <v>44433</v>
      </c>
      <c r="P113" s="553">
        <v>4</v>
      </c>
      <c r="Q113" s="553">
        <v>1309.55</v>
      </c>
      <c r="R113" s="553">
        <v>85000</v>
      </c>
      <c r="S113" s="563">
        <v>-3.7999999999999999E-2</v>
      </c>
      <c r="T113" s="563">
        <v>-0.48199999999999998</v>
      </c>
      <c r="U113" s="553" t="s">
        <v>2487</v>
      </c>
      <c r="V113" s="553" t="s">
        <v>2487</v>
      </c>
      <c r="X113" s="562">
        <v>45071</v>
      </c>
      <c r="Y113" s="553">
        <v>5</v>
      </c>
      <c r="Z113" s="553">
        <v>1064.6300000000001</v>
      </c>
      <c r="AA113" s="553">
        <v>32850</v>
      </c>
      <c r="AB113" s="563">
        <v>3.0000000000000001E-3</v>
      </c>
      <c r="AC113" s="563">
        <v>-1.4E-2</v>
      </c>
    </row>
    <row r="114" spans="14:29">
      <c r="N114" s="553">
        <v>549</v>
      </c>
      <c r="O114" s="562">
        <v>44426</v>
      </c>
      <c r="P114" s="553">
        <v>4</v>
      </c>
      <c r="Q114" s="553">
        <v>1360.94</v>
      </c>
      <c r="R114" s="553">
        <v>164000</v>
      </c>
      <c r="S114" s="563">
        <v>2E-3</v>
      </c>
      <c r="T114" s="563">
        <v>0</v>
      </c>
      <c r="U114" s="553" t="s">
        <v>2487</v>
      </c>
      <c r="V114" s="553" t="s">
        <v>2487</v>
      </c>
      <c r="X114" s="562">
        <v>45070</v>
      </c>
      <c r="Y114" s="553">
        <v>4</v>
      </c>
      <c r="Z114" s="553">
        <v>1061.79</v>
      </c>
      <c r="AA114" s="553">
        <v>33300</v>
      </c>
      <c r="AB114" s="563">
        <v>-4.0000000000000001E-3</v>
      </c>
      <c r="AC114" s="563">
        <v>-1.4999999999999999E-2</v>
      </c>
    </row>
    <row r="115" spans="14:29">
      <c r="N115" s="553">
        <v>554</v>
      </c>
      <c r="O115" s="562">
        <v>44419</v>
      </c>
      <c r="P115" s="553">
        <v>4</v>
      </c>
      <c r="Q115" s="553">
        <v>1357.79</v>
      </c>
      <c r="R115" s="553">
        <v>164000</v>
      </c>
      <c r="S115" s="563">
        <v>1.7000000000000001E-2</v>
      </c>
      <c r="T115" s="563">
        <v>4.1000000000000002E-2</v>
      </c>
      <c r="U115" s="553" t="s">
        <v>2487</v>
      </c>
      <c r="V115" s="553" t="s">
        <v>2487</v>
      </c>
      <c r="X115" s="562">
        <v>45069</v>
      </c>
      <c r="Y115" s="553">
        <v>3</v>
      </c>
      <c r="Z115" s="553">
        <v>1065.8499999999999</v>
      </c>
      <c r="AA115" s="553">
        <v>33800</v>
      </c>
      <c r="AB115" s="563">
        <v>-4.0000000000000001E-3</v>
      </c>
      <c r="AC115" s="563">
        <v>-0.01</v>
      </c>
    </row>
    <row r="116" spans="14:29">
      <c r="N116" s="553">
        <v>559</v>
      </c>
      <c r="O116" s="562">
        <v>44412</v>
      </c>
      <c r="P116" s="553">
        <v>4</v>
      </c>
      <c r="Q116" s="553">
        <v>1334.74</v>
      </c>
      <c r="R116" s="553">
        <v>157600</v>
      </c>
      <c r="S116" s="563">
        <v>4.4999999999999998E-2</v>
      </c>
      <c r="T116" s="563">
        <v>0.122</v>
      </c>
      <c r="U116" s="553" t="s">
        <v>2487</v>
      </c>
      <c r="V116" s="553" t="s">
        <v>2487</v>
      </c>
      <c r="X116" s="562">
        <v>45068</v>
      </c>
      <c r="Y116" s="553">
        <v>2</v>
      </c>
      <c r="Z116" s="553">
        <v>1070.6400000000001</v>
      </c>
      <c r="AA116" s="553">
        <v>34150</v>
      </c>
      <c r="AB116" s="563">
        <v>3.0000000000000001E-3</v>
      </c>
      <c r="AC116" s="563">
        <v>3.3000000000000002E-2</v>
      </c>
    </row>
    <row r="117" spans="14:29">
      <c r="N117" s="553">
        <v>564</v>
      </c>
      <c r="O117" s="562">
        <v>44405</v>
      </c>
      <c r="P117" s="553">
        <v>4</v>
      </c>
      <c r="Q117" s="553">
        <v>1277.07</v>
      </c>
      <c r="R117" s="553">
        <v>140500</v>
      </c>
      <c r="S117" s="563">
        <v>5.0000000000000001E-3</v>
      </c>
      <c r="T117" s="563">
        <v>4.3999999999999997E-2</v>
      </c>
      <c r="U117" s="553" t="s">
        <v>2487</v>
      </c>
      <c r="V117" s="553" t="s">
        <v>2487</v>
      </c>
      <c r="X117" s="562">
        <v>45065</v>
      </c>
      <c r="Y117" s="553">
        <v>6</v>
      </c>
      <c r="Z117" s="553">
        <v>1067.07</v>
      </c>
      <c r="AA117" s="553">
        <v>33050</v>
      </c>
      <c r="AB117" s="563">
        <v>-1E-3</v>
      </c>
      <c r="AC117" s="563">
        <v>2E-3</v>
      </c>
    </row>
    <row r="118" spans="14:29">
      <c r="N118" s="553">
        <v>569</v>
      </c>
      <c r="O118" s="562">
        <v>44398</v>
      </c>
      <c r="P118" s="553">
        <v>4</v>
      </c>
      <c r="Q118" s="553">
        <v>1270.79</v>
      </c>
      <c r="R118" s="553">
        <v>134600</v>
      </c>
      <c r="S118" s="563">
        <v>-7.0000000000000001E-3</v>
      </c>
      <c r="T118" s="563">
        <v>3.9E-2</v>
      </c>
      <c r="U118" s="553" t="s">
        <v>2487</v>
      </c>
      <c r="V118" s="553" t="s">
        <v>2487</v>
      </c>
      <c r="X118" s="562">
        <v>45064</v>
      </c>
      <c r="Y118" s="553">
        <v>5</v>
      </c>
      <c r="Z118" s="553">
        <v>1068.31</v>
      </c>
      <c r="AA118" s="553">
        <v>33000</v>
      </c>
      <c r="AB118" s="563">
        <v>7.0000000000000001E-3</v>
      </c>
      <c r="AC118" s="563">
        <v>3.0000000000000001E-3</v>
      </c>
    </row>
    <row r="119" spans="14:29">
      <c r="N119" s="553">
        <v>574</v>
      </c>
      <c r="O119" s="562">
        <v>44391</v>
      </c>
      <c r="P119" s="553">
        <v>4</v>
      </c>
      <c r="Q119" s="553">
        <v>1279.9100000000001</v>
      </c>
      <c r="R119" s="553">
        <v>129500</v>
      </c>
      <c r="S119" s="563">
        <v>-7.8E-2</v>
      </c>
      <c r="T119" s="563">
        <v>-3.6999999999999998E-2</v>
      </c>
      <c r="U119" s="553" t="s">
        <v>2487</v>
      </c>
      <c r="V119" s="553" t="s">
        <v>2487</v>
      </c>
      <c r="X119" s="562">
        <v>45063</v>
      </c>
      <c r="Y119" s="553">
        <v>4</v>
      </c>
      <c r="Z119" s="553">
        <v>1060.44</v>
      </c>
      <c r="AA119" s="553">
        <v>32900</v>
      </c>
      <c r="AB119" s="563">
        <v>-5.0000000000000001E-3</v>
      </c>
      <c r="AC119" s="563">
        <v>0</v>
      </c>
    </row>
    <row r="120" spans="14:29">
      <c r="N120" s="553">
        <v>579</v>
      </c>
      <c r="O120" s="562">
        <v>44384</v>
      </c>
      <c r="P120" s="553">
        <v>4</v>
      </c>
      <c r="Q120" s="553">
        <v>1388.55</v>
      </c>
      <c r="R120" s="553">
        <v>134500</v>
      </c>
      <c r="S120" s="563">
        <v>-1.4E-2</v>
      </c>
      <c r="T120" s="563">
        <v>3.7999999999999999E-2</v>
      </c>
      <c r="U120" s="553" t="s">
        <v>2487</v>
      </c>
      <c r="V120" s="553" t="s">
        <v>2487</v>
      </c>
      <c r="X120" s="562">
        <v>45062</v>
      </c>
      <c r="Y120" s="553">
        <v>3</v>
      </c>
      <c r="Z120" s="553">
        <v>1065.9100000000001</v>
      </c>
      <c r="AA120" s="553">
        <v>32900</v>
      </c>
      <c r="AB120" s="563">
        <v>0</v>
      </c>
      <c r="AC120" s="563">
        <v>-1.7999999999999999E-2</v>
      </c>
    </row>
    <row r="121" spans="14:29">
      <c r="N121" s="553">
        <v>584</v>
      </c>
      <c r="O121" s="562">
        <v>44377</v>
      </c>
      <c r="P121" s="553">
        <v>4</v>
      </c>
      <c r="Q121" s="553">
        <v>1408.55</v>
      </c>
      <c r="R121" s="553">
        <v>129600</v>
      </c>
      <c r="S121" s="563">
        <v>2.3E-2</v>
      </c>
      <c r="T121" s="563">
        <v>0.08</v>
      </c>
      <c r="U121" s="553" t="s">
        <v>2487</v>
      </c>
      <c r="V121" s="553" t="s">
        <v>2487</v>
      </c>
      <c r="X121" s="562">
        <v>45061</v>
      </c>
      <c r="Y121" s="553">
        <v>2</v>
      </c>
      <c r="Z121" s="553">
        <v>1065.71</v>
      </c>
      <c r="AA121" s="553">
        <v>33500</v>
      </c>
      <c r="AB121" s="563">
        <v>-1E-3</v>
      </c>
      <c r="AC121" s="563">
        <v>-1.6E-2</v>
      </c>
    </row>
    <row r="122" spans="14:29">
      <c r="N122" s="553">
        <v>589</v>
      </c>
      <c r="O122" s="562">
        <v>44370</v>
      </c>
      <c r="P122" s="553">
        <v>4</v>
      </c>
      <c r="Q122" s="553">
        <v>1376.87</v>
      </c>
      <c r="R122" s="553">
        <v>120000</v>
      </c>
      <c r="S122" s="563">
        <v>1.4999999999999999E-2</v>
      </c>
      <c r="T122" s="563">
        <v>-4.8000000000000001E-2</v>
      </c>
      <c r="U122" s="553" t="s">
        <v>2487</v>
      </c>
      <c r="V122" s="553" t="s">
        <v>2487</v>
      </c>
      <c r="X122" s="562">
        <v>45058</v>
      </c>
      <c r="Y122" s="553">
        <v>6</v>
      </c>
      <c r="Z122" s="553">
        <v>1066.9000000000001</v>
      </c>
      <c r="AA122" s="553">
        <v>34050</v>
      </c>
      <c r="AB122" s="563">
        <v>8.9999999999999993E-3</v>
      </c>
      <c r="AC122" s="563">
        <v>-7.0000000000000001E-3</v>
      </c>
    </row>
    <row r="123" spans="14:29">
      <c r="N123" s="553">
        <v>594</v>
      </c>
      <c r="O123" s="562">
        <v>44363</v>
      </c>
      <c r="P123" s="553">
        <v>4</v>
      </c>
      <c r="Q123" s="553">
        <v>1356.52</v>
      </c>
      <c r="R123" s="553">
        <v>126000</v>
      </c>
      <c r="S123" s="563">
        <v>1.7999999999999999E-2</v>
      </c>
      <c r="T123" s="563">
        <v>0.104</v>
      </c>
      <c r="U123" s="553" t="s">
        <v>2487</v>
      </c>
      <c r="V123" s="553" t="s">
        <v>2487</v>
      </c>
      <c r="X123" s="562">
        <v>45057</v>
      </c>
      <c r="Y123" s="553">
        <v>5</v>
      </c>
      <c r="Z123" s="553">
        <v>1057.1199999999999</v>
      </c>
      <c r="AA123" s="553">
        <v>34300</v>
      </c>
      <c r="AB123" s="563">
        <v>-1E-3</v>
      </c>
      <c r="AC123" s="563">
        <v>-6.0000000000000001E-3</v>
      </c>
    </row>
    <row r="124" spans="14:29">
      <c r="N124" s="553">
        <v>599</v>
      </c>
      <c r="O124" s="562">
        <v>44356</v>
      </c>
      <c r="P124" s="553">
        <v>4</v>
      </c>
      <c r="Q124" s="553">
        <v>1332.9</v>
      </c>
      <c r="R124" s="553">
        <v>114100</v>
      </c>
      <c r="S124" s="563">
        <v>-6.0000000000000001E-3</v>
      </c>
      <c r="T124" s="563">
        <v>-7.5999999999999998E-2</v>
      </c>
      <c r="U124" s="553" t="s">
        <v>2487</v>
      </c>
      <c r="V124" s="553" t="s">
        <v>2487</v>
      </c>
      <c r="X124" s="562">
        <v>45056</v>
      </c>
      <c r="Y124" s="553">
        <v>4</v>
      </c>
      <c r="Z124" s="553">
        <v>1058.26</v>
      </c>
      <c r="AA124" s="553">
        <v>34500</v>
      </c>
      <c r="AB124" s="563">
        <v>4.0000000000000001E-3</v>
      </c>
      <c r="AC124" s="563">
        <v>3.4000000000000002E-2</v>
      </c>
    </row>
    <row r="125" spans="14:29">
      <c r="N125" s="553">
        <v>604</v>
      </c>
      <c r="O125" s="562">
        <v>44349</v>
      </c>
      <c r="P125" s="553">
        <v>4</v>
      </c>
      <c r="Q125" s="553">
        <v>1340.78</v>
      </c>
      <c r="R125" s="553">
        <v>123500</v>
      </c>
      <c r="S125" s="563">
        <v>1.7999999999999999E-2</v>
      </c>
      <c r="T125" s="563">
        <v>-0.104</v>
      </c>
      <c r="U125" s="553" t="s">
        <v>2487</v>
      </c>
      <c r="V125" s="553" t="s">
        <v>2487</v>
      </c>
      <c r="X125" s="562">
        <v>45055</v>
      </c>
      <c r="Y125" s="553">
        <v>3</v>
      </c>
      <c r="Z125" s="553">
        <v>1053.77</v>
      </c>
      <c r="AA125" s="553">
        <v>33350</v>
      </c>
      <c r="AB125" s="563">
        <v>0</v>
      </c>
      <c r="AC125" s="563">
        <v>1.4E-2</v>
      </c>
    </row>
    <row r="126" spans="14:29">
      <c r="N126" s="553">
        <v>609</v>
      </c>
      <c r="O126" s="562">
        <v>44342</v>
      </c>
      <c r="P126" s="553">
        <v>4</v>
      </c>
      <c r="Q126" s="553">
        <v>1316.7</v>
      </c>
      <c r="R126" s="553">
        <v>137900</v>
      </c>
      <c r="S126" s="563">
        <v>4.2999999999999997E-2</v>
      </c>
      <c r="T126" s="563">
        <v>1.7999999999999999E-2</v>
      </c>
      <c r="U126" s="553" t="s">
        <v>2487</v>
      </c>
      <c r="V126" s="553" t="s">
        <v>2487</v>
      </c>
      <c r="X126" s="562">
        <v>45054</v>
      </c>
      <c r="Y126" s="553">
        <v>2</v>
      </c>
      <c r="Z126" s="553">
        <v>1053.44</v>
      </c>
      <c r="AA126" s="553">
        <v>32900</v>
      </c>
      <c r="AB126" s="563">
        <v>1.2999999999999999E-2</v>
      </c>
      <c r="AC126" s="563">
        <v>-1.9E-2</v>
      </c>
    </row>
    <row r="127" spans="14:29">
      <c r="N127" s="553">
        <v>614</v>
      </c>
      <c r="O127" s="562">
        <v>44335</v>
      </c>
      <c r="P127" s="553">
        <v>4</v>
      </c>
      <c r="Q127" s="553">
        <v>1262.49</v>
      </c>
      <c r="R127" s="553">
        <v>135500</v>
      </c>
      <c r="S127" s="563">
        <v>-5.0000000000000001E-3</v>
      </c>
      <c r="T127" s="563">
        <v>7.8E-2</v>
      </c>
      <c r="U127" s="553" t="s">
        <v>2487</v>
      </c>
      <c r="V127" s="553" t="s">
        <v>2487</v>
      </c>
      <c r="X127" s="562">
        <v>45051</v>
      </c>
      <c r="Y127" s="553">
        <v>6</v>
      </c>
      <c r="Z127" s="553">
        <v>1040.31</v>
      </c>
      <c r="AA127" s="553">
        <v>33550</v>
      </c>
      <c r="AB127" s="563">
        <v>0</v>
      </c>
      <c r="AC127" s="563">
        <v>0</v>
      </c>
    </row>
    <row r="128" spans="14:29">
      <c r="N128" s="553">
        <v>619</v>
      </c>
      <c r="O128" s="562">
        <v>44328</v>
      </c>
      <c r="P128" s="553">
        <v>4</v>
      </c>
      <c r="Q128" s="553">
        <v>1269.0899999999999</v>
      </c>
      <c r="R128" s="553">
        <v>125700</v>
      </c>
      <c r="S128" s="563">
        <v>0.01</v>
      </c>
      <c r="T128" s="563">
        <v>7.2999999999999995E-2</v>
      </c>
      <c r="U128" s="553" t="s">
        <v>2487</v>
      </c>
      <c r="V128" s="553" t="s">
        <v>2487</v>
      </c>
      <c r="X128" s="562">
        <v>45050</v>
      </c>
      <c r="Y128" s="553">
        <v>5</v>
      </c>
      <c r="Z128" s="553">
        <v>1040.6099999999999</v>
      </c>
      <c r="AA128" s="553">
        <v>33550</v>
      </c>
      <c r="AB128" s="563">
        <v>-8.0000000000000002E-3</v>
      </c>
      <c r="AC128" s="563">
        <v>-2.1999999999999999E-2</v>
      </c>
    </row>
    <row r="129" spans="14:29">
      <c r="N129" s="553">
        <v>624</v>
      </c>
      <c r="O129" s="562">
        <v>44321</v>
      </c>
      <c r="P129" s="553">
        <v>4</v>
      </c>
      <c r="Q129" s="553">
        <v>1256.43</v>
      </c>
      <c r="R129" s="553">
        <v>117200</v>
      </c>
      <c r="S129" s="563">
        <v>2.1999999999999999E-2</v>
      </c>
      <c r="T129" s="563">
        <v>8.1000000000000003E-2</v>
      </c>
      <c r="U129" s="553" t="s">
        <v>2487</v>
      </c>
      <c r="V129" s="553" t="s">
        <v>2487</v>
      </c>
      <c r="X129" s="562">
        <v>45044</v>
      </c>
      <c r="Y129" s="553">
        <v>6</v>
      </c>
      <c r="Z129" s="553">
        <v>1049.1199999999999</v>
      </c>
      <c r="AA129" s="553">
        <v>34300</v>
      </c>
      <c r="AB129" s="563">
        <v>8.9999999999999993E-3</v>
      </c>
      <c r="AC129" s="563">
        <v>2.8000000000000001E-2</v>
      </c>
    </row>
    <row r="130" spans="14:29">
      <c r="N130" s="553">
        <v>627</v>
      </c>
      <c r="O130" s="562">
        <v>44314</v>
      </c>
      <c r="P130" s="553">
        <v>4</v>
      </c>
      <c r="Q130" s="553">
        <v>1229.55</v>
      </c>
      <c r="R130" s="553">
        <v>108400</v>
      </c>
      <c r="S130" s="563">
        <v>-2.1000000000000001E-2</v>
      </c>
      <c r="T130" s="563">
        <v>-9.1999999999999998E-2</v>
      </c>
      <c r="U130" s="553" t="s">
        <v>2487</v>
      </c>
      <c r="V130" s="553" t="s">
        <v>2487</v>
      </c>
      <c r="X130" s="562">
        <v>45043</v>
      </c>
      <c r="Y130" s="553">
        <v>5</v>
      </c>
      <c r="Z130" s="553">
        <v>1039.6300000000001</v>
      </c>
      <c r="AA130" s="553">
        <v>33350</v>
      </c>
      <c r="AB130" s="563">
        <v>-1E-3</v>
      </c>
      <c r="AC130" s="563">
        <v>-7.0000000000000001E-3</v>
      </c>
    </row>
    <row r="131" spans="14:29">
      <c r="N131" s="553">
        <v>636</v>
      </c>
      <c r="O131" s="562">
        <v>44300</v>
      </c>
      <c r="P131" s="553">
        <v>4</v>
      </c>
      <c r="Q131" s="553">
        <v>1255.8699999999999</v>
      </c>
      <c r="R131" s="553">
        <v>119400</v>
      </c>
      <c r="S131" s="563">
        <v>1.0999999999999999E-2</v>
      </c>
      <c r="T131" s="563">
        <v>-4.4999999999999998E-2</v>
      </c>
      <c r="U131" s="553" t="s">
        <v>2487</v>
      </c>
      <c r="V131" s="553" t="s">
        <v>2487</v>
      </c>
      <c r="X131" s="562">
        <v>45042</v>
      </c>
      <c r="Y131" s="553">
        <v>4</v>
      </c>
      <c r="Z131" s="553">
        <v>1040.8</v>
      </c>
      <c r="AA131" s="553">
        <v>33600</v>
      </c>
      <c r="AB131" s="563">
        <v>6.0000000000000001E-3</v>
      </c>
      <c r="AC131" s="563">
        <v>2.1000000000000001E-2</v>
      </c>
    </row>
    <row r="132" spans="14:29">
      <c r="N132" s="553">
        <v>641</v>
      </c>
      <c r="O132" s="562">
        <v>44293</v>
      </c>
      <c r="P132" s="553">
        <v>4</v>
      </c>
      <c r="Q132" s="553">
        <v>1242.3800000000001</v>
      </c>
      <c r="R132" s="553">
        <v>125000</v>
      </c>
      <c r="S132" s="563">
        <v>4.2999999999999997E-2</v>
      </c>
      <c r="T132" s="563">
        <v>0.06</v>
      </c>
      <c r="U132" s="553" t="s">
        <v>2487</v>
      </c>
      <c r="V132" s="553" t="s">
        <v>2487</v>
      </c>
      <c r="X132" s="562">
        <v>45041</v>
      </c>
      <c r="Y132" s="553">
        <v>3</v>
      </c>
      <c r="Z132" s="553">
        <v>1034.8499999999999</v>
      </c>
      <c r="AA132" s="553">
        <v>32900</v>
      </c>
      <c r="AB132" s="563">
        <v>-6.0000000000000001E-3</v>
      </c>
      <c r="AC132" s="563">
        <v>-2.9000000000000001E-2</v>
      </c>
    </row>
    <row r="133" spans="14:29">
      <c r="N133" s="553">
        <v>646</v>
      </c>
      <c r="O133" s="562">
        <v>44286</v>
      </c>
      <c r="P133" s="553">
        <v>4</v>
      </c>
      <c r="Q133" s="553">
        <v>1191.44</v>
      </c>
      <c r="R133" s="553">
        <v>117900</v>
      </c>
      <c r="S133" s="563">
        <v>2.5999999999999999E-2</v>
      </c>
      <c r="T133" s="563">
        <v>-1.7999999999999999E-2</v>
      </c>
      <c r="U133" s="553" t="s">
        <v>2487</v>
      </c>
      <c r="V133" s="553" t="s">
        <v>2487</v>
      </c>
      <c r="X133" s="562">
        <v>45040</v>
      </c>
      <c r="Y133" s="553">
        <v>2</v>
      </c>
      <c r="Z133" s="553">
        <v>1041.3599999999999</v>
      </c>
      <c r="AA133" s="553">
        <v>33900</v>
      </c>
      <c r="AB133" s="563">
        <v>-1E-3</v>
      </c>
      <c r="AC133" s="563">
        <v>-1.6E-2</v>
      </c>
    </row>
    <row r="134" spans="14:29">
      <c r="N134" s="553">
        <v>651</v>
      </c>
      <c r="O134" s="562">
        <v>44279</v>
      </c>
      <c r="P134" s="553">
        <v>4</v>
      </c>
      <c r="Q134" s="553">
        <v>1161.81</v>
      </c>
      <c r="R134" s="553">
        <v>120000</v>
      </c>
      <c r="S134" s="563">
        <v>-0.02</v>
      </c>
      <c r="T134" s="563">
        <v>-5.5E-2</v>
      </c>
      <c r="U134" s="553" t="s">
        <v>2487</v>
      </c>
      <c r="V134" s="553" t="s">
        <v>2487</v>
      </c>
      <c r="X134" s="562">
        <v>45037</v>
      </c>
      <c r="Y134" s="553">
        <v>6</v>
      </c>
      <c r="Z134" s="553">
        <v>1042.9100000000001</v>
      </c>
      <c r="AA134" s="553">
        <v>34450</v>
      </c>
      <c r="AB134" s="563">
        <v>-6.0000000000000001E-3</v>
      </c>
      <c r="AC134" s="563">
        <v>-1.2999999999999999E-2</v>
      </c>
    </row>
    <row r="135" spans="14:29">
      <c r="N135" s="553">
        <v>656</v>
      </c>
      <c r="O135" s="562">
        <v>44272</v>
      </c>
      <c r="P135" s="553">
        <v>4</v>
      </c>
      <c r="Q135" s="553">
        <v>1186.0899999999999</v>
      </c>
      <c r="R135" s="553">
        <v>127000</v>
      </c>
      <c r="S135" s="563">
        <v>1.4E-2</v>
      </c>
      <c r="T135" s="563">
        <v>0.124</v>
      </c>
      <c r="U135" s="553" t="s">
        <v>2487</v>
      </c>
      <c r="V135" s="553" t="s">
        <v>2487</v>
      </c>
      <c r="X135" s="562">
        <v>45036</v>
      </c>
      <c r="Y135" s="553">
        <v>5</v>
      </c>
      <c r="Z135" s="553">
        <v>1049.25</v>
      </c>
      <c r="AA135" s="553">
        <v>34900</v>
      </c>
      <c r="AB135" s="563">
        <v>0</v>
      </c>
      <c r="AC135" s="563">
        <v>-2.1999999999999999E-2</v>
      </c>
    </row>
    <row r="136" spans="14:29">
      <c r="N136" s="553">
        <v>661</v>
      </c>
      <c r="O136" s="562">
        <v>44265</v>
      </c>
      <c r="P136" s="553">
        <v>4</v>
      </c>
      <c r="Q136" s="553">
        <v>1170.08</v>
      </c>
      <c r="R136" s="553">
        <v>113000</v>
      </c>
      <c r="S136" s="563">
        <v>-1.4E-2</v>
      </c>
      <c r="T136" s="563">
        <v>9.5000000000000001E-2</v>
      </c>
      <c r="U136" s="553" t="s">
        <v>2487</v>
      </c>
      <c r="V136" s="553" t="s">
        <v>2487</v>
      </c>
      <c r="X136" s="562">
        <v>45035</v>
      </c>
      <c r="Y136" s="553">
        <v>4</v>
      </c>
      <c r="Z136" s="553">
        <v>1048.98</v>
      </c>
      <c r="AA136" s="553">
        <v>35700</v>
      </c>
      <c r="AB136" s="563">
        <v>-6.0000000000000001E-3</v>
      </c>
      <c r="AC136" s="563">
        <v>4.8000000000000001E-2</v>
      </c>
    </row>
    <row r="137" spans="14:29">
      <c r="N137" s="553">
        <v>666</v>
      </c>
      <c r="O137" s="562">
        <v>44258</v>
      </c>
      <c r="P137" s="553">
        <v>4</v>
      </c>
      <c r="Q137" s="553">
        <v>1186.95</v>
      </c>
      <c r="R137" s="553">
        <v>103200</v>
      </c>
      <c r="S137" s="563">
        <v>2.1000000000000001E-2</v>
      </c>
      <c r="T137" s="563">
        <v>0.121</v>
      </c>
      <c r="U137" s="553" t="s">
        <v>2487</v>
      </c>
      <c r="V137" s="553" t="s">
        <v>2487</v>
      </c>
      <c r="X137" s="562">
        <v>45034</v>
      </c>
      <c r="Y137" s="553">
        <v>3</v>
      </c>
      <c r="Z137" s="553">
        <v>1055.02</v>
      </c>
      <c r="AA137" s="553">
        <v>34050</v>
      </c>
      <c r="AB137" s="563">
        <v>1E-3</v>
      </c>
      <c r="AC137" s="563">
        <v>4.2999999999999997E-2</v>
      </c>
    </row>
    <row r="138" spans="14:29">
      <c r="N138" s="553">
        <v>671</v>
      </c>
      <c r="O138" s="562">
        <v>44251</v>
      </c>
      <c r="P138" s="553">
        <v>4</v>
      </c>
      <c r="Q138" s="553">
        <v>1162.01</v>
      </c>
      <c r="R138" s="553">
        <v>92100</v>
      </c>
      <c r="S138" s="563">
        <v>5.0000000000000001E-3</v>
      </c>
      <c r="T138" s="563">
        <v>1.4E-2</v>
      </c>
      <c r="U138" s="553" t="s">
        <v>2487</v>
      </c>
      <c r="V138" s="553" t="s">
        <v>2487</v>
      </c>
      <c r="X138" s="562">
        <v>45033</v>
      </c>
      <c r="Y138" s="553">
        <v>2</v>
      </c>
      <c r="Z138" s="553">
        <v>1053.81</v>
      </c>
      <c r="AA138" s="553">
        <v>32650</v>
      </c>
      <c r="AB138" s="563">
        <v>1E-3</v>
      </c>
      <c r="AC138" s="563">
        <v>-5.0000000000000001E-3</v>
      </c>
    </row>
    <row r="139" spans="14:29">
      <c r="N139" s="553">
        <v>676</v>
      </c>
      <c r="O139" s="562">
        <v>44244</v>
      </c>
      <c r="P139" s="553">
        <v>4</v>
      </c>
      <c r="Q139" s="553">
        <v>1155.78</v>
      </c>
      <c r="R139" s="553">
        <v>90800</v>
      </c>
      <c r="S139" s="563">
        <v>0.04</v>
      </c>
      <c r="T139" s="563">
        <v>0.20699999999999999</v>
      </c>
      <c r="U139" s="553" t="s">
        <v>2487</v>
      </c>
      <c r="V139" s="553" t="s">
        <v>2487</v>
      </c>
      <c r="X139" s="562">
        <v>45030</v>
      </c>
      <c r="Y139" s="553">
        <v>6</v>
      </c>
      <c r="Z139" s="553">
        <v>1052.8900000000001</v>
      </c>
      <c r="AA139" s="553">
        <v>32800</v>
      </c>
      <c r="AB139" s="563">
        <v>-1.0999999999999999E-2</v>
      </c>
      <c r="AC139" s="563">
        <v>-3.6999999999999998E-2</v>
      </c>
    </row>
    <row r="140" spans="14:29">
      <c r="N140" s="553">
        <v>681</v>
      </c>
      <c r="O140" s="562">
        <v>44230</v>
      </c>
      <c r="P140" s="553">
        <v>4</v>
      </c>
      <c r="Q140" s="553">
        <v>1111.29</v>
      </c>
      <c r="R140" s="553">
        <v>75200</v>
      </c>
      <c r="S140" s="563">
        <v>1.2999999999999999E-2</v>
      </c>
      <c r="T140" s="563">
        <v>7.3999999999999996E-2</v>
      </c>
      <c r="U140" s="553" t="s">
        <v>2487</v>
      </c>
      <c r="V140" s="553" t="s">
        <v>2487</v>
      </c>
      <c r="X140" s="562">
        <v>45029</v>
      </c>
      <c r="Y140" s="553">
        <v>5</v>
      </c>
      <c r="Z140" s="553">
        <v>1064.3</v>
      </c>
      <c r="AA140" s="553">
        <v>34050</v>
      </c>
      <c r="AB140" s="563">
        <v>-5.0000000000000001E-3</v>
      </c>
      <c r="AC140" s="563">
        <v>7.0000000000000001E-3</v>
      </c>
    </row>
    <row r="141" spans="14:29">
      <c r="N141" s="553">
        <v>686</v>
      </c>
      <c r="O141" s="562">
        <v>44223</v>
      </c>
      <c r="P141" s="553">
        <v>4</v>
      </c>
      <c r="Q141" s="553">
        <v>1097.17</v>
      </c>
      <c r="R141" s="553">
        <v>70000</v>
      </c>
      <c r="S141" s="563">
        <v>-3.3000000000000002E-2</v>
      </c>
      <c r="T141" s="563">
        <v>-0.04</v>
      </c>
      <c r="U141" s="553" t="s">
        <v>2487</v>
      </c>
      <c r="V141" s="553" t="s">
        <v>2487</v>
      </c>
      <c r="X141" s="562">
        <v>45028</v>
      </c>
      <c r="Y141" s="553">
        <v>4</v>
      </c>
      <c r="Z141" s="553">
        <v>1069.45</v>
      </c>
      <c r="AA141" s="553">
        <v>33800</v>
      </c>
      <c r="AB141" s="563">
        <v>0</v>
      </c>
      <c r="AC141" s="563">
        <v>-1.2E-2</v>
      </c>
    </row>
    <row r="142" spans="14:29">
      <c r="N142" s="553">
        <v>691</v>
      </c>
      <c r="O142" s="562">
        <v>44216</v>
      </c>
      <c r="P142" s="553">
        <v>4</v>
      </c>
      <c r="Q142" s="553">
        <v>1134.68</v>
      </c>
      <c r="R142" s="553">
        <v>72900</v>
      </c>
      <c r="S142" s="563">
        <v>-4.2999999999999997E-2</v>
      </c>
      <c r="T142" s="563">
        <v>-0.129</v>
      </c>
      <c r="U142" s="553" t="s">
        <v>2487</v>
      </c>
      <c r="V142" s="553" t="s">
        <v>2487</v>
      </c>
      <c r="X142" s="562">
        <v>45027</v>
      </c>
      <c r="Y142" s="553">
        <v>3</v>
      </c>
      <c r="Z142" s="553">
        <v>1069.46</v>
      </c>
      <c r="AA142" s="553">
        <v>34200</v>
      </c>
      <c r="AB142" s="563">
        <v>4.0000000000000001E-3</v>
      </c>
      <c r="AC142" s="563">
        <v>2.1999999999999999E-2</v>
      </c>
    </row>
    <row r="143" spans="14:29">
      <c r="N143" s="553">
        <v>696</v>
      </c>
      <c r="O143" s="562">
        <v>44209</v>
      </c>
      <c r="P143" s="553">
        <v>4</v>
      </c>
      <c r="Q143" s="553">
        <v>1186.05</v>
      </c>
      <c r="R143" s="553">
        <v>83700</v>
      </c>
      <c r="S143" s="563">
        <v>3.6999999999999998E-2</v>
      </c>
      <c r="T143" s="563">
        <v>1.4999999999999999E-2</v>
      </c>
      <c r="U143" s="553" t="s">
        <v>2487</v>
      </c>
      <c r="V143" s="553" t="s">
        <v>2487</v>
      </c>
      <c r="X143" s="562">
        <v>45026</v>
      </c>
      <c r="Y143" s="553">
        <v>2</v>
      </c>
      <c r="Z143" s="553">
        <v>1065.3499999999999</v>
      </c>
      <c r="AA143" s="553">
        <v>33450</v>
      </c>
      <c r="AB143" s="563">
        <v>-4.0000000000000001E-3</v>
      </c>
      <c r="AC143" s="563">
        <v>6.9000000000000006E-2</v>
      </c>
    </row>
    <row r="144" spans="14:29">
      <c r="N144" s="553">
        <v>701</v>
      </c>
      <c r="O144" s="562">
        <v>44202</v>
      </c>
      <c r="P144" s="553">
        <v>4</v>
      </c>
      <c r="Q144" s="553">
        <v>1143.21</v>
      </c>
      <c r="R144" s="553">
        <v>82500</v>
      </c>
      <c r="S144" s="563">
        <v>4.2000000000000003E-2</v>
      </c>
      <c r="T144" s="563">
        <v>-1E-3</v>
      </c>
      <c r="U144" s="553" t="s">
        <v>2487</v>
      </c>
      <c r="V144" s="553" t="s">
        <v>2487</v>
      </c>
      <c r="X144" s="562">
        <v>45023</v>
      </c>
      <c r="Y144" s="553">
        <v>6</v>
      </c>
      <c r="Z144" s="553">
        <v>1069.71</v>
      </c>
      <c r="AA144" s="553">
        <v>31300</v>
      </c>
      <c r="AB144" s="563">
        <v>-1E-3</v>
      </c>
      <c r="AC144" s="563">
        <v>-8.9999999999999993E-3</v>
      </c>
    </row>
    <row r="145" spans="14:29">
      <c r="N145" s="553">
        <v>705</v>
      </c>
      <c r="O145" s="562">
        <v>44195</v>
      </c>
      <c r="P145" s="553">
        <v>4</v>
      </c>
      <c r="Q145" s="553">
        <v>1097.54</v>
      </c>
      <c r="R145" s="553">
        <v>82600</v>
      </c>
      <c r="S145" s="563">
        <v>1.7000000000000001E-2</v>
      </c>
      <c r="T145" s="563">
        <v>5.8000000000000003E-2</v>
      </c>
      <c r="U145" s="553" t="s">
        <v>2487</v>
      </c>
      <c r="V145" s="553" t="s">
        <v>2487</v>
      </c>
      <c r="X145" s="562">
        <v>45022</v>
      </c>
      <c r="Y145" s="553">
        <v>5</v>
      </c>
      <c r="Z145" s="553">
        <v>1070.9100000000001</v>
      </c>
      <c r="AA145" s="553">
        <v>31600</v>
      </c>
      <c r="AB145" s="563">
        <v>-8.9999999999999993E-3</v>
      </c>
      <c r="AC145" s="563">
        <v>-3.4000000000000002E-2</v>
      </c>
    </row>
    <row r="146" spans="14:29">
      <c r="N146" s="553">
        <v>710</v>
      </c>
      <c r="O146" s="562">
        <v>44188</v>
      </c>
      <c r="P146" s="553">
        <v>4</v>
      </c>
      <c r="Q146" s="553">
        <v>1078.9000000000001</v>
      </c>
      <c r="R146" s="553">
        <v>78100</v>
      </c>
      <c r="S146" s="563">
        <v>1.0999999999999999E-2</v>
      </c>
      <c r="T146" s="563">
        <v>-1.2999999999999999E-2</v>
      </c>
      <c r="U146" s="553" t="s">
        <v>2487</v>
      </c>
      <c r="V146" s="553" t="s">
        <v>2487</v>
      </c>
      <c r="X146" s="562">
        <v>45021</v>
      </c>
      <c r="Y146" s="553">
        <v>4</v>
      </c>
      <c r="Z146" s="553">
        <v>1080.8599999999999</v>
      </c>
      <c r="AA146" s="553">
        <v>32700</v>
      </c>
      <c r="AB146" s="563">
        <v>2E-3</v>
      </c>
      <c r="AC146" s="563">
        <v>2.5000000000000001E-2</v>
      </c>
    </row>
    <row r="147" spans="14:29">
      <c r="N147" s="553">
        <v>715</v>
      </c>
      <c r="O147" s="562">
        <v>44181</v>
      </c>
      <c r="P147" s="553">
        <v>4</v>
      </c>
      <c r="Q147" s="553">
        <v>1066.99</v>
      </c>
      <c r="R147" s="553">
        <v>79100</v>
      </c>
      <c r="S147" s="563">
        <v>2.7E-2</v>
      </c>
      <c r="T147" s="563">
        <v>0.03</v>
      </c>
      <c r="U147" s="553" t="s">
        <v>2487</v>
      </c>
      <c r="V147" s="553" t="s">
        <v>2487</v>
      </c>
      <c r="X147" s="562">
        <v>45020</v>
      </c>
      <c r="Y147" s="553">
        <v>3</v>
      </c>
      <c r="Z147" s="553">
        <v>1078.45</v>
      </c>
      <c r="AA147" s="553">
        <v>31900</v>
      </c>
      <c r="AB147" s="563">
        <v>-1E-3</v>
      </c>
      <c r="AC147" s="563">
        <v>6.7000000000000004E-2</v>
      </c>
    </row>
    <row r="148" spans="14:29">
      <c r="N148" s="553">
        <v>720</v>
      </c>
      <c r="O148" s="562">
        <v>44174</v>
      </c>
      <c r="P148" s="553">
        <v>4</v>
      </c>
      <c r="Q148" s="553">
        <v>1039.1300000000001</v>
      </c>
      <c r="R148" s="553">
        <v>76800</v>
      </c>
      <c r="S148" s="563">
        <v>2.4E-2</v>
      </c>
      <c r="T148" s="563">
        <v>4.1000000000000002E-2</v>
      </c>
      <c r="U148" s="553" t="s">
        <v>2487</v>
      </c>
      <c r="V148" s="553" t="s">
        <v>2487</v>
      </c>
      <c r="X148" s="562">
        <v>45019</v>
      </c>
      <c r="Y148" s="553">
        <v>2</v>
      </c>
      <c r="Z148" s="553">
        <v>1079.28</v>
      </c>
      <c r="AA148" s="553">
        <v>29900</v>
      </c>
      <c r="AB148" s="563">
        <v>1.4E-2</v>
      </c>
      <c r="AC148" s="563">
        <v>4.2000000000000003E-2</v>
      </c>
    </row>
    <row r="149" spans="14:29">
      <c r="N149" s="553">
        <v>725</v>
      </c>
      <c r="O149" s="562">
        <v>44167</v>
      </c>
      <c r="P149" s="553">
        <v>4</v>
      </c>
      <c r="Q149" s="553">
        <v>1014.32</v>
      </c>
      <c r="R149" s="553">
        <v>73800</v>
      </c>
      <c r="S149" s="563">
        <v>1.4E-2</v>
      </c>
      <c r="T149" s="563">
        <v>-4.2000000000000003E-2</v>
      </c>
      <c r="U149" s="553" t="s">
        <v>2487</v>
      </c>
      <c r="V149" s="553" t="s">
        <v>2487</v>
      </c>
      <c r="X149" s="562">
        <v>45016</v>
      </c>
      <c r="Y149" s="553">
        <v>6</v>
      </c>
      <c r="Z149" s="553">
        <v>1064.6400000000001</v>
      </c>
      <c r="AA149" s="553">
        <v>28700</v>
      </c>
      <c r="AB149" s="563">
        <v>5.0000000000000001E-3</v>
      </c>
      <c r="AC149" s="563">
        <v>-1.9E-2</v>
      </c>
    </row>
    <row r="150" spans="14:29">
      <c r="N150" s="553">
        <v>730</v>
      </c>
      <c r="O150" s="562">
        <v>44160</v>
      </c>
      <c r="P150" s="553">
        <v>4</v>
      </c>
      <c r="Q150" s="553">
        <v>999.94</v>
      </c>
      <c r="R150" s="553">
        <v>77000</v>
      </c>
      <c r="S150" s="563">
        <v>2.7E-2</v>
      </c>
      <c r="T150" s="563">
        <v>0.17</v>
      </c>
      <c r="U150" s="553" t="s">
        <v>2487</v>
      </c>
      <c r="V150" s="553" t="s">
        <v>2487</v>
      </c>
      <c r="X150" s="562">
        <v>45015</v>
      </c>
      <c r="Y150" s="553">
        <v>5</v>
      </c>
      <c r="Z150" s="553">
        <v>1059.44</v>
      </c>
      <c r="AA150" s="553">
        <v>29250</v>
      </c>
      <c r="AB150" s="563">
        <v>3.0000000000000001E-3</v>
      </c>
      <c r="AC150" s="563">
        <v>-7.0000000000000007E-2</v>
      </c>
    </row>
    <row r="151" spans="14:29">
      <c r="N151" s="553">
        <v>735</v>
      </c>
      <c r="O151" s="562">
        <v>44153</v>
      </c>
      <c r="P151" s="553">
        <v>4</v>
      </c>
      <c r="Q151" s="553">
        <v>973.53</v>
      </c>
      <c r="R151" s="553">
        <v>65800</v>
      </c>
      <c r="S151" s="563">
        <v>2.1999999999999999E-2</v>
      </c>
      <c r="T151" s="563">
        <v>5.0000000000000001E-3</v>
      </c>
      <c r="U151" s="553" t="s">
        <v>2487</v>
      </c>
      <c r="V151" s="553" t="s">
        <v>2487</v>
      </c>
      <c r="X151" s="562">
        <v>45014</v>
      </c>
      <c r="Y151" s="553">
        <v>4</v>
      </c>
      <c r="Z151" s="553">
        <v>1056.33</v>
      </c>
      <c r="AA151" s="553">
        <v>31450</v>
      </c>
      <c r="AB151" s="563">
        <v>2E-3</v>
      </c>
      <c r="AC151" s="563">
        <v>-3.2000000000000001E-2</v>
      </c>
    </row>
    <row r="152" spans="14:29">
      <c r="N152" s="553">
        <v>740</v>
      </c>
      <c r="O152" s="562">
        <v>44146</v>
      </c>
      <c r="P152" s="553">
        <v>4</v>
      </c>
      <c r="Q152" s="553">
        <v>952.22</v>
      </c>
      <c r="R152" s="553">
        <v>65500</v>
      </c>
      <c r="S152" s="563">
        <v>1.2999999999999999E-2</v>
      </c>
      <c r="T152" s="563">
        <v>8.3000000000000004E-2</v>
      </c>
      <c r="U152" s="553" t="s">
        <v>2487</v>
      </c>
      <c r="V152" s="553" t="s">
        <v>2487</v>
      </c>
      <c r="X152" s="562">
        <v>45013</v>
      </c>
      <c r="Y152" s="553">
        <v>3</v>
      </c>
      <c r="Z152" s="553">
        <v>1054.29</v>
      </c>
      <c r="AA152" s="553">
        <v>32500</v>
      </c>
      <c r="AB152" s="563">
        <v>2E-3</v>
      </c>
      <c r="AC152" s="563">
        <v>-6.0000000000000001E-3</v>
      </c>
    </row>
    <row r="153" spans="14:29">
      <c r="N153" s="553">
        <v>745</v>
      </c>
      <c r="O153" s="562">
        <v>44139</v>
      </c>
      <c r="P153" s="553">
        <v>4</v>
      </c>
      <c r="Q153" s="553">
        <v>939.76</v>
      </c>
      <c r="R153" s="553">
        <v>60500</v>
      </c>
      <c r="S153" s="563">
        <v>0.02</v>
      </c>
      <c r="T153" s="563">
        <v>0.17199999999999999</v>
      </c>
      <c r="U153" s="553" t="s">
        <v>2487</v>
      </c>
      <c r="V153" s="553" t="s">
        <v>2487</v>
      </c>
      <c r="X153" s="562">
        <v>45012</v>
      </c>
      <c r="Y153" s="553">
        <v>2</v>
      </c>
      <c r="Z153" s="553">
        <v>1052.25</v>
      </c>
      <c r="AA153" s="553">
        <v>32700</v>
      </c>
      <c r="AB153" s="563">
        <v>5.0000000000000001E-3</v>
      </c>
      <c r="AC153" s="563">
        <v>-1.2E-2</v>
      </c>
    </row>
    <row r="154" spans="14:29">
      <c r="N154" s="553">
        <v>750</v>
      </c>
      <c r="O154" s="562">
        <v>44132</v>
      </c>
      <c r="P154" s="553">
        <v>4</v>
      </c>
      <c r="Q154" s="553">
        <v>921.05</v>
      </c>
      <c r="R154" s="553">
        <v>51600</v>
      </c>
      <c r="S154" s="563">
        <v>-1.9E-2</v>
      </c>
      <c r="T154" s="563">
        <v>-8.0000000000000002E-3</v>
      </c>
      <c r="U154" s="553" t="s">
        <v>2487</v>
      </c>
      <c r="V154" s="553" t="s">
        <v>2487</v>
      </c>
      <c r="X154" s="562">
        <v>45009</v>
      </c>
      <c r="Y154" s="553">
        <v>6</v>
      </c>
      <c r="Z154" s="553">
        <v>1046.79</v>
      </c>
      <c r="AA154" s="553">
        <v>33100</v>
      </c>
      <c r="AB154" s="563">
        <v>2E-3</v>
      </c>
      <c r="AC154" s="563">
        <v>-6.0000000000000001E-3</v>
      </c>
    </row>
    <row r="155" spans="14:29">
      <c r="N155" s="553">
        <v>755</v>
      </c>
      <c r="O155" s="562">
        <v>44125</v>
      </c>
      <c r="P155" s="553">
        <v>4</v>
      </c>
      <c r="Q155" s="553">
        <v>939.03</v>
      </c>
      <c r="R155" s="553">
        <v>52000</v>
      </c>
      <c r="S155" s="563">
        <v>-1E-3</v>
      </c>
      <c r="T155" s="563">
        <v>-4.0000000000000001E-3</v>
      </c>
      <c r="U155" s="553" t="s">
        <v>2487</v>
      </c>
      <c r="V155" s="553" t="s">
        <v>2487</v>
      </c>
      <c r="X155" s="562">
        <v>45008</v>
      </c>
      <c r="Y155" s="553">
        <v>5</v>
      </c>
      <c r="Z155" s="553">
        <v>1045.0999999999999</v>
      </c>
      <c r="AA155" s="553">
        <v>33300</v>
      </c>
      <c r="AB155" s="563">
        <v>4.0000000000000001E-3</v>
      </c>
      <c r="AC155" s="563">
        <v>1.7999999999999999E-2</v>
      </c>
    </row>
    <row r="156" spans="14:29">
      <c r="N156" s="553">
        <v>760</v>
      </c>
      <c r="O156" s="562">
        <v>44118</v>
      </c>
      <c r="P156" s="553">
        <v>4</v>
      </c>
      <c r="Q156" s="553">
        <v>940.18</v>
      </c>
      <c r="R156" s="553">
        <v>52200</v>
      </c>
      <c r="S156" s="563">
        <v>2.1999999999999999E-2</v>
      </c>
      <c r="T156" s="563">
        <v>-4.9000000000000002E-2</v>
      </c>
      <c r="U156" s="553" t="s">
        <v>2487</v>
      </c>
      <c r="V156" s="553" t="s">
        <v>2487</v>
      </c>
      <c r="X156" s="562">
        <v>45007</v>
      </c>
      <c r="Y156" s="553">
        <v>4</v>
      </c>
      <c r="Z156" s="553">
        <v>1040.54</v>
      </c>
      <c r="AA156" s="553">
        <v>32700</v>
      </c>
      <c r="AB156" s="563">
        <v>8.0000000000000002E-3</v>
      </c>
      <c r="AC156" s="563">
        <v>-3.7999999999999999E-2</v>
      </c>
    </row>
    <row r="157" spans="14:29">
      <c r="N157" s="553">
        <v>765</v>
      </c>
      <c r="O157" s="562">
        <v>44111</v>
      </c>
      <c r="P157" s="553">
        <v>4</v>
      </c>
      <c r="Q157" s="553">
        <v>919.72</v>
      </c>
      <c r="R157" s="553">
        <v>54900</v>
      </c>
      <c r="S157" s="563">
        <v>1.6E-2</v>
      </c>
      <c r="T157" s="563">
        <v>7.0000000000000001E-3</v>
      </c>
      <c r="U157" s="553" t="s">
        <v>2487</v>
      </c>
      <c r="V157" s="553" t="s">
        <v>2487</v>
      </c>
      <c r="X157" s="562">
        <v>45006</v>
      </c>
      <c r="Y157" s="553">
        <v>3</v>
      </c>
      <c r="Z157" s="553">
        <v>1032.43</v>
      </c>
      <c r="AA157" s="553">
        <v>34000</v>
      </c>
      <c r="AB157" s="563">
        <v>8.9999999999999993E-3</v>
      </c>
      <c r="AC157" s="563">
        <v>0</v>
      </c>
    </row>
    <row r="158" spans="14:29">
      <c r="N158" s="553">
        <v>770</v>
      </c>
      <c r="O158" s="562">
        <v>44104</v>
      </c>
      <c r="P158" s="553">
        <v>4</v>
      </c>
      <c r="Q158" s="553">
        <v>905.21</v>
      </c>
      <c r="R158" s="553">
        <v>54500</v>
      </c>
      <c r="S158" s="563">
        <v>-8.0000000000000002E-3</v>
      </c>
      <c r="T158" s="563">
        <v>1.9E-2</v>
      </c>
      <c r="U158" s="553" t="s">
        <v>2487</v>
      </c>
      <c r="V158" s="553" t="s">
        <v>2487</v>
      </c>
      <c r="X158" s="562">
        <v>45005</v>
      </c>
      <c r="Y158" s="553">
        <v>2</v>
      </c>
      <c r="Z158" s="553">
        <v>1023.1</v>
      </c>
      <c r="AA158" s="553">
        <v>34000</v>
      </c>
      <c r="AB158" s="563">
        <v>-2.1000000000000001E-2</v>
      </c>
      <c r="AC158" s="563">
        <v>-2.7E-2</v>
      </c>
    </row>
    <row r="159" spans="14:29">
      <c r="N159" s="553">
        <v>775</v>
      </c>
      <c r="O159" s="562">
        <v>44097</v>
      </c>
      <c r="P159" s="553">
        <v>4</v>
      </c>
      <c r="Q159" s="553">
        <v>912.5</v>
      </c>
      <c r="R159" s="553">
        <v>53500</v>
      </c>
      <c r="S159" s="563">
        <v>1.7000000000000001E-2</v>
      </c>
      <c r="T159" s="563">
        <v>2.1000000000000001E-2</v>
      </c>
      <c r="U159" s="553" t="s">
        <v>2487</v>
      </c>
      <c r="V159" s="553" t="s">
        <v>2487</v>
      </c>
      <c r="X159" s="562">
        <v>45002</v>
      </c>
      <c r="Y159" s="553">
        <v>6</v>
      </c>
      <c r="Z159" s="553">
        <v>1045.1400000000001</v>
      </c>
      <c r="AA159" s="553">
        <v>34950</v>
      </c>
      <c r="AB159" s="563">
        <v>-2E-3</v>
      </c>
      <c r="AC159" s="563">
        <v>7.0000000000000001E-3</v>
      </c>
    </row>
    <row r="160" spans="14:29">
      <c r="N160" s="553">
        <v>780</v>
      </c>
      <c r="O160" s="562">
        <v>44090</v>
      </c>
      <c r="P160" s="553">
        <v>4</v>
      </c>
      <c r="Q160" s="553">
        <v>897.47</v>
      </c>
      <c r="R160" s="553">
        <v>52400</v>
      </c>
      <c r="S160" s="563">
        <v>8.9999999999999993E-3</v>
      </c>
      <c r="T160" s="563">
        <v>1.2E-2</v>
      </c>
      <c r="U160" s="553" t="s">
        <v>2487</v>
      </c>
      <c r="V160" s="553" t="s">
        <v>2487</v>
      </c>
      <c r="X160" s="562">
        <v>45001</v>
      </c>
      <c r="Y160" s="553">
        <v>5</v>
      </c>
      <c r="Z160" s="553">
        <v>1047.4000000000001</v>
      </c>
      <c r="AA160" s="553">
        <v>34700</v>
      </c>
      <c r="AB160" s="563">
        <v>-1.4E-2</v>
      </c>
      <c r="AC160" s="563">
        <v>-2.5000000000000001E-2</v>
      </c>
    </row>
    <row r="161" spans="14:29">
      <c r="N161" s="553">
        <v>785</v>
      </c>
      <c r="O161" s="562">
        <v>44083</v>
      </c>
      <c r="P161" s="553">
        <v>4</v>
      </c>
      <c r="Q161" s="553">
        <v>889.32</v>
      </c>
      <c r="R161" s="553">
        <v>51800</v>
      </c>
      <c r="S161" s="563">
        <v>1.7999999999999999E-2</v>
      </c>
      <c r="T161" s="563">
        <v>5.3999999999999999E-2</v>
      </c>
      <c r="U161" s="553" t="s">
        <v>2487</v>
      </c>
      <c r="V161" s="553" t="s">
        <v>2487</v>
      </c>
      <c r="X161" s="562">
        <v>45000</v>
      </c>
      <c r="Y161" s="553">
        <v>4</v>
      </c>
      <c r="Z161" s="553">
        <v>1062.19</v>
      </c>
      <c r="AA161" s="553">
        <v>35600</v>
      </c>
      <c r="AB161" s="563">
        <v>2.1000000000000001E-2</v>
      </c>
      <c r="AC161" s="563">
        <v>2.7E-2</v>
      </c>
    </row>
    <row r="162" spans="14:29">
      <c r="N162" s="553">
        <v>794</v>
      </c>
      <c r="O162" s="562">
        <v>44069</v>
      </c>
      <c r="P162" s="553">
        <v>4</v>
      </c>
      <c r="Q162" s="553">
        <v>873.47</v>
      </c>
      <c r="R162" s="553">
        <v>49150</v>
      </c>
      <c r="S162" s="563">
        <v>2.5999999999999999E-2</v>
      </c>
      <c r="T162" s="563">
        <v>7.8E-2</v>
      </c>
      <c r="U162" s="553" t="s">
        <v>2487</v>
      </c>
      <c r="V162" s="553" t="s">
        <v>2487</v>
      </c>
      <c r="X162" s="562">
        <v>44999</v>
      </c>
      <c r="Y162" s="553">
        <v>3</v>
      </c>
      <c r="Z162" s="553">
        <v>1040.1300000000001</v>
      </c>
      <c r="AA162" s="553">
        <v>34650</v>
      </c>
      <c r="AB162" s="563">
        <v>-1.2E-2</v>
      </c>
      <c r="AC162" s="563">
        <v>-0.04</v>
      </c>
    </row>
    <row r="163" spans="14:29">
      <c r="N163" s="553">
        <v>799</v>
      </c>
      <c r="O163" s="562">
        <v>44062</v>
      </c>
      <c r="P163" s="553">
        <v>4</v>
      </c>
      <c r="Q163" s="553">
        <v>851.21</v>
      </c>
      <c r="R163" s="553">
        <v>45600</v>
      </c>
      <c r="S163" s="563">
        <v>5.0000000000000001E-3</v>
      </c>
      <c r="T163" s="563">
        <v>8.1000000000000003E-2</v>
      </c>
      <c r="U163" s="553" t="s">
        <v>2487</v>
      </c>
      <c r="V163" s="553" t="s">
        <v>2487</v>
      </c>
      <c r="X163" s="562">
        <v>44998</v>
      </c>
      <c r="Y163" s="553">
        <v>2</v>
      </c>
      <c r="Z163" s="553">
        <v>1052.8</v>
      </c>
      <c r="AA163" s="553">
        <v>36100</v>
      </c>
      <c r="AB163" s="563">
        <v>0</v>
      </c>
      <c r="AC163" s="563">
        <v>-2.4E-2</v>
      </c>
    </row>
    <row r="164" spans="14:29">
      <c r="N164" s="553">
        <v>804</v>
      </c>
      <c r="O164" s="562">
        <v>44055</v>
      </c>
      <c r="P164" s="553">
        <v>4</v>
      </c>
      <c r="Q164" s="553">
        <v>846.92</v>
      </c>
      <c r="R164" s="553">
        <v>42200</v>
      </c>
      <c r="S164" s="563">
        <v>1.0999999999999999E-2</v>
      </c>
      <c r="T164" s="563">
        <v>-1.4999999999999999E-2</v>
      </c>
      <c r="U164" s="553" t="s">
        <v>2487</v>
      </c>
      <c r="V164" s="553" t="s">
        <v>2487</v>
      </c>
      <c r="X164" s="562">
        <v>44995</v>
      </c>
      <c r="Y164" s="553">
        <v>6</v>
      </c>
      <c r="Z164" s="553">
        <v>1053</v>
      </c>
      <c r="AA164" s="553">
        <v>37000</v>
      </c>
      <c r="AB164" s="563">
        <v>-3.0000000000000001E-3</v>
      </c>
      <c r="AC164" s="563">
        <v>-7.0000000000000001E-3</v>
      </c>
    </row>
    <row r="165" spans="14:29">
      <c r="N165" s="553">
        <v>809</v>
      </c>
      <c r="O165" s="562">
        <v>44048</v>
      </c>
      <c r="P165" s="553">
        <v>4</v>
      </c>
      <c r="Q165" s="553">
        <v>837.8</v>
      </c>
      <c r="R165" s="553">
        <v>42850</v>
      </c>
      <c r="S165" s="563">
        <v>5.8999999999999997E-2</v>
      </c>
      <c r="T165" s="563">
        <v>7.3999999999999996E-2</v>
      </c>
      <c r="U165" s="553" t="s">
        <v>2487</v>
      </c>
      <c r="V165" s="553" t="s">
        <v>2487</v>
      </c>
      <c r="X165" s="562">
        <v>44994</v>
      </c>
      <c r="Y165" s="553">
        <v>5</v>
      </c>
      <c r="Z165" s="553">
        <v>1055.95</v>
      </c>
      <c r="AA165" s="553">
        <v>37250</v>
      </c>
      <c r="AB165" s="563">
        <v>6.0000000000000001E-3</v>
      </c>
      <c r="AC165" s="563">
        <v>6.9000000000000006E-2</v>
      </c>
    </row>
    <row r="166" spans="14:29">
      <c r="N166" s="553">
        <v>814</v>
      </c>
      <c r="O166" s="562">
        <v>44041</v>
      </c>
      <c r="P166" s="553">
        <v>4</v>
      </c>
      <c r="Q166" s="553">
        <v>790.84</v>
      </c>
      <c r="R166" s="553">
        <v>39900</v>
      </c>
      <c r="S166" s="563">
        <v>-7.4999999999999997E-2</v>
      </c>
      <c r="T166" s="563">
        <v>-7.9000000000000001E-2</v>
      </c>
      <c r="U166" s="553" t="s">
        <v>2487</v>
      </c>
      <c r="V166" s="553" t="s">
        <v>2487</v>
      </c>
      <c r="X166" s="562">
        <v>44993</v>
      </c>
      <c r="Y166" s="553">
        <v>4</v>
      </c>
      <c r="Z166" s="553">
        <v>1049.18</v>
      </c>
      <c r="AA166" s="553">
        <v>34850</v>
      </c>
      <c r="AB166" s="563">
        <v>1.0999999999999999E-2</v>
      </c>
      <c r="AC166" s="563">
        <v>-7.0000000000000001E-3</v>
      </c>
    </row>
    <row r="167" spans="14:29">
      <c r="N167" s="553">
        <v>819</v>
      </c>
      <c r="O167" s="562">
        <v>44034</v>
      </c>
      <c r="P167" s="553">
        <v>4</v>
      </c>
      <c r="Q167" s="553">
        <v>855.08</v>
      </c>
      <c r="R167" s="553">
        <v>43300</v>
      </c>
      <c r="S167" s="563">
        <v>-1.7000000000000001E-2</v>
      </c>
      <c r="T167" s="563">
        <v>1.0999999999999999E-2</v>
      </c>
      <c r="U167" s="553" t="s">
        <v>2487</v>
      </c>
      <c r="V167" s="553" t="s">
        <v>2487</v>
      </c>
      <c r="X167" s="562">
        <v>44992</v>
      </c>
      <c r="Y167" s="553">
        <v>3</v>
      </c>
      <c r="Z167" s="553">
        <v>1037.8399999999999</v>
      </c>
      <c r="AA167" s="553">
        <v>35100</v>
      </c>
      <c r="AB167" s="563">
        <v>0.01</v>
      </c>
      <c r="AC167" s="563">
        <v>-2.5000000000000001E-2</v>
      </c>
    </row>
    <row r="168" spans="14:29">
      <c r="N168" s="553">
        <v>824</v>
      </c>
      <c r="O168" s="562">
        <v>44027</v>
      </c>
      <c r="P168" s="553">
        <v>4</v>
      </c>
      <c r="Q168" s="553">
        <v>869.91</v>
      </c>
      <c r="R168" s="553">
        <v>42850</v>
      </c>
      <c r="S168" s="563">
        <v>6.0000000000000001E-3</v>
      </c>
      <c r="T168" s="563">
        <v>5.2999999999999999E-2</v>
      </c>
      <c r="U168" s="553" t="s">
        <v>2487</v>
      </c>
      <c r="V168" s="553" t="s">
        <v>2487</v>
      </c>
      <c r="X168" s="562">
        <v>44991</v>
      </c>
      <c r="Y168" s="553">
        <v>2</v>
      </c>
      <c r="Z168" s="553">
        <v>1027.18</v>
      </c>
      <c r="AA168" s="553">
        <v>36000</v>
      </c>
      <c r="AB168" s="563">
        <v>2E-3</v>
      </c>
      <c r="AC168" s="563">
        <v>-2.1999999999999999E-2</v>
      </c>
    </row>
    <row r="169" spans="14:29">
      <c r="N169" s="553">
        <v>829</v>
      </c>
      <c r="O169" s="562">
        <v>44020</v>
      </c>
      <c r="P169" s="553">
        <v>4</v>
      </c>
      <c r="Q169" s="553">
        <v>864.5</v>
      </c>
      <c r="R169" s="553">
        <v>40700</v>
      </c>
      <c r="S169" s="563">
        <v>2.5000000000000001E-2</v>
      </c>
      <c r="T169" s="563">
        <v>-6.0000000000000001E-3</v>
      </c>
      <c r="U169" s="553" t="s">
        <v>2487</v>
      </c>
      <c r="V169" s="553" t="s">
        <v>2487</v>
      </c>
      <c r="X169" s="562">
        <v>44988</v>
      </c>
      <c r="Y169" s="553">
        <v>6</v>
      </c>
      <c r="Z169" s="553">
        <v>1024.77</v>
      </c>
      <c r="AA169" s="553">
        <v>36800</v>
      </c>
      <c r="AB169" s="563">
        <v>-1.2E-2</v>
      </c>
      <c r="AC169" s="563">
        <v>-1.0999999999999999E-2</v>
      </c>
    </row>
    <row r="170" spans="14:29">
      <c r="N170" s="553">
        <v>834</v>
      </c>
      <c r="O170" s="562">
        <v>44013</v>
      </c>
      <c r="P170" s="553">
        <v>4</v>
      </c>
      <c r="Q170" s="553">
        <v>843.49</v>
      </c>
      <c r="R170" s="553">
        <v>40950</v>
      </c>
      <c r="S170" s="563">
        <v>-1.9E-2</v>
      </c>
      <c r="T170" s="563">
        <v>5.8000000000000003E-2</v>
      </c>
      <c r="U170" s="553" t="s">
        <v>2487</v>
      </c>
      <c r="V170" s="553" t="s">
        <v>2487</v>
      </c>
      <c r="X170" s="562">
        <v>44987</v>
      </c>
      <c r="Y170" s="553">
        <v>5</v>
      </c>
      <c r="Z170" s="553">
        <v>1037.6099999999999</v>
      </c>
      <c r="AA170" s="553">
        <v>37200</v>
      </c>
      <c r="AB170" s="563">
        <v>-3.0000000000000001E-3</v>
      </c>
      <c r="AC170" s="563">
        <v>-1.4999999999999999E-2</v>
      </c>
    </row>
    <row r="171" spans="14:29">
      <c r="N171" s="553">
        <v>839</v>
      </c>
      <c r="O171" s="562">
        <v>44006</v>
      </c>
      <c r="P171" s="553">
        <v>4</v>
      </c>
      <c r="Q171" s="553">
        <v>859.71</v>
      </c>
      <c r="R171" s="553">
        <v>38700</v>
      </c>
      <c r="S171" s="563">
        <v>6.0000000000000001E-3</v>
      </c>
      <c r="T171" s="563">
        <v>0.27900000000000003</v>
      </c>
      <c r="U171" s="553" t="s">
        <v>2487</v>
      </c>
      <c r="V171" s="553" t="s">
        <v>2487</v>
      </c>
      <c r="X171" s="562">
        <v>44986</v>
      </c>
      <c r="Y171" s="553">
        <v>4</v>
      </c>
      <c r="Z171" s="553">
        <v>1040.55</v>
      </c>
      <c r="AA171" s="553">
        <v>37750</v>
      </c>
      <c r="AB171" s="563">
        <v>1.4999999999999999E-2</v>
      </c>
      <c r="AC171" s="563">
        <v>3.4000000000000002E-2</v>
      </c>
    </row>
    <row r="172" spans="14:29">
      <c r="N172" s="553">
        <v>844</v>
      </c>
      <c r="O172" s="562">
        <v>43999</v>
      </c>
      <c r="P172" s="553">
        <v>4</v>
      </c>
      <c r="Q172" s="553">
        <v>854.44</v>
      </c>
      <c r="R172" s="553">
        <v>30250</v>
      </c>
      <c r="S172" s="563">
        <v>-5.0999999999999997E-2</v>
      </c>
      <c r="T172" s="563">
        <v>-4.2999999999999997E-2</v>
      </c>
      <c r="U172" s="553" t="s">
        <v>2487</v>
      </c>
      <c r="V172" s="553" t="s">
        <v>2487</v>
      </c>
      <c r="X172" s="562">
        <v>44985</v>
      </c>
      <c r="Y172" s="553">
        <v>3</v>
      </c>
      <c r="Z172" s="553">
        <v>1024.68</v>
      </c>
      <c r="AA172" s="553">
        <v>36500</v>
      </c>
      <c r="AB172" s="563">
        <v>3.0000000000000001E-3</v>
      </c>
      <c r="AC172" s="563">
        <v>-2.7E-2</v>
      </c>
    </row>
    <row r="173" spans="14:29">
      <c r="N173" s="553">
        <v>849</v>
      </c>
      <c r="O173" s="562">
        <v>43992</v>
      </c>
      <c r="P173" s="553">
        <v>4</v>
      </c>
      <c r="Q173" s="553">
        <v>900</v>
      </c>
      <c r="R173" s="553">
        <v>31600</v>
      </c>
      <c r="S173" s="563">
        <v>2.1000000000000001E-2</v>
      </c>
      <c r="T173" s="563">
        <v>0.13100000000000001</v>
      </c>
      <c r="U173" s="553" t="s">
        <v>2487</v>
      </c>
      <c r="V173" s="553" t="s">
        <v>2487</v>
      </c>
      <c r="X173" s="562">
        <v>44984</v>
      </c>
      <c r="Y173" s="553">
        <v>2</v>
      </c>
      <c r="Z173" s="553">
        <v>1021.25</v>
      </c>
      <c r="AA173" s="553">
        <v>37500</v>
      </c>
      <c r="AB173" s="563">
        <v>-1.7999999999999999E-2</v>
      </c>
      <c r="AC173" s="563">
        <v>-5.8999999999999997E-2</v>
      </c>
    </row>
    <row r="174" spans="14:29">
      <c r="N174" s="553">
        <v>854</v>
      </c>
      <c r="O174" s="562">
        <v>43985</v>
      </c>
      <c r="P174" s="553">
        <v>4</v>
      </c>
      <c r="Q174" s="553">
        <v>881.17</v>
      </c>
      <c r="R174" s="553">
        <v>27950</v>
      </c>
      <c r="S174" s="563">
        <v>2.8000000000000001E-2</v>
      </c>
      <c r="T174" s="563">
        <v>4.7E-2</v>
      </c>
      <c r="U174" s="553" t="s">
        <v>2487</v>
      </c>
      <c r="V174" s="553" t="s">
        <v>2487</v>
      </c>
      <c r="X174" s="562">
        <v>44981</v>
      </c>
      <c r="Y174" s="553">
        <v>6</v>
      </c>
      <c r="Z174" s="553">
        <v>1039.56</v>
      </c>
      <c r="AA174" s="553">
        <v>39850</v>
      </c>
      <c r="AB174" s="563">
        <v>-1.2999999999999999E-2</v>
      </c>
      <c r="AC174" s="563">
        <v>-2.5999999999999999E-2</v>
      </c>
    </row>
    <row r="175" spans="14:29">
      <c r="N175" s="553">
        <v>859</v>
      </c>
      <c r="O175" s="562">
        <v>43978</v>
      </c>
      <c r="P175" s="553">
        <v>4</v>
      </c>
      <c r="Q175" s="553">
        <v>857.48</v>
      </c>
      <c r="R175" s="553">
        <v>26700</v>
      </c>
      <c r="S175" s="563">
        <v>5.0000000000000001E-3</v>
      </c>
      <c r="T175" s="563">
        <v>-2.5999999999999999E-2</v>
      </c>
      <c r="U175" s="553" t="s">
        <v>2487</v>
      </c>
      <c r="V175" s="553" t="s">
        <v>2487</v>
      </c>
      <c r="X175" s="562">
        <v>44980</v>
      </c>
      <c r="Y175" s="553">
        <v>5</v>
      </c>
      <c r="Z175" s="553">
        <v>1053.6600000000001</v>
      </c>
      <c r="AA175" s="553">
        <v>40900</v>
      </c>
      <c r="AB175" s="563">
        <v>-1E-3</v>
      </c>
      <c r="AC175" s="563">
        <v>-1.4E-2</v>
      </c>
    </row>
    <row r="176" spans="14:29">
      <c r="N176" s="553">
        <v>864</v>
      </c>
      <c r="O176" s="562">
        <v>43971</v>
      </c>
      <c r="P176" s="553">
        <v>4</v>
      </c>
      <c r="Q176" s="553">
        <v>852.91</v>
      </c>
      <c r="R176" s="553">
        <v>27400</v>
      </c>
      <c r="S176" s="563">
        <v>2.1999999999999999E-2</v>
      </c>
      <c r="T176" s="563">
        <v>-5.0000000000000001E-3</v>
      </c>
      <c r="U176" s="553" t="s">
        <v>2487</v>
      </c>
      <c r="V176" s="553" t="s">
        <v>2487</v>
      </c>
      <c r="X176" s="562">
        <v>44979</v>
      </c>
      <c r="Y176" s="553">
        <v>4</v>
      </c>
      <c r="Z176" s="553">
        <v>1054.28</v>
      </c>
      <c r="AA176" s="553">
        <v>41500</v>
      </c>
      <c r="AB176" s="563">
        <v>-2.5999999999999999E-2</v>
      </c>
      <c r="AC176" s="563">
        <v>-7.0000000000000001E-3</v>
      </c>
    </row>
    <row r="177" spans="14:29">
      <c r="N177" s="553">
        <v>869</v>
      </c>
      <c r="O177" s="562">
        <v>43964</v>
      </c>
      <c r="P177" s="553">
        <v>4</v>
      </c>
      <c r="Q177" s="553">
        <v>834.21</v>
      </c>
      <c r="R177" s="553">
        <v>27550</v>
      </c>
      <c r="S177" s="563">
        <v>6.6000000000000003E-2</v>
      </c>
      <c r="T177" s="563">
        <v>2.4E-2</v>
      </c>
      <c r="U177" s="553" t="s">
        <v>2487</v>
      </c>
      <c r="V177" s="553" t="s">
        <v>2487</v>
      </c>
      <c r="X177" s="562">
        <v>44978</v>
      </c>
      <c r="Y177" s="553">
        <v>3</v>
      </c>
      <c r="Z177" s="553">
        <v>1082.23</v>
      </c>
      <c r="AA177" s="553">
        <v>41800</v>
      </c>
      <c r="AB177" s="563">
        <v>-4.0000000000000001E-3</v>
      </c>
      <c r="AC177" s="563">
        <v>2.5000000000000001E-2</v>
      </c>
    </row>
    <row r="178" spans="14:29">
      <c r="N178" s="553">
        <v>874</v>
      </c>
      <c r="O178" s="562">
        <v>43957</v>
      </c>
      <c r="P178" s="553">
        <v>4</v>
      </c>
      <c r="Q178" s="553">
        <v>782.59</v>
      </c>
      <c r="R178" s="553">
        <v>26900</v>
      </c>
      <c r="S178" s="563">
        <v>1.7999999999999999E-2</v>
      </c>
      <c r="T178" s="563">
        <v>8.5000000000000006E-2</v>
      </c>
      <c r="U178" s="553" t="s">
        <v>2487</v>
      </c>
      <c r="V178" s="553" t="s">
        <v>2487</v>
      </c>
      <c r="X178" s="562">
        <v>44977</v>
      </c>
      <c r="Y178" s="553">
        <v>2</v>
      </c>
      <c r="Z178" s="553">
        <v>1086.69</v>
      </c>
      <c r="AA178" s="553">
        <v>40800</v>
      </c>
      <c r="AB178" s="563">
        <v>2.5999999999999999E-2</v>
      </c>
      <c r="AC178" s="563">
        <v>2.3E-2</v>
      </c>
    </row>
    <row r="179" spans="14:29">
      <c r="N179" s="553">
        <v>877</v>
      </c>
      <c r="O179" s="562">
        <v>43950</v>
      </c>
      <c r="P179" s="553">
        <v>4</v>
      </c>
      <c r="Q179" s="553">
        <v>769.11</v>
      </c>
      <c r="R179" s="553">
        <v>24800</v>
      </c>
      <c r="S179" s="563">
        <v>0</v>
      </c>
      <c r="T179" s="563">
        <v>5.8000000000000003E-2</v>
      </c>
      <c r="U179" s="553" t="s">
        <v>2487</v>
      </c>
      <c r="V179" s="553" t="s">
        <v>2487</v>
      </c>
      <c r="X179" s="562">
        <v>44974</v>
      </c>
      <c r="Y179" s="553">
        <v>6</v>
      </c>
      <c r="Z179" s="553">
        <v>1059.31</v>
      </c>
      <c r="AA179" s="553">
        <v>39900</v>
      </c>
      <c r="AB179" s="563">
        <v>1E-3</v>
      </c>
      <c r="AC179" s="563">
        <v>-1.7999999999999999E-2</v>
      </c>
    </row>
    <row r="180" spans="14:29">
      <c r="N180" s="553">
        <v>882</v>
      </c>
      <c r="O180" s="562">
        <v>43943</v>
      </c>
      <c r="P180" s="553">
        <v>4</v>
      </c>
      <c r="Q180" s="553">
        <v>768.92</v>
      </c>
      <c r="R180" s="553">
        <v>23450</v>
      </c>
      <c r="S180" s="563">
        <v>-1.0999999999999999E-2</v>
      </c>
      <c r="T180" s="563">
        <v>2E-3</v>
      </c>
      <c r="U180" s="553" t="s">
        <v>2487</v>
      </c>
      <c r="V180" s="553" t="s">
        <v>2487</v>
      </c>
      <c r="X180" s="562">
        <v>44973</v>
      </c>
      <c r="Y180" s="553">
        <v>5</v>
      </c>
      <c r="Z180" s="553">
        <v>1058.29</v>
      </c>
      <c r="AA180" s="553">
        <v>40650</v>
      </c>
      <c r="AB180" s="563">
        <v>0.01</v>
      </c>
      <c r="AC180" s="563">
        <v>2.3E-2</v>
      </c>
    </row>
    <row r="181" spans="14:29">
      <c r="N181" s="553">
        <v>887</v>
      </c>
      <c r="O181" s="562">
        <v>43936</v>
      </c>
      <c r="P181" s="553">
        <v>4</v>
      </c>
      <c r="Q181" s="553">
        <v>777.22</v>
      </c>
      <c r="R181" s="553">
        <v>23400</v>
      </c>
      <c r="S181" s="563">
        <v>3.9E-2</v>
      </c>
      <c r="T181" s="563">
        <v>2.9000000000000001E-2</v>
      </c>
      <c r="U181" s="553" t="s">
        <v>2487</v>
      </c>
      <c r="V181" s="553" t="s">
        <v>2487</v>
      </c>
      <c r="X181" s="562">
        <v>44972</v>
      </c>
      <c r="Y181" s="553">
        <v>4</v>
      </c>
      <c r="Z181" s="553">
        <v>1048.2</v>
      </c>
      <c r="AA181" s="553">
        <v>39750</v>
      </c>
      <c r="AB181" s="563">
        <v>8.9999999999999993E-3</v>
      </c>
      <c r="AC181" s="563">
        <v>1.4E-2</v>
      </c>
    </row>
    <row r="182" spans="14:29">
      <c r="N182" s="553">
        <v>892</v>
      </c>
      <c r="O182" s="562">
        <v>43929</v>
      </c>
      <c r="P182" s="553">
        <v>4</v>
      </c>
      <c r="Q182" s="553">
        <v>748.02</v>
      </c>
      <c r="R182" s="553">
        <v>22750</v>
      </c>
      <c r="S182" s="563">
        <v>0.1</v>
      </c>
      <c r="T182" s="563">
        <v>0.22600000000000001</v>
      </c>
      <c r="U182" s="553" t="s">
        <v>2487</v>
      </c>
      <c r="V182" s="553" t="s">
        <v>2487</v>
      </c>
      <c r="X182" s="562">
        <v>44971</v>
      </c>
      <c r="Y182" s="553">
        <v>3</v>
      </c>
      <c r="Z182" s="553">
        <v>1038.6400000000001</v>
      </c>
      <c r="AA182" s="553">
        <v>39200</v>
      </c>
      <c r="AB182" s="563">
        <v>-5.0000000000000001E-3</v>
      </c>
      <c r="AC182" s="563">
        <v>5.0000000000000001E-3</v>
      </c>
    </row>
    <row r="183" spans="14:29">
      <c r="N183" s="553">
        <v>896</v>
      </c>
      <c r="O183" s="562">
        <v>43922</v>
      </c>
      <c r="P183" s="553">
        <v>4</v>
      </c>
      <c r="Q183" s="553">
        <v>680.23</v>
      </c>
      <c r="R183" s="553">
        <v>18550</v>
      </c>
      <c r="S183" s="563">
        <v>-1.4999999999999999E-2</v>
      </c>
      <c r="T183" s="563">
        <v>-1.2999999999999999E-2</v>
      </c>
      <c r="U183" s="553" t="s">
        <v>2487</v>
      </c>
      <c r="V183" s="553" t="s">
        <v>2487</v>
      </c>
      <c r="X183" s="562">
        <v>44970</v>
      </c>
      <c r="Y183" s="553">
        <v>2</v>
      </c>
      <c r="Z183" s="553">
        <v>1043.7</v>
      </c>
      <c r="AA183" s="553">
        <v>39000</v>
      </c>
      <c r="AB183" s="563">
        <v>-1.0999999999999999E-2</v>
      </c>
      <c r="AC183" s="563">
        <v>-1.7999999999999999E-2</v>
      </c>
    </row>
    <row r="184" spans="14:29">
      <c r="N184" s="553">
        <v>901</v>
      </c>
      <c r="O184" s="562">
        <v>43915</v>
      </c>
      <c r="P184" s="553">
        <v>4</v>
      </c>
      <c r="Q184" s="553">
        <v>690.25</v>
      </c>
      <c r="R184" s="553">
        <v>18800</v>
      </c>
      <c r="S184" s="563">
        <v>-7.6999999999999999E-2</v>
      </c>
      <c r="T184" s="563">
        <v>-8.6999999999999994E-2</v>
      </c>
      <c r="U184" s="553" t="s">
        <v>2487</v>
      </c>
      <c r="V184" s="553" t="s">
        <v>2487</v>
      </c>
      <c r="X184" s="562">
        <v>44967</v>
      </c>
      <c r="Y184" s="553">
        <v>6</v>
      </c>
      <c r="Z184" s="553">
        <v>1055.3</v>
      </c>
      <c r="AA184" s="553">
        <v>39700</v>
      </c>
      <c r="AB184" s="563">
        <v>-8.0000000000000002E-3</v>
      </c>
      <c r="AC184" s="563">
        <v>-2.8000000000000001E-2</v>
      </c>
    </row>
    <row r="185" spans="14:29">
      <c r="N185" s="553">
        <v>906</v>
      </c>
      <c r="O185" s="562">
        <v>43908</v>
      </c>
      <c r="P185" s="553">
        <v>4</v>
      </c>
      <c r="Q185" s="553">
        <v>747.66</v>
      </c>
      <c r="R185" s="553">
        <v>20600</v>
      </c>
      <c r="S185" s="563">
        <v>-7.8E-2</v>
      </c>
      <c r="T185" s="563">
        <v>-0.125</v>
      </c>
      <c r="U185" s="553" t="s">
        <v>2487</v>
      </c>
      <c r="V185" s="553" t="s">
        <v>2487</v>
      </c>
      <c r="X185" s="562">
        <v>44966</v>
      </c>
      <c r="Y185" s="553">
        <v>5</v>
      </c>
      <c r="Z185" s="553">
        <v>1064.03</v>
      </c>
      <c r="AA185" s="553">
        <v>40850</v>
      </c>
      <c r="AB185" s="563">
        <v>-8.0000000000000002E-3</v>
      </c>
      <c r="AC185" s="563">
        <v>-0.02</v>
      </c>
    </row>
    <row r="186" spans="14:29">
      <c r="N186" s="553">
        <v>911</v>
      </c>
      <c r="O186" s="562">
        <v>43901</v>
      </c>
      <c r="P186" s="553">
        <v>4</v>
      </c>
      <c r="Q186" s="553">
        <v>811.35</v>
      </c>
      <c r="R186" s="553">
        <v>23550</v>
      </c>
      <c r="S186" s="563">
        <v>-8.7999999999999995E-2</v>
      </c>
      <c r="T186" s="563">
        <v>-0.125</v>
      </c>
      <c r="U186" s="553" t="s">
        <v>2487</v>
      </c>
      <c r="V186" s="553" t="s">
        <v>2487</v>
      </c>
      <c r="X186" s="562">
        <v>44965</v>
      </c>
      <c r="Y186" s="553">
        <v>4</v>
      </c>
      <c r="Z186" s="553">
        <v>1072.22</v>
      </c>
      <c r="AA186" s="553">
        <v>41700</v>
      </c>
      <c r="AB186" s="563">
        <v>6.0000000000000001E-3</v>
      </c>
      <c r="AC186" s="563">
        <v>1.7000000000000001E-2</v>
      </c>
    </row>
    <row r="187" spans="14:29">
      <c r="N187" s="553">
        <v>916</v>
      </c>
      <c r="O187" s="562">
        <v>43894</v>
      </c>
      <c r="P187" s="553">
        <v>4</v>
      </c>
      <c r="Q187" s="553">
        <v>889.37</v>
      </c>
      <c r="R187" s="553">
        <v>26900</v>
      </c>
      <c r="S187" s="563">
        <v>-7.0000000000000001E-3</v>
      </c>
      <c r="T187" s="563">
        <v>1.0999999999999999E-2</v>
      </c>
      <c r="U187" s="553" t="s">
        <v>2487</v>
      </c>
      <c r="V187" s="553" t="s">
        <v>2487</v>
      </c>
      <c r="X187" s="562">
        <v>44964</v>
      </c>
      <c r="Y187" s="553">
        <v>3</v>
      </c>
      <c r="Z187" s="553">
        <v>1065.8399999999999</v>
      </c>
      <c r="AA187" s="553">
        <v>41000</v>
      </c>
      <c r="AB187" s="563">
        <v>-2.1999999999999999E-2</v>
      </c>
      <c r="AC187" s="563">
        <v>-1E-3</v>
      </c>
    </row>
    <row r="188" spans="14:29">
      <c r="N188" s="553">
        <v>921</v>
      </c>
      <c r="O188" s="562">
        <v>43887</v>
      </c>
      <c r="P188" s="553">
        <v>4</v>
      </c>
      <c r="Q188" s="553">
        <v>895.97</v>
      </c>
      <c r="R188" s="553">
        <v>26600</v>
      </c>
      <c r="S188" s="563">
        <v>-3.5000000000000003E-2</v>
      </c>
      <c r="T188" s="563">
        <v>-5.2999999999999999E-2</v>
      </c>
      <c r="U188" s="553" t="s">
        <v>2487</v>
      </c>
      <c r="V188" s="553" t="s">
        <v>2487</v>
      </c>
      <c r="X188" s="562">
        <v>44963</v>
      </c>
      <c r="Y188" s="553">
        <v>2</v>
      </c>
      <c r="Z188" s="553">
        <v>1089.29</v>
      </c>
      <c r="AA188" s="553">
        <v>41050</v>
      </c>
      <c r="AB188" s="563">
        <v>1.0999999999999999E-2</v>
      </c>
      <c r="AC188" s="563">
        <v>-6.0000000000000001E-3</v>
      </c>
    </row>
    <row r="189" spans="14:29">
      <c r="N189" s="553">
        <v>926</v>
      </c>
      <c r="O189" s="562">
        <v>43880</v>
      </c>
      <c r="P189" s="553">
        <v>4</v>
      </c>
      <c r="Q189" s="553">
        <v>928.76</v>
      </c>
      <c r="R189" s="553">
        <v>28100</v>
      </c>
      <c r="S189" s="563">
        <v>-0.01</v>
      </c>
      <c r="T189" s="563">
        <v>3.6999999999999998E-2</v>
      </c>
      <c r="U189" s="553" t="s">
        <v>2487</v>
      </c>
      <c r="V189" s="553" t="s">
        <v>2487</v>
      </c>
      <c r="X189" s="562">
        <v>44960</v>
      </c>
      <c r="Y189" s="553">
        <v>6</v>
      </c>
      <c r="Z189" s="553">
        <v>1077.1500000000001</v>
      </c>
      <c r="AA189" s="553">
        <v>41300</v>
      </c>
      <c r="AB189" s="563">
        <v>0</v>
      </c>
      <c r="AC189" s="563">
        <v>0.02</v>
      </c>
    </row>
    <row r="190" spans="14:29">
      <c r="N190" s="553">
        <v>931</v>
      </c>
      <c r="O190" s="562">
        <v>43873</v>
      </c>
      <c r="P190" s="553">
        <v>4</v>
      </c>
      <c r="Q190" s="553">
        <v>937.68</v>
      </c>
      <c r="R190" s="553">
        <v>27100</v>
      </c>
      <c r="S190" s="563">
        <v>1.2999999999999999E-2</v>
      </c>
      <c r="T190" s="563">
        <v>0.13400000000000001</v>
      </c>
      <c r="U190" s="553" t="s">
        <v>2487</v>
      </c>
      <c r="V190" s="553" t="s">
        <v>2487</v>
      </c>
      <c r="X190" s="562">
        <v>44959</v>
      </c>
      <c r="Y190" s="553">
        <v>5</v>
      </c>
      <c r="Z190" s="553">
        <v>1077.5899999999999</v>
      </c>
      <c r="AA190" s="553">
        <v>40500</v>
      </c>
      <c r="AB190" s="563">
        <v>2E-3</v>
      </c>
      <c r="AC190" s="563">
        <v>-1.9E-2</v>
      </c>
    </row>
    <row r="191" spans="14:29">
      <c r="N191" s="553">
        <v>936</v>
      </c>
      <c r="O191" s="562">
        <v>43866</v>
      </c>
      <c r="P191" s="553">
        <v>4</v>
      </c>
      <c r="Q191" s="553">
        <v>925.91</v>
      </c>
      <c r="R191" s="553">
        <v>23900</v>
      </c>
      <c r="S191" s="563">
        <v>-6.6000000000000003E-2</v>
      </c>
      <c r="T191" s="563">
        <v>-7.3999999999999996E-2</v>
      </c>
      <c r="U191" s="553" t="s">
        <v>2487</v>
      </c>
      <c r="V191" s="553" t="s">
        <v>2487</v>
      </c>
      <c r="X191" s="562">
        <v>44958</v>
      </c>
      <c r="Y191" s="553">
        <v>4</v>
      </c>
      <c r="Z191" s="553">
        <v>1075.97</v>
      </c>
      <c r="AA191" s="553">
        <v>41300</v>
      </c>
      <c r="AB191" s="563">
        <v>-3.2000000000000001E-2</v>
      </c>
      <c r="AC191" s="563">
        <v>-6.0999999999999999E-2</v>
      </c>
    </row>
    <row r="192" spans="14:29">
      <c r="N192" s="553">
        <v>941</v>
      </c>
      <c r="O192" s="562">
        <v>43852</v>
      </c>
      <c r="P192" s="553">
        <v>4</v>
      </c>
      <c r="Q192" s="553">
        <v>991.46</v>
      </c>
      <c r="R192" s="553">
        <v>25800</v>
      </c>
      <c r="S192" s="563">
        <v>2.5000000000000001E-2</v>
      </c>
      <c r="T192" s="563">
        <v>4.9000000000000002E-2</v>
      </c>
      <c r="U192" s="553" t="s">
        <v>2487</v>
      </c>
      <c r="V192" s="553" t="s">
        <v>2487</v>
      </c>
      <c r="X192" s="562">
        <v>44957</v>
      </c>
      <c r="Y192" s="553">
        <v>3</v>
      </c>
      <c r="Z192" s="553">
        <v>1111.18</v>
      </c>
      <c r="AA192" s="553">
        <v>44000</v>
      </c>
      <c r="AB192" s="563">
        <v>8.0000000000000002E-3</v>
      </c>
      <c r="AC192" s="563">
        <v>2.8000000000000001E-2</v>
      </c>
    </row>
    <row r="193" spans="14:29">
      <c r="N193" s="553">
        <v>946</v>
      </c>
      <c r="O193" s="562">
        <v>43845</v>
      </c>
      <c r="P193" s="553">
        <v>4</v>
      </c>
      <c r="Q193" s="553">
        <v>967.56</v>
      </c>
      <c r="R193" s="553">
        <v>24600</v>
      </c>
      <c r="S193" s="563">
        <v>0.02</v>
      </c>
      <c r="T193" s="563">
        <v>0.10299999999999999</v>
      </c>
      <c r="U193" s="553" t="s">
        <v>2487</v>
      </c>
      <c r="V193" s="553" t="s">
        <v>2487</v>
      </c>
      <c r="X193" s="562">
        <v>44956</v>
      </c>
      <c r="Y193" s="553">
        <v>2</v>
      </c>
      <c r="Z193" s="553">
        <v>1102.57</v>
      </c>
      <c r="AA193" s="553">
        <v>42800</v>
      </c>
      <c r="AB193" s="563">
        <v>-1.2999999999999999E-2</v>
      </c>
      <c r="AC193" s="563">
        <v>-1.7999999999999999E-2</v>
      </c>
    </row>
    <row r="194" spans="14:29">
      <c r="N194" s="553">
        <v>951</v>
      </c>
      <c r="O194" s="562">
        <v>43838</v>
      </c>
      <c r="P194" s="553">
        <v>4</v>
      </c>
      <c r="Q194" s="553">
        <v>948.98</v>
      </c>
      <c r="R194" s="553">
        <v>22300</v>
      </c>
      <c r="S194" s="563">
        <v>-1.2E-2</v>
      </c>
      <c r="T194" s="563">
        <v>0</v>
      </c>
      <c r="U194" s="553" t="s">
        <v>2487</v>
      </c>
      <c r="V194" s="553" t="s">
        <v>2487</v>
      </c>
      <c r="X194" s="562">
        <v>44953</v>
      </c>
      <c r="Y194" s="553">
        <v>6</v>
      </c>
      <c r="Z194" s="553">
        <v>1117.0999999999999</v>
      </c>
      <c r="AA194" s="553">
        <v>43600</v>
      </c>
      <c r="AB194" s="563">
        <v>8.0000000000000002E-3</v>
      </c>
      <c r="AC194" s="563">
        <v>8.9999999999999993E-3</v>
      </c>
    </row>
    <row r="195" spans="14:29">
      <c r="N195" s="553">
        <v>960</v>
      </c>
      <c r="O195" s="562">
        <v>43824</v>
      </c>
      <c r="P195" s="553">
        <v>4</v>
      </c>
      <c r="Q195" s="553">
        <v>960.92</v>
      </c>
      <c r="R195" s="553">
        <v>22300</v>
      </c>
      <c r="S195" s="563">
        <v>0.01</v>
      </c>
      <c r="T195" s="563">
        <v>-4.0000000000000001E-3</v>
      </c>
      <c r="U195" s="553" t="s">
        <v>2487</v>
      </c>
      <c r="V195" s="553" t="s">
        <v>2487</v>
      </c>
      <c r="X195" s="562">
        <v>44945</v>
      </c>
      <c r="Y195" s="553">
        <v>5</v>
      </c>
      <c r="Z195" s="553">
        <v>1108.08</v>
      </c>
      <c r="AA195" s="553">
        <v>43200</v>
      </c>
      <c r="AB195" s="563">
        <v>8.9999999999999993E-3</v>
      </c>
      <c r="AC195" s="563">
        <v>1.4999999999999999E-2</v>
      </c>
    </row>
    <row r="196" spans="14:29">
      <c r="N196" s="553">
        <v>965</v>
      </c>
      <c r="O196" s="562">
        <v>43817</v>
      </c>
      <c r="P196" s="553">
        <v>4</v>
      </c>
      <c r="Q196" s="553">
        <v>951.13</v>
      </c>
      <c r="R196" s="553">
        <v>22400</v>
      </c>
      <c r="S196" s="563">
        <v>-1.0999999999999999E-2</v>
      </c>
      <c r="T196" s="563">
        <v>-4.7E-2</v>
      </c>
      <c r="U196" s="553" t="s">
        <v>2487</v>
      </c>
      <c r="V196" s="553" t="s">
        <v>2487</v>
      </c>
      <c r="X196" s="562">
        <v>44944</v>
      </c>
      <c r="Y196" s="553">
        <v>4</v>
      </c>
      <c r="Z196" s="553">
        <v>1098.28</v>
      </c>
      <c r="AA196" s="553">
        <v>42550</v>
      </c>
      <c r="AB196" s="563">
        <v>8.9999999999999993E-3</v>
      </c>
      <c r="AC196" s="563">
        <v>6.9000000000000006E-2</v>
      </c>
    </row>
    <row r="197" spans="14:29">
      <c r="N197" s="553">
        <v>970</v>
      </c>
      <c r="O197" s="562">
        <v>43810</v>
      </c>
      <c r="P197" s="553">
        <v>4</v>
      </c>
      <c r="Q197" s="553">
        <v>961.78</v>
      </c>
      <c r="R197" s="553">
        <v>23500</v>
      </c>
      <c r="S197" s="563">
        <v>-4.0000000000000001E-3</v>
      </c>
      <c r="T197" s="563">
        <v>-1.0999999999999999E-2</v>
      </c>
      <c r="U197" s="553" t="s">
        <v>2487</v>
      </c>
      <c r="V197" s="553" t="s">
        <v>2487</v>
      </c>
      <c r="X197" s="562">
        <v>44943</v>
      </c>
      <c r="Y197" s="553">
        <v>3</v>
      </c>
      <c r="Z197" s="553">
        <v>1088.29</v>
      </c>
      <c r="AA197" s="553">
        <v>39800</v>
      </c>
      <c r="AB197" s="563">
        <v>0.02</v>
      </c>
      <c r="AC197" s="563">
        <v>2.5999999999999999E-2</v>
      </c>
    </row>
    <row r="198" spans="14:29">
      <c r="N198" s="553">
        <v>975</v>
      </c>
      <c r="O198" s="562">
        <v>43803</v>
      </c>
      <c r="P198" s="553">
        <v>4</v>
      </c>
      <c r="Q198" s="553">
        <v>965.9</v>
      </c>
      <c r="R198" s="553">
        <v>23750</v>
      </c>
      <c r="S198" s="563">
        <v>-1.2999999999999999E-2</v>
      </c>
      <c r="T198" s="563">
        <v>-2.5000000000000001E-2</v>
      </c>
      <c r="U198" s="553" t="s">
        <v>2487</v>
      </c>
      <c r="V198" s="553" t="s">
        <v>2487</v>
      </c>
      <c r="X198" s="562">
        <v>44942</v>
      </c>
      <c r="Y198" s="553">
        <v>2</v>
      </c>
      <c r="Z198" s="553">
        <v>1066.68</v>
      </c>
      <c r="AA198" s="553">
        <v>38800</v>
      </c>
      <c r="AB198" s="563">
        <v>6.0000000000000001E-3</v>
      </c>
      <c r="AC198" s="563">
        <v>-0.02</v>
      </c>
    </row>
    <row r="199" spans="14:29">
      <c r="N199" s="553">
        <v>980</v>
      </c>
      <c r="O199" s="562">
        <v>43796</v>
      </c>
      <c r="P199" s="553">
        <v>4</v>
      </c>
      <c r="Q199" s="553">
        <v>978.17</v>
      </c>
      <c r="R199" s="553">
        <v>24350</v>
      </c>
      <c r="S199" s="563">
        <v>-2.1999999999999999E-2</v>
      </c>
      <c r="T199" s="563">
        <v>-0.06</v>
      </c>
      <c r="U199" s="553" t="s">
        <v>2487</v>
      </c>
      <c r="V199" s="553" t="s">
        <v>2487</v>
      </c>
      <c r="X199" s="562">
        <v>44939</v>
      </c>
      <c r="Y199" s="553">
        <v>6</v>
      </c>
      <c r="Z199" s="553">
        <v>1060.17</v>
      </c>
      <c r="AA199" s="553">
        <v>39600</v>
      </c>
      <c r="AB199" s="563">
        <v>4.0000000000000001E-3</v>
      </c>
      <c r="AC199" s="563">
        <v>0</v>
      </c>
    </row>
    <row r="200" spans="14:29">
      <c r="N200" s="553">
        <v>985</v>
      </c>
      <c r="O200" s="562">
        <v>43789</v>
      </c>
      <c r="P200" s="553">
        <v>4</v>
      </c>
      <c r="Q200" s="553">
        <v>1000.56</v>
      </c>
      <c r="R200" s="553">
        <v>25900</v>
      </c>
      <c r="S200" s="563">
        <v>-1.2E-2</v>
      </c>
      <c r="T200" s="563">
        <v>-1.9E-2</v>
      </c>
      <c r="U200" s="553" t="s">
        <v>2487</v>
      </c>
      <c r="V200" s="553" t="s">
        <v>2487</v>
      </c>
      <c r="X200" s="562">
        <v>44938</v>
      </c>
      <c r="Y200" s="553">
        <v>5</v>
      </c>
      <c r="Z200" s="553">
        <v>1056.3900000000001</v>
      </c>
      <c r="AA200" s="553">
        <v>39600</v>
      </c>
      <c r="AB200" s="563">
        <v>1E-3</v>
      </c>
      <c r="AC200" s="563">
        <v>0</v>
      </c>
    </row>
    <row r="201" spans="14:29">
      <c r="N201" s="553">
        <v>990</v>
      </c>
      <c r="O201" s="562">
        <v>43782</v>
      </c>
      <c r="P201" s="553">
        <v>4</v>
      </c>
      <c r="Q201" s="553">
        <v>1012.77</v>
      </c>
      <c r="R201" s="553">
        <v>26400</v>
      </c>
      <c r="S201" s="563">
        <v>-1.2E-2</v>
      </c>
      <c r="T201" s="563">
        <v>1.4999999999999999E-2</v>
      </c>
      <c r="U201" s="553" t="s">
        <v>2487</v>
      </c>
      <c r="V201" s="553" t="s">
        <v>2487</v>
      </c>
      <c r="X201" s="562">
        <v>44937</v>
      </c>
      <c r="Y201" s="553">
        <v>4</v>
      </c>
      <c r="Z201" s="553">
        <v>1055.76</v>
      </c>
      <c r="AA201" s="553">
        <v>39600</v>
      </c>
      <c r="AB201" s="563">
        <v>2E-3</v>
      </c>
      <c r="AC201" s="563">
        <v>-4.0000000000000001E-3</v>
      </c>
    </row>
    <row r="202" spans="14:29">
      <c r="N202" s="553">
        <v>995</v>
      </c>
      <c r="O202" s="562">
        <v>43775</v>
      </c>
      <c r="P202" s="553">
        <v>4</v>
      </c>
      <c r="Q202" s="553">
        <v>1024.9100000000001</v>
      </c>
      <c r="R202" s="553">
        <v>26000</v>
      </c>
      <c r="S202" s="563">
        <v>2.4E-2</v>
      </c>
      <c r="T202" s="563">
        <v>-1.0999999999999999E-2</v>
      </c>
      <c r="U202" s="553" t="s">
        <v>2487</v>
      </c>
      <c r="V202" s="553" t="s">
        <v>2487</v>
      </c>
      <c r="X202" s="562">
        <v>44936</v>
      </c>
      <c r="Y202" s="553">
        <v>3</v>
      </c>
      <c r="Z202" s="553">
        <v>1053.3499999999999</v>
      </c>
      <c r="AA202" s="553">
        <v>39750</v>
      </c>
      <c r="AB202" s="563">
        <v>-1E-3</v>
      </c>
      <c r="AC202" s="563">
        <v>0.03</v>
      </c>
    </row>
    <row r="203" spans="14:29">
      <c r="N203" s="553">
        <v>1000</v>
      </c>
      <c r="O203" s="562">
        <v>43768</v>
      </c>
      <c r="P203" s="553">
        <v>4</v>
      </c>
      <c r="Q203" s="553">
        <v>1000.89</v>
      </c>
      <c r="R203" s="553">
        <v>26300</v>
      </c>
      <c r="S203" s="563">
        <v>1.2999999999999999E-2</v>
      </c>
      <c r="T203" s="563">
        <v>2.7E-2</v>
      </c>
      <c r="U203" s="553" t="s">
        <v>2487</v>
      </c>
      <c r="V203" s="553" t="s">
        <v>2487</v>
      </c>
      <c r="X203" s="562">
        <v>44935</v>
      </c>
      <c r="Y203" s="553">
        <v>2</v>
      </c>
      <c r="Z203" s="553">
        <v>1054.21</v>
      </c>
      <c r="AA203" s="553">
        <v>38600</v>
      </c>
      <c r="AB203" s="563">
        <v>3.0000000000000001E-3</v>
      </c>
      <c r="AC203" s="563">
        <v>5.0000000000000001E-3</v>
      </c>
    </row>
    <row r="204" spans="14:29">
      <c r="N204" s="553">
        <v>1005</v>
      </c>
      <c r="O204" s="562">
        <v>43761</v>
      </c>
      <c r="P204" s="553">
        <v>4</v>
      </c>
      <c r="Q204" s="553">
        <v>987.79</v>
      </c>
      <c r="R204" s="553">
        <v>25600</v>
      </c>
      <c r="S204" s="563">
        <v>-7.0000000000000001E-3</v>
      </c>
      <c r="T204" s="563">
        <v>2.4E-2</v>
      </c>
      <c r="U204" s="553" t="s">
        <v>2487</v>
      </c>
      <c r="V204" s="553" t="s">
        <v>2487</v>
      </c>
      <c r="X204" s="562">
        <v>44932</v>
      </c>
      <c r="Y204" s="553">
        <v>6</v>
      </c>
      <c r="Z204" s="553">
        <v>1051.44</v>
      </c>
      <c r="AA204" s="553">
        <v>38400</v>
      </c>
      <c r="AB204" s="563">
        <v>-4.0000000000000001E-3</v>
      </c>
      <c r="AC204" s="563">
        <v>-2.9000000000000001E-2</v>
      </c>
    </row>
    <row r="205" spans="14:29">
      <c r="N205" s="553">
        <v>1010</v>
      </c>
      <c r="O205" s="562">
        <v>43754</v>
      </c>
      <c r="P205" s="553">
        <v>4</v>
      </c>
      <c r="Q205" s="553">
        <v>994.46</v>
      </c>
      <c r="R205" s="553">
        <v>25000</v>
      </c>
      <c r="S205" s="563">
        <v>7.0000000000000001E-3</v>
      </c>
      <c r="T205" s="563">
        <v>2.1999999999999999E-2</v>
      </c>
      <c r="U205" s="553" t="s">
        <v>2487</v>
      </c>
      <c r="V205" s="553" t="s">
        <v>2487</v>
      </c>
      <c r="X205" s="562">
        <v>44931</v>
      </c>
      <c r="Y205" s="553">
        <v>5</v>
      </c>
      <c r="Z205" s="553">
        <v>1055.82</v>
      </c>
      <c r="AA205" s="553">
        <v>39550</v>
      </c>
      <c r="AB205" s="563">
        <v>8.9999999999999993E-3</v>
      </c>
      <c r="AC205" s="563">
        <v>-1.4E-2</v>
      </c>
    </row>
    <row r="206" spans="14:29">
      <c r="N206" s="553">
        <v>1015</v>
      </c>
      <c r="O206" s="562">
        <v>43747</v>
      </c>
      <c r="P206" s="553">
        <v>4</v>
      </c>
      <c r="Q206" s="553">
        <v>987.83</v>
      </c>
      <c r="R206" s="553">
        <v>24450</v>
      </c>
      <c r="S206" s="563">
        <v>-3.0000000000000001E-3</v>
      </c>
      <c r="T206" s="563">
        <v>-3.9E-2</v>
      </c>
      <c r="U206" s="553" t="s">
        <v>2487</v>
      </c>
      <c r="V206" s="553" t="s">
        <v>2487</v>
      </c>
      <c r="X206" s="562">
        <v>44930</v>
      </c>
      <c r="Y206" s="553">
        <v>4</v>
      </c>
      <c r="Z206" s="553">
        <v>1046.3499999999999</v>
      </c>
      <c r="AA206" s="553">
        <v>40100</v>
      </c>
      <c r="AB206" s="563">
        <v>2E-3</v>
      </c>
      <c r="AC206" s="563">
        <v>2E-3</v>
      </c>
    </row>
    <row r="207" spans="14:29">
      <c r="N207" s="553">
        <v>1020</v>
      </c>
      <c r="O207" s="562">
        <v>43740</v>
      </c>
      <c r="P207" s="553">
        <v>4</v>
      </c>
      <c r="Q207" s="553">
        <v>991.19</v>
      </c>
      <c r="R207" s="553">
        <v>25450</v>
      </c>
      <c r="S207" s="563">
        <v>4.0000000000000001E-3</v>
      </c>
      <c r="T207" s="563">
        <v>1.4E-2</v>
      </c>
      <c r="U207" s="553" t="s">
        <v>2487</v>
      </c>
      <c r="V207" s="553" t="s">
        <v>2487</v>
      </c>
      <c r="X207" s="562">
        <v>44929</v>
      </c>
      <c r="Y207" s="553">
        <v>3</v>
      </c>
      <c r="Z207" s="553">
        <v>1043.9000000000001</v>
      </c>
      <c r="AA207" s="553">
        <v>40000</v>
      </c>
      <c r="AB207" s="563">
        <v>3.6999999999999998E-2</v>
      </c>
      <c r="AC207" s="563">
        <v>0.06</v>
      </c>
    </row>
    <row r="208" spans="14:29">
      <c r="N208" s="553">
        <v>1025</v>
      </c>
      <c r="O208" s="562">
        <v>43733</v>
      </c>
      <c r="P208" s="553">
        <v>4</v>
      </c>
      <c r="Q208" s="553">
        <v>987.3</v>
      </c>
      <c r="R208" s="553">
        <v>25100</v>
      </c>
      <c r="S208" s="563">
        <v>-8.0000000000000002E-3</v>
      </c>
      <c r="T208" s="563">
        <v>6.4000000000000001E-2</v>
      </c>
      <c r="U208" s="553" t="s">
        <v>2487</v>
      </c>
      <c r="V208" s="553" t="s">
        <v>2487</v>
      </c>
      <c r="X208" s="562">
        <v>44925</v>
      </c>
      <c r="Y208" s="553">
        <v>6</v>
      </c>
      <c r="Z208" s="553">
        <v>1007.09</v>
      </c>
      <c r="AA208" s="553">
        <v>37750</v>
      </c>
      <c r="AB208" s="563">
        <v>-2E-3</v>
      </c>
      <c r="AC208" s="563">
        <v>-7.0000000000000001E-3</v>
      </c>
    </row>
    <row r="209" spans="14:29">
      <c r="N209" s="553">
        <v>1030</v>
      </c>
      <c r="O209" s="562">
        <v>43726</v>
      </c>
      <c r="P209" s="553">
        <v>4</v>
      </c>
      <c r="Q209" s="553">
        <v>995.15</v>
      </c>
      <c r="R209" s="553">
        <v>23600</v>
      </c>
      <c r="S209" s="563">
        <v>2.7E-2</v>
      </c>
      <c r="T209" s="563">
        <v>1.7000000000000001E-2</v>
      </c>
      <c r="U209" s="553" t="s">
        <v>2487</v>
      </c>
      <c r="V209" s="553" t="s">
        <v>2487</v>
      </c>
      <c r="X209" s="562">
        <v>44924</v>
      </c>
      <c r="Y209" s="553">
        <v>5</v>
      </c>
      <c r="Z209" s="553">
        <v>1009.29</v>
      </c>
      <c r="AA209" s="553">
        <v>38000</v>
      </c>
      <c r="AB209" s="563">
        <v>-6.0000000000000001E-3</v>
      </c>
      <c r="AC209" s="563">
        <v>-1.2E-2</v>
      </c>
    </row>
    <row r="210" spans="14:29">
      <c r="N210" s="553">
        <v>1035</v>
      </c>
      <c r="O210" s="562">
        <v>43719</v>
      </c>
      <c r="P210" s="553">
        <v>4</v>
      </c>
      <c r="Q210" s="553">
        <v>969.31</v>
      </c>
      <c r="R210" s="553">
        <v>23200</v>
      </c>
      <c r="S210" s="563">
        <v>-8.9999999999999993E-3</v>
      </c>
      <c r="T210" s="563">
        <v>-3.3000000000000002E-2</v>
      </c>
      <c r="U210" s="553" t="s">
        <v>2487</v>
      </c>
      <c r="V210" s="553" t="s">
        <v>2487</v>
      </c>
      <c r="X210" s="562">
        <v>44923</v>
      </c>
      <c r="Y210" s="553">
        <v>4</v>
      </c>
      <c r="Z210" s="553">
        <v>1015.66</v>
      </c>
      <c r="AA210" s="553">
        <v>38450</v>
      </c>
      <c r="AB210" s="563">
        <v>1.0999999999999999E-2</v>
      </c>
      <c r="AC210" s="563">
        <v>-4.0000000000000001E-3</v>
      </c>
    </row>
    <row r="211" spans="14:29">
      <c r="N211" s="553">
        <v>1040</v>
      </c>
      <c r="O211" s="562">
        <v>43712</v>
      </c>
      <c r="P211" s="553">
        <v>4</v>
      </c>
      <c r="Q211" s="553">
        <v>977.63</v>
      </c>
      <c r="R211" s="553">
        <v>24000</v>
      </c>
      <c r="S211" s="563">
        <v>0</v>
      </c>
      <c r="T211" s="563">
        <v>5.2999999999999999E-2</v>
      </c>
      <c r="U211" s="553" t="s">
        <v>2487</v>
      </c>
      <c r="V211" s="553" t="s">
        <v>2487</v>
      </c>
      <c r="X211" s="562">
        <v>44922</v>
      </c>
      <c r="Y211" s="553">
        <v>3</v>
      </c>
      <c r="Z211" s="553">
        <v>1004.57</v>
      </c>
      <c r="AA211" s="553">
        <v>38600</v>
      </c>
      <c r="AB211" s="563">
        <v>0.02</v>
      </c>
      <c r="AC211" s="563">
        <v>0.05</v>
      </c>
    </row>
    <row r="212" spans="14:29">
      <c r="N212" s="553">
        <v>1044</v>
      </c>
      <c r="O212" s="562">
        <v>43705</v>
      </c>
      <c r="P212" s="553">
        <v>4</v>
      </c>
      <c r="Q212" s="553">
        <v>977.26</v>
      </c>
      <c r="R212" s="553">
        <v>22800</v>
      </c>
      <c r="S212" s="563">
        <v>-1.7000000000000001E-2</v>
      </c>
      <c r="T212" s="563">
        <v>-0.06</v>
      </c>
      <c r="U212" s="553" t="s">
        <v>2487</v>
      </c>
      <c r="V212" s="553" t="s">
        <v>2487</v>
      </c>
      <c r="X212" s="562">
        <v>44921</v>
      </c>
      <c r="Y212" s="553">
        <v>2</v>
      </c>
      <c r="Z212" s="553">
        <v>985.21</v>
      </c>
      <c r="AA212" s="553">
        <v>36750</v>
      </c>
      <c r="AB212" s="563">
        <v>-3.4000000000000002E-2</v>
      </c>
      <c r="AC212" s="563">
        <v>-6.7000000000000004E-2</v>
      </c>
    </row>
    <row r="213" spans="14:29">
      <c r="N213" s="553">
        <v>1049</v>
      </c>
      <c r="O213" s="562">
        <v>43698</v>
      </c>
      <c r="P213" s="553">
        <v>4</v>
      </c>
      <c r="Q213" s="553">
        <v>994.38</v>
      </c>
      <c r="R213" s="553">
        <v>24250</v>
      </c>
      <c r="S213" s="563">
        <v>2.5999999999999999E-2</v>
      </c>
      <c r="T213" s="563">
        <v>2.8000000000000001E-2</v>
      </c>
      <c r="U213" s="553" t="s">
        <v>2487</v>
      </c>
      <c r="V213" s="553" t="s">
        <v>2487</v>
      </c>
      <c r="X213" s="562">
        <v>44918</v>
      </c>
      <c r="Y213" s="553">
        <v>6</v>
      </c>
      <c r="Z213" s="553">
        <v>1020.34</v>
      </c>
      <c r="AA213" s="553">
        <v>39400</v>
      </c>
      <c r="AB213" s="563">
        <v>-2E-3</v>
      </c>
      <c r="AC213" s="563">
        <v>-1.2999999999999999E-2</v>
      </c>
    </row>
    <row r="214" spans="14:29">
      <c r="N214" s="553">
        <v>1054</v>
      </c>
      <c r="O214" s="562">
        <v>43691</v>
      </c>
      <c r="P214" s="553">
        <v>4</v>
      </c>
      <c r="Q214" s="553">
        <v>968.91</v>
      </c>
      <c r="R214" s="553">
        <v>23600</v>
      </c>
      <c r="S214" s="563">
        <v>3.0000000000000001E-3</v>
      </c>
      <c r="T214" s="563">
        <v>8.3000000000000004E-2</v>
      </c>
      <c r="U214" s="553" t="s">
        <v>2487</v>
      </c>
      <c r="V214" s="553" t="s">
        <v>2487</v>
      </c>
      <c r="X214" s="562">
        <v>44917</v>
      </c>
      <c r="Y214" s="553">
        <v>5</v>
      </c>
      <c r="Z214" s="553">
        <v>1022.61</v>
      </c>
      <c r="AA214" s="553">
        <v>39900</v>
      </c>
      <c r="AB214" s="563">
        <v>4.0000000000000001E-3</v>
      </c>
      <c r="AC214" s="563">
        <v>8.0000000000000002E-3</v>
      </c>
    </row>
    <row r="215" spans="14:29">
      <c r="N215" s="553">
        <v>1059</v>
      </c>
      <c r="O215" s="562">
        <v>43684</v>
      </c>
      <c r="P215" s="553">
        <v>4</v>
      </c>
      <c r="Q215" s="553">
        <v>965.93</v>
      </c>
      <c r="R215" s="553">
        <v>21800</v>
      </c>
      <c r="S215" s="563">
        <v>-2.5999999999999999E-2</v>
      </c>
      <c r="T215" s="563">
        <v>-2.7E-2</v>
      </c>
      <c r="U215" s="553" t="s">
        <v>2487</v>
      </c>
      <c r="V215" s="553" t="s">
        <v>2487</v>
      </c>
      <c r="X215" s="562">
        <v>44916</v>
      </c>
      <c r="Y215" s="553">
        <v>4</v>
      </c>
      <c r="Z215" s="553">
        <v>1018.88</v>
      </c>
      <c r="AA215" s="553">
        <v>39600</v>
      </c>
      <c r="AB215" s="563">
        <v>-4.0000000000000001E-3</v>
      </c>
      <c r="AC215" s="563">
        <v>-3.4000000000000002E-2</v>
      </c>
    </row>
    <row r="216" spans="14:29">
      <c r="N216" s="553">
        <v>1064</v>
      </c>
      <c r="O216" s="562">
        <v>43677</v>
      </c>
      <c r="P216" s="553">
        <v>4</v>
      </c>
      <c r="Q216" s="553">
        <v>991.66</v>
      </c>
      <c r="R216" s="553">
        <v>22400</v>
      </c>
      <c r="S216" s="563">
        <v>3.0000000000000001E-3</v>
      </c>
      <c r="T216" s="563">
        <v>-5.0999999999999997E-2</v>
      </c>
      <c r="U216" s="553" t="s">
        <v>2487</v>
      </c>
      <c r="V216" s="553" t="s">
        <v>2487</v>
      </c>
      <c r="X216" s="562">
        <v>44915</v>
      </c>
      <c r="Y216" s="553">
        <v>3</v>
      </c>
      <c r="Z216" s="553">
        <v>1023.13</v>
      </c>
      <c r="AA216" s="553">
        <v>41000</v>
      </c>
      <c r="AB216" s="563">
        <v>-1.4999999999999999E-2</v>
      </c>
      <c r="AC216" s="563">
        <v>-4.3999999999999997E-2</v>
      </c>
    </row>
    <row r="217" spans="14:29">
      <c r="N217" s="553">
        <v>1069</v>
      </c>
      <c r="O217" s="562">
        <v>43670</v>
      </c>
      <c r="P217" s="553">
        <v>4</v>
      </c>
      <c r="Q217" s="553">
        <v>988.41</v>
      </c>
      <c r="R217" s="553">
        <v>23600</v>
      </c>
      <c r="S217" s="563">
        <v>6.0000000000000001E-3</v>
      </c>
      <c r="T217" s="563">
        <v>-4.0000000000000001E-3</v>
      </c>
      <c r="U217" s="553" t="s">
        <v>2487</v>
      </c>
      <c r="V217" s="553" t="s">
        <v>2487</v>
      </c>
      <c r="X217" s="562">
        <v>44914</v>
      </c>
      <c r="Y217" s="553">
        <v>2</v>
      </c>
      <c r="Z217" s="553">
        <v>1038.4000000000001</v>
      </c>
      <c r="AA217" s="553">
        <v>42900</v>
      </c>
      <c r="AB217" s="563">
        <v>-1.2999999999999999E-2</v>
      </c>
      <c r="AC217" s="563">
        <v>-4.4999999999999998E-2</v>
      </c>
    </row>
    <row r="218" spans="14:29">
      <c r="N218" s="553">
        <v>1074</v>
      </c>
      <c r="O218" s="562">
        <v>43663</v>
      </c>
      <c r="P218" s="553">
        <v>4</v>
      </c>
      <c r="Q218" s="553">
        <v>982.57</v>
      </c>
      <c r="R218" s="553">
        <v>23700</v>
      </c>
      <c r="S218" s="563">
        <v>8.9999999999999993E-3</v>
      </c>
      <c r="T218" s="563">
        <v>0.03</v>
      </c>
      <c r="U218" s="553" t="s">
        <v>2487</v>
      </c>
      <c r="V218" s="553" t="s">
        <v>2487</v>
      </c>
      <c r="X218" s="562">
        <v>44911</v>
      </c>
      <c r="Y218" s="553">
        <v>6</v>
      </c>
      <c r="Z218" s="553">
        <v>1052.48</v>
      </c>
      <c r="AA218" s="553">
        <v>44900</v>
      </c>
      <c r="AB218" s="563">
        <v>-3.0000000000000001E-3</v>
      </c>
      <c r="AC218" s="563">
        <v>1.6E-2</v>
      </c>
    </row>
    <row r="219" spans="14:29">
      <c r="N219" s="553">
        <v>1079</v>
      </c>
      <c r="O219" s="562">
        <v>43656</v>
      </c>
      <c r="P219" s="553">
        <v>4</v>
      </c>
      <c r="Q219" s="553">
        <v>973.65</v>
      </c>
      <c r="R219" s="553">
        <v>23000</v>
      </c>
      <c r="S219" s="563">
        <v>1.4E-2</v>
      </c>
      <c r="T219" s="563">
        <v>5.2999999999999999E-2</v>
      </c>
      <c r="U219" s="553" t="s">
        <v>2487</v>
      </c>
      <c r="V219" s="553" t="s">
        <v>2487</v>
      </c>
      <c r="X219" s="562">
        <v>44910</v>
      </c>
      <c r="Y219" s="553">
        <v>5</v>
      </c>
      <c r="Z219" s="553">
        <v>1055.32</v>
      </c>
      <c r="AA219" s="553">
        <v>44200</v>
      </c>
      <c r="AB219" s="563">
        <v>5.0000000000000001E-3</v>
      </c>
      <c r="AC219" s="563">
        <v>1.6E-2</v>
      </c>
    </row>
    <row r="220" spans="14:29">
      <c r="N220" s="553">
        <v>1084</v>
      </c>
      <c r="O220" s="562">
        <v>43649</v>
      </c>
      <c r="P220" s="553">
        <v>4</v>
      </c>
      <c r="Q220" s="553">
        <v>960.39</v>
      </c>
      <c r="R220" s="553">
        <v>21850</v>
      </c>
      <c r="S220" s="563">
        <v>1E-3</v>
      </c>
      <c r="T220" s="563">
        <v>0.05</v>
      </c>
      <c r="U220" s="553" t="s">
        <v>2487</v>
      </c>
      <c r="V220" s="553" t="s">
        <v>2487</v>
      </c>
      <c r="X220" s="562">
        <v>44909</v>
      </c>
      <c r="Y220" s="553">
        <v>4</v>
      </c>
      <c r="Z220" s="553">
        <v>1050.43</v>
      </c>
      <c r="AA220" s="553">
        <v>43500</v>
      </c>
      <c r="AB220" s="563">
        <v>3.0000000000000001E-3</v>
      </c>
      <c r="AC220" s="563">
        <v>-1.0999999999999999E-2</v>
      </c>
    </row>
    <row r="221" spans="14:29">
      <c r="N221" s="553">
        <v>1089</v>
      </c>
      <c r="O221" s="562">
        <v>43642</v>
      </c>
      <c r="P221" s="553">
        <v>4</v>
      </c>
      <c r="Q221" s="553">
        <v>959.13</v>
      </c>
      <c r="R221" s="553">
        <v>20800</v>
      </c>
      <c r="S221" s="563">
        <v>0.01</v>
      </c>
      <c r="T221" s="563">
        <v>-5.0000000000000001E-3</v>
      </c>
      <c r="U221" s="553" t="s">
        <v>2487</v>
      </c>
      <c r="V221" s="553" t="s">
        <v>2487</v>
      </c>
      <c r="X221" s="562">
        <v>44908</v>
      </c>
      <c r="Y221" s="553">
        <v>3</v>
      </c>
      <c r="Z221" s="553">
        <v>1047.45</v>
      </c>
      <c r="AA221" s="553">
        <v>44000</v>
      </c>
      <c r="AB221" s="563">
        <v>1.4999999999999999E-2</v>
      </c>
      <c r="AC221" s="563">
        <v>5.2999999999999999E-2</v>
      </c>
    </row>
    <row r="222" spans="14:29">
      <c r="N222" s="553">
        <v>1094</v>
      </c>
      <c r="O222" s="562">
        <v>43635</v>
      </c>
      <c r="P222" s="553">
        <v>4</v>
      </c>
      <c r="Q222" s="553">
        <v>949.69</v>
      </c>
      <c r="R222" s="553">
        <v>20900</v>
      </c>
      <c r="S222" s="563">
        <v>-5.0000000000000001E-3</v>
      </c>
      <c r="T222" s="563">
        <v>-4.2999999999999997E-2</v>
      </c>
      <c r="U222" s="553" t="s">
        <v>2487</v>
      </c>
      <c r="V222" s="553" t="s">
        <v>2487</v>
      </c>
      <c r="X222" s="562">
        <v>44907</v>
      </c>
      <c r="Y222" s="553">
        <v>2</v>
      </c>
      <c r="Z222" s="553">
        <v>1032.07</v>
      </c>
      <c r="AA222" s="553">
        <v>41800</v>
      </c>
      <c r="AB222" s="563">
        <v>-1.9E-2</v>
      </c>
      <c r="AC222" s="563">
        <v>-3.9E-2</v>
      </c>
    </row>
    <row r="223" spans="14:29">
      <c r="N223" s="553">
        <v>1099</v>
      </c>
      <c r="O223" s="562">
        <v>43628</v>
      </c>
      <c r="P223" s="553">
        <v>4</v>
      </c>
      <c r="Q223" s="553">
        <v>954.17</v>
      </c>
      <c r="R223" s="553">
        <v>21850</v>
      </c>
      <c r="S223" s="563">
        <v>3.0000000000000001E-3</v>
      </c>
      <c r="T223" s="563">
        <v>1.2E-2</v>
      </c>
      <c r="U223" s="553" t="s">
        <v>2487</v>
      </c>
      <c r="V223" s="553" t="s">
        <v>2487</v>
      </c>
      <c r="X223" s="562">
        <v>44904</v>
      </c>
      <c r="Y223" s="553">
        <v>6</v>
      </c>
      <c r="Z223" s="553">
        <v>1051.81</v>
      </c>
      <c r="AA223" s="553">
        <v>43500</v>
      </c>
      <c r="AB223" s="563">
        <v>1E-3</v>
      </c>
      <c r="AC223" s="563">
        <v>-8.0000000000000002E-3</v>
      </c>
    </row>
    <row r="224" spans="14:29">
      <c r="N224" s="553">
        <v>1104</v>
      </c>
      <c r="O224" s="562">
        <v>43621</v>
      </c>
      <c r="P224" s="553">
        <v>4</v>
      </c>
      <c r="Q224" s="553">
        <v>951.41</v>
      </c>
      <c r="R224" s="553">
        <v>21600</v>
      </c>
      <c r="S224" s="563">
        <v>-2.1000000000000001E-2</v>
      </c>
      <c r="T224" s="563">
        <v>-5.2999999999999999E-2</v>
      </c>
      <c r="U224" s="553" t="s">
        <v>2487</v>
      </c>
      <c r="V224" s="553" t="s">
        <v>2487</v>
      </c>
      <c r="X224" s="562">
        <v>44903</v>
      </c>
      <c r="Y224" s="553">
        <v>5</v>
      </c>
      <c r="Z224" s="553">
        <v>1050.53</v>
      </c>
      <c r="AA224" s="553">
        <v>43850</v>
      </c>
      <c r="AB224" s="563">
        <v>8.9999999999999993E-3</v>
      </c>
      <c r="AC224" s="563">
        <v>7.0000000000000007E-2</v>
      </c>
    </row>
    <row r="225" spans="14:29">
      <c r="N225" s="553">
        <v>1109</v>
      </c>
      <c r="O225" s="562">
        <v>43614</v>
      </c>
      <c r="P225" s="553">
        <v>4</v>
      </c>
      <c r="Q225" s="553">
        <v>971.54</v>
      </c>
      <c r="R225" s="553">
        <v>22800</v>
      </c>
      <c r="S225" s="563">
        <v>-1.2E-2</v>
      </c>
      <c r="T225" s="563">
        <v>-2.5999999999999999E-2</v>
      </c>
      <c r="U225" s="553" t="s">
        <v>2487</v>
      </c>
      <c r="V225" s="553" t="s">
        <v>2487</v>
      </c>
      <c r="X225" s="562">
        <v>44902</v>
      </c>
      <c r="Y225" s="553">
        <v>4</v>
      </c>
      <c r="Z225" s="553">
        <v>1041.02</v>
      </c>
      <c r="AA225" s="553">
        <v>41000</v>
      </c>
      <c r="AB225" s="563">
        <v>-7.0000000000000001E-3</v>
      </c>
      <c r="AC225" s="563">
        <v>-6.8000000000000005E-2</v>
      </c>
    </row>
    <row r="226" spans="14:29">
      <c r="N226" s="553">
        <v>1114</v>
      </c>
      <c r="O226" s="562">
        <v>43607</v>
      </c>
      <c r="P226" s="553">
        <v>4</v>
      </c>
      <c r="Q226" s="553">
        <v>983.78</v>
      </c>
      <c r="R226" s="553">
        <v>23400</v>
      </c>
      <c r="S226" s="563">
        <v>8.0000000000000002E-3</v>
      </c>
      <c r="T226" s="563">
        <v>1.7000000000000001E-2</v>
      </c>
      <c r="U226" s="553" t="s">
        <v>2487</v>
      </c>
      <c r="V226" s="553" t="s">
        <v>2487</v>
      </c>
      <c r="X226" s="562">
        <v>44901</v>
      </c>
      <c r="Y226" s="553">
        <v>3</v>
      </c>
      <c r="Z226" s="553">
        <v>1048.69</v>
      </c>
      <c r="AA226" s="553">
        <v>44000</v>
      </c>
      <c r="AB226" s="563">
        <v>-4.1000000000000002E-2</v>
      </c>
      <c r="AC226" s="563">
        <v>-7.0000000000000007E-2</v>
      </c>
    </row>
    <row r="227" spans="14:29">
      <c r="N227" s="553">
        <v>1119</v>
      </c>
      <c r="O227" s="562">
        <v>43600</v>
      </c>
      <c r="P227" s="553">
        <v>4</v>
      </c>
      <c r="Q227" s="553">
        <v>975.64</v>
      </c>
      <c r="R227" s="553">
        <v>23000</v>
      </c>
      <c r="S227" s="563">
        <v>2.5999999999999999E-2</v>
      </c>
      <c r="T227" s="563">
        <v>3.1E-2</v>
      </c>
      <c r="U227" s="553" t="s">
        <v>2487</v>
      </c>
      <c r="V227" s="553" t="s">
        <v>2487</v>
      </c>
      <c r="X227" s="562">
        <v>44900</v>
      </c>
      <c r="Y227" s="553">
        <v>2</v>
      </c>
      <c r="Z227" s="553">
        <v>1093.67</v>
      </c>
      <c r="AA227" s="553">
        <v>47300</v>
      </c>
      <c r="AB227" s="563">
        <v>1.2999999999999999E-2</v>
      </c>
      <c r="AC227" s="563">
        <v>6.0000000000000001E-3</v>
      </c>
    </row>
    <row r="228" spans="14:29">
      <c r="N228" s="553">
        <v>1124</v>
      </c>
      <c r="O228" s="562">
        <v>43593</v>
      </c>
      <c r="P228" s="553">
        <v>4</v>
      </c>
      <c r="Q228" s="553">
        <v>951.22</v>
      </c>
      <c r="R228" s="553">
        <v>22300</v>
      </c>
      <c r="S228" s="563">
        <v>-2.5999999999999999E-2</v>
      </c>
      <c r="T228" s="563">
        <v>-1.7999999999999999E-2</v>
      </c>
      <c r="U228" s="553" t="s">
        <v>2487</v>
      </c>
      <c r="V228" s="553" t="s">
        <v>2487</v>
      </c>
      <c r="X228" s="562">
        <v>44897</v>
      </c>
      <c r="Y228" s="553">
        <v>6</v>
      </c>
      <c r="Z228" s="553">
        <v>1080.01</v>
      </c>
      <c r="AA228" s="553">
        <v>47000</v>
      </c>
      <c r="AB228" s="563">
        <v>4.2000000000000003E-2</v>
      </c>
      <c r="AC228" s="563">
        <v>3.2000000000000001E-2</v>
      </c>
    </row>
    <row r="229" spans="14:29">
      <c r="N229" s="553">
        <v>1131</v>
      </c>
      <c r="O229" s="562">
        <v>43579</v>
      </c>
      <c r="P229" s="553">
        <v>4</v>
      </c>
      <c r="Q229" s="553">
        <v>976.92</v>
      </c>
      <c r="R229" s="553">
        <v>22700</v>
      </c>
      <c r="S229" s="563">
        <v>5.0000000000000001E-3</v>
      </c>
      <c r="T229" s="563">
        <v>8.9999999999999993E-3</v>
      </c>
      <c r="U229" s="553" t="s">
        <v>2487</v>
      </c>
      <c r="V229" s="553" t="s">
        <v>2487</v>
      </c>
      <c r="X229" s="562">
        <v>44896</v>
      </c>
      <c r="Y229" s="553">
        <v>5</v>
      </c>
      <c r="Z229" s="553">
        <v>1036.28</v>
      </c>
      <c r="AA229" s="553">
        <v>45550</v>
      </c>
      <c r="AB229" s="563">
        <v>-1.2E-2</v>
      </c>
      <c r="AC229" s="563">
        <v>2.9000000000000001E-2</v>
      </c>
    </row>
    <row r="230" spans="14:29">
      <c r="N230" s="553">
        <v>1136</v>
      </c>
      <c r="O230" s="562">
        <v>43572</v>
      </c>
      <c r="P230" s="553">
        <v>4</v>
      </c>
      <c r="Q230" s="553">
        <v>972.1</v>
      </c>
      <c r="R230" s="553">
        <v>22500</v>
      </c>
      <c r="S230" s="563">
        <v>-0.01</v>
      </c>
      <c r="T230" s="563">
        <v>-7.0000000000000001E-3</v>
      </c>
      <c r="U230" s="553" t="s">
        <v>2487</v>
      </c>
      <c r="V230" s="553" t="s">
        <v>2487</v>
      </c>
      <c r="X230" s="562">
        <v>44895</v>
      </c>
      <c r="Y230" s="553">
        <v>4</v>
      </c>
      <c r="Z230" s="553">
        <v>1048.42</v>
      </c>
      <c r="AA230" s="553">
        <v>44250</v>
      </c>
      <c r="AB230" s="563">
        <v>1.6E-2</v>
      </c>
      <c r="AC230" s="563">
        <v>6.9000000000000006E-2</v>
      </c>
    </row>
    <row r="231" spans="14:29">
      <c r="N231" s="553">
        <v>1140</v>
      </c>
      <c r="O231" s="562">
        <v>43565</v>
      </c>
      <c r="P231" s="553">
        <v>4</v>
      </c>
      <c r="Q231" s="553">
        <v>981.91</v>
      </c>
      <c r="R231" s="553">
        <v>22650</v>
      </c>
      <c r="S231" s="563">
        <v>-3.0000000000000001E-3</v>
      </c>
      <c r="T231" s="563">
        <v>1.2999999999999999E-2</v>
      </c>
      <c r="U231" s="553" t="s">
        <v>2487</v>
      </c>
      <c r="V231" s="553" t="s">
        <v>2487</v>
      </c>
      <c r="X231" s="562">
        <v>44894</v>
      </c>
      <c r="Y231" s="553">
        <v>3</v>
      </c>
      <c r="Z231" s="553">
        <v>1032.1600000000001</v>
      </c>
      <c r="AA231" s="553">
        <v>41400</v>
      </c>
      <c r="AB231" s="563">
        <v>2.5999999999999999E-2</v>
      </c>
      <c r="AC231" s="563">
        <v>7.0000000000000007E-2</v>
      </c>
    </row>
    <row r="232" spans="14:29">
      <c r="N232" s="553">
        <v>1145</v>
      </c>
      <c r="O232" s="562">
        <v>43558</v>
      </c>
      <c r="P232" s="553">
        <v>4</v>
      </c>
      <c r="Q232" s="553">
        <v>984.46</v>
      </c>
      <c r="R232" s="553">
        <v>22350</v>
      </c>
      <c r="S232" s="563">
        <v>8.9999999999999993E-3</v>
      </c>
      <c r="T232" s="563">
        <v>-3.5000000000000003E-2</v>
      </c>
      <c r="U232" s="553" t="s">
        <v>2487</v>
      </c>
      <c r="V232" s="553" t="s">
        <v>2487</v>
      </c>
      <c r="X232" s="562">
        <v>44893</v>
      </c>
      <c r="Y232" s="553">
        <v>2</v>
      </c>
      <c r="Z232" s="553">
        <v>1005.69</v>
      </c>
      <c r="AA232" s="553">
        <v>38700</v>
      </c>
      <c r="AB232" s="563">
        <v>3.5000000000000003E-2</v>
      </c>
      <c r="AC232" s="563">
        <v>6.9000000000000006E-2</v>
      </c>
    </row>
    <row r="233" spans="14:29">
      <c r="N233" s="553">
        <v>1150</v>
      </c>
      <c r="O233" s="562">
        <v>43551</v>
      </c>
      <c r="P233" s="553">
        <v>4</v>
      </c>
      <c r="Q233" s="553">
        <v>975.91</v>
      </c>
      <c r="R233" s="553">
        <v>23150</v>
      </c>
      <c r="S233" s="563">
        <v>-2.5999999999999999E-2</v>
      </c>
      <c r="T233" s="563">
        <v>-1.7000000000000001E-2</v>
      </c>
      <c r="U233" s="553" t="s">
        <v>2487</v>
      </c>
      <c r="V233" s="553" t="s">
        <v>2487</v>
      </c>
      <c r="X233" s="562">
        <v>44890</v>
      </c>
      <c r="Y233" s="553">
        <v>6</v>
      </c>
      <c r="Z233" s="553">
        <v>971.46</v>
      </c>
      <c r="AA233" s="553">
        <v>36200</v>
      </c>
      <c r="AB233" s="563">
        <v>2.5000000000000001E-2</v>
      </c>
      <c r="AC233" s="563">
        <v>3.1E-2</v>
      </c>
    </row>
    <row r="234" spans="14:29">
      <c r="N234" s="553">
        <v>1155</v>
      </c>
      <c r="O234" s="562">
        <v>43544</v>
      </c>
      <c r="P234" s="553">
        <v>4</v>
      </c>
      <c r="Q234" s="553">
        <v>1002.3</v>
      </c>
      <c r="R234" s="553">
        <v>23550</v>
      </c>
      <c r="S234" s="563">
        <v>-3.0000000000000001E-3</v>
      </c>
      <c r="T234" s="563">
        <v>3.3000000000000002E-2</v>
      </c>
      <c r="U234" s="553" t="s">
        <v>2487</v>
      </c>
      <c r="V234" s="553" t="s">
        <v>2487</v>
      </c>
      <c r="X234" s="562">
        <v>44889</v>
      </c>
      <c r="Y234" s="553">
        <v>5</v>
      </c>
      <c r="Z234" s="553">
        <v>947.71</v>
      </c>
      <c r="AA234" s="553">
        <v>35100</v>
      </c>
      <c r="AB234" s="563">
        <v>2E-3</v>
      </c>
      <c r="AC234" s="563">
        <v>-6.9000000000000006E-2</v>
      </c>
    </row>
    <row r="235" spans="14:29">
      <c r="N235" s="553">
        <v>1160</v>
      </c>
      <c r="O235" s="562">
        <v>43537</v>
      </c>
      <c r="P235" s="553">
        <v>4</v>
      </c>
      <c r="Q235" s="553">
        <v>1005.41</v>
      </c>
      <c r="R235" s="553">
        <v>22800</v>
      </c>
      <c r="S235" s="563">
        <v>1.0999999999999999E-2</v>
      </c>
      <c r="T235" s="563">
        <v>-1.9E-2</v>
      </c>
      <c r="U235" s="553" t="s">
        <v>2487</v>
      </c>
      <c r="V235" s="553" t="s">
        <v>2487</v>
      </c>
      <c r="X235" s="562">
        <v>44888</v>
      </c>
      <c r="Y235" s="553">
        <v>4</v>
      </c>
      <c r="Z235" s="553">
        <v>946</v>
      </c>
      <c r="AA235" s="553">
        <v>37700</v>
      </c>
      <c r="AB235" s="563">
        <v>-6.0000000000000001E-3</v>
      </c>
      <c r="AC235" s="563">
        <v>0</v>
      </c>
    </row>
    <row r="236" spans="14:29">
      <c r="N236" s="553">
        <v>1165</v>
      </c>
      <c r="O236" s="562">
        <v>43530</v>
      </c>
      <c r="P236" s="553">
        <v>4</v>
      </c>
      <c r="Q236" s="553">
        <v>994.49</v>
      </c>
      <c r="R236" s="553">
        <v>23250</v>
      </c>
      <c r="S236" s="563">
        <v>4.0000000000000001E-3</v>
      </c>
      <c r="T236" s="563">
        <v>-2.7E-2</v>
      </c>
      <c r="U236" s="553" t="s">
        <v>2487</v>
      </c>
      <c r="V236" s="553" t="s">
        <v>2487</v>
      </c>
      <c r="X236" s="562">
        <v>44887</v>
      </c>
      <c r="Y236" s="553">
        <v>3</v>
      </c>
      <c r="Z236" s="553">
        <v>952.12</v>
      </c>
      <c r="AA236" s="553">
        <v>37700</v>
      </c>
      <c r="AB236" s="563">
        <v>-8.9999999999999993E-3</v>
      </c>
      <c r="AC236" s="563">
        <v>-5.8000000000000003E-2</v>
      </c>
    </row>
    <row r="237" spans="14:29">
      <c r="N237" s="553">
        <v>1170</v>
      </c>
      <c r="O237" s="562">
        <v>43523</v>
      </c>
      <c r="P237" s="553">
        <v>4</v>
      </c>
      <c r="Q237" s="553">
        <v>990.27</v>
      </c>
      <c r="R237" s="553">
        <v>23900</v>
      </c>
      <c r="S237" s="563">
        <v>0.02</v>
      </c>
      <c r="T237" s="563">
        <v>8.0000000000000002E-3</v>
      </c>
      <c r="U237" s="553" t="s">
        <v>2487</v>
      </c>
      <c r="V237" s="553" t="s">
        <v>2487</v>
      </c>
      <c r="X237" s="562">
        <v>44886</v>
      </c>
      <c r="Y237" s="553">
        <v>2</v>
      </c>
      <c r="Z237" s="553">
        <v>960.65</v>
      </c>
      <c r="AA237" s="553">
        <v>40000</v>
      </c>
      <c r="AB237" s="563">
        <v>-8.9999999999999993E-3</v>
      </c>
      <c r="AC237" s="563">
        <v>-7.0000000000000007E-2</v>
      </c>
    </row>
    <row r="238" spans="14:29">
      <c r="N238" s="553">
        <v>1175</v>
      </c>
      <c r="O238" s="562">
        <v>43516</v>
      </c>
      <c r="P238" s="553">
        <v>4</v>
      </c>
      <c r="Q238" s="553">
        <v>970.58</v>
      </c>
      <c r="R238" s="553">
        <v>23700</v>
      </c>
      <c r="S238" s="563">
        <v>2.7E-2</v>
      </c>
      <c r="T238" s="563">
        <v>-1.2999999999999999E-2</v>
      </c>
      <c r="U238" s="553" t="s">
        <v>2487</v>
      </c>
      <c r="V238" s="553" t="s">
        <v>2487</v>
      </c>
      <c r="X238" s="562">
        <v>44883</v>
      </c>
      <c r="Y238" s="553">
        <v>6</v>
      </c>
      <c r="Z238" s="553">
        <v>969.33</v>
      </c>
      <c r="AA238" s="553">
        <v>43000</v>
      </c>
      <c r="AB238" s="563">
        <v>0</v>
      </c>
      <c r="AC238" s="563">
        <v>5.7000000000000002E-2</v>
      </c>
    </row>
    <row r="239" spans="14:29">
      <c r="N239" s="553">
        <v>1180</v>
      </c>
      <c r="O239" s="562">
        <v>43509</v>
      </c>
      <c r="P239" s="553">
        <v>4</v>
      </c>
      <c r="Q239" s="553">
        <v>945.25</v>
      </c>
      <c r="R239" s="553">
        <v>24000</v>
      </c>
      <c r="S239" s="563">
        <v>3.2000000000000001E-2</v>
      </c>
      <c r="T239" s="563">
        <v>5.7000000000000002E-2</v>
      </c>
      <c r="U239" s="553" t="s">
        <v>2487</v>
      </c>
      <c r="V239" s="553" t="s">
        <v>2487</v>
      </c>
      <c r="X239" s="562">
        <v>44882</v>
      </c>
      <c r="Y239" s="553">
        <v>5</v>
      </c>
      <c r="Z239" s="553">
        <v>969.26</v>
      </c>
      <c r="AA239" s="553">
        <v>40700</v>
      </c>
      <c r="AB239" s="563">
        <v>2.8000000000000001E-2</v>
      </c>
      <c r="AC239" s="563">
        <v>3.5999999999999997E-2</v>
      </c>
    </row>
    <row r="240" spans="14:29">
      <c r="N240" s="553">
        <v>1185</v>
      </c>
      <c r="O240" s="562">
        <v>43495</v>
      </c>
      <c r="P240" s="553">
        <v>4</v>
      </c>
      <c r="Q240" s="553">
        <v>915.84</v>
      </c>
      <c r="R240" s="553">
        <v>22700</v>
      </c>
      <c r="S240" s="563">
        <v>8.0000000000000002E-3</v>
      </c>
      <c r="T240" s="563">
        <v>-1.7000000000000001E-2</v>
      </c>
      <c r="U240" s="553" t="s">
        <v>2487</v>
      </c>
      <c r="V240" s="553" t="s">
        <v>2487</v>
      </c>
      <c r="X240" s="562">
        <v>44881</v>
      </c>
      <c r="Y240" s="553">
        <v>4</v>
      </c>
      <c r="Z240" s="553">
        <v>942.9</v>
      </c>
      <c r="AA240" s="553">
        <v>39300</v>
      </c>
      <c r="AB240" s="563">
        <v>3.4000000000000002E-2</v>
      </c>
      <c r="AC240" s="563">
        <v>6.9000000000000006E-2</v>
      </c>
    </row>
    <row r="241" spans="14:29">
      <c r="N241" s="553">
        <v>1190</v>
      </c>
      <c r="O241" s="562">
        <v>43488</v>
      </c>
      <c r="P241" s="553">
        <v>4</v>
      </c>
      <c r="Q241" s="553">
        <v>908.18</v>
      </c>
      <c r="R241" s="553">
        <v>23100</v>
      </c>
      <c r="S241" s="563">
        <v>-1E-3</v>
      </c>
      <c r="T241" s="563">
        <v>1.2999999999999999E-2</v>
      </c>
      <c r="U241" s="553" t="s">
        <v>2487</v>
      </c>
      <c r="V241" s="553" t="s">
        <v>2487</v>
      </c>
      <c r="X241" s="562">
        <v>44880</v>
      </c>
      <c r="Y241" s="553">
        <v>3</v>
      </c>
      <c r="Z241" s="553">
        <v>911.9</v>
      </c>
      <c r="AA241" s="553">
        <v>36750</v>
      </c>
      <c r="AB241" s="563">
        <v>-3.1E-2</v>
      </c>
      <c r="AC241" s="563">
        <v>-7.0000000000000007E-2</v>
      </c>
    </row>
    <row r="242" spans="14:29">
      <c r="N242" s="553">
        <v>1195</v>
      </c>
      <c r="O242" s="562">
        <v>43481</v>
      </c>
      <c r="P242" s="553">
        <v>4</v>
      </c>
      <c r="Q242" s="553">
        <v>908.7</v>
      </c>
      <c r="R242" s="553">
        <v>22800</v>
      </c>
      <c r="S242" s="563">
        <v>1.2999999999999999E-2</v>
      </c>
      <c r="T242" s="563">
        <v>2.5000000000000001E-2</v>
      </c>
      <c r="U242" s="553" t="s">
        <v>2487</v>
      </c>
      <c r="V242" s="553" t="s">
        <v>2487</v>
      </c>
      <c r="X242" s="562">
        <v>44879</v>
      </c>
      <c r="Y242" s="553">
        <v>2</v>
      </c>
      <c r="Z242" s="553">
        <v>941.04</v>
      </c>
      <c r="AA242" s="553">
        <v>39500</v>
      </c>
      <c r="AB242" s="563">
        <v>-1.4E-2</v>
      </c>
      <c r="AC242" s="563">
        <v>-6.9000000000000006E-2</v>
      </c>
    </row>
    <row r="243" spans="14:29">
      <c r="N243" s="553">
        <v>1200</v>
      </c>
      <c r="O243" s="562">
        <v>43474</v>
      </c>
      <c r="P243" s="553">
        <v>4</v>
      </c>
      <c r="Q243" s="553">
        <v>896.99</v>
      </c>
      <c r="R243" s="553">
        <v>22250</v>
      </c>
      <c r="S243" s="563">
        <v>6.0000000000000001E-3</v>
      </c>
      <c r="T243" s="563">
        <v>-1.0999999999999999E-2</v>
      </c>
      <c r="U243" s="553" t="s">
        <v>2487</v>
      </c>
      <c r="V243" s="553" t="s">
        <v>2487</v>
      </c>
      <c r="X243" s="562">
        <v>44876</v>
      </c>
      <c r="Y243" s="553">
        <v>6</v>
      </c>
      <c r="Z243" s="553">
        <v>954.53</v>
      </c>
      <c r="AA243" s="553">
        <v>42450</v>
      </c>
      <c r="AB243" s="563">
        <v>8.0000000000000002E-3</v>
      </c>
      <c r="AC243" s="563">
        <v>-6.9000000000000006E-2</v>
      </c>
    </row>
    <row r="244" spans="14:29">
      <c r="N244" s="553">
        <v>1205</v>
      </c>
      <c r="O244" s="562">
        <v>43467</v>
      </c>
      <c r="P244" s="553">
        <v>4</v>
      </c>
      <c r="Q244" s="553">
        <v>891.75</v>
      </c>
      <c r="R244" s="553">
        <v>22500</v>
      </c>
      <c r="S244" s="563">
        <v>0</v>
      </c>
      <c r="T244" s="563">
        <v>-1.2999999999999999E-2</v>
      </c>
      <c r="U244" s="553" t="s">
        <v>2487</v>
      </c>
      <c r="V244" s="553" t="s">
        <v>2487</v>
      </c>
      <c r="X244" s="562">
        <v>44875</v>
      </c>
      <c r="Y244" s="553">
        <v>5</v>
      </c>
      <c r="Z244" s="553">
        <v>947.24</v>
      </c>
      <c r="AA244" s="553">
        <v>45600</v>
      </c>
      <c r="AB244" s="563">
        <v>-3.9E-2</v>
      </c>
      <c r="AC244" s="563">
        <v>-6.9000000000000006E-2</v>
      </c>
    </row>
    <row r="245" spans="14:29">
      <c r="N245" s="553">
        <v>1208</v>
      </c>
      <c r="O245" s="562">
        <v>43460</v>
      </c>
      <c r="P245" s="553">
        <v>4</v>
      </c>
      <c r="Q245" s="553">
        <v>891.75</v>
      </c>
      <c r="R245" s="553">
        <v>22800</v>
      </c>
      <c r="S245" s="563">
        <v>-0.03</v>
      </c>
      <c r="T245" s="563">
        <v>-1.7000000000000001E-2</v>
      </c>
      <c r="U245" s="553" t="s">
        <v>2487</v>
      </c>
      <c r="V245" s="553" t="s">
        <v>2487</v>
      </c>
      <c r="X245" s="562">
        <v>44874</v>
      </c>
      <c r="Y245" s="553">
        <v>4</v>
      </c>
      <c r="Z245" s="553">
        <v>985.59</v>
      </c>
      <c r="AA245" s="553">
        <v>49000</v>
      </c>
      <c r="AB245" s="563">
        <v>4.0000000000000001E-3</v>
      </c>
      <c r="AC245" s="563">
        <v>-6.5000000000000002E-2</v>
      </c>
    </row>
    <row r="246" spans="14:29">
      <c r="N246" s="553">
        <v>1213</v>
      </c>
      <c r="O246" s="562">
        <v>43453</v>
      </c>
      <c r="P246" s="553">
        <v>4</v>
      </c>
      <c r="Q246" s="553">
        <v>919.24</v>
      </c>
      <c r="R246" s="553">
        <v>23200</v>
      </c>
      <c r="S246" s="563">
        <v>-4.3999999999999997E-2</v>
      </c>
      <c r="T246" s="563">
        <v>-4.1000000000000002E-2</v>
      </c>
      <c r="U246" s="553" t="s">
        <v>2487</v>
      </c>
      <c r="V246" s="553" t="s">
        <v>2487</v>
      </c>
      <c r="X246" s="562">
        <v>44873</v>
      </c>
      <c r="Y246" s="553">
        <v>3</v>
      </c>
      <c r="Z246" s="553">
        <v>981.65</v>
      </c>
      <c r="AA246" s="553">
        <v>52400</v>
      </c>
      <c r="AB246" s="563">
        <v>7.0000000000000001E-3</v>
      </c>
      <c r="AC246" s="563">
        <v>2.3E-2</v>
      </c>
    </row>
    <row r="247" spans="14:29">
      <c r="N247" s="553">
        <v>1218</v>
      </c>
      <c r="O247" s="562">
        <v>43446</v>
      </c>
      <c r="P247" s="553">
        <v>4</v>
      </c>
      <c r="Q247" s="553">
        <v>961.28</v>
      </c>
      <c r="R247" s="553">
        <v>24200</v>
      </c>
      <c r="S247" s="563">
        <v>4.0000000000000001E-3</v>
      </c>
      <c r="T247" s="563">
        <v>-4.0000000000000001E-3</v>
      </c>
      <c r="U247" s="553" t="s">
        <v>2487</v>
      </c>
      <c r="V247" s="553" t="s">
        <v>2487</v>
      </c>
      <c r="X247" s="562">
        <v>44872</v>
      </c>
      <c r="Y247" s="553">
        <v>2</v>
      </c>
      <c r="Z247" s="553">
        <v>975.19</v>
      </c>
      <c r="AA247" s="553">
        <v>51200</v>
      </c>
      <c r="AB247" s="563">
        <v>-2.1999999999999999E-2</v>
      </c>
      <c r="AC247" s="563">
        <v>-6.9000000000000006E-2</v>
      </c>
    </row>
    <row r="248" spans="14:29">
      <c r="N248" s="553">
        <v>1223</v>
      </c>
      <c r="O248" s="562">
        <v>43439</v>
      </c>
      <c r="P248" s="553">
        <v>4</v>
      </c>
      <c r="Q248" s="553">
        <v>957.14</v>
      </c>
      <c r="R248" s="553">
        <v>24300</v>
      </c>
      <c r="S248" s="563">
        <v>2.9000000000000001E-2</v>
      </c>
      <c r="T248" s="563">
        <v>4.0000000000000001E-3</v>
      </c>
      <c r="U248" s="553" t="s">
        <v>2487</v>
      </c>
      <c r="V248" s="553" t="s">
        <v>2487</v>
      </c>
      <c r="X248" s="562">
        <v>44869</v>
      </c>
      <c r="Y248" s="553">
        <v>6</v>
      </c>
      <c r="Z248" s="553">
        <v>997.15</v>
      </c>
      <c r="AA248" s="553">
        <v>55000</v>
      </c>
      <c r="AB248" s="563">
        <v>-2.1999999999999999E-2</v>
      </c>
      <c r="AC248" s="563">
        <v>-6.9000000000000006E-2</v>
      </c>
    </row>
    <row r="249" spans="14:29">
      <c r="N249" s="553">
        <v>1228</v>
      </c>
      <c r="O249" s="562">
        <v>43432</v>
      </c>
      <c r="P249" s="553">
        <v>4</v>
      </c>
      <c r="Q249" s="553">
        <v>930.2</v>
      </c>
      <c r="R249" s="553">
        <v>24200</v>
      </c>
      <c r="S249" s="563">
        <v>8.0000000000000002E-3</v>
      </c>
      <c r="T249" s="563">
        <v>-0.04</v>
      </c>
      <c r="U249" s="553" t="s">
        <v>2487</v>
      </c>
      <c r="V249" s="553" t="s">
        <v>2487</v>
      </c>
      <c r="X249" s="562">
        <v>44868</v>
      </c>
      <c r="Y249" s="553">
        <v>5</v>
      </c>
      <c r="Z249" s="553">
        <v>1019.81</v>
      </c>
      <c r="AA249" s="553">
        <v>59100</v>
      </c>
      <c r="AB249" s="563">
        <v>-3.0000000000000001E-3</v>
      </c>
      <c r="AC249" s="563">
        <v>2E-3</v>
      </c>
    </row>
    <row r="250" spans="14:29">
      <c r="N250" s="553">
        <v>1233</v>
      </c>
      <c r="O250" s="562">
        <v>43425</v>
      </c>
      <c r="P250" s="553">
        <v>4</v>
      </c>
      <c r="Q250" s="553">
        <v>922.56</v>
      </c>
      <c r="R250" s="553">
        <v>25200</v>
      </c>
      <c r="S250" s="563">
        <v>2.4E-2</v>
      </c>
      <c r="T250" s="563">
        <v>4.5999999999999999E-2</v>
      </c>
      <c r="U250" s="553" t="s">
        <v>2487</v>
      </c>
      <c r="V250" s="553" t="s">
        <v>2487</v>
      </c>
      <c r="X250" s="562">
        <v>44867</v>
      </c>
      <c r="Y250" s="553">
        <v>4</v>
      </c>
      <c r="Z250" s="553">
        <v>1023.19</v>
      </c>
      <c r="AA250" s="553">
        <v>59000</v>
      </c>
      <c r="AB250" s="563">
        <v>-0.01</v>
      </c>
      <c r="AC250" s="563">
        <v>0</v>
      </c>
    </row>
    <row r="251" spans="14:29">
      <c r="N251" s="553">
        <v>1238</v>
      </c>
      <c r="O251" s="562">
        <v>43418</v>
      </c>
      <c r="P251" s="553">
        <v>4</v>
      </c>
      <c r="Q251" s="553">
        <v>900.93</v>
      </c>
      <c r="R251" s="553">
        <v>24100</v>
      </c>
      <c r="S251" s="563">
        <v>-2.3E-2</v>
      </c>
      <c r="T251" s="563">
        <v>2.1000000000000001E-2</v>
      </c>
      <c r="U251" s="553" t="s">
        <v>2487</v>
      </c>
      <c r="V251" s="553" t="s">
        <v>2487</v>
      </c>
      <c r="X251" s="562">
        <v>44866</v>
      </c>
      <c r="Y251" s="553">
        <v>3</v>
      </c>
      <c r="Z251" s="553">
        <v>1033.75</v>
      </c>
      <c r="AA251" s="553">
        <v>59000</v>
      </c>
      <c r="AB251" s="563">
        <v>6.0000000000000001E-3</v>
      </c>
      <c r="AC251" s="563">
        <v>-3.3000000000000002E-2</v>
      </c>
    </row>
    <row r="252" spans="14:29">
      <c r="N252" s="553">
        <v>1243</v>
      </c>
      <c r="O252" s="562">
        <v>43411</v>
      </c>
      <c r="P252" s="553">
        <v>4</v>
      </c>
      <c r="Q252" s="553">
        <v>922.16</v>
      </c>
      <c r="R252" s="553">
        <v>23600</v>
      </c>
      <c r="S252" s="563">
        <v>8.0000000000000002E-3</v>
      </c>
      <c r="T252" s="563">
        <v>-1.7000000000000001E-2</v>
      </c>
      <c r="U252" s="553" t="s">
        <v>2487</v>
      </c>
      <c r="V252" s="553" t="s">
        <v>2487</v>
      </c>
      <c r="X252" s="562">
        <v>44865</v>
      </c>
      <c r="Y252" s="553">
        <v>2</v>
      </c>
      <c r="Z252" s="553">
        <v>1027.94</v>
      </c>
      <c r="AA252" s="553">
        <v>61000</v>
      </c>
      <c r="AB252" s="563">
        <v>1E-3</v>
      </c>
      <c r="AC252" s="563">
        <v>-1.6E-2</v>
      </c>
    </row>
    <row r="253" spans="14:29">
      <c r="N253" s="553">
        <v>1248</v>
      </c>
      <c r="O253" s="562">
        <v>43404</v>
      </c>
      <c r="P253" s="553">
        <v>4</v>
      </c>
      <c r="Q253" s="553">
        <v>914.76</v>
      </c>
      <c r="R253" s="553">
        <v>24000</v>
      </c>
      <c r="S253" s="563">
        <v>-8.9999999999999993E-3</v>
      </c>
      <c r="T253" s="563">
        <v>-1.6E-2</v>
      </c>
      <c r="U253" s="553" t="s">
        <v>2487</v>
      </c>
      <c r="V253" s="553" t="s">
        <v>2487</v>
      </c>
      <c r="X253" s="562">
        <v>44862</v>
      </c>
      <c r="Y253" s="553">
        <v>6</v>
      </c>
      <c r="Z253" s="553">
        <v>1027.3599999999999</v>
      </c>
      <c r="AA253" s="553">
        <v>62000</v>
      </c>
      <c r="AB253" s="563">
        <v>-1E-3</v>
      </c>
      <c r="AC253" s="563">
        <v>-3.1E-2</v>
      </c>
    </row>
    <row r="254" spans="14:29">
      <c r="N254" s="553">
        <v>1253</v>
      </c>
      <c r="O254" s="562">
        <v>43397</v>
      </c>
      <c r="P254" s="553">
        <v>4</v>
      </c>
      <c r="Q254" s="553">
        <v>922.73</v>
      </c>
      <c r="R254" s="553">
        <v>24400</v>
      </c>
      <c r="S254" s="553" t="e">
        <v>#DIV/0!</v>
      </c>
      <c r="T254" s="553" t="e">
        <v>#DIV/0!</v>
      </c>
      <c r="U254" s="553" t="s">
        <v>2487</v>
      </c>
      <c r="V254" s="553" t="s">
        <v>2487</v>
      </c>
      <c r="X254" s="562">
        <v>44861</v>
      </c>
      <c r="Y254" s="553">
        <v>5</v>
      </c>
      <c r="Z254" s="553">
        <v>1028.01</v>
      </c>
      <c r="AA254" s="553">
        <v>64000</v>
      </c>
      <c r="AB254" s="563">
        <v>3.5000000000000003E-2</v>
      </c>
      <c r="AC254" s="563">
        <v>5.2999999999999999E-2</v>
      </c>
    </row>
    <row r="255" spans="14:29">
      <c r="X255" s="562">
        <v>44860</v>
      </c>
      <c r="Y255" s="553">
        <v>4</v>
      </c>
      <c r="Z255" s="553">
        <v>993.36</v>
      </c>
      <c r="AA255" s="553">
        <v>60800</v>
      </c>
      <c r="AB255" s="563">
        <v>-4.0000000000000001E-3</v>
      </c>
      <c r="AC255" s="563">
        <v>5.0000000000000001E-3</v>
      </c>
    </row>
    <row r="256" spans="14:29">
      <c r="X256" s="562">
        <v>44859</v>
      </c>
      <c r="Y256" s="553">
        <v>3</v>
      </c>
      <c r="Z256" s="553">
        <v>997.7</v>
      </c>
      <c r="AA256" s="553">
        <v>60500</v>
      </c>
      <c r="AB256" s="563">
        <v>1.2E-2</v>
      </c>
      <c r="AC256" s="563">
        <v>5.6000000000000001E-2</v>
      </c>
    </row>
    <row r="257" spans="24:29">
      <c r="X257" s="562">
        <v>44858</v>
      </c>
      <c r="Y257" s="553">
        <v>2</v>
      </c>
      <c r="Z257" s="553">
        <v>986.15</v>
      </c>
      <c r="AA257" s="553">
        <v>57300</v>
      </c>
      <c r="AB257" s="563">
        <v>-3.3000000000000002E-2</v>
      </c>
      <c r="AC257" s="563">
        <v>-7.0000000000000007E-2</v>
      </c>
    </row>
    <row r="258" spans="24:29">
      <c r="X258" s="562">
        <v>44855</v>
      </c>
      <c r="Y258" s="553">
        <v>6</v>
      </c>
      <c r="Z258" s="553">
        <v>1019.82</v>
      </c>
      <c r="AA258" s="553">
        <v>61600</v>
      </c>
      <c r="AB258" s="563">
        <v>-3.5999999999999997E-2</v>
      </c>
      <c r="AC258" s="563">
        <v>-6.9000000000000006E-2</v>
      </c>
    </row>
    <row r="259" spans="24:29">
      <c r="X259" s="562">
        <v>44854</v>
      </c>
      <c r="Y259" s="553">
        <v>5</v>
      </c>
      <c r="Z259" s="553">
        <v>1058.45</v>
      </c>
      <c r="AA259" s="553">
        <v>66200</v>
      </c>
      <c r="AB259" s="563">
        <v>-2E-3</v>
      </c>
      <c r="AC259" s="563">
        <v>-1.6E-2</v>
      </c>
    </row>
    <row r="260" spans="24:29">
      <c r="X260" s="562">
        <v>44853</v>
      </c>
      <c r="Y260" s="553">
        <v>4</v>
      </c>
      <c r="Z260" s="553">
        <v>1060.07</v>
      </c>
      <c r="AA260" s="553">
        <v>67300</v>
      </c>
      <c r="AB260" s="563">
        <v>-3.0000000000000001E-3</v>
      </c>
      <c r="AC260" s="563">
        <v>1.2E-2</v>
      </c>
    </row>
    <row r="261" spans="24:29">
      <c r="X261" s="562">
        <v>44852</v>
      </c>
      <c r="Y261" s="553">
        <v>3</v>
      </c>
      <c r="Z261" s="553">
        <v>1063.6600000000001</v>
      </c>
      <c r="AA261" s="553">
        <v>66500</v>
      </c>
      <c r="AB261" s="563">
        <v>1.0999999999999999E-2</v>
      </c>
      <c r="AC261" s="563">
        <v>-3.3000000000000002E-2</v>
      </c>
    </row>
    <row r="262" spans="24:29">
      <c r="X262" s="562">
        <v>44851</v>
      </c>
      <c r="Y262" s="553">
        <v>2</v>
      </c>
      <c r="Z262" s="553">
        <v>1051.58</v>
      </c>
      <c r="AA262" s="553">
        <v>68800</v>
      </c>
      <c r="AB262" s="563">
        <v>-0.01</v>
      </c>
      <c r="AC262" s="563">
        <v>0</v>
      </c>
    </row>
    <row r="263" spans="24:29">
      <c r="X263" s="562">
        <v>44848</v>
      </c>
      <c r="Y263" s="553">
        <v>6</v>
      </c>
      <c r="Z263" s="553">
        <v>1061.8499999999999</v>
      </c>
      <c r="AA263" s="553">
        <v>68800</v>
      </c>
      <c r="AB263" s="563">
        <v>0.01</v>
      </c>
      <c r="AC263" s="563">
        <v>7.0000000000000007E-2</v>
      </c>
    </row>
    <row r="264" spans="24:29">
      <c r="X264" s="562">
        <v>44847</v>
      </c>
      <c r="Y264" s="553">
        <v>5</v>
      </c>
      <c r="Z264" s="553">
        <v>1050.99</v>
      </c>
      <c r="AA264" s="553">
        <v>64300</v>
      </c>
      <c r="AB264" s="563">
        <v>1.6E-2</v>
      </c>
      <c r="AC264" s="563">
        <v>5.0000000000000001E-3</v>
      </c>
    </row>
    <row r="265" spans="24:29">
      <c r="X265" s="562">
        <v>44846</v>
      </c>
      <c r="Y265" s="553">
        <v>4</v>
      </c>
      <c r="Z265" s="553">
        <v>1034.81</v>
      </c>
      <c r="AA265" s="553">
        <v>64000</v>
      </c>
      <c r="AB265" s="563">
        <v>2.8000000000000001E-2</v>
      </c>
      <c r="AC265" s="563">
        <v>6.0999999999999999E-2</v>
      </c>
    </row>
    <row r="266" spans="24:29">
      <c r="X266" s="562">
        <v>44845</v>
      </c>
      <c r="Y266" s="553">
        <v>3</v>
      </c>
      <c r="Z266" s="553">
        <v>1006.2</v>
      </c>
      <c r="AA266" s="553">
        <v>60300</v>
      </c>
      <c r="AB266" s="563">
        <v>-3.5000000000000003E-2</v>
      </c>
      <c r="AC266" s="563">
        <v>0</v>
      </c>
    </row>
    <row r="267" spans="24:29">
      <c r="X267" s="562">
        <v>44844</v>
      </c>
      <c r="Y267" s="553">
        <v>2</v>
      </c>
      <c r="Z267" s="553">
        <v>1042.48</v>
      </c>
      <c r="AA267" s="553">
        <v>60300</v>
      </c>
      <c r="AB267" s="563">
        <v>6.0000000000000001E-3</v>
      </c>
      <c r="AC267" s="563">
        <v>6.9000000000000006E-2</v>
      </c>
    </row>
    <row r="268" spans="24:29">
      <c r="X268" s="562">
        <v>44841</v>
      </c>
      <c r="Y268" s="553">
        <v>6</v>
      </c>
      <c r="Z268" s="553">
        <v>1035.9100000000001</v>
      </c>
      <c r="AA268" s="553">
        <v>56400</v>
      </c>
      <c r="AB268" s="563">
        <v>-3.5999999999999997E-2</v>
      </c>
      <c r="AC268" s="563">
        <v>-3.7999999999999999E-2</v>
      </c>
    </row>
    <row r="269" spans="24:29">
      <c r="X269" s="562">
        <v>44840</v>
      </c>
      <c r="Y269" s="553">
        <v>5</v>
      </c>
      <c r="Z269" s="553">
        <v>1074.52</v>
      </c>
      <c r="AA269" s="553">
        <v>58600</v>
      </c>
      <c r="AB269" s="563">
        <v>-2.7E-2</v>
      </c>
      <c r="AC269" s="563">
        <v>-3.9E-2</v>
      </c>
    </row>
    <row r="270" spans="24:29">
      <c r="X270" s="562">
        <v>44839</v>
      </c>
      <c r="Y270" s="553">
        <v>4</v>
      </c>
      <c r="Z270" s="553">
        <v>1104.26</v>
      </c>
      <c r="AA270" s="553">
        <v>61000</v>
      </c>
      <c r="AB270" s="563">
        <v>2.4E-2</v>
      </c>
      <c r="AC270" s="563">
        <v>6.8000000000000005E-2</v>
      </c>
    </row>
    <row r="271" spans="24:29">
      <c r="X271" s="562">
        <v>44838</v>
      </c>
      <c r="Y271" s="553">
        <v>3</v>
      </c>
      <c r="Z271" s="553">
        <v>1078.1400000000001</v>
      </c>
      <c r="AA271" s="553">
        <v>57100</v>
      </c>
      <c r="AB271" s="563">
        <v>-8.0000000000000002E-3</v>
      </c>
      <c r="AC271" s="563">
        <v>-4.7E-2</v>
      </c>
    </row>
    <row r="272" spans="24:29">
      <c r="X272" s="562">
        <v>44837</v>
      </c>
      <c r="Y272" s="553">
        <v>2</v>
      </c>
      <c r="Z272" s="553">
        <v>1086.44</v>
      </c>
      <c r="AA272" s="553">
        <v>59900</v>
      </c>
      <c r="AB272" s="563">
        <v>-0.04</v>
      </c>
      <c r="AC272" s="563">
        <v>-7.0000000000000007E-2</v>
      </c>
    </row>
    <row r="273" spans="24:29">
      <c r="X273" s="562">
        <v>44834</v>
      </c>
      <c r="Y273" s="553">
        <v>6</v>
      </c>
      <c r="Z273" s="553">
        <v>1132.1099999999999</v>
      </c>
      <c r="AA273" s="553">
        <v>64400</v>
      </c>
      <c r="AB273" s="563">
        <v>5.0000000000000001E-3</v>
      </c>
      <c r="AC273" s="563">
        <v>1.6E-2</v>
      </c>
    </row>
    <row r="274" spans="24:29">
      <c r="X274" s="562">
        <v>44833</v>
      </c>
      <c r="Y274" s="553">
        <v>5</v>
      </c>
      <c r="Z274" s="553">
        <v>1126.07</v>
      </c>
      <c r="AA274" s="553">
        <v>63400</v>
      </c>
      <c r="AB274" s="563">
        <v>-1.4999999999999999E-2</v>
      </c>
      <c r="AC274" s="563">
        <v>1.7999999999999999E-2</v>
      </c>
    </row>
    <row r="275" spans="24:29">
      <c r="X275" s="562">
        <v>44832</v>
      </c>
      <c r="Y275" s="553">
        <v>4</v>
      </c>
      <c r="Z275" s="553">
        <v>1143.6199999999999</v>
      </c>
      <c r="AA275" s="553">
        <v>62300</v>
      </c>
      <c r="AB275" s="563">
        <v>-0.02</v>
      </c>
      <c r="AC275" s="563">
        <v>-4.9000000000000002E-2</v>
      </c>
    </row>
    <row r="276" spans="24:29">
      <c r="X276" s="562">
        <v>44831</v>
      </c>
      <c r="Y276" s="553">
        <v>3</v>
      </c>
      <c r="Z276" s="553">
        <v>1166.54</v>
      </c>
      <c r="AA276" s="553">
        <v>65500</v>
      </c>
      <c r="AB276" s="563">
        <v>-7.0000000000000001E-3</v>
      </c>
      <c r="AC276" s="563">
        <v>-3.6999999999999998E-2</v>
      </c>
    </row>
    <row r="277" spans="24:29">
      <c r="X277" s="562">
        <v>44830</v>
      </c>
      <c r="Y277" s="553">
        <v>2</v>
      </c>
      <c r="Z277" s="553">
        <v>1174.3499999999999</v>
      </c>
      <c r="AA277" s="553">
        <v>68000</v>
      </c>
      <c r="AB277" s="563">
        <v>-2.4E-2</v>
      </c>
      <c r="AC277" s="563">
        <v>-6.3E-2</v>
      </c>
    </row>
    <row r="278" spans="24:29">
      <c r="X278" s="562">
        <v>44827</v>
      </c>
      <c r="Y278" s="553">
        <v>6</v>
      </c>
      <c r="Z278" s="553">
        <v>1203.28</v>
      </c>
      <c r="AA278" s="553">
        <v>72600</v>
      </c>
      <c r="AB278" s="563">
        <v>-8.9999999999999993E-3</v>
      </c>
      <c r="AC278" s="563">
        <v>-1.6E-2</v>
      </c>
    </row>
    <row r="279" spans="24:29">
      <c r="X279" s="562">
        <v>44826</v>
      </c>
      <c r="Y279" s="553">
        <v>5</v>
      </c>
      <c r="Z279" s="553">
        <v>1214.7</v>
      </c>
      <c r="AA279" s="553">
        <v>73800</v>
      </c>
      <c r="AB279" s="563">
        <v>3.0000000000000001E-3</v>
      </c>
      <c r="AC279" s="563">
        <v>2.1000000000000001E-2</v>
      </c>
    </row>
    <row r="280" spans="24:29">
      <c r="X280" s="562">
        <v>44825</v>
      </c>
      <c r="Y280" s="553">
        <v>4</v>
      </c>
      <c r="Z280" s="553">
        <v>1210.55</v>
      </c>
      <c r="AA280" s="553">
        <v>72300</v>
      </c>
      <c r="AB280" s="563">
        <v>-7.0000000000000001E-3</v>
      </c>
      <c r="AC280" s="563">
        <v>-3.0000000000000001E-3</v>
      </c>
    </row>
    <row r="281" spans="24:29">
      <c r="X281" s="562">
        <v>44824</v>
      </c>
      <c r="Y281" s="553">
        <v>3</v>
      </c>
      <c r="Z281" s="553">
        <v>1218.93</v>
      </c>
      <c r="AA281" s="553">
        <v>72500</v>
      </c>
      <c r="AB281" s="563">
        <v>1.0999999999999999E-2</v>
      </c>
      <c r="AC281" s="563">
        <v>3.3000000000000002E-2</v>
      </c>
    </row>
    <row r="282" spans="24:29">
      <c r="X282" s="562">
        <v>44823</v>
      </c>
      <c r="Y282" s="553">
        <v>2</v>
      </c>
      <c r="Z282" s="553">
        <v>1205.43</v>
      </c>
      <c r="AA282" s="553">
        <v>70200</v>
      </c>
      <c r="AB282" s="563">
        <v>-2.3E-2</v>
      </c>
      <c r="AC282" s="563">
        <v>-6.9000000000000006E-2</v>
      </c>
    </row>
    <row r="283" spans="24:29">
      <c r="X283" s="562">
        <v>44820</v>
      </c>
      <c r="Y283" s="553">
        <v>6</v>
      </c>
      <c r="Z283" s="553">
        <v>1234.03</v>
      </c>
      <c r="AA283" s="553">
        <v>75400</v>
      </c>
      <c r="AB283" s="563">
        <v>-8.9999999999999993E-3</v>
      </c>
      <c r="AC283" s="563">
        <v>-2.8000000000000001E-2</v>
      </c>
    </row>
    <row r="284" spans="24:29">
      <c r="X284" s="562">
        <v>44819</v>
      </c>
      <c r="Y284" s="553">
        <v>5</v>
      </c>
      <c r="Z284" s="553">
        <v>1245.6600000000001</v>
      </c>
      <c r="AA284" s="553">
        <v>77600</v>
      </c>
      <c r="AB284" s="563">
        <v>4.0000000000000001E-3</v>
      </c>
      <c r="AC284" s="563">
        <v>-3.0000000000000001E-3</v>
      </c>
    </row>
    <row r="285" spans="24:29">
      <c r="X285" s="562">
        <v>44818</v>
      </c>
      <c r="Y285" s="553">
        <v>4</v>
      </c>
      <c r="Z285" s="553">
        <v>1240.77</v>
      </c>
      <c r="AA285" s="553">
        <v>77800</v>
      </c>
      <c r="AB285" s="563">
        <v>-6.0000000000000001E-3</v>
      </c>
      <c r="AC285" s="563">
        <v>0.01</v>
      </c>
    </row>
    <row r="286" spans="24:29">
      <c r="X286" s="562">
        <v>44817</v>
      </c>
      <c r="Y286" s="553">
        <v>3</v>
      </c>
      <c r="Z286" s="553">
        <v>1248.4000000000001</v>
      </c>
      <c r="AA286" s="553">
        <v>77000</v>
      </c>
      <c r="AB286" s="563">
        <v>-1E-3</v>
      </c>
      <c r="AC286" s="563">
        <v>-8.9999999999999993E-3</v>
      </c>
    </row>
    <row r="287" spans="24:29">
      <c r="X287" s="562">
        <v>44816</v>
      </c>
      <c r="Y287" s="553">
        <v>2</v>
      </c>
      <c r="Z287" s="553">
        <v>1249.6199999999999</v>
      </c>
      <c r="AA287" s="553">
        <v>77700</v>
      </c>
      <c r="AB287" s="563">
        <v>1E-3</v>
      </c>
      <c r="AC287" s="563">
        <v>5.7000000000000002E-2</v>
      </c>
    </row>
    <row r="288" spans="24:29">
      <c r="X288" s="562">
        <v>44813</v>
      </c>
      <c r="Y288" s="553">
        <v>6</v>
      </c>
      <c r="Z288" s="553">
        <v>1248.78</v>
      </c>
      <c r="AA288" s="553">
        <v>73500</v>
      </c>
      <c r="AB288" s="563">
        <v>1.0999999999999999E-2</v>
      </c>
      <c r="AC288" s="563">
        <v>2.4E-2</v>
      </c>
    </row>
    <row r="289" spans="24:29">
      <c r="X289" s="562">
        <v>44812</v>
      </c>
      <c r="Y289" s="553">
        <v>5</v>
      </c>
      <c r="Z289" s="553">
        <v>1234.5999999999999</v>
      </c>
      <c r="AA289" s="553">
        <v>71800</v>
      </c>
      <c r="AB289" s="563">
        <v>-7.0000000000000001E-3</v>
      </c>
      <c r="AC289" s="563">
        <v>2.4E-2</v>
      </c>
    </row>
    <row r="290" spans="24:29">
      <c r="X290" s="562">
        <v>44811</v>
      </c>
      <c r="Y290" s="553">
        <v>4</v>
      </c>
      <c r="Z290" s="553">
        <v>1243.17</v>
      </c>
      <c r="AA290" s="553">
        <v>70100</v>
      </c>
      <c r="AB290" s="563">
        <v>-2.7E-2</v>
      </c>
      <c r="AC290" s="563">
        <v>-5.2999999999999999E-2</v>
      </c>
    </row>
    <row r="291" spans="24:29">
      <c r="X291" s="562">
        <v>44810</v>
      </c>
      <c r="Y291" s="553">
        <v>3</v>
      </c>
      <c r="Z291" s="553">
        <v>1277.4000000000001</v>
      </c>
      <c r="AA291" s="553">
        <v>74000</v>
      </c>
      <c r="AB291" s="563">
        <v>0</v>
      </c>
      <c r="AC291" s="563">
        <v>2.4E-2</v>
      </c>
    </row>
    <row r="292" spans="24:29">
      <c r="X292" s="562">
        <v>44809</v>
      </c>
      <c r="Y292" s="553">
        <v>2</v>
      </c>
      <c r="Z292" s="553">
        <v>1277.3499999999999</v>
      </c>
      <c r="AA292" s="553">
        <v>72300</v>
      </c>
      <c r="AB292" s="563">
        <v>-2E-3</v>
      </c>
      <c r="AC292" s="563">
        <v>8.0000000000000002E-3</v>
      </c>
    </row>
    <row r="293" spans="24:29">
      <c r="X293" s="562">
        <v>44804</v>
      </c>
      <c r="Y293" s="553">
        <v>4</v>
      </c>
      <c r="Z293" s="553">
        <v>1280.51</v>
      </c>
      <c r="AA293" s="553">
        <v>71700</v>
      </c>
      <c r="AB293" s="563">
        <v>1E-3</v>
      </c>
      <c r="AC293" s="563">
        <v>0.01</v>
      </c>
    </row>
    <row r="294" spans="24:29">
      <c r="X294" s="562">
        <v>44803</v>
      </c>
      <c r="Y294" s="553">
        <v>3</v>
      </c>
      <c r="Z294" s="553">
        <v>1279.3900000000001</v>
      </c>
      <c r="AA294" s="553">
        <v>71000</v>
      </c>
      <c r="AB294" s="563">
        <v>7.0000000000000001E-3</v>
      </c>
      <c r="AC294" s="563">
        <v>0</v>
      </c>
    </row>
    <row r="295" spans="24:29">
      <c r="X295" s="562">
        <v>44802</v>
      </c>
      <c r="Y295" s="553">
        <v>2</v>
      </c>
      <c r="Z295" s="553">
        <v>1270.8</v>
      </c>
      <c r="AA295" s="553">
        <v>71000</v>
      </c>
      <c r="AB295" s="563">
        <v>-8.9999999999999993E-3</v>
      </c>
      <c r="AC295" s="563">
        <v>-2.1000000000000001E-2</v>
      </c>
    </row>
    <row r="296" spans="24:29">
      <c r="X296" s="562">
        <v>44799</v>
      </c>
      <c r="Y296" s="553">
        <v>6</v>
      </c>
      <c r="Z296" s="553">
        <v>1282.57</v>
      </c>
      <c r="AA296" s="553">
        <v>72500</v>
      </c>
      <c r="AB296" s="563">
        <v>-5.0000000000000001E-3</v>
      </c>
      <c r="AC296" s="563">
        <v>-4.0000000000000001E-3</v>
      </c>
    </row>
    <row r="297" spans="24:29">
      <c r="X297" s="562">
        <v>44798</v>
      </c>
      <c r="Y297" s="553">
        <v>5</v>
      </c>
      <c r="Z297" s="553">
        <v>1288.8800000000001</v>
      </c>
      <c r="AA297" s="553">
        <v>72800</v>
      </c>
      <c r="AB297" s="563">
        <v>8.9999999999999993E-3</v>
      </c>
      <c r="AC297" s="563">
        <v>-5.0000000000000001E-3</v>
      </c>
    </row>
    <row r="298" spans="24:29">
      <c r="X298" s="562">
        <v>44797</v>
      </c>
      <c r="Y298" s="553">
        <v>4</v>
      </c>
      <c r="Z298" s="553">
        <v>1277.1600000000001</v>
      </c>
      <c r="AA298" s="553">
        <v>73200</v>
      </c>
      <c r="AB298" s="563">
        <v>5.0000000000000001E-3</v>
      </c>
      <c r="AC298" s="563">
        <v>1.4E-2</v>
      </c>
    </row>
    <row r="299" spans="24:29">
      <c r="X299" s="562">
        <v>44796</v>
      </c>
      <c r="Y299" s="553">
        <v>3</v>
      </c>
      <c r="Z299" s="553">
        <v>1270.81</v>
      </c>
      <c r="AA299" s="553">
        <v>72200</v>
      </c>
      <c r="AB299" s="563">
        <v>8.0000000000000002E-3</v>
      </c>
      <c r="AC299" s="563">
        <v>0</v>
      </c>
    </row>
    <row r="300" spans="24:29">
      <c r="X300" s="562">
        <v>44795</v>
      </c>
      <c r="Y300" s="553">
        <v>2</v>
      </c>
      <c r="Z300" s="553">
        <v>1260.43</v>
      </c>
      <c r="AA300" s="553">
        <v>72200</v>
      </c>
      <c r="AB300" s="563">
        <v>-7.0000000000000001E-3</v>
      </c>
      <c r="AC300" s="563">
        <v>2.5999999999999999E-2</v>
      </c>
    </row>
    <row r="301" spans="24:29">
      <c r="X301" s="562">
        <v>44792</v>
      </c>
      <c r="Y301" s="553">
        <v>6</v>
      </c>
      <c r="Z301" s="553">
        <v>1269.18</v>
      </c>
      <c r="AA301" s="553">
        <v>70400</v>
      </c>
      <c r="AB301" s="563">
        <v>-4.0000000000000001E-3</v>
      </c>
      <c r="AC301" s="563">
        <v>7.0000000000000001E-3</v>
      </c>
    </row>
    <row r="302" spans="24:29">
      <c r="X302" s="562">
        <v>44791</v>
      </c>
      <c r="Y302" s="553">
        <v>5</v>
      </c>
      <c r="Z302" s="553">
        <v>1273.6600000000001</v>
      </c>
      <c r="AA302" s="553">
        <v>69900</v>
      </c>
      <c r="AB302" s="563">
        <v>-1E-3</v>
      </c>
      <c r="AC302" s="563">
        <v>-2.1999999999999999E-2</v>
      </c>
    </row>
    <row r="303" spans="24:29">
      <c r="X303" s="562">
        <v>44790</v>
      </c>
      <c r="Y303" s="553">
        <v>4</v>
      </c>
      <c r="Z303" s="553">
        <v>1275.28</v>
      </c>
      <c r="AA303" s="553">
        <v>71500</v>
      </c>
      <c r="AB303" s="563">
        <v>0</v>
      </c>
      <c r="AC303" s="563">
        <v>3.0000000000000001E-3</v>
      </c>
    </row>
    <row r="304" spans="24:29">
      <c r="X304" s="562">
        <v>44789</v>
      </c>
      <c r="Y304" s="553">
        <v>3</v>
      </c>
      <c r="Z304" s="553">
        <v>1274.69</v>
      </c>
      <c r="AA304" s="553">
        <v>71300</v>
      </c>
      <c r="AB304" s="563">
        <v>0</v>
      </c>
      <c r="AC304" s="563">
        <v>1.9E-2</v>
      </c>
    </row>
    <row r="305" spans="24:29">
      <c r="X305" s="562">
        <v>44788</v>
      </c>
      <c r="Y305" s="553">
        <v>2</v>
      </c>
      <c r="Z305" s="553">
        <v>1274.2</v>
      </c>
      <c r="AA305" s="553">
        <v>70000</v>
      </c>
      <c r="AB305" s="563">
        <v>8.9999999999999993E-3</v>
      </c>
      <c r="AC305" s="563">
        <v>6.9000000000000006E-2</v>
      </c>
    </row>
    <row r="306" spans="24:29">
      <c r="X306" s="562">
        <v>44785</v>
      </c>
      <c r="Y306" s="553">
        <v>6</v>
      </c>
      <c r="Z306" s="553">
        <v>1262.33</v>
      </c>
      <c r="AA306" s="553">
        <v>65500</v>
      </c>
      <c r="AB306" s="563">
        <v>8.0000000000000002E-3</v>
      </c>
      <c r="AC306" s="563">
        <v>0.04</v>
      </c>
    </row>
    <row r="307" spans="24:29">
      <c r="X307" s="562">
        <v>44784</v>
      </c>
      <c r="Y307" s="553">
        <v>5</v>
      </c>
      <c r="Z307" s="553">
        <v>1252.07</v>
      </c>
      <c r="AA307" s="553">
        <v>63000</v>
      </c>
      <c r="AB307" s="563">
        <v>-4.0000000000000001E-3</v>
      </c>
      <c r="AC307" s="563">
        <v>3.0000000000000001E-3</v>
      </c>
    </row>
    <row r="308" spans="24:29">
      <c r="X308" s="562">
        <v>44783</v>
      </c>
      <c r="Y308" s="553">
        <v>4</v>
      </c>
      <c r="Z308" s="553">
        <v>1256.5</v>
      </c>
      <c r="AA308" s="553">
        <v>62800</v>
      </c>
      <c r="AB308" s="563">
        <v>-2E-3</v>
      </c>
      <c r="AC308" s="563">
        <v>-1.6E-2</v>
      </c>
    </row>
    <row r="309" spans="24:29">
      <c r="X309" s="562">
        <v>44782</v>
      </c>
      <c r="Y309" s="553">
        <v>3</v>
      </c>
      <c r="Z309" s="553">
        <v>1258.8499999999999</v>
      </c>
      <c r="AA309" s="553">
        <v>63800</v>
      </c>
      <c r="AB309" s="563">
        <v>2E-3</v>
      </c>
      <c r="AC309" s="563">
        <v>-1.7000000000000001E-2</v>
      </c>
    </row>
    <row r="310" spans="24:29">
      <c r="X310" s="562">
        <v>44781</v>
      </c>
      <c r="Y310" s="553">
        <v>2</v>
      </c>
      <c r="Z310" s="553">
        <v>1256.75</v>
      </c>
      <c r="AA310" s="553">
        <v>64900</v>
      </c>
      <c r="AB310" s="563">
        <v>3.0000000000000001E-3</v>
      </c>
      <c r="AC310" s="563">
        <v>3.2000000000000001E-2</v>
      </c>
    </row>
    <row r="311" spans="24:29">
      <c r="X311" s="562">
        <v>44778</v>
      </c>
      <c r="Y311" s="553">
        <v>6</v>
      </c>
      <c r="Z311" s="553">
        <v>1252.74</v>
      </c>
      <c r="AA311" s="553">
        <v>62900</v>
      </c>
      <c r="AB311" s="563">
        <v>-1E-3</v>
      </c>
      <c r="AC311" s="563">
        <v>0</v>
      </c>
    </row>
    <row r="312" spans="24:29">
      <c r="X312" s="562">
        <v>44777</v>
      </c>
      <c r="Y312" s="553">
        <v>5</v>
      </c>
      <c r="Z312" s="553">
        <v>1254.1500000000001</v>
      </c>
      <c r="AA312" s="553">
        <v>62900</v>
      </c>
      <c r="AB312" s="563">
        <v>4.0000000000000001E-3</v>
      </c>
      <c r="AC312" s="563">
        <v>3.3000000000000002E-2</v>
      </c>
    </row>
    <row r="313" spans="24:29">
      <c r="X313" s="562">
        <v>44776</v>
      </c>
      <c r="Y313" s="553">
        <v>4</v>
      </c>
      <c r="Z313" s="553">
        <v>1249.76</v>
      </c>
      <c r="AA313" s="553">
        <v>60900</v>
      </c>
      <c r="AB313" s="563">
        <v>7.0000000000000001E-3</v>
      </c>
      <c r="AC313" s="563">
        <v>0.01</v>
      </c>
    </row>
    <row r="314" spans="24:29">
      <c r="X314" s="562">
        <v>44775</v>
      </c>
      <c r="Y314" s="553">
        <v>3</v>
      </c>
      <c r="Z314" s="553">
        <v>1241.6199999999999</v>
      </c>
      <c r="AA314" s="553">
        <v>60300</v>
      </c>
      <c r="AB314" s="563">
        <v>8.0000000000000002E-3</v>
      </c>
      <c r="AC314" s="563">
        <v>-0.01</v>
      </c>
    </row>
    <row r="315" spans="24:29">
      <c r="X315" s="562">
        <v>44774</v>
      </c>
      <c r="Y315" s="553">
        <v>2</v>
      </c>
      <c r="Z315" s="553">
        <v>1231.3499999999999</v>
      </c>
      <c r="AA315" s="553">
        <v>60900</v>
      </c>
      <c r="AB315" s="563">
        <v>2.1000000000000001E-2</v>
      </c>
      <c r="AC315" s="563">
        <v>3.9E-2</v>
      </c>
    </row>
    <row r="316" spans="24:29">
      <c r="X316" s="562">
        <v>44771</v>
      </c>
      <c r="Y316" s="553">
        <v>6</v>
      </c>
      <c r="Z316" s="553">
        <v>1206.33</v>
      </c>
      <c r="AA316" s="553">
        <v>58600</v>
      </c>
      <c r="AB316" s="563">
        <v>-1E-3</v>
      </c>
      <c r="AC316" s="563">
        <v>-3.1E-2</v>
      </c>
    </row>
    <row r="317" spans="24:29">
      <c r="X317" s="562">
        <v>44770</v>
      </c>
      <c r="Y317" s="553">
        <v>5</v>
      </c>
      <c r="Z317" s="553">
        <v>1208.1199999999999</v>
      </c>
      <c r="AA317" s="553">
        <v>60500</v>
      </c>
      <c r="AB317" s="563">
        <v>1.4E-2</v>
      </c>
      <c r="AC317" s="563">
        <v>2E-3</v>
      </c>
    </row>
    <row r="318" spans="24:29">
      <c r="X318" s="562">
        <v>44769</v>
      </c>
      <c r="Y318" s="553">
        <v>4</v>
      </c>
      <c r="Z318" s="553">
        <v>1191.04</v>
      </c>
      <c r="AA318" s="553">
        <v>60400</v>
      </c>
      <c r="AB318" s="563">
        <v>5.0000000000000001E-3</v>
      </c>
      <c r="AC318" s="563">
        <v>-5.0000000000000001E-3</v>
      </c>
    </row>
    <row r="319" spans="24:29">
      <c r="X319" s="562">
        <v>44768</v>
      </c>
      <c r="Y319" s="553">
        <v>3</v>
      </c>
      <c r="Z319" s="553">
        <v>1185.07</v>
      </c>
      <c r="AA319" s="553">
        <v>60700</v>
      </c>
      <c r="AB319" s="563">
        <v>-3.0000000000000001E-3</v>
      </c>
      <c r="AC319" s="563">
        <v>2.9000000000000001E-2</v>
      </c>
    </row>
    <row r="320" spans="24:29">
      <c r="X320" s="562">
        <v>44767</v>
      </c>
      <c r="Y320" s="553">
        <v>2</v>
      </c>
      <c r="Z320" s="553">
        <v>1188.5</v>
      </c>
      <c r="AA320" s="553">
        <v>59000</v>
      </c>
      <c r="AB320" s="563">
        <v>-5.0000000000000001E-3</v>
      </c>
      <c r="AC320" s="563">
        <v>-3.3000000000000002E-2</v>
      </c>
    </row>
    <row r="321" spans="24:29">
      <c r="X321" s="562">
        <v>44764</v>
      </c>
      <c r="Y321" s="553">
        <v>6</v>
      </c>
      <c r="Z321" s="553">
        <v>1194.76</v>
      </c>
      <c r="AA321" s="553">
        <v>61000</v>
      </c>
      <c r="AB321" s="563">
        <v>-3.0000000000000001E-3</v>
      </c>
      <c r="AC321" s="563">
        <v>-2.4E-2</v>
      </c>
    </row>
    <row r="322" spans="24:29">
      <c r="X322" s="562">
        <v>44763</v>
      </c>
      <c r="Y322" s="553">
        <v>5</v>
      </c>
      <c r="Z322" s="553">
        <v>1198.47</v>
      </c>
      <c r="AA322" s="553">
        <v>62500</v>
      </c>
      <c r="AB322" s="563">
        <v>4.0000000000000001E-3</v>
      </c>
      <c r="AC322" s="563">
        <v>5.1999999999999998E-2</v>
      </c>
    </row>
    <row r="323" spans="24:29">
      <c r="X323" s="562">
        <v>44762</v>
      </c>
      <c r="Y323" s="553">
        <v>4</v>
      </c>
      <c r="Z323" s="553">
        <v>1194.1400000000001</v>
      </c>
      <c r="AA323" s="553">
        <v>59400</v>
      </c>
      <c r="AB323" s="563">
        <v>1.2999999999999999E-2</v>
      </c>
      <c r="AC323" s="563">
        <v>6.8000000000000005E-2</v>
      </c>
    </row>
    <row r="324" spans="24:29">
      <c r="X324" s="562">
        <v>44761</v>
      </c>
      <c r="Y324" s="553">
        <v>3</v>
      </c>
      <c r="Z324" s="553">
        <v>1178.33</v>
      </c>
      <c r="AA324" s="553">
        <v>55600</v>
      </c>
      <c r="AB324" s="563">
        <v>2E-3</v>
      </c>
      <c r="AC324" s="563">
        <v>1.0999999999999999E-2</v>
      </c>
    </row>
    <row r="325" spans="24:29">
      <c r="X325" s="562">
        <v>44760</v>
      </c>
      <c r="Y325" s="553">
        <v>2</v>
      </c>
      <c r="Z325" s="553">
        <v>1176.49</v>
      </c>
      <c r="AA325" s="553">
        <v>55000</v>
      </c>
      <c r="AB325" s="563">
        <v>-2E-3</v>
      </c>
      <c r="AC325" s="563">
        <v>4.8000000000000001E-2</v>
      </c>
    </row>
    <row r="326" spans="24:29">
      <c r="X326" s="562">
        <v>44757</v>
      </c>
      <c r="Y326" s="553">
        <v>6</v>
      </c>
      <c r="Z326" s="553">
        <v>1179.25</v>
      </c>
      <c r="AA326" s="553">
        <v>52500</v>
      </c>
      <c r="AB326" s="563">
        <v>-2E-3</v>
      </c>
      <c r="AC326" s="563">
        <v>-1.7000000000000001E-2</v>
      </c>
    </row>
    <row r="327" spans="24:29">
      <c r="X327" s="562">
        <v>44756</v>
      </c>
      <c r="Y327" s="553">
        <v>5</v>
      </c>
      <c r="Z327" s="553">
        <v>1182.17</v>
      </c>
      <c r="AA327" s="553">
        <v>53400</v>
      </c>
      <c r="AB327" s="563">
        <v>7.0000000000000001E-3</v>
      </c>
      <c r="AC327" s="563">
        <v>-2.1999999999999999E-2</v>
      </c>
    </row>
    <row r="328" spans="24:29">
      <c r="X328" s="562">
        <v>44755</v>
      </c>
      <c r="Y328" s="553">
        <v>4</v>
      </c>
      <c r="Z328" s="553">
        <v>1173.92</v>
      </c>
      <c r="AA328" s="553">
        <v>54600</v>
      </c>
      <c r="AB328" s="563">
        <v>-1E-3</v>
      </c>
      <c r="AC328" s="563">
        <v>-1.0999999999999999E-2</v>
      </c>
    </row>
    <row r="329" spans="24:29">
      <c r="X329" s="562">
        <v>44754</v>
      </c>
      <c r="Y329" s="553">
        <v>3</v>
      </c>
      <c r="Z329" s="553">
        <v>1174.82</v>
      </c>
      <c r="AA329" s="553">
        <v>55200</v>
      </c>
      <c r="AB329" s="563">
        <v>1.7000000000000001E-2</v>
      </c>
      <c r="AC329" s="563">
        <v>0.04</v>
      </c>
    </row>
    <row r="330" spans="24:29">
      <c r="X330" s="562">
        <v>44753</v>
      </c>
      <c r="Y330" s="553">
        <v>2</v>
      </c>
      <c r="Z330" s="553">
        <v>1155.29</v>
      </c>
      <c r="AA330" s="553">
        <v>53100</v>
      </c>
      <c r="AB330" s="563">
        <v>-1.4E-2</v>
      </c>
      <c r="AC330" s="563">
        <v>-6.8000000000000005E-2</v>
      </c>
    </row>
    <row r="331" spans="24:29">
      <c r="X331" s="562">
        <v>44750</v>
      </c>
      <c r="Y331" s="553">
        <v>6</v>
      </c>
      <c r="Z331" s="553">
        <v>1171.31</v>
      </c>
      <c r="AA331" s="553">
        <v>57000</v>
      </c>
      <c r="AB331" s="563">
        <v>4.0000000000000001E-3</v>
      </c>
      <c r="AC331" s="563">
        <v>1.7999999999999999E-2</v>
      </c>
    </row>
    <row r="332" spans="24:29">
      <c r="X332" s="562">
        <v>44749</v>
      </c>
      <c r="Y332" s="553">
        <v>5</v>
      </c>
      <c r="Z332" s="553">
        <v>1166.48</v>
      </c>
      <c r="AA332" s="553">
        <v>56000</v>
      </c>
      <c r="AB332" s="563">
        <v>1.4999999999999999E-2</v>
      </c>
      <c r="AC332" s="563">
        <v>4.2999999999999997E-2</v>
      </c>
    </row>
    <row r="333" spans="24:29">
      <c r="X333" s="562">
        <v>44748</v>
      </c>
      <c r="Y333" s="553">
        <v>4</v>
      </c>
      <c r="Z333" s="553">
        <v>1149.6099999999999</v>
      </c>
      <c r="AA333" s="553">
        <v>53700</v>
      </c>
      <c r="AB333" s="563">
        <v>-2.7E-2</v>
      </c>
      <c r="AC333" s="563">
        <v>-6.9000000000000006E-2</v>
      </c>
    </row>
    <row r="334" spans="24:29">
      <c r="X334" s="562">
        <v>44747</v>
      </c>
      <c r="Y334" s="553">
        <v>3</v>
      </c>
      <c r="Z334" s="553">
        <v>1181.29</v>
      </c>
      <c r="AA334" s="553">
        <v>57700</v>
      </c>
      <c r="AB334" s="563">
        <v>-1.2E-2</v>
      </c>
      <c r="AC334" s="563">
        <v>-6.9000000000000006E-2</v>
      </c>
    </row>
    <row r="335" spans="24:29">
      <c r="X335" s="562">
        <v>44746</v>
      </c>
      <c r="Y335" s="553">
        <v>2</v>
      </c>
      <c r="Z335" s="553">
        <v>1195.53</v>
      </c>
      <c r="AA335" s="553">
        <v>62000</v>
      </c>
      <c r="AB335" s="563">
        <v>-3.0000000000000001E-3</v>
      </c>
      <c r="AC335" s="563">
        <v>-2.4E-2</v>
      </c>
    </row>
    <row r="336" spans="24:29">
      <c r="X336" s="562">
        <v>44743</v>
      </c>
      <c r="Y336" s="553">
        <v>6</v>
      </c>
      <c r="Z336" s="553">
        <v>1198.9000000000001</v>
      </c>
      <c r="AA336" s="553">
        <v>63500</v>
      </c>
      <c r="AB336" s="563">
        <v>1E-3</v>
      </c>
      <c r="AC336" s="563">
        <v>-0.45300000000000001</v>
      </c>
    </row>
    <row r="337" spans="24:29">
      <c r="X337" s="562">
        <v>44742</v>
      </c>
      <c r="Y337" s="553">
        <v>5</v>
      </c>
      <c r="Z337" s="553">
        <v>1197.5999999999999</v>
      </c>
      <c r="AA337" s="553">
        <v>116000</v>
      </c>
      <c r="AB337" s="563">
        <v>-1.7000000000000001E-2</v>
      </c>
      <c r="AC337" s="563">
        <v>-1E-3</v>
      </c>
    </row>
    <row r="338" spans="24:29">
      <c r="X338" s="562">
        <v>44741</v>
      </c>
      <c r="Y338" s="553">
        <v>4</v>
      </c>
      <c r="Z338" s="553">
        <v>1218.0899999999999</v>
      </c>
      <c r="AA338" s="553">
        <v>116100</v>
      </c>
      <c r="AB338" s="563">
        <v>0</v>
      </c>
      <c r="AC338" s="563">
        <v>-3.9E-2</v>
      </c>
    </row>
    <row r="339" spans="24:29">
      <c r="X339" s="562">
        <v>44740</v>
      </c>
      <c r="Y339" s="553">
        <v>3</v>
      </c>
      <c r="Z339" s="553">
        <v>1218.0999999999999</v>
      </c>
      <c r="AA339" s="553">
        <v>120800</v>
      </c>
      <c r="AB339" s="563">
        <v>1.2999999999999999E-2</v>
      </c>
      <c r="AC339" s="563">
        <v>-8.0000000000000002E-3</v>
      </c>
    </row>
    <row r="340" spans="24:29">
      <c r="X340" s="562">
        <v>44739</v>
      </c>
      <c r="Y340" s="553">
        <v>2</v>
      </c>
      <c r="Z340" s="553">
        <v>1202.82</v>
      </c>
      <c r="AA340" s="553">
        <v>121800</v>
      </c>
      <c r="AB340" s="563">
        <v>1.4999999999999999E-2</v>
      </c>
      <c r="AC340" s="563">
        <v>1.9E-2</v>
      </c>
    </row>
    <row r="341" spans="24:29">
      <c r="X341" s="562">
        <v>44736</v>
      </c>
      <c r="Y341" s="553">
        <v>6</v>
      </c>
      <c r="Z341" s="553">
        <v>1185.48</v>
      </c>
      <c r="AA341" s="553">
        <v>119500</v>
      </c>
      <c r="AB341" s="563">
        <v>-3.0000000000000001E-3</v>
      </c>
      <c r="AC341" s="563">
        <v>1.2999999999999999E-2</v>
      </c>
    </row>
    <row r="342" spans="24:29">
      <c r="X342" s="562">
        <v>44735</v>
      </c>
      <c r="Y342" s="553">
        <v>5</v>
      </c>
      <c r="Z342" s="553">
        <v>1188.8800000000001</v>
      </c>
      <c r="AA342" s="553">
        <v>118000</v>
      </c>
      <c r="AB342" s="563">
        <v>1.7000000000000001E-2</v>
      </c>
      <c r="AC342" s="563">
        <v>5.7000000000000002E-2</v>
      </c>
    </row>
    <row r="343" spans="24:29">
      <c r="X343" s="562">
        <v>44734</v>
      </c>
      <c r="Y343" s="553">
        <v>4</v>
      </c>
      <c r="Z343" s="553">
        <v>1169.27</v>
      </c>
      <c r="AA343" s="553">
        <v>111600</v>
      </c>
      <c r="AB343" s="563">
        <v>-3.0000000000000001E-3</v>
      </c>
      <c r="AC343" s="563">
        <v>-7.0000000000000007E-2</v>
      </c>
    </row>
    <row r="344" spans="24:29">
      <c r="X344" s="562">
        <v>44733</v>
      </c>
      <c r="Y344" s="553">
        <v>3</v>
      </c>
      <c r="Z344" s="553">
        <v>1172.47</v>
      </c>
      <c r="AA344" s="553">
        <v>120000</v>
      </c>
      <c r="AB344" s="563">
        <v>-7.0000000000000001E-3</v>
      </c>
      <c r="AC344" s="563">
        <v>-1.6E-2</v>
      </c>
    </row>
    <row r="345" spans="24:29">
      <c r="X345" s="562">
        <v>44732</v>
      </c>
      <c r="Y345" s="553">
        <v>2</v>
      </c>
      <c r="Z345" s="553">
        <v>1180.4000000000001</v>
      </c>
      <c r="AA345" s="553">
        <v>122000</v>
      </c>
      <c r="AB345" s="563">
        <v>-0.03</v>
      </c>
      <c r="AC345" s="563">
        <v>-3.2000000000000001E-2</v>
      </c>
    </row>
    <row r="346" spans="24:29">
      <c r="X346" s="562">
        <v>44729</v>
      </c>
      <c r="Y346" s="553">
        <v>6</v>
      </c>
      <c r="Z346" s="553">
        <v>1217.3</v>
      </c>
      <c r="AA346" s="553">
        <v>126000</v>
      </c>
      <c r="AB346" s="563">
        <v>-1.6E-2</v>
      </c>
      <c r="AC346" s="563">
        <v>-1.6E-2</v>
      </c>
    </row>
    <row r="347" spans="24:29">
      <c r="X347" s="562">
        <v>44728</v>
      </c>
      <c r="Y347" s="553">
        <v>5</v>
      </c>
      <c r="Z347" s="553">
        <v>1236.6300000000001</v>
      </c>
      <c r="AA347" s="553">
        <v>128000</v>
      </c>
      <c r="AB347" s="563">
        <v>1.9E-2</v>
      </c>
      <c r="AC347" s="563">
        <v>3.4000000000000002E-2</v>
      </c>
    </row>
    <row r="348" spans="24:29">
      <c r="X348" s="562">
        <v>44727</v>
      </c>
      <c r="Y348" s="553">
        <v>4</v>
      </c>
      <c r="Z348" s="553">
        <v>1213.93</v>
      </c>
      <c r="AA348" s="553">
        <v>123800</v>
      </c>
      <c r="AB348" s="563">
        <v>-1.2999999999999999E-2</v>
      </c>
      <c r="AC348" s="563">
        <v>2.4E-2</v>
      </c>
    </row>
    <row r="349" spans="24:29">
      <c r="X349" s="562">
        <v>44726</v>
      </c>
      <c r="Y349" s="553">
        <v>3</v>
      </c>
      <c r="Z349" s="553">
        <v>1230.31</v>
      </c>
      <c r="AA349" s="553">
        <v>120900</v>
      </c>
      <c r="AB349" s="563">
        <v>3.0000000000000001E-3</v>
      </c>
      <c r="AC349" s="563">
        <v>-0.03</v>
      </c>
    </row>
    <row r="350" spans="24:29">
      <c r="X350" s="562">
        <v>44725</v>
      </c>
      <c r="Y350" s="553">
        <v>2</v>
      </c>
      <c r="Z350" s="553">
        <v>1227.04</v>
      </c>
      <c r="AA350" s="553">
        <v>124700</v>
      </c>
      <c r="AB350" s="563">
        <v>-4.3999999999999997E-2</v>
      </c>
      <c r="AC350" s="563">
        <v>-6.9000000000000006E-2</v>
      </c>
    </row>
    <row r="351" spans="24:29">
      <c r="X351" s="562">
        <v>44722</v>
      </c>
      <c r="Y351" s="553">
        <v>6</v>
      </c>
      <c r="Z351" s="553">
        <v>1284.08</v>
      </c>
      <c r="AA351" s="553">
        <v>134000</v>
      </c>
      <c r="AB351" s="563">
        <v>-1.7999999999999999E-2</v>
      </c>
      <c r="AC351" s="563">
        <v>-3.6999999999999998E-2</v>
      </c>
    </row>
    <row r="352" spans="24:29">
      <c r="X352" s="562">
        <v>44721</v>
      </c>
      <c r="Y352" s="553">
        <v>5</v>
      </c>
      <c r="Z352" s="553">
        <v>1307.8</v>
      </c>
      <c r="AA352" s="553">
        <v>139200</v>
      </c>
      <c r="AB352" s="563">
        <v>0</v>
      </c>
      <c r="AC352" s="563">
        <v>1E-3</v>
      </c>
    </row>
    <row r="353" spans="24:29">
      <c r="X353" s="562">
        <v>44720</v>
      </c>
      <c r="Y353" s="553">
        <v>4</v>
      </c>
      <c r="Z353" s="553">
        <v>1307.9100000000001</v>
      </c>
      <c r="AA353" s="553">
        <v>139100</v>
      </c>
      <c r="AB353" s="563">
        <v>1.2999999999999999E-2</v>
      </c>
      <c r="AC353" s="563">
        <v>7.0000000000000007E-2</v>
      </c>
    </row>
    <row r="354" spans="24:29">
      <c r="X354" s="562">
        <v>44719</v>
      </c>
      <c r="Y354" s="553">
        <v>3</v>
      </c>
      <c r="Z354" s="553">
        <v>1291.3499999999999</v>
      </c>
      <c r="AA354" s="553">
        <v>130000</v>
      </c>
      <c r="AB354" s="563">
        <v>1E-3</v>
      </c>
      <c r="AC354" s="563">
        <v>0</v>
      </c>
    </row>
    <row r="355" spans="24:29">
      <c r="X355" s="562">
        <v>44718</v>
      </c>
      <c r="Y355" s="553">
        <v>2</v>
      </c>
      <c r="Z355" s="553">
        <v>1290.01</v>
      </c>
      <c r="AA355" s="553">
        <v>130000</v>
      </c>
      <c r="AB355" s="563">
        <v>2E-3</v>
      </c>
      <c r="AC355" s="563">
        <v>8.9999999999999993E-3</v>
      </c>
    </row>
    <row r="356" spans="24:29">
      <c r="X356" s="562">
        <v>44715</v>
      </c>
      <c r="Y356" s="553">
        <v>6</v>
      </c>
      <c r="Z356" s="553">
        <v>1287.98</v>
      </c>
      <c r="AA356" s="553">
        <v>128800</v>
      </c>
      <c r="AB356" s="563">
        <v>0</v>
      </c>
      <c r="AC356" s="563">
        <v>-1.6E-2</v>
      </c>
    </row>
    <row r="357" spans="24:29">
      <c r="X357" s="562">
        <v>44714</v>
      </c>
      <c r="Y357" s="553">
        <v>5</v>
      </c>
      <c r="Z357" s="553">
        <v>1288.6199999999999</v>
      </c>
      <c r="AA357" s="553">
        <v>130900</v>
      </c>
      <c r="AB357" s="563">
        <v>-8.0000000000000002E-3</v>
      </c>
      <c r="AC357" s="563">
        <v>1.9E-2</v>
      </c>
    </row>
    <row r="358" spans="24:29">
      <c r="X358" s="562">
        <v>44713</v>
      </c>
      <c r="Y358" s="553">
        <v>4</v>
      </c>
      <c r="Z358" s="553">
        <v>1299.52</v>
      </c>
      <c r="AA358" s="553">
        <v>128400</v>
      </c>
      <c r="AB358" s="563">
        <v>5.0000000000000001E-3</v>
      </c>
      <c r="AC358" s="563">
        <v>3.0000000000000001E-3</v>
      </c>
    </row>
    <row r="359" spans="24:29">
      <c r="X359" s="562">
        <v>44712</v>
      </c>
      <c r="Y359" s="553">
        <v>3</v>
      </c>
      <c r="Z359" s="553">
        <v>1292.68</v>
      </c>
      <c r="AA359" s="553">
        <v>128000</v>
      </c>
      <c r="AB359" s="563">
        <v>-1E-3</v>
      </c>
      <c r="AC359" s="563">
        <v>8.0000000000000002E-3</v>
      </c>
    </row>
    <row r="360" spans="24:29">
      <c r="X360" s="562">
        <v>44711</v>
      </c>
      <c r="Y360" s="553">
        <v>2</v>
      </c>
      <c r="Z360" s="553">
        <v>1293.92</v>
      </c>
      <c r="AA360" s="553">
        <v>127000</v>
      </c>
      <c r="AB360" s="563">
        <v>7.0000000000000001E-3</v>
      </c>
      <c r="AC360" s="563">
        <v>0</v>
      </c>
    </row>
    <row r="361" spans="24:29">
      <c r="X361" s="562">
        <v>44708</v>
      </c>
      <c r="Y361" s="553">
        <v>6</v>
      </c>
      <c r="Z361" s="553">
        <v>1285.45</v>
      </c>
      <c r="AA361" s="553">
        <v>127000</v>
      </c>
      <c r="AB361" s="563">
        <v>1.2999999999999999E-2</v>
      </c>
      <c r="AC361" s="563">
        <v>4.2000000000000003E-2</v>
      </c>
    </row>
    <row r="362" spans="24:29">
      <c r="X362" s="562">
        <v>44707</v>
      </c>
      <c r="Y362" s="553">
        <v>5</v>
      </c>
      <c r="Z362" s="553">
        <v>1268.57</v>
      </c>
      <c r="AA362" s="553">
        <v>121900</v>
      </c>
      <c r="AB362" s="563">
        <v>0</v>
      </c>
      <c r="AC362" s="563">
        <v>1.7999999999999999E-2</v>
      </c>
    </row>
    <row r="363" spans="24:29">
      <c r="X363" s="562">
        <v>44706</v>
      </c>
      <c r="Y363" s="553">
        <v>4</v>
      </c>
      <c r="Z363" s="553">
        <v>1268.43</v>
      </c>
      <c r="AA363" s="553">
        <v>119800</v>
      </c>
      <c r="AB363" s="563">
        <v>2.8000000000000001E-2</v>
      </c>
      <c r="AC363" s="563">
        <v>7.0000000000000007E-2</v>
      </c>
    </row>
    <row r="364" spans="24:29">
      <c r="X364" s="562">
        <v>44705</v>
      </c>
      <c r="Y364" s="553">
        <v>3</v>
      </c>
      <c r="Z364" s="553">
        <v>1233.3800000000001</v>
      </c>
      <c r="AA364" s="553">
        <v>112000</v>
      </c>
      <c r="AB364" s="563">
        <v>1.2E-2</v>
      </c>
      <c r="AC364" s="563">
        <v>3.5000000000000003E-2</v>
      </c>
    </row>
    <row r="365" spans="24:29">
      <c r="X365" s="562">
        <v>44704</v>
      </c>
      <c r="Y365" s="553">
        <v>2</v>
      </c>
      <c r="Z365" s="553">
        <v>1218.81</v>
      </c>
      <c r="AA365" s="553">
        <v>108200</v>
      </c>
      <c r="AB365" s="563">
        <v>-1.7999999999999999E-2</v>
      </c>
      <c r="AC365" s="563">
        <v>2E-3</v>
      </c>
    </row>
    <row r="366" spans="24:29">
      <c r="X366" s="562">
        <v>44701</v>
      </c>
      <c r="Y366" s="553">
        <v>6</v>
      </c>
      <c r="Z366" s="553">
        <v>1240.71</v>
      </c>
      <c r="AA366" s="553">
        <v>108000</v>
      </c>
      <c r="AB366" s="563">
        <v>-1E-3</v>
      </c>
      <c r="AC366" s="563">
        <v>0.01</v>
      </c>
    </row>
    <row r="367" spans="24:29">
      <c r="X367" s="562">
        <v>44700</v>
      </c>
      <c r="Y367" s="553">
        <v>5</v>
      </c>
      <c r="Z367" s="553">
        <v>1241.6400000000001</v>
      </c>
      <c r="AA367" s="553">
        <v>106900</v>
      </c>
      <c r="AB367" s="563">
        <v>1E-3</v>
      </c>
      <c r="AC367" s="563">
        <v>3.0000000000000001E-3</v>
      </c>
    </row>
    <row r="368" spans="24:29">
      <c r="X368" s="562">
        <v>44699</v>
      </c>
      <c r="Y368" s="553">
        <v>4</v>
      </c>
      <c r="Z368" s="553">
        <v>1240.76</v>
      </c>
      <c r="AA368" s="553">
        <v>106600</v>
      </c>
      <c r="AB368" s="563">
        <v>0.01</v>
      </c>
      <c r="AC368" s="563">
        <v>6.9000000000000006E-2</v>
      </c>
    </row>
    <row r="369" spans="24:29">
      <c r="X369" s="562">
        <v>44698</v>
      </c>
      <c r="Y369" s="553">
        <v>3</v>
      </c>
      <c r="Z369" s="553">
        <v>1228.3699999999999</v>
      </c>
      <c r="AA369" s="553">
        <v>99700</v>
      </c>
      <c r="AB369" s="563">
        <v>4.8000000000000001E-2</v>
      </c>
      <c r="AC369" s="563">
        <v>7.0000000000000007E-2</v>
      </c>
    </row>
    <row r="370" spans="24:29">
      <c r="X370" s="562">
        <v>44697</v>
      </c>
      <c r="Y370" s="553">
        <v>2</v>
      </c>
      <c r="Z370" s="553">
        <v>1171.95</v>
      </c>
      <c r="AA370" s="553">
        <v>93200</v>
      </c>
      <c r="AB370" s="563">
        <v>-8.9999999999999993E-3</v>
      </c>
      <c r="AC370" s="563">
        <v>-7.0000000000000007E-2</v>
      </c>
    </row>
    <row r="371" spans="24:29">
      <c r="X371" s="562">
        <v>44694</v>
      </c>
      <c r="Y371" s="553">
        <v>6</v>
      </c>
      <c r="Z371" s="553">
        <v>1182.77</v>
      </c>
      <c r="AA371" s="553">
        <v>100200</v>
      </c>
      <c r="AB371" s="563">
        <v>-4.4999999999999998E-2</v>
      </c>
      <c r="AC371" s="563">
        <v>-7.0000000000000007E-2</v>
      </c>
    </row>
    <row r="372" spans="24:29">
      <c r="X372" s="562">
        <v>44693</v>
      </c>
      <c r="Y372" s="553">
        <v>5</v>
      </c>
      <c r="Z372" s="553">
        <v>1238.8399999999999</v>
      </c>
      <c r="AA372" s="553">
        <v>107700</v>
      </c>
      <c r="AB372" s="563">
        <v>-4.8000000000000001E-2</v>
      </c>
      <c r="AC372" s="563">
        <v>-7.0000000000000007E-2</v>
      </c>
    </row>
    <row r="373" spans="24:29">
      <c r="X373" s="562">
        <v>44692</v>
      </c>
      <c r="Y373" s="553">
        <v>4</v>
      </c>
      <c r="Z373" s="553">
        <v>1301.53</v>
      </c>
      <c r="AA373" s="553">
        <v>115800</v>
      </c>
      <c r="AB373" s="563">
        <v>6.0000000000000001E-3</v>
      </c>
      <c r="AC373" s="563">
        <v>-0.01</v>
      </c>
    </row>
    <row r="374" spans="24:29">
      <c r="X374" s="562">
        <v>44691</v>
      </c>
      <c r="Y374" s="553">
        <v>3</v>
      </c>
      <c r="Z374" s="553">
        <v>1293.56</v>
      </c>
      <c r="AA374" s="553">
        <v>117000</v>
      </c>
      <c r="AB374" s="563">
        <v>1.9E-2</v>
      </c>
      <c r="AC374" s="563">
        <v>8.9999999999999993E-3</v>
      </c>
    </row>
    <row r="375" spans="24:29">
      <c r="X375" s="562">
        <v>44690</v>
      </c>
      <c r="Y375" s="553">
        <v>2</v>
      </c>
      <c r="Z375" s="553">
        <v>1269.6199999999999</v>
      </c>
      <c r="AA375" s="553">
        <v>115900</v>
      </c>
      <c r="AB375" s="563">
        <v>-4.4999999999999998E-2</v>
      </c>
      <c r="AC375" s="563">
        <v>-7.0000000000000007E-2</v>
      </c>
    </row>
    <row r="376" spans="24:29">
      <c r="X376" s="562">
        <v>44687</v>
      </c>
      <c r="Y376" s="553">
        <v>6</v>
      </c>
      <c r="Z376" s="553">
        <v>1329.26</v>
      </c>
      <c r="AA376" s="553">
        <v>124600</v>
      </c>
      <c r="AB376" s="563">
        <v>-2.3E-2</v>
      </c>
      <c r="AC376" s="563">
        <v>-6.9000000000000006E-2</v>
      </c>
    </row>
    <row r="377" spans="24:29">
      <c r="X377" s="562">
        <v>44686</v>
      </c>
      <c r="Y377" s="553">
        <v>5</v>
      </c>
      <c r="Z377" s="553">
        <v>1360.68</v>
      </c>
      <c r="AA377" s="553">
        <v>133900</v>
      </c>
      <c r="AB377" s="563">
        <v>8.9999999999999993E-3</v>
      </c>
      <c r="AC377" s="563">
        <v>-0.02</v>
      </c>
    </row>
    <row r="378" spans="24:29">
      <c r="X378" s="562">
        <v>44685</v>
      </c>
      <c r="Y378" s="553">
        <v>4</v>
      </c>
      <c r="Z378" s="553">
        <v>1348.68</v>
      </c>
      <c r="AA378" s="553">
        <v>136600</v>
      </c>
      <c r="AB378" s="563">
        <v>-1.2999999999999999E-2</v>
      </c>
      <c r="AC378" s="563">
        <v>-1.7000000000000001E-2</v>
      </c>
    </row>
    <row r="379" spans="24:29">
      <c r="X379" s="562">
        <v>44680</v>
      </c>
      <c r="Y379" s="553">
        <v>6</v>
      </c>
      <c r="Z379" s="553">
        <v>1366.8</v>
      </c>
      <c r="AA379" s="553">
        <v>139000</v>
      </c>
      <c r="AB379" s="563">
        <v>1.2E-2</v>
      </c>
      <c r="AC379" s="563">
        <v>0.03</v>
      </c>
    </row>
    <row r="380" spans="24:29">
      <c r="X380" s="562">
        <v>44679</v>
      </c>
      <c r="Y380" s="553">
        <v>5</v>
      </c>
      <c r="Z380" s="553">
        <v>1350.99</v>
      </c>
      <c r="AA380" s="553">
        <v>135000</v>
      </c>
      <c r="AB380" s="563">
        <v>-2E-3</v>
      </c>
      <c r="AC380" s="563">
        <v>7.0000000000000001E-3</v>
      </c>
    </row>
    <row r="381" spans="24:29">
      <c r="X381" s="562">
        <v>44678</v>
      </c>
      <c r="Y381" s="553">
        <v>4</v>
      </c>
      <c r="Z381" s="553">
        <v>1353.77</v>
      </c>
      <c r="AA381" s="553">
        <v>134100</v>
      </c>
      <c r="AB381" s="563">
        <v>8.9999999999999993E-3</v>
      </c>
      <c r="AC381" s="563">
        <v>3.2000000000000001E-2</v>
      </c>
    </row>
    <row r="382" spans="24:29">
      <c r="X382" s="562">
        <v>44677</v>
      </c>
      <c r="Y382" s="553">
        <v>3</v>
      </c>
      <c r="Z382" s="553">
        <v>1341.34</v>
      </c>
      <c r="AA382" s="553">
        <v>130000</v>
      </c>
      <c r="AB382" s="563">
        <v>2.3E-2</v>
      </c>
      <c r="AC382" s="563">
        <v>-1.4999999999999999E-2</v>
      </c>
    </row>
    <row r="383" spans="24:29">
      <c r="X383" s="562">
        <v>44676</v>
      </c>
      <c r="Y383" s="553">
        <v>2</v>
      </c>
      <c r="Z383" s="553">
        <v>1310.92</v>
      </c>
      <c r="AA383" s="553">
        <v>132000</v>
      </c>
      <c r="AB383" s="563">
        <v>-0.05</v>
      </c>
      <c r="AC383" s="563">
        <v>-7.0000000000000007E-2</v>
      </c>
    </row>
    <row r="384" spans="24:29">
      <c r="X384" s="562">
        <v>44673</v>
      </c>
      <c r="Y384" s="553">
        <v>6</v>
      </c>
      <c r="Z384" s="553">
        <v>1379.23</v>
      </c>
      <c r="AA384" s="553">
        <v>141900</v>
      </c>
      <c r="AB384" s="563">
        <v>7.0000000000000001E-3</v>
      </c>
      <c r="AC384" s="563">
        <v>-7.0000000000000007E-2</v>
      </c>
    </row>
    <row r="385" spans="24:29">
      <c r="X385" s="562">
        <v>44672</v>
      </c>
      <c r="Y385" s="553">
        <v>5</v>
      </c>
      <c r="Z385" s="553">
        <v>1370.21</v>
      </c>
      <c r="AA385" s="553">
        <v>152500</v>
      </c>
      <c r="AB385" s="563">
        <v>-0.01</v>
      </c>
      <c r="AC385" s="563">
        <v>0.03</v>
      </c>
    </row>
    <row r="386" spans="24:29">
      <c r="X386" s="562">
        <v>44671</v>
      </c>
      <c r="Y386" s="553">
        <v>4</v>
      </c>
      <c r="Z386" s="553">
        <v>1384.72</v>
      </c>
      <c r="AA386" s="553">
        <v>148000</v>
      </c>
      <c r="AB386" s="563">
        <v>-1.4999999999999999E-2</v>
      </c>
      <c r="AC386" s="563">
        <v>-6.3E-2</v>
      </c>
    </row>
    <row r="387" spans="24:29">
      <c r="X387" s="562">
        <v>44670</v>
      </c>
      <c r="Y387" s="553">
        <v>3</v>
      </c>
      <c r="Z387" s="553">
        <v>1406.45</v>
      </c>
      <c r="AA387" s="553">
        <v>158000</v>
      </c>
      <c r="AB387" s="563">
        <v>-1.7999999999999999E-2</v>
      </c>
      <c r="AC387" s="563">
        <v>1.6E-2</v>
      </c>
    </row>
    <row r="388" spans="24:29">
      <c r="X388" s="562">
        <v>44669</v>
      </c>
      <c r="Y388" s="553">
        <v>2</v>
      </c>
      <c r="Z388" s="553">
        <v>1432.6</v>
      </c>
      <c r="AA388" s="553">
        <v>155500</v>
      </c>
      <c r="AB388" s="563">
        <v>-1.7999999999999999E-2</v>
      </c>
      <c r="AC388" s="563">
        <v>6.9000000000000006E-2</v>
      </c>
    </row>
    <row r="389" spans="24:29">
      <c r="X389" s="562">
        <v>44666</v>
      </c>
      <c r="Y389" s="553">
        <v>6</v>
      </c>
      <c r="Z389" s="553">
        <v>1458.56</v>
      </c>
      <c r="AA389" s="553">
        <v>145400</v>
      </c>
      <c r="AB389" s="563">
        <v>-8.9999999999999993E-3</v>
      </c>
      <c r="AC389" s="563">
        <v>5.0000000000000001E-3</v>
      </c>
    </row>
    <row r="390" spans="24:29">
      <c r="X390" s="562">
        <v>44665</v>
      </c>
      <c r="Y390" s="553">
        <v>5</v>
      </c>
      <c r="Z390" s="553">
        <v>1472.12</v>
      </c>
      <c r="AA390" s="553">
        <v>144700</v>
      </c>
      <c r="AB390" s="563">
        <v>-3.0000000000000001E-3</v>
      </c>
      <c r="AC390" s="563">
        <v>0.05</v>
      </c>
    </row>
    <row r="391" spans="24:29">
      <c r="X391" s="562">
        <v>44664</v>
      </c>
      <c r="Y391" s="553">
        <v>4</v>
      </c>
      <c r="Z391" s="553">
        <v>1477.2</v>
      </c>
      <c r="AA391" s="553">
        <v>137800</v>
      </c>
      <c r="AB391" s="563">
        <v>1.4999999999999999E-2</v>
      </c>
      <c r="AC391" s="563">
        <v>3.7999999999999999E-2</v>
      </c>
    </row>
    <row r="392" spans="24:29">
      <c r="X392" s="562">
        <v>44663</v>
      </c>
      <c r="Y392" s="553">
        <v>3</v>
      </c>
      <c r="Z392" s="553">
        <v>1455.25</v>
      </c>
      <c r="AA392" s="553">
        <v>132800</v>
      </c>
      <c r="AB392" s="563">
        <v>-1.7999999999999999E-2</v>
      </c>
      <c r="AC392" s="563">
        <v>-3.4000000000000002E-2</v>
      </c>
    </row>
    <row r="393" spans="24:29">
      <c r="X393" s="562">
        <v>44659</v>
      </c>
      <c r="Y393" s="553">
        <v>6</v>
      </c>
      <c r="Z393" s="553">
        <v>1482</v>
      </c>
      <c r="AA393" s="553">
        <v>137500</v>
      </c>
      <c r="AB393" s="563">
        <v>-1.4E-2</v>
      </c>
      <c r="AC393" s="563">
        <v>2E-3</v>
      </c>
    </row>
    <row r="394" spans="24:29">
      <c r="X394" s="562">
        <v>44658</v>
      </c>
      <c r="Y394" s="553">
        <v>5</v>
      </c>
      <c r="Z394" s="553">
        <v>1502.35</v>
      </c>
      <c r="AA394" s="553">
        <v>137200</v>
      </c>
      <c r="AB394" s="563">
        <v>-1.2999999999999999E-2</v>
      </c>
      <c r="AC394" s="563">
        <v>-7.0000000000000007E-2</v>
      </c>
    </row>
    <row r="395" spans="24:29">
      <c r="X395" s="562">
        <v>44657</v>
      </c>
      <c r="Y395" s="553">
        <v>4</v>
      </c>
      <c r="Z395" s="553">
        <v>1522.9</v>
      </c>
      <c r="AA395" s="553">
        <v>147500</v>
      </c>
      <c r="AB395" s="563">
        <v>2E-3</v>
      </c>
      <c r="AC395" s="563">
        <v>6.0000000000000001E-3</v>
      </c>
    </row>
    <row r="396" spans="24:29">
      <c r="X396" s="562">
        <v>44656</v>
      </c>
      <c r="Y396" s="553">
        <v>3</v>
      </c>
      <c r="Z396" s="553">
        <v>1520.03</v>
      </c>
      <c r="AA396" s="553">
        <v>146600</v>
      </c>
      <c r="AB396" s="563">
        <v>-3.0000000000000001E-3</v>
      </c>
      <c r="AC396" s="563">
        <v>0</v>
      </c>
    </row>
    <row r="397" spans="24:29">
      <c r="X397" s="562">
        <v>44655</v>
      </c>
      <c r="Y397" s="553">
        <v>2</v>
      </c>
      <c r="Z397" s="553">
        <v>1524.7</v>
      </c>
      <c r="AA397" s="553">
        <v>146600</v>
      </c>
      <c r="AB397" s="563">
        <v>5.0000000000000001E-3</v>
      </c>
      <c r="AC397" s="563">
        <v>-5.0000000000000001E-3</v>
      </c>
    </row>
    <row r="398" spans="24:29">
      <c r="X398" s="562">
        <v>44652</v>
      </c>
      <c r="Y398" s="553">
        <v>6</v>
      </c>
      <c r="Z398" s="553">
        <v>1516.44</v>
      </c>
      <c r="AA398" s="553">
        <v>147400</v>
      </c>
      <c r="AB398" s="563">
        <v>1.6E-2</v>
      </c>
      <c r="AC398" s="563">
        <v>3.7999999999999999E-2</v>
      </c>
    </row>
    <row r="399" spans="24:29">
      <c r="X399" s="562">
        <v>44651</v>
      </c>
      <c r="Y399" s="553">
        <v>5</v>
      </c>
      <c r="Z399" s="553">
        <v>1492.15</v>
      </c>
      <c r="AA399" s="553">
        <v>142000</v>
      </c>
      <c r="AB399" s="563">
        <v>1E-3</v>
      </c>
      <c r="AC399" s="563">
        <v>-2.9000000000000001E-2</v>
      </c>
    </row>
    <row r="400" spans="24:29">
      <c r="X400" s="562">
        <v>44650</v>
      </c>
      <c r="Y400" s="553">
        <v>4</v>
      </c>
      <c r="Z400" s="553">
        <v>1490.51</v>
      </c>
      <c r="AA400" s="553">
        <v>146200</v>
      </c>
      <c r="AB400" s="563">
        <v>-5.0000000000000001E-3</v>
      </c>
      <c r="AC400" s="563">
        <v>0.03</v>
      </c>
    </row>
    <row r="401" spans="24:29">
      <c r="X401" s="562">
        <v>44649</v>
      </c>
      <c r="Y401" s="553">
        <v>3</v>
      </c>
      <c r="Z401" s="553">
        <v>1497.76</v>
      </c>
      <c r="AA401" s="553">
        <v>142000</v>
      </c>
      <c r="AB401" s="563">
        <v>0.01</v>
      </c>
      <c r="AC401" s="563">
        <v>-4.1000000000000002E-2</v>
      </c>
    </row>
    <row r="402" spans="24:29">
      <c r="X402" s="562">
        <v>44648</v>
      </c>
      <c r="Y402" s="553">
        <v>2</v>
      </c>
      <c r="Z402" s="553">
        <v>1483.18</v>
      </c>
      <c r="AA402" s="553">
        <v>148000</v>
      </c>
      <c r="AB402" s="563">
        <v>-0.01</v>
      </c>
      <c r="AC402" s="563">
        <v>4.3999999999999997E-2</v>
      </c>
    </row>
    <row r="403" spans="24:29">
      <c r="X403" s="562">
        <v>44645</v>
      </c>
      <c r="Y403" s="553">
        <v>6</v>
      </c>
      <c r="Z403" s="553">
        <v>1498.5</v>
      </c>
      <c r="AA403" s="553">
        <v>141800</v>
      </c>
      <c r="AB403" s="563">
        <v>0</v>
      </c>
      <c r="AC403" s="563">
        <v>6.9000000000000006E-2</v>
      </c>
    </row>
    <row r="404" spans="24:29">
      <c r="X404" s="562">
        <v>44644</v>
      </c>
      <c r="Y404" s="553">
        <v>5</v>
      </c>
      <c r="Z404" s="553">
        <v>1498.26</v>
      </c>
      <c r="AA404" s="553">
        <v>132600</v>
      </c>
      <c r="AB404" s="563">
        <v>-3.0000000000000001E-3</v>
      </c>
      <c r="AC404" s="563">
        <v>7.0000000000000001E-3</v>
      </c>
    </row>
    <row r="405" spans="24:29">
      <c r="X405" s="562">
        <v>44643</v>
      </c>
      <c r="Y405" s="553">
        <v>4</v>
      </c>
      <c r="Z405" s="553">
        <v>1502.34</v>
      </c>
      <c r="AA405" s="553">
        <v>131700</v>
      </c>
      <c r="AB405" s="563">
        <v>-1E-3</v>
      </c>
      <c r="AC405" s="563">
        <v>7.0000000000000007E-2</v>
      </c>
    </row>
    <row r="406" spans="24:29">
      <c r="X406" s="562">
        <v>44642</v>
      </c>
      <c r="Y406" s="553">
        <v>3</v>
      </c>
      <c r="Z406" s="553">
        <v>1503.78</v>
      </c>
      <c r="AA406" s="553">
        <v>123100</v>
      </c>
      <c r="AB406" s="563">
        <v>6.0000000000000001E-3</v>
      </c>
      <c r="AC406" s="563">
        <v>-2.7E-2</v>
      </c>
    </row>
    <row r="407" spans="24:29">
      <c r="X407" s="562">
        <v>44641</v>
      </c>
      <c r="Y407" s="553">
        <v>2</v>
      </c>
      <c r="Z407" s="553">
        <v>1494.95</v>
      </c>
      <c r="AA407" s="553">
        <v>126500</v>
      </c>
      <c r="AB407" s="563">
        <v>1.7999999999999999E-2</v>
      </c>
      <c r="AC407" s="563">
        <v>1.4999999999999999E-2</v>
      </c>
    </row>
    <row r="408" spans="24:29">
      <c r="X408" s="562">
        <v>44638</v>
      </c>
      <c r="Y408" s="553">
        <v>6</v>
      </c>
      <c r="Z408" s="553">
        <v>1469.1</v>
      </c>
      <c r="AA408" s="553">
        <v>124600</v>
      </c>
      <c r="AB408" s="563">
        <v>5.0000000000000001E-3</v>
      </c>
      <c r="AC408" s="563">
        <v>-3.0000000000000001E-3</v>
      </c>
    </row>
    <row r="409" spans="24:29">
      <c r="X409" s="562">
        <v>44637</v>
      </c>
      <c r="Y409" s="553">
        <v>5</v>
      </c>
      <c r="Z409" s="553">
        <v>1461.34</v>
      </c>
      <c r="AA409" s="553">
        <v>125000</v>
      </c>
      <c r="AB409" s="563">
        <v>1E-3</v>
      </c>
      <c r="AC409" s="563">
        <v>6.9000000000000006E-2</v>
      </c>
    </row>
    <row r="410" spans="24:29">
      <c r="X410" s="562">
        <v>44636</v>
      </c>
      <c r="Y410" s="553">
        <v>4</v>
      </c>
      <c r="Z410" s="553">
        <v>1459.33</v>
      </c>
      <c r="AA410" s="553">
        <v>116900</v>
      </c>
      <c r="AB410" s="563">
        <v>5.0000000000000001E-3</v>
      </c>
      <c r="AC410" s="563">
        <v>3.9E-2</v>
      </c>
    </row>
    <row r="411" spans="24:29">
      <c r="X411" s="562">
        <v>44635</v>
      </c>
      <c r="Y411" s="553">
        <v>3</v>
      </c>
      <c r="Z411" s="553">
        <v>1452.74</v>
      </c>
      <c r="AA411" s="553">
        <v>112500</v>
      </c>
      <c r="AB411" s="563">
        <v>4.0000000000000001E-3</v>
      </c>
      <c r="AC411" s="563">
        <v>-1.4999999999999999E-2</v>
      </c>
    </row>
    <row r="412" spans="24:29">
      <c r="X412" s="562">
        <v>44634</v>
      </c>
      <c r="Y412" s="553">
        <v>2</v>
      </c>
      <c r="Z412" s="553">
        <v>1446.25</v>
      </c>
      <c r="AA412" s="553">
        <v>114200</v>
      </c>
      <c r="AB412" s="563">
        <v>-1.4E-2</v>
      </c>
      <c r="AC412" s="563">
        <v>-0.04</v>
      </c>
    </row>
    <row r="413" spans="24:29">
      <c r="X413" s="562">
        <v>44631</v>
      </c>
      <c r="Y413" s="553">
        <v>6</v>
      </c>
      <c r="Z413" s="553">
        <v>1466.54</v>
      </c>
      <c r="AA413" s="553">
        <v>119000</v>
      </c>
      <c r="AB413" s="563">
        <v>-8.0000000000000002E-3</v>
      </c>
      <c r="AC413" s="563">
        <v>-1.2E-2</v>
      </c>
    </row>
    <row r="414" spans="24:29">
      <c r="X414" s="562">
        <v>44630</v>
      </c>
      <c r="Y414" s="553">
        <v>5</v>
      </c>
      <c r="Z414" s="553">
        <v>1479.08</v>
      </c>
      <c r="AA414" s="553">
        <v>120400</v>
      </c>
      <c r="AB414" s="563">
        <v>4.0000000000000001E-3</v>
      </c>
      <c r="AC414" s="563">
        <v>0.02</v>
      </c>
    </row>
    <row r="415" spans="24:29">
      <c r="X415" s="562">
        <v>44629</v>
      </c>
      <c r="Y415" s="553">
        <v>4</v>
      </c>
      <c r="Z415" s="553">
        <v>1473.74</v>
      </c>
      <c r="AA415" s="553">
        <v>118000</v>
      </c>
      <c r="AB415" s="563">
        <v>0</v>
      </c>
      <c r="AC415" s="563">
        <v>-6.0000000000000001E-3</v>
      </c>
    </row>
    <row r="416" spans="24:29">
      <c r="X416" s="562">
        <v>44628</v>
      </c>
      <c r="Y416" s="553">
        <v>3</v>
      </c>
      <c r="Z416" s="553">
        <v>1473.71</v>
      </c>
      <c r="AA416" s="553">
        <v>118700</v>
      </c>
      <c r="AB416" s="563">
        <v>-1.7000000000000001E-2</v>
      </c>
      <c r="AC416" s="563">
        <v>-5.0000000000000001E-3</v>
      </c>
    </row>
    <row r="417" spans="24:29">
      <c r="X417" s="562">
        <v>44627</v>
      </c>
      <c r="Y417" s="553">
        <v>2</v>
      </c>
      <c r="Z417" s="553">
        <v>1499.05</v>
      </c>
      <c r="AA417" s="553">
        <v>119300</v>
      </c>
      <c r="AB417" s="563">
        <v>-4.0000000000000001E-3</v>
      </c>
      <c r="AC417" s="563">
        <v>-1.6E-2</v>
      </c>
    </row>
    <row r="418" spans="24:29">
      <c r="X418" s="562">
        <v>44624</v>
      </c>
      <c r="Y418" s="553">
        <v>6</v>
      </c>
      <c r="Z418" s="553">
        <v>1505.33</v>
      </c>
      <c r="AA418" s="553">
        <v>121300</v>
      </c>
      <c r="AB418" s="563">
        <v>0</v>
      </c>
      <c r="AC418" s="563">
        <v>-1.7999999999999999E-2</v>
      </c>
    </row>
    <row r="419" spans="24:29">
      <c r="X419" s="562">
        <v>44623</v>
      </c>
      <c r="Y419" s="553">
        <v>5</v>
      </c>
      <c r="Z419" s="553">
        <v>1505</v>
      </c>
      <c r="AA419" s="553">
        <v>123500</v>
      </c>
      <c r="AB419" s="563">
        <v>1.2999999999999999E-2</v>
      </c>
      <c r="AC419" s="563">
        <v>-3.0000000000000001E-3</v>
      </c>
    </row>
    <row r="420" spans="24:29">
      <c r="X420" s="562">
        <v>44622</v>
      </c>
      <c r="Y420" s="553">
        <v>4</v>
      </c>
      <c r="Z420" s="553">
        <v>1485.52</v>
      </c>
      <c r="AA420" s="553">
        <v>123900</v>
      </c>
      <c r="AB420" s="563">
        <v>-8.9999999999999993E-3</v>
      </c>
      <c r="AC420" s="563">
        <v>-2.4E-2</v>
      </c>
    </row>
    <row r="421" spans="24:29">
      <c r="X421" s="562">
        <v>44621</v>
      </c>
      <c r="Y421" s="553">
        <v>3</v>
      </c>
      <c r="Z421" s="553">
        <v>1498.78</v>
      </c>
      <c r="AA421" s="553">
        <v>127000</v>
      </c>
      <c r="AB421" s="563">
        <v>6.0000000000000001E-3</v>
      </c>
      <c r="AC421" s="563">
        <v>3.3000000000000002E-2</v>
      </c>
    </row>
    <row r="422" spans="24:29">
      <c r="X422" s="562">
        <v>44620</v>
      </c>
      <c r="Y422" s="553">
        <v>2</v>
      </c>
      <c r="Z422" s="553">
        <v>1490.13</v>
      </c>
      <c r="AA422" s="553">
        <v>122900</v>
      </c>
      <c r="AB422" s="563">
        <v>-6.0000000000000001E-3</v>
      </c>
      <c r="AC422" s="563">
        <v>1.7000000000000001E-2</v>
      </c>
    </row>
    <row r="423" spans="24:29">
      <c r="X423" s="562">
        <v>44617</v>
      </c>
      <c r="Y423" s="553">
        <v>6</v>
      </c>
      <c r="Z423" s="553">
        <v>1498.89</v>
      </c>
      <c r="AA423" s="553">
        <v>120900</v>
      </c>
      <c r="AB423" s="563">
        <v>3.0000000000000001E-3</v>
      </c>
      <c r="AC423" s="563">
        <v>7.0000000000000007E-2</v>
      </c>
    </row>
    <row r="424" spans="24:29">
      <c r="X424" s="562">
        <v>44616</v>
      </c>
      <c r="Y424" s="553">
        <v>5</v>
      </c>
      <c r="Z424" s="553">
        <v>1494.85</v>
      </c>
      <c r="AA424" s="553">
        <v>113000</v>
      </c>
      <c r="AB424" s="563">
        <v>-1.2E-2</v>
      </c>
      <c r="AC424" s="563">
        <v>1.2999999999999999E-2</v>
      </c>
    </row>
    <row r="425" spans="24:29">
      <c r="X425" s="562">
        <v>44615</v>
      </c>
      <c r="Y425" s="553">
        <v>4</v>
      </c>
      <c r="Z425" s="553">
        <v>1512.3</v>
      </c>
      <c r="AA425" s="553">
        <v>111600</v>
      </c>
      <c r="AB425" s="563">
        <v>6.0000000000000001E-3</v>
      </c>
      <c r="AC425" s="563">
        <v>-3.0000000000000001E-3</v>
      </c>
    </row>
    <row r="426" spans="24:29">
      <c r="X426" s="562">
        <v>44614</v>
      </c>
      <c r="Y426" s="553">
        <v>3</v>
      </c>
      <c r="Z426" s="553">
        <v>1503.47</v>
      </c>
      <c r="AA426" s="553">
        <v>111900</v>
      </c>
      <c r="AB426" s="563">
        <v>-5.0000000000000001E-3</v>
      </c>
      <c r="AC426" s="563">
        <v>-1.4E-2</v>
      </c>
    </row>
    <row r="427" spans="24:29">
      <c r="X427" s="562">
        <v>44613</v>
      </c>
      <c r="Y427" s="553">
        <v>2</v>
      </c>
      <c r="Z427" s="553">
        <v>1510.84</v>
      </c>
      <c r="AA427" s="553">
        <v>113500</v>
      </c>
      <c r="AB427" s="563">
        <v>4.0000000000000001E-3</v>
      </c>
      <c r="AC427" s="563">
        <v>-4.0000000000000001E-3</v>
      </c>
    </row>
    <row r="428" spans="24:29">
      <c r="X428" s="562">
        <v>44610</v>
      </c>
      <c r="Y428" s="553">
        <v>6</v>
      </c>
      <c r="Z428" s="553">
        <v>1504.84</v>
      </c>
      <c r="AA428" s="553">
        <v>114000</v>
      </c>
      <c r="AB428" s="563">
        <v>-2E-3</v>
      </c>
      <c r="AC428" s="563">
        <v>8.0000000000000002E-3</v>
      </c>
    </row>
    <row r="429" spans="24:29">
      <c r="X429" s="562">
        <v>44609</v>
      </c>
      <c r="Y429" s="553">
        <v>5</v>
      </c>
      <c r="Z429" s="553">
        <v>1507.99</v>
      </c>
      <c r="AA429" s="553">
        <v>113100</v>
      </c>
      <c r="AB429" s="563">
        <v>1.0999999999999999E-2</v>
      </c>
      <c r="AC429" s="563">
        <v>-1.7000000000000001E-2</v>
      </c>
    </row>
    <row r="430" spans="24:29">
      <c r="X430" s="562">
        <v>44608</v>
      </c>
      <c r="Y430" s="553">
        <v>4</v>
      </c>
      <c r="Z430" s="553">
        <v>1492.1</v>
      </c>
      <c r="AA430" s="553">
        <v>115000</v>
      </c>
      <c r="AB430" s="563">
        <v>0</v>
      </c>
      <c r="AC430" s="563">
        <v>-8.0000000000000002E-3</v>
      </c>
    </row>
    <row r="431" spans="24:29">
      <c r="X431" s="562">
        <v>44607</v>
      </c>
      <c r="Y431" s="553">
        <v>3</v>
      </c>
      <c r="Z431" s="553">
        <v>1492.75</v>
      </c>
      <c r="AA431" s="553">
        <v>115900</v>
      </c>
      <c r="AB431" s="563">
        <v>1.4E-2</v>
      </c>
      <c r="AC431" s="563">
        <v>5.0999999999999997E-2</v>
      </c>
    </row>
    <row r="432" spans="24:29">
      <c r="X432" s="562">
        <v>44606</v>
      </c>
      <c r="Y432" s="553">
        <v>2</v>
      </c>
      <c r="Z432" s="553">
        <v>1471.96</v>
      </c>
      <c r="AA432" s="553">
        <v>110300</v>
      </c>
      <c r="AB432" s="563">
        <v>-0.02</v>
      </c>
      <c r="AC432" s="563">
        <v>3.0000000000000001E-3</v>
      </c>
    </row>
    <row r="433" spans="24:29">
      <c r="X433" s="562">
        <v>44603</v>
      </c>
      <c r="Y433" s="553">
        <v>6</v>
      </c>
      <c r="Z433" s="553">
        <v>1501.71</v>
      </c>
      <c r="AA433" s="553">
        <v>110000</v>
      </c>
      <c r="AB433" s="563">
        <v>-3.0000000000000001E-3</v>
      </c>
      <c r="AC433" s="563">
        <v>1.9E-2</v>
      </c>
    </row>
    <row r="434" spans="24:29">
      <c r="X434" s="562">
        <v>44602</v>
      </c>
      <c r="Y434" s="553">
        <v>5</v>
      </c>
      <c r="Z434" s="553">
        <v>1506.79</v>
      </c>
      <c r="AA434" s="553">
        <v>108000</v>
      </c>
      <c r="AB434" s="563">
        <v>1E-3</v>
      </c>
      <c r="AC434" s="563">
        <v>-1.7999999999999999E-2</v>
      </c>
    </row>
    <row r="435" spans="24:29">
      <c r="X435" s="562">
        <v>44601</v>
      </c>
      <c r="Y435" s="553">
        <v>4</v>
      </c>
      <c r="Z435" s="553">
        <v>1505.38</v>
      </c>
      <c r="AA435" s="553">
        <v>110000</v>
      </c>
      <c r="AB435" s="563">
        <v>3.0000000000000001E-3</v>
      </c>
      <c r="AC435" s="563">
        <v>5.0000000000000001E-3</v>
      </c>
    </row>
    <row r="436" spans="24:29">
      <c r="X436" s="562">
        <v>44600</v>
      </c>
      <c r="Y436" s="553">
        <v>3</v>
      </c>
      <c r="Z436" s="553">
        <v>1500.99</v>
      </c>
      <c r="AA436" s="553">
        <v>109500</v>
      </c>
      <c r="AB436" s="563">
        <v>2E-3</v>
      </c>
      <c r="AC436" s="563">
        <v>-1.4E-2</v>
      </c>
    </row>
    <row r="437" spans="24:29">
      <c r="X437" s="562">
        <v>44599</v>
      </c>
      <c r="Y437" s="553">
        <v>2</v>
      </c>
      <c r="Z437" s="553">
        <v>1497.66</v>
      </c>
      <c r="AA437" s="553">
        <v>111100</v>
      </c>
      <c r="AB437" s="563">
        <v>1.2999999999999999E-2</v>
      </c>
      <c r="AC437" s="563">
        <v>5.8000000000000003E-2</v>
      </c>
    </row>
    <row r="438" spans="24:29">
      <c r="X438" s="562">
        <v>44589</v>
      </c>
      <c r="Y438" s="553">
        <v>6</v>
      </c>
      <c r="Z438" s="553">
        <v>1478.96</v>
      </c>
      <c r="AA438" s="553">
        <v>105000</v>
      </c>
      <c r="AB438" s="563">
        <v>6.0000000000000001E-3</v>
      </c>
      <c r="AC438" s="563">
        <v>0.05</v>
      </c>
    </row>
    <row r="439" spans="24:29">
      <c r="X439" s="562">
        <v>44588</v>
      </c>
      <c r="Y439" s="553">
        <v>5</v>
      </c>
      <c r="Z439" s="553">
        <v>1470.76</v>
      </c>
      <c r="AA439" s="553">
        <v>100000</v>
      </c>
      <c r="AB439" s="563">
        <v>-7.0000000000000001E-3</v>
      </c>
      <c r="AC439" s="563">
        <v>-1.6E-2</v>
      </c>
    </row>
    <row r="440" spans="24:29">
      <c r="X440" s="562">
        <v>44587</v>
      </c>
      <c r="Y440" s="553">
        <v>4</v>
      </c>
      <c r="Z440" s="553">
        <v>1481.58</v>
      </c>
      <c r="AA440" s="553">
        <v>101600</v>
      </c>
      <c r="AB440" s="563">
        <v>1E-3</v>
      </c>
      <c r="AC440" s="563">
        <v>6.9000000000000006E-2</v>
      </c>
    </row>
    <row r="441" spans="24:29">
      <c r="X441" s="562">
        <v>44586</v>
      </c>
      <c r="Y441" s="553">
        <v>3</v>
      </c>
      <c r="Z441" s="553">
        <v>1479.58</v>
      </c>
      <c r="AA441" s="553">
        <v>95000</v>
      </c>
      <c r="AB441" s="563">
        <v>2.8000000000000001E-2</v>
      </c>
      <c r="AC441" s="563">
        <v>7.0000000000000007E-2</v>
      </c>
    </row>
    <row r="442" spans="24:29">
      <c r="X442" s="562">
        <v>44585</v>
      </c>
      <c r="Y442" s="553">
        <v>2</v>
      </c>
      <c r="Z442" s="553">
        <v>1439.71</v>
      </c>
      <c r="AA442" s="553">
        <v>88800</v>
      </c>
      <c r="AB442" s="563">
        <v>-2.3E-2</v>
      </c>
      <c r="AC442" s="563">
        <v>-6.9000000000000006E-2</v>
      </c>
    </row>
    <row r="443" spans="24:29">
      <c r="X443" s="562">
        <v>44582</v>
      </c>
      <c r="Y443" s="553">
        <v>6</v>
      </c>
      <c r="Z443" s="553">
        <v>1472.89</v>
      </c>
      <c r="AA443" s="553">
        <v>95400</v>
      </c>
      <c r="AB443" s="563">
        <v>5.0000000000000001E-3</v>
      </c>
      <c r="AC443" s="563">
        <v>-6.9000000000000006E-2</v>
      </c>
    </row>
    <row r="444" spans="24:29">
      <c r="X444" s="562">
        <v>44581</v>
      </c>
      <c r="Y444" s="553">
        <v>5</v>
      </c>
      <c r="Z444" s="553">
        <v>1465.3</v>
      </c>
      <c r="AA444" s="553">
        <v>102500</v>
      </c>
      <c r="AB444" s="563">
        <v>1.6E-2</v>
      </c>
      <c r="AC444" s="563">
        <v>-7.0000000000000007E-2</v>
      </c>
    </row>
    <row r="445" spans="24:29">
      <c r="X445" s="562">
        <v>44580</v>
      </c>
      <c r="Y445" s="553">
        <v>4</v>
      </c>
      <c r="Z445" s="553">
        <v>1442.79</v>
      </c>
      <c r="AA445" s="553">
        <v>110200</v>
      </c>
      <c r="AB445" s="563">
        <v>3.0000000000000001E-3</v>
      </c>
      <c r="AC445" s="563">
        <v>-1.2E-2</v>
      </c>
    </row>
    <row r="446" spans="24:29">
      <c r="X446" s="562">
        <v>44579</v>
      </c>
      <c r="Y446" s="553">
        <v>3</v>
      </c>
      <c r="Z446" s="553">
        <v>1438.94</v>
      </c>
      <c r="AA446" s="553">
        <v>111500</v>
      </c>
      <c r="AB446" s="563">
        <v>-0.01</v>
      </c>
      <c r="AC446" s="563">
        <v>-5.1999999999999998E-2</v>
      </c>
    </row>
    <row r="447" spans="24:29">
      <c r="X447" s="562">
        <v>44578</v>
      </c>
      <c r="Y447" s="553">
        <v>2</v>
      </c>
      <c r="Z447" s="553">
        <v>1452.84</v>
      </c>
      <c r="AA447" s="553">
        <v>117600</v>
      </c>
      <c r="AB447" s="563">
        <v>-2.9000000000000001E-2</v>
      </c>
      <c r="AC447" s="563">
        <v>-4.3999999999999997E-2</v>
      </c>
    </row>
    <row r="448" spans="24:29">
      <c r="X448" s="562">
        <v>44575</v>
      </c>
      <c r="Y448" s="553">
        <v>6</v>
      </c>
      <c r="Z448" s="553">
        <v>1496.02</v>
      </c>
      <c r="AA448" s="553">
        <v>123000</v>
      </c>
      <c r="AB448" s="563">
        <v>0</v>
      </c>
      <c r="AC448" s="563">
        <v>1.2E-2</v>
      </c>
    </row>
    <row r="449" spans="24:29">
      <c r="X449" s="562">
        <v>44574</v>
      </c>
      <c r="Y449" s="553">
        <v>5</v>
      </c>
      <c r="Z449" s="553">
        <v>1496.05</v>
      </c>
      <c r="AA449" s="553">
        <v>121600</v>
      </c>
      <c r="AB449" s="563">
        <v>-0.01</v>
      </c>
      <c r="AC449" s="563">
        <v>5.0000000000000001E-3</v>
      </c>
    </row>
    <row r="450" spans="24:29">
      <c r="X450" s="562">
        <v>44573</v>
      </c>
      <c r="Y450" s="553">
        <v>4</v>
      </c>
      <c r="Z450" s="553">
        <v>1510.51</v>
      </c>
      <c r="AA450" s="553">
        <v>121000</v>
      </c>
      <c r="AB450" s="563">
        <v>1.2E-2</v>
      </c>
      <c r="AC450" s="563">
        <v>7.0000000000000001E-3</v>
      </c>
    </row>
    <row r="451" spans="24:29">
      <c r="X451" s="562">
        <v>44572</v>
      </c>
      <c r="Y451" s="553">
        <v>3</v>
      </c>
      <c r="Z451" s="553">
        <v>1492.31</v>
      </c>
      <c r="AA451" s="553">
        <v>120100</v>
      </c>
      <c r="AB451" s="563">
        <v>-8.0000000000000002E-3</v>
      </c>
      <c r="AC451" s="563">
        <v>-1.4E-2</v>
      </c>
    </row>
    <row r="452" spans="24:29">
      <c r="X452" s="562">
        <v>44571</v>
      </c>
      <c r="Y452" s="553">
        <v>2</v>
      </c>
      <c r="Z452" s="553">
        <v>1503.71</v>
      </c>
      <c r="AA452" s="553">
        <v>121800</v>
      </c>
      <c r="AB452" s="563">
        <v>-1.6E-2</v>
      </c>
      <c r="AC452" s="563">
        <v>-2.5999999999999999E-2</v>
      </c>
    </row>
    <row r="453" spans="24:29">
      <c r="X453" s="562">
        <v>44568</v>
      </c>
      <c r="Y453" s="553">
        <v>6</v>
      </c>
      <c r="Z453" s="553">
        <v>1528.48</v>
      </c>
      <c r="AA453" s="553">
        <v>125000</v>
      </c>
      <c r="AB453" s="563">
        <v>0</v>
      </c>
      <c r="AC453" s="563">
        <v>1.4999999999999999E-2</v>
      </c>
    </row>
    <row r="454" spans="24:29">
      <c r="X454" s="562">
        <v>44567</v>
      </c>
      <c r="Y454" s="553">
        <v>5</v>
      </c>
      <c r="Z454" s="553">
        <v>1528.57</v>
      </c>
      <c r="AA454" s="553">
        <v>123200</v>
      </c>
      <c r="AB454" s="563">
        <v>4.0000000000000001E-3</v>
      </c>
      <c r="AC454" s="563">
        <v>-1.4E-2</v>
      </c>
    </row>
    <row r="455" spans="24:29">
      <c r="X455" s="562">
        <v>44566</v>
      </c>
      <c r="Y455" s="553">
        <v>4</v>
      </c>
      <c r="Z455" s="553">
        <v>1522.5</v>
      </c>
      <c r="AA455" s="553">
        <v>125000</v>
      </c>
      <c r="AB455" s="563">
        <v>-2E-3</v>
      </c>
      <c r="AC455" s="563">
        <v>-1.2E-2</v>
      </c>
    </row>
    <row r="456" spans="24:29">
      <c r="X456" s="562">
        <v>44565</v>
      </c>
      <c r="Y456" s="553">
        <v>3</v>
      </c>
      <c r="Z456" s="553">
        <v>1525.58</v>
      </c>
      <c r="AA456" s="553">
        <v>126500</v>
      </c>
      <c r="AB456" s="563">
        <v>1.7999999999999999E-2</v>
      </c>
      <c r="AC456" s="563">
        <v>2.1000000000000001E-2</v>
      </c>
    </row>
    <row r="457" spans="24:29">
      <c r="X457" s="562">
        <v>44561</v>
      </c>
      <c r="Y457" s="553">
        <v>6</v>
      </c>
      <c r="Z457" s="553">
        <v>1498.28</v>
      </c>
      <c r="AA457" s="553">
        <v>123900</v>
      </c>
      <c r="AB457" s="563">
        <v>8.0000000000000002E-3</v>
      </c>
      <c r="AC457" s="563">
        <v>-2E-3</v>
      </c>
    </row>
    <row r="458" spans="24:29">
      <c r="X458" s="562">
        <v>44560</v>
      </c>
      <c r="Y458" s="553">
        <v>5</v>
      </c>
      <c r="Z458" s="553">
        <v>1485.97</v>
      </c>
      <c r="AA458" s="553">
        <v>124200</v>
      </c>
      <c r="AB458" s="563">
        <v>0</v>
      </c>
      <c r="AC458" s="563">
        <v>-2.1000000000000001E-2</v>
      </c>
    </row>
    <row r="459" spans="24:29">
      <c r="X459" s="562">
        <v>44559</v>
      </c>
      <c r="Y459" s="553">
        <v>4</v>
      </c>
      <c r="Z459" s="553">
        <v>1485.82</v>
      </c>
      <c r="AA459" s="553">
        <v>126900</v>
      </c>
      <c r="AB459" s="563">
        <v>-6.0000000000000001E-3</v>
      </c>
      <c r="AC459" s="563">
        <v>-1.6E-2</v>
      </c>
    </row>
    <row r="460" spans="24:29">
      <c r="X460" s="562">
        <v>44558</v>
      </c>
      <c r="Y460" s="553">
        <v>3</v>
      </c>
      <c r="Z460" s="553">
        <v>1494.39</v>
      </c>
      <c r="AA460" s="553">
        <v>129000</v>
      </c>
      <c r="AB460" s="563">
        <v>4.0000000000000001E-3</v>
      </c>
      <c r="AC460" s="563">
        <v>-6.0000000000000001E-3</v>
      </c>
    </row>
    <row r="461" spans="24:29">
      <c r="X461" s="562">
        <v>44557</v>
      </c>
      <c r="Y461" s="553">
        <v>2</v>
      </c>
      <c r="Z461" s="553">
        <v>1488.88</v>
      </c>
      <c r="AA461" s="553">
        <v>129800</v>
      </c>
      <c r="AB461" s="563">
        <v>8.0000000000000002E-3</v>
      </c>
      <c r="AC461" s="563">
        <v>6.8000000000000005E-2</v>
      </c>
    </row>
    <row r="462" spans="24:29">
      <c r="X462" s="562">
        <v>44554</v>
      </c>
      <c r="Y462" s="553">
        <v>6</v>
      </c>
      <c r="Z462" s="553">
        <v>1477.03</v>
      </c>
      <c r="AA462" s="553">
        <v>121500</v>
      </c>
      <c r="AB462" s="563">
        <v>1.4E-2</v>
      </c>
      <c r="AC462" s="563">
        <v>2.9000000000000001E-2</v>
      </c>
    </row>
    <row r="463" spans="24:29">
      <c r="X463" s="562">
        <v>44553</v>
      </c>
      <c r="Y463" s="553">
        <v>5</v>
      </c>
      <c r="Z463" s="553">
        <v>1456.96</v>
      </c>
      <c r="AA463" s="553">
        <v>118100</v>
      </c>
      <c r="AB463" s="563">
        <v>-1.4E-2</v>
      </c>
      <c r="AC463" s="563">
        <v>-2.4E-2</v>
      </c>
    </row>
    <row r="464" spans="24:29">
      <c r="X464" s="562">
        <v>44552</v>
      </c>
      <c r="Y464" s="553">
        <v>4</v>
      </c>
      <c r="Z464" s="553">
        <v>1477.67</v>
      </c>
      <c r="AA464" s="553">
        <v>121000</v>
      </c>
      <c r="AB464" s="563">
        <v>-1E-3</v>
      </c>
      <c r="AC464" s="563">
        <v>-0.01</v>
      </c>
    </row>
    <row r="465" spans="24:29">
      <c r="X465" s="562">
        <v>44551</v>
      </c>
      <c r="Y465" s="553">
        <v>3</v>
      </c>
      <c r="Z465" s="553">
        <v>1478.74</v>
      </c>
      <c r="AA465" s="553">
        <v>122200</v>
      </c>
      <c r="AB465" s="563">
        <v>1E-3</v>
      </c>
      <c r="AC465" s="563">
        <v>-1.2999999999999999E-2</v>
      </c>
    </row>
    <row r="466" spans="24:29">
      <c r="X466" s="562">
        <v>44550</v>
      </c>
      <c r="Y466" s="553">
        <v>2</v>
      </c>
      <c r="Z466" s="553">
        <v>1477.33</v>
      </c>
      <c r="AA466" s="553">
        <v>123800</v>
      </c>
      <c r="AB466" s="563">
        <v>-2E-3</v>
      </c>
      <c r="AC466" s="563">
        <v>-8.9999999999999993E-3</v>
      </c>
    </row>
    <row r="467" spans="24:29">
      <c r="X467" s="562">
        <v>44547</v>
      </c>
      <c r="Y467" s="553">
        <v>6</v>
      </c>
      <c r="Z467" s="553">
        <v>1479.79</v>
      </c>
      <c r="AA467" s="553">
        <v>124900</v>
      </c>
      <c r="AB467" s="563">
        <v>2E-3</v>
      </c>
      <c r="AC467" s="563">
        <v>1.7999999999999999E-2</v>
      </c>
    </row>
    <row r="468" spans="24:29">
      <c r="X468" s="562">
        <v>44546</v>
      </c>
      <c r="Y468" s="553">
        <v>5</v>
      </c>
      <c r="Z468" s="553">
        <v>1476.61</v>
      </c>
      <c r="AA468" s="553">
        <v>122700</v>
      </c>
      <c r="AB468" s="563">
        <v>1E-3</v>
      </c>
      <c r="AC468" s="563">
        <v>-7.0000000000000001E-3</v>
      </c>
    </row>
    <row r="469" spans="24:29">
      <c r="X469" s="562">
        <v>44545</v>
      </c>
      <c r="Y469" s="553">
        <v>4</v>
      </c>
      <c r="Z469" s="553">
        <v>1475.5</v>
      </c>
      <c r="AA469" s="553">
        <v>123600</v>
      </c>
      <c r="AB469" s="563">
        <v>0</v>
      </c>
      <c r="AC469" s="563">
        <v>-1E-3</v>
      </c>
    </row>
    <row r="470" spans="24:29">
      <c r="X470" s="562">
        <v>44544</v>
      </c>
      <c r="Y470" s="553">
        <v>3</v>
      </c>
      <c r="Z470" s="553">
        <v>1476.02</v>
      </c>
      <c r="AA470" s="553">
        <v>123700</v>
      </c>
      <c r="AB470" s="563">
        <v>0</v>
      </c>
      <c r="AC470" s="563">
        <v>-2.5999999999999999E-2</v>
      </c>
    </row>
    <row r="471" spans="24:29">
      <c r="X471" s="562">
        <v>44543</v>
      </c>
      <c r="Y471" s="553">
        <v>2</v>
      </c>
      <c r="Z471" s="553">
        <v>1476.21</v>
      </c>
      <c r="AA471" s="553">
        <v>127000</v>
      </c>
      <c r="AB471" s="563">
        <v>8.9999999999999993E-3</v>
      </c>
      <c r="AC471" s="563">
        <v>-1.6E-2</v>
      </c>
    </row>
    <row r="472" spans="24:29">
      <c r="X472" s="562">
        <v>44540</v>
      </c>
      <c r="Y472" s="553">
        <v>6</v>
      </c>
      <c r="Z472" s="553">
        <v>1463.54</v>
      </c>
      <c r="AA472" s="553">
        <v>129000</v>
      </c>
      <c r="AB472" s="563">
        <v>-3.0000000000000001E-3</v>
      </c>
      <c r="AC472" s="563">
        <v>-1.0999999999999999E-2</v>
      </c>
    </row>
    <row r="473" spans="24:29">
      <c r="X473" s="562">
        <v>44539</v>
      </c>
      <c r="Y473" s="553">
        <v>5</v>
      </c>
      <c r="Z473" s="553">
        <v>1467.98</v>
      </c>
      <c r="AA473" s="553">
        <v>130400</v>
      </c>
      <c r="AB473" s="563">
        <v>0.01</v>
      </c>
      <c r="AC473" s="563">
        <v>3.4000000000000002E-2</v>
      </c>
    </row>
    <row r="474" spans="24:29">
      <c r="X474" s="562">
        <v>44538</v>
      </c>
      <c r="Y474" s="553">
        <v>4</v>
      </c>
      <c r="Z474" s="553">
        <v>1452.87</v>
      </c>
      <c r="AA474" s="553">
        <v>126100</v>
      </c>
      <c r="AB474" s="563">
        <v>4.0000000000000001E-3</v>
      </c>
      <c r="AC474" s="563">
        <v>-2.4E-2</v>
      </c>
    </row>
    <row r="475" spans="24:29">
      <c r="X475" s="562">
        <v>44537</v>
      </c>
      <c r="Y475" s="553">
        <v>3</v>
      </c>
      <c r="Z475" s="553">
        <v>1446.77</v>
      </c>
      <c r="AA475" s="553">
        <v>129200</v>
      </c>
      <c r="AB475" s="563">
        <v>2.3E-2</v>
      </c>
      <c r="AC475" s="563">
        <v>6.8000000000000005E-2</v>
      </c>
    </row>
    <row r="476" spans="24:29">
      <c r="X476" s="562">
        <v>44536</v>
      </c>
      <c r="Y476" s="553">
        <v>2</v>
      </c>
      <c r="Z476" s="553">
        <v>1413.58</v>
      </c>
      <c r="AA476" s="553">
        <v>121000</v>
      </c>
      <c r="AB476" s="563">
        <v>-2.1000000000000001E-2</v>
      </c>
      <c r="AC476" s="563">
        <v>-2.1000000000000001E-2</v>
      </c>
    </row>
    <row r="477" spans="24:29">
      <c r="X477" s="562">
        <v>44533</v>
      </c>
      <c r="Y477" s="553">
        <v>6</v>
      </c>
      <c r="Z477" s="553">
        <v>1443.32</v>
      </c>
      <c r="AA477" s="553">
        <v>123600</v>
      </c>
      <c r="AB477" s="563">
        <v>-2.5999999999999999E-2</v>
      </c>
      <c r="AC477" s="563">
        <v>-3.4000000000000002E-2</v>
      </c>
    </row>
    <row r="478" spans="24:29">
      <c r="X478" s="562">
        <v>44532</v>
      </c>
      <c r="Y478" s="553">
        <v>5</v>
      </c>
      <c r="Z478" s="553">
        <v>1482.05</v>
      </c>
      <c r="AA478" s="553">
        <v>128000</v>
      </c>
      <c r="AB478" s="563">
        <v>-2E-3</v>
      </c>
      <c r="AC478" s="563">
        <v>-1.4999999999999999E-2</v>
      </c>
    </row>
    <row r="479" spans="24:29">
      <c r="X479" s="562">
        <v>44531</v>
      </c>
      <c r="Y479" s="553">
        <v>4</v>
      </c>
      <c r="Z479" s="553">
        <v>1485.19</v>
      </c>
      <c r="AA479" s="553">
        <v>130000</v>
      </c>
      <c r="AB479" s="563">
        <v>5.0000000000000001E-3</v>
      </c>
      <c r="AC479" s="563">
        <v>8.0000000000000002E-3</v>
      </c>
    </row>
    <row r="480" spans="24:29">
      <c r="X480" s="562">
        <v>44530</v>
      </c>
      <c r="Y480" s="553">
        <v>3</v>
      </c>
      <c r="Z480" s="553">
        <v>1478.44</v>
      </c>
      <c r="AA480" s="553">
        <v>129000</v>
      </c>
      <c r="AB480" s="563">
        <v>-4.0000000000000001E-3</v>
      </c>
      <c r="AC480" s="563">
        <v>-5.0999999999999997E-2</v>
      </c>
    </row>
    <row r="481" spans="24:29">
      <c r="X481" s="562">
        <v>44529</v>
      </c>
      <c r="Y481" s="553">
        <v>2</v>
      </c>
      <c r="Z481" s="553">
        <v>1484.84</v>
      </c>
      <c r="AA481" s="553">
        <v>135900</v>
      </c>
      <c r="AB481" s="563">
        <v>-5.0000000000000001E-3</v>
      </c>
      <c r="AC481" s="563">
        <v>0.01</v>
      </c>
    </row>
    <row r="482" spans="24:29">
      <c r="X482" s="562">
        <v>44526</v>
      </c>
      <c r="Y482" s="553">
        <v>6</v>
      </c>
      <c r="Z482" s="553">
        <v>1493.03</v>
      </c>
      <c r="AA482" s="553">
        <v>134500</v>
      </c>
      <c r="AB482" s="563">
        <v>-5.0000000000000001E-3</v>
      </c>
      <c r="AC482" s="563">
        <v>-1.4E-2</v>
      </c>
    </row>
    <row r="483" spans="24:29">
      <c r="X483" s="562">
        <v>44525</v>
      </c>
      <c r="Y483" s="553">
        <v>5</v>
      </c>
      <c r="Z483" s="553">
        <v>1500.81</v>
      </c>
      <c r="AA483" s="553">
        <v>136400</v>
      </c>
      <c r="AB483" s="563">
        <v>8.0000000000000002E-3</v>
      </c>
      <c r="AC483" s="563">
        <v>-7.0000000000000001E-3</v>
      </c>
    </row>
    <row r="484" spans="24:29">
      <c r="X484" s="562">
        <v>44524</v>
      </c>
      <c r="Y484" s="553">
        <v>4</v>
      </c>
      <c r="Z484" s="553">
        <v>1488.87</v>
      </c>
      <c r="AA484" s="553">
        <v>137300</v>
      </c>
      <c r="AB484" s="563">
        <v>1.7000000000000001E-2</v>
      </c>
      <c r="AC484" s="563">
        <v>2.1000000000000001E-2</v>
      </c>
    </row>
    <row r="485" spans="24:29">
      <c r="X485" s="562">
        <v>44523</v>
      </c>
      <c r="Y485" s="553">
        <v>3</v>
      </c>
      <c r="Z485" s="553">
        <v>1463.63</v>
      </c>
      <c r="AA485" s="553">
        <v>134500</v>
      </c>
      <c r="AB485" s="563">
        <v>1.0999999999999999E-2</v>
      </c>
      <c r="AC485" s="563">
        <v>-3.9E-2</v>
      </c>
    </row>
    <row r="486" spans="24:29">
      <c r="X486" s="562">
        <v>44522</v>
      </c>
      <c r="Y486" s="553">
        <v>2</v>
      </c>
      <c r="Z486" s="553">
        <v>1447.25</v>
      </c>
      <c r="AA486" s="553">
        <v>140000</v>
      </c>
      <c r="AB486" s="563">
        <v>-4.0000000000000001E-3</v>
      </c>
      <c r="AC486" s="563">
        <v>2.9000000000000001E-2</v>
      </c>
    </row>
    <row r="487" spans="24:29">
      <c r="X487" s="562">
        <v>44519</v>
      </c>
      <c r="Y487" s="553">
        <v>6</v>
      </c>
      <c r="Z487" s="553">
        <v>1452.35</v>
      </c>
      <c r="AA487" s="553">
        <v>136000</v>
      </c>
      <c r="AB487" s="563">
        <v>-1.2E-2</v>
      </c>
      <c r="AC487" s="563">
        <v>3.7999999999999999E-2</v>
      </c>
    </row>
    <row r="488" spans="24:29">
      <c r="X488" s="562">
        <v>44518</v>
      </c>
      <c r="Y488" s="553">
        <v>5</v>
      </c>
      <c r="Z488" s="553">
        <v>1469.83</v>
      </c>
      <c r="AA488" s="553">
        <v>131000</v>
      </c>
      <c r="AB488" s="563">
        <v>-4.0000000000000001E-3</v>
      </c>
      <c r="AC488" s="563">
        <v>4.9000000000000002E-2</v>
      </c>
    </row>
    <row r="489" spans="24:29">
      <c r="X489" s="562">
        <v>44517</v>
      </c>
      <c r="Y489" s="553">
        <v>4</v>
      </c>
      <c r="Z489" s="553">
        <v>1475.85</v>
      </c>
      <c r="AA489" s="553">
        <v>124900</v>
      </c>
      <c r="AB489" s="563">
        <v>6.0000000000000001E-3</v>
      </c>
      <c r="AC489" s="563">
        <v>-5.0000000000000001E-3</v>
      </c>
    </row>
    <row r="490" spans="24:29">
      <c r="X490" s="562">
        <v>44516</v>
      </c>
      <c r="Y490" s="553">
        <v>3</v>
      </c>
      <c r="Z490" s="553">
        <v>1466.45</v>
      </c>
      <c r="AA490" s="553">
        <v>125500</v>
      </c>
      <c r="AB490" s="563">
        <v>-7.0000000000000001E-3</v>
      </c>
      <c r="AC490" s="563">
        <v>0.05</v>
      </c>
    </row>
    <row r="491" spans="24:29">
      <c r="X491" s="562">
        <v>44515</v>
      </c>
      <c r="Y491" s="553">
        <v>2</v>
      </c>
      <c r="Z491" s="553">
        <v>1476.57</v>
      </c>
      <c r="AA491" s="553">
        <v>119500</v>
      </c>
      <c r="AB491" s="563">
        <v>2E-3</v>
      </c>
      <c r="AC491" s="563">
        <v>7.0000000000000007E-2</v>
      </c>
    </row>
    <row r="492" spans="24:29">
      <c r="X492" s="562">
        <v>44512</v>
      </c>
      <c r="Y492" s="553">
        <v>6</v>
      </c>
      <c r="Z492" s="553">
        <v>1473.37</v>
      </c>
      <c r="AA492" s="553">
        <v>111700</v>
      </c>
      <c r="AB492" s="563">
        <v>8.0000000000000002E-3</v>
      </c>
      <c r="AC492" s="563">
        <v>1.9E-2</v>
      </c>
    </row>
    <row r="493" spans="24:29">
      <c r="X493" s="562">
        <v>44511</v>
      </c>
      <c r="Y493" s="553">
        <v>5</v>
      </c>
      <c r="Z493" s="553">
        <v>1462.35</v>
      </c>
      <c r="AA493" s="553">
        <v>109600</v>
      </c>
      <c r="AB493" s="563">
        <v>-2E-3</v>
      </c>
      <c r="AC493" s="563">
        <v>-7.0000000000000001E-3</v>
      </c>
    </row>
    <row r="494" spans="24:29">
      <c r="X494" s="562">
        <v>44510</v>
      </c>
      <c r="Y494" s="553">
        <v>4</v>
      </c>
      <c r="Z494" s="553">
        <v>1465.02</v>
      </c>
      <c r="AA494" s="553">
        <v>110400</v>
      </c>
      <c r="AB494" s="563">
        <v>2E-3</v>
      </c>
      <c r="AC494" s="563">
        <v>-1.4E-2</v>
      </c>
    </row>
    <row r="495" spans="24:29">
      <c r="X495" s="562">
        <v>44509</v>
      </c>
      <c r="Y495" s="553">
        <v>3</v>
      </c>
      <c r="Z495" s="553">
        <v>1461.5</v>
      </c>
      <c r="AA495" s="553">
        <v>112000</v>
      </c>
      <c r="AB495" s="563">
        <v>-4.0000000000000001E-3</v>
      </c>
      <c r="AC495" s="563">
        <v>0</v>
      </c>
    </row>
    <row r="496" spans="24:29">
      <c r="X496" s="562">
        <v>44508</v>
      </c>
      <c r="Y496" s="553">
        <v>2</v>
      </c>
      <c r="Z496" s="553">
        <v>1467.57</v>
      </c>
      <c r="AA496" s="553">
        <v>112000</v>
      </c>
      <c r="AB496" s="563">
        <v>8.0000000000000002E-3</v>
      </c>
      <c r="AC496" s="563">
        <v>-1.6E-2</v>
      </c>
    </row>
    <row r="497" spans="24:29">
      <c r="X497" s="562">
        <v>44505</v>
      </c>
      <c r="Y497" s="553">
        <v>6</v>
      </c>
      <c r="Z497" s="553">
        <v>1456.51</v>
      </c>
      <c r="AA497" s="553">
        <v>113800</v>
      </c>
      <c r="AB497" s="563">
        <v>6.0000000000000001E-3</v>
      </c>
      <c r="AC497" s="563">
        <v>2.5000000000000001E-2</v>
      </c>
    </row>
    <row r="498" spans="24:29">
      <c r="X498" s="562">
        <v>44504</v>
      </c>
      <c r="Y498" s="553">
        <v>5</v>
      </c>
      <c r="Z498" s="553">
        <v>1448.34</v>
      </c>
      <c r="AA498" s="553">
        <v>111000</v>
      </c>
      <c r="AB498" s="563">
        <v>3.0000000000000001E-3</v>
      </c>
      <c r="AC498" s="563">
        <v>8.9999999999999993E-3</v>
      </c>
    </row>
    <row r="499" spans="24:29">
      <c r="X499" s="562">
        <v>44503</v>
      </c>
      <c r="Y499" s="553">
        <v>4</v>
      </c>
      <c r="Z499" s="553">
        <v>1444.3</v>
      </c>
      <c r="AA499" s="553">
        <v>110000</v>
      </c>
      <c r="AB499" s="563">
        <v>-6.0000000000000001E-3</v>
      </c>
      <c r="AC499" s="563">
        <v>-0.02</v>
      </c>
    </row>
    <row r="500" spans="24:29">
      <c r="X500" s="562">
        <v>44502</v>
      </c>
      <c r="Y500" s="553">
        <v>3</v>
      </c>
      <c r="Z500" s="553">
        <v>1452.46</v>
      </c>
      <c r="AA500" s="553">
        <v>112200</v>
      </c>
      <c r="AB500" s="563">
        <v>8.9999999999999993E-3</v>
      </c>
      <c r="AC500" s="563">
        <v>-1.0999999999999999E-2</v>
      </c>
    </row>
    <row r="501" spans="24:29">
      <c r="X501" s="562">
        <v>44501</v>
      </c>
      <c r="Y501" s="553">
        <v>2</v>
      </c>
      <c r="Z501" s="553">
        <v>1438.97</v>
      </c>
      <c r="AA501" s="553">
        <v>113500</v>
      </c>
      <c r="AB501" s="563">
        <v>-4.0000000000000001E-3</v>
      </c>
      <c r="AC501" s="563">
        <v>0</v>
      </c>
    </row>
    <row r="502" spans="24:29">
      <c r="X502" s="562">
        <v>44498</v>
      </c>
      <c r="Y502" s="553">
        <v>6</v>
      </c>
      <c r="Z502" s="553">
        <v>1444.27</v>
      </c>
      <c r="AA502" s="553">
        <v>113500</v>
      </c>
      <c r="AB502" s="563">
        <v>4.0000000000000001E-3</v>
      </c>
      <c r="AC502" s="563">
        <v>-1.2999999999999999E-2</v>
      </c>
    </row>
    <row r="503" spans="24:29">
      <c r="X503" s="562">
        <v>44497</v>
      </c>
      <c r="Y503" s="553">
        <v>5</v>
      </c>
      <c r="Z503" s="553">
        <v>1438.01</v>
      </c>
      <c r="AA503" s="553">
        <v>115000</v>
      </c>
      <c r="AB503" s="563">
        <v>1.0999999999999999E-2</v>
      </c>
      <c r="AC503" s="563">
        <v>-1.2E-2</v>
      </c>
    </row>
    <row r="504" spans="24:29">
      <c r="X504" s="562">
        <v>44496</v>
      </c>
      <c r="Y504" s="553">
        <v>4</v>
      </c>
      <c r="Z504" s="553">
        <v>1423.02</v>
      </c>
      <c r="AA504" s="553">
        <v>116400</v>
      </c>
      <c r="AB504" s="563">
        <v>2.3E-2</v>
      </c>
      <c r="AC504" s="563">
        <v>3.6999999999999998E-2</v>
      </c>
    </row>
    <row r="505" spans="24:29">
      <c r="X505" s="562">
        <v>44495</v>
      </c>
      <c r="Y505" s="553">
        <v>3</v>
      </c>
      <c r="Z505" s="553">
        <v>1391.63</v>
      </c>
      <c r="AA505" s="553">
        <v>112300</v>
      </c>
      <c r="AB505" s="563">
        <v>4.0000000000000001E-3</v>
      </c>
      <c r="AC505" s="563">
        <v>4.0000000000000001E-3</v>
      </c>
    </row>
    <row r="506" spans="24:29">
      <c r="X506" s="562">
        <v>44494</v>
      </c>
      <c r="Y506" s="553">
        <v>2</v>
      </c>
      <c r="Z506" s="553">
        <v>1385.4</v>
      </c>
      <c r="AA506" s="553">
        <v>111900</v>
      </c>
      <c r="AB506" s="563">
        <v>-3.0000000000000001E-3</v>
      </c>
      <c r="AC506" s="563">
        <v>3.0000000000000001E-3</v>
      </c>
    </row>
    <row r="507" spans="24:29">
      <c r="X507" s="562">
        <v>44491</v>
      </c>
      <c r="Y507" s="553">
        <v>6</v>
      </c>
      <c r="Z507" s="553">
        <v>1389.24</v>
      </c>
      <c r="AA507" s="553">
        <v>111600</v>
      </c>
      <c r="AB507" s="563">
        <v>3.0000000000000001E-3</v>
      </c>
      <c r="AC507" s="563">
        <v>-1.2E-2</v>
      </c>
    </row>
    <row r="508" spans="24:29">
      <c r="X508" s="562">
        <v>44490</v>
      </c>
      <c r="Y508" s="553">
        <v>5</v>
      </c>
      <c r="Z508" s="553">
        <v>1384.77</v>
      </c>
      <c r="AA508" s="553">
        <v>112900</v>
      </c>
      <c r="AB508" s="563">
        <v>-6.0000000000000001E-3</v>
      </c>
      <c r="AC508" s="563">
        <v>1E-3</v>
      </c>
    </row>
    <row r="509" spans="24:29">
      <c r="X509" s="562">
        <v>44489</v>
      </c>
      <c r="Y509" s="553">
        <v>4</v>
      </c>
      <c r="Z509" s="553">
        <v>1393.8</v>
      </c>
      <c r="AA509" s="553">
        <v>112800</v>
      </c>
      <c r="AB509" s="563">
        <v>-1E-3</v>
      </c>
      <c r="AC509" s="563">
        <v>-1.4E-2</v>
      </c>
    </row>
    <row r="510" spans="24:29">
      <c r="X510" s="562">
        <v>44488</v>
      </c>
      <c r="Y510" s="553">
        <v>3</v>
      </c>
      <c r="Z510" s="553">
        <v>1395.33</v>
      </c>
      <c r="AA510" s="553">
        <v>114400</v>
      </c>
      <c r="AB510" s="563">
        <v>0</v>
      </c>
      <c r="AC510" s="563">
        <v>1.9E-2</v>
      </c>
    </row>
    <row r="511" spans="24:29">
      <c r="X511" s="562">
        <v>44487</v>
      </c>
      <c r="Y511" s="553">
        <v>2</v>
      </c>
      <c r="Z511" s="553">
        <v>1395.53</v>
      </c>
      <c r="AA511" s="553">
        <v>112300</v>
      </c>
      <c r="AB511" s="563">
        <v>2E-3</v>
      </c>
      <c r="AC511" s="563">
        <v>-1.7000000000000001E-2</v>
      </c>
    </row>
    <row r="512" spans="24:29">
      <c r="X512" s="562">
        <v>44484</v>
      </c>
      <c r="Y512" s="553">
        <v>6</v>
      </c>
      <c r="Z512" s="553">
        <v>1392.7</v>
      </c>
      <c r="AA512" s="553">
        <v>114300</v>
      </c>
      <c r="AB512" s="563">
        <v>1E-3</v>
      </c>
      <c r="AC512" s="563">
        <v>1.2999999999999999E-2</v>
      </c>
    </row>
    <row r="513" spans="24:29">
      <c r="X513" s="562">
        <v>44483</v>
      </c>
      <c r="Y513" s="553">
        <v>5</v>
      </c>
      <c r="Z513" s="553">
        <v>1391.85</v>
      </c>
      <c r="AA513" s="553">
        <v>112800</v>
      </c>
      <c r="AB513" s="563">
        <v>0</v>
      </c>
      <c r="AC513" s="563">
        <v>-0.01</v>
      </c>
    </row>
    <row r="514" spans="24:29">
      <c r="X514" s="562">
        <v>44482</v>
      </c>
      <c r="Y514" s="553">
        <v>4</v>
      </c>
      <c r="Z514" s="553">
        <v>1391.91</v>
      </c>
      <c r="AA514" s="553">
        <v>113900</v>
      </c>
      <c r="AB514" s="563">
        <v>-2E-3</v>
      </c>
      <c r="AC514" s="563">
        <v>-1.6E-2</v>
      </c>
    </row>
    <row r="515" spans="24:29">
      <c r="X515" s="562">
        <v>44481</v>
      </c>
      <c r="Y515" s="553">
        <v>3</v>
      </c>
      <c r="Z515" s="553">
        <v>1394.8</v>
      </c>
      <c r="AA515" s="553">
        <v>115700</v>
      </c>
      <c r="AB515" s="563">
        <v>1E-3</v>
      </c>
      <c r="AC515" s="563">
        <v>0</v>
      </c>
    </row>
    <row r="516" spans="24:29">
      <c r="X516" s="562">
        <v>44480</v>
      </c>
      <c r="Y516" s="553">
        <v>2</v>
      </c>
      <c r="Z516" s="553">
        <v>1394.09</v>
      </c>
      <c r="AA516" s="553">
        <v>115700</v>
      </c>
      <c r="AB516" s="563">
        <v>1.6E-2</v>
      </c>
      <c r="AC516" s="563">
        <v>-2E-3</v>
      </c>
    </row>
    <row r="517" spans="24:29">
      <c r="X517" s="562">
        <v>44477</v>
      </c>
      <c r="Y517" s="553">
        <v>6</v>
      </c>
      <c r="Z517" s="553">
        <v>1372.73</v>
      </c>
      <c r="AA517" s="553">
        <v>115900</v>
      </c>
      <c r="AB517" s="563">
        <v>5.0000000000000001E-3</v>
      </c>
      <c r="AC517" s="563">
        <v>-8.9999999999999993E-3</v>
      </c>
    </row>
    <row r="518" spans="24:29">
      <c r="X518" s="562">
        <v>44476</v>
      </c>
      <c r="Y518" s="553">
        <v>5</v>
      </c>
      <c r="Z518" s="553">
        <v>1365.99</v>
      </c>
      <c r="AA518" s="553">
        <v>117000</v>
      </c>
      <c r="AB518" s="563">
        <v>2E-3</v>
      </c>
      <c r="AC518" s="563">
        <v>-8.0000000000000002E-3</v>
      </c>
    </row>
    <row r="519" spans="24:29">
      <c r="X519" s="562">
        <v>44475</v>
      </c>
      <c r="Y519" s="553">
        <v>4</v>
      </c>
      <c r="Z519" s="553">
        <v>1362.82</v>
      </c>
      <c r="AA519" s="553">
        <v>117900</v>
      </c>
      <c r="AB519" s="563">
        <v>6.0000000000000001E-3</v>
      </c>
      <c r="AC519" s="563">
        <v>1.2E-2</v>
      </c>
    </row>
    <row r="520" spans="24:29">
      <c r="X520" s="562">
        <v>44474</v>
      </c>
      <c r="Y520" s="553">
        <v>3</v>
      </c>
      <c r="Z520" s="553">
        <v>1354.63</v>
      </c>
      <c r="AA520" s="553">
        <v>116500</v>
      </c>
      <c r="AB520" s="563">
        <v>1.0999999999999999E-2</v>
      </c>
      <c r="AC520" s="563">
        <v>-4.0000000000000001E-3</v>
      </c>
    </row>
    <row r="521" spans="24:29">
      <c r="X521" s="562">
        <v>44473</v>
      </c>
      <c r="Y521" s="553">
        <v>2</v>
      </c>
      <c r="Z521" s="553">
        <v>1339.54</v>
      </c>
      <c r="AA521" s="553">
        <v>117000</v>
      </c>
      <c r="AB521" s="563">
        <v>3.0000000000000001E-3</v>
      </c>
      <c r="AC521" s="563">
        <v>-2.4E-2</v>
      </c>
    </row>
    <row r="522" spans="24:29">
      <c r="X522" s="562">
        <v>44470</v>
      </c>
      <c r="Y522" s="553">
        <v>6</v>
      </c>
      <c r="Z522" s="553">
        <v>1334.89</v>
      </c>
      <c r="AA522" s="553">
        <v>119900</v>
      </c>
      <c r="AB522" s="563">
        <v>-5.0000000000000001E-3</v>
      </c>
      <c r="AC522" s="563">
        <v>0.01</v>
      </c>
    </row>
    <row r="523" spans="24:29">
      <c r="X523" s="562">
        <v>44469</v>
      </c>
      <c r="Y523" s="553">
        <v>5</v>
      </c>
      <c r="Z523" s="553">
        <v>1342.06</v>
      </c>
      <c r="AA523" s="553">
        <v>118700</v>
      </c>
      <c r="AB523" s="563">
        <v>2E-3</v>
      </c>
      <c r="AC523" s="563">
        <v>4.9000000000000002E-2</v>
      </c>
    </row>
    <row r="524" spans="24:29">
      <c r="X524" s="562">
        <v>44468</v>
      </c>
      <c r="Y524" s="553">
        <v>4</v>
      </c>
      <c r="Z524" s="553">
        <v>1339.21</v>
      </c>
      <c r="AA524" s="553">
        <v>113200</v>
      </c>
      <c r="AB524" s="563">
        <v>0</v>
      </c>
      <c r="AC524" s="563">
        <v>-2.4E-2</v>
      </c>
    </row>
    <row r="525" spans="24:29">
      <c r="X525" s="562">
        <v>44467</v>
      </c>
      <c r="Y525" s="553">
        <v>3</v>
      </c>
      <c r="Z525" s="553">
        <v>1339.31</v>
      </c>
      <c r="AA525" s="553">
        <v>116000</v>
      </c>
      <c r="AB525" s="563">
        <v>1.0999999999999999E-2</v>
      </c>
      <c r="AC525" s="563">
        <v>3.5999999999999997E-2</v>
      </c>
    </row>
    <row r="526" spans="24:29">
      <c r="X526" s="562">
        <v>44466</v>
      </c>
      <c r="Y526" s="553">
        <v>2</v>
      </c>
      <c r="Z526" s="553">
        <v>1324.99</v>
      </c>
      <c r="AA526" s="553">
        <v>112000</v>
      </c>
      <c r="AB526" s="563">
        <v>-1.9E-2</v>
      </c>
      <c r="AC526" s="563">
        <v>-3.5999999999999997E-2</v>
      </c>
    </row>
    <row r="527" spans="24:29">
      <c r="X527" s="562">
        <v>44463</v>
      </c>
      <c r="Y527" s="553">
        <v>6</v>
      </c>
      <c r="Z527" s="553">
        <v>1351.17</v>
      </c>
      <c r="AA527" s="553">
        <v>116200</v>
      </c>
      <c r="AB527" s="563">
        <v>-1E-3</v>
      </c>
      <c r="AC527" s="563">
        <v>-3.0000000000000001E-3</v>
      </c>
    </row>
    <row r="528" spans="24:29">
      <c r="X528" s="562">
        <v>44462</v>
      </c>
      <c r="Y528" s="553">
        <v>5</v>
      </c>
      <c r="Z528" s="553">
        <v>1352.76</v>
      </c>
      <c r="AA528" s="553">
        <v>116500</v>
      </c>
      <c r="AB528" s="563">
        <v>2E-3</v>
      </c>
      <c r="AC528" s="563">
        <v>-1.2999999999999999E-2</v>
      </c>
    </row>
    <row r="529" spans="24:29">
      <c r="X529" s="562">
        <v>44461</v>
      </c>
      <c r="Y529" s="553">
        <v>4</v>
      </c>
      <c r="Z529" s="553">
        <v>1350.68</v>
      </c>
      <c r="AA529" s="553">
        <v>118000</v>
      </c>
      <c r="AB529" s="563">
        <v>8.0000000000000002E-3</v>
      </c>
      <c r="AC529" s="563">
        <v>7.0000000000000001E-3</v>
      </c>
    </row>
    <row r="530" spans="24:29">
      <c r="X530" s="562">
        <v>44460</v>
      </c>
      <c r="Y530" s="553">
        <v>3</v>
      </c>
      <c r="Z530" s="553">
        <v>1339.84</v>
      </c>
      <c r="AA530" s="553">
        <v>117200</v>
      </c>
      <c r="AB530" s="563">
        <v>-8.0000000000000002E-3</v>
      </c>
      <c r="AC530" s="563">
        <v>2E-3</v>
      </c>
    </row>
    <row r="531" spans="24:29">
      <c r="X531" s="562">
        <v>44459</v>
      </c>
      <c r="Y531" s="553">
        <v>2</v>
      </c>
      <c r="Z531" s="553">
        <v>1350.48</v>
      </c>
      <c r="AA531" s="553">
        <v>117000</v>
      </c>
      <c r="AB531" s="563">
        <v>-2E-3</v>
      </c>
      <c r="AC531" s="563">
        <v>1.7000000000000001E-2</v>
      </c>
    </row>
    <row r="532" spans="24:29">
      <c r="X532" s="562">
        <v>44456</v>
      </c>
      <c r="Y532" s="553">
        <v>6</v>
      </c>
      <c r="Z532" s="553">
        <v>1352.64</v>
      </c>
      <c r="AA532" s="553">
        <v>115000</v>
      </c>
      <c r="AB532" s="563">
        <v>5.0000000000000001E-3</v>
      </c>
      <c r="AC532" s="563">
        <v>4.8000000000000001E-2</v>
      </c>
    </row>
    <row r="533" spans="24:29">
      <c r="X533" s="562">
        <v>44455</v>
      </c>
      <c r="Y533" s="553">
        <v>5</v>
      </c>
      <c r="Z533" s="553">
        <v>1345.87</v>
      </c>
      <c r="AA533" s="553">
        <v>109700</v>
      </c>
      <c r="AB533" s="563">
        <v>0</v>
      </c>
      <c r="AC533" s="563">
        <v>-6.6000000000000003E-2</v>
      </c>
    </row>
    <row r="534" spans="24:29">
      <c r="X534" s="562">
        <v>44454</v>
      </c>
      <c r="Y534" s="553">
        <v>4</v>
      </c>
      <c r="Z534" s="553">
        <v>1345.83</v>
      </c>
      <c r="AA534" s="553">
        <v>117500</v>
      </c>
      <c r="AB534" s="563">
        <v>5.0000000000000001E-3</v>
      </c>
      <c r="AC534" s="563">
        <v>7.0000000000000001E-3</v>
      </c>
    </row>
    <row r="535" spans="24:29">
      <c r="X535" s="562">
        <v>44453</v>
      </c>
      <c r="Y535" s="553">
        <v>3</v>
      </c>
      <c r="Z535" s="553">
        <v>1339.7</v>
      </c>
      <c r="AA535" s="553">
        <v>116700</v>
      </c>
      <c r="AB535" s="563">
        <v>-1E-3</v>
      </c>
      <c r="AC535" s="563">
        <v>7.0000000000000007E-2</v>
      </c>
    </row>
    <row r="536" spans="24:29">
      <c r="X536" s="562">
        <v>44452</v>
      </c>
      <c r="Y536" s="553">
        <v>2</v>
      </c>
      <c r="Z536" s="553">
        <v>1341.43</v>
      </c>
      <c r="AA536" s="553">
        <v>109100</v>
      </c>
      <c r="AB536" s="563">
        <v>-3.0000000000000001E-3</v>
      </c>
      <c r="AC536" s="563">
        <v>7.0000000000000007E-2</v>
      </c>
    </row>
    <row r="537" spans="24:29">
      <c r="X537" s="562">
        <v>44449</v>
      </c>
      <c r="Y537" s="553">
        <v>6</v>
      </c>
      <c r="Z537" s="553">
        <v>1345.31</v>
      </c>
      <c r="AA537" s="553">
        <v>102000</v>
      </c>
      <c r="AB537" s="563">
        <v>1E-3</v>
      </c>
      <c r="AC537" s="563">
        <v>6.6000000000000003E-2</v>
      </c>
    </row>
    <row r="538" spans="24:29">
      <c r="X538" s="562">
        <v>44448</v>
      </c>
      <c r="Y538" s="553">
        <v>5</v>
      </c>
      <c r="Z538" s="553">
        <v>1343.98</v>
      </c>
      <c r="AA538" s="553">
        <v>95700</v>
      </c>
      <c r="AB538" s="563">
        <v>8.0000000000000002E-3</v>
      </c>
      <c r="AC538" s="563">
        <v>2.9000000000000001E-2</v>
      </c>
    </row>
    <row r="539" spans="24:29">
      <c r="X539" s="562">
        <v>44447</v>
      </c>
      <c r="Y539" s="553">
        <v>4</v>
      </c>
      <c r="Z539" s="553">
        <v>1333.61</v>
      </c>
      <c r="AA539" s="553">
        <v>93000</v>
      </c>
      <c r="AB539" s="563">
        <v>-6.0000000000000001E-3</v>
      </c>
      <c r="AC539" s="563">
        <v>2E-3</v>
      </c>
    </row>
    <row r="540" spans="24:29">
      <c r="X540" s="562">
        <v>44446</v>
      </c>
      <c r="Y540" s="553">
        <v>3</v>
      </c>
      <c r="Z540" s="553">
        <v>1341.9</v>
      </c>
      <c r="AA540" s="553">
        <v>92800</v>
      </c>
      <c r="AB540" s="563">
        <v>-3.0000000000000001E-3</v>
      </c>
      <c r="AC540" s="563">
        <v>1.7999999999999999E-2</v>
      </c>
    </row>
    <row r="541" spans="24:29">
      <c r="X541" s="562">
        <v>44445</v>
      </c>
      <c r="Y541" s="553">
        <v>2</v>
      </c>
      <c r="Z541" s="553">
        <v>1346.39</v>
      </c>
      <c r="AA541" s="553">
        <v>91200</v>
      </c>
      <c r="AB541" s="563">
        <v>8.9999999999999993E-3</v>
      </c>
      <c r="AC541" s="563">
        <v>6.9000000000000006E-2</v>
      </c>
    </row>
    <row r="542" spans="24:29">
      <c r="X542" s="562">
        <v>44440</v>
      </c>
      <c r="Y542" s="553">
        <v>4</v>
      </c>
      <c r="Z542" s="553">
        <v>1334.65</v>
      </c>
      <c r="AA542" s="553">
        <v>85300</v>
      </c>
      <c r="AB542" s="563">
        <v>2E-3</v>
      </c>
      <c r="AC542" s="563">
        <v>-1.6E-2</v>
      </c>
    </row>
    <row r="543" spans="24:29">
      <c r="X543" s="562">
        <v>44439</v>
      </c>
      <c r="Y543" s="553">
        <v>3</v>
      </c>
      <c r="Z543" s="553">
        <v>1331.47</v>
      </c>
      <c r="AA543" s="553">
        <v>86700</v>
      </c>
      <c r="AB543" s="563">
        <v>3.0000000000000001E-3</v>
      </c>
      <c r="AC543" s="563">
        <v>1.6E-2</v>
      </c>
    </row>
    <row r="544" spans="24:29">
      <c r="X544" s="562">
        <v>44438</v>
      </c>
      <c r="Y544" s="553">
        <v>2</v>
      </c>
      <c r="Z544" s="553">
        <v>1328.14</v>
      </c>
      <c r="AA544" s="553">
        <v>85300</v>
      </c>
      <c r="AB544" s="563">
        <v>1.0999999999999999E-2</v>
      </c>
      <c r="AC544" s="563">
        <v>0</v>
      </c>
    </row>
    <row r="545" spans="24:29">
      <c r="X545" s="562">
        <v>44435</v>
      </c>
      <c r="Y545" s="553">
        <v>6</v>
      </c>
      <c r="Z545" s="553">
        <v>1313.2</v>
      </c>
      <c r="AA545" s="553">
        <v>85300</v>
      </c>
      <c r="AB545" s="563">
        <v>8.9999999999999993E-3</v>
      </c>
      <c r="AC545" s="563">
        <v>-8.0000000000000002E-3</v>
      </c>
    </row>
    <row r="546" spans="24:29">
      <c r="X546" s="562">
        <v>44434</v>
      </c>
      <c r="Y546" s="553">
        <v>5</v>
      </c>
      <c r="Z546" s="553">
        <v>1301.1199999999999</v>
      </c>
      <c r="AA546" s="553">
        <v>86000</v>
      </c>
      <c r="AB546" s="563">
        <v>-6.0000000000000001E-3</v>
      </c>
      <c r="AC546" s="563">
        <v>1.2E-2</v>
      </c>
    </row>
    <row r="547" spans="24:29">
      <c r="X547" s="562">
        <v>44433</v>
      </c>
      <c r="Y547" s="553">
        <v>4</v>
      </c>
      <c r="Z547" s="553">
        <v>1309.55</v>
      </c>
      <c r="AA547" s="553">
        <v>85000</v>
      </c>
      <c r="AB547" s="563">
        <v>8.0000000000000002E-3</v>
      </c>
      <c r="AC547" s="563">
        <v>-2.1000000000000001E-2</v>
      </c>
    </row>
    <row r="548" spans="24:29">
      <c r="X548" s="562">
        <v>44432</v>
      </c>
      <c r="Y548" s="553">
        <v>3</v>
      </c>
      <c r="Z548" s="553">
        <v>1298.74</v>
      </c>
      <c r="AA548" s="553">
        <v>86800</v>
      </c>
      <c r="AB548" s="563">
        <v>0</v>
      </c>
      <c r="AC548" s="563">
        <v>-0.48599999999999999</v>
      </c>
    </row>
    <row r="549" spans="24:29">
      <c r="X549" s="562">
        <v>44431</v>
      </c>
      <c r="Y549" s="553">
        <v>2</v>
      </c>
      <c r="Z549" s="553">
        <v>1298.8599999999999</v>
      </c>
      <c r="AA549" s="553">
        <v>169000</v>
      </c>
      <c r="AB549" s="563">
        <v>-2.3E-2</v>
      </c>
      <c r="AC549" s="563">
        <v>8.0000000000000002E-3</v>
      </c>
    </row>
    <row r="550" spans="24:29">
      <c r="X550" s="562">
        <v>44428</v>
      </c>
      <c r="Y550" s="553">
        <v>6</v>
      </c>
      <c r="Z550" s="553">
        <v>1329.43</v>
      </c>
      <c r="AA550" s="553">
        <v>167600</v>
      </c>
      <c r="AB550" s="563">
        <v>-3.3000000000000002E-2</v>
      </c>
      <c r="AC550" s="563">
        <v>2.1999999999999999E-2</v>
      </c>
    </row>
    <row r="551" spans="24:29">
      <c r="X551" s="562">
        <v>44427</v>
      </c>
      <c r="Y551" s="553">
        <v>5</v>
      </c>
      <c r="Z551" s="553">
        <v>1374.85</v>
      </c>
      <c r="AA551" s="553">
        <v>164000</v>
      </c>
      <c r="AB551" s="563">
        <v>0.01</v>
      </c>
      <c r="AC551" s="563">
        <v>0</v>
      </c>
    </row>
    <row r="552" spans="24:29">
      <c r="X552" s="562">
        <v>44426</v>
      </c>
      <c r="Y552" s="553">
        <v>4</v>
      </c>
      <c r="Z552" s="553">
        <v>1360.94</v>
      </c>
      <c r="AA552" s="553">
        <v>164000</v>
      </c>
      <c r="AB552" s="563">
        <v>-2E-3</v>
      </c>
      <c r="AC552" s="563">
        <v>-2E-3</v>
      </c>
    </row>
    <row r="553" spans="24:29">
      <c r="X553" s="562">
        <v>44425</v>
      </c>
      <c r="Y553" s="553">
        <v>3</v>
      </c>
      <c r="Z553" s="553">
        <v>1363.09</v>
      </c>
      <c r="AA553" s="553">
        <v>164400</v>
      </c>
      <c r="AB553" s="563">
        <v>-6.0000000000000001E-3</v>
      </c>
      <c r="AC553" s="563">
        <v>8.9999999999999993E-3</v>
      </c>
    </row>
    <row r="554" spans="24:29">
      <c r="X554" s="562">
        <v>44424</v>
      </c>
      <c r="Y554" s="553">
        <v>2</v>
      </c>
      <c r="Z554" s="553">
        <v>1370.96</v>
      </c>
      <c r="AA554" s="553">
        <v>163000</v>
      </c>
      <c r="AB554" s="563">
        <v>0.01</v>
      </c>
      <c r="AC554" s="563">
        <v>2.1000000000000001E-2</v>
      </c>
    </row>
    <row r="555" spans="24:29">
      <c r="X555" s="562">
        <v>44421</v>
      </c>
      <c r="Y555" s="553">
        <v>6</v>
      </c>
      <c r="Z555" s="553">
        <v>1357.05</v>
      </c>
      <c r="AA555" s="553">
        <v>159700</v>
      </c>
      <c r="AB555" s="563">
        <v>3.0000000000000001E-3</v>
      </c>
      <c r="AC555" s="563">
        <v>1E-3</v>
      </c>
    </row>
    <row r="556" spans="24:29">
      <c r="X556" s="562">
        <v>44420</v>
      </c>
      <c r="Y556" s="553">
        <v>5</v>
      </c>
      <c r="Z556" s="553">
        <v>1353.05</v>
      </c>
      <c r="AA556" s="553">
        <v>159600</v>
      </c>
      <c r="AB556" s="563">
        <v>-3.0000000000000001E-3</v>
      </c>
      <c r="AC556" s="563">
        <v>-2.7E-2</v>
      </c>
    </row>
    <row r="557" spans="24:29">
      <c r="X557" s="562">
        <v>44419</v>
      </c>
      <c r="Y557" s="553">
        <v>4</v>
      </c>
      <c r="Z557" s="553">
        <v>1357.79</v>
      </c>
      <c r="AA557" s="553">
        <v>164000</v>
      </c>
      <c r="AB557" s="563">
        <v>-3.0000000000000001E-3</v>
      </c>
      <c r="AC557" s="563">
        <v>7.0000000000000001E-3</v>
      </c>
    </row>
    <row r="558" spans="24:29">
      <c r="X558" s="562">
        <v>44418</v>
      </c>
      <c r="Y558" s="553">
        <v>3</v>
      </c>
      <c r="Z558" s="553">
        <v>1362.43</v>
      </c>
      <c r="AA558" s="553">
        <v>162900</v>
      </c>
      <c r="AB558" s="563">
        <v>2E-3</v>
      </c>
      <c r="AC558" s="563">
        <v>2.1000000000000001E-2</v>
      </c>
    </row>
    <row r="559" spans="24:29">
      <c r="X559" s="562">
        <v>44417</v>
      </c>
      <c r="Y559" s="553">
        <v>2</v>
      </c>
      <c r="Z559" s="553">
        <v>1359.86</v>
      </c>
      <c r="AA559" s="553">
        <v>159600</v>
      </c>
      <c r="AB559" s="563">
        <v>1.4E-2</v>
      </c>
      <c r="AC559" s="563">
        <v>0.03</v>
      </c>
    </row>
    <row r="560" spans="24:29">
      <c r="X560" s="562">
        <v>44414</v>
      </c>
      <c r="Y560" s="553">
        <v>6</v>
      </c>
      <c r="Z560" s="553">
        <v>1341.45</v>
      </c>
      <c r="AA560" s="553">
        <v>155000</v>
      </c>
      <c r="AB560" s="563">
        <v>-3.0000000000000001E-3</v>
      </c>
      <c r="AC560" s="563">
        <v>0</v>
      </c>
    </row>
    <row r="561" spans="24:29">
      <c r="X561" s="562">
        <v>44413</v>
      </c>
      <c r="Y561" s="553">
        <v>5</v>
      </c>
      <c r="Z561" s="553">
        <v>1345.55</v>
      </c>
      <c r="AA561" s="553">
        <v>155000</v>
      </c>
      <c r="AB561" s="563">
        <v>8.0000000000000002E-3</v>
      </c>
      <c r="AC561" s="563">
        <v>-1.6E-2</v>
      </c>
    </row>
    <row r="562" spans="24:29">
      <c r="X562" s="562">
        <v>44412</v>
      </c>
      <c r="Y562" s="553">
        <v>4</v>
      </c>
      <c r="Z562" s="553">
        <v>1334.74</v>
      </c>
      <c r="AA562" s="553">
        <v>157600</v>
      </c>
      <c r="AB562" s="563">
        <v>2E-3</v>
      </c>
      <c r="AC562" s="563">
        <v>4.0000000000000001E-3</v>
      </c>
    </row>
    <row r="563" spans="24:29">
      <c r="X563" s="562">
        <v>44411</v>
      </c>
      <c r="Y563" s="553">
        <v>3</v>
      </c>
      <c r="Z563" s="553">
        <v>1332.44</v>
      </c>
      <c r="AA563" s="553">
        <v>157000</v>
      </c>
      <c r="AB563" s="563">
        <v>1.4E-2</v>
      </c>
      <c r="AC563" s="563">
        <v>0.05</v>
      </c>
    </row>
    <row r="564" spans="24:29">
      <c r="X564" s="562">
        <v>44410</v>
      </c>
      <c r="Y564" s="553">
        <v>2</v>
      </c>
      <c r="Z564" s="553">
        <v>1314.22</v>
      </c>
      <c r="AA564" s="553">
        <v>149500</v>
      </c>
      <c r="AB564" s="563">
        <v>3.0000000000000001E-3</v>
      </c>
      <c r="AC564" s="563">
        <v>5.0000000000000001E-3</v>
      </c>
    </row>
    <row r="565" spans="24:29">
      <c r="X565" s="562">
        <v>44407</v>
      </c>
      <c r="Y565" s="553">
        <v>6</v>
      </c>
      <c r="Z565" s="553">
        <v>1310.05</v>
      </c>
      <c r="AA565" s="553">
        <v>148800</v>
      </c>
      <c r="AB565" s="563">
        <v>1.2999999999999999E-2</v>
      </c>
      <c r="AC565" s="563">
        <v>1.0999999999999999E-2</v>
      </c>
    </row>
    <row r="566" spans="24:29">
      <c r="X566" s="562">
        <v>44406</v>
      </c>
      <c r="Y566" s="553">
        <v>5</v>
      </c>
      <c r="Z566" s="553">
        <v>1293.5999999999999</v>
      </c>
      <c r="AA566" s="553">
        <v>147200</v>
      </c>
      <c r="AB566" s="563">
        <v>1.2999999999999999E-2</v>
      </c>
      <c r="AC566" s="563">
        <v>4.8000000000000001E-2</v>
      </c>
    </row>
    <row r="567" spans="24:29">
      <c r="X567" s="562">
        <v>44405</v>
      </c>
      <c r="Y567" s="553">
        <v>4</v>
      </c>
      <c r="Z567" s="553">
        <v>1277.07</v>
      </c>
      <c r="AA567" s="553">
        <v>140500</v>
      </c>
      <c r="AB567" s="563">
        <v>0</v>
      </c>
      <c r="AC567" s="563">
        <v>-3.7999999999999999E-2</v>
      </c>
    </row>
    <row r="568" spans="24:29">
      <c r="X568" s="562">
        <v>44404</v>
      </c>
      <c r="Y568" s="553">
        <v>3</v>
      </c>
      <c r="Z568" s="553">
        <v>1276.93</v>
      </c>
      <c r="AA568" s="553">
        <v>146000</v>
      </c>
      <c r="AB568" s="563">
        <v>3.0000000000000001E-3</v>
      </c>
      <c r="AC568" s="563">
        <v>-2E-3</v>
      </c>
    </row>
    <row r="569" spans="24:29">
      <c r="X569" s="562">
        <v>44403</v>
      </c>
      <c r="Y569" s="553">
        <v>2</v>
      </c>
      <c r="Z569" s="553">
        <v>1272.71</v>
      </c>
      <c r="AA569" s="553">
        <v>146300</v>
      </c>
      <c r="AB569" s="563">
        <v>3.0000000000000001E-3</v>
      </c>
      <c r="AC569" s="563">
        <v>0.06</v>
      </c>
    </row>
    <row r="570" spans="24:29">
      <c r="X570" s="562">
        <v>44400</v>
      </c>
      <c r="Y570" s="553">
        <v>6</v>
      </c>
      <c r="Z570" s="553">
        <v>1268.83</v>
      </c>
      <c r="AA570" s="553">
        <v>138000</v>
      </c>
      <c r="AB570" s="563">
        <v>-1.9E-2</v>
      </c>
      <c r="AC570" s="563">
        <v>-2.4E-2</v>
      </c>
    </row>
    <row r="571" spans="24:29">
      <c r="X571" s="562">
        <v>44399</v>
      </c>
      <c r="Y571" s="553">
        <v>5</v>
      </c>
      <c r="Z571" s="553">
        <v>1293.67</v>
      </c>
      <c r="AA571" s="553">
        <v>141400</v>
      </c>
      <c r="AB571" s="563">
        <v>1.7999999999999999E-2</v>
      </c>
      <c r="AC571" s="563">
        <v>5.0999999999999997E-2</v>
      </c>
    </row>
    <row r="572" spans="24:29">
      <c r="X572" s="562">
        <v>44398</v>
      </c>
      <c r="Y572" s="553">
        <v>4</v>
      </c>
      <c r="Z572" s="553">
        <v>1270.79</v>
      </c>
      <c r="AA572" s="553">
        <v>134600</v>
      </c>
      <c r="AB572" s="563">
        <v>-2E-3</v>
      </c>
      <c r="AC572" s="563">
        <v>7.0000000000000007E-2</v>
      </c>
    </row>
    <row r="573" spans="24:29">
      <c r="X573" s="562">
        <v>44397</v>
      </c>
      <c r="Y573" s="553">
        <v>3</v>
      </c>
      <c r="Z573" s="553">
        <v>1273.29</v>
      </c>
      <c r="AA573" s="553">
        <v>125800</v>
      </c>
      <c r="AB573" s="563">
        <v>2.4E-2</v>
      </c>
      <c r="AC573" s="563">
        <v>1.4999999999999999E-2</v>
      </c>
    </row>
    <row r="574" spans="24:29">
      <c r="X574" s="562">
        <v>44396</v>
      </c>
      <c r="Y574" s="553">
        <v>2</v>
      </c>
      <c r="Z574" s="553">
        <v>1243.51</v>
      </c>
      <c r="AA574" s="553">
        <v>124000</v>
      </c>
      <c r="AB574" s="563">
        <v>-4.2999999999999997E-2</v>
      </c>
      <c r="AC574" s="563">
        <v>-4.8000000000000001E-2</v>
      </c>
    </row>
    <row r="575" spans="24:29">
      <c r="X575" s="562">
        <v>44393</v>
      </c>
      <c r="Y575" s="553">
        <v>6</v>
      </c>
      <c r="Z575" s="553">
        <v>1299.31</v>
      </c>
      <c r="AA575" s="553">
        <v>130200</v>
      </c>
      <c r="AB575" s="563">
        <v>4.0000000000000001E-3</v>
      </c>
      <c r="AC575" s="563">
        <v>-1.7000000000000001E-2</v>
      </c>
    </row>
    <row r="576" spans="24:29">
      <c r="X576" s="562">
        <v>44392</v>
      </c>
      <c r="Y576" s="553">
        <v>5</v>
      </c>
      <c r="Z576" s="553">
        <v>1293.92</v>
      </c>
      <c r="AA576" s="553">
        <v>132500</v>
      </c>
      <c r="AB576" s="563">
        <v>1.0999999999999999E-2</v>
      </c>
      <c r="AC576" s="563">
        <v>2.3E-2</v>
      </c>
    </row>
    <row r="577" spans="24:29">
      <c r="X577" s="562">
        <v>44391</v>
      </c>
      <c r="Y577" s="553">
        <v>4</v>
      </c>
      <c r="Z577" s="553">
        <v>1279.9100000000001</v>
      </c>
      <c r="AA577" s="553">
        <v>129500</v>
      </c>
      <c r="AB577" s="563">
        <v>-1.4E-2</v>
      </c>
      <c r="AC577" s="563">
        <v>-3.9E-2</v>
      </c>
    </row>
    <row r="578" spans="24:29">
      <c r="X578" s="562">
        <v>44390</v>
      </c>
      <c r="Y578" s="553">
        <v>3</v>
      </c>
      <c r="Z578" s="553">
        <v>1297.54</v>
      </c>
      <c r="AA578" s="553">
        <v>134700</v>
      </c>
      <c r="AB578" s="563">
        <v>1E-3</v>
      </c>
      <c r="AC578" s="563">
        <v>-2.4E-2</v>
      </c>
    </row>
    <row r="579" spans="24:29">
      <c r="X579" s="562">
        <v>44389</v>
      </c>
      <c r="Y579" s="553">
        <v>2</v>
      </c>
      <c r="Z579" s="553">
        <v>1296.3</v>
      </c>
      <c r="AA579" s="553">
        <v>138000</v>
      </c>
      <c r="AB579" s="563">
        <v>-3.7999999999999999E-2</v>
      </c>
      <c r="AC579" s="563">
        <v>-4.8000000000000001E-2</v>
      </c>
    </row>
    <row r="580" spans="24:29">
      <c r="X580" s="562">
        <v>44386</v>
      </c>
      <c r="Y580" s="553">
        <v>6</v>
      </c>
      <c r="Z580" s="553">
        <v>1347.14</v>
      </c>
      <c r="AA580" s="553">
        <v>144900</v>
      </c>
      <c r="AB580" s="563">
        <v>-0.02</v>
      </c>
      <c r="AC580" s="563">
        <v>0.01</v>
      </c>
    </row>
    <row r="581" spans="24:29">
      <c r="X581" s="562">
        <v>44385</v>
      </c>
      <c r="Y581" s="553">
        <v>5</v>
      </c>
      <c r="Z581" s="553">
        <v>1374.68</v>
      </c>
      <c r="AA581" s="553">
        <v>143500</v>
      </c>
      <c r="AB581" s="563">
        <v>-0.01</v>
      </c>
      <c r="AC581" s="563">
        <v>6.7000000000000004E-2</v>
      </c>
    </row>
    <row r="582" spans="24:29">
      <c r="X582" s="562">
        <v>44384</v>
      </c>
      <c r="Y582" s="553">
        <v>4</v>
      </c>
      <c r="Z582" s="553">
        <v>1388.55</v>
      </c>
      <c r="AA582" s="553">
        <v>134500</v>
      </c>
      <c r="AB582" s="563">
        <v>2.5000000000000001E-2</v>
      </c>
      <c r="AC582" s="563">
        <v>5.5E-2</v>
      </c>
    </row>
    <row r="583" spans="24:29">
      <c r="X583" s="562">
        <v>44383</v>
      </c>
      <c r="Y583" s="553">
        <v>3</v>
      </c>
      <c r="Z583" s="553">
        <v>1354.79</v>
      </c>
      <c r="AA583" s="553">
        <v>127500</v>
      </c>
      <c r="AB583" s="563">
        <v>-0.04</v>
      </c>
      <c r="AC583" s="563">
        <v>-6.9000000000000006E-2</v>
      </c>
    </row>
    <row r="584" spans="24:29">
      <c r="X584" s="562">
        <v>44382</v>
      </c>
      <c r="Y584" s="553">
        <v>2</v>
      </c>
      <c r="Z584" s="553">
        <v>1411.13</v>
      </c>
      <c r="AA584" s="553">
        <v>137000</v>
      </c>
      <c r="AB584" s="563">
        <v>-6.0000000000000001E-3</v>
      </c>
      <c r="AC584" s="563">
        <v>3.9E-2</v>
      </c>
    </row>
    <row r="585" spans="24:29">
      <c r="X585" s="562">
        <v>44379</v>
      </c>
      <c r="Y585" s="553">
        <v>6</v>
      </c>
      <c r="Z585" s="553">
        <v>1420.27</v>
      </c>
      <c r="AA585" s="553">
        <v>131900</v>
      </c>
      <c r="AB585" s="563">
        <v>2E-3</v>
      </c>
      <c r="AC585" s="563">
        <v>1.6E-2</v>
      </c>
    </row>
    <row r="586" spans="24:29">
      <c r="X586" s="562">
        <v>44378</v>
      </c>
      <c r="Y586" s="553">
        <v>5</v>
      </c>
      <c r="Z586" s="553">
        <v>1417.08</v>
      </c>
      <c r="AA586" s="553">
        <v>129800</v>
      </c>
      <c r="AB586" s="563">
        <v>6.0000000000000001E-3</v>
      </c>
      <c r="AC586" s="563">
        <v>2E-3</v>
      </c>
    </row>
    <row r="587" spans="24:29">
      <c r="X587" s="562">
        <v>44377</v>
      </c>
      <c r="Y587" s="553">
        <v>4</v>
      </c>
      <c r="Z587" s="553">
        <v>1408.55</v>
      </c>
      <c r="AA587" s="553">
        <v>129600</v>
      </c>
      <c r="AB587" s="563">
        <v>-1E-3</v>
      </c>
      <c r="AC587" s="563">
        <v>0.05</v>
      </c>
    </row>
    <row r="588" spans="24:29">
      <c r="X588" s="562">
        <v>44376</v>
      </c>
      <c r="Y588" s="553">
        <v>3</v>
      </c>
      <c r="Z588" s="553">
        <v>1410.04</v>
      </c>
      <c r="AA588" s="553">
        <v>123400</v>
      </c>
      <c r="AB588" s="563">
        <v>3.0000000000000001E-3</v>
      </c>
      <c r="AC588" s="563">
        <v>-2E-3</v>
      </c>
    </row>
    <row r="589" spans="24:29">
      <c r="X589" s="562">
        <v>44375</v>
      </c>
      <c r="Y589" s="553">
        <v>2</v>
      </c>
      <c r="Z589" s="553">
        <v>1405.81</v>
      </c>
      <c r="AA589" s="553">
        <v>123700</v>
      </c>
      <c r="AB589" s="563">
        <v>1.0999999999999999E-2</v>
      </c>
      <c r="AC589" s="563">
        <v>-1.4E-2</v>
      </c>
    </row>
    <row r="590" spans="24:29">
      <c r="X590" s="562">
        <v>44372</v>
      </c>
      <c r="Y590" s="553">
        <v>6</v>
      </c>
      <c r="Z590" s="553">
        <v>1390.12</v>
      </c>
      <c r="AA590" s="553">
        <v>125500</v>
      </c>
      <c r="AB590" s="563">
        <v>8.0000000000000002E-3</v>
      </c>
      <c r="AC590" s="563">
        <v>0.03</v>
      </c>
    </row>
    <row r="591" spans="24:29">
      <c r="X591" s="562">
        <v>44371</v>
      </c>
      <c r="Y591" s="553">
        <v>5</v>
      </c>
      <c r="Z591" s="553">
        <v>1379.72</v>
      </c>
      <c r="AA591" s="553">
        <v>121900</v>
      </c>
      <c r="AB591" s="563">
        <v>2E-3</v>
      </c>
      <c r="AC591" s="563">
        <v>1.6E-2</v>
      </c>
    </row>
    <row r="592" spans="24:29">
      <c r="X592" s="562">
        <v>44370</v>
      </c>
      <c r="Y592" s="553">
        <v>4</v>
      </c>
      <c r="Z592" s="553">
        <v>1376.87</v>
      </c>
      <c r="AA592" s="553">
        <v>120000</v>
      </c>
      <c r="AB592" s="563">
        <v>-2E-3</v>
      </c>
      <c r="AC592" s="563">
        <v>-3.2000000000000001E-2</v>
      </c>
    </row>
    <row r="593" spans="24:29">
      <c r="X593" s="562">
        <v>44369</v>
      </c>
      <c r="Y593" s="553">
        <v>3</v>
      </c>
      <c r="Z593" s="553">
        <v>1379.97</v>
      </c>
      <c r="AA593" s="553">
        <v>124000</v>
      </c>
      <c r="AB593" s="563">
        <v>5.0000000000000001E-3</v>
      </c>
      <c r="AC593" s="563">
        <v>-1.6E-2</v>
      </c>
    </row>
    <row r="594" spans="24:29">
      <c r="X594" s="562">
        <v>44368</v>
      </c>
      <c r="Y594" s="553">
        <v>2</v>
      </c>
      <c r="Z594" s="553">
        <v>1372.63</v>
      </c>
      <c r="AA594" s="553">
        <v>126000</v>
      </c>
      <c r="AB594" s="563">
        <v>-4.0000000000000001E-3</v>
      </c>
      <c r="AC594" s="563">
        <v>-2.1999999999999999E-2</v>
      </c>
    </row>
    <row r="595" spans="24:29">
      <c r="X595" s="562">
        <v>44365</v>
      </c>
      <c r="Y595" s="553">
        <v>6</v>
      </c>
      <c r="Z595" s="553">
        <v>1377.77</v>
      </c>
      <c r="AA595" s="553">
        <v>128900</v>
      </c>
      <c r="AB595" s="563">
        <v>1.2999999999999999E-2</v>
      </c>
      <c r="AC595" s="563">
        <v>1.6E-2</v>
      </c>
    </row>
    <row r="596" spans="24:29">
      <c r="X596" s="562">
        <v>44364</v>
      </c>
      <c r="Y596" s="553">
        <v>5</v>
      </c>
      <c r="Z596" s="553">
        <v>1359.92</v>
      </c>
      <c r="AA596" s="553">
        <v>126900</v>
      </c>
      <c r="AB596" s="563">
        <v>3.0000000000000001E-3</v>
      </c>
      <c r="AC596" s="563">
        <v>7.0000000000000001E-3</v>
      </c>
    </row>
    <row r="597" spans="24:29">
      <c r="X597" s="562">
        <v>44363</v>
      </c>
      <c r="Y597" s="553">
        <v>4</v>
      </c>
      <c r="Z597" s="553">
        <v>1356.52</v>
      </c>
      <c r="AA597" s="553">
        <v>126000</v>
      </c>
      <c r="AB597" s="563">
        <v>-8.0000000000000002E-3</v>
      </c>
      <c r="AC597" s="563">
        <v>8.0000000000000002E-3</v>
      </c>
    </row>
    <row r="598" spans="24:29">
      <c r="X598" s="562">
        <v>44362</v>
      </c>
      <c r="Y598" s="553">
        <v>3</v>
      </c>
      <c r="Z598" s="553">
        <v>1367.36</v>
      </c>
      <c r="AA598" s="553">
        <v>125000</v>
      </c>
      <c r="AB598" s="563">
        <v>4.0000000000000001E-3</v>
      </c>
      <c r="AC598" s="563">
        <v>1E-3</v>
      </c>
    </row>
    <row r="599" spans="24:29">
      <c r="X599" s="562">
        <v>44361</v>
      </c>
      <c r="Y599" s="553">
        <v>2</v>
      </c>
      <c r="Z599" s="553">
        <v>1361.72</v>
      </c>
      <c r="AA599" s="553">
        <v>124900</v>
      </c>
      <c r="AB599" s="563">
        <v>7.0000000000000001E-3</v>
      </c>
      <c r="AC599" s="563">
        <v>-1E-3</v>
      </c>
    </row>
    <row r="600" spans="24:29">
      <c r="X600" s="562">
        <v>44358</v>
      </c>
      <c r="Y600" s="553">
        <v>6</v>
      </c>
      <c r="Z600" s="553">
        <v>1351.74</v>
      </c>
      <c r="AA600" s="553">
        <v>125000</v>
      </c>
      <c r="AB600" s="563">
        <v>2.1000000000000001E-2</v>
      </c>
      <c r="AC600" s="563">
        <v>4.2000000000000003E-2</v>
      </c>
    </row>
    <row r="601" spans="24:29">
      <c r="X601" s="562">
        <v>44357</v>
      </c>
      <c r="Y601" s="553">
        <v>5</v>
      </c>
      <c r="Z601" s="553">
        <v>1323.58</v>
      </c>
      <c r="AA601" s="553">
        <v>120000</v>
      </c>
      <c r="AB601" s="563">
        <v>-7.0000000000000001E-3</v>
      </c>
      <c r="AC601" s="563">
        <v>5.1999999999999998E-2</v>
      </c>
    </row>
    <row r="602" spans="24:29">
      <c r="X602" s="562">
        <v>44356</v>
      </c>
      <c r="Y602" s="553">
        <v>4</v>
      </c>
      <c r="Z602" s="553">
        <v>1332.9</v>
      </c>
      <c r="AA602" s="553">
        <v>114100</v>
      </c>
      <c r="AB602" s="563">
        <v>0.01</v>
      </c>
      <c r="AC602" s="563">
        <v>3.0000000000000001E-3</v>
      </c>
    </row>
    <row r="603" spans="24:29">
      <c r="X603" s="562">
        <v>44355</v>
      </c>
      <c r="Y603" s="553">
        <v>3</v>
      </c>
      <c r="Z603" s="553">
        <v>1319.88</v>
      </c>
      <c r="AA603" s="553">
        <v>113800</v>
      </c>
      <c r="AB603" s="563">
        <v>-2.9000000000000001E-2</v>
      </c>
      <c r="AC603" s="563">
        <v>-2.7E-2</v>
      </c>
    </row>
    <row r="604" spans="24:29">
      <c r="X604" s="562">
        <v>44354</v>
      </c>
      <c r="Y604" s="553">
        <v>2</v>
      </c>
      <c r="Z604" s="553">
        <v>1358.78</v>
      </c>
      <c r="AA604" s="553">
        <v>116900</v>
      </c>
      <c r="AB604" s="563">
        <v>-1.0999999999999999E-2</v>
      </c>
      <c r="AC604" s="563">
        <v>-1.7999999999999999E-2</v>
      </c>
    </row>
    <row r="605" spans="24:29">
      <c r="X605" s="562">
        <v>44351</v>
      </c>
      <c r="Y605" s="553">
        <v>6</v>
      </c>
      <c r="Z605" s="553">
        <v>1374.05</v>
      </c>
      <c r="AA605" s="553">
        <v>119100</v>
      </c>
      <c r="AB605" s="563">
        <v>7.0000000000000001E-3</v>
      </c>
      <c r="AC605" s="563">
        <v>-2.4E-2</v>
      </c>
    </row>
    <row r="606" spans="24:29">
      <c r="X606" s="562">
        <v>44350</v>
      </c>
      <c r="Y606" s="553">
        <v>5</v>
      </c>
      <c r="Z606" s="553">
        <v>1364.28</v>
      </c>
      <c r="AA606" s="553">
        <v>122000</v>
      </c>
      <c r="AB606" s="563">
        <v>1.7999999999999999E-2</v>
      </c>
      <c r="AC606" s="563">
        <v>-1.2E-2</v>
      </c>
    </row>
    <row r="607" spans="24:29">
      <c r="X607" s="562">
        <v>44349</v>
      </c>
      <c r="Y607" s="553">
        <v>4</v>
      </c>
      <c r="Z607" s="553">
        <v>1340.78</v>
      </c>
      <c r="AA607" s="553">
        <v>123500</v>
      </c>
      <c r="AB607" s="563">
        <v>2E-3</v>
      </c>
      <c r="AC607" s="563">
        <v>-1.2E-2</v>
      </c>
    </row>
    <row r="608" spans="24:29">
      <c r="X608" s="562">
        <v>44348</v>
      </c>
      <c r="Y608" s="553">
        <v>3</v>
      </c>
      <c r="Z608" s="553">
        <v>1337.78</v>
      </c>
      <c r="AA608" s="553">
        <v>125000</v>
      </c>
      <c r="AB608" s="563">
        <v>7.0000000000000001E-3</v>
      </c>
      <c r="AC608" s="563">
        <v>3.3000000000000002E-2</v>
      </c>
    </row>
    <row r="609" spans="24:29">
      <c r="X609" s="562">
        <v>44347</v>
      </c>
      <c r="Y609" s="553">
        <v>2</v>
      </c>
      <c r="Z609" s="553">
        <v>1328.05</v>
      </c>
      <c r="AA609" s="553">
        <v>121000</v>
      </c>
      <c r="AB609" s="563">
        <v>6.0000000000000001E-3</v>
      </c>
      <c r="AC609" s="563">
        <v>-4.7E-2</v>
      </c>
    </row>
    <row r="610" spans="24:29">
      <c r="X610" s="562">
        <v>44344</v>
      </c>
      <c r="Y610" s="553">
        <v>6</v>
      </c>
      <c r="Z610" s="553">
        <v>1320.46</v>
      </c>
      <c r="AA610" s="553">
        <v>127000</v>
      </c>
      <c r="AB610" s="563">
        <v>1.2999999999999999E-2</v>
      </c>
      <c r="AC610" s="563">
        <v>-4.4999999999999998E-2</v>
      </c>
    </row>
    <row r="611" spans="24:29">
      <c r="X611" s="562">
        <v>44343</v>
      </c>
      <c r="Y611" s="553">
        <v>5</v>
      </c>
      <c r="Z611" s="553">
        <v>1303.57</v>
      </c>
      <c r="AA611" s="553">
        <v>133000</v>
      </c>
      <c r="AB611" s="563">
        <v>-0.01</v>
      </c>
      <c r="AC611" s="563">
        <v>-3.5999999999999997E-2</v>
      </c>
    </row>
    <row r="612" spans="24:29">
      <c r="X612" s="562">
        <v>44342</v>
      </c>
      <c r="Y612" s="553">
        <v>4</v>
      </c>
      <c r="Z612" s="553">
        <v>1316.7</v>
      </c>
      <c r="AA612" s="553">
        <v>137900</v>
      </c>
      <c r="AB612" s="563">
        <v>6.0000000000000001E-3</v>
      </c>
      <c r="AC612" s="563">
        <v>-8.0000000000000002E-3</v>
      </c>
    </row>
    <row r="613" spans="24:29">
      <c r="X613" s="562">
        <v>44341</v>
      </c>
      <c r="Y613" s="553">
        <v>3</v>
      </c>
      <c r="Z613" s="553">
        <v>1308.58</v>
      </c>
      <c r="AA613" s="553">
        <v>139000</v>
      </c>
      <c r="AB613" s="563">
        <v>8.0000000000000002E-3</v>
      </c>
      <c r="AC613" s="563">
        <v>1E-3</v>
      </c>
    </row>
    <row r="614" spans="24:29">
      <c r="X614" s="562">
        <v>44340</v>
      </c>
      <c r="Y614" s="553">
        <v>2</v>
      </c>
      <c r="Z614" s="553">
        <v>1297.98</v>
      </c>
      <c r="AA614" s="553">
        <v>138900</v>
      </c>
      <c r="AB614" s="563">
        <v>1.0999999999999999E-2</v>
      </c>
      <c r="AC614" s="563">
        <v>0.04</v>
      </c>
    </row>
    <row r="615" spans="24:29">
      <c r="X615" s="562">
        <v>44337</v>
      </c>
      <c r="Y615" s="553">
        <v>6</v>
      </c>
      <c r="Z615" s="553">
        <v>1283.93</v>
      </c>
      <c r="AA615" s="553">
        <v>133600</v>
      </c>
      <c r="AB615" s="563">
        <v>4.0000000000000001E-3</v>
      </c>
      <c r="AC615" s="563">
        <v>-3.5000000000000003E-2</v>
      </c>
    </row>
    <row r="616" spans="24:29">
      <c r="X616" s="562">
        <v>44336</v>
      </c>
      <c r="Y616" s="553">
        <v>5</v>
      </c>
      <c r="Z616" s="553">
        <v>1278.22</v>
      </c>
      <c r="AA616" s="553">
        <v>138500</v>
      </c>
      <c r="AB616" s="563">
        <v>1.2E-2</v>
      </c>
      <c r="AC616" s="563">
        <v>2.1999999999999999E-2</v>
      </c>
    </row>
    <row r="617" spans="24:29">
      <c r="X617" s="562">
        <v>44335</v>
      </c>
      <c r="Y617" s="553">
        <v>4</v>
      </c>
      <c r="Z617" s="553">
        <v>1262.49</v>
      </c>
      <c r="AA617" s="553">
        <v>135500</v>
      </c>
      <c r="AB617" s="563">
        <v>8.0000000000000002E-3</v>
      </c>
      <c r="AC617" s="563">
        <v>0.01</v>
      </c>
    </row>
    <row r="618" spans="24:29">
      <c r="X618" s="562">
        <v>44334</v>
      </c>
      <c r="Y618" s="553">
        <v>3</v>
      </c>
      <c r="Z618" s="553">
        <v>1252.68</v>
      </c>
      <c r="AA618" s="553">
        <v>134100</v>
      </c>
      <c r="AB618" s="563">
        <v>-5.0000000000000001E-3</v>
      </c>
      <c r="AC618" s="563">
        <v>4.1000000000000002E-2</v>
      </c>
    </row>
    <row r="619" spans="24:29">
      <c r="X619" s="562">
        <v>44333</v>
      </c>
      <c r="Y619" s="553">
        <v>2</v>
      </c>
      <c r="Z619" s="553">
        <v>1258.7</v>
      </c>
      <c r="AA619" s="553">
        <v>128800</v>
      </c>
      <c r="AB619" s="563">
        <v>-6.0000000000000001E-3</v>
      </c>
      <c r="AC619" s="563">
        <v>-1.7000000000000001E-2</v>
      </c>
    </row>
    <row r="620" spans="24:29">
      <c r="X620" s="562">
        <v>44330</v>
      </c>
      <c r="Y620" s="553">
        <v>6</v>
      </c>
      <c r="Z620" s="553">
        <v>1266.3599999999999</v>
      </c>
      <c r="AA620" s="553">
        <v>131000</v>
      </c>
      <c r="AB620" s="563">
        <v>3.0000000000000001E-3</v>
      </c>
      <c r="AC620" s="563">
        <v>6.5000000000000002E-2</v>
      </c>
    </row>
    <row r="621" spans="24:29">
      <c r="X621" s="562">
        <v>44329</v>
      </c>
      <c r="Y621" s="553">
        <v>5</v>
      </c>
      <c r="Z621" s="553">
        <v>1261.99</v>
      </c>
      <c r="AA621" s="553">
        <v>123000</v>
      </c>
      <c r="AB621" s="563">
        <v>-6.0000000000000001E-3</v>
      </c>
      <c r="AC621" s="563">
        <v>-2.1000000000000001E-2</v>
      </c>
    </row>
    <row r="622" spans="24:29">
      <c r="X622" s="562">
        <v>44328</v>
      </c>
      <c r="Y622" s="553">
        <v>4</v>
      </c>
      <c r="Z622" s="553">
        <v>1269.0899999999999</v>
      </c>
      <c r="AA622" s="553">
        <v>125700</v>
      </c>
      <c r="AB622" s="563">
        <v>0.01</v>
      </c>
      <c r="AC622" s="563">
        <v>1.4E-2</v>
      </c>
    </row>
    <row r="623" spans="24:29">
      <c r="X623" s="562">
        <v>44327</v>
      </c>
      <c r="Y623" s="553">
        <v>3</v>
      </c>
      <c r="Z623" s="553">
        <v>1256.04</v>
      </c>
      <c r="AA623" s="553">
        <v>124000</v>
      </c>
      <c r="AB623" s="563">
        <v>-3.0000000000000001E-3</v>
      </c>
      <c r="AC623" s="563">
        <v>5.0999999999999997E-2</v>
      </c>
    </row>
    <row r="624" spans="24:29">
      <c r="X624" s="562">
        <v>44326</v>
      </c>
      <c r="Y624" s="553">
        <v>2</v>
      </c>
      <c r="Z624" s="553">
        <v>1259.58</v>
      </c>
      <c r="AA624" s="553">
        <v>118000</v>
      </c>
      <c r="AB624" s="563">
        <v>1.4E-2</v>
      </c>
      <c r="AC624" s="563">
        <v>-8.0000000000000002E-3</v>
      </c>
    </row>
    <row r="625" spans="24:29">
      <c r="X625" s="562">
        <v>44323</v>
      </c>
      <c r="Y625" s="553">
        <v>6</v>
      </c>
      <c r="Z625" s="553">
        <v>1241.81</v>
      </c>
      <c r="AA625" s="553">
        <v>119000</v>
      </c>
      <c r="AB625" s="563">
        <v>-7.0000000000000001E-3</v>
      </c>
      <c r="AC625" s="563">
        <v>1.4E-2</v>
      </c>
    </row>
    <row r="626" spans="24:29">
      <c r="X626" s="562">
        <v>44322</v>
      </c>
      <c r="Y626" s="553">
        <v>5</v>
      </c>
      <c r="Z626" s="553">
        <v>1250.57</v>
      </c>
      <c r="AA626" s="553">
        <v>117400</v>
      </c>
      <c r="AB626" s="563">
        <v>-5.0000000000000001E-3</v>
      </c>
      <c r="AC626" s="563">
        <v>2E-3</v>
      </c>
    </row>
    <row r="627" spans="24:29">
      <c r="X627" s="562">
        <v>44321</v>
      </c>
      <c r="Y627" s="553">
        <v>4</v>
      </c>
      <c r="Z627" s="553">
        <v>1256.43</v>
      </c>
      <c r="AA627" s="553">
        <v>117200</v>
      </c>
      <c r="AB627" s="563">
        <v>1.0999999999999999E-2</v>
      </c>
      <c r="AC627" s="563">
        <v>-1.4999999999999999E-2</v>
      </c>
    </row>
    <row r="628" spans="24:29">
      <c r="X628" s="562">
        <v>44320</v>
      </c>
      <c r="Y628" s="553">
        <v>3</v>
      </c>
      <c r="Z628" s="553">
        <v>1242.2</v>
      </c>
      <c r="AA628" s="553">
        <v>119000</v>
      </c>
      <c r="AB628" s="563">
        <v>2E-3</v>
      </c>
      <c r="AC628" s="563">
        <v>6.7000000000000004E-2</v>
      </c>
    </row>
    <row r="629" spans="24:29">
      <c r="X629" s="562">
        <v>44315</v>
      </c>
      <c r="Y629" s="553">
        <v>5</v>
      </c>
      <c r="Z629" s="553">
        <v>1239.3900000000001</v>
      </c>
      <c r="AA629" s="553">
        <v>111500</v>
      </c>
      <c r="AB629" s="563">
        <v>8.0000000000000002E-3</v>
      </c>
      <c r="AC629" s="563">
        <v>2.9000000000000001E-2</v>
      </c>
    </row>
    <row r="630" spans="24:29">
      <c r="X630" s="562">
        <v>44314</v>
      </c>
      <c r="Y630" s="553">
        <v>4</v>
      </c>
      <c r="Z630" s="553">
        <v>1229.55</v>
      </c>
      <c r="AA630" s="553">
        <v>108400</v>
      </c>
      <c r="AB630" s="563">
        <v>8.0000000000000002E-3</v>
      </c>
      <c r="AC630" s="563">
        <v>2.1000000000000001E-2</v>
      </c>
    </row>
    <row r="631" spans="24:29">
      <c r="X631" s="562">
        <v>44313</v>
      </c>
      <c r="Y631" s="553">
        <v>3</v>
      </c>
      <c r="Z631" s="553">
        <v>1219.75</v>
      </c>
      <c r="AA631" s="553">
        <v>106200</v>
      </c>
      <c r="AB631" s="563">
        <v>3.0000000000000001E-3</v>
      </c>
      <c r="AC631" s="563">
        <v>-4.2000000000000003E-2</v>
      </c>
    </row>
    <row r="632" spans="24:29">
      <c r="X632" s="562">
        <v>44312</v>
      </c>
      <c r="Y632" s="553">
        <v>2</v>
      </c>
      <c r="Z632" s="553">
        <v>1215.77</v>
      </c>
      <c r="AA632" s="553">
        <v>110900</v>
      </c>
      <c r="AB632" s="563">
        <v>-2.5999999999999999E-2</v>
      </c>
      <c r="AC632" s="563">
        <v>-2.7E-2</v>
      </c>
    </row>
    <row r="633" spans="24:29">
      <c r="X633" s="562">
        <v>44309</v>
      </c>
      <c r="Y633" s="553">
        <v>6</v>
      </c>
      <c r="Z633" s="553">
        <v>1248.53</v>
      </c>
      <c r="AA633" s="553">
        <v>114000</v>
      </c>
      <c r="AB633" s="563">
        <v>1.7000000000000001E-2</v>
      </c>
      <c r="AC633" s="563">
        <v>-1.7000000000000001E-2</v>
      </c>
    </row>
    <row r="634" spans="24:29">
      <c r="X634" s="562">
        <v>44308</v>
      </c>
      <c r="Y634" s="553">
        <v>5</v>
      </c>
      <c r="Z634" s="553">
        <v>1227.82</v>
      </c>
      <c r="AA634" s="553">
        <v>116000</v>
      </c>
      <c r="AB634" s="563">
        <v>-3.2000000000000001E-2</v>
      </c>
      <c r="AC634" s="563">
        <v>-3.1E-2</v>
      </c>
    </row>
    <row r="635" spans="24:29">
      <c r="X635" s="562">
        <v>44306</v>
      </c>
      <c r="Y635" s="553">
        <v>3</v>
      </c>
      <c r="Z635" s="553">
        <v>1268.28</v>
      </c>
      <c r="AA635" s="553">
        <v>119700</v>
      </c>
      <c r="AB635" s="563">
        <v>6.0000000000000001E-3</v>
      </c>
      <c r="AC635" s="563">
        <v>-2E-3</v>
      </c>
    </row>
    <row r="636" spans="24:29">
      <c r="X636" s="562">
        <v>44305</v>
      </c>
      <c r="Y636" s="553">
        <v>2</v>
      </c>
      <c r="Z636" s="553">
        <v>1260.58</v>
      </c>
      <c r="AA636" s="553">
        <v>120000</v>
      </c>
      <c r="AB636" s="563">
        <v>1.7999999999999999E-2</v>
      </c>
      <c r="AC636" s="563">
        <v>3.9E-2</v>
      </c>
    </row>
    <row r="637" spans="24:29">
      <c r="X637" s="562">
        <v>44302</v>
      </c>
      <c r="Y637" s="553">
        <v>6</v>
      </c>
      <c r="Z637" s="553">
        <v>1238.71</v>
      </c>
      <c r="AA637" s="553">
        <v>115500</v>
      </c>
      <c r="AB637" s="563">
        <v>-7.0000000000000001E-3</v>
      </c>
      <c r="AC637" s="563">
        <v>-0.02</v>
      </c>
    </row>
    <row r="638" spans="24:29">
      <c r="X638" s="562">
        <v>44301</v>
      </c>
      <c r="Y638" s="553">
        <v>5</v>
      </c>
      <c r="Z638" s="553">
        <v>1247.25</v>
      </c>
      <c r="AA638" s="553">
        <v>117900</v>
      </c>
      <c r="AB638" s="563">
        <v>-7.0000000000000001E-3</v>
      </c>
      <c r="AC638" s="563">
        <v>-1.2999999999999999E-2</v>
      </c>
    </row>
    <row r="639" spans="24:29">
      <c r="X639" s="562">
        <v>44300</v>
      </c>
      <c r="Y639" s="553">
        <v>4</v>
      </c>
      <c r="Z639" s="553">
        <v>1255.8699999999999</v>
      </c>
      <c r="AA639" s="553">
        <v>119400</v>
      </c>
      <c r="AB639" s="563">
        <v>6.0000000000000001E-3</v>
      </c>
      <c r="AC639" s="563">
        <v>1.7000000000000001E-2</v>
      </c>
    </row>
    <row r="640" spans="24:29">
      <c r="X640" s="562">
        <v>44299</v>
      </c>
      <c r="Y640" s="553">
        <v>3</v>
      </c>
      <c r="Z640" s="553">
        <v>1248.33</v>
      </c>
      <c r="AA640" s="553">
        <v>117400</v>
      </c>
      <c r="AB640" s="563">
        <v>-3.0000000000000001E-3</v>
      </c>
      <c r="AC640" s="563">
        <v>-1.0999999999999999E-2</v>
      </c>
    </row>
    <row r="641" spans="24:29">
      <c r="X641" s="562">
        <v>44298</v>
      </c>
      <c r="Y641" s="553">
        <v>2</v>
      </c>
      <c r="Z641" s="553">
        <v>1252.45</v>
      </c>
      <c r="AA641" s="553">
        <v>118700</v>
      </c>
      <c r="AB641" s="563">
        <v>1.7000000000000001E-2</v>
      </c>
      <c r="AC641" s="563">
        <v>-1.9E-2</v>
      </c>
    </row>
    <row r="642" spans="24:29">
      <c r="X642" s="562">
        <v>44295</v>
      </c>
      <c r="Y642" s="553">
        <v>6</v>
      </c>
      <c r="Z642" s="553">
        <v>1231.6600000000001</v>
      </c>
      <c r="AA642" s="553">
        <v>121000</v>
      </c>
      <c r="AB642" s="563">
        <v>-3.0000000000000001E-3</v>
      </c>
      <c r="AC642" s="563">
        <v>-5.0000000000000001E-3</v>
      </c>
    </row>
    <row r="643" spans="24:29">
      <c r="X643" s="562">
        <v>44294</v>
      </c>
      <c r="Y643" s="553">
        <v>5</v>
      </c>
      <c r="Z643" s="553">
        <v>1234.8900000000001</v>
      </c>
      <c r="AA643" s="553">
        <v>121600</v>
      </c>
      <c r="AB643" s="563">
        <v>-6.0000000000000001E-3</v>
      </c>
      <c r="AC643" s="563">
        <v>-2.7E-2</v>
      </c>
    </row>
    <row r="644" spans="24:29">
      <c r="X644" s="562">
        <v>44293</v>
      </c>
      <c r="Y644" s="553">
        <v>4</v>
      </c>
      <c r="Z644" s="553">
        <v>1242.3800000000001</v>
      </c>
      <c r="AA644" s="553">
        <v>125000</v>
      </c>
      <c r="AB644" s="563">
        <v>2E-3</v>
      </c>
      <c r="AC644" s="563">
        <v>2E-3</v>
      </c>
    </row>
    <row r="645" spans="24:29">
      <c r="X645" s="562">
        <v>44292</v>
      </c>
      <c r="Y645" s="553">
        <v>3</v>
      </c>
      <c r="Z645" s="553">
        <v>1239.96</v>
      </c>
      <c r="AA645" s="553">
        <v>124700</v>
      </c>
      <c r="AB645" s="563">
        <v>3.0000000000000001E-3</v>
      </c>
      <c r="AC645" s="563">
        <v>3.5000000000000003E-2</v>
      </c>
    </row>
    <row r="646" spans="24:29">
      <c r="X646" s="562">
        <v>44291</v>
      </c>
      <c r="Y646" s="553">
        <v>2</v>
      </c>
      <c r="Z646" s="553">
        <v>1236.05</v>
      </c>
      <c r="AA646" s="553">
        <v>120500</v>
      </c>
      <c r="AB646" s="563">
        <v>8.9999999999999993E-3</v>
      </c>
      <c r="AC646" s="563">
        <v>-4.0000000000000001E-3</v>
      </c>
    </row>
    <row r="647" spans="24:29">
      <c r="X647" s="562">
        <v>44288</v>
      </c>
      <c r="Y647" s="553">
        <v>6</v>
      </c>
      <c r="Z647" s="553">
        <v>1224.45</v>
      </c>
      <c r="AA647" s="553">
        <v>121000</v>
      </c>
      <c r="AB647" s="563">
        <v>7.0000000000000001E-3</v>
      </c>
      <c r="AC647" s="563">
        <v>4.0000000000000001E-3</v>
      </c>
    </row>
    <row r="648" spans="24:29">
      <c r="X648" s="562">
        <v>44287</v>
      </c>
      <c r="Y648" s="553">
        <v>5</v>
      </c>
      <c r="Z648" s="553">
        <v>1216.0999999999999</v>
      </c>
      <c r="AA648" s="553">
        <v>120500</v>
      </c>
      <c r="AB648" s="563">
        <v>2.1000000000000001E-2</v>
      </c>
      <c r="AC648" s="563">
        <v>2.1999999999999999E-2</v>
      </c>
    </row>
    <row r="649" spans="24:29">
      <c r="X649" s="562">
        <v>44286</v>
      </c>
      <c r="Y649" s="553">
        <v>4</v>
      </c>
      <c r="Z649" s="553">
        <v>1191.44</v>
      </c>
      <c r="AA649" s="553">
        <v>117900</v>
      </c>
      <c r="AB649" s="563">
        <v>4.0000000000000001E-3</v>
      </c>
      <c r="AC649" s="563">
        <v>-1.7999999999999999E-2</v>
      </c>
    </row>
    <row r="650" spans="24:29">
      <c r="X650" s="562">
        <v>44285</v>
      </c>
      <c r="Y650" s="553">
        <v>3</v>
      </c>
      <c r="Z650" s="553">
        <v>1186.3599999999999</v>
      </c>
      <c r="AA650" s="553">
        <v>120000</v>
      </c>
      <c r="AB650" s="563">
        <v>8.9999999999999993E-3</v>
      </c>
      <c r="AC650" s="563">
        <v>-1.2E-2</v>
      </c>
    </row>
    <row r="651" spans="24:29">
      <c r="X651" s="562">
        <v>44284</v>
      </c>
      <c r="Y651" s="553">
        <v>2</v>
      </c>
      <c r="Z651" s="553">
        <v>1175.68</v>
      </c>
      <c r="AA651" s="553">
        <v>121500</v>
      </c>
      <c r="AB651" s="563">
        <v>1.2E-2</v>
      </c>
      <c r="AC651" s="563">
        <v>5.7000000000000002E-2</v>
      </c>
    </row>
    <row r="652" spans="24:29">
      <c r="X652" s="562">
        <v>44281</v>
      </c>
      <c r="Y652" s="553">
        <v>6</v>
      </c>
      <c r="Z652" s="553">
        <v>1162.21</v>
      </c>
      <c r="AA652" s="553">
        <v>115000</v>
      </c>
      <c r="AB652" s="563">
        <v>-1E-3</v>
      </c>
      <c r="AC652" s="563">
        <v>-2.5000000000000001E-2</v>
      </c>
    </row>
    <row r="653" spans="24:29">
      <c r="X653" s="562">
        <v>44280</v>
      </c>
      <c r="Y653" s="553">
        <v>5</v>
      </c>
      <c r="Z653" s="553">
        <v>1163.0999999999999</v>
      </c>
      <c r="AA653" s="553">
        <v>117900</v>
      </c>
      <c r="AB653" s="563">
        <v>1E-3</v>
      </c>
      <c r="AC653" s="563">
        <v>-1.7999999999999999E-2</v>
      </c>
    </row>
    <row r="654" spans="24:29">
      <c r="X654" s="562">
        <v>44279</v>
      </c>
      <c r="Y654" s="553">
        <v>4</v>
      </c>
      <c r="Z654" s="553">
        <v>1161.81</v>
      </c>
      <c r="AA654" s="553">
        <v>120000</v>
      </c>
      <c r="AB654" s="563">
        <v>-1.7999999999999999E-2</v>
      </c>
      <c r="AC654" s="563">
        <v>0</v>
      </c>
    </row>
    <row r="655" spans="24:29">
      <c r="X655" s="562">
        <v>44278</v>
      </c>
      <c r="Y655" s="553">
        <v>3</v>
      </c>
      <c r="Z655" s="553">
        <v>1183.45</v>
      </c>
      <c r="AA655" s="553">
        <v>120000</v>
      </c>
      <c r="AB655" s="563">
        <v>-8.9999999999999993E-3</v>
      </c>
      <c r="AC655" s="563">
        <v>-4.2999999999999997E-2</v>
      </c>
    </row>
    <row r="656" spans="24:29">
      <c r="X656" s="562">
        <v>44277</v>
      </c>
      <c r="Y656" s="553">
        <v>2</v>
      </c>
      <c r="Z656" s="553">
        <v>1194.43</v>
      </c>
      <c r="AA656" s="553">
        <v>125400</v>
      </c>
      <c r="AB656" s="563">
        <v>0</v>
      </c>
      <c r="AC656" s="563">
        <v>3.5999999999999997E-2</v>
      </c>
    </row>
    <row r="657" spans="24:29">
      <c r="X657" s="562">
        <v>44274</v>
      </c>
      <c r="Y657" s="553">
        <v>6</v>
      </c>
      <c r="Z657" s="553">
        <v>1194.05</v>
      </c>
      <c r="AA657" s="553">
        <v>121000</v>
      </c>
      <c r="AB657" s="563">
        <v>-6.0000000000000001E-3</v>
      </c>
      <c r="AC657" s="563">
        <v>-1.9E-2</v>
      </c>
    </row>
    <row r="658" spans="24:29">
      <c r="X658" s="562">
        <v>44273</v>
      </c>
      <c r="Y658" s="553">
        <v>5</v>
      </c>
      <c r="Z658" s="553">
        <v>1200.94</v>
      </c>
      <c r="AA658" s="553">
        <v>123400</v>
      </c>
      <c r="AB658" s="563">
        <v>1.2999999999999999E-2</v>
      </c>
      <c r="AC658" s="563">
        <v>-2.8000000000000001E-2</v>
      </c>
    </row>
    <row r="659" spans="24:29">
      <c r="X659" s="562">
        <v>44272</v>
      </c>
      <c r="Y659" s="553">
        <v>4</v>
      </c>
      <c r="Z659" s="553">
        <v>1186.0899999999999</v>
      </c>
      <c r="AA659" s="553">
        <v>127000</v>
      </c>
      <c r="AB659" s="563">
        <v>5.0000000000000001E-3</v>
      </c>
      <c r="AC659" s="563">
        <v>-3.4000000000000002E-2</v>
      </c>
    </row>
    <row r="660" spans="24:29">
      <c r="X660" s="562">
        <v>44271</v>
      </c>
      <c r="Y660" s="553">
        <v>3</v>
      </c>
      <c r="Z660" s="553">
        <v>1179.9000000000001</v>
      </c>
      <c r="AA660" s="553">
        <v>131500</v>
      </c>
      <c r="AB660" s="563">
        <v>-4.0000000000000001E-3</v>
      </c>
      <c r="AC660" s="563">
        <v>5.6000000000000001E-2</v>
      </c>
    </row>
    <row r="661" spans="24:29">
      <c r="X661" s="562">
        <v>44270</v>
      </c>
      <c r="Y661" s="553">
        <v>2</v>
      </c>
      <c r="Z661" s="553">
        <v>1184.56</v>
      </c>
      <c r="AA661" s="553">
        <v>124500</v>
      </c>
      <c r="AB661" s="563">
        <v>3.0000000000000001E-3</v>
      </c>
      <c r="AC661" s="563">
        <v>7.0000000000000007E-2</v>
      </c>
    </row>
    <row r="662" spans="24:29">
      <c r="X662" s="562">
        <v>44267</v>
      </c>
      <c r="Y662" s="553">
        <v>6</v>
      </c>
      <c r="Z662" s="553">
        <v>1181.56</v>
      </c>
      <c r="AA662" s="553">
        <v>116400</v>
      </c>
      <c r="AB662" s="563">
        <v>0</v>
      </c>
      <c r="AC662" s="563">
        <v>4.3999999999999997E-2</v>
      </c>
    </row>
    <row r="663" spans="24:29">
      <c r="X663" s="562">
        <v>44266</v>
      </c>
      <c r="Y663" s="553">
        <v>5</v>
      </c>
      <c r="Z663" s="553">
        <v>1181.73</v>
      </c>
      <c r="AA663" s="553">
        <v>111500</v>
      </c>
      <c r="AB663" s="563">
        <v>0.01</v>
      </c>
      <c r="AC663" s="563">
        <v>-1.2999999999999999E-2</v>
      </c>
    </row>
    <row r="664" spans="24:29">
      <c r="X664" s="562">
        <v>44265</v>
      </c>
      <c r="Y664" s="553">
        <v>4</v>
      </c>
      <c r="Z664" s="553">
        <v>1170.08</v>
      </c>
      <c r="AA664" s="553">
        <v>113000</v>
      </c>
      <c r="AB664" s="563">
        <v>7.0000000000000001E-3</v>
      </c>
      <c r="AC664" s="563">
        <v>0</v>
      </c>
    </row>
    <row r="665" spans="24:29">
      <c r="X665" s="562">
        <v>44264</v>
      </c>
      <c r="Y665" s="553">
        <v>3</v>
      </c>
      <c r="Z665" s="553">
        <v>1161.97</v>
      </c>
      <c r="AA665" s="553">
        <v>113000</v>
      </c>
      <c r="AB665" s="563">
        <v>-5.0000000000000001E-3</v>
      </c>
      <c r="AC665" s="563">
        <v>5.0000000000000001E-3</v>
      </c>
    </row>
    <row r="666" spans="24:29">
      <c r="X666" s="562">
        <v>44263</v>
      </c>
      <c r="Y666" s="553">
        <v>2</v>
      </c>
      <c r="Z666" s="553">
        <v>1168.27</v>
      </c>
      <c r="AA666" s="553">
        <v>112400</v>
      </c>
      <c r="AB666" s="563">
        <v>0</v>
      </c>
      <c r="AC666" s="563">
        <v>1.0999999999999999E-2</v>
      </c>
    </row>
    <row r="667" spans="24:29">
      <c r="X667" s="562">
        <v>44260</v>
      </c>
      <c r="Y667" s="553">
        <v>6</v>
      </c>
      <c r="Z667" s="553">
        <v>1168.69</v>
      </c>
      <c r="AA667" s="553">
        <v>111200</v>
      </c>
      <c r="AB667" s="563">
        <v>0</v>
      </c>
      <c r="AC667" s="563">
        <v>6.9000000000000006E-2</v>
      </c>
    </row>
    <row r="668" spans="24:29">
      <c r="X668" s="562">
        <v>44259</v>
      </c>
      <c r="Y668" s="553">
        <v>5</v>
      </c>
      <c r="Z668" s="553">
        <v>1168.52</v>
      </c>
      <c r="AA668" s="553">
        <v>104000</v>
      </c>
      <c r="AB668" s="563">
        <v>-1.6E-2</v>
      </c>
      <c r="AC668" s="563">
        <v>8.0000000000000002E-3</v>
      </c>
    </row>
    <row r="669" spans="24:29">
      <c r="X669" s="562">
        <v>44258</v>
      </c>
      <c r="Y669" s="553">
        <v>4</v>
      </c>
      <c r="Z669" s="553">
        <v>1186.95</v>
      </c>
      <c r="AA669" s="553">
        <v>103200</v>
      </c>
      <c r="AB669" s="563">
        <v>0</v>
      </c>
      <c r="AC669" s="563">
        <v>-1.2E-2</v>
      </c>
    </row>
    <row r="670" spans="24:29">
      <c r="X670" s="562">
        <v>44257</v>
      </c>
      <c r="Y670" s="553">
        <v>3</v>
      </c>
      <c r="Z670" s="553">
        <v>1186.6099999999999</v>
      </c>
      <c r="AA670" s="553">
        <v>104500</v>
      </c>
      <c r="AB670" s="563">
        <v>0</v>
      </c>
      <c r="AC670" s="563">
        <v>4.2999999999999997E-2</v>
      </c>
    </row>
    <row r="671" spans="24:29">
      <c r="X671" s="562">
        <v>44256</v>
      </c>
      <c r="Y671" s="553">
        <v>2</v>
      </c>
      <c r="Z671" s="553">
        <v>1186.17</v>
      </c>
      <c r="AA671" s="553">
        <v>100200</v>
      </c>
      <c r="AB671" s="563">
        <v>1.4999999999999999E-2</v>
      </c>
      <c r="AC671" s="563">
        <v>5.8999999999999997E-2</v>
      </c>
    </row>
    <row r="672" spans="24:29">
      <c r="X672" s="562">
        <v>44253</v>
      </c>
      <c r="Y672" s="553">
        <v>6</v>
      </c>
      <c r="Z672" s="553">
        <v>1168.47</v>
      </c>
      <c r="AA672" s="553">
        <v>94600</v>
      </c>
      <c r="AB672" s="563">
        <v>3.0000000000000001E-3</v>
      </c>
      <c r="AC672" s="563">
        <v>2E-3</v>
      </c>
    </row>
    <row r="673" spans="24:29">
      <c r="X673" s="562">
        <v>44252</v>
      </c>
      <c r="Y673" s="553">
        <v>5</v>
      </c>
      <c r="Z673" s="553">
        <v>1165.43</v>
      </c>
      <c r="AA673" s="553">
        <v>94400</v>
      </c>
      <c r="AB673" s="563">
        <v>3.0000000000000001E-3</v>
      </c>
      <c r="AC673" s="563">
        <v>2.5000000000000001E-2</v>
      </c>
    </row>
    <row r="674" spans="24:29">
      <c r="X674" s="562">
        <v>44251</v>
      </c>
      <c r="Y674" s="553">
        <v>4</v>
      </c>
      <c r="Z674" s="553">
        <v>1162.01</v>
      </c>
      <c r="AA674" s="553">
        <v>92100</v>
      </c>
      <c r="AB674" s="563">
        <v>-1.2999999999999999E-2</v>
      </c>
      <c r="AC674" s="563">
        <v>-3.1E-2</v>
      </c>
    </row>
    <row r="675" spans="24:29">
      <c r="X675" s="562">
        <v>44250</v>
      </c>
      <c r="Y675" s="553">
        <v>3</v>
      </c>
      <c r="Z675" s="553">
        <v>1177.6400000000001</v>
      </c>
      <c r="AA675" s="553">
        <v>95000</v>
      </c>
      <c r="AB675" s="563">
        <v>2E-3</v>
      </c>
      <c r="AC675" s="563">
        <v>1.9E-2</v>
      </c>
    </row>
    <row r="676" spans="24:29">
      <c r="X676" s="562">
        <v>44249</v>
      </c>
      <c r="Y676" s="553">
        <v>2</v>
      </c>
      <c r="Z676" s="553">
        <v>1175.04</v>
      </c>
      <c r="AA676" s="553">
        <v>93200</v>
      </c>
      <c r="AB676" s="563">
        <v>1E-3</v>
      </c>
      <c r="AC676" s="563">
        <v>1.4E-2</v>
      </c>
    </row>
    <row r="677" spans="24:29">
      <c r="X677" s="562">
        <v>44246</v>
      </c>
      <c r="Y677" s="553">
        <v>6</v>
      </c>
      <c r="Z677" s="553">
        <v>1173.5</v>
      </c>
      <c r="AA677" s="553">
        <v>91900</v>
      </c>
      <c r="AB677" s="563">
        <v>-1E-3</v>
      </c>
      <c r="AC677" s="563">
        <v>-1.2999999999999999E-2</v>
      </c>
    </row>
    <row r="678" spans="24:29">
      <c r="X678" s="562">
        <v>44245</v>
      </c>
      <c r="Y678" s="553">
        <v>5</v>
      </c>
      <c r="Z678" s="553">
        <v>1174.3800000000001</v>
      </c>
      <c r="AA678" s="553">
        <v>93100</v>
      </c>
      <c r="AB678" s="563">
        <v>1.6E-2</v>
      </c>
      <c r="AC678" s="563">
        <v>2.5000000000000001E-2</v>
      </c>
    </row>
    <row r="679" spans="24:29">
      <c r="X679" s="562">
        <v>44244</v>
      </c>
      <c r="Y679" s="553">
        <v>4</v>
      </c>
      <c r="Z679" s="553">
        <v>1155.78</v>
      </c>
      <c r="AA679" s="553">
        <v>90800</v>
      </c>
      <c r="AB679" s="563">
        <v>3.6999999999999998E-2</v>
      </c>
      <c r="AC679" s="563">
        <v>6.9000000000000006E-2</v>
      </c>
    </row>
    <row r="680" spans="24:29">
      <c r="X680" s="562">
        <v>44236</v>
      </c>
      <c r="Y680" s="553">
        <v>3</v>
      </c>
      <c r="Z680" s="553">
        <v>1114.93</v>
      </c>
      <c r="AA680" s="553">
        <v>84900</v>
      </c>
      <c r="AB680" s="563">
        <v>2.9000000000000001E-2</v>
      </c>
      <c r="AC680" s="563">
        <v>6.9000000000000006E-2</v>
      </c>
    </row>
    <row r="681" spans="24:29">
      <c r="X681" s="562">
        <v>44235</v>
      </c>
      <c r="Y681" s="553">
        <v>2</v>
      </c>
      <c r="Z681" s="553">
        <v>1083.18</v>
      </c>
      <c r="AA681" s="553">
        <v>79400</v>
      </c>
      <c r="AB681" s="563">
        <v>-3.9E-2</v>
      </c>
      <c r="AC681" s="563">
        <v>-4.2000000000000003E-2</v>
      </c>
    </row>
    <row r="682" spans="24:29">
      <c r="X682" s="562">
        <v>44232</v>
      </c>
      <c r="Y682" s="553">
        <v>6</v>
      </c>
      <c r="Z682" s="553">
        <v>1126.9100000000001</v>
      </c>
      <c r="AA682" s="553">
        <v>82900</v>
      </c>
      <c r="AB682" s="563">
        <v>1.2999999999999999E-2</v>
      </c>
      <c r="AC682" s="563">
        <v>7.0000000000000007E-2</v>
      </c>
    </row>
    <row r="683" spans="24:29">
      <c r="X683" s="562">
        <v>44231</v>
      </c>
      <c r="Y683" s="553">
        <v>5</v>
      </c>
      <c r="Z683" s="553">
        <v>1112.19</v>
      </c>
      <c r="AA683" s="553">
        <v>77500</v>
      </c>
      <c r="AB683" s="563">
        <v>1E-3</v>
      </c>
      <c r="AC683" s="563">
        <v>3.1E-2</v>
      </c>
    </row>
    <row r="684" spans="24:29">
      <c r="X684" s="562">
        <v>44230</v>
      </c>
      <c r="Y684" s="553">
        <v>4</v>
      </c>
      <c r="Z684" s="553">
        <v>1111.29</v>
      </c>
      <c r="AA684" s="553">
        <v>75200</v>
      </c>
      <c r="AB684" s="563">
        <v>3.3000000000000002E-2</v>
      </c>
      <c r="AC684" s="563">
        <v>8.9999999999999993E-3</v>
      </c>
    </row>
    <row r="685" spans="24:29">
      <c r="X685" s="562">
        <v>44229</v>
      </c>
      <c r="Y685" s="553">
        <v>3</v>
      </c>
      <c r="Z685" s="553">
        <v>1075.53</v>
      </c>
      <c r="AA685" s="553">
        <v>74500</v>
      </c>
      <c r="AB685" s="563">
        <v>3.9E-2</v>
      </c>
      <c r="AC685" s="563">
        <v>5.5E-2</v>
      </c>
    </row>
    <row r="686" spans="24:29">
      <c r="X686" s="562">
        <v>44228</v>
      </c>
      <c r="Y686" s="553">
        <v>2</v>
      </c>
      <c r="Z686" s="553">
        <v>1035.51</v>
      </c>
      <c r="AA686" s="553">
        <v>70600</v>
      </c>
      <c r="AB686" s="563">
        <v>-0.02</v>
      </c>
      <c r="AC686" s="563">
        <v>0.02</v>
      </c>
    </row>
    <row r="687" spans="24:29">
      <c r="X687" s="562">
        <v>44225</v>
      </c>
      <c r="Y687" s="553">
        <v>6</v>
      </c>
      <c r="Z687" s="553">
        <v>1056.6099999999999</v>
      </c>
      <c r="AA687" s="553">
        <v>69200</v>
      </c>
      <c r="AB687" s="563">
        <v>3.2000000000000001E-2</v>
      </c>
      <c r="AC687" s="563">
        <v>6.3E-2</v>
      </c>
    </row>
    <row r="688" spans="24:29">
      <c r="X688" s="562">
        <v>44224</v>
      </c>
      <c r="Y688" s="553">
        <v>5</v>
      </c>
      <c r="Z688" s="553">
        <v>1023.94</v>
      </c>
      <c r="AA688" s="553">
        <v>65100</v>
      </c>
      <c r="AB688" s="563">
        <v>-6.7000000000000004E-2</v>
      </c>
      <c r="AC688" s="563">
        <v>-7.0000000000000007E-2</v>
      </c>
    </row>
    <row r="689" spans="24:29">
      <c r="X689" s="562">
        <v>44223</v>
      </c>
      <c r="Y689" s="553">
        <v>4</v>
      </c>
      <c r="Z689" s="553">
        <v>1097.17</v>
      </c>
      <c r="AA689" s="553">
        <v>70000</v>
      </c>
      <c r="AB689" s="563">
        <v>-3.4000000000000002E-2</v>
      </c>
      <c r="AC689" s="563">
        <v>-5.0999999999999997E-2</v>
      </c>
    </row>
    <row r="690" spans="24:29">
      <c r="X690" s="562">
        <v>44222</v>
      </c>
      <c r="Y690" s="553">
        <v>3</v>
      </c>
      <c r="Z690" s="553">
        <v>1136.1199999999999</v>
      </c>
      <c r="AA690" s="553">
        <v>73800</v>
      </c>
      <c r="AB690" s="563">
        <v>-2.5999999999999999E-2</v>
      </c>
      <c r="AC690" s="563">
        <v>-0.04</v>
      </c>
    </row>
    <row r="691" spans="24:29">
      <c r="X691" s="562">
        <v>44221</v>
      </c>
      <c r="Y691" s="553">
        <v>2</v>
      </c>
      <c r="Z691" s="553">
        <v>1166.05</v>
      </c>
      <c r="AA691" s="553">
        <v>76900</v>
      </c>
      <c r="AB691" s="563">
        <v>-1E-3</v>
      </c>
      <c r="AC691" s="563">
        <v>-1.9E-2</v>
      </c>
    </row>
    <row r="692" spans="24:29">
      <c r="X692" s="562">
        <v>44218</v>
      </c>
      <c r="Y692" s="553">
        <v>6</v>
      </c>
      <c r="Z692" s="553">
        <v>1166.78</v>
      </c>
      <c r="AA692" s="553">
        <v>78400</v>
      </c>
      <c r="AB692" s="563">
        <v>2E-3</v>
      </c>
      <c r="AC692" s="563">
        <v>0.02</v>
      </c>
    </row>
    <row r="693" spans="24:29">
      <c r="X693" s="562">
        <v>44217</v>
      </c>
      <c r="Y693" s="553">
        <v>5</v>
      </c>
      <c r="Z693" s="553">
        <v>1164.21</v>
      </c>
      <c r="AA693" s="553">
        <v>76900</v>
      </c>
      <c r="AB693" s="563">
        <v>2.5999999999999999E-2</v>
      </c>
      <c r="AC693" s="563">
        <v>5.5E-2</v>
      </c>
    </row>
    <row r="694" spans="24:29">
      <c r="X694" s="562">
        <v>44216</v>
      </c>
      <c r="Y694" s="553">
        <v>4</v>
      </c>
      <c r="Z694" s="553">
        <v>1134.68</v>
      </c>
      <c r="AA694" s="553">
        <v>72900</v>
      </c>
      <c r="AB694" s="563">
        <v>3.0000000000000001E-3</v>
      </c>
      <c r="AC694" s="563">
        <v>-0.01</v>
      </c>
    </row>
    <row r="695" spans="24:29">
      <c r="X695" s="562">
        <v>44215</v>
      </c>
      <c r="Y695" s="553">
        <v>3</v>
      </c>
      <c r="Z695" s="553">
        <v>1131</v>
      </c>
      <c r="AA695" s="553">
        <v>73600</v>
      </c>
      <c r="AB695" s="563">
        <v>-5.0999999999999997E-2</v>
      </c>
      <c r="AC695" s="563">
        <v>-7.0000000000000007E-2</v>
      </c>
    </row>
    <row r="696" spans="24:29">
      <c r="X696" s="562">
        <v>44214</v>
      </c>
      <c r="Y696" s="553">
        <v>2</v>
      </c>
      <c r="Z696" s="553">
        <v>1191.94</v>
      </c>
      <c r="AA696" s="553">
        <v>79100</v>
      </c>
      <c r="AB696" s="563">
        <v>-2E-3</v>
      </c>
      <c r="AC696" s="563">
        <v>-3.5000000000000003E-2</v>
      </c>
    </row>
    <row r="697" spans="24:29">
      <c r="X697" s="562">
        <v>44211</v>
      </c>
      <c r="Y697" s="553">
        <v>6</v>
      </c>
      <c r="Z697" s="553">
        <v>1194.2</v>
      </c>
      <c r="AA697" s="553">
        <v>82000</v>
      </c>
      <c r="AB697" s="563">
        <v>6.0000000000000001E-3</v>
      </c>
      <c r="AC697" s="563">
        <v>6.0000000000000001E-3</v>
      </c>
    </row>
    <row r="698" spans="24:29">
      <c r="X698" s="562">
        <v>44210</v>
      </c>
      <c r="Y698" s="553">
        <v>5</v>
      </c>
      <c r="Z698" s="553">
        <v>1187.4000000000001</v>
      </c>
      <c r="AA698" s="553">
        <v>81500</v>
      </c>
      <c r="AB698" s="563">
        <v>1E-3</v>
      </c>
      <c r="AC698" s="563">
        <v>-2.5999999999999999E-2</v>
      </c>
    </row>
    <row r="699" spans="24:29">
      <c r="X699" s="562">
        <v>44209</v>
      </c>
      <c r="Y699" s="553">
        <v>4</v>
      </c>
      <c r="Z699" s="553">
        <v>1186.05</v>
      </c>
      <c r="AA699" s="553">
        <v>83700</v>
      </c>
      <c r="AB699" s="563">
        <v>-5.0000000000000001E-3</v>
      </c>
      <c r="AC699" s="563">
        <v>-1E-3</v>
      </c>
    </row>
    <row r="700" spans="24:29">
      <c r="X700" s="562">
        <v>44208</v>
      </c>
      <c r="Y700" s="553">
        <v>3</v>
      </c>
      <c r="Z700" s="553">
        <v>1192.28</v>
      </c>
      <c r="AA700" s="553">
        <v>83800</v>
      </c>
      <c r="AB700" s="563">
        <v>6.0000000000000001E-3</v>
      </c>
      <c r="AC700" s="563">
        <v>-1.0999999999999999E-2</v>
      </c>
    </row>
    <row r="701" spans="24:29">
      <c r="X701" s="562">
        <v>44207</v>
      </c>
      <c r="Y701" s="553">
        <v>2</v>
      </c>
      <c r="Z701" s="553">
        <v>1184.8900000000001</v>
      </c>
      <c r="AA701" s="553">
        <v>84700</v>
      </c>
      <c r="AB701" s="563">
        <v>1.4999999999999999E-2</v>
      </c>
      <c r="AC701" s="563">
        <v>3.4000000000000002E-2</v>
      </c>
    </row>
    <row r="702" spans="24:29">
      <c r="X702" s="562">
        <v>44204</v>
      </c>
      <c r="Y702" s="553">
        <v>6</v>
      </c>
      <c r="Z702" s="553">
        <v>1167.69</v>
      </c>
      <c r="AA702" s="553">
        <v>81900</v>
      </c>
      <c r="AB702" s="563">
        <v>0.01</v>
      </c>
      <c r="AC702" s="563">
        <v>-7.0000000000000001E-3</v>
      </c>
    </row>
    <row r="703" spans="24:29">
      <c r="X703" s="562">
        <v>44203</v>
      </c>
      <c r="Y703" s="553">
        <v>5</v>
      </c>
      <c r="Z703" s="553">
        <v>1156.49</v>
      </c>
      <c r="AA703" s="553">
        <v>82500</v>
      </c>
      <c r="AB703" s="563">
        <v>1.2E-2</v>
      </c>
      <c r="AC703" s="563">
        <v>0</v>
      </c>
    </row>
    <row r="704" spans="24:29">
      <c r="X704" s="562">
        <v>44202</v>
      </c>
      <c r="Y704" s="553">
        <v>4</v>
      </c>
      <c r="Z704" s="553">
        <v>1143.21</v>
      </c>
      <c r="AA704" s="553">
        <v>82500</v>
      </c>
      <c r="AB704" s="563">
        <v>8.9999999999999993E-3</v>
      </c>
      <c r="AC704" s="563">
        <v>-5.0000000000000001E-3</v>
      </c>
    </row>
    <row r="705" spans="24:29">
      <c r="X705" s="562">
        <v>44201</v>
      </c>
      <c r="Y705" s="553">
        <v>3</v>
      </c>
      <c r="Z705" s="553">
        <v>1132.55</v>
      </c>
      <c r="AA705" s="553">
        <v>82900</v>
      </c>
      <c r="AB705" s="563">
        <v>1.0999999999999999E-2</v>
      </c>
      <c r="AC705" s="563">
        <v>-2.8000000000000001E-2</v>
      </c>
    </row>
    <row r="706" spans="24:29">
      <c r="X706" s="562">
        <v>44200</v>
      </c>
      <c r="Y706" s="553">
        <v>2</v>
      </c>
      <c r="Z706" s="553">
        <v>1120.47</v>
      </c>
      <c r="AA706" s="553">
        <v>85300</v>
      </c>
      <c r="AB706" s="563">
        <v>1.4999999999999999E-2</v>
      </c>
      <c r="AC706" s="563">
        <v>-5.0000000000000001E-3</v>
      </c>
    </row>
    <row r="707" spans="24:29">
      <c r="X707" s="562">
        <v>44196</v>
      </c>
      <c r="Y707" s="553">
        <v>5</v>
      </c>
      <c r="Z707" s="553">
        <v>1103.8699999999999</v>
      </c>
      <c r="AA707" s="553">
        <v>85700</v>
      </c>
      <c r="AB707" s="563">
        <v>6.0000000000000001E-3</v>
      </c>
      <c r="AC707" s="563">
        <v>3.7999999999999999E-2</v>
      </c>
    </row>
    <row r="708" spans="24:29">
      <c r="X708" s="562">
        <v>44195</v>
      </c>
      <c r="Y708" s="553">
        <v>4</v>
      </c>
      <c r="Z708" s="553">
        <v>1097.54</v>
      </c>
      <c r="AA708" s="553">
        <v>82600</v>
      </c>
      <c r="AB708" s="563">
        <v>-2E-3</v>
      </c>
      <c r="AC708" s="563">
        <v>7.0000000000000007E-2</v>
      </c>
    </row>
    <row r="709" spans="24:29">
      <c r="X709" s="562">
        <v>44194</v>
      </c>
      <c r="Y709" s="553">
        <v>3</v>
      </c>
      <c r="Z709" s="553">
        <v>1099.49</v>
      </c>
      <c r="AA709" s="553">
        <v>77200</v>
      </c>
      <c r="AB709" s="563">
        <v>7.0000000000000001E-3</v>
      </c>
      <c r="AC709" s="563">
        <v>-3.0000000000000001E-3</v>
      </c>
    </row>
    <row r="710" spans="24:29">
      <c r="X710" s="562">
        <v>44193</v>
      </c>
      <c r="Y710" s="553">
        <v>2</v>
      </c>
      <c r="Z710" s="553">
        <v>1091.33</v>
      </c>
      <c r="AA710" s="553">
        <v>77400</v>
      </c>
      <c r="AB710" s="563">
        <v>6.0000000000000001E-3</v>
      </c>
      <c r="AC710" s="563">
        <v>7.0000000000000001E-3</v>
      </c>
    </row>
    <row r="711" spans="24:29">
      <c r="X711" s="562">
        <v>44190</v>
      </c>
      <c r="Y711" s="553">
        <v>6</v>
      </c>
      <c r="Z711" s="553">
        <v>1084.42</v>
      </c>
      <c r="AA711" s="553">
        <v>76900</v>
      </c>
      <c r="AB711" s="563">
        <v>1.6E-2</v>
      </c>
      <c r="AC711" s="563">
        <v>8.0000000000000002E-3</v>
      </c>
    </row>
    <row r="712" spans="24:29">
      <c r="X712" s="562">
        <v>44189</v>
      </c>
      <c r="Y712" s="553">
        <v>5</v>
      </c>
      <c r="Z712" s="553">
        <v>1067.52</v>
      </c>
      <c r="AA712" s="553">
        <v>76300</v>
      </c>
      <c r="AB712" s="563">
        <v>-1.0999999999999999E-2</v>
      </c>
      <c r="AC712" s="563">
        <v>-2.3E-2</v>
      </c>
    </row>
    <row r="713" spans="24:29">
      <c r="X713" s="562">
        <v>44188</v>
      </c>
      <c r="Y713" s="553">
        <v>4</v>
      </c>
      <c r="Z713" s="553">
        <v>1078.9000000000001</v>
      </c>
      <c r="AA713" s="553">
        <v>78100</v>
      </c>
      <c r="AB713" s="563">
        <v>-4.0000000000000001E-3</v>
      </c>
      <c r="AC713" s="563">
        <v>0</v>
      </c>
    </row>
    <row r="714" spans="24:29">
      <c r="X714" s="562">
        <v>44187</v>
      </c>
      <c r="Y714" s="553">
        <v>3</v>
      </c>
      <c r="Z714" s="553">
        <v>1083.45</v>
      </c>
      <c r="AA714" s="553">
        <v>78100</v>
      </c>
      <c r="AB714" s="563">
        <v>2E-3</v>
      </c>
      <c r="AC714" s="563">
        <v>5.0000000000000001E-3</v>
      </c>
    </row>
    <row r="715" spans="24:29">
      <c r="X715" s="562">
        <v>44186</v>
      </c>
      <c r="Y715" s="553">
        <v>2</v>
      </c>
      <c r="Z715" s="553">
        <v>1081.08</v>
      </c>
      <c r="AA715" s="553">
        <v>77700</v>
      </c>
      <c r="AB715" s="563">
        <v>1.2999999999999999E-2</v>
      </c>
      <c r="AC715" s="563">
        <v>-8.0000000000000002E-3</v>
      </c>
    </row>
    <row r="716" spans="24:29">
      <c r="X716" s="562">
        <v>44183</v>
      </c>
      <c r="Y716" s="553">
        <v>6</v>
      </c>
      <c r="Z716" s="553">
        <v>1067.46</v>
      </c>
      <c r="AA716" s="553">
        <v>78300</v>
      </c>
      <c r="AB716" s="563">
        <v>1.4999999999999999E-2</v>
      </c>
      <c r="AC716" s="563">
        <v>-8.0000000000000002E-3</v>
      </c>
    </row>
    <row r="717" spans="24:29">
      <c r="X717" s="562">
        <v>44182</v>
      </c>
      <c r="Y717" s="553">
        <v>5</v>
      </c>
      <c r="Z717" s="553">
        <v>1051.77</v>
      </c>
      <c r="AA717" s="553">
        <v>78900</v>
      </c>
      <c r="AB717" s="563">
        <v>-1.4E-2</v>
      </c>
      <c r="AC717" s="563">
        <v>-3.0000000000000001E-3</v>
      </c>
    </row>
    <row r="718" spans="24:29">
      <c r="X718" s="562">
        <v>44181</v>
      </c>
      <c r="Y718" s="553">
        <v>4</v>
      </c>
      <c r="Z718" s="553">
        <v>1066.99</v>
      </c>
      <c r="AA718" s="553">
        <v>79100</v>
      </c>
      <c r="AB718" s="563">
        <v>1.0999999999999999E-2</v>
      </c>
      <c r="AC718" s="563">
        <v>1E-3</v>
      </c>
    </row>
    <row r="719" spans="24:29">
      <c r="X719" s="562">
        <v>44180</v>
      </c>
      <c r="Y719" s="553">
        <v>3</v>
      </c>
      <c r="Z719" s="553">
        <v>1055.27</v>
      </c>
      <c r="AA719" s="553">
        <v>79000</v>
      </c>
      <c r="AB719" s="563">
        <v>-8.0000000000000002E-3</v>
      </c>
      <c r="AC719" s="563">
        <v>-1E-3</v>
      </c>
    </row>
    <row r="720" spans="24:29">
      <c r="X720" s="562">
        <v>44179</v>
      </c>
      <c r="Y720" s="553">
        <v>2</v>
      </c>
      <c r="Z720" s="553">
        <v>1064.0899999999999</v>
      </c>
      <c r="AA720" s="553">
        <v>79100</v>
      </c>
      <c r="AB720" s="563">
        <v>1.7000000000000001E-2</v>
      </c>
      <c r="AC720" s="563">
        <v>2.5999999999999999E-2</v>
      </c>
    </row>
    <row r="721" spans="24:29">
      <c r="X721" s="562">
        <v>44176</v>
      </c>
      <c r="Y721" s="553">
        <v>6</v>
      </c>
      <c r="Z721" s="553">
        <v>1045.96</v>
      </c>
      <c r="AA721" s="553">
        <v>77100</v>
      </c>
      <c r="AB721" s="563">
        <v>1.4999999999999999E-2</v>
      </c>
      <c r="AC721" s="563">
        <v>1.2E-2</v>
      </c>
    </row>
    <row r="722" spans="24:29">
      <c r="X722" s="562">
        <v>44175</v>
      </c>
      <c r="Y722" s="553">
        <v>5</v>
      </c>
      <c r="Z722" s="553">
        <v>1030.9100000000001</v>
      </c>
      <c r="AA722" s="553">
        <v>76200</v>
      </c>
      <c r="AB722" s="563">
        <v>-8.0000000000000002E-3</v>
      </c>
      <c r="AC722" s="563">
        <v>-8.0000000000000002E-3</v>
      </c>
    </row>
    <row r="723" spans="24:29">
      <c r="X723" s="562">
        <v>44174</v>
      </c>
      <c r="Y723" s="553">
        <v>4</v>
      </c>
      <c r="Z723" s="553">
        <v>1039.1300000000001</v>
      </c>
      <c r="AA723" s="553">
        <v>76800</v>
      </c>
      <c r="AB723" s="563">
        <v>0.01</v>
      </c>
      <c r="AC723" s="563">
        <v>-0.01</v>
      </c>
    </row>
    <row r="724" spans="24:29">
      <c r="X724" s="562">
        <v>44173</v>
      </c>
      <c r="Y724" s="553">
        <v>3</v>
      </c>
      <c r="Z724" s="553">
        <v>1029.26</v>
      </c>
      <c r="AA724" s="553">
        <v>77600</v>
      </c>
      <c r="AB724" s="563">
        <v>-1E-3</v>
      </c>
      <c r="AC724" s="563">
        <v>2.5999999999999999E-2</v>
      </c>
    </row>
    <row r="725" spans="24:29">
      <c r="X725" s="562">
        <v>44172</v>
      </c>
      <c r="Y725" s="553">
        <v>2</v>
      </c>
      <c r="Z725" s="553">
        <v>1029.98</v>
      </c>
      <c r="AA725" s="553">
        <v>75600</v>
      </c>
      <c r="AB725" s="563">
        <v>8.0000000000000002E-3</v>
      </c>
      <c r="AC725" s="563">
        <v>1.9E-2</v>
      </c>
    </row>
    <row r="726" spans="24:29">
      <c r="X726" s="562">
        <v>44169</v>
      </c>
      <c r="Y726" s="553">
        <v>6</v>
      </c>
      <c r="Z726" s="553">
        <v>1021.49</v>
      </c>
      <c r="AA726" s="553">
        <v>74200</v>
      </c>
      <c r="AB726" s="563">
        <v>2E-3</v>
      </c>
      <c r="AC726" s="563">
        <v>-1.9E-2</v>
      </c>
    </row>
    <row r="727" spans="24:29">
      <c r="X727" s="562">
        <v>44168</v>
      </c>
      <c r="Y727" s="553">
        <v>5</v>
      </c>
      <c r="Z727" s="553">
        <v>1019.8</v>
      </c>
      <c r="AA727" s="553">
        <v>75600</v>
      </c>
      <c r="AB727" s="563">
        <v>5.0000000000000001E-3</v>
      </c>
      <c r="AC727" s="563">
        <v>2.4E-2</v>
      </c>
    </row>
    <row r="728" spans="24:29">
      <c r="X728" s="562">
        <v>44167</v>
      </c>
      <c r="Y728" s="553">
        <v>4</v>
      </c>
      <c r="Z728" s="553">
        <v>1014.32</v>
      </c>
      <c r="AA728" s="553">
        <v>73800</v>
      </c>
      <c r="AB728" s="563">
        <v>5.0000000000000001E-3</v>
      </c>
      <c r="AC728" s="563">
        <v>-4.4999999999999998E-2</v>
      </c>
    </row>
    <row r="729" spans="24:29">
      <c r="X729" s="562">
        <v>44166</v>
      </c>
      <c r="Y729" s="553">
        <v>3</v>
      </c>
      <c r="Z729" s="553">
        <v>1008.87</v>
      </c>
      <c r="AA729" s="553">
        <v>77300</v>
      </c>
      <c r="AB729" s="563">
        <v>6.0000000000000001E-3</v>
      </c>
      <c r="AC729" s="563">
        <v>4.0000000000000001E-3</v>
      </c>
    </row>
    <row r="730" spans="24:29">
      <c r="X730" s="562">
        <v>44165</v>
      </c>
      <c r="Y730" s="553">
        <v>2</v>
      </c>
      <c r="Z730" s="553">
        <v>1003.08</v>
      </c>
      <c r="AA730" s="553">
        <v>77000</v>
      </c>
      <c r="AB730" s="563">
        <v>-7.0000000000000001E-3</v>
      </c>
      <c r="AC730" s="563">
        <v>-8.9999999999999993E-3</v>
      </c>
    </row>
    <row r="731" spans="24:29">
      <c r="X731" s="562">
        <v>44162</v>
      </c>
      <c r="Y731" s="553">
        <v>6</v>
      </c>
      <c r="Z731" s="553">
        <v>1010.22</v>
      </c>
      <c r="AA731" s="553">
        <v>77700</v>
      </c>
      <c r="AB731" s="563">
        <v>4.0000000000000001E-3</v>
      </c>
      <c r="AC731" s="563">
        <v>-5.0000000000000001E-3</v>
      </c>
    </row>
    <row r="732" spans="24:29">
      <c r="X732" s="562">
        <v>44161</v>
      </c>
      <c r="Y732" s="553">
        <v>5</v>
      </c>
      <c r="Z732" s="553">
        <v>1005.97</v>
      </c>
      <c r="AA732" s="553">
        <v>78100</v>
      </c>
      <c r="AB732" s="563">
        <v>6.0000000000000001E-3</v>
      </c>
      <c r="AC732" s="563">
        <v>1.4E-2</v>
      </c>
    </row>
    <row r="733" spans="24:29">
      <c r="X733" s="562">
        <v>44160</v>
      </c>
      <c r="Y733" s="553">
        <v>4</v>
      </c>
      <c r="Z733" s="553">
        <v>999.94</v>
      </c>
      <c r="AA733" s="553">
        <v>77000</v>
      </c>
      <c r="AB733" s="563">
        <v>4.0000000000000001E-3</v>
      </c>
      <c r="AC733" s="563">
        <v>2.7E-2</v>
      </c>
    </row>
    <row r="734" spans="24:29">
      <c r="X734" s="562">
        <v>44159</v>
      </c>
      <c r="Y734" s="553">
        <v>3</v>
      </c>
      <c r="Z734" s="553">
        <v>995.76</v>
      </c>
      <c r="AA734" s="553">
        <v>75000</v>
      </c>
      <c r="AB734" s="563">
        <v>2E-3</v>
      </c>
      <c r="AC734" s="563">
        <v>-1.0999999999999999E-2</v>
      </c>
    </row>
    <row r="735" spans="24:29">
      <c r="X735" s="562">
        <v>44158</v>
      </c>
      <c r="Y735" s="553">
        <v>2</v>
      </c>
      <c r="Z735" s="553">
        <v>994.19</v>
      </c>
      <c r="AA735" s="553">
        <v>75800</v>
      </c>
      <c r="AB735" s="563">
        <v>4.0000000000000001E-3</v>
      </c>
      <c r="AC735" s="563">
        <v>6.9000000000000006E-2</v>
      </c>
    </row>
    <row r="736" spans="24:29">
      <c r="X736" s="562">
        <v>44155</v>
      </c>
      <c r="Y736" s="553">
        <v>6</v>
      </c>
      <c r="Z736" s="553">
        <v>990</v>
      </c>
      <c r="AA736" s="553">
        <v>70900</v>
      </c>
      <c r="AB736" s="563">
        <v>7.0000000000000001E-3</v>
      </c>
      <c r="AC736" s="563">
        <v>6.3E-2</v>
      </c>
    </row>
    <row r="737" spans="24:29">
      <c r="X737" s="562">
        <v>44154</v>
      </c>
      <c r="Y737" s="553">
        <v>5</v>
      </c>
      <c r="Z737" s="553">
        <v>983.26</v>
      </c>
      <c r="AA737" s="553">
        <v>66700</v>
      </c>
      <c r="AB737" s="563">
        <v>0.01</v>
      </c>
      <c r="AC737" s="563">
        <v>1.4E-2</v>
      </c>
    </row>
    <row r="738" spans="24:29">
      <c r="X738" s="562">
        <v>44153</v>
      </c>
      <c r="Y738" s="553">
        <v>4</v>
      </c>
      <c r="Z738" s="553">
        <v>973.53</v>
      </c>
      <c r="AA738" s="553">
        <v>65800</v>
      </c>
      <c r="AB738" s="563">
        <v>5.0000000000000001E-3</v>
      </c>
      <c r="AC738" s="563">
        <v>-1.4999999999999999E-2</v>
      </c>
    </row>
    <row r="739" spans="24:29">
      <c r="X739" s="562">
        <v>44152</v>
      </c>
      <c r="Y739" s="553">
        <v>3</v>
      </c>
      <c r="Z739" s="553">
        <v>968.9</v>
      </c>
      <c r="AA739" s="553">
        <v>66800</v>
      </c>
      <c r="AB739" s="563">
        <v>1.9E-2</v>
      </c>
      <c r="AC739" s="563">
        <v>2.5999999999999999E-2</v>
      </c>
    </row>
    <row r="740" spans="24:29">
      <c r="X740" s="562">
        <v>44151</v>
      </c>
      <c r="Y740" s="553">
        <v>2</v>
      </c>
      <c r="Z740" s="553">
        <v>950.79</v>
      </c>
      <c r="AA740" s="553">
        <v>65100</v>
      </c>
      <c r="AB740" s="563">
        <v>-1.6E-2</v>
      </c>
      <c r="AC740" s="563">
        <v>-3.5999999999999997E-2</v>
      </c>
    </row>
    <row r="741" spans="24:29">
      <c r="X741" s="562">
        <v>44148</v>
      </c>
      <c r="Y741" s="553">
        <v>6</v>
      </c>
      <c r="Z741" s="553">
        <v>966.29</v>
      </c>
      <c r="AA741" s="553">
        <v>67500</v>
      </c>
      <c r="AB741" s="563">
        <v>7.0000000000000001E-3</v>
      </c>
      <c r="AC741" s="563">
        <v>-2.9000000000000001E-2</v>
      </c>
    </row>
    <row r="742" spans="24:29">
      <c r="X742" s="562">
        <v>44147</v>
      </c>
      <c r="Y742" s="553">
        <v>5</v>
      </c>
      <c r="Z742" s="553">
        <v>959.28</v>
      </c>
      <c r="AA742" s="553">
        <v>69500</v>
      </c>
      <c r="AB742" s="563">
        <v>7.0000000000000001E-3</v>
      </c>
      <c r="AC742" s="563">
        <v>6.0999999999999999E-2</v>
      </c>
    </row>
    <row r="743" spans="24:29">
      <c r="X743" s="562">
        <v>44146</v>
      </c>
      <c r="Y743" s="553">
        <v>4</v>
      </c>
      <c r="Z743" s="553">
        <v>952.22</v>
      </c>
      <c r="AA743" s="553">
        <v>65500</v>
      </c>
      <c r="AB743" s="563">
        <v>0</v>
      </c>
      <c r="AC743" s="563">
        <v>-3.6999999999999998E-2</v>
      </c>
    </row>
    <row r="744" spans="24:29">
      <c r="X744" s="562">
        <v>44145</v>
      </c>
      <c r="Y744" s="553">
        <v>3</v>
      </c>
      <c r="Z744" s="553">
        <v>951.9</v>
      </c>
      <c r="AA744" s="553">
        <v>68000</v>
      </c>
      <c r="AB744" s="563">
        <v>0</v>
      </c>
      <c r="AC744" s="563">
        <v>3.3000000000000002E-2</v>
      </c>
    </row>
    <row r="745" spans="24:29">
      <c r="X745" s="562">
        <v>44144</v>
      </c>
      <c r="Y745" s="553">
        <v>2</v>
      </c>
      <c r="Z745" s="553">
        <v>951.99</v>
      </c>
      <c r="AA745" s="553">
        <v>65800</v>
      </c>
      <c r="AB745" s="563">
        <v>1.4999999999999999E-2</v>
      </c>
      <c r="AC745" s="563">
        <v>4.1000000000000002E-2</v>
      </c>
    </row>
    <row r="746" spans="24:29">
      <c r="X746" s="562">
        <v>44141</v>
      </c>
      <c r="Y746" s="553">
        <v>6</v>
      </c>
      <c r="Z746" s="553">
        <v>938.29</v>
      </c>
      <c r="AA746" s="553">
        <v>63200</v>
      </c>
      <c r="AB746" s="563">
        <v>1E-3</v>
      </c>
      <c r="AC746" s="563">
        <v>6.8000000000000005E-2</v>
      </c>
    </row>
    <row r="747" spans="24:29">
      <c r="X747" s="562">
        <v>44140</v>
      </c>
      <c r="Y747" s="553">
        <v>5</v>
      </c>
      <c r="Z747" s="553">
        <v>937.75</v>
      </c>
      <c r="AA747" s="553">
        <v>59200</v>
      </c>
      <c r="AB747" s="563">
        <v>-2E-3</v>
      </c>
      <c r="AC747" s="563">
        <v>-2.1000000000000001E-2</v>
      </c>
    </row>
    <row r="748" spans="24:29">
      <c r="X748" s="562">
        <v>44139</v>
      </c>
      <c r="Y748" s="553">
        <v>4</v>
      </c>
      <c r="Z748" s="553">
        <v>939.76</v>
      </c>
      <c r="AA748" s="553">
        <v>60500</v>
      </c>
      <c r="AB748" s="563">
        <v>5.0000000000000001E-3</v>
      </c>
      <c r="AC748" s="563">
        <v>4.4999999999999998E-2</v>
      </c>
    </row>
    <row r="749" spans="24:29">
      <c r="X749" s="562">
        <v>44138</v>
      </c>
      <c r="Y749" s="553">
        <v>3</v>
      </c>
      <c r="Z749" s="553">
        <v>935.41</v>
      </c>
      <c r="AA749" s="553">
        <v>57900</v>
      </c>
      <c r="AB749" s="563">
        <v>2E-3</v>
      </c>
      <c r="AC749" s="563">
        <v>6.8000000000000005E-2</v>
      </c>
    </row>
    <row r="750" spans="24:29">
      <c r="X750" s="562">
        <v>44137</v>
      </c>
      <c r="Y750" s="553">
        <v>2</v>
      </c>
      <c r="Z750" s="553">
        <v>933.68</v>
      </c>
      <c r="AA750" s="553">
        <v>54200</v>
      </c>
      <c r="AB750" s="563">
        <v>8.9999999999999993E-3</v>
      </c>
      <c r="AC750" s="563">
        <v>1.4999999999999999E-2</v>
      </c>
    </row>
    <row r="751" spans="24:29">
      <c r="X751" s="562">
        <v>44134</v>
      </c>
      <c r="Y751" s="553">
        <v>6</v>
      </c>
      <c r="Z751" s="553">
        <v>925.47</v>
      </c>
      <c r="AA751" s="553">
        <v>53400</v>
      </c>
      <c r="AB751" s="563">
        <v>7.0000000000000001E-3</v>
      </c>
      <c r="AC751" s="563">
        <v>-1.0999999999999999E-2</v>
      </c>
    </row>
    <row r="752" spans="24:29">
      <c r="X752" s="562">
        <v>44133</v>
      </c>
      <c r="Y752" s="553">
        <v>5</v>
      </c>
      <c r="Z752" s="553">
        <v>919.08</v>
      </c>
      <c r="AA752" s="553">
        <v>54000</v>
      </c>
      <c r="AB752" s="563">
        <v>-2E-3</v>
      </c>
      <c r="AC752" s="563">
        <v>4.7E-2</v>
      </c>
    </row>
    <row r="753" spans="24:29">
      <c r="X753" s="562">
        <v>44132</v>
      </c>
      <c r="Y753" s="553">
        <v>4</v>
      </c>
      <c r="Z753" s="553">
        <v>921.05</v>
      </c>
      <c r="AA753" s="553">
        <v>51600</v>
      </c>
      <c r="AB753" s="563">
        <v>-2.7E-2</v>
      </c>
      <c r="AC753" s="563">
        <v>-2E-3</v>
      </c>
    </row>
    <row r="754" spans="24:29">
      <c r="X754" s="562">
        <v>44131</v>
      </c>
      <c r="Y754" s="553">
        <v>3</v>
      </c>
      <c r="Z754" s="553">
        <v>946.47</v>
      </c>
      <c r="AA754" s="553">
        <v>51700</v>
      </c>
      <c r="AB754" s="563">
        <v>-5.0000000000000001E-3</v>
      </c>
      <c r="AC754" s="563">
        <v>2E-3</v>
      </c>
    </row>
    <row r="755" spans="24:29">
      <c r="X755" s="562">
        <v>44130</v>
      </c>
      <c r="Y755" s="553">
        <v>2</v>
      </c>
      <c r="Z755" s="553">
        <v>950.8</v>
      </c>
      <c r="AA755" s="553">
        <v>51600</v>
      </c>
      <c r="AB755" s="563">
        <v>-1.0999999999999999E-2</v>
      </c>
      <c r="AC755" s="563">
        <v>-2.3E-2</v>
      </c>
    </row>
    <row r="756" spans="24:29">
      <c r="X756" s="562">
        <v>44127</v>
      </c>
      <c r="Y756" s="553">
        <v>6</v>
      </c>
      <c r="Z756" s="553">
        <v>961.26</v>
      </c>
      <c r="AA756" s="553">
        <v>52800</v>
      </c>
      <c r="AB756" s="563">
        <v>1.2E-2</v>
      </c>
      <c r="AC756" s="563">
        <v>0.01</v>
      </c>
    </row>
    <row r="757" spans="24:29">
      <c r="X757" s="562">
        <v>44126</v>
      </c>
      <c r="Y757" s="553">
        <v>5</v>
      </c>
      <c r="Z757" s="553">
        <v>949.9</v>
      </c>
      <c r="AA757" s="553">
        <v>52300</v>
      </c>
      <c r="AB757" s="563">
        <v>1.2E-2</v>
      </c>
      <c r="AC757" s="563">
        <v>6.0000000000000001E-3</v>
      </c>
    </row>
    <row r="758" spans="24:29">
      <c r="X758" s="562">
        <v>44125</v>
      </c>
      <c r="Y758" s="553">
        <v>4</v>
      </c>
      <c r="Z758" s="553">
        <v>939.03</v>
      </c>
      <c r="AA758" s="553">
        <v>52000</v>
      </c>
      <c r="AB758" s="563">
        <v>-6.0000000000000001E-3</v>
      </c>
      <c r="AC758" s="563">
        <v>-1.9E-2</v>
      </c>
    </row>
    <row r="759" spans="24:29">
      <c r="X759" s="562">
        <v>44124</v>
      </c>
      <c r="Y759" s="553">
        <v>3</v>
      </c>
      <c r="Z759" s="553">
        <v>944.42</v>
      </c>
      <c r="AA759" s="553">
        <v>53000</v>
      </c>
      <c r="AB759" s="563">
        <v>1E-3</v>
      </c>
      <c r="AC759" s="563">
        <v>-8.9999999999999993E-3</v>
      </c>
    </row>
    <row r="760" spans="24:29">
      <c r="X760" s="562">
        <v>44123</v>
      </c>
      <c r="Y760" s="553">
        <v>2</v>
      </c>
      <c r="Z760" s="553">
        <v>943.69</v>
      </c>
      <c r="AA760" s="553">
        <v>53500</v>
      </c>
      <c r="AB760" s="563">
        <v>0</v>
      </c>
      <c r="AC760" s="563">
        <v>0</v>
      </c>
    </row>
    <row r="761" spans="24:29">
      <c r="X761" s="562">
        <v>44120</v>
      </c>
      <c r="Y761" s="553">
        <v>6</v>
      </c>
      <c r="Z761" s="553">
        <v>943.3</v>
      </c>
      <c r="AA761" s="553">
        <v>53500</v>
      </c>
      <c r="AB761" s="563">
        <v>1E-3</v>
      </c>
      <c r="AC761" s="563">
        <v>1.0999999999999999E-2</v>
      </c>
    </row>
    <row r="762" spans="24:29">
      <c r="X762" s="562">
        <v>44119</v>
      </c>
      <c r="Y762" s="553">
        <v>5</v>
      </c>
      <c r="Z762" s="553">
        <v>942.76</v>
      </c>
      <c r="AA762" s="553">
        <v>52900</v>
      </c>
      <c r="AB762" s="563">
        <v>3.0000000000000001E-3</v>
      </c>
      <c r="AC762" s="563">
        <v>1.2999999999999999E-2</v>
      </c>
    </row>
    <row r="763" spans="24:29">
      <c r="X763" s="562">
        <v>44118</v>
      </c>
      <c r="Y763" s="553">
        <v>4</v>
      </c>
      <c r="Z763" s="553">
        <v>940.18</v>
      </c>
      <c r="AA763" s="553">
        <v>52200</v>
      </c>
      <c r="AB763" s="563">
        <v>1.0999999999999999E-2</v>
      </c>
      <c r="AC763" s="563">
        <v>-1.2999999999999999E-2</v>
      </c>
    </row>
    <row r="764" spans="24:29">
      <c r="X764" s="562">
        <v>44117</v>
      </c>
      <c r="Y764" s="553">
        <v>3</v>
      </c>
      <c r="Z764" s="553">
        <v>929.86</v>
      </c>
      <c r="AA764" s="553">
        <v>52900</v>
      </c>
      <c r="AB764" s="563">
        <v>4.0000000000000001E-3</v>
      </c>
      <c r="AC764" s="563">
        <v>-8.9999999999999993E-3</v>
      </c>
    </row>
    <row r="765" spans="24:29">
      <c r="X765" s="562">
        <v>44116</v>
      </c>
      <c r="Y765" s="553">
        <v>2</v>
      </c>
      <c r="Z765" s="553">
        <v>925.83</v>
      </c>
      <c r="AA765" s="553">
        <v>53400</v>
      </c>
      <c r="AB765" s="563">
        <v>2E-3</v>
      </c>
      <c r="AC765" s="563">
        <v>-2.1999999999999999E-2</v>
      </c>
    </row>
    <row r="766" spans="24:29">
      <c r="X766" s="562">
        <v>44113</v>
      </c>
      <c r="Y766" s="553">
        <v>6</v>
      </c>
      <c r="Z766" s="553">
        <v>924</v>
      </c>
      <c r="AA766" s="553">
        <v>54600</v>
      </c>
      <c r="AB766" s="563">
        <v>6.0000000000000001E-3</v>
      </c>
      <c r="AC766" s="563">
        <v>-5.0000000000000001E-3</v>
      </c>
    </row>
    <row r="767" spans="24:29">
      <c r="X767" s="562">
        <v>44112</v>
      </c>
      <c r="Y767" s="553">
        <v>5</v>
      </c>
      <c r="Z767" s="553">
        <v>918.84</v>
      </c>
      <c r="AA767" s="553">
        <v>54900</v>
      </c>
      <c r="AB767" s="563">
        <v>-1E-3</v>
      </c>
      <c r="AC767" s="563">
        <v>0</v>
      </c>
    </row>
    <row r="768" spans="24:29">
      <c r="X768" s="562">
        <v>44111</v>
      </c>
      <c r="Y768" s="553">
        <v>4</v>
      </c>
      <c r="Z768" s="553">
        <v>919.72</v>
      </c>
      <c r="AA768" s="553">
        <v>54900</v>
      </c>
      <c r="AB768" s="563">
        <v>4.0000000000000001E-3</v>
      </c>
      <c r="AC768" s="563">
        <v>0.02</v>
      </c>
    </row>
    <row r="769" spans="24:29">
      <c r="X769" s="562">
        <v>44110</v>
      </c>
      <c r="Y769" s="553">
        <v>3</v>
      </c>
      <c r="Z769" s="553">
        <v>915.67</v>
      </c>
      <c r="AA769" s="553">
        <v>53800</v>
      </c>
      <c r="AB769" s="563">
        <v>1E-3</v>
      </c>
      <c r="AC769" s="563">
        <v>-2E-3</v>
      </c>
    </row>
    <row r="770" spans="24:29">
      <c r="X770" s="562">
        <v>44109</v>
      </c>
      <c r="Y770" s="553">
        <v>2</v>
      </c>
      <c r="Z770" s="553">
        <v>914.68</v>
      </c>
      <c r="AA770" s="553">
        <v>53900</v>
      </c>
      <c r="AB770" s="563">
        <v>5.0000000000000001E-3</v>
      </c>
      <c r="AC770" s="563">
        <v>0</v>
      </c>
    </row>
    <row r="771" spans="24:29">
      <c r="X771" s="562">
        <v>44106</v>
      </c>
      <c r="Y771" s="553">
        <v>6</v>
      </c>
      <c r="Z771" s="553">
        <v>909.91</v>
      </c>
      <c r="AA771" s="553">
        <v>53900</v>
      </c>
      <c r="AB771" s="563">
        <v>-5.0000000000000001E-3</v>
      </c>
      <c r="AC771" s="563">
        <v>-1.0999999999999999E-2</v>
      </c>
    </row>
    <row r="772" spans="24:29">
      <c r="X772" s="562">
        <v>44105</v>
      </c>
      <c r="Y772" s="553">
        <v>5</v>
      </c>
      <c r="Z772" s="553">
        <v>914.09</v>
      </c>
      <c r="AA772" s="553">
        <v>54500</v>
      </c>
      <c r="AB772" s="563">
        <v>0.01</v>
      </c>
      <c r="AC772" s="563">
        <v>0</v>
      </c>
    </row>
    <row r="773" spans="24:29">
      <c r="X773" s="562">
        <v>44104</v>
      </c>
      <c r="Y773" s="553">
        <v>4</v>
      </c>
      <c r="Z773" s="553">
        <v>905.21</v>
      </c>
      <c r="AA773" s="553">
        <v>54500</v>
      </c>
      <c r="AB773" s="563">
        <v>1E-3</v>
      </c>
      <c r="AC773" s="563">
        <v>7.0000000000000001E-3</v>
      </c>
    </row>
    <row r="774" spans="24:29">
      <c r="X774" s="562">
        <v>44103</v>
      </c>
      <c r="Y774" s="553">
        <v>3</v>
      </c>
      <c r="Z774" s="553">
        <v>903.98</v>
      </c>
      <c r="AA774" s="553">
        <v>54100</v>
      </c>
      <c r="AB774" s="563">
        <v>-8.9999999999999993E-3</v>
      </c>
      <c r="AC774" s="563">
        <v>-2.9000000000000001E-2</v>
      </c>
    </row>
    <row r="775" spans="24:29">
      <c r="X775" s="562">
        <v>44102</v>
      </c>
      <c r="Y775" s="553">
        <v>2</v>
      </c>
      <c r="Z775" s="553">
        <v>912.5</v>
      </c>
      <c r="AA775" s="553">
        <v>55700</v>
      </c>
      <c r="AB775" s="563">
        <v>5.0000000000000001E-3</v>
      </c>
      <c r="AC775" s="563">
        <v>4.7E-2</v>
      </c>
    </row>
    <row r="776" spans="24:29">
      <c r="X776" s="562">
        <v>44099</v>
      </c>
      <c r="Y776" s="553">
        <v>6</v>
      </c>
      <c r="Z776" s="553">
        <v>908.27</v>
      </c>
      <c r="AA776" s="553">
        <v>53200</v>
      </c>
      <c r="AB776" s="563">
        <v>0</v>
      </c>
      <c r="AC776" s="563">
        <v>6.0000000000000001E-3</v>
      </c>
    </row>
    <row r="777" spans="24:29">
      <c r="X777" s="562">
        <v>44098</v>
      </c>
      <c r="Y777" s="553">
        <v>5</v>
      </c>
      <c r="Z777" s="553">
        <v>908.58</v>
      </c>
      <c r="AA777" s="553">
        <v>52900</v>
      </c>
      <c r="AB777" s="563">
        <v>-4.0000000000000001E-3</v>
      </c>
      <c r="AC777" s="563">
        <v>-1.0999999999999999E-2</v>
      </c>
    </row>
    <row r="778" spans="24:29">
      <c r="X778" s="562">
        <v>44097</v>
      </c>
      <c r="Y778" s="553">
        <v>4</v>
      </c>
      <c r="Z778" s="553">
        <v>912.5</v>
      </c>
      <c r="AA778" s="553">
        <v>53500</v>
      </c>
      <c r="AB778" s="563">
        <v>7.0000000000000001E-3</v>
      </c>
      <c r="AC778" s="563">
        <v>-1.4999999999999999E-2</v>
      </c>
    </row>
    <row r="779" spans="24:29">
      <c r="X779" s="562">
        <v>44096</v>
      </c>
      <c r="Y779" s="553">
        <v>3</v>
      </c>
      <c r="Z779" s="553">
        <v>906.19</v>
      </c>
      <c r="AA779" s="553">
        <v>54300</v>
      </c>
      <c r="AB779" s="563">
        <v>-2E-3</v>
      </c>
      <c r="AC779" s="563">
        <v>6.0000000000000001E-3</v>
      </c>
    </row>
    <row r="780" spans="24:29">
      <c r="X780" s="562">
        <v>44095</v>
      </c>
      <c r="Y780" s="553">
        <v>2</v>
      </c>
      <c r="Z780" s="553">
        <v>907.94</v>
      </c>
      <c r="AA780" s="553">
        <v>54000</v>
      </c>
      <c r="AB780" s="563">
        <v>8.0000000000000002E-3</v>
      </c>
      <c r="AC780" s="563">
        <v>1.9E-2</v>
      </c>
    </row>
    <row r="781" spans="24:29">
      <c r="X781" s="562">
        <v>44092</v>
      </c>
      <c r="Y781" s="553">
        <v>6</v>
      </c>
      <c r="Z781" s="553">
        <v>900.95</v>
      </c>
      <c r="AA781" s="553">
        <v>53000</v>
      </c>
      <c r="AB781" s="563">
        <v>8.0000000000000002E-3</v>
      </c>
      <c r="AC781" s="563">
        <v>2E-3</v>
      </c>
    </row>
    <row r="782" spans="24:29">
      <c r="X782" s="562">
        <v>44091</v>
      </c>
      <c r="Y782" s="553">
        <v>5</v>
      </c>
      <c r="Z782" s="553">
        <v>894.04</v>
      </c>
      <c r="AA782" s="553">
        <v>52900</v>
      </c>
      <c r="AB782" s="563">
        <v>-4.0000000000000001E-3</v>
      </c>
      <c r="AC782" s="563">
        <v>0.01</v>
      </c>
    </row>
    <row r="783" spans="24:29">
      <c r="X783" s="562">
        <v>44090</v>
      </c>
      <c r="Y783" s="553">
        <v>4</v>
      </c>
      <c r="Z783" s="553">
        <v>897.47</v>
      </c>
      <c r="AA783" s="553">
        <v>52400</v>
      </c>
      <c r="AB783" s="563">
        <v>1E-3</v>
      </c>
      <c r="AC783" s="563">
        <v>-3.1E-2</v>
      </c>
    </row>
    <row r="784" spans="24:29">
      <c r="X784" s="562">
        <v>44089</v>
      </c>
      <c r="Y784" s="553">
        <v>3</v>
      </c>
      <c r="Z784" s="553">
        <v>896.26</v>
      </c>
      <c r="AA784" s="553">
        <v>54100</v>
      </c>
      <c r="AB784" s="563">
        <v>2E-3</v>
      </c>
      <c r="AC784" s="563">
        <v>2.1000000000000001E-2</v>
      </c>
    </row>
    <row r="785" spans="24:29">
      <c r="X785" s="562">
        <v>44088</v>
      </c>
      <c r="Y785" s="553">
        <v>2</v>
      </c>
      <c r="Z785" s="553">
        <v>894.57</v>
      </c>
      <c r="AA785" s="553">
        <v>53000</v>
      </c>
      <c r="AB785" s="563">
        <v>6.0000000000000001E-3</v>
      </c>
      <c r="AC785" s="563">
        <v>8.0000000000000002E-3</v>
      </c>
    </row>
    <row r="786" spans="24:29">
      <c r="X786" s="562">
        <v>44085</v>
      </c>
      <c r="Y786" s="553">
        <v>6</v>
      </c>
      <c r="Z786" s="553">
        <v>888.97</v>
      </c>
      <c r="AA786" s="553">
        <v>52600</v>
      </c>
      <c r="AB786" s="563">
        <v>0</v>
      </c>
      <c r="AC786" s="563">
        <v>2.3E-2</v>
      </c>
    </row>
    <row r="787" spans="24:29">
      <c r="X787" s="562">
        <v>44084</v>
      </c>
      <c r="Y787" s="553">
        <v>5</v>
      </c>
      <c r="Z787" s="553">
        <v>888.82</v>
      </c>
      <c r="AA787" s="553">
        <v>51400</v>
      </c>
      <c r="AB787" s="563">
        <v>-1E-3</v>
      </c>
      <c r="AC787" s="563">
        <v>-8.0000000000000002E-3</v>
      </c>
    </row>
    <row r="788" spans="24:29">
      <c r="X788" s="562">
        <v>44083</v>
      </c>
      <c r="Y788" s="553">
        <v>4</v>
      </c>
      <c r="Z788" s="553">
        <v>889.32</v>
      </c>
      <c r="AA788" s="553">
        <v>51800</v>
      </c>
      <c r="AB788" s="563">
        <v>-1E-3</v>
      </c>
      <c r="AC788" s="563">
        <v>5.8000000000000003E-2</v>
      </c>
    </row>
    <row r="789" spans="24:29">
      <c r="X789" s="562">
        <v>44082</v>
      </c>
      <c r="Y789" s="553">
        <v>3</v>
      </c>
      <c r="Z789" s="553">
        <v>890.14</v>
      </c>
      <c r="AA789" s="553">
        <v>48950</v>
      </c>
      <c r="AB789" s="563">
        <v>2E-3</v>
      </c>
      <c r="AC789" s="563">
        <v>2.7E-2</v>
      </c>
    </row>
    <row r="790" spans="24:29">
      <c r="X790" s="562">
        <v>44081</v>
      </c>
      <c r="Y790" s="553">
        <v>2</v>
      </c>
      <c r="Z790" s="553">
        <v>888.25</v>
      </c>
      <c r="AA790" s="553">
        <v>47650</v>
      </c>
      <c r="AB790" s="563">
        <v>-1.4999999999999999E-2</v>
      </c>
      <c r="AC790" s="563">
        <v>-2.1000000000000001E-2</v>
      </c>
    </row>
    <row r="791" spans="24:29">
      <c r="X791" s="562">
        <v>44078</v>
      </c>
      <c r="Y791" s="553">
        <v>6</v>
      </c>
      <c r="Z791" s="553">
        <v>901.54</v>
      </c>
      <c r="AA791" s="553">
        <v>48650</v>
      </c>
      <c r="AB791" s="563">
        <v>-3.0000000000000001E-3</v>
      </c>
      <c r="AC791" s="563">
        <v>-6.0000000000000001E-3</v>
      </c>
    </row>
    <row r="792" spans="24:29">
      <c r="X792" s="562">
        <v>44077</v>
      </c>
      <c r="Y792" s="553">
        <v>5</v>
      </c>
      <c r="Z792" s="553">
        <v>903.97</v>
      </c>
      <c r="AA792" s="553">
        <v>48950</v>
      </c>
      <c r="AB792" s="563">
        <v>1.4E-2</v>
      </c>
      <c r="AC792" s="563">
        <v>-1E-3</v>
      </c>
    </row>
    <row r="793" spans="24:29">
      <c r="X793" s="562">
        <v>44075</v>
      </c>
      <c r="Y793" s="553">
        <v>3</v>
      </c>
      <c r="Z793" s="553">
        <v>891.73</v>
      </c>
      <c r="AA793" s="553">
        <v>49000</v>
      </c>
      <c r="AB793" s="563">
        <v>1.0999999999999999E-2</v>
      </c>
      <c r="AC793" s="563">
        <v>7.0000000000000007E-2</v>
      </c>
    </row>
    <row r="794" spans="24:29">
      <c r="X794" s="562">
        <v>44074</v>
      </c>
      <c r="Y794" s="553">
        <v>2</v>
      </c>
      <c r="Z794" s="553">
        <v>881.65</v>
      </c>
      <c r="AA794" s="553">
        <v>45800</v>
      </c>
      <c r="AB794" s="563">
        <v>3.0000000000000001E-3</v>
      </c>
      <c r="AC794" s="563">
        <v>-4.2000000000000003E-2</v>
      </c>
    </row>
    <row r="795" spans="24:29">
      <c r="X795" s="562">
        <v>44071</v>
      </c>
      <c r="Y795" s="553">
        <v>6</v>
      </c>
      <c r="Z795" s="553">
        <v>878.98</v>
      </c>
      <c r="AA795" s="553">
        <v>47800</v>
      </c>
      <c r="AB795" s="563">
        <v>5.0000000000000001E-3</v>
      </c>
      <c r="AC795" s="563">
        <v>-2.3E-2</v>
      </c>
    </row>
    <row r="796" spans="24:29">
      <c r="X796" s="562">
        <v>44070</v>
      </c>
      <c r="Y796" s="553">
        <v>5</v>
      </c>
      <c r="Z796" s="553">
        <v>874.71</v>
      </c>
      <c r="AA796" s="553">
        <v>48950</v>
      </c>
      <c r="AB796" s="563">
        <v>1E-3</v>
      </c>
      <c r="AC796" s="563">
        <v>-4.0000000000000001E-3</v>
      </c>
    </row>
    <row r="797" spans="24:29">
      <c r="X797" s="562">
        <v>44069</v>
      </c>
      <c r="Y797" s="553">
        <v>4</v>
      </c>
      <c r="Z797" s="553">
        <v>873.47</v>
      </c>
      <c r="AA797" s="553">
        <v>49150</v>
      </c>
      <c r="AB797" s="563">
        <v>-1E-3</v>
      </c>
      <c r="AC797" s="563">
        <v>3.0000000000000001E-3</v>
      </c>
    </row>
    <row r="798" spans="24:29">
      <c r="X798" s="562">
        <v>44068</v>
      </c>
      <c r="Y798" s="553">
        <v>3</v>
      </c>
      <c r="Z798" s="553">
        <v>874.12</v>
      </c>
      <c r="AA798" s="553">
        <v>49000</v>
      </c>
      <c r="AB798" s="563">
        <v>6.0000000000000001E-3</v>
      </c>
      <c r="AC798" s="563">
        <v>-2E-3</v>
      </c>
    </row>
    <row r="799" spans="24:29">
      <c r="X799" s="562">
        <v>44067</v>
      </c>
      <c r="Y799" s="553">
        <v>2</v>
      </c>
      <c r="Z799" s="553">
        <v>868.68</v>
      </c>
      <c r="AA799" s="553">
        <v>49100</v>
      </c>
      <c r="AB799" s="563">
        <v>1.6E-2</v>
      </c>
      <c r="AC799" s="563">
        <v>7.0000000000000007E-2</v>
      </c>
    </row>
    <row r="800" spans="24:29">
      <c r="X800" s="562">
        <v>44064</v>
      </c>
      <c r="Y800" s="553">
        <v>6</v>
      </c>
      <c r="Z800" s="553">
        <v>854.78</v>
      </c>
      <c r="AA800" s="553">
        <v>45900</v>
      </c>
      <c r="AB800" s="563">
        <v>8.0000000000000002E-3</v>
      </c>
      <c r="AC800" s="563">
        <v>-5.0000000000000001E-3</v>
      </c>
    </row>
    <row r="801" spans="24:29">
      <c r="X801" s="562">
        <v>44063</v>
      </c>
      <c r="Y801" s="553">
        <v>5</v>
      </c>
      <c r="Z801" s="553">
        <v>848.21</v>
      </c>
      <c r="AA801" s="553">
        <v>46150</v>
      </c>
      <c r="AB801" s="563">
        <v>-4.0000000000000001E-3</v>
      </c>
      <c r="AC801" s="563">
        <v>1.2E-2</v>
      </c>
    </row>
    <row r="802" spans="24:29">
      <c r="X802" s="562">
        <v>44062</v>
      </c>
      <c r="Y802" s="553">
        <v>4</v>
      </c>
      <c r="Z802" s="553">
        <v>851.21</v>
      </c>
      <c r="AA802" s="553">
        <v>45600</v>
      </c>
      <c r="AB802" s="563">
        <v>6.0000000000000001E-3</v>
      </c>
      <c r="AC802" s="563">
        <v>6.9000000000000006E-2</v>
      </c>
    </row>
    <row r="803" spans="24:29">
      <c r="X803" s="562">
        <v>44061</v>
      </c>
      <c r="Y803" s="553">
        <v>3</v>
      </c>
      <c r="Z803" s="553">
        <v>846.43</v>
      </c>
      <c r="AA803" s="553">
        <v>42650</v>
      </c>
      <c r="AB803" s="563">
        <v>-4.0000000000000001E-3</v>
      </c>
      <c r="AC803" s="563">
        <v>1.7999999999999999E-2</v>
      </c>
    </row>
    <row r="804" spans="24:29">
      <c r="X804" s="562">
        <v>44060</v>
      </c>
      <c r="Y804" s="553">
        <v>2</v>
      </c>
      <c r="Z804" s="553">
        <v>850.15</v>
      </c>
      <c r="AA804" s="553">
        <v>41900</v>
      </c>
      <c r="AB804" s="563">
        <v>-1E-3</v>
      </c>
      <c r="AC804" s="563">
        <v>-1.4E-2</v>
      </c>
    </row>
    <row r="805" spans="24:29">
      <c r="X805" s="562">
        <v>44057</v>
      </c>
      <c r="Y805" s="553">
        <v>6</v>
      </c>
      <c r="Z805" s="553">
        <v>850.74</v>
      </c>
      <c r="AA805" s="553">
        <v>42500</v>
      </c>
      <c r="AB805" s="563">
        <v>-5.0000000000000001E-3</v>
      </c>
      <c r="AC805" s="563">
        <v>0</v>
      </c>
    </row>
    <row r="806" spans="24:29">
      <c r="X806" s="562">
        <v>44056</v>
      </c>
      <c r="Y806" s="553">
        <v>5</v>
      </c>
      <c r="Z806" s="553">
        <v>855.05</v>
      </c>
      <c r="AA806" s="553">
        <v>42500</v>
      </c>
      <c r="AB806" s="563">
        <v>0.01</v>
      </c>
      <c r="AC806" s="563">
        <v>7.0000000000000001E-3</v>
      </c>
    </row>
    <row r="807" spans="24:29">
      <c r="X807" s="562">
        <v>44055</v>
      </c>
      <c r="Y807" s="553">
        <v>4</v>
      </c>
      <c r="Z807" s="553">
        <v>846.92</v>
      </c>
      <c r="AA807" s="553">
        <v>42200</v>
      </c>
      <c r="AB807" s="563">
        <v>5.0000000000000001E-3</v>
      </c>
      <c r="AC807" s="563">
        <v>-1.2999999999999999E-2</v>
      </c>
    </row>
    <row r="808" spans="24:29">
      <c r="X808" s="562">
        <v>44054</v>
      </c>
      <c r="Y808" s="553">
        <v>3</v>
      </c>
      <c r="Z808" s="553">
        <v>843.08</v>
      </c>
      <c r="AA808" s="553">
        <v>42750</v>
      </c>
      <c r="AB808" s="563">
        <v>0</v>
      </c>
      <c r="AC808" s="563">
        <v>4.0000000000000001E-3</v>
      </c>
    </row>
    <row r="809" spans="24:29">
      <c r="X809" s="562">
        <v>44053</v>
      </c>
      <c r="Y809" s="553">
        <v>2</v>
      </c>
      <c r="Z809" s="553">
        <v>843.2</v>
      </c>
      <c r="AA809" s="553">
        <v>42600</v>
      </c>
      <c r="AB809" s="563">
        <v>2E-3</v>
      </c>
      <c r="AC809" s="563">
        <v>0</v>
      </c>
    </row>
    <row r="810" spans="24:29">
      <c r="X810" s="562">
        <v>44050</v>
      </c>
      <c r="Y810" s="553">
        <v>6</v>
      </c>
      <c r="Z810" s="553">
        <v>841.46</v>
      </c>
      <c r="AA810" s="553">
        <v>42600</v>
      </c>
      <c r="AB810" s="563">
        <v>2E-3</v>
      </c>
      <c r="AC810" s="563">
        <v>-6.0000000000000001E-3</v>
      </c>
    </row>
    <row r="811" spans="24:29">
      <c r="X811" s="562">
        <v>44049</v>
      </c>
      <c r="Y811" s="553">
        <v>5</v>
      </c>
      <c r="Z811" s="553">
        <v>840.04</v>
      </c>
      <c r="AA811" s="553">
        <v>42850</v>
      </c>
      <c r="AB811" s="563">
        <v>3.0000000000000001E-3</v>
      </c>
      <c r="AC811" s="563">
        <v>0</v>
      </c>
    </row>
    <row r="812" spans="24:29">
      <c r="X812" s="562">
        <v>44048</v>
      </c>
      <c r="Y812" s="553">
        <v>4</v>
      </c>
      <c r="Z812" s="553">
        <v>837.8</v>
      </c>
      <c r="AA812" s="553">
        <v>42850</v>
      </c>
      <c r="AB812" s="563">
        <v>1.2E-2</v>
      </c>
      <c r="AC812" s="563">
        <v>4.4999999999999998E-2</v>
      </c>
    </row>
    <row r="813" spans="24:29">
      <c r="X813" s="562">
        <v>44047</v>
      </c>
      <c r="Y813" s="553">
        <v>3</v>
      </c>
      <c r="Z813" s="553">
        <v>827.57</v>
      </c>
      <c r="AA813" s="553">
        <v>41000</v>
      </c>
      <c r="AB813" s="563">
        <v>1.6E-2</v>
      </c>
      <c r="AC813" s="563">
        <v>1.4E-2</v>
      </c>
    </row>
    <row r="814" spans="24:29">
      <c r="X814" s="562">
        <v>44046</v>
      </c>
      <c r="Y814" s="553">
        <v>2</v>
      </c>
      <c r="Z814" s="553">
        <v>814.65</v>
      </c>
      <c r="AA814" s="553">
        <v>40450</v>
      </c>
      <c r="AB814" s="563">
        <v>0.02</v>
      </c>
      <c r="AC814" s="563">
        <v>4.3999999999999997E-2</v>
      </c>
    </row>
    <row r="815" spans="24:29">
      <c r="X815" s="562">
        <v>44043</v>
      </c>
      <c r="Y815" s="553">
        <v>6</v>
      </c>
      <c r="Z815" s="553">
        <v>798.39</v>
      </c>
      <c r="AA815" s="553">
        <v>38750</v>
      </c>
      <c r="AB815" s="563">
        <v>-3.0000000000000001E-3</v>
      </c>
      <c r="AC815" s="563">
        <v>-2.9000000000000001E-2</v>
      </c>
    </row>
    <row r="816" spans="24:29">
      <c r="X816" s="562">
        <v>44042</v>
      </c>
      <c r="Y816" s="553">
        <v>5</v>
      </c>
      <c r="Z816" s="553">
        <v>801.13</v>
      </c>
      <c r="AA816" s="553">
        <v>39900</v>
      </c>
      <c r="AB816" s="563">
        <v>1.2999999999999999E-2</v>
      </c>
      <c r="AC816" s="563">
        <v>0</v>
      </c>
    </row>
    <row r="817" spans="24:29">
      <c r="X817" s="562">
        <v>44041</v>
      </c>
      <c r="Y817" s="553">
        <v>4</v>
      </c>
      <c r="Z817" s="553">
        <v>790.84</v>
      </c>
      <c r="AA817" s="553">
        <v>39900</v>
      </c>
      <c r="AB817" s="563">
        <v>-2.8000000000000001E-2</v>
      </c>
      <c r="AC817" s="563">
        <v>-1.6E-2</v>
      </c>
    </row>
    <row r="818" spans="24:29">
      <c r="X818" s="562">
        <v>44040</v>
      </c>
      <c r="Y818" s="553">
        <v>3</v>
      </c>
      <c r="Z818" s="553">
        <v>813.36</v>
      </c>
      <c r="AA818" s="553">
        <v>40550</v>
      </c>
      <c r="AB818" s="563">
        <v>3.5999999999999997E-2</v>
      </c>
      <c r="AC818" s="563">
        <v>7.0000000000000007E-2</v>
      </c>
    </row>
    <row r="819" spans="24:29">
      <c r="X819" s="562">
        <v>44039</v>
      </c>
      <c r="Y819" s="553">
        <v>2</v>
      </c>
      <c r="Z819" s="553">
        <v>785.17</v>
      </c>
      <c r="AA819" s="553">
        <v>37900</v>
      </c>
      <c r="AB819" s="563">
        <v>-5.2999999999999999E-2</v>
      </c>
      <c r="AC819" s="563">
        <v>-3.9E-2</v>
      </c>
    </row>
    <row r="820" spans="24:29">
      <c r="X820" s="562">
        <v>44036</v>
      </c>
      <c r="Y820" s="553">
        <v>6</v>
      </c>
      <c r="Z820" s="553">
        <v>829.16</v>
      </c>
      <c r="AA820" s="553">
        <v>39450</v>
      </c>
      <c r="AB820" s="563">
        <v>-3.2000000000000001E-2</v>
      </c>
      <c r="AC820" s="563">
        <v>-7.0000000000000007E-2</v>
      </c>
    </row>
    <row r="821" spans="24:29">
      <c r="X821" s="562">
        <v>44035</v>
      </c>
      <c r="Y821" s="553">
        <v>5</v>
      </c>
      <c r="Z821" s="553">
        <v>856.75</v>
      </c>
      <c r="AA821" s="553">
        <v>42400</v>
      </c>
      <c r="AB821" s="563">
        <v>2E-3</v>
      </c>
      <c r="AC821" s="563">
        <v>-2.1000000000000001E-2</v>
      </c>
    </row>
    <row r="822" spans="24:29">
      <c r="X822" s="562">
        <v>44034</v>
      </c>
      <c r="Y822" s="553">
        <v>4</v>
      </c>
      <c r="Z822" s="553">
        <v>855.08</v>
      </c>
      <c r="AA822" s="553">
        <v>43300</v>
      </c>
      <c r="AB822" s="563">
        <v>-8.0000000000000002E-3</v>
      </c>
      <c r="AC822" s="563">
        <v>-1.2999999999999999E-2</v>
      </c>
    </row>
    <row r="823" spans="24:29">
      <c r="X823" s="562">
        <v>44033</v>
      </c>
      <c r="Y823" s="553">
        <v>3</v>
      </c>
      <c r="Z823" s="553">
        <v>861.69</v>
      </c>
      <c r="AA823" s="553">
        <v>43850</v>
      </c>
      <c r="AB823" s="563">
        <v>0</v>
      </c>
      <c r="AC823" s="563">
        <v>7.0000000000000007E-2</v>
      </c>
    </row>
    <row r="824" spans="24:29">
      <c r="X824" s="562">
        <v>44032</v>
      </c>
      <c r="Y824" s="553">
        <v>2</v>
      </c>
      <c r="Z824" s="553">
        <v>861.4</v>
      </c>
      <c r="AA824" s="553">
        <v>41000</v>
      </c>
      <c r="AB824" s="563">
        <v>-1.2E-2</v>
      </c>
      <c r="AC824" s="563">
        <v>-3.5000000000000003E-2</v>
      </c>
    </row>
    <row r="825" spans="24:29">
      <c r="X825" s="562">
        <v>44029</v>
      </c>
      <c r="Y825" s="553">
        <v>6</v>
      </c>
      <c r="Z825" s="553">
        <v>872.02</v>
      </c>
      <c r="AA825" s="553">
        <v>42500</v>
      </c>
      <c r="AB825" s="563">
        <v>-5.0000000000000001E-3</v>
      </c>
      <c r="AC825" s="563">
        <v>-7.0000000000000001E-3</v>
      </c>
    </row>
    <row r="826" spans="24:29">
      <c r="X826" s="562">
        <v>44028</v>
      </c>
      <c r="Y826" s="553">
        <v>5</v>
      </c>
      <c r="Z826" s="553">
        <v>876.83</v>
      </c>
      <c r="AA826" s="553">
        <v>42800</v>
      </c>
      <c r="AB826" s="563">
        <v>8.0000000000000002E-3</v>
      </c>
      <c r="AC826" s="563">
        <v>-1E-3</v>
      </c>
    </row>
    <row r="827" spans="24:29">
      <c r="X827" s="562">
        <v>44027</v>
      </c>
      <c r="Y827" s="553">
        <v>4</v>
      </c>
      <c r="Z827" s="553">
        <v>869.91</v>
      </c>
      <c r="AA827" s="553">
        <v>42850</v>
      </c>
      <c r="AB827" s="563">
        <v>2E-3</v>
      </c>
      <c r="AC827" s="563">
        <v>-0.01</v>
      </c>
    </row>
    <row r="828" spans="24:29">
      <c r="X828" s="562">
        <v>44026</v>
      </c>
      <c r="Y828" s="553">
        <v>3</v>
      </c>
      <c r="Z828" s="553">
        <v>868.11</v>
      </c>
      <c r="AA828" s="553">
        <v>43300</v>
      </c>
      <c r="AB828" s="563">
        <v>-1E-3</v>
      </c>
      <c r="AC828" s="563">
        <v>7.0000000000000001E-3</v>
      </c>
    </row>
    <row r="829" spans="24:29">
      <c r="X829" s="562">
        <v>44025</v>
      </c>
      <c r="Y829" s="553">
        <v>2</v>
      </c>
      <c r="Z829" s="553">
        <v>868.72</v>
      </c>
      <c r="AA829" s="553">
        <v>43000</v>
      </c>
      <c r="AB829" s="563">
        <v>-3.0000000000000001E-3</v>
      </c>
      <c r="AC829" s="563">
        <v>-5.1999999999999998E-2</v>
      </c>
    </row>
    <row r="830" spans="24:29">
      <c r="X830" s="562">
        <v>44022</v>
      </c>
      <c r="Y830" s="553">
        <v>6</v>
      </c>
      <c r="Z830" s="553">
        <v>871.21</v>
      </c>
      <c r="AA830" s="553">
        <v>45350</v>
      </c>
      <c r="AB830" s="563">
        <v>-6.0000000000000001E-3</v>
      </c>
      <c r="AC830" s="563">
        <v>4.2999999999999997E-2</v>
      </c>
    </row>
    <row r="831" spans="24:29">
      <c r="X831" s="562">
        <v>44021</v>
      </c>
      <c r="Y831" s="553">
        <v>5</v>
      </c>
      <c r="Z831" s="553">
        <v>876.46</v>
      </c>
      <c r="AA831" s="553">
        <v>43500</v>
      </c>
      <c r="AB831" s="563">
        <v>1.4E-2</v>
      </c>
      <c r="AC831" s="563">
        <v>6.9000000000000006E-2</v>
      </c>
    </row>
    <row r="832" spans="24:29">
      <c r="X832" s="562">
        <v>44020</v>
      </c>
      <c r="Y832" s="553">
        <v>4</v>
      </c>
      <c r="Z832" s="553">
        <v>864.5</v>
      </c>
      <c r="AA832" s="553">
        <v>40700</v>
      </c>
      <c r="AB832" s="563">
        <v>1E-3</v>
      </c>
      <c r="AC832" s="563">
        <v>-2.9000000000000001E-2</v>
      </c>
    </row>
    <row r="833" spans="24:29">
      <c r="X833" s="562">
        <v>44019</v>
      </c>
      <c r="Y833" s="553">
        <v>3</v>
      </c>
      <c r="Z833" s="553">
        <v>863.42</v>
      </c>
      <c r="AA833" s="553">
        <v>41900</v>
      </c>
      <c r="AB833" s="563">
        <v>3.0000000000000001E-3</v>
      </c>
      <c r="AC833" s="563">
        <v>1.4999999999999999E-2</v>
      </c>
    </row>
    <row r="834" spans="24:29">
      <c r="X834" s="562">
        <v>44018</v>
      </c>
      <c r="Y834" s="553">
        <v>2</v>
      </c>
      <c r="Z834" s="553">
        <v>861.16</v>
      </c>
      <c r="AA834" s="553">
        <v>41300</v>
      </c>
      <c r="AB834" s="563">
        <v>1.6E-2</v>
      </c>
      <c r="AC834" s="563">
        <v>-1.4E-2</v>
      </c>
    </row>
    <row r="835" spans="24:29">
      <c r="X835" s="562">
        <v>44015</v>
      </c>
      <c r="Y835" s="553">
        <v>6</v>
      </c>
      <c r="Z835" s="553">
        <v>847.61</v>
      </c>
      <c r="AA835" s="553">
        <v>41900</v>
      </c>
      <c r="AB835" s="563">
        <v>6.0000000000000001E-3</v>
      </c>
      <c r="AC835" s="563">
        <v>-3.9E-2</v>
      </c>
    </row>
    <row r="836" spans="24:29">
      <c r="X836" s="562">
        <v>44014</v>
      </c>
      <c r="Y836" s="553">
        <v>5</v>
      </c>
      <c r="Z836" s="553">
        <v>842.38</v>
      </c>
      <c r="AA836" s="553">
        <v>43600</v>
      </c>
      <c r="AB836" s="563">
        <v>-1E-3</v>
      </c>
      <c r="AC836" s="563">
        <v>6.5000000000000002E-2</v>
      </c>
    </row>
    <row r="837" spans="24:29">
      <c r="X837" s="562">
        <v>44013</v>
      </c>
      <c r="Y837" s="553">
        <v>4</v>
      </c>
      <c r="Z837" s="553">
        <v>843.49</v>
      </c>
      <c r="AA837" s="553">
        <v>40950</v>
      </c>
      <c r="AB837" s="563">
        <v>2.1999999999999999E-2</v>
      </c>
      <c r="AC837" s="563">
        <v>6.9000000000000006E-2</v>
      </c>
    </row>
    <row r="838" spans="24:29">
      <c r="X838" s="562">
        <v>44012</v>
      </c>
      <c r="Y838" s="553">
        <v>3</v>
      </c>
      <c r="Z838" s="553">
        <v>825.11</v>
      </c>
      <c r="AA838" s="553">
        <v>38300</v>
      </c>
      <c r="AB838" s="563">
        <v>-5.0000000000000001E-3</v>
      </c>
      <c r="AC838" s="563">
        <v>7.0000000000000007E-2</v>
      </c>
    </row>
    <row r="839" spans="24:29">
      <c r="X839" s="562">
        <v>44011</v>
      </c>
      <c r="Y839" s="553">
        <v>2</v>
      </c>
      <c r="Z839" s="553">
        <v>829.36</v>
      </c>
      <c r="AA839" s="553">
        <v>35800</v>
      </c>
      <c r="AB839" s="563">
        <v>-2.7E-2</v>
      </c>
      <c r="AC839" s="563">
        <v>-6.3E-2</v>
      </c>
    </row>
    <row r="840" spans="24:29">
      <c r="X840" s="562">
        <v>44008</v>
      </c>
      <c r="Y840" s="553">
        <v>6</v>
      </c>
      <c r="Z840" s="553">
        <v>851.98</v>
      </c>
      <c r="AA840" s="553">
        <v>38200</v>
      </c>
      <c r="AB840" s="563">
        <v>-3.0000000000000001E-3</v>
      </c>
      <c r="AC840" s="563">
        <v>-2.5999999999999999E-2</v>
      </c>
    </row>
    <row r="841" spans="24:29">
      <c r="X841" s="562">
        <v>44007</v>
      </c>
      <c r="Y841" s="553">
        <v>5</v>
      </c>
      <c r="Z841" s="553">
        <v>854.59</v>
      </c>
      <c r="AA841" s="553">
        <v>39200</v>
      </c>
      <c r="AB841" s="563">
        <v>-6.0000000000000001E-3</v>
      </c>
      <c r="AC841" s="563">
        <v>1.2999999999999999E-2</v>
      </c>
    </row>
    <row r="842" spans="24:29">
      <c r="X842" s="562">
        <v>44006</v>
      </c>
      <c r="Y842" s="553">
        <v>4</v>
      </c>
      <c r="Z842" s="553">
        <v>859.71</v>
      </c>
      <c r="AA842" s="553">
        <v>38700</v>
      </c>
      <c r="AB842" s="563">
        <v>-0.01</v>
      </c>
      <c r="AC842" s="563">
        <v>6.9000000000000006E-2</v>
      </c>
    </row>
    <row r="843" spans="24:29">
      <c r="X843" s="562">
        <v>44005</v>
      </c>
      <c r="Y843" s="553">
        <v>3</v>
      </c>
      <c r="Z843" s="553">
        <v>868.2</v>
      </c>
      <c r="AA843" s="553">
        <v>36200</v>
      </c>
      <c r="AB843" s="563">
        <v>-4.0000000000000001E-3</v>
      </c>
      <c r="AC843" s="563">
        <v>-2.1999999999999999E-2</v>
      </c>
    </row>
    <row r="844" spans="24:29">
      <c r="X844" s="562">
        <v>44004</v>
      </c>
      <c r="Y844" s="553">
        <v>2</v>
      </c>
      <c r="Z844" s="553">
        <v>871.28</v>
      </c>
      <c r="AA844" s="553">
        <v>37000</v>
      </c>
      <c r="AB844" s="563">
        <v>3.0000000000000001E-3</v>
      </c>
      <c r="AC844" s="563">
        <v>6.9000000000000006E-2</v>
      </c>
    </row>
    <row r="845" spans="24:29">
      <c r="X845" s="562">
        <v>44001</v>
      </c>
      <c r="Y845" s="553">
        <v>6</v>
      </c>
      <c r="Z845" s="553">
        <v>868.56</v>
      </c>
      <c r="AA845" s="553">
        <v>34600</v>
      </c>
      <c r="AB845" s="563">
        <v>1.6E-2</v>
      </c>
      <c r="AC845" s="563">
        <v>7.0000000000000007E-2</v>
      </c>
    </row>
    <row r="846" spans="24:29">
      <c r="X846" s="562">
        <v>44000</v>
      </c>
      <c r="Y846" s="553">
        <v>5</v>
      </c>
      <c r="Z846" s="553">
        <v>855.27</v>
      </c>
      <c r="AA846" s="553">
        <v>32350</v>
      </c>
      <c r="AB846" s="563">
        <v>1E-3</v>
      </c>
      <c r="AC846" s="563">
        <v>6.9000000000000006E-2</v>
      </c>
    </row>
    <row r="847" spans="24:29">
      <c r="X847" s="562">
        <v>43999</v>
      </c>
      <c r="Y847" s="553">
        <v>4</v>
      </c>
      <c r="Z847" s="553">
        <v>854.44</v>
      </c>
      <c r="AA847" s="553">
        <v>30250</v>
      </c>
      <c r="AB847" s="563">
        <v>-2E-3</v>
      </c>
      <c r="AC847" s="563">
        <v>6.9000000000000006E-2</v>
      </c>
    </row>
    <row r="848" spans="24:29">
      <c r="X848" s="562">
        <v>43998</v>
      </c>
      <c r="Y848" s="553">
        <v>3</v>
      </c>
      <c r="Z848" s="553">
        <v>856.13</v>
      </c>
      <c r="AA848" s="553">
        <v>28300</v>
      </c>
      <c r="AB848" s="563">
        <v>2.8000000000000001E-2</v>
      </c>
      <c r="AC848" s="563">
        <v>0.04</v>
      </c>
    </row>
    <row r="849" spans="24:29">
      <c r="X849" s="562">
        <v>43997</v>
      </c>
      <c r="Y849" s="553">
        <v>2</v>
      </c>
      <c r="Z849" s="553">
        <v>832.47</v>
      </c>
      <c r="AA849" s="553">
        <v>27200</v>
      </c>
      <c r="AB849" s="563">
        <v>-3.5999999999999997E-2</v>
      </c>
      <c r="AC849" s="563">
        <v>-6.8000000000000005E-2</v>
      </c>
    </row>
    <row r="850" spans="24:29">
      <c r="X850" s="562">
        <v>43994</v>
      </c>
      <c r="Y850" s="553">
        <v>6</v>
      </c>
      <c r="Z850" s="553">
        <v>863.52</v>
      </c>
      <c r="AA850" s="553">
        <v>29200</v>
      </c>
      <c r="AB850" s="563">
        <v>-4.0000000000000001E-3</v>
      </c>
      <c r="AC850" s="563">
        <v>-7.0000000000000001E-3</v>
      </c>
    </row>
    <row r="851" spans="24:29">
      <c r="X851" s="562">
        <v>43993</v>
      </c>
      <c r="Y851" s="553">
        <v>5</v>
      </c>
      <c r="Z851" s="553">
        <v>867.37</v>
      </c>
      <c r="AA851" s="553">
        <v>29400</v>
      </c>
      <c r="AB851" s="563">
        <v>-3.5999999999999997E-2</v>
      </c>
      <c r="AC851" s="563">
        <v>-7.0000000000000007E-2</v>
      </c>
    </row>
    <row r="852" spans="24:29">
      <c r="X852" s="562">
        <v>43992</v>
      </c>
      <c r="Y852" s="553">
        <v>4</v>
      </c>
      <c r="Z852" s="553">
        <v>900</v>
      </c>
      <c r="AA852" s="553">
        <v>31600</v>
      </c>
      <c r="AB852" s="563">
        <v>1E-3</v>
      </c>
      <c r="AC852" s="563">
        <v>2.3E-2</v>
      </c>
    </row>
    <row r="853" spans="24:29">
      <c r="X853" s="562">
        <v>43991</v>
      </c>
      <c r="Y853" s="553">
        <v>3</v>
      </c>
      <c r="Z853" s="553">
        <v>899.43</v>
      </c>
      <c r="AA853" s="553">
        <v>30900</v>
      </c>
      <c r="AB853" s="563">
        <v>-1E-3</v>
      </c>
      <c r="AC853" s="563">
        <v>-1.9E-2</v>
      </c>
    </row>
    <row r="854" spans="24:29">
      <c r="X854" s="562">
        <v>43990</v>
      </c>
      <c r="Y854" s="553">
        <v>2</v>
      </c>
      <c r="Z854" s="553">
        <v>899.92</v>
      </c>
      <c r="AA854" s="553">
        <v>31500</v>
      </c>
      <c r="AB854" s="563">
        <v>1.4999999999999999E-2</v>
      </c>
      <c r="AC854" s="563">
        <v>1.9E-2</v>
      </c>
    </row>
    <row r="855" spans="24:29">
      <c r="X855" s="562">
        <v>43987</v>
      </c>
      <c r="Y855" s="553">
        <v>6</v>
      </c>
      <c r="Z855" s="553">
        <v>886.22</v>
      </c>
      <c r="AA855" s="553">
        <v>30900</v>
      </c>
      <c r="AB855" s="563">
        <v>3.0000000000000001E-3</v>
      </c>
      <c r="AC855" s="563">
        <v>3.3000000000000002E-2</v>
      </c>
    </row>
    <row r="856" spans="24:29">
      <c r="X856" s="562">
        <v>43986</v>
      </c>
      <c r="Y856" s="553">
        <v>5</v>
      </c>
      <c r="Z856" s="553">
        <v>883.9</v>
      </c>
      <c r="AA856" s="553">
        <v>29900</v>
      </c>
      <c r="AB856" s="563">
        <v>3.0000000000000001E-3</v>
      </c>
      <c r="AC856" s="563">
        <v>7.0000000000000007E-2</v>
      </c>
    </row>
    <row r="857" spans="24:29">
      <c r="X857" s="562">
        <v>43985</v>
      </c>
      <c r="Y857" s="553">
        <v>4</v>
      </c>
      <c r="Z857" s="553">
        <v>881.17</v>
      </c>
      <c r="AA857" s="553">
        <v>27950</v>
      </c>
      <c r="AB857" s="563">
        <v>7.0000000000000001E-3</v>
      </c>
      <c r="AC857" s="563">
        <v>6.9000000000000006E-2</v>
      </c>
    </row>
    <row r="858" spans="24:29">
      <c r="X858" s="562">
        <v>43984</v>
      </c>
      <c r="Y858" s="553">
        <v>3</v>
      </c>
      <c r="Z858" s="553">
        <v>874.8</v>
      </c>
      <c r="AA858" s="553">
        <v>26150</v>
      </c>
      <c r="AB858" s="563">
        <v>-4.0000000000000001E-3</v>
      </c>
      <c r="AC858" s="563">
        <v>-3.1E-2</v>
      </c>
    </row>
    <row r="859" spans="24:29">
      <c r="X859" s="562">
        <v>43983</v>
      </c>
      <c r="Y859" s="553">
        <v>2</v>
      </c>
      <c r="Z859" s="553">
        <v>878.67</v>
      </c>
      <c r="AA859" s="553">
        <v>27000</v>
      </c>
      <c r="AB859" s="563">
        <v>1.6E-2</v>
      </c>
      <c r="AC859" s="563">
        <v>0</v>
      </c>
    </row>
    <row r="860" spans="24:29">
      <c r="X860" s="562">
        <v>43980</v>
      </c>
      <c r="Y860" s="553">
        <v>6</v>
      </c>
      <c r="Z860" s="553">
        <v>864.47</v>
      </c>
      <c r="AA860" s="553">
        <v>27000</v>
      </c>
      <c r="AB860" s="563">
        <v>4.0000000000000001E-3</v>
      </c>
      <c r="AC860" s="563">
        <v>7.0000000000000001E-3</v>
      </c>
    </row>
    <row r="861" spans="24:29">
      <c r="X861" s="562">
        <v>43979</v>
      </c>
      <c r="Y861" s="553">
        <v>5</v>
      </c>
      <c r="Z861" s="553">
        <v>861.39</v>
      </c>
      <c r="AA861" s="553">
        <v>26800</v>
      </c>
      <c r="AB861" s="563">
        <v>5.0000000000000001E-3</v>
      </c>
      <c r="AC861" s="563">
        <v>4.0000000000000001E-3</v>
      </c>
    </row>
    <row r="862" spans="24:29">
      <c r="X862" s="562">
        <v>43978</v>
      </c>
      <c r="Y862" s="553">
        <v>4</v>
      </c>
      <c r="Z862" s="553">
        <v>857.48</v>
      </c>
      <c r="AA862" s="553">
        <v>26700</v>
      </c>
      <c r="AB862" s="563">
        <v>-1.2999999999999999E-2</v>
      </c>
      <c r="AC862" s="563">
        <v>-2.5999999999999999E-2</v>
      </c>
    </row>
    <row r="863" spans="24:29">
      <c r="X863" s="562">
        <v>43977</v>
      </c>
      <c r="Y863" s="553">
        <v>3</v>
      </c>
      <c r="Z863" s="553">
        <v>869.13</v>
      </c>
      <c r="AA863" s="553">
        <v>27400</v>
      </c>
      <c r="AB863" s="563">
        <v>1.2E-2</v>
      </c>
      <c r="AC863" s="563">
        <v>1.0999999999999999E-2</v>
      </c>
    </row>
    <row r="864" spans="24:29">
      <c r="X864" s="562">
        <v>43976</v>
      </c>
      <c r="Y864" s="553">
        <v>2</v>
      </c>
      <c r="Z864" s="553">
        <v>859.04</v>
      </c>
      <c r="AA864" s="553">
        <v>27100</v>
      </c>
      <c r="AB864" s="563">
        <v>7.0000000000000001E-3</v>
      </c>
      <c r="AC864" s="563">
        <v>7.0000000000000001E-3</v>
      </c>
    </row>
    <row r="865" spans="24:29">
      <c r="X865" s="562">
        <v>43973</v>
      </c>
      <c r="Y865" s="553">
        <v>6</v>
      </c>
      <c r="Z865" s="553">
        <v>852.74</v>
      </c>
      <c r="AA865" s="553">
        <v>26900</v>
      </c>
      <c r="AB865" s="563">
        <v>-1.2E-2</v>
      </c>
      <c r="AC865" s="563">
        <v>-4.0000000000000001E-3</v>
      </c>
    </row>
    <row r="866" spans="24:29">
      <c r="X866" s="562">
        <v>43972</v>
      </c>
      <c r="Y866" s="553">
        <v>5</v>
      </c>
      <c r="Z866" s="553">
        <v>862.73</v>
      </c>
      <c r="AA866" s="553">
        <v>27000</v>
      </c>
      <c r="AB866" s="563">
        <v>1.2E-2</v>
      </c>
      <c r="AC866" s="563">
        <v>-1.4999999999999999E-2</v>
      </c>
    </row>
    <row r="867" spans="24:29">
      <c r="X867" s="562">
        <v>43971</v>
      </c>
      <c r="Y867" s="553">
        <v>4</v>
      </c>
      <c r="Z867" s="553">
        <v>852.91</v>
      </c>
      <c r="AA867" s="553">
        <v>27400</v>
      </c>
      <c r="AB867" s="563">
        <v>8.0000000000000002E-3</v>
      </c>
      <c r="AC867" s="563">
        <v>-1.2999999999999999E-2</v>
      </c>
    </row>
    <row r="868" spans="24:29">
      <c r="X868" s="562">
        <v>43970</v>
      </c>
      <c r="Y868" s="553">
        <v>3</v>
      </c>
      <c r="Z868" s="553">
        <v>845.92</v>
      </c>
      <c r="AA868" s="553">
        <v>27750</v>
      </c>
      <c r="AB868" s="563">
        <v>1.0999999999999999E-2</v>
      </c>
      <c r="AC868" s="563">
        <v>0</v>
      </c>
    </row>
    <row r="869" spans="24:29">
      <c r="X869" s="562">
        <v>43969</v>
      </c>
      <c r="Y869" s="553">
        <v>2</v>
      </c>
      <c r="Z869" s="553">
        <v>837.01</v>
      </c>
      <c r="AA869" s="553">
        <v>27750</v>
      </c>
      <c r="AB869" s="563">
        <v>1.2E-2</v>
      </c>
      <c r="AC869" s="563">
        <v>3.9E-2</v>
      </c>
    </row>
    <row r="870" spans="24:29">
      <c r="X870" s="562">
        <v>43966</v>
      </c>
      <c r="Y870" s="553">
        <v>6</v>
      </c>
      <c r="Z870" s="553">
        <v>827.03</v>
      </c>
      <c r="AA870" s="553">
        <v>26700</v>
      </c>
      <c r="AB870" s="563">
        <v>-6.0000000000000001E-3</v>
      </c>
      <c r="AC870" s="563">
        <v>0</v>
      </c>
    </row>
    <row r="871" spans="24:29">
      <c r="X871" s="562">
        <v>43965</v>
      </c>
      <c r="Y871" s="553">
        <v>5</v>
      </c>
      <c r="Z871" s="553">
        <v>832.4</v>
      </c>
      <c r="AA871" s="553">
        <v>26700</v>
      </c>
      <c r="AB871" s="563">
        <v>-2E-3</v>
      </c>
      <c r="AC871" s="563">
        <v>-3.1E-2</v>
      </c>
    </row>
    <row r="872" spans="24:29">
      <c r="X872" s="562">
        <v>43964</v>
      </c>
      <c r="Y872" s="553">
        <v>4</v>
      </c>
      <c r="Z872" s="553">
        <v>834.21</v>
      </c>
      <c r="AA872" s="553">
        <v>27550</v>
      </c>
      <c r="AB872" s="563">
        <v>-1E-3</v>
      </c>
      <c r="AC872" s="563">
        <v>2.4E-2</v>
      </c>
    </row>
    <row r="873" spans="24:29">
      <c r="X873" s="562">
        <v>43963</v>
      </c>
      <c r="Y873" s="553">
        <v>3</v>
      </c>
      <c r="Z873" s="553">
        <v>835.32</v>
      </c>
      <c r="AA873" s="553">
        <v>26900</v>
      </c>
      <c r="AB873" s="563">
        <v>8.0000000000000002E-3</v>
      </c>
      <c r="AC873" s="563">
        <v>-1.6E-2</v>
      </c>
    </row>
    <row r="874" spans="24:29">
      <c r="X874" s="562">
        <v>43962</v>
      </c>
      <c r="Y874" s="553">
        <v>2</v>
      </c>
      <c r="Z874" s="553">
        <v>828.33</v>
      </c>
      <c r="AA874" s="553">
        <v>27350</v>
      </c>
      <c r="AB874" s="563">
        <v>1.7999999999999999E-2</v>
      </c>
      <c r="AC874" s="563">
        <v>4.8000000000000001E-2</v>
      </c>
    </row>
    <row r="875" spans="24:29">
      <c r="X875" s="562">
        <v>43959</v>
      </c>
      <c r="Y875" s="553">
        <v>6</v>
      </c>
      <c r="Z875" s="553">
        <v>813.73</v>
      </c>
      <c r="AA875" s="553">
        <v>26100</v>
      </c>
      <c r="AB875" s="563">
        <v>2.1999999999999999E-2</v>
      </c>
      <c r="AC875" s="563">
        <v>-1.9E-2</v>
      </c>
    </row>
    <row r="876" spans="24:29">
      <c r="X876" s="562">
        <v>43958</v>
      </c>
      <c r="Y876" s="553">
        <v>5</v>
      </c>
      <c r="Z876" s="553">
        <v>796.54</v>
      </c>
      <c r="AA876" s="553">
        <v>26600</v>
      </c>
      <c r="AB876" s="563">
        <v>1.7999999999999999E-2</v>
      </c>
      <c r="AC876" s="563">
        <v>-1.0999999999999999E-2</v>
      </c>
    </row>
    <row r="877" spans="24:29">
      <c r="X877" s="562">
        <v>43957</v>
      </c>
      <c r="Y877" s="553">
        <v>4</v>
      </c>
      <c r="Z877" s="553">
        <v>782.59</v>
      </c>
      <c r="AA877" s="553">
        <v>26900</v>
      </c>
      <c r="AB877" s="563">
        <v>2.4E-2</v>
      </c>
      <c r="AC877" s="563">
        <v>5.7000000000000002E-2</v>
      </c>
    </row>
    <row r="878" spans="24:29">
      <c r="X878" s="562">
        <v>43956</v>
      </c>
      <c r="Y878" s="553">
        <v>3</v>
      </c>
      <c r="Z878" s="553">
        <v>764.16</v>
      </c>
      <c r="AA878" s="553">
        <v>25450</v>
      </c>
      <c r="AB878" s="563">
        <v>2E-3</v>
      </c>
      <c r="AC878" s="563">
        <v>6.0000000000000001E-3</v>
      </c>
    </row>
    <row r="879" spans="24:29">
      <c r="X879" s="562">
        <v>43955</v>
      </c>
      <c r="Y879" s="553">
        <v>2</v>
      </c>
      <c r="Z879" s="553">
        <v>762.47</v>
      </c>
      <c r="AA879" s="553">
        <v>25300</v>
      </c>
      <c r="AB879" s="563">
        <v>-8.9999999999999993E-3</v>
      </c>
      <c r="AC879" s="563">
        <v>0.02</v>
      </c>
    </row>
    <row r="880" spans="24:29">
      <c r="X880" s="562">
        <v>43950</v>
      </c>
      <c r="Y880" s="553">
        <v>4</v>
      </c>
      <c r="Z880" s="553">
        <v>769.11</v>
      </c>
      <c r="AA880" s="553">
        <v>24800</v>
      </c>
      <c r="AB880" s="563">
        <v>2E-3</v>
      </c>
      <c r="AC880" s="563">
        <v>6.9000000000000006E-2</v>
      </c>
    </row>
    <row r="881" spans="24:29">
      <c r="X881" s="562">
        <v>43949</v>
      </c>
      <c r="Y881" s="553">
        <v>3</v>
      </c>
      <c r="Z881" s="553">
        <v>767.21</v>
      </c>
      <c r="AA881" s="553">
        <v>23200</v>
      </c>
      <c r="AB881" s="563">
        <v>-5.0000000000000001E-3</v>
      </c>
      <c r="AC881" s="563">
        <v>-8.9999999999999993E-3</v>
      </c>
    </row>
    <row r="882" spans="24:29">
      <c r="X882" s="562">
        <v>43948</v>
      </c>
      <c r="Y882" s="553">
        <v>2</v>
      </c>
      <c r="Z882" s="553">
        <v>770.77</v>
      </c>
      <c r="AA882" s="553">
        <v>23400</v>
      </c>
      <c r="AB882" s="563">
        <v>-8.0000000000000002E-3</v>
      </c>
      <c r="AC882" s="563">
        <v>-1.7000000000000001E-2</v>
      </c>
    </row>
    <row r="883" spans="24:29">
      <c r="X883" s="562">
        <v>43945</v>
      </c>
      <c r="Y883" s="553">
        <v>6</v>
      </c>
      <c r="Z883" s="553">
        <v>776.66</v>
      </c>
      <c r="AA883" s="553">
        <v>23800</v>
      </c>
      <c r="AB883" s="563">
        <v>4.0000000000000001E-3</v>
      </c>
      <c r="AC883" s="563">
        <v>-1.7000000000000001E-2</v>
      </c>
    </row>
    <row r="884" spans="24:29">
      <c r="X884" s="562">
        <v>43944</v>
      </c>
      <c r="Y884" s="553">
        <v>5</v>
      </c>
      <c r="Z884" s="553">
        <v>773.91</v>
      </c>
      <c r="AA884" s="553">
        <v>24200</v>
      </c>
      <c r="AB884" s="563">
        <v>6.0000000000000001E-3</v>
      </c>
      <c r="AC884" s="563">
        <v>3.2000000000000001E-2</v>
      </c>
    </row>
    <row r="885" spans="24:29">
      <c r="X885" s="562">
        <v>43943</v>
      </c>
      <c r="Y885" s="553">
        <v>4</v>
      </c>
      <c r="Z885" s="553">
        <v>768.92</v>
      </c>
      <c r="AA885" s="553">
        <v>23450</v>
      </c>
      <c r="AB885" s="563">
        <v>3.0000000000000001E-3</v>
      </c>
      <c r="AC885" s="563">
        <v>4.9000000000000002E-2</v>
      </c>
    </row>
    <row r="886" spans="24:29">
      <c r="X886" s="562">
        <v>43942</v>
      </c>
      <c r="Y886" s="553">
        <v>3</v>
      </c>
      <c r="Z886" s="553">
        <v>766.84</v>
      </c>
      <c r="AA886" s="553">
        <v>22350</v>
      </c>
      <c r="AB886" s="563">
        <v>-3.5000000000000003E-2</v>
      </c>
      <c r="AC886" s="563">
        <v>-5.5E-2</v>
      </c>
    </row>
    <row r="887" spans="24:29">
      <c r="X887" s="562">
        <v>43941</v>
      </c>
      <c r="Y887" s="553">
        <v>2</v>
      </c>
      <c r="Z887" s="553">
        <v>794.97</v>
      </c>
      <c r="AA887" s="553">
        <v>23650</v>
      </c>
      <c r="AB887" s="563">
        <v>7.0000000000000001E-3</v>
      </c>
      <c r="AC887" s="563">
        <v>-2E-3</v>
      </c>
    </row>
    <row r="888" spans="24:29">
      <c r="X888" s="562">
        <v>43938</v>
      </c>
      <c r="Y888" s="553">
        <v>6</v>
      </c>
      <c r="Z888" s="553">
        <v>789.6</v>
      </c>
      <c r="AA888" s="553">
        <v>23700</v>
      </c>
      <c r="AB888" s="563">
        <v>1.0999999999999999E-2</v>
      </c>
      <c r="AC888" s="563">
        <v>3.5000000000000003E-2</v>
      </c>
    </row>
    <row r="889" spans="24:29">
      <c r="X889" s="562">
        <v>43937</v>
      </c>
      <c r="Y889" s="553">
        <v>5</v>
      </c>
      <c r="Z889" s="553">
        <v>780.7</v>
      </c>
      <c r="AA889" s="553">
        <v>22900</v>
      </c>
      <c r="AB889" s="563">
        <v>4.0000000000000001E-3</v>
      </c>
      <c r="AC889" s="563">
        <v>-2.1000000000000001E-2</v>
      </c>
    </row>
    <row r="890" spans="24:29">
      <c r="X890" s="562">
        <v>43936</v>
      </c>
      <c r="Y890" s="553">
        <v>4</v>
      </c>
      <c r="Z890" s="553">
        <v>777.22</v>
      </c>
      <c r="AA890" s="553">
        <v>23400</v>
      </c>
      <c r="AB890" s="563">
        <v>1.2999999999999999E-2</v>
      </c>
      <c r="AC890" s="563">
        <v>4.0000000000000001E-3</v>
      </c>
    </row>
    <row r="891" spans="24:29">
      <c r="X891" s="562">
        <v>43935</v>
      </c>
      <c r="Y891" s="553">
        <v>3</v>
      </c>
      <c r="Z891" s="553">
        <v>767.41</v>
      </c>
      <c r="AA891" s="553">
        <v>23300</v>
      </c>
      <c r="AB891" s="563">
        <v>2E-3</v>
      </c>
      <c r="AC891" s="563">
        <v>5.8999999999999997E-2</v>
      </c>
    </row>
    <row r="892" spans="24:29">
      <c r="X892" s="562">
        <v>43934</v>
      </c>
      <c r="Y892" s="553">
        <v>2</v>
      </c>
      <c r="Z892" s="553">
        <v>765.79</v>
      </c>
      <c r="AA892" s="553">
        <v>22000</v>
      </c>
      <c r="AB892" s="563">
        <v>0.01</v>
      </c>
      <c r="AC892" s="563">
        <v>7.0000000000000001E-3</v>
      </c>
    </row>
    <row r="893" spans="24:29">
      <c r="X893" s="562">
        <v>43931</v>
      </c>
      <c r="Y893" s="553">
        <v>6</v>
      </c>
      <c r="Z893" s="553">
        <v>757.94</v>
      </c>
      <c r="AA893" s="553">
        <v>21850</v>
      </c>
      <c r="AB893" s="563">
        <v>-3.0000000000000001E-3</v>
      </c>
      <c r="AC893" s="563">
        <v>-2.5000000000000001E-2</v>
      </c>
    </row>
    <row r="894" spans="24:29">
      <c r="X894" s="562">
        <v>43930</v>
      </c>
      <c r="Y894" s="553">
        <v>5</v>
      </c>
      <c r="Z894" s="553">
        <v>760.33</v>
      </c>
      <c r="AA894" s="553">
        <v>22400</v>
      </c>
      <c r="AB894" s="563">
        <v>1.6E-2</v>
      </c>
      <c r="AC894" s="563">
        <v>-1.4999999999999999E-2</v>
      </c>
    </row>
    <row r="895" spans="24:29">
      <c r="X895" s="562">
        <v>43929</v>
      </c>
      <c r="Y895" s="553">
        <v>4</v>
      </c>
      <c r="Z895" s="553">
        <v>748.02</v>
      </c>
      <c r="AA895" s="553">
        <v>22750</v>
      </c>
      <c r="AB895" s="563">
        <v>2E-3</v>
      </c>
      <c r="AC895" s="563">
        <v>4.3999999999999997E-2</v>
      </c>
    </row>
    <row r="896" spans="24:29">
      <c r="X896" s="562">
        <v>43928</v>
      </c>
      <c r="Y896" s="553">
        <v>3</v>
      </c>
      <c r="Z896" s="553">
        <v>746.69</v>
      </c>
      <c r="AA896" s="553">
        <v>21800</v>
      </c>
      <c r="AB896" s="563">
        <v>1.2999999999999999E-2</v>
      </c>
      <c r="AC896" s="563">
        <v>6.9000000000000006E-2</v>
      </c>
    </row>
    <row r="897" spans="24:29">
      <c r="X897" s="562">
        <v>43927</v>
      </c>
      <c r="Y897" s="553">
        <v>2</v>
      </c>
      <c r="Z897" s="553">
        <v>736.75</v>
      </c>
      <c r="AA897" s="553">
        <v>20400</v>
      </c>
      <c r="AB897" s="563">
        <v>0.05</v>
      </c>
      <c r="AC897" s="563">
        <v>6.8000000000000005E-2</v>
      </c>
    </row>
    <row r="898" spans="24:29">
      <c r="X898" s="562">
        <v>43924</v>
      </c>
      <c r="Y898" s="553">
        <v>6</v>
      </c>
      <c r="Z898" s="553">
        <v>701.8</v>
      </c>
      <c r="AA898" s="553">
        <v>19100</v>
      </c>
      <c r="AB898" s="563">
        <v>3.2000000000000001E-2</v>
      </c>
      <c r="AC898" s="563">
        <v>0.03</v>
      </c>
    </row>
    <row r="899" spans="24:29">
      <c r="X899" s="562">
        <v>43922</v>
      </c>
      <c r="Y899" s="553">
        <v>4</v>
      </c>
      <c r="Z899" s="553">
        <v>680.23</v>
      </c>
      <c r="AA899" s="553">
        <v>18550</v>
      </c>
      <c r="AB899" s="563">
        <v>2.7E-2</v>
      </c>
      <c r="AC899" s="563">
        <v>4.8000000000000001E-2</v>
      </c>
    </row>
    <row r="900" spans="24:29">
      <c r="X900" s="562">
        <v>43921</v>
      </c>
      <c r="Y900" s="553">
        <v>3</v>
      </c>
      <c r="Z900" s="553">
        <v>662.53</v>
      </c>
      <c r="AA900" s="553">
        <v>17700</v>
      </c>
      <c r="AB900" s="563">
        <v>0</v>
      </c>
      <c r="AC900" s="563">
        <v>1.0999999999999999E-2</v>
      </c>
    </row>
    <row r="901" spans="24:29">
      <c r="X901" s="562">
        <v>43920</v>
      </c>
      <c r="Y901" s="553">
        <v>2</v>
      </c>
      <c r="Z901" s="553">
        <v>662.26</v>
      </c>
      <c r="AA901" s="553">
        <v>17500</v>
      </c>
      <c r="AB901" s="563">
        <v>-4.9000000000000002E-2</v>
      </c>
      <c r="AC901" s="563">
        <v>-4.9000000000000002E-2</v>
      </c>
    </row>
    <row r="902" spans="24:29">
      <c r="X902" s="562">
        <v>43917</v>
      </c>
      <c r="Y902" s="553">
        <v>6</v>
      </c>
      <c r="Z902" s="553">
        <v>696.06</v>
      </c>
      <c r="AA902" s="553">
        <v>18400</v>
      </c>
      <c r="AB902" s="563">
        <v>3.0000000000000001E-3</v>
      </c>
      <c r="AC902" s="563">
        <v>0</v>
      </c>
    </row>
    <row r="903" spans="24:29">
      <c r="X903" s="562">
        <v>43916</v>
      </c>
      <c r="Y903" s="553">
        <v>5</v>
      </c>
      <c r="Z903" s="553">
        <v>694.21</v>
      </c>
      <c r="AA903" s="553">
        <v>18400</v>
      </c>
      <c r="AB903" s="563">
        <v>6.0000000000000001E-3</v>
      </c>
      <c r="AC903" s="563">
        <v>-2.1000000000000001E-2</v>
      </c>
    </row>
    <row r="904" spans="24:29">
      <c r="X904" s="562">
        <v>43915</v>
      </c>
      <c r="Y904" s="553">
        <v>4</v>
      </c>
      <c r="Z904" s="553">
        <v>690.25</v>
      </c>
      <c r="AA904" s="553">
        <v>18800</v>
      </c>
      <c r="AB904" s="563">
        <v>4.7E-2</v>
      </c>
      <c r="AC904" s="563">
        <v>6.8000000000000005E-2</v>
      </c>
    </row>
    <row r="905" spans="24:29">
      <c r="X905" s="562">
        <v>43914</v>
      </c>
      <c r="Y905" s="553">
        <v>3</v>
      </c>
      <c r="Z905" s="553">
        <v>659.21</v>
      </c>
      <c r="AA905" s="553">
        <v>17600</v>
      </c>
      <c r="AB905" s="563">
        <v>-1.0999999999999999E-2</v>
      </c>
      <c r="AC905" s="563">
        <v>-0.03</v>
      </c>
    </row>
    <row r="906" spans="24:29">
      <c r="X906" s="562">
        <v>43913</v>
      </c>
      <c r="Y906" s="553">
        <v>2</v>
      </c>
      <c r="Z906" s="553">
        <v>666.59</v>
      </c>
      <c r="AA906" s="553">
        <v>18150</v>
      </c>
      <c r="AB906" s="563">
        <v>-6.0999999999999999E-2</v>
      </c>
      <c r="AC906" s="563">
        <v>-6.9000000000000006E-2</v>
      </c>
    </row>
    <row r="907" spans="24:29">
      <c r="X907" s="562">
        <v>43910</v>
      </c>
      <c r="Y907" s="553">
        <v>6</v>
      </c>
      <c r="Z907" s="553">
        <v>709.73</v>
      </c>
      <c r="AA907" s="553">
        <v>19500</v>
      </c>
      <c r="AB907" s="563">
        <v>-2.1999999999999999E-2</v>
      </c>
      <c r="AC907" s="563">
        <v>5.0000000000000001E-3</v>
      </c>
    </row>
    <row r="908" spans="24:29">
      <c r="X908" s="562">
        <v>43909</v>
      </c>
      <c r="Y908" s="553">
        <v>5</v>
      </c>
      <c r="Z908" s="553">
        <v>725.94</v>
      </c>
      <c r="AA908" s="553">
        <v>19400</v>
      </c>
      <c r="AB908" s="563">
        <v>-2.9000000000000001E-2</v>
      </c>
      <c r="AC908" s="563">
        <v>-5.8000000000000003E-2</v>
      </c>
    </row>
    <row r="909" spans="24:29">
      <c r="X909" s="562">
        <v>43908</v>
      </c>
      <c r="Y909" s="553">
        <v>4</v>
      </c>
      <c r="Z909" s="553">
        <v>747.66</v>
      </c>
      <c r="AA909" s="553">
        <v>20600</v>
      </c>
      <c r="AB909" s="563">
        <v>3.0000000000000001E-3</v>
      </c>
      <c r="AC909" s="563">
        <v>-5.0000000000000001E-3</v>
      </c>
    </row>
    <row r="910" spans="24:29">
      <c r="X910" s="562">
        <v>43907</v>
      </c>
      <c r="Y910" s="553">
        <v>3</v>
      </c>
      <c r="Z910" s="553">
        <v>745.78</v>
      </c>
      <c r="AA910" s="553">
        <v>20700</v>
      </c>
      <c r="AB910" s="563">
        <v>-3.0000000000000001E-3</v>
      </c>
      <c r="AC910" s="563">
        <v>1.2E-2</v>
      </c>
    </row>
    <row r="911" spans="24:29">
      <c r="X911" s="562">
        <v>43906</v>
      </c>
      <c r="Y911" s="553">
        <v>2</v>
      </c>
      <c r="Z911" s="553">
        <v>747.86</v>
      </c>
      <c r="AA911" s="553">
        <v>20450</v>
      </c>
      <c r="AB911" s="563">
        <v>-1.7999999999999999E-2</v>
      </c>
      <c r="AC911" s="563">
        <v>-6.8000000000000005E-2</v>
      </c>
    </row>
    <row r="912" spans="24:29">
      <c r="X912" s="562">
        <v>43903</v>
      </c>
      <c r="Y912" s="553">
        <v>6</v>
      </c>
      <c r="Z912" s="553">
        <v>761.78</v>
      </c>
      <c r="AA912" s="553">
        <v>21950</v>
      </c>
      <c r="AB912" s="563">
        <v>-0.01</v>
      </c>
      <c r="AC912" s="563">
        <v>0</v>
      </c>
    </row>
    <row r="913" spans="24:29">
      <c r="X913" s="562">
        <v>43902</v>
      </c>
      <c r="Y913" s="553">
        <v>5</v>
      </c>
      <c r="Z913" s="553">
        <v>769.25</v>
      </c>
      <c r="AA913" s="553">
        <v>21950</v>
      </c>
      <c r="AB913" s="563">
        <v>-5.1999999999999998E-2</v>
      </c>
      <c r="AC913" s="563">
        <v>-6.8000000000000005E-2</v>
      </c>
    </row>
    <row r="914" spans="24:29">
      <c r="X914" s="562">
        <v>43901</v>
      </c>
      <c r="Y914" s="553">
        <v>4</v>
      </c>
      <c r="Z914" s="553">
        <v>811.35</v>
      </c>
      <c r="AA914" s="553">
        <v>23550</v>
      </c>
      <c r="AB914" s="563">
        <v>-3.1E-2</v>
      </c>
      <c r="AC914" s="563">
        <v>-6.9000000000000006E-2</v>
      </c>
    </row>
    <row r="915" spans="24:29">
      <c r="X915" s="562">
        <v>43900</v>
      </c>
      <c r="Y915" s="553">
        <v>3</v>
      </c>
      <c r="Z915" s="553">
        <v>837.5</v>
      </c>
      <c r="AA915" s="553">
        <v>25300</v>
      </c>
      <c r="AB915" s="563">
        <v>2E-3</v>
      </c>
      <c r="AC915" s="563">
        <v>-6.0000000000000001E-3</v>
      </c>
    </row>
    <row r="916" spans="24:29">
      <c r="X916" s="562">
        <v>43899</v>
      </c>
      <c r="Y916" s="553">
        <v>2</v>
      </c>
      <c r="Z916" s="553">
        <v>835.49</v>
      </c>
      <c r="AA916" s="553">
        <v>25450</v>
      </c>
      <c r="AB916" s="563">
        <v>-6.3E-2</v>
      </c>
      <c r="AC916" s="563">
        <v>-6.9000000000000006E-2</v>
      </c>
    </row>
    <row r="917" spans="24:29">
      <c r="X917" s="562">
        <v>43896</v>
      </c>
      <c r="Y917" s="553">
        <v>6</v>
      </c>
      <c r="Z917" s="553">
        <v>891.44</v>
      </c>
      <c r="AA917" s="553">
        <v>27350</v>
      </c>
      <c r="AB917" s="563">
        <v>-2E-3</v>
      </c>
      <c r="AC917" s="563">
        <v>0.04</v>
      </c>
    </row>
    <row r="918" spans="24:29">
      <c r="X918" s="562">
        <v>43895</v>
      </c>
      <c r="Y918" s="553">
        <v>5</v>
      </c>
      <c r="Z918" s="553">
        <v>893.31</v>
      </c>
      <c r="AA918" s="553">
        <v>26300</v>
      </c>
      <c r="AB918" s="563">
        <v>4.0000000000000001E-3</v>
      </c>
      <c r="AC918" s="563">
        <v>-2.1999999999999999E-2</v>
      </c>
    </row>
    <row r="919" spans="24:29">
      <c r="X919" s="562">
        <v>43894</v>
      </c>
      <c r="Y919" s="553">
        <v>4</v>
      </c>
      <c r="Z919" s="553">
        <v>889.37</v>
      </c>
      <c r="AA919" s="553">
        <v>26900</v>
      </c>
      <c r="AB919" s="563">
        <v>-1E-3</v>
      </c>
      <c r="AC919" s="563">
        <v>2E-3</v>
      </c>
    </row>
    <row r="920" spans="24:29">
      <c r="X920" s="562">
        <v>43893</v>
      </c>
      <c r="Y920" s="553">
        <v>3</v>
      </c>
      <c r="Z920" s="553">
        <v>890.61</v>
      </c>
      <c r="AA920" s="553">
        <v>26850</v>
      </c>
      <c r="AB920" s="563">
        <v>7.0000000000000001E-3</v>
      </c>
      <c r="AC920" s="563">
        <v>7.0000000000000007E-2</v>
      </c>
    </row>
    <row r="921" spans="24:29">
      <c r="X921" s="562">
        <v>43892</v>
      </c>
      <c r="Y921" s="553">
        <v>2</v>
      </c>
      <c r="Z921" s="553">
        <v>884.43</v>
      </c>
      <c r="AA921" s="553">
        <v>25100</v>
      </c>
      <c r="AB921" s="563">
        <v>3.0000000000000001E-3</v>
      </c>
      <c r="AC921" s="563">
        <v>-4.0000000000000001E-3</v>
      </c>
    </row>
    <row r="922" spans="24:29">
      <c r="X922" s="562">
        <v>43889</v>
      </c>
      <c r="Y922" s="553">
        <v>6</v>
      </c>
      <c r="Z922" s="553">
        <v>882.19</v>
      </c>
      <c r="AA922" s="553">
        <v>25200</v>
      </c>
      <c r="AB922" s="563">
        <v>-1.7999999999999999E-2</v>
      </c>
      <c r="AC922" s="563">
        <v>-5.2999999999999999E-2</v>
      </c>
    </row>
    <row r="923" spans="24:29">
      <c r="X923" s="562">
        <v>43888</v>
      </c>
      <c r="Y923" s="553">
        <v>5</v>
      </c>
      <c r="Z923" s="553">
        <v>898.44</v>
      </c>
      <c r="AA923" s="553">
        <v>26600</v>
      </c>
      <c r="AB923" s="563">
        <v>3.0000000000000001E-3</v>
      </c>
      <c r="AC923" s="563">
        <v>0</v>
      </c>
    </row>
    <row r="924" spans="24:29">
      <c r="X924" s="562">
        <v>43887</v>
      </c>
      <c r="Y924" s="553">
        <v>4</v>
      </c>
      <c r="Z924" s="553">
        <v>895.97</v>
      </c>
      <c r="AA924" s="553">
        <v>26600</v>
      </c>
      <c r="AB924" s="563">
        <v>-1.4999999999999999E-2</v>
      </c>
      <c r="AC924" s="563">
        <v>-2.5999999999999999E-2</v>
      </c>
    </row>
    <row r="925" spans="24:29">
      <c r="X925" s="562">
        <v>43886</v>
      </c>
      <c r="Y925" s="553">
        <v>3</v>
      </c>
      <c r="Z925" s="553">
        <v>909.67</v>
      </c>
      <c r="AA925" s="553">
        <v>27300</v>
      </c>
      <c r="AB925" s="563">
        <v>7.0000000000000001E-3</v>
      </c>
      <c r="AC925" s="563">
        <v>5.1999999999999998E-2</v>
      </c>
    </row>
    <row r="926" spans="24:29">
      <c r="X926" s="562">
        <v>43885</v>
      </c>
      <c r="Y926" s="553">
        <v>2</v>
      </c>
      <c r="Z926" s="553">
        <v>903.34</v>
      </c>
      <c r="AA926" s="553">
        <v>25950</v>
      </c>
      <c r="AB926" s="563">
        <v>-3.2000000000000001E-2</v>
      </c>
      <c r="AC926" s="563">
        <v>-6.3E-2</v>
      </c>
    </row>
    <row r="927" spans="24:29">
      <c r="X927" s="562">
        <v>43882</v>
      </c>
      <c r="Y927" s="553">
        <v>6</v>
      </c>
      <c r="Z927" s="553">
        <v>933.09</v>
      </c>
      <c r="AA927" s="553">
        <v>27700</v>
      </c>
      <c r="AB927" s="563">
        <v>-5.0000000000000001E-3</v>
      </c>
      <c r="AC927" s="563">
        <v>1.4999999999999999E-2</v>
      </c>
    </row>
    <row r="928" spans="24:29">
      <c r="X928" s="562">
        <v>43881</v>
      </c>
      <c r="Y928" s="553">
        <v>5</v>
      </c>
      <c r="Z928" s="553">
        <v>938.13</v>
      </c>
      <c r="AA928" s="553">
        <v>27300</v>
      </c>
      <c r="AB928" s="563">
        <v>0.01</v>
      </c>
      <c r="AC928" s="563">
        <v>-2.8000000000000001E-2</v>
      </c>
    </row>
    <row r="929" spans="24:29">
      <c r="X929" s="562">
        <v>43880</v>
      </c>
      <c r="Y929" s="553">
        <v>4</v>
      </c>
      <c r="Z929" s="553">
        <v>928.76</v>
      </c>
      <c r="AA929" s="553">
        <v>28100</v>
      </c>
      <c r="AB929" s="563">
        <v>1E-3</v>
      </c>
      <c r="AC929" s="563">
        <v>-1.0999999999999999E-2</v>
      </c>
    </row>
    <row r="930" spans="24:29">
      <c r="X930" s="562">
        <v>43879</v>
      </c>
      <c r="Y930" s="553">
        <v>3</v>
      </c>
      <c r="Z930" s="553">
        <v>927.93</v>
      </c>
      <c r="AA930" s="553">
        <v>28400</v>
      </c>
      <c r="AB930" s="563">
        <v>-7.0000000000000001E-3</v>
      </c>
      <c r="AC930" s="563">
        <v>4.0000000000000001E-3</v>
      </c>
    </row>
    <row r="931" spans="24:29">
      <c r="X931" s="562">
        <v>43878</v>
      </c>
      <c r="Y931" s="553">
        <v>2</v>
      </c>
      <c r="Z931" s="553">
        <v>934.77</v>
      </c>
      <c r="AA931" s="553">
        <v>28300</v>
      </c>
      <c r="AB931" s="563">
        <v>-3.0000000000000001E-3</v>
      </c>
      <c r="AC931" s="563">
        <v>1.2999999999999999E-2</v>
      </c>
    </row>
    <row r="932" spans="24:29">
      <c r="X932" s="562">
        <v>43875</v>
      </c>
      <c r="Y932" s="553">
        <v>6</v>
      </c>
      <c r="Z932" s="553">
        <v>937.45</v>
      </c>
      <c r="AA932" s="553">
        <v>27950</v>
      </c>
      <c r="AB932" s="563">
        <v>-1E-3</v>
      </c>
      <c r="AC932" s="563">
        <v>2.1999999999999999E-2</v>
      </c>
    </row>
    <row r="933" spans="24:29">
      <c r="X933" s="562">
        <v>43874</v>
      </c>
      <c r="Y933" s="553">
        <v>5</v>
      </c>
      <c r="Z933" s="553">
        <v>938.24</v>
      </c>
      <c r="AA933" s="553">
        <v>27350</v>
      </c>
      <c r="AB933" s="563">
        <v>1E-3</v>
      </c>
      <c r="AC933" s="563">
        <v>8.9999999999999993E-3</v>
      </c>
    </row>
    <row r="934" spans="24:29">
      <c r="X934" s="562">
        <v>43873</v>
      </c>
      <c r="Y934" s="553">
        <v>4</v>
      </c>
      <c r="Z934" s="553">
        <v>937.68</v>
      </c>
      <c r="AA934" s="553">
        <v>27100</v>
      </c>
      <c r="AB934" s="563">
        <v>3.0000000000000001E-3</v>
      </c>
      <c r="AC934" s="563">
        <v>1.0999999999999999E-2</v>
      </c>
    </row>
    <row r="935" spans="24:29">
      <c r="X935" s="562">
        <v>43872</v>
      </c>
      <c r="Y935" s="553">
        <v>3</v>
      </c>
      <c r="Z935" s="553">
        <v>934.67</v>
      </c>
      <c r="AA935" s="553">
        <v>26800</v>
      </c>
      <c r="AB935" s="563">
        <v>4.0000000000000001E-3</v>
      </c>
      <c r="AC935" s="563">
        <v>8.9999999999999993E-3</v>
      </c>
    </row>
    <row r="936" spans="24:29">
      <c r="X936" s="562">
        <v>43871</v>
      </c>
      <c r="Y936" s="553">
        <v>2</v>
      </c>
      <c r="Z936" s="553">
        <v>930.73</v>
      </c>
      <c r="AA936" s="553">
        <v>26550</v>
      </c>
      <c r="AB936" s="563">
        <v>-1.0999999999999999E-2</v>
      </c>
      <c r="AC936" s="563">
        <v>6.6000000000000003E-2</v>
      </c>
    </row>
    <row r="937" spans="24:29">
      <c r="X937" s="562">
        <v>43868</v>
      </c>
      <c r="Y937" s="553">
        <v>6</v>
      </c>
      <c r="Z937" s="553">
        <v>940.75</v>
      </c>
      <c r="AA937" s="553">
        <v>24900</v>
      </c>
      <c r="AB937" s="563">
        <v>2E-3</v>
      </c>
      <c r="AC937" s="563">
        <v>2E-3</v>
      </c>
    </row>
    <row r="938" spans="24:29">
      <c r="X938" s="562">
        <v>43867</v>
      </c>
      <c r="Y938" s="553">
        <v>5</v>
      </c>
      <c r="Z938" s="553">
        <v>938.54</v>
      </c>
      <c r="AA938" s="553">
        <v>24850</v>
      </c>
      <c r="AB938" s="563">
        <v>1.4E-2</v>
      </c>
      <c r="AC938" s="563">
        <v>0.04</v>
      </c>
    </row>
    <row r="939" spans="24:29">
      <c r="X939" s="562">
        <v>43866</v>
      </c>
      <c r="Y939" s="553">
        <v>4</v>
      </c>
      <c r="Z939" s="553">
        <v>925.91</v>
      </c>
      <c r="AA939" s="553">
        <v>23900</v>
      </c>
      <c r="AB939" s="563">
        <v>-3.0000000000000001E-3</v>
      </c>
      <c r="AC939" s="563">
        <v>8.0000000000000002E-3</v>
      </c>
    </row>
    <row r="940" spans="24:29">
      <c r="X940" s="562">
        <v>43865</v>
      </c>
      <c r="Y940" s="553">
        <v>3</v>
      </c>
      <c r="Z940" s="553">
        <v>929.09</v>
      </c>
      <c r="AA940" s="553">
        <v>23700</v>
      </c>
      <c r="AB940" s="563">
        <v>1E-3</v>
      </c>
      <c r="AC940" s="563">
        <v>2.1999999999999999E-2</v>
      </c>
    </row>
    <row r="941" spans="24:29">
      <c r="X941" s="562">
        <v>43864</v>
      </c>
      <c r="Y941" s="553">
        <v>2</v>
      </c>
      <c r="Z941" s="553">
        <v>928.14</v>
      </c>
      <c r="AA941" s="553">
        <v>23200</v>
      </c>
      <c r="AB941" s="563">
        <v>-8.9999999999999993E-3</v>
      </c>
      <c r="AC941" s="563">
        <v>-1.9E-2</v>
      </c>
    </row>
    <row r="942" spans="24:29">
      <c r="X942" s="562">
        <v>43861</v>
      </c>
      <c r="Y942" s="553">
        <v>6</v>
      </c>
      <c r="Z942" s="553">
        <v>936.62</v>
      </c>
      <c r="AA942" s="553">
        <v>23650</v>
      </c>
      <c r="AB942" s="563">
        <v>-2.4E-2</v>
      </c>
      <c r="AC942" s="563">
        <v>-2.7E-2</v>
      </c>
    </row>
    <row r="943" spans="24:29">
      <c r="X943" s="562">
        <v>43860</v>
      </c>
      <c r="Y943" s="553">
        <v>5</v>
      </c>
      <c r="Z943" s="553">
        <v>959.58</v>
      </c>
      <c r="AA943" s="553">
        <v>24300</v>
      </c>
      <c r="AB943" s="563">
        <v>-3.2000000000000001E-2</v>
      </c>
      <c r="AC943" s="563">
        <v>-5.8000000000000003E-2</v>
      </c>
    </row>
    <row r="944" spans="24:29">
      <c r="X944" s="562">
        <v>43852</v>
      </c>
      <c r="Y944" s="553">
        <v>4</v>
      </c>
      <c r="Z944" s="553">
        <v>991.46</v>
      </c>
      <c r="AA944" s="553">
        <v>25800</v>
      </c>
      <c r="AB944" s="563">
        <v>5.0000000000000001E-3</v>
      </c>
      <c r="AC944" s="563">
        <v>0</v>
      </c>
    </row>
    <row r="945" spans="24:29">
      <c r="X945" s="562">
        <v>43851</v>
      </c>
      <c r="Y945" s="553">
        <v>3</v>
      </c>
      <c r="Z945" s="553">
        <v>986.37</v>
      </c>
      <c r="AA945" s="553">
        <v>25800</v>
      </c>
      <c r="AB945" s="563">
        <v>8.0000000000000002E-3</v>
      </c>
      <c r="AC945" s="563">
        <v>2.8000000000000001E-2</v>
      </c>
    </row>
    <row r="946" spans="24:29">
      <c r="X946" s="562">
        <v>43850</v>
      </c>
      <c r="Y946" s="553">
        <v>2</v>
      </c>
      <c r="Z946" s="553">
        <v>978.63</v>
      </c>
      <c r="AA946" s="553">
        <v>25100</v>
      </c>
      <c r="AB946" s="563">
        <v>0</v>
      </c>
      <c r="AC946" s="563">
        <v>-4.0000000000000001E-3</v>
      </c>
    </row>
    <row r="947" spans="24:29">
      <c r="X947" s="562">
        <v>43847</v>
      </c>
      <c r="Y947" s="553">
        <v>6</v>
      </c>
      <c r="Z947" s="553">
        <v>978.96</v>
      </c>
      <c r="AA947" s="553">
        <v>25200</v>
      </c>
      <c r="AB947" s="563">
        <v>5.0000000000000001E-3</v>
      </c>
      <c r="AC947" s="563">
        <v>0.02</v>
      </c>
    </row>
    <row r="948" spans="24:29">
      <c r="X948" s="562">
        <v>43846</v>
      </c>
      <c r="Y948" s="553">
        <v>5</v>
      </c>
      <c r="Z948" s="553">
        <v>974.31</v>
      </c>
      <c r="AA948" s="553">
        <v>24700</v>
      </c>
      <c r="AB948" s="563">
        <v>7.0000000000000001E-3</v>
      </c>
      <c r="AC948" s="563">
        <v>4.0000000000000001E-3</v>
      </c>
    </row>
    <row r="949" spans="24:29">
      <c r="X949" s="562">
        <v>43845</v>
      </c>
      <c r="Y949" s="553">
        <v>4</v>
      </c>
      <c r="Z949" s="553">
        <v>967.56</v>
      </c>
      <c r="AA949" s="553">
        <v>24600</v>
      </c>
      <c r="AB949" s="563">
        <v>1E-3</v>
      </c>
      <c r="AC949" s="563">
        <v>3.1E-2</v>
      </c>
    </row>
    <row r="950" spans="24:29">
      <c r="X950" s="562">
        <v>43844</v>
      </c>
      <c r="Y950" s="553">
        <v>3</v>
      </c>
      <c r="Z950" s="553">
        <v>967</v>
      </c>
      <c r="AA950" s="553">
        <v>23850</v>
      </c>
      <c r="AB950" s="563">
        <v>1E-3</v>
      </c>
      <c r="AC950" s="563">
        <v>8.0000000000000002E-3</v>
      </c>
    </row>
    <row r="951" spans="24:29">
      <c r="X951" s="562">
        <v>43843</v>
      </c>
      <c r="Y951" s="553">
        <v>2</v>
      </c>
      <c r="Z951" s="553">
        <v>965.84</v>
      </c>
      <c r="AA951" s="553">
        <v>23650</v>
      </c>
      <c r="AB951" s="563">
        <v>-3.0000000000000001E-3</v>
      </c>
      <c r="AC951" s="563">
        <v>1.4999999999999999E-2</v>
      </c>
    </row>
    <row r="952" spans="24:29">
      <c r="X952" s="562">
        <v>43840</v>
      </c>
      <c r="Y952" s="553">
        <v>6</v>
      </c>
      <c r="Z952" s="553">
        <v>968.54</v>
      </c>
      <c r="AA952" s="553">
        <v>23300</v>
      </c>
      <c r="AB952" s="563">
        <v>8.9999999999999993E-3</v>
      </c>
      <c r="AC952" s="563">
        <v>0.02</v>
      </c>
    </row>
    <row r="953" spans="24:29">
      <c r="X953" s="562">
        <v>43839</v>
      </c>
      <c r="Y953" s="553">
        <v>5</v>
      </c>
      <c r="Z953" s="553">
        <v>960.15</v>
      </c>
      <c r="AA953" s="553">
        <v>22850</v>
      </c>
      <c r="AB953" s="563">
        <v>1.2E-2</v>
      </c>
      <c r="AC953" s="563">
        <v>2.5000000000000001E-2</v>
      </c>
    </row>
    <row r="954" spans="24:29">
      <c r="X954" s="562">
        <v>43838</v>
      </c>
      <c r="Y954" s="553">
        <v>4</v>
      </c>
      <c r="Z954" s="553">
        <v>948.98</v>
      </c>
      <c r="AA954" s="553">
        <v>22300</v>
      </c>
      <c r="AB954" s="563">
        <v>-0.01</v>
      </c>
      <c r="AC954" s="563">
        <v>-1.7999999999999999E-2</v>
      </c>
    </row>
    <row r="955" spans="24:29">
      <c r="X955" s="562">
        <v>43837</v>
      </c>
      <c r="Y955" s="553">
        <v>3</v>
      </c>
      <c r="Z955" s="553">
        <v>958.88</v>
      </c>
      <c r="AA955" s="553">
        <v>22700</v>
      </c>
      <c r="AB955" s="563">
        <v>3.0000000000000001E-3</v>
      </c>
      <c r="AC955" s="563">
        <v>-1.2999999999999999E-2</v>
      </c>
    </row>
    <row r="956" spans="24:29">
      <c r="X956" s="562">
        <v>43836</v>
      </c>
      <c r="Y956" s="553">
        <v>2</v>
      </c>
      <c r="Z956" s="553">
        <v>955.79</v>
      </c>
      <c r="AA956" s="553">
        <v>23000</v>
      </c>
      <c r="AB956" s="563">
        <v>-0.01</v>
      </c>
      <c r="AC956" s="563">
        <v>-1.2999999999999999E-2</v>
      </c>
    </row>
    <row r="957" spans="24:29">
      <c r="X957" s="562">
        <v>43833</v>
      </c>
      <c r="Y957" s="553">
        <v>6</v>
      </c>
      <c r="Z957" s="553">
        <v>965.14</v>
      </c>
      <c r="AA957" s="553">
        <v>23300</v>
      </c>
      <c r="AB957" s="563">
        <v>-2E-3</v>
      </c>
      <c r="AC957" s="563">
        <v>4.0000000000000001E-3</v>
      </c>
    </row>
    <row r="958" spans="24:29">
      <c r="X958" s="562">
        <v>43832</v>
      </c>
      <c r="Y958" s="553">
        <v>5</v>
      </c>
      <c r="Z958" s="553">
        <v>966.67</v>
      </c>
      <c r="AA958" s="553">
        <v>23200</v>
      </c>
      <c r="AB958" s="563">
        <v>6.0000000000000001E-3</v>
      </c>
      <c r="AC958" s="563">
        <v>8.9999999999999993E-3</v>
      </c>
    </row>
    <row r="959" spans="24:29">
      <c r="X959" s="562">
        <v>43830</v>
      </c>
      <c r="Y959" s="553">
        <v>3</v>
      </c>
      <c r="Z959" s="553">
        <v>960.99</v>
      </c>
      <c r="AA959" s="553">
        <v>23000</v>
      </c>
      <c r="AB959" s="563">
        <v>-4.0000000000000001E-3</v>
      </c>
      <c r="AC959" s="563">
        <v>-4.0000000000000001E-3</v>
      </c>
    </row>
    <row r="960" spans="24:29">
      <c r="X960" s="562">
        <v>43829</v>
      </c>
      <c r="Y960" s="553">
        <v>2</v>
      </c>
      <c r="Z960" s="553">
        <v>965.03</v>
      </c>
      <c r="AA960" s="553">
        <v>23100</v>
      </c>
      <c r="AB960" s="563">
        <v>2E-3</v>
      </c>
      <c r="AC960" s="563">
        <v>2E-3</v>
      </c>
    </row>
    <row r="961" spans="24:29">
      <c r="X961" s="562">
        <v>43826</v>
      </c>
      <c r="Y961" s="553">
        <v>6</v>
      </c>
      <c r="Z961" s="553">
        <v>963.51</v>
      </c>
      <c r="AA961" s="553">
        <v>23050</v>
      </c>
      <c r="AB961" s="563">
        <v>5.0000000000000001E-3</v>
      </c>
      <c r="AC961" s="563">
        <v>-8.9999999999999993E-3</v>
      </c>
    </row>
    <row r="962" spans="24:29">
      <c r="X962" s="562">
        <v>43825</v>
      </c>
      <c r="Y962" s="553">
        <v>5</v>
      </c>
      <c r="Z962" s="553">
        <v>958.59</v>
      </c>
      <c r="AA962" s="553">
        <v>23250</v>
      </c>
      <c r="AB962" s="563">
        <v>-2E-3</v>
      </c>
      <c r="AC962" s="563">
        <v>4.2999999999999997E-2</v>
      </c>
    </row>
    <row r="963" spans="24:29">
      <c r="X963" s="562">
        <v>43824</v>
      </c>
      <c r="Y963" s="553">
        <v>4</v>
      </c>
      <c r="Z963" s="553">
        <v>960.92</v>
      </c>
      <c r="AA963" s="553">
        <v>22300</v>
      </c>
      <c r="AB963" s="563">
        <v>2E-3</v>
      </c>
      <c r="AC963" s="563">
        <v>2.8000000000000001E-2</v>
      </c>
    </row>
    <row r="964" spans="24:29">
      <c r="X964" s="562">
        <v>43823</v>
      </c>
      <c r="Y964" s="553">
        <v>3</v>
      </c>
      <c r="Z964" s="553">
        <v>958.88</v>
      </c>
      <c r="AA964" s="553">
        <v>21700</v>
      </c>
      <c r="AB964" s="563">
        <v>-1E-3</v>
      </c>
      <c r="AC964" s="563">
        <v>-2E-3</v>
      </c>
    </row>
    <row r="965" spans="24:29">
      <c r="X965" s="562">
        <v>43822</v>
      </c>
      <c r="Y965" s="553">
        <v>2</v>
      </c>
      <c r="Z965" s="553">
        <v>959.43</v>
      </c>
      <c r="AA965" s="553">
        <v>21750</v>
      </c>
      <c r="AB965" s="563">
        <v>3.0000000000000001E-3</v>
      </c>
      <c r="AC965" s="563">
        <v>-4.2000000000000003E-2</v>
      </c>
    </row>
    <row r="966" spans="24:29">
      <c r="X966" s="562">
        <v>43819</v>
      </c>
      <c r="Y966" s="553">
        <v>6</v>
      </c>
      <c r="Z966" s="553">
        <v>956.41</v>
      </c>
      <c r="AA966" s="553">
        <v>22700</v>
      </c>
      <c r="AB966" s="563">
        <v>4.0000000000000001E-3</v>
      </c>
      <c r="AC966" s="563">
        <v>0</v>
      </c>
    </row>
    <row r="967" spans="24:29">
      <c r="X967" s="562">
        <v>43818</v>
      </c>
      <c r="Y967" s="553">
        <v>5</v>
      </c>
      <c r="Z967" s="553">
        <v>952.26</v>
      </c>
      <c r="AA967" s="553">
        <v>22700</v>
      </c>
      <c r="AB967" s="563">
        <v>1E-3</v>
      </c>
      <c r="AC967" s="563">
        <v>1.2999999999999999E-2</v>
      </c>
    </row>
    <row r="968" spans="24:29">
      <c r="X968" s="562">
        <v>43817</v>
      </c>
      <c r="Y968" s="553">
        <v>4</v>
      </c>
      <c r="Z968" s="553">
        <v>951.13</v>
      </c>
      <c r="AA968" s="553">
        <v>22400</v>
      </c>
      <c r="AB968" s="563">
        <v>-3.0000000000000001E-3</v>
      </c>
      <c r="AC968" s="563">
        <v>-2.5999999999999999E-2</v>
      </c>
    </row>
    <row r="969" spans="24:29">
      <c r="X969" s="562">
        <v>43816</v>
      </c>
      <c r="Y969" s="553">
        <v>3</v>
      </c>
      <c r="Z969" s="553">
        <v>954.03</v>
      </c>
      <c r="AA969" s="553">
        <v>23000</v>
      </c>
      <c r="AB969" s="563">
        <v>-8.0000000000000002E-3</v>
      </c>
      <c r="AC969" s="563">
        <v>-2.5000000000000001E-2</v>
      </c>
    </row>
    <row r="970" spans="24:29">
      <c r="X970" s="562">
        <v>43815</v>
      </c>
      <c r="Y970" s="553">
        <v>2</v>
      </c>
      <c r="Z970" s="553">
        <v>961.47</v>
      </c>
      <c r="AA970" s="553">
        <v>23600</v>
      </c>
      <c r="AB970" s="563">
        <v>-5.0000000000000001E-3</v>
      </c>
      <c r="AC970" s="563">
        <v>-8.0000000000000002E-3</v>
      </c>
    </row>
    <row r="971" spans="24:29">
      <c r="X971" s="562">
        <v>43812</v>
      </c>
      <c r="Y971" s="553">
        <v>6</v>
      </c>
      <c r="Z971" s="553">
        <v>966.18</v>
      </c>
      <c r="AA971" s="553">
        <v>23800</v>
      </c>
      <c r="AB971" s="563">
        <v>-2E-3</v>
      </c>
      <c r="AC971" s="563">
        <v>-4.0000000000000001E-3</v>
      </c>
    </row>
    <row r="972" spans="24:29">
      <c r="X972" s="562">
        <v>43811</v>
      </c>
      <c r="Y972" s="553">
        <v>5</v>
      </c>
      <c r="Z972" s="553">
        <v>968.17</v>
      </c>
      <c r="AA972" s="553">
        <v>23900</v>
      </c>
      <c r="AB972" s="563">
        <v>7.0000000000000001E-3</v>
      </c>
      <c r="AC972" s="563">
        <v>1.7000000000000001E-2</v>
      </c>
    </row>
    <row r="973" spans="24:29">
      <c r="X973" s="562">
        <v>43810</v>
      </c>
      <c r="Y973" s="553">
        <v>4</v>
      </c>
      <c r="Z973" s="553">
        <v>961.78</v>
      </c>
      <c r="AA973" s="553">
        <v>23500</v>
      </c>
      <c r="AB973" s="563">
        <v>2E-3</v>
      </c>
      <c r="AC973" s="563">
        <v>-2E-3</v>
      </c>
    </row>
    <row r="974" spans="24:29">
      <c r="X974" s="562">
        <v>43809</v>
      </c>
      <c r="Y974" s="553">
        <v>3</v>
      </c>
      <c r="Z974" s="553">
        <v>960.3</v>
      </c>
      <c r="AA974" s="553">
        <v>23550</v>
      </c>
      <c r="AB974" s="563">
        <v>-6.0000000000000001E-3</v>
      </c>
      <c r="AC974" s="563">
        <v>-1.9E-2</v>
      </c>
    </row>
    <row r="975" spans="24:29">
      <c r="X975" s="562">
        <v>43808</v>
      </c>
      <c r="Y975" s="553">
        <v>2</v>
      </c>
      <c r="Z975" s="553">
        <v>966.06</v>
      </c>
      <c r="AA975" s="553">
        <v>24000</v>
      </c>
      <c r="AB975" s="563">
        <v>3.0000000000000001E-3</v>
      </c>
      <c r="AC975" s="563">
        <v>1.7000000000000001E-2</v>
      </c>
    </row>
    <row r="976" spans="24:29">
      <c r="X976" s="562">
        <v>43805</v>
      </c>
      <c r="Y976" s="553">
        <v>6</v>
      </c>
      <c r="Z976" s="553">
        <v>963.56</v>
      </c>
      <c r="AA976" s="553">
        <v>23600</v>
      </c>
      <c r="AB976" s="563">
        <v>0</v>
      </c>
      <c r="AC976" s="563">
        <v>-2E-3</v>
      </c>
    </row>
    <row r="977" spans="24:29">
      <c r="X977" s="562">
        <v>43804</v>
      </c>
      <c r="Y977" s="553">
        <v>5</v>
      </c>
      <c r="Z977" s="553">
        <v>963.27</v>
      </c>
      <c r="AA977" s="553">
        <v>23650</v>
      </c>
      <c r="AB977" s="563">
        <v>-3.0000000000000001E-3</v>
      </c>
      <c r="AC977" s="563">
        <v>-4.0000000000000001E-3</v>
      </c>
    </row>
    <row r="978" spans="24:29">
      <c r="X978" s="562">
        <v>43803</v>
      </c>
      <c r="Y978" s="553">
        <v>4</v>
      </c>
      <c r="Z978" s="553">
        <v>965.9</v>
      </c>
      <c r="AA978" s="553">
        <v>23750</v>
      </c>
      <c r="AB978" s="563">
        <v>1.2999999999999999E-2</v>
      </c>
      <c r="AC978" s="563">
        <v>2.1999999999999999E-2</v>
      </c>
    </row>
    <row r="979" spans="24:29">
      <c r="X979" s="562">
        <v>43802</v>
      </c>
      <c r="Y979" s="553">
        <v>3</v>
      </c>
      <c r="Z979" s="553">
        <v>953.43</v>
      </c>
      <c r="AA979" s="553">
        <v>23250</v>
      </c>
      <c r="AB979" s="563">
        <v>-6.0000000000000001E-3</v>
      </c>
      <c r="AC979" s="563">
        <v>1.0999999999999999E-2</v>
      </c>
    </row>
    <row r="980" spans="24:29">
      <c r="X980" s="562">
        <v>43801</v>
      </c>
      <c r="Y980" s="553">
        <v>2</v>
      </c>
      <c r="Z980" s="553">
        <v>959.31</v>
      </c>
      <c r="AA980" s="553">
        <v>23000</v>
      </c>
      <c r="AB980" s="563">
        <v>-1.2E-2</v>
      </c>
      <c r="AC980" s="563">
        <v>-2.5000000000000001E-2</v>
      </c>
    </row>
    <row r="981" spans="24:29">
      <c r="X981" s="562">
        <v>43798</v>
      </c>
      <c r="Y981" s="553">
        <v>6</v>
      </c>
      <c r="Z981" s="553">
        <v>970.75</v>
      </c>
      <c r="AA981" s="553">
        <v>23600</v>
      </c>
      <c r="AB981" s="563">
        <v>0</v>
      </c>
      <c r="AC981" s="563">
        <v>8.9999999999999993E-3</v>
      </c>
    </row>
    <row r="982" spans="24:29">
      <c r="X982" s="562">
        <v>43797</v>
      </c>
      <c r="Y982" s="553">
        <v>5</v>
      </c>
      <c r="Z982" s="553">
        <v>970.39</v>
      </c>
      <c r="AA982" s="553">
        <v>23400</v>
      </c>
      <c r="AB982" s="563">
        <v>-8.0000000000000002E-3</v>
      </c>
      <c r="AC982" s="563">
        <v>-3.9E-2</v>
      </c>
    </row>
    <row r="983" spans="24:29">
      <c r="X983" s="562">
        <v>43796</v>
      </c>
      <c r="Y983" s="553">
        <v>4</v>
      </c>
      <c r="Z983" s="553">
        <v>978.17</v>
      </c>
      <c r="AA983" s="553">
        <v>24350</v>
      </c>
      <c r="AB983" s="563">
        <v>1E-3</v>
      </c>
      <c r="AC983" s="563">
        <v>1.2E-2</v>
      </c>
    </row>
    <row r="984" spans="24:29">
      <c r="X984" s="562">
        <v>43795</v>
      </c>
      <c r="Y984" s="553">
        <v>3</v>
      </c>
      <c r="Z984" s="553">
        <v>976.79</v>
      </c>
      <c r="AA984" s="553">
        <v>24050</v>
      </c>
      <c r="AB984" s="563">
        <v>0</v>
      </c>
      <c r="AC984" s="563">
        <v>1.7000000000000001E-2</v>
      </c>
    </row>
    <row r="985" spans="24:29">
      <c r="X985" s="562">
        <v>43794</v>
      </c>
      <c r="Y985" s="553">
        <v>2</v>
      </c>
      <c r="Z985" s="553">
        <v>976.35</v>
      </c>
      <c r="AA985" s="553">
        <v>23650</v>
      </c>
      <c r="AB985" s="563">
        <v>-1E-3</v>
      </c>
      <c r="AC985" s="563">
        <v>-3.5000000000000003E-2</v>
      </c>
    </row>
    <row r="986" spans="24:29">
      <c r="X986" s="562">
        <v>43791</v>
      </c>
      <c r="Y986" s="553">
        <v>6</v>
      </c>
      <c r="Z986" s="553">
        <v>977.78</v>
      </c>
      <c r="AA986" s="553">
        <v>24500</v>
      </c>
      <c r="AB986" s="563">
        <v>-0.01</v>
      </c>
      <c r="AC986" s="563">
        <v>-5.6000000000000001E-2</v>
      </c>
    </row>
    <row r="987" spans="24:29">
      <c r="X987" s="562">
        <v>43790</v>
      </c>
      <c r="Y987" s="553">
        <v>5</v>
      </c>
      <c r="Z987" s="553">
        <v>987.89</v>
      </c>
      <c r="AA987" s="553">
        <v>25950</v>
      </c>
      <c r="AB987" s="563">
        <v>-1.2999999999999999E-2</v>
      </c>
      <c r="AC987" s="563">
        <v>2E-3</v>
      </c>
    </row>
    <row r="988" spans="24:29">
      <c r="X988" s="562">
        <v>43789</v>
      </c>
      <c r="Y988" s="553">
        <v>4</v>
      </c>
      <c r="Z988" s="553">
        <v>1000.56</v>
      </c>
      <c r="AA988" s="553">
        <v>25900</v>
      </c>
      <c r="AB988" s="563">
        <v>-8.0000000000000002E-3</v>
      </c>
      <c r="AC988" s="563">
        <v>4.0000000000000001E-3</v>
      </c>
    </row>
    <row r="989" spans="24:29">
      <c r="X989" s="562">
        <v>43788</v>
      </c>
      <c r="Y989" s="553">
        <v>3</v>
      </c>
      <c r="Z989" s="553">
        <v>1008.35</v>
      </c>
      <c r="AA989" s="553">
        <v>25800</v>
      </c>
      <c r="AB989" s="563">
        <v>5.0000000000000001E-3</v>
      </c>
      <c r="AC989" s="563">
        <v>1.2E-2</v>
      </c>
    </row>
    <row r="990" spans="24:29">
      <c r="X990" s="562">
        <v>43787</v>
      </c>
      <c r="Y990" s="553">
        <v>2</v>
      </c>
      <c r="Z990" s="553">
        <v>1002.91</v>
      </c>
      <c r="AA990" s="553">
        <v>25500</v>
      </c>
      <c r="AB990" s="563">
        <v>-7.0000000000000001E-3</v>
      </c>
      <c r="AC990" s="563">
        <v>-1.4999999999999999E-2</v>
      </c>
    </row>
    <row r="991" spans="24:29">
      <c r="X991" s="562">
        <v>43784</v>
      </c>
      <c r="Y991" s="553">
        <v>6</v>
      </c>
      <c r="Z991" s="553">
        <v>1010.03</v>
      </c>
      <c r="AA991" s="553">
        <v>25900</v>
      </c>
      <c r="AB991" s="563">
        <v>-2E-3</v>
      </c>
      <c r="AC991" s="563">
        <v>-2E-3</v>
      </c>
    </row>
    <row r="992" spans="24:29">
      <c r="X992" s="562">
        <v>43783</v>
      </c>
      <c r="Y992" s="553">
        <v>5</v>
      </c>
      <c r="Z992" s="553">
        <v>1012.3</v>
      </c>
      <c r="AA992" s="553">
        <v>25950</v>
      </c>
      <c r="AB992" s="563">
        <v>0</v>
      </c>
      <c r="AC992" s="563">
        <v>-1.7000000000000001E-2</v>
      </c>
    </row>
    <row r="993" spans="24:29">
      <c r="X993" s="562">
        <v>43782</v>
      </c>
      <c r="Y993" s="553">
        <v>4</v>
      </c>
      <c r="Z993" s="553">
        <v>1012.77</v>
      </c>
      <c r="AA993" s="553">
        <v>26400</v>
      </c>
      <c r="AB993" s="563">
        <v>-5.0000000000000001E-3</v>
      </c>
      <c r="AC993" s="563">
        <v>-1.7000000000000001E-2</v>
      </c>
    </row>
    <row r="994" spans="24:29">
      <c r="X994" s="562">
        <v>43781</v>
      </c>
      <c r="Y994" s="553">
        <v>3</v>
      </c>
      <c r="Z994" s="553">
        <v>1018.33</v>
      </c>
      <c r="AA994" s="553">
        <v>26850</v>
      </c>
      <c r="AB994" s="563">
        <v>2E-3</v>
      </c>
      <c r="AC994" s="563">
        <v>2E-3</v>
      </c>
    </row>
    <row r="995" spans="24:29">
      <c r="X995" s="562">
        <v>43780</v>
      </c>
      <c r="Y995" s="553">
        <v>2</v>
      </c>
      <c r="Z995" s="553">
        <v>1016.75</v>
      </c>
      <c r="AA995" s="553">
        <v>26800</v>
      </c>
      <c r="AB995" s="563">
        <v>-6.0000000000000001E-3</v>
      </c>
      <c r="AC995" s="563">
        <v>3.1E-2</v>
      </c>
    </row>
    <row r="996" spans="24:29">
      <c r="X996" s="562">
        <v>43777</v>
      </c>
      <c r="Y996" s="553">
        <v>6</v>
      </c>
      <c r="Z996" s="553">
        <v>1022.49</v>
      </c>
      <c r="AA996" s="553">
        <v>26000</v>
      </c>
      <c r="AB996" s="563">
        <v>-2E-3</v>
      </c>
      <c r="AC996" s="563">
        <v>2E-3</v>
      </c>
    </row>
    <row r="997" spans="24:29">
      <c r="X997" s="562">
        <v>43776</v>
      </c>
      <c r="Y997" s="553">
        <v>5</v>
      </c>
      <c r="Z997" s="553">
        <v>1024.03</v>
      </c>
      <c r="AA997" s="553">
        <v>25950</v>
      </c>
      <c r="AB997" s="563">
        <v>-1E-3</v>
      </c>
      <c r="AC997" s="563">
        <v>-2E-3</v>
      </c>
    </row>
    <row r="998" spans="24:29">
      <c r="X998" s="562">
        <v>43775</v>
      </c>
      <c r="Y998" s="553">
        <v>4</v>
      </c>
      <c r="Z998" s="553">
        <v>1024.9100000000001</v>
      </c>
      <c r="AA998" s="553">
        <v>26000</v>
      </c>
      <c r="AB998" s="563">
        <v>1E-3</v>
      </c>
      <c r="AC998" s="563">
        <v>6.0000000000000001E-3</v>
      </c>
    </row>
    <row r="999" spans="24:29">
      <c r="X999" s="562">
        <v>43774</v>
      </c>
      <c r="Y999" s="553">
        <v>3</v>
      </c>
      <c r="Z999" s="553">
        <v>1024.3399999999999</v>
      </c>
      <c r="AA999" s="553">
        <v>25850</v>
      </c>
      <c r="AB999" s="563">
        <v>2E-3</v>
      </c>
      <c r="AC999" s="563">
        <v>2E-3</v>
      </c>
    </row>
    <row r="1000" spans="24:29">
      <c r="X1000" s="562">
        <v>43773</v>
      </c>
      <c r="Y1000" s="553">
        <v>2</v>
      </c>
      <c r="Z1000" s="553">
        <v>1022.43</v>
      </c>
      <c r="AA1000" s="553">
        <v>25800</v>
      </c>
      <c r="AB1000" s="563">
        <v>7.0000000000000001E-3</v>
      </c>
      <c r="AC1000" s="563">
        <v>-4.0000000000000001E-3</v>
      </c>
    </row>
    <row r="1001" spans="24:29">
      <c r="X1001" s="562">
        <v>43770</v>
      </c>
      <c r="Y1001" s="553">
        <v>6</v>
      </c>
      <c r="Z1001" s="553">
        <v>1015.59</v>
      </c>
      <c r="AA1001" s="553">
        <v>25900</v>
      </c>
      <c r="AB1001" s="563">
        <v>1.7000000000000001E-2</v>
      </c>
      <c r="AC1001" s="563">
        <v>1.4E-2</v>
      </c>
    </row>
    <row r="1002" spans="24:29">
      <c r="X1002" s="562">
        <v>43769</v>
      </c>
      <c r="Y1002" s="553">
        <v>5</v>
      </c>
      <c r="Z1002" s="553">
        <v>998.82</v>
      </c>
      <c r="AA1002" s="553">
        <v>25550</v>
      </c>
      <c r="AB1002" s="563">
        <v>-2E-3</v>
      </c>
      <c r="AC1002" s="563">
        <v>-2.9000000000000001E-2</v>
      </c>
    </row>
    <row r="1003" spans="24:29">
      <c r="X1003" s="562">
        <v>43768</v>
      </c>
      <c r="Y1003" s="553">
        <v>4</v>
      </c>
      <c r="Z1003" s="553">
        <v>1000.89</v>
      </c>
      <c r="AA1003" s="553">
        <v>26300</v>
      </c>
      <c r="AB1003" s="563">
        <v>5.0000000000000001E-3</v>
      </c>
      <c r="AC1003" s="563">
        <v>-2E-3</v>
      </c>
    </row>
    <row r="1004" spans="24:29">
      <c r="X1004" s="562">
        <v>43767</v>
      </c>
      <c r="Y1004" s="553">
        <v>3</v>
      </c>
      <c r="Z1004" s="553">
        <v>995.87</v>
      </c>
      <c r="AA1004" s="553">
        <v>26350</v>
      </c>
      <c r="AB1004" s="563">
        <v>-1E-3</v>
      </c>
      <c r="AC1004" s="563">
        <v>4.0000000000000001E-3</v>
      </c>
    </row>
    <row r="1005" spans="24:29">
      <c r="X1005" s="562">
        <v>43766</v>
      </c>
      <c r="Y1005" s="553">
        <v>2</v>
      </c>
      <c r="Z1005" s="553">
        <v>996.48</v>
      </c>
      <c r="AA1005" s="553">
        <v>26250</v>
      </c>
      <c r="AB1005" s="563">
        <v>0</v>
      </c>
      <c r="AC1005" s="563">
        <v>8.0000000000000002E-3</v>
      </c>
    </row>
    <row r="1006" spans="24:29">
      <c r="X1006" s="562">
        <v>43763</v>
      </c>
      <c r="Y1006" s="553">
        <v>6</v>
      </c>
      <c r="Z1006" s="553">
        <v>996.57</v>
      </c>
      <c r="AA1006" s="553">
        <v>26050</v>
      </c>
      <c r="AB1006" s="563">
        <v>3.0000000000000001E-3</v>
      </c>
      <c r="AC1006" s="563">
        <v>1.2E-2</v>
      </c>
    </row>
    <row r="1007" spans="24:29">
      <c r="X1007" s="562">
        <v>43762</v>
      </c>
      <c r="Y1007" s="553">
        <v>5</v>
      </c>
      <c r="Z1007" s="553">
        <v>993.6</v>
      </c>
      <c r="AA1007" s="553">
        <v>25750</v>
      </c>
      <c r="AB1007" s="563">
        <v>6.0000000000000001E-3</v>
      </c>
      <c r="AC1007" s="563">
        <v>6.0000000000000001E-3</v>
      </c>
    </row>
    <row r="1008" spans="24:29">
      <c r="X1008" s="562">
        <v>43761</v>
      </c>
      <c r="Y1008" s="553">
        <v>4</v>
      </c>
      <c r="Z1008" s="553">
        <v>987.79</v>
      </c>
      <c r="AA1008" s="553">
        <v>25600</v>
      </c>
      <c r="AB1008" s="563">
        <v>1E-3</v>
      </c>
      <c r="AC1008" s="563">
        <v>-6.0000000000000001E-3</v>
      </c>
    </row>
    <row r="1009" spans="24:29">
      <c r="X1009" s="562">
        <v>43760</v>
      </c>
      <c r="Y1009" s="553">
        <v>3</v>
      </c>
      <c r="Z1009" s="553">
        <v>987.19</v>
      </c>
      <c r="AA1009" s="553">
        <v>25750</v>
      </c>
      <c r="AB1009" s="563">
        <v>4.0000000000000001E-3</v>
      </c>
      <c r="AC1009" s="563">
        <v>0.04</v>
      </c>
    </row>
    <row r="1010" spans="24:29">
      <c r="X1010" s="562">
        <v>43759</v>
      </c>
      <c r="Y1010" s="553">
        <v>2</v>
      </c>
      <c r="Z1010" s="553">
        <v>983.56</v>
      </c>
      <c r="AA1010" s="553">
        <v>24750</v>
      </c>
      <c r="AB1010" s="563">
        <v>-6.0000000000000001E-3</v>
      </c>
      <c r="AC1010" s="563">
        <v>-4.0000000000000001E-3</v>
      </c>
    </row>
    <row r="1011" spans="24:29">
      <c r="X1011" s="562">
        <v>43756</v>
      </c>
      <c r="Y1011" s="553">
        <v>6</v>
      </c>
      <c r="Z1011" s="553">
        <v>989.2</v>
      </c>
      <c r="AA1011" s="553">
        <v>24850</v>
      </c>
      <c r="AB1011" s="563">
        <v>-1E-3</v>
      </c>
      <c r="AC1011" s="563">
        <v>1.4E-2</v>
      </c>
    </row>
    <row r="1012" spans="24:29">
      <c r="X1012" s="562">
        <v>43755</v>
      </c>
      <c r="Y1012" s="553">
        <v>5</v>
      </c>
      <c r="Z1012" s="553">
        <v>989.82</v>
      </c>
      <c r="AA1012" s="553">
        <v>24500</v>
      </c>
      <c r="AB1012" s="563">
        <v>-5.0000000000000001E-3</v>
      </c>
      <c r="AC1012" s="563">
        <v>-0.02</v>
      </c>
    </row>
    <row r="1013" spans="24:29">
      <c r="X1013" s="562">
        <v>43754</v>
      </c>
      <c r="Y1013" s="553">
        <v>4</v>
      </c>
      <c r="Z1013" s="553">
        <v>994.46</v>
      </c>
      <c r="AA1013" s="553">
        <v>25000</v>
      </c>
      <c r="AB1013" s="563">
        <v>1E-3</v>
      </c>
      <c r="AC1013" s="563">
        <v>4.0000000000000001E-3</v>
      </c>
    </row>
    <row r="1014" spans="24:29">
      <c r="X1014" s="562">
        <v>43753</v>
      </c>
      <c r="Y1014" s="553">
        <v>3</v>
      </c>
      <c r="Z1014" s="553">
        <v>993.05</v>
      </c>
      <c r="AA1014" s="553">
        <v>24900</v>
      </c>
      <c r="AB1014" s="563">
        <v>-1E-3</v>
      </c>
      <c r="AC1014" s="563">
        <v>-2E-3</v>
      </c>
    </row>
    <row r="1015" spans="24:29">
      <c r="X1015" s="562">
        <v>43752</v>
      </c>
      <c r="Y1015" s="553">
        <v>2</v>
      </c>
      <c r="Z1015" s="553">
        <v>993.57</v>
      </c>
      <c r="AA1015" s="553">
        <v>24950</v>
      </c>
      <c r="AB1015" s="563">
        <v>2E-3</v>
      </c>
      <c r="AC1015" s="563">
        <v>8.0000000000000002E-3</v>
      </c>
    </row>
    <row r="1016" spans="24:29">
      <c r="X1016" s="562">
        <v>43749</v>
      </c>
      <c r="Y1016" s="553">
        <v>6</v>
      </c>
      <c r="Z1016" s="553">
        <v>991.84</v>
      </c>
      <c r="AA1016" s="553">
        <v>24750</v>
      </c>
      <c r="AB1016" s="563">
        <v>5.0000000000000001E-3</v>
      </c>
      <c r="AC1016" s="563">
        <v>8.0000000000000002E-3</v>
      </c>
    </row>
    <row r="1017" spans="24:29">
      <c r="X1017" s="562">
        <v>43748</v>
      </c>
      <c r="Y1017" s="553">
        <v>5</v>
      </c>
      <c r="Z1017" s="553">
        <v>987.38</v>
      </c>
      <c r="AA1017" s="553">
        <v>24550</v>
      </c>
      <c r="AB1017" s="563">
        <v>0</v>
      </c>
      <c r="AC1017" s="563">
        <v>4.0000000000000001E-3</v>
      </c>
    </row>
    <row r="1018" spans="24:29">
      <c r="X1018" s="562">
        <v>43747</v>
      </c>
      <c r="Y1018" s="553">
        <v>4</v>
      </c>
      <c r="Z1018" s="553">
        <v>987.83</v>
      </c>
      <c r="AA1018" s="553">
        <v>24450</v>
      </c>
      <c r="AB1018" s="563">
        <v>0</v>
      </c>
      <c r="AC1018" s="563">
        <v>-2.1999999999999999E-2</v>
      </c>
    </row>
    <row r="1019" spans="24:29">
      <c r="X1019" s="562">
        <v>43746</v>
      </c>
      <c r="Y1019" s="553">
        <v>3</v>
      </c>
      <c r="Z1019" s="553">
        <v>988.22</v>
      </c>
      <c r="AA1019" s="553">
        <v>25000</v>
      </c>
      <c r="AB1019" s="563">
        <v>5.0000000000000001E-3</v>
      </c>
      <c r="AC1019" s="563">
        <v>-1.2E-2</v>
      </c>
    </row>
    <row r="1020" spans="24:29">
      <c r="X1020" s="562">
        <v>43745</v>
      </c>
      <c r="Y1020" s="553">
        <v>2</v>
      </c>
      <c r="Z1020" s="553">
        <v>983.09</v>
      </c>
      <c r="AA1020" s="553">
        <v>25300</v>
      </c>
      <c r="AB1020" s="563">
        <v>-5.0000000000000001E-3</v>
      </c>
      <c r="AC1020" s="563">
        <v>4.0000000000000001E-3</v>
      </c>
    </row>
    <row r="1021" spans="24:29">
      <c r="X1021" s="562">
        <v>43742</v>
      </c>
      <c r="Y1021" s="553">
        <v>6</v>
      </c>
      <c r="Z1021" s="553">
        <v>987.59</v>
      </c>
      <c r="AA1021" s="553">
        <v>25200</v>
      </c>
      <c r="AB1021" s="563">
        <v>-5.0000000000000001E-3</v>
      </c>
      <c r="AC1021" s="563">
        <v>0.02</v>
      </c>
    </row>
    <row r="1022" spans="24:29">
      <c r="X1022" s="562">
        <v>43741</v>
      </c>
      <c r="Y1022" s="553">
        <v>5</v>
      </c>
      <c r="Z1022" s="553">
        <v>992.45</v>
      </c>
      <c r="AA1022" s="553">
        <v>24700</v>
      </c>
      <c r="AB1022" s="563">
        <v>1E-3</v>
      </c>
      <c r="AC1022" s="563">
        <v>-2.9000000000000001E-2</v>
      </c>
    </row>
    <row r="1023" spans="24:29">
      <c r="X1023" s="562">
        <v>43740</v>
      </c>
      <c r="Y1023" s="553">
        <v>4</v>
      </c>
      <c r="Z1023" s="553">
        <v>991.19</v>
      </c>
      <c r="AA1023" s="553">
        <v>25450</v>
      </c>
      <c r="AB1023" s="563">
        <v>-8.0000000000000002E-3</v>
      </c>
      <c r="AC1023" s="563">
        <v>0</v>
      </c>
    </row>
    <row r="1024" spans="24:29">
      <c r="X1024" s="562">
        <v>43739</v>
      </c>
      <c r="Y1024" s="553">
        <v>3</v>
      </c>
      <c r="Z1024" s="553">
        <v>999.59</v>
      </c>
      <c r="AA1024" s="553">
        <v>25450</v>
      </c>
      <c r="AB1024" s="563">
        <v>3.0000000000000001E-3</v>
      </c>
      <c r="AC1024" s="563">
        <v>2.4E-2</v>
      </c>
    </row>
    <row r="1025" spans="24:29">
      <c r="X1025" s="562">
        <v>43738</v>
      </c>
      <c r="Y1025" s="553">
        <v>2</v>
      </c>
      <c r="Z1025" s="553">
        <v>996.56</v>
      </c>
      <c r="AA1025" s="553">
        <v>24850</v>
      </c>
      <c r="AB1025" s="563">
        <v>-1E-3</v>
      </c>
      <c r="AC1025" s="563">
        <v>-1.6E-2</v>
      </c>
    </row>
    <row r="1026" spans="24:29">
      <c r="X1026" s="562">
        <v>43735</v>
      </c>
      <c r="Y1026" s="553">
        <v>6</v>
      </c>
      <c r="Z1026" s="553">
        <v>997.84</v>
      </c>
      <c r="AA1026" s="553">
        <v>25250</v>
      </c>
      <c r="AB1026" s="563">
        <v>7.0000000000000001E-3</v>
      </c>
      <c r="AC1026" s="563">
        <v>-8.0000000000000002E-3</v>
      </c>
    </row>
    <row r="1027" spans="24:29">
      <c r="X1027" s="562">
        <v>43734</v>
      </c>
      <c r="Y1027" s="553">
        <v>5</v>
      </c>
      <c r="Z1027" s="553">
        <v>990.75</v>
      </c>
      <c r="AA1027" s="553">
        <v>25450</v>
      </c>
      <c r="AB1027" s="563">
        <v>3.0000000000000001E-3</v>
      </c>
      <c r="AC1027" s="563">
        <v>1.4E-2</v>
      </c>
    </row>
    <row r="1028" spans="24:29">
      <c r="X1028" s="562">
        <v>43733</v>
      </c>
      <c r="Y1028" s="553">
        <v>4</v>
      </c>
      <c r="Z1028" s="553">
        <v>987.3</v>
      </c>
      <c r="AA1028" s="553">
        <v>25100</v>
      </c>
      <c r="AB1028" s="563">
        <v>-1E-3</v>
      </c>
      <c r="AC1028" s="563">
        <v>2.1999999999999999E-2</v>
      </c>
    </row>
    <row r="1029" spans="24:29">
      <c r="X1029" s="562">
        <v>43732</v>
      </c>
      <c r="Y1029" s="553">
        <v>3</v>
      </c>
      <c r="Z1029" s="553">
        <v>988.13</v>
      </c>
      <c r="AA1029" s="553">
        <v>24550</v>
      </c>
      <c r="AB1029" s="563">
        <v>2E-3</v>
      </c>
      <c r="AC1029" s="563">
        <v>-8.0000000000000002E-3</v>
      </c>
    </row>
    <row r="1030" spans="24:29">
      <c r="X1030" s="562">
        <v>43731</v>
      </c>
      <c r="Y1030" s="553">
        <v>2</v>
      </c>
      <c r="Z1030" s="553">
        <v>985.75</v>
      </c>
      <c r="AA1030" s="553">
        <v>24750</v>
      </c>
      <c r="AB1030" s="563">
        <v>-5.0000000000000001E-3</v>
      </c>
      <c r="AC1030" s="563">
        <v>6.0000000000000001E-3</v>
      </c>
    </row>
    <row r="1031" spans="24:29">
      <c r="X1031" s="562">
        <v>43728</v>
      </c>
      <c r="Y1031" s="553">
        <v>6</v>
      </c>
      <c r="Z1031" s="553">
        <v>990.36</v>
      </c>
      <c r="AA1031" s="553">
        <v>24600</v>
      </c>
      <c r="AB1031" s="563">
        <v>-7.0000000000000001E-3</v>
      </c>
      <c r="AC1031" s="563">
        <v>2.5000000000000001E-2</v>
      </c>
    </row>
    <row r="1032" spans="24:29">
      <c r="X1032" s="562">
        <v>43727</v>
      </c>
      <c r="Y1032" s="553">
        <v>5</v>
      </c>
      <c r="Z1032" s="553">
        <v>997.1</v>
      </c>
      <c r="AA1032" s="553">
        <v>24000</v>
      </c>
      <c r="AB1032" s="563">
        <v>2E-3</v>
      </c>
      <c r="AC1032" s="563">
        <v>1.7000000000000001E-2</v>
      </c>
    </row>
    <row r="1033" spans="24:29">
      <c r="X1033" s="562">
        <v>43726</v>
      </c>
      <c r="Y1033" s="553">
        <v>4</v>
      </c>
      <c r="Z1033" s="553">
        <v>995.15</v>
      </c>
      <c r="AA1033" s="553">
        <v>23600</v>
      </c>
      <c r="AB1033" s="563">
        <v>-2E-3</v>
      </c>
      <c r="AC1033" s="563">
        <v>-6.0000000000000001E-3</v>
      </c>
    </row>
    <row r="1034" spans="24:29">
      <c r="X1034" s="562">
        <v>43725</v>
      </c>
      <c r="Y1034" s="553">
        <v>3</v>
      </c>
      <c r="Z1034" s="553">
        <v>996.74</v>
      </c>
      <c r="AA1034" s="553">
        <v>23750</v>
      </c>
      <c r="AB1034" s="563">
        <v>7.0000000000000001E-3</v>
      </c>
      <c r="AC1034" s="563">
        <v>-2E-3</v>
      </c>
    </row>
    <row r="1035" spans="24:29">
      <c r="X1035" s="562">
        <v>43724</v>
      </c>
      <c r="Y1035" s="553">
        <v>2</v>
      </c>
      <c r="Z1035" s="553">
        <v>989.86</v>
      </c>
      <c r="AA1035" s="553">
        <v>23800</v>
      </c>
      <c r="AB1035" s="563">
        <v>3.0000000000000001E-3</v>
      </c>
      <c r="AC1035" s="563">
        <v>-2E-3</v>
      </c>
    </row>
    <row r="1036" spans="24:29">
      <c r="X1036" s="562">
        <v>43721</v>
      </c>
      <c r="Y1036" s="553">
        <v>6</v>
      </c>
      <c r="Z1036" s="553">
        <v>987.22</v>
      </c>
      <c r="AA1036" s="553">
        <v>23850</v>
      </c>
      <c r="AB1036" s="563">
        <v>1.0999999999999999E-2</v>
      </c>
      <c r="AC1036" s="563">
        <v>1.9E-2</v>
      </c>
    </row>
    <row r="1037" spans="24:29">
      <c r="X1037" s="562">
        <v>43720</v>
      </c>
      <c r="Y1037" s="553">
        <v>5</v>
      </c>
      <c r="Z1037" s="553">
        <v>976.07</v>
      </c>
      <c r="AA1037" s="553">
        <v>23400</v>
      </c>
      <c r="AB1037" s="563">
        <v>7.0000000000000001E-3</v>
      </c>
      <c r="AC1037" s="563">
        <v>8.9999999999999993E-3</v>
      </c>
    </row>
    <row r="1038" spans="24:29">
      <c r="X1038" s="562">
        <v>43719</v>
      </c>
      <c r="Y1038" s="553">
        <v>4</v>
      </c>
      <c r="Z1038" s="553">
        <v>969.31</v>
      </c>
      <c r="AA1038" s="553">
        <v>23200</v>
      </c>
      <c r="AB1038" s="563">
        <v>-1E-3</v>
      </c>
      <c r="AC1038" s="563">
        <v>4.0000000000000001E-3</v>
      </c>
    </row>
    <row r="1039" spans="24:29">
      <c r="X1039" s="562">
        <v>43718</v>
      </c>
      <c r="Y1039" s="553">
        <v>3</v>
      </c>
      <c r="Z1039" s="553">
        <v>970.26</v>
      </c>
      <c r="AA1039" s="553">
        <v>23100</v>
      </c>
      <c r="AB1039" s="563">
        <v>-4.0000000000000001E-3</v>
      </c>
      <c r="AC1039" s="563">
        <v>-1.9E-2</v>
      </c>
    </row>
    <row r="1040" spans="24:29">
      <c r="X1040" s="562">
        <v>43717</v>
      </c>
      <c r="Y1040" s="553">
        <v>2</v>
      </c>
      <c r="Z1040" s="553">
        <v>974.12</v>
      </c>
      <c r="AA1040" s="553">
        <v>23550</v>
      </c>
      <c r="AB1040" s="563">
        <v>0</v>
      </c>
      <c r="AC1040" s="563">
        <v>-1.9E-2</v>
      </c>
    </row>
    <row r="1041" spans="24:29">
      <c r="X1041" s="562">
        <v>43714</v>
      </c>
      <c r="Y1041" s="553">
        <v>6</v>
      </c>
      <c r="Z1041" s="553">
        <v>974.08</v>
      </c>
      <c r="AA1041" s="553">
        <v>24000</v>
      </c>
      <c r="AB1041" s="563">
        <v>-3.0000000000000001E-3</v>
      </c>
      <c r="AC1041" s="563">
        <v>1.7000000000000001E-2</v>
      </c>
    </row>
    <row r="1042" spans="24:29">
      <c r="X1042" s="562">
        <v>43713</v>
      </c>
      <c r="Y1042" s="553">
        <v>5</v>
      </c>
      <c r="Z1042" s="553">
        <v>976.79</v>
      </c>
      <c r="AA1042" s="553">
        <v>23600</v>
      </c>
      <c r="AB1042" s="563">
        <v>-1E-3</v>
      </c>
      <c r="AC1042" s="563">
        <v>-1.7000000000000001E-2</v>
      </c>
    </row>
    <row r="1043" spans="24:29">
      <c r="X1043" s="562">
        <v>43712</v>
      </c>
      <c r="Y1043" s="553">
        <v>4</v>
      </c>
      <c r="Z1043" s="553">
        <v>977.63</v>
      </c>
      <c r="AA1043" s="553">
        <v>24000</v>
      </c>
      <c r="AB1043" s="563">
        <v>-2E-3</v>
      </c>
      <c r="AC1043" s="563">
        <v>2.5999999999999999E-2</v>
      </c>
    </row>
    <row r="1044" spans="24:29">
      <c r="X1044" s="562">
        <v>43711</v>
      </c>
      <c r="Y1044" s="553">
        <v>3</v>
      </c>
      <c r="Z1044" s="553">
        <v>979.36</v>
      </c>
      <c r="AA1044" s="553">
        <v>23400</v>
      </c>
      <c r="AB1044" s="563">
        <v>-5.0000000000000001E-3</v>
      </c>
      <c r="AC1044" s="563">
        <v>0</v>
      </c>
    </row>
    <row r="1045" spans="24:29">
      <c r="X1045" s="562">
        <v>43707</v>
      </c>
      <c r="Y1045" s="553">
        <v>6</v>
      </c>
      <c r="Z1045" s="553">
        <v>984.06</v>
      </c>
      <c r="AA1045" s="553">
        <v>23400</v>
      </c>
      <c r="AB1045" s="563">
        <v>6.0000000000000001E-3</v>
      </c>
      <c r="AC1045" s="563">
        <v>8.9999999999999993E-3</v>
      </c>
    </row>
    <row r="1046" spans="24:29">
      <c r="X1046" s="562">
        <v>43706</v>
      </c>
      <c r="Y1046" s="553">
        <v>5</v>
      </c>
      <c r="Z1046" s="553">
        <v>978.59</v>
      </c>
      <c r="AA1046" s="553">
        <v>23200</v>
      </c>
      <c r="AB1046" s="563">
        <v>1E-3</v>
      </c>
      <c r="AC1046" s="563">
        <v>1.7999999999999999E-2</v>
      </c>
    </row>
    <row r="1047" spans="24:29">
      <c r="X1047" s="562">
        <v>43705</v>
      </c>
      <c r="Y1047" s="553">
        <v>4</v>
      </c>
      <c r="Z1047" s="553">
        <v>977.26</v>
      </c>
      <c r="AA1047" s="553">
        <v>22800</v>
      </c>
      <c r="AB1047" s="563">
        <v>0</v>
      </c>
      <c r="AC1047" s="563">
        <v>-2.1000000000000001E-2</v>
      </c>
    </row>
    <row r="1048" spans="24:29">
      <c r="X1048" s="562">
        <v>43704</v>
      </c>
      <c r="Y1048" s="553">
        <v>3</v>
      </c>
      <c r="Z1048" s="553">
        <v>976.79</v>
      </c>
      <c r="AA1048" s="553">
        <v>23300</v>
      </c>
      <c r="AB1048" s="563">
        <v>-6.0000000000000001E-3</v>
      </c>
      <c r="AC1048" s="563">
        <v>-1.7000000000000001E-2</v>
      </c>
    </row>
    <row r="1049" spans="24:29">
      <c r="X1049" s="562">
        <v>43703</v>
      </c>
      <c r="Y1049" s="553">
        <v>2</v>
      </c>
      <c r="Z1049" s="553">
        <v>982.88</v>
      </c>
      <c r="AA1049" s="553">
        <v>23700</v>
      </c>
      <c r="AB1049" s="563">
        <v>-0.01</v>
      </c>
      <c r="AC1049" s="563">
        <v>-2.1000000000000001E-2</v>
      </c>
    </row>
    <row r="1050" spans="24:29">
      <c r="X1050" s="562">
        <v>43700</v>
      </c>
      <c r="Y1050" s="553">
        <v>6</v>
      </c>
      <c r="Z1050" s="553">
        <v>992.45</v>
      </c>
      <c r="AA1050" s="553">
        <v>24200</v>
      </c>
      <c r="AB1050" s="563">
        <v>-5.0000000000000001E-3</v>
      </c>
      <c r="AC1050" s="563">
        <v>-8.0000000000000002E-3</v>
      </c>
    </row>
    <row r="1051" spans="24:29">
      <c r="X1051" s="562">
        <v>43699</v>
      </c>
      <c r="Y1051" s="553">
        <v>5</v>
      </c>
      <c r="Z1051" s="553">
        <v>997.26</v>
      </c>
      <c r="AA1051" s="553">
        <v>24400</v>
      </c>
      <c r="AB1051" s="563">
        <v>3.0000000000000001E-3</v>
      </c>
      <c r="AC1051" s="563">
        <v>6.0000000000000001E-3</v>
      </c>
    </row>
    <row r="1052" spans="24:29">
      <c r="X1052" s="562">
        <v>43698</v>
      </c>
      <c r="Y1052" s="553">
        <v>4</v>
      </c>
      <c r="Z1052" s="553">
        <v>994.38</v>
      </c>
      <c r="AA1052" s="553">
        <v>24250</v>
      </c>
      <c r="AB1052" s="563">
        <v>0.01</v>
      </c>
      <c r="AC1052" s="563">
        <v>-0.01</v>
      </c>
    </row>
    <row r="1053" spans="24:29">
      <c r="X1053" s="562">
        <v>43697</v>
      </c>
      <c r="Y1053" s="553">
        <v>3</v>
      </c>
      <c r="Z1053" s="553">
        <v>984.67</v>
      </c>
      <c r="AA1053" s="553">
        <v>24500</v>
      </c>
      <c r="AB1053" s="563">
        <v>4.0000000000000001E-3</v>
      </c>
      <c r="AC1053" s="563">
        <v>5.1999999999999998E-2</v>
      </c>
    </row>
    <row r="1054" spans="24:29">
      <c r="X1054" s="562">
        <v>43696</v>
      </c>
      <c r="Y1054" s="553">
        <v>2</v>
      </c>
      <c r="Z1054" s="553">
        <v>981.03</v>
      </c>
      <c r="AA1054" s="553">
        <v>23300</v>
      </c>
      <c r="AB1054" s="563">
        <v>1E-3</v>
      </c>
      <c r="AC1054" s="563">
        <v>6.0000000000000001E-3</v>
      </c>
    </row>
    <row r="1055" spans="24:29">
      <c r="X1055" s="562">
        <v>43693</v>
      </c>
      <c r="Y1055" s="553">
        <v>6</v>
      </c>
      <c r="Z1055" s="553">
        <v>980</v>
      </c>
      <c r="AA1055" s="553">
        <v>23150</v>
      </c>
      <c r="AB1055" s="563">
        <v>1E-3</v>
      </c>
      <c r="AC1055" s="563">
        <v>-8.9999999999999993E-3</v>
      </c>
    </row>
    <row r="1056" spans="24:29">
      <c r="X1056" s="562">
        <v>43692</v>
      </c>
      <c r="Y1056" s="553">
        <v>5</v>
      </c>
      <c r="Z1056" s="553">
        <v>979.38</v>
      </c>
      <c r="AA1056" s="553">
        <v>23350</v>
      </c>
      <c r="AB1056" s="563">
        <v>1.0999999999999999E-2</v>
      </c>
      <c r="AC1056" s="563">
        <v>-1.0999999999999999E-2</v>
      </c>
    </row>
    <row r="1057" spans="24:29">
      <c r="X1057" s="562">
        <v>43691</v>
      </c>
      <c r="Y1057" s="553">
        <v>4</v>
      </c>
      <c r="Z1057" s="553">
        <v>968.91</v>
      </c>
      <c r="AA1057" s="553">
        <v>23600</v>
      </c>
      <c r="AB1057" s="563">
        <v>2E-3</v>
      </c>
      <c r="AC1057" s="563">
        <v>4.0000000000000001E-3</v>
      </c>
    </row>
    <row r="1058" spans="24:29">
      <c r="X1058" s="562">
        <v>43690</v>
      </c>
      <c r="Y1058" s="553">
        <v>3</v>
      </c>
      <c r="Z1058" s="553">
        <v>966.83</v>
      </c>
      <c r="AA1058" s="553">
        <v>23500</v>
      </c>
      <c r="AB1058" s="563">
        <v>-8.9999999999999993E-3</v>
      </c>
      <c r="AC1058" s="563">
        <v>0</v>
      </c>
    </row>
    <row r="1059" spans="24:29">
      <c r="X1059" s="562">
        <v>43689</v>
      </c>
      <c r="Y1059" s="553">
        <v>2</v>
      </c>
      <c r="Z1059" s="553">
        <v>975.31</v>
      </c>
      <c r="AA1059" s="553">
        <v>23500</v>
      </c>
      <c r="AB1059" s="563">
        <v>1E-3</v>
      </c>
      <c r="AC1059" s="563">
        <v>0.04</v>
      </c>
    </row>
    <row r="1060" spans="24:29">
      <c r="X1060" s="562">
        <v>43686</v>
      </c>
      <c r="Y1060" s="553">
        <v>6</v>
      </c>
      <c r="Z1060" s="553">
        <v>974.34</v>
      </c>
      <c r="AA1060" s="553">
        <v>22600</v>
      </c>
      <c r="AB1060" s="563">
        <v>-1E-3</v>
      </c>
      <c r="AC1060" s="563">
        <v>8.9999999999999993E-3</v>
      </c>
    </row>
    <row r="1061" spans="24:29">
      <c r="X1061" s="562">
        <v>43685</v>
      </c>
      <c r="Y1061" s="553">
        <v>5</v>
      </c>
      <c r="Z1061" s="553">
        <v>975.24</v>
      </c>
      <c r="AA1061" s="553">
        <v>22400</v>
      </c>
      <c r="AB1061" s="563">
        <v>0.01</v>
      </c>
      <c r="AC1061" s="563">
        <v>2.8000000000000001E-2</v>
      </c>
    </row>
    <row r="1062" spans="24:29">
      <c r="X1062" s="562">
        <v>43684</v>
      </c>
      <c r="Y1062" s="553">
        <v>4</v>
      </c>
      <c r="Z1062" s="553">
        <v>965.93</v>
      </c>
      <c r="AA1062" s="553">
        <v>21800</v>
      </c>
      <c r="AB1062" s="563">
        <v>1E-3</v>
      </c>
      <c r="AC1062" s="563">
        <v>5.0000000000000001E-3</v>
      </c>
    </row>
    <row r="1063" spans="24:29">
      <c r="X1063" s="562">
        <v>43683</v>
      </c>
      <c r="Y1063" s="553">
        <v>3</v>
      </c>
      <c r="Z1063" s="553">
        <v>964.61</v>
      </c>
      <c r="AA1063" s="553">
        <v>21700</v>
      </c>
      <c r="AB1063" s="563">
        <v>-8.9999999999999993E-3</v>
      </c>
      <c r="AC1063" s="563">
        <v>-2.9000000000000001E-2</v>
      </c>
    </row>
    <row r="1064" spans="24:29">
      <c r="X1064" s="562">
        <v>43682</v>
      </c>
      <c r="Y1064" s="553">
        <v>2</v>
      </c>
      <c r="Z1064" s="553">
        <v>973.15</v>
      </c>
      <c r="AA1064" s="553">
        <v>22350</v>
      </c>
      <c r="AB1064" s="563">
        <v>-1.7999999999999999E-2</v>
      </c>
      <c r="AC1064" s="563">
        <v>-1.2999999999999999E-2</v>
      </c>
    </row>
    <row r="1065" spans="24:29">
      <c r="X1065" s="562">
        <v>43679</v>
      </c>
      <c r="Y1065" s="553">
        <v>6</v>
      </c>
      <c r="Z1065" s="553">
        <v>991.1</v>
      </c>
      <c r="AA1065" s="553">
        <v>22650</v>
      </c>
      <c r="AB1065" s="563">
        <v>-6.0000000000000001E-3</v>
      </c>
      <c r="AC1065" s="563">
        <v>-8.9999999999999993E-3</v>
      </c>
    </row>
    <row r="1066" spans="24:29">
      <c r="X1066" s="562">
        <v>43678</v>
      </c>
      <c r="Y1066" s="553">
        <v>5</v>
      </c>
      <c r="Z1066" s="553">
        <v>997.39</v>
      </c>
      <c r="AA1066" s="553">
        <v>22850</v>
      </c>
      <c r="AB1066" s="563">
        <v>6.0000000000000001E-3</v>
      </c>
      <c r="AC1066" s="563">
        <v>0.02</v>
      </c>
    </row>
    <row r="1067" spans="24:29">
      <c r="X1067" s="562">
        <v>43677</v>
      </c>
      <c r="Y1067" s="553">
        <v>4</v>
      </c>
      <c r="Z1067" s="553">
        <v>991.66</v>
      </c>
      <c r="AA1067" s="553">
        <v>22400</v>
      </c>
      <c r="AB1067" s="563">
        <v>6.0000000000000001E-3</v>
      </c>
      <c r="AC1067" s="563">
        <v>-4.0000000000000001E-3</v>
      </c>
    </row>
    <row r="1068" spans="24:29">
      <c r="X1068" s="562">
        <v>43676</v>
      </c>
      <c r="Y1068" s="553">
        <v>3</v>
      </c>
      <c r="Z1068" s="553">
        <v>986.02</v>
      </c>
      <c r="AA1068" s="553">
        <v>22500</v>
      </c>
      <c r="AB1068" s="563">
        <v>-1.2E-2</v>
      </c>
      <c r="AC1068" s="563">
        <v>-0.02</v>
      </c>
    </row>
    <row r="1069" spans="24:29">
      <c r="X1069" s="562">
        <v>43675</v>
      </c>
      <c r="Y1069" s="553">
        <v>2</v>
      </c>
      <c r="Z1069" s="553">
        <v>997.94</v>
      </c>
      <c r="AA1069" s="553">
        <v>22950</v>
      </c>
      <c r="AB1069" s="563">
        <v>5.0000000000000001E-3</v>
      </c>
      <c r="AC1069" s="563">
        <v>-1.0999999999999999E-2</v>
      </c>
    </row>
    <row r="1070" spans="24:29">
      <c r="X1070" s="562">
        <v>43672</v>
      </c>
      <c r="Y1070" s="553">
        <v>6</v>
      </c>
      <c r="Z1070" s="553">
        <v>993.35</v>
      </c>
      <c r="AA1070" s="553">
        <v>23200</v>
      </c>
      <c r="AB1070" s="563">
        <v>-2E-3</v>
      </c>
      <c r="AC1070" s="563">
        <v>-1.7000000000000001E-2</v>
      </c>
    </row>
    <row r="1071" spans="24:29">
      <c r="X1071" s="562">
        <v>43671</v>
      </c>
      <c r="Y1071" s="553">
        <v>5</v>
      </c>
      <c r="Z1071" s="553">
        <v>994.95</v>
      </c>
      <c r="AA1071" s="553">
        <v>23600</v>
      </c>
      <c r="AB1071" s="563">
        <v>7.0000000000000001E-3</v>
      </c>
      <c r="AC1071" s="563">
        <v>0</v>
      </c>
    </row>
    <row r="1072" spans="24:29">
      <c r="X1072" s="562">
        <v>43670</v>
      </c>
      <c r="Y1072" s="553">
        <v>4</v>
      </c>
      <c r="Z1072" s="553">
        <v>988.41</v>
      </c>
      <c r="AA1072" s="553">
        <v>23600</v>
      </c>
      <c r="AB1072" s="563">
        <v>-1E-3</v>
      </c>
      <c r="AC1072" s="563">
        <v>-2E-3</v>
      </c>
    </row>
    <row r="1073" spans="24:29">
      <c r="X1073" s="562">
        <v>43669</v>
      </c>
      <c r="Y1073" s="553">
        <v>3</v>
      </c>
      <c r="Z1073" s="553">
        <v>989.46</v>
      </c>
      <c r="AA1073" s="553">
        <v>23650</v>
      </c>
      <c r="AB1073" s="563">
        <v>8.0000000000000002E-3</v>
      </c>
      <c r="AC1073" s="563">
        <v>2.4E-2</v>
      </c>
    </row>
    <row r="1074" spans="24:29">
      <c r="X1074" s="562">
        <v>43668</v>
      </c>
      <c r="Y1074" s="553">
        <v>2</v>
      </c>
      <c r="Z1074" s="553">
        <v>982.04</v>
      </c>
      <c r="AA1074" s="553">
        <v>23100</v>
      </c>
      <c r="AB1074" s="563">
        <v>0</v>
      </c>
      <c r="AC1074" s="563">
        <v>-1.7000000000000001E-2</v>
      </c>
    </row>
    <row r="1075" spans="24:29">
      <c r="X1075" s="562">
        <v>43665</v>
      </c>
      <c r="Y1075" s="553">
        <v>6</v>
      </c>
      <c r="Z1075" s="553">
        <v>982.34</v>
      </c>
      <c r="AA1075" s="553">
        <v>23500</v>
      </c>
      <c r="AB1075" s="563">
        <v>6.0000000000000001E-3</v>
      </c>
      <c r="AC1075" s="563">
        <v>-4.0000000000000001E-3</v>
      </c>
    </row>
    <row r="1076" spans="24:29">
      <c r="X1076" s="562">
        <v>43664</v>
      </c>
      <c r="Y1076" s="553">
        <v>5</v>
      </c>
      <c r="Z1076" s="553">
        <v>976.05</v>
      </c>
      <c r="AA1076" s="553">
        <v>23600</v>
      </c>
      <c r="AB1076" s="563">
        <v>-7.0000000000000001E-3</v>
      </c>
      <c r="AC1076" s="563">
        <v>-4.0000000000000001E-3</v>
      </c>
    </row>
    <row r="1077" spans="24:29">
      <c r="X1077" s="562">
        <v>43663</v>
      </c>
      <c r="Y1077" s="553">
        <v>4</v>
      </c>
      <c r="Z1077" s="553">
        <v>982.57</v>
      </c>
      <c r="AA1077" s="553">
        <v>23700</v>
      </c>
      <c r="AB1077" s="563">
        <v>0</v>
      </c>
      <c r="AC1077" s="563">
        <v>8.9999999999999993E-3</v>
      </c>
    </row>
    <row r="1078" spans="24:29">
      <c r="X1078" s="562">
        <v>43662</v>
      </c>
      <c r="Y1078" s="553">
        <v>3</v>
      </c>
      <c r="Z1078" s="553">
        <v>982.11</v>
      </c>
      <c r="AA1078" s="553">
        <v>23500</v>
      </c>
      <c r="AB1078" s="563">
        <v>0.01</v>
      </c>
      <c r="AC1078" s="563">
        <v>-6.0000000000000001E-3</v>
      </c>
    </row>
    <row r="1079" spans="24:29">
      <c r="X1079" s="562">
        <v>43661</v>
      </c>
      <c r="Y1079" s="553">
        <v>2</v>
      </c>
      <c r="Z1079" s="553">
        <v>972.53</v>
      </c>
      <c r="AA1079" s="553">
        <v>23650</v>
      </c>
      <c r="AB1079" s="563">
        <v>-3.0000000000000001E-3</v>
      </c>
      <c r="AC1079" s="563">
        <v>3.3000000000000002E-2</v>
      </c>
    </row>
    <row r="1080" spans="24:29">
      <c r="X1080" s="562">
        <v>43658</v>
      </c>
      <c r="Y1080" s="553">
        <v>6</v>
      </c>
      <c r="Z1080" s="553">
        <v>975.4</v>
      </c>
      <c r="AA1080" s="553">
        <v>22900</v>
      </c>
      <c r="AB1080" s="563">
        <v>-3.0000000000000001E-3</v>
      </c>
      <c r="AC1080" s="563">
        <v>0</v>
      </c>
    </row>
    <row r="1081" spans="24:29">
      <c r="X1081" s="562">
        <v>43657</v>
      </c>
      <c r="Y1081" s="553">
        <v>5</v>
      </c>
      <c r="Z1081" s="553">
        <v>978.63</v>
      </c>
      <c r="AA1081" s="553">
        <v>22900</v>
      </c>
      <c r="AB1081" s="563">
        <v>5.0000000000000001E-3</v>
      </c>
      <c r="AC1081" s="563">
        <v>-4.0000000000000001E-3</v>
      </c>
    </row>
    <row r="1082" spans="24:29">
      <c r="X1082" s="562">
        <v>43656</v>
      </c>
      <c r="Y1082" s="553">
        <v>4</v>
      </c>
      <c r="Z1082" s="553">
        <v>973.65</v>
      </c>
      <c r="AA1082" s="553">
        <v>23000</v>
      </c>
      <c r="AB1082" s="563">
        <v>5.0000000000000001E-3</v>
      </c>
      <c r="AC1082" s="563">
        <v>0</v>
      </c>
    </row>
    <row r="1083" spans="24:29">
      <c r="X1083" s="562">
        <v>43655</v>
      </c>
      <c r="Y1083" s="553">
        <v>3</v>
      </c>
      <c r="Z1083" s="553">
        <v>969.05</v>
      </c>
      <c r="AA1083" s="553">
        <v>23000</v>
      </c>
      <c r="AB1083" s="563">
        <v>3.0000000000000001E-3</v>
      </c>
      <c r="AC1083" s="563">
        <v>0.02</v>
      </c>
    </row>
    <row r="1084" spans="24:29">
      <c r="X1084" s="562">
        <v>43654</v>
      </c>
      <c r="Y1084" s="553">
        <v>2</v>
      </c>
      <c r="Z1084" s="553">
        <v>966.35</v>
      </c>
      <c r="AA1084" s="553">
        <v>22550</v>
      </c>
      <c r="AB1084" s="563">
        <v>-8.9999999999999993E-3</v>
      </c>
      <c r="AC1084" s="563">
        <v>1.2999999999999999E-2</v>
      </c>
    </row>
    <row r="1085" spans="24:29">
      <c r="X1085" s="562">
        <v>43651</v>
      </c>
      <c r="Y1085" s="553">
        <v>6</v>
      </c>
      <c r="Z1085" s="553">
        <v>975.34</v>
      </c>
      <c r="AA1085" s="553">
        <v>22250</v>
      </c>
      <c r="AB1085" s="563">
        <v>2E-3</v>
      </c>
      <c r="AC1085" s="563">
        <v>8.9999999999999993E-3</v>
      </c>
    </row>
    <row r="1086" spans="24:29">
      <c r="X1086" s="562">
        <v>43650</v>
      </c>
      <c r="Y1086" s="553">
        <v>5</v>
      </c>
      <c r="Z1086" s="553">
        <v>973.04</v>
      </c>
      <c r="AA1086" s="553">
        <v>22050</v>
      </c>
      <c r="AB1086" s="563">
        <v>1.2999999999999999E-2</v>
      </c>
      <c r="AC1086" s="563">
        <v>8.9999999999999993E-3</v>
      </c>
    </row>
    <row r="1087" spans="24:29">
      <c r="X1087" s="562">
        <v>43649</v>
      </c>
      <c r="Y1087" s="553">
        <v>4</v>
      </c>
      <c r="Z1087" s="553">
        <v>960.39</v>
      </c>
      <c r="AA1087" s="553">
        <v>21850</v>
      </c>
      <c r="AB1087" s="563">
        <v>-2E-3</v>
      </c>
      <c r="AC1087" s="563">
        <v>2.1000000000000001E-2</v>
      </c>
    </row>
    <row r="1088" spans="24:29">
      <c r="X1088" s="562">
        <v>43648</v>
      </c>
      <c r="Y1088" s="553">
        <v>3</v>
      </c>
      <c r="Z1088" s="553">
        <v>961.98</v>
      </c>
      <c r="AA1088" s="553">
        <v>21400</v>
      </c>
      <c r="AB1088" s="563">
        <v>-4.0000000000000001E-3</v>
      </c>
      <c r="AC1088" s="563">
        <v>1.7000000000000001E-2</v>
      </c>
    </row>
    <row r="1089" spans="24:29">
      <c r="X1089" s="562">
        <v>43647</v>
      </c>
      <c r="Y1089" s="553">
        <v>2</v>
      </c>
      <c r="Z1089" s="553">
        <v>965.61</v>
      </c>
      <c r="AA1089" s="553">
        <v>21050</v>
      </c>
      <c r="AB1089" s="563">
        <v>1.6E-2</v>
      </c>
      <c r="AC1089" s="563">
        <v>7.0000000000000001E-3</v>
      </c>
    </row>
    <row r="1090" spans="24:29">
      <c r="X1090" s="562">
        <v>43644</v>
      </c>
      <c r="Y1090" s="553">
        <v>6</v>
      </c>
      <c r="Z1090" s="553">
        <v>949.94</v>
      </c>
      <c r="AA1090" s="553">
        <v>20900</v>
      </c>
      <c r="AB1090" s="563">
        <v>7.0000000000000001E-3</v>
      </c>
      <c r="AC1090" s="563">
        <v>5.0000000000000001E-3</v>
      </c>
    </row>
    <row r="1091" spans="24:29">
      <c r="X1091" s="562">
        <v>43643</v>
      </c>
      <c r="Y1091" s="553">
        <v>5</v>
      </c>
      <c r="Z1091" s="553">
        <v>943.11</v>
      </c>
      <c r="AA1091" s="553">
        <v>20800</v>
      </c>
      <c r="AB1091" s="563">
        <v>-1.7000000000000001E-2</v>
      </c>
      <c r="AC1091" s="563">
        <v>0</v>
      </c>
    </row>
    <row r="1092" spans="24:29">
      <c r="X1092" s="562">
        <v>43642</v>
      </c>
      <c r="Y1092" s="553">
        <v>4</v>
      </c>
      <c r="Z1092" s="553">
        <v>959.13</v>
      </c>
      <c r="AA1092" s="553">
        <v>20800</v>
      </c>
      <c r="AB1092" s="563">
        <v>-1E-3</v>
      </c>
      <c r="AC1092" s="563">
        <v>2E-3</v>
      </c>
    </row>
    <row r="1093" spans="24:29">
      <c r="X1093" s="562">
        <v>43641</v>
      </c>
      <c r="Y1093" s="553">
        <v>3</v>
      </c>
      <c r="Z1093" s="553">
        <v>960.13</v>
      </c>
      <c r="AA1093" s="553">
        <v>20750</v>
      </c>
      <c r="AB1093" s="563">
        <v>-3.0000000000000001E-3</v>
      </c>
      <c r="AC1093" s="563">
        <v>-2.5999999999999999E-2</v>
      </c>
    </row>
    <row r="1094" spans="24:29">
      <c r="X1094" s="562">
        <v>43640</v>
      </c>
      <c r="Y1094" s="553">
        <v>2</v>
      </c>
      <c r="Z1094" s="553">
        <v>962.85</v>
      </c>
      <c r="AA1094" s="553">
        <v>21300</v>
      </c>
      <c r="AB1094" s="563">
        <v>4.0000000000000001E-3</v>
      </c>
      <c r="AC1094" s="563">
        <v>-8.9999999999999993E-3</v>
      </c>
    </row>
    <row r="1095" spans="24:29">
      <c r="X1095" s="562">
        <v>43637</v>
      </c>
      <c r="Y1095" s="553">
        <v>6</v>
      </c>
      <c r="Z1095" s="553">
        <v>959.2</v>
      </c>
      <c r="AA1095" s="553">
        <v>21500</v>
      </c>
      <c r="AB1095" s="563">
        <v>0</v>
      </c>
      <c r="AC1095" s="563">
        <v>8.9999999999999993E-3</v>
      </c>
    </row>
    <row r="1096" spans="24:29">
      <c r="X1096" s="562">
        <v>43636</v>
      </c>
      <c r="Y1096" s="553">
        <v>5</v>
      </c>
      <c r="Z1096" s="553">
        <v>959.18</v>
      </c>
      <c r="AA1096" s="553">
        <v>21300</v>
      </c>
      <c r="AB1096" s="563">
        <v>0.01</v>
      </c>
      <c r="AC1096" s="563">
        <v>1.9E-2</v>
      </c>
    </row>
    <row r="1097" spans="24:29">
      <c r="X1097" s="562">
        <v>43635</v>
      </c>
      <c r="Y1097" s="553">
        <v>4</v>
      </c>
      <c r="Z1097" s="553">
        <v>949.69</v>
      </c>
      <c r="AA1097" s="553">
        <v>20900</v>
      </c>
      <c r="AB1097" s="563">
        <v>6.0000000000000001E-3</v>
      </c>
      <c r="AC1097" s="563">
        <v>0</v>
      </c>
    </row>
    <row r="1098" spans="24:29">
      <c r="X1098" s="562">
        <v>43634</v>
      </c>
      <c r="Y1098" s="553">
        <v>3</v>
      </c>
      <c r="Z1098" s="553">
        <v>944.01</v>
      </c>
      <c r="AA1098" s="553">
        <v>20900</v>
      </c>
      <c r="AB1098" s="563">
        <v>-3.0000000000000001E-3</v>
      </c>
      <c r="AC1098" s="563">
        <v>-5.0000000000000001E-3</v>
      </c>
    </row>
    <row r="1099" spans="24:29">
      <c r="X1099" s="562">
        <v>43633</v>
      </c>
      <c r="Y1099" s="553">
        <v>2</v>
      </c>
      <c r="Z1099" s="553">
        <v>946.95</v>
      </c>
      <c r="AA1099" s="553">
        <v>21000</v>
      </c>
      <c r="AB1099" s="563">
        <v>-7.0000000000000001E-3</v>
      </c>
      <c r="AC1099" s="563">
        <v>-1.9E-2</v>
      </c>
    </row>
    <row r="1100" spans="24:29">
      <c r="X1100" s="562">
        <v>43630</v>
      </c>
      <c r="Y1100" s="553">
        <v>6</v>
      </c>
      <c r="Z1100" s="553">
        <v>953.61</v>
      </c>
      <c r="AA1100" s="553">
        <v>21400</v>
      </c>
      <c r="AB1100" s="563">
        <v>4.0000000000000001E-3</v>
      </c>
      <c r="AC1100" s="563">
        <v>0</v>
      </c>
    </row>
    <row r="1101" spans="24:29">
      <c r="X1101" s="562">
        <v>43629</v>
      </c>
      <c r="Y1101" s="553">
        <v>5</v>
      </c>
      <c r="Z1101" s="553">
        <v>950.08</v>
      </c>
      <c r="AA1101" s="553">
        <v>21400</v>
      </c>
      <c r="AB1101" s="563">
        <v>-4.0000000000000001E-3</v>
      </c>
      <c r="AC1101" s="563">
        <v>-2.1000000000000001E-2</v>
      </c>
    </row>
    <row r="1102" spans="24:29">
      <c r="X1102" s="562">
        <v>43628</v>
      </c>
      <c r="Y1102" s="553">
        <v>4</v>
      </c>
      <c r="Z1102" s="553">
        <v>954.17</v>
      </c>
      <c r="AA1102" s="553">
        <v>21850</v>
      </c>
      <c r="AB1102" s="563">
        <v>-8.0000000000000002E-3</v>
      </c>
      <c r="AC1102" s="563">
        <v>-2E-3</v>
      </c>
    </row>
    <row r="1103" spans="24:29">
      <c r="X1103" s="562">
        <v>43627</v>
      </c>
      <c r="Y1103" s="553">
        <v>3</v>
      </c>
      <c r="Z1103" s="553">
        <v>962.07</v>
      </c>
      <c r="AA1103" s="553">
        <v>21900</v>
      </c>
      <c r="AB1103" s="563">
        <v>-1E-3</v>
      </c>
      <c r="AC1103" s="563">
        <v>-0.02</v>
      </c>
    </row>
    <row r="1104" spans="24:29">
      <c r="X1104" s="562">
        <v>43626</v>
      </c>
      <c r="Y1104" s="553">
        <v>2</v>
      </c>
      <c r="Z1104" s="553">
        <v>962.9</v>
      </c>
      <c r="AA1104" s="553">
        <v>22350</v>
      </c>
      <c r="AB1104" s="563">
        <v>5.0000000000000001E-3</v>
      </c>
      <c r="AC1104" s="563">
        <v>0</v>
      </c>
    </row>
    <row r="1105" spans="24:29">
      <c r="X1105" s="562">
        <v>43623</v>
      </c>
      <c r="Y1105" s="553">
        <v>6</v>
      </c>
      <c r="Z1105" s="553">
        <v>958.28</v>
      </c>
      <c r="AA1105" s="553">
        <v>22350</v>
      </c>
      <c r="AB1105" s="563">
        <v>1.0999999999999999E-2</v>
      </c>
      <c r="AC1105" s="563">
        <v>3.5000000000000003E-2</v>
      </c>
    </row>
    <row r="1106" spans="24:29">
      <c r="X1106" s="562">
        <v>43622</v>
      </c>
      <c r="Y1106" s="553">
        <v>5</v>
      </c>
      <c r="Z1106" s="553">
        <v>948.21</v>
      </c>
      <c r="AA1106" s="553">
        <v>21600</v>
      </c>
      <c r="AB1106" s="563">
        <v>-3.0000000000000001E-3</v>
      </c>
      <c r="AC1106" s="563">
        <v>0</v>
      </c>
    </row>
    <row r="1107" spans="24:29">
      <c r="X1107" s="562">
        <v>43621</v>
      </c>
      <c r="Y1107" s="553">
        <v>4</v>
      </c>
      <c r="Z1107" s="553">
        <v>951.41</v>
      </c>
      <c r="AA1107" s="553">
        <v>21600</v>
      </c>
      <c r="AB1107" s="563">
        <v>0</v>
      </c>
      <c r="AC1107" s="563">
        <v>-2E-3</v>
      </c>
    </row>
    <row r="1108" spans="24:29">
      <c r="X1108" s="562">
        <v>43620</v>
      </c>
      <c r="Y1108" s="553">
        <v>3</v>
      </c>
      <c r="Z1108" s="553">
        <v>951.16</v>
      </c>
      <c r="AA1108" s="553">
        <v>21650</v>
      </c>
      <c r="AB1108" s="563">
        <v>5.0000000000000001E-3</v>
      </c>
      <c r="AC1108" s="563">
        <v>0</v>
      </c>
    </row>
    <row r="1109" spans="24:29">
      <c r="X1109" s="562">
        <v>43619</v>
      </c>
      <c r="Y1109" s="553">
        <v>2</v>
      </c>
      <c r="Z1109" s="553">
        <v>946.47</v>
      </c>
      <c r="AA1109" s="553">
        <v>21650</v>
      </c>
      <c r="AB1109" s="563">
        <v>-1.4E-2</v>
      </c>
      <c r="AC1109" s="563">
        <v>-0.02</v>
      </c>
    </row>
    <row r="1110" spans="24:29">
      <c r="X1110" s="562">
        <v>43616</v>
      </c>
      <c r="Y1110" s="553">
        <v>6</v>
      </c>
      <c r="Z1110" s="553">
        <v>959.88</v>
      </c>
      <c r="AA1110" s="553">
        <v>22100</v>
      </c>
      <c r="AB1110" s="563">
        <v>-0.01</v>
      </c>
      <c r="AC1110" s="563">
        <v>-3.3000000000000002E-2</v>
      </c>
    </row>
    <row r="1111" spans="24:29">
      <c r="X1111" s="562">
        <v>43615</v>
      </c>
      <c r="Y1111" s="553">
        <v>5</v>
      </c>
      <c r="Z1111" s="553">
        <v>969.34</v>
      </c>
      <c r="AA1111" s="553">
        <v>22850</v>
      </c>
      <c r="AB1111" s="563">
        <v>-2E-3</v>
      </c>
      <c r="AC1111" s="563">
        <v>2E-3</v>
      </c>
    </row>
    <row r="1112" spans="24:29">
      <c r="X1112" s="562">
        <v>43614</v>
      </c>
      <c r="Y1112" s="553">
        <v>4</v>
      </c>
      <c r="Z1112" s="553">
        <v>971.54</v>
      </c>
      <c r="AA1112" s="553">
        <v>22800</v>
      </c>
      <c r="AB1112" s="563">
        <v>0</v>
      </c>
      <c r="AC1112" s="563">
        <v>0</v>
      </c>
    </row>
    <row r="1113" spans="24:29">
      <c r="X1113" s="562">
        <v>43613</v>
      </c>
      <c r="Y1113" s="553">
        <v>3</v>
      </c>
      <c r="Z1113" s="553">
        <v>972</v>
      </c>
      <c r="AA1113" s="553">
        <v>22800</v>
      </c>
      <c r="AB1113" s="563">
        <v>-3.0000000000000001E-3</v>
      </c>
      <c r="AC1113" s="563">
        <v>-8.9999999999999993E-3</v>
      </c>
    </row>
    <row r="1114" spans="24:29">
      <c r="X1114" s="562">
        <v>43612</v>
      </c>
      <c r="Y1114" s="553">
        <v>2</v>
      </c>
      <c r="Z1114" s="553">
        <v>975.14</v>
      </c>
      <c r="AA1114" s="553">
        <v>23000</v>
      </c>
      <c r="AB1114" s="563">
        <v>5.0000000000000001E-3</v>
      </c>
      <c r="AC1114" s="563">
        <v>0</v>
      </c>
    </row>
    <row r="1115" spans="24:29">
      <c r="X1115" s="562">
        <v>43609</v>
      </c>
      <c r="Y1115" s="553">
        <v>6</v>
      </c>
      <c r="Z1115" s="553">
        <v>970.03</v>
      </c>
      <c r="AA1115" s="553">
        <v>23000</v>
      </c>
      <c r="AB1115" s="563">
        <v>-1.2999999999999999E-2</v>
      </c>
      <c r="AC1115" s="563">
        <v>-1.4999999999999999E-2</v>
      </c>
    </row>
    <row r="1116" spans="24:29">
      <c r="X1116" s="562">
        <v>43608</v>
      </c>
      <c r="Y1116" s="553">
        <v>5</v>
      </c>
      <c r="Z1116" s="553">
        <v>982.71</v>
      </c>
      <c r="AA1116" s="553">
        <v>23350</v>
      </c>
      <c r="AB1116" s="563">
        <v>-1E-3</v>
      </c>
      <c r="AC1116" s="563">
        <v>-2E-3</v>
      </c>
    </row>
    <row r="1117" spans="24:29">
      <c r="X1117" s="562">
        <v>43607</v>
      </c>
      <c r="Y1117" s="553">
        <v>4</v>
      </c>
      <c r="Z1117" s="553">
        <v>983.78</v>
      </c>
      <c r="AA1117" s="553">
        <v>23400</v>
      </c>
      <c r="AB1117" s="563">
        <v>-3.0000000000000001E-3</v>
      </c>
      <c r="AC1117" s="563">
        <v>2E-3</v>
      </c>
    </row>
    <row r="1118" spans="24:29">
      <c r="X1118" s="562">
        <v>43606</v>
      </c>
      <c r="Y1118" s="553">
        <v>3</v>
      </c>
      <c r="Z1118" s="553">
        <v>986.29</v>
      </c>
      <c r="AA1118" s="553">
        <v>23350</v>
      </c>
      <c r="AB1118" s="563">
        <v>-1E-3</v>
      </c>
      <c r="AC1118" s="563">
        <v>2.1999999999999999E-2</v>
      </c>
    </row>
    <row r="1119" spans="24:29">
      <c r="X1119" s="562">
        <v>43605</v>
      </c>
      <c r="Y1119" s="553">
        <v>2</v>
      </c>
      <c r="Z1119" s="553">
        <v>987.13</v>
      </c>
      <c r="AA1119" s="553">
        <v>22850</v>
      </c>
      <c r="AB1119" s="563">
        <v>1.0999999999999999E-2</v>
      </c>
      <c r="AC1119" s="563">
        <v>0</v>
      </c>
    </row>
    <row r="1120" spans="24:29">
      <c r="X1120" s="562">
        <v>43602</v>
      </c>
      <c r="Y1120" s="553">
        <v>6</v>
      </c>
      <c r="Z1120" s="553">
        <v>976.48</v>
      </c>
      <c r="AA1120" s="553">
        <v>22850</v>
      </c>
      <c r="AB1120" s="563">
        <v>1E-3</v>
      </c>
      <c r="AC1120" s="563">
        <v>-2E-3</v>
      </c>
    </row>
    <row r="1121" spans="24:29">
      <c r="X1121" s="562">
        <v>43601</v>
      </c>
      <c r="Y1121" s="553">
        <v>5</v>
      </c>
      <c r="Z1121" s="553">
        <v>975.69</v>
      </c>
      <c r="AA1121" s="553">
        <v>22900</v>
      </c>
      <c r="AB1121" s="563">
        <v>0</v>
      </c>
      <c r="AC1121" s="563">
        <v>-4.0000000000000001E-3</v>
      </c>
    </row>
    <row r="1122" spans="24:29">
      <c r="X1122" s="562">
        <v>43600</v>
      </c>
      <c r="Y1122" s="553">
        <v>4</v>
      </c>
      <c r="Z1122" s="553">
        <v>975.64</v>
      </c>
      <c r="AA1122" s="553">
        <v>23000</v>
      </c>
      <c r="AB1122" s="563">
        <v>1.0999999999999999E-2</v>
      </c>
      <c r="AC1122" s="563">
        <v>-6.0000000000000001E-3</v>
      </c>
    </row>
    <row r="1123" spans="24:29">
      <c r="X1123" s="562">
        <v>43599</v>
      </c>
      <c r="Y1123" s="553">
        <v>3</v>
      </c>
      <c r="Z1123" s="553">
        <v>965.34</v>
      </c>
      <c r="AA1123" s="553">
        <v>23150</v>
      </c>
      <c r="AB1123" s="563">
        <v>7.0000000000000001E-3</v>
      </c>
      <c r="AC1123" s="563">
        <v>2E-3</v>
      </c>
    </row>
    <row r="1124" spans="24:29">
      <c r="X1124" s="562">
        <v>43598</v>
      </c>
      <c r="Y1124" s="553">
        <v>2</v>
      </c>
      <c r="Z1124" s="553">
        <v>958.54</v>
      </c>
      <c r="AA1124" s="553">
        <v>23100</v>
      </c>
      <c r="AB1124" s="563">
        <v>6.0000000000000001E-3</v>
      </c>
      <c r="AC1124" s="563">
        <v>3.4000000000000002E-2</v>
      </c>
    </row>
    <row r="1125" spans="24:29">
      <c r="X1125" s="562">
        <v>43595</v>
      </c>
      <c r="Y1125" s="553">
        <v>6</v>
      </c>
      <c r="Z1125" s="553">
        <v>952.55</v>
      </c>
      <c r="AA1125" s="553">
        <v>22350</v>
      </c>
      <c r="AB1125" s="563">
        <v>6.0000000000000001E-3</v>
      </c>
      <c r="AC1125" s="563">
        <v>1.6E-2</v>
      </c>
    </row>
    <row r="1126" spans="24:29">
      <c r="X1126" s="562">
        <v>43594</v>
      </c>
      <c r="Y1126" s="553">
        <v>5</v>
      </c>
      <c r="Z1126" s="553">
        <v>947.01</v>
      </c>
      <c r="AA1126" s="553">
        <v>22000</v>
      </c>
      <c r="AB1126" s="563">
        <v>-4.0000000000000001E-3</v>
      </c>
      <c r="AC1126" s="563">
        <v>-1.2999999999999999E-2</v>
      </c>
    </row>
    <row r="1127" spans="24:29">
      <c r="X1127" s="562">
        <v>43593</v>
      </c>
      <c r="Y1127" s="553">
        <v>4</v>
      </c>
      <c r="Z1127" s="553">
        <v>951.22</v>
      </c>
      <c r="AA1127" s="553">
        <v>22300</v>
      </c>
      <c r="AB1127" s="563">
        <v>-7.0000000000000001E-3</v>
      </c>
      <c r="AC1127" s="563">
        <v>-4.0000000000000001E-3</v>
      </c>
    </row>
    <row r="1128" spans="24:29">
      <c r="X1128" s="562">
        <v>43592</v>
      </c>
      <c r="Y1128" s="553">
        <v>3</v>
      </c>
      <c r="Z1128" s="553">
        <v>957.56</v>
      </c>
      <c r="AA1128" s="553">
        <v>22400</v>
      </c>
      <c r="AB1128" s="563">
        <v>0</v>
      </c>
      <c r="AC1128" s="563">
        <v>1.6E-2</v>
      </c>
    </row>
    <row r="1129" spans="24:29">
      <c r="X1129" s="562">
        <v>43591</v>
      </c>
      <c r="Y1129" s="553">
        <v>2</v>
      </c>
      <c r="Z1129" s="553">
        <v>957.97</v>
      </c>
      <c r="AA1129" s="553">
        <v>22050</v>
      </c>
      <c r="AB1129" s="563">
        <v>-1.7000000000000001E-2</v>
      </c>
      <c r="AC1129" s="563">
        <v>-2.9000000000000001E-2</v>
      </c>
    </row>
    <row r="1130" spans="24:29">
      <c r="X1130" s="562">
        <v>43588</v>
      </c>
      <c r="Y1130" s="553">
        <v>6</v>
      </c>
      <c r="Z1130" s="553">
        <v>974.14</v>
      </c>
      <c r="AA1130" s="553">
        <v>22700</v>
      </c>
      <c r="AB1130" s="563">
        <v>-4.0000000000000001E-3</v>
      </c>
      <c r="AC1130" s="563">
        <v>0</v>
      </c>
    </row>
    <row r="1131" spans="24:29">
      <c r="X1131" s="562">
        <v>43587</v>
      </c>
      <c r="Y1131" s="553">
        <v>5</v>
      </c>
      <c r="Z1131" s="553">
        <v>978.5</v>
      </c>
      <c r="AA1131" s="553">
        <v>22700</v>
      </c>
      <c r="AB1131" s="563">
        <v>-1E-3</v>
      </c>
      <c r="AC1131" s="563">
        <v>-4.0000000000000001E-3</v>
      </c>
    </row>
    <row r="1132" spans="24:29">
      <c r="X1132" s="562">
        <v>43581</v>
      </c>
      <c r="Y1132" s="553">
        <v>6</v>
      </c>
      <c r="Z1132" s="553">
        <v>979.64</v>
      </c>
      <c r="AA1132" s="553">
        <v>22800</v>
      </c>
      <c r="AB1132" s="563">
        <v>6.0000000000000001E-3</v>
      </c>
      <c r="AC1132" s="563">
        <v>8.9999999999999993E-3</v>
      </c>
    </row>
    <row r="1133" spans="24:29">
      <c r="X1133" s="562">
        <v>43580</v>
      </c>
      <c r="Y1133" s="553">
        <v>5</v>
      </c>
      <c r="Z1133" s="553">
        <v>974.13</v>
      </c>
      <c r="AA1133" s="553">
        <v>22600</v>
      </c>
      <c r="AB1133" s="563">
        <v>-3.0000000000000001E-3</v>
      </c>
      <c r="AC1133" s="563">
        <v>-4.0000000000000001E-3</v>
      </c>
    </row>
    <row r="1134" spans="24:29">
      <c r="X1134" s="562">
        <v>43579</v>
      </c>
      <c r="Y1134" s="553">
        <v>4</v>
      </c>
      <c r="Z1134" s="553">
        <v>976.92</v>
      </c>
      <c r="AA1134" s="553">
        <v>22700</v>
      </c>
      <c r="AB1134" s="563">
        <v>8.9999999999999993E-3</v>
      </c>
      <c r="AC1134" s="563">
        <v>8.9999999999999993E-3</v>
      </c>
    </row>
    <row r="1135" spans="24:29">
      <c r="X1135" s="562">
        <v>43578</v>
      </c>
      <c r="Y1135" s="553">
        <v>3</v>
      </c>
      <c r="Z1135" s="553">
        <v>968</v>
      </c>
      <c r="AA1135" s="553">
        <v>22500</v>
      </c>
      <c r="AB1135" s="563">
        <v>2E-3</v>
      </c>
      <c r="AC1135" s="563">
        <v>8.9999999999999993E-3</v>
      </c>
    </row>
    <row r="1136" spans="24:29">
      <c r="X1136" s="562">
        <v>43577</v>
      </c>
      <c r="Y1136" s="553">
        <v>2</v>
      </c>
      <c r="Z1136" s="553">
        <v>965.86</v>
      </c>
      <c r="AA1136" s="553">
        <v>22300</v>
      </c>
      <c r="AB1136" s="563">
        <v>0</v>
      </c>
      <c r="AC1136" s="563">
        <v>0</v>
      </c>
    </row>
    <row r="1137" spans="24:29">
      <c r="X1137" s="562">
        <v>43574</v>
      </c>
      <c r="Y1137" s="553">
        <v>6</v>
      </c>
      <c r="Z1137" s="553">
        <v>966.21</v>
      </c>
      <c r="AA1137" s="553">
        <v>22300</v>
      </c>
      <c r="AB1137" s="563">
        <v>4.0000000000000001E-3</v>
      </c>
      <c r="AC1137" s="563">
        <v>1.4E-2</v>
      </c>
    </row>
    <row r="1138" spans="24:29">
      <c r="X1138" s="562">
        <v>43573</v>
      </c>
      <c r="Y1138" s="553">
        <v>5</v>
      </c>
      <c r="Z1138" s="553">
        <v>962.3</v>
      </c>
      <c r="AA1138" s="553">
        <v>22000</v>
      </c>
      <c r="AB1138" s="563">
        <v>-0.01</v>
      </c>
      <c r="AC1138" s="563">
        <v>-2.1999999999999999E-2</v>
      </c>
    </row>
    <row r="1139" spans="24:29">
      <c r="X1139" s="562">
        <v>43572</v>
      </c>
      <c r="Y1139" s="553">
        <v>4</v>
      </c>
      <c r="Z1139" s="553">
        <v>972.1</v>
      </c>
      <c r="AA1139" s="553">
        <v>22500</v>
      </c>
      <c r="AB1139" s="563">
        <v>-5.0000000000000001E-3</v>
      </c>
      <c r="AC1139" s="563">
        <v>-4.0000000000000001E-3</v>
      </c>
    </row>
    <row r="1140" spans="24:29">
      <c r="X1140" s="562">
        <v>43571</v>
      </c>
      <c r="Y1140" s="553">
        <v>3</v>
      </c>
      <c r="Z1140" s="553">
        <v>977.17</v>
      </c>
      <c r="AA1140" s="553">
        <v>22600</v>
      </c>
      <c r="AB1140" s="563">
        <v>-6.0000000000000001E-3</v>
      </c>
      <c r="AC1140" s="563">
        <v>0</v>
      </c>
    </row>
    <row r="1141" spans="24:29">
      <c r="X1141" s="562">
        <v>43567</v>
      </c>
      <c r="Y1141" s="553">
        <v>6</v>
      </c>
      <c r="Z1141" s="553">
        <v>982.9</v>
      </c>
      <c r="AA1141" s="553">
        <v>22600</v>
      </c>
      <c r="AB1141" s="563">
        <v>-3.0000000000000001E-3</v>
      </c>
      <c r="AC1141" s="563">
        <v>-4.0000000000000001E-3</v>
      </c>
    </row>
    <row r="1142" spans="24:29">
      <c r="X1142" s="562">
        <v>43566</v>
      </c>
      <c r="Y1142" s="553">
        <v>5</v>
      </c>
      <c r="Z1142" s="553">
        <v>985.95</v>
      </c>
      <c r="AA1142" s="553">
        <v>22700</v>
      </c>
      <c r="AB1142" s="563">
        <v>4.0000000000000001E-3</v>
      </c>
      <c r="AC1142" s="563">
        <v>2E-3</v>
      </c>
    </row>
    <row r="1143" spans="24:29">
      <c r="X1143" s="562">
        <v>43565</v>
      </c>
      <c r="Y1143" s="553">
        <v>4</v>
      </c>
      <c r="Z1143" s="553">
        <v>981.91</v>
      </c>
      <c r="AA1143" s="553">
        <v>22650</v>
      </c>
      <c r="AB1143" s="563">
        <v>-7.0000000000000001E-3</v>
      </c>
      <c r="AC1143" s="563">
        <v>2E-3</v>
      </c>
    </row>
    <row r="1144" spans="24:29">
      <c r="X1144" s="562">
        <v>43564</v>
      </c>
      <c r="Y1144" s="553">
        <v>3</v>
      </c>
      <c r="Z1144" s="553">
        <v>988.48</v>
      </c>
      <c r="AA1144" s="553">
        <v>22600</v>
      </c>
      <c r="AB1144" s="563">
        <v>-8.9999999999999993E-3</v>
      </c>
      <c r="AC1144" s="563">
        <v>-1.2999999999999999E-2</v>
      </c>
    </row>
    <row r="1145" spans="24:29">
      <c r="X1145" s="562">
        <v>43563</v>
      </c>
      <c r="Y1145" s="553">
        <v>2</v>
      </c>
      <c r="Z1145" s="553">
        <v>997.56</v>
      </c>
      <c r="AA1145" s="553">
        <v>22900</v>
      </c>
      <c r="AB1145" s="563">
        <v>8.0000000000000002E-3</v>
      </c>
      <c r="AC1145" s="563">
        <v>2.5000000000000001E-2</v>
      </c>
    </row>
    <row r="1146" spans="24:29">
      <c r="X1146" s="562">
        <v>43560</v>
      </c>
      <c r="Y1146" s="553">
        <v>6</v>
      </c>
      <c r="Z1146" s="553">
        <v>989.26</v>
      </c>
      <c r="AA1146" s="553">
        <v>22350</v>
      </c>
      <c r="AB1146" s="563">
        <v>2E-3</v>
      </c>
      <c r="AC1146" s="563">
        <v>2.5000000000000001E-2</v>
      </c>
    </row>
    <row r="1147" spans="24:29">
      <c r="X1147" s="562">
        <v>43559</v>
      </c>
      <c r="Y1147" s="553">
        <v>5</v>
      </c>
      <c r="Z1147" s="553">
        <v>986.91</v>
      </c>
      <c r="AA1147" s="553">
        <v>21800</v>
      </c>
      <c r="AB1147" s="563">
        <v>2E-3</v>
      </c>
      <c r="AC1147" s="563">
        <v>-2.5000000000000001E-2</v>
      </c>
    </row>
    <row r="1148" spans="24:29">
      <c r="X1148" s="562">
        <v>43558</v>
      </c>
      <c r="Y1148" s="553">
        <v>4</v>
      </c>
      <c r="Z1148" s="553">
        <v>984.46</v>
      </c>
      <c r="AA1148" s="553">
        <v>22350</v>
      </c>
      <c r="AB1148" s="563">
        <v>-1E-3</v>
      </c>
      <c r="AC1148" s="563">
        <v>-8.9999999999999993E-3</v>
      </c>
    </row>
    <row r="1149" spans="24:29">
      <c r="X1149" s="562">
        <v>43557</v>
      </c>
      <c r="Y1149" s="553">
        <v>3</v>
      </c>
      <c r="Z1149" s="553">
        <v>985.81</v>
      </c>
      <c r="AA1149" s="553">
        <v>22550</v>
      </c>
      <c r="AB1149" s="563">
        <v>-3.0000000000000001E-3</v>
      </c>
      <c r="AC1149" s="563">
        <v>-8.9999999999999993E-3</v>
      </c>
    </row>
    <row r="1150" spans="24:29">
      <c r="X1150" s="562">
        <v>43556</v>
      </c>
      <c r="Y1150" s="553">
        <v>2</v>
      </c>
      <c r="Z1150" s="553">
        <v>988.53</v>
      </c>
      <c r="AA1150" s="553">
        <v>22750</v>
      </c>
      <c r="AB1150" s="563">
        <v>8.0000000000000002E-3</v>
      </c>
      <c r="AC1150" s="563">
        <v>0</v>
      </c>
    </row>
    <row r="1151" spans="24:29">
      <c r="X1151" s="562">
        <v>43553</v>
      </c>
      <c r="Y1151" s="553">
        <v>6</v>
      </c>
      <c r="Z1151" s="553">
        <v>980.76</v>
      </c>
      <c r="AA1151" s="553">
        <v>22750</v>
      </c>
      <c r="AB1151" s="563">
        <v>-2E-3</v>
      </c>
      <c r="AC1151" s="563">
        <v>-1.4999999999999999E-2</v>
      </c>
    </row>
    <row r="1152" spans="24:29">
      <c r="X1152" s="562">
        <v>43552</v>
      </c>
      <c r="Y1152" s="553">
        <v>5</v>
      </c>
      <c r="Z1152" s="553">
        <v>982.98</v>
      </c>
      <c r="AA1152" s="553">
        <v>23100</v>
      </c>
      <c r="AB1152" s="563">
        <v>7.0000000000000001E-3</v>
      </c>
      <c r="AC1152" s="563">
        <v>-2E-3</v>
      </c>
    </row>
    <row r="1153" spans="24:29">
      <c r="X1153" s="562">
        <v>43551</v>
      </c>
      <c r="Y1153" s="553">
        <v>4</v>
      </c>
      <c r="Z1153" s="553">
        <v>975.91</v>
      </c>
      <c r="AA1153" s="553">
        <v>23150</v>
      </c>
      <c r="AB1153" s="563">
        <v>6.0000000000000001E-3</v>
      </c>
      <c r="AC1153" s="563">
        <v>7.0000000000000001E-3</v>
      </c>
    </row>
    <row r="1154" spans="24:29">
      <c r="X1154" s="562">
        <v>43550</v>
      </c>
      <c r="Y1154" s="553">
        <v>3</v>
      </c>
      <c r="Z1154" s="553">
        <v>969.79</v>
      </c>
      <c r="AA1154" s="553">
        <v>23000</v>
      </c>
      <c r="AB1154" s="563">
        <v>0</v>
      </c>
      <c r="AC1154" s="563">
        <v>1.2999999999999999E-2</v>
      </c>
    </row>
    <row r="1155" spans="24:29">
      <c r="X1155" s="562">
        <v>43549</v>
      </c>
      <c r="Y1155" s="553">
        <v>2</v>
      </c>
      <c r="Z1155" s="553">
        <v>970.07</v>
      </c>
      <c r="AA1155" s="553">
        <v>22700</v>
      </c>
      <c r="AB1155" s="563">
        <v>-1.9E-2</v>
      </c>
      <c r="AC1155" s="563">
        <v>-2.5999999999999999E-2</v>
      </c>
    </row>
    <row r="1156" spans="24:29">
      <c r="X1156" s="562">
        <v>43546</v>
      </c>
      <c r="Y1156" s="553">
        <v>6</v>
      </c>
      <c r="Z1156" s="553">
        <v>988.71</v>
      </c>
      <c r="AA1156" s="553">
        <v>23300</v>
      </c>
      <c r="AB1156" s="563">
        <v>7.0000000000000001E-3</v>
      </c>
      <c r="AC1156" s="563">
        <v>0</v>
      </c>
    </row>
    <row r="1157" spans="24:29">
      <c r="X1157" s="562">
        <v>43545</v>
      </c>
      <c r="Y1157" s="553">
        <v>5</v>
      </c>
      <c r="Z1157" s="553">
        <v>981.78</v>
      </c>
      <c r="AA1157" s="553">
        <v>23300</v>
      </c>
      <c r="AB1157" s="563">
        <v>-0.02</v>
      </c>
      <c r="AC1157" s="563">
        <v>-1.0999999999999999E-2</v>
      </c>
    </row>
    <row r="1158" spans="24:29">
      <c r="X1158" s="562">
        <v>43544</v>
      </c>
      <c r="Y1158" s="553">
        <v>4</v>
      </c>
      <c r="Z1158" s="553">
        <v>1002.3</v>
      </c>
      <c r="AA1158" s="553">
        <v>23550</v>
      </c>
      <c r="AB1158" s="563">
        <v>-4.0000000000000001E-3</v>
      </c>
      <c r="AC1158" s="563">
        <v>-1.0999999999999999E-2</v>
      </c>
    </row>
    <row r="1159" spans="24:29">
      <c r="X1159" s="562">
        <v>43543</v>
      </c>
      <c r="Y1159" s="553">
        <v>3</v>
      </c>
      <c r="Z1159" s="553">
        <v>1006.59</v>
      </c>
      <c r="AA1159" s="553">
        <v>23800</v>
      </c>
      <c r="AB1159" s="563">
        <v>-5.0000000000000001E-3</v>
      </c>
      <c r="AC1159" s="563">
        <v>-4.0000000000000001E-3</v>
      </c>
    </row>
    <row r="1160" spans="24:29">
      <c r="X1160" s="562">
        <v>43542</v>
      </c>
      <c r="Y1160" s="553">
        <v>2</v>
      </c>
      <c r="Z1160" s="553">
        <v>1011.86</v>
      </c>
      <c r="AA1160" s="553">
        <v>23900</v>
      </c>
      <c r="AB1160" s="563">
        <v>8.0000000000000002E-3</v>
      </c>
      <c r="AC1160" s="563">
        <v>2.5999999999999999E-2</v>
      </c>
    </row>
    <row r="1161" spans="24:29">
      <c r="X1161" s="562">
        <v>43539</v>
      </c>
      <c r="Y1161" s="553">
        <v>6</v>
      </c>
      <c r="Z1161" s="553">
        <v>1004.12</v>
      </c>
      <c r="AA1161" s="553">
        <v>23300</v>
      </c>
      <c r="AB1161" s="563">
        <v>-4.0000000000000001E-3</v>
      </c>
      <c r="AC1161" s="563">
        <v>4.0000000000000001E-3</v>
      </c>
    </row>
    <row r="1162" spans="24:29">
      <c r="X1162" s="562">
        <v>43538</v>
      </c>
      <c r="Y1162" s="553">
        <v>5</v>
      </c>
      <c r="Z1162" s="553">
        <v>1008.44</v>
      </c>
      <c r="AA1162" s="553">
        <v>23200</v>
      </c>
      <c r="AB1162" s="563">
        <v>3.0000000000000001E-3</v>
      </c>
      <c r="AC1162" s="563">
        <v>1.7999999999999999E-2</v>
      </c>
    </row>
    <row r="1163" spans="24:29">
      <c r="X1163" s="562">
        <v>43537</v>
      </c>
      <c r="Y1163" s="553">
        <v>4</v>
      </c>
      <c r="Z1163" s="553">
        <v>1005.41</v>
      </c>
      <c r="AA1163" s="553">
        <v>22800</v>
      </c>
      <c r="AB1163" s="563">
        <v>4.0000000000000001E-3</v>
      </c>
      <c r="AC1163" s="563">
        <v>4.0000000000000001E-3</v>
      </c>
    </row>
    <row r="1164" spans="24:29">
      <c r="X1164" s="562">
        <v>43536</v>
      </c>
      <c r="Y1164" s="553">
        <v>3</v>
      </c>
      <c r="Z1164" s="553">
        <v>1001.32</v>
      </c>
      <c r="AA1164" s="553">
        <v>22700</v>
      </c>
      <c r="AB1164" s="563">
        <v>1.7000000000000001E-2</v>
      </c>
      <c r="AC1164" s="563">
        <v>0</v>
      </c>
    </row>
    <row r="1165" spans="24:29">
      <c r="X1165" s="562">
        <v>43535</v>
      </c>
      <c r="Y1165" s="553">
        <v>2</v>
      </c>
      <c r="Z1165" s="553">
        <v>984.6</v>
      </c>
      <c r="AA1165" s="553">
        <v>22700</v>
      </c>
      <c r="AB1165" s="563">
        <v>-1E-3</v>
      </c>
      <c r="AC1165" s="563">
        <v>-1.0999999999999999E-2</v>
      </c>
    </row>
    <row r="1166" spans="24:29">
      <c r="X1166" s="562">
        <v>43532</v>
      </c>
      <c r="Y1166" s="553">
        <v>6</v>
      </c>
      <c r="Z1166" s="553">
        <v>985.25</v>
      </c>
      <c r="AA1166" s="553">
        <v>22950</v>
      </c>
      <c r="AB1166" s="563">
        <v>-8.9999999999999993E-3</v>
      </c>
      <c r="AC1166" s="563">
        <v>-8.9999999999999993E-3</v>
      </c>
    </row>
    <row r="1167" spans="24:29">
      <c r="X1167" s="562">
        <v>43531</v>
      </c>
      <c r="Y1167" s="553">
        <v>5</v>
      </c>
      <c r="Z1167" s="553">
        <v>994.03</v>
      </c>
      <c r="AA1167" s="553">
        <v>23150</v>
      </c>
      <c r="AB1167" s="563">
        <v>0</v>
      </c>
      <c r="AC1167" s="563">
        <v>-4.0000000000000001E-3</v>
      </c>
    </row>
    <row r="1168" spans="24:29">
      <c r="X1168" s="562">
        <v>43530</v>
      </c>
      <c r="Y1168" s="553">
        <v>4</v>
      </c>
      <c r="Z1168" s="553">
        <v>994.49</v>
      </c>
      <c r="AA1168" s="553">
        <v>23250</v>
      </c>
      <c r="AB1168" s="563">
        <v>2E-3</v>
      </c>
      <c r="AC1168" s="563">
        <v>2E-3</v>
      </c>
    </row>
    <row r="1169" spans="24:29">
      <c r="X1169" s="562">
        <v>43529</v>
      </c>
      <c r="Y1169" s="553">
        <v>3</v>
      </c>
      <c r="Z1169" s="553">
        <v>992.45</v>
      </c>
      <c r="AA1169" s="553">
        <v>23200</v>
      </c>
      <c r="AB1169" s="563">
        <v>-2E-3</v>
      </c>
      <c r="AC1169" s="563">
        <v>0</v>
      </c>
    </row>
    <row r="1170" spans="24:29">
      <c r="X1170" s="562">
        <v>43528</v>
      </c>
      <c r="Y1170" s="553">
        <v>2</v>
      </c>
      <c r="Z1170" s="553">
        <v>993.99</v>
      </c>
      <c r="AA1170" s="553">
        <v>23200</v>
      </c>
      <c r="AB1170" s="563">
        <v>1.4999999999999999E-2</v>
      </c>
      <c r="AC1170" s="563">
        <v>0</v>
      </c>
    </row>
    <row r="1171" spans="24:29">
      <c r="X1171" s="562">
        <v>43525</v>
      </c>
      <c r="Y1171" s="553">
        <v>6</v>
      </c>
      <c r="Z1171" s="553">
        <v>979.63</v>
      </c>
      <c r="AA1171" s="553">
        <v>23200</v>
      </c>
      <c r="AB1171" s="563">
        <v>1.4999999999999999E-2</v>
      </c>
      <c r="AC1171" s="563">
        <v>-8.9999999999999993E-3</v>
      </c>
    </row>
    <row r="1172" spans="24:29">
      <c r="X1172" s="562">
        <v>43524</v>
      </c>
      <c r="Y1172" s="553">
        <v>5</v>
      </c>
      <c r="Z1172" s="553">
        <v>965.47</v>
      </c>
      <c r="AA1172" s="553">
        <v>23400</v>
      </c>
      <c r="AB1172" s="563">
        <v>-2.5000000000000001E-2</v>
      </c>
      <c r="AC1172" s="563">
        <v>-2.1000000000000001E-2</v>
      </c>
    </row>
    <row r="1173" spans="24:29">
      <c r="X1173" s="562">
        <v>43523</v>
      </c>
      <c r="Y1173" s="553">
        <v>4</v>
      </c>
      <c r="Z1173" s="553">
        <v>990.27</v>
      </c>
      <c r="AA1173" s="553">
        <v>23900</v>
      </c>
      <c r="AB1173" s="563">
        <v>3.0000000000000001E-3</v>
      </c>
      <c r="AC1173" s="563">
        <v>-4.0000000000000001E-3</v>
      </c>
    </row>
    <row r="1174" spans="24:29">
      <c r="X1174" s="562">
        <v>43522</v>
      </c>
      <c r="Y1174" s="553">
        <v>3</v>
      </c>
      <c r="Z1174" s="553">
        <v>987.06</v>
      </c>
      <c r="AA1174" s="553">
        <v>24000</v>
      </c>
      <c r="AB1174" s="563">
        <v>-7.0000000000000001E-3</v>
      </c>
      <c r="AC1174" s="563">
        <v>-0.01</v>
      </c>
    </row>
    <row r="1175" spans="24:29">
      <c r="X1175" s="562">
        <v>43521</v>
      </c>
      <c r="Y1175" s="553">
        <v>2</v>
      </c>
      <c r="Z1175" s="553">
        <v>994.43</v>
      </c>
      <c r="AA1175" s="553">
        <v>24250</v>
      </c>
      <c r="AB1175" s="563">
        <v>6.0000000000000001E-3</v>
      </c>
      <c r="AC1175" s="563">
        <v>-2E-3</v>
      </c>
    </row>
    <row r="1176" spans="24:29">
      <c r="X1176" s="562">
        <v>43518</v>
      </c>
      <c r="Y1176" s="553">
        <v>6</v>
      </c>
      <c r="Z1176" s="553">
        <v>988.91</v>
      </c>
      <c r="AA1176" s="553">
        <v>24300</v>
      </c>
      <c r="AB1176" s="563">
        <v>1E-3</v>
      </c>
      <c r="AC1176" s="563">
        <v>2.5000000000000001E-2</v>
      </c>
    </row>
    <row r="1177" spans="24:29">
      <c r="X1177" s="562">
        <v>43517</v>
      </c>
      <c r="Y1177" s="553">
        <v>5</v>
      </c>
      <c r="Z1177" s="553">
        <v>987.57</v>
      </c>
      <c r="AA1177" s="553">
        <v>23700</v>
      </c>
      <c r="AB1177" s="563">
        <v>1.7999999999999999E-2</v>
      </c>
      <c r="AC1177" s="563">
        <v>0</v>
      </c>
    </row>
    <row r="1178" spans="24:29">
      <c r="X1178" s="562">
        <v>43516</v>
      </c>
      <c r="Y1178" s="553">
        <v>4</v>
      </c>
      <c r="Z1178" s="553">
        <v>970.58</v>
      </c>
      <c r="AA1178" s="553">
        <v>23700</v>
      </c>
      <c r="AB1178" s="563">
        <v>6.0000000000000001E-3</v>
      </c>
      <c r="AC1178" s="563">
        <v>-8.0000000000000002E-3</v>
      </c>
    </row>
    <row r="1179" spans="24:29">
      <c r="X1179" s="562">
        <v>43515</v>
      </c>
      <c r="Y1179" s="553">
        <v>3</v>
      </c>
      <c r="Z1179" s="553">
        <v>964.35</v>
      </c>
      <c r="AA1179" s="553">
        <v>23900</v>
      </c>
      <c r="AB1179" s="563">
        <v>3.0000000000000001E-3</v>
      </c>
      <c r="AC1179" s="563">
        <v>-8.0000000000000002E-3</v>
      </c>
    </row>
    <row r="1180" spans="24:29">
      <c r="X1180" s="562">
        <v>43514</v>
      </c>
      <c r="Y1180" s="553">
        <v>2</v>
      </c>
      <c r="Z1180" s="553">
        <v>961.3</v>
      </c>
      <c r="AA1180" s="553">
        <v>24100</v>
      </c>
      <c r="AB1180" s="563">
        <v>1.0999999999999999E-2</v>
      </c>
      <c r="AC1180" s="563">
        <v>8.0000000000000002E-3</v>
      </c>
    </row>
    <row r="1181" spans="24:29">
      <c r="X1181" s="562">
        <v>43511</v>
      </c>
      <c r="Y1181" s="553">
        <v>6</v>
      </c>
      <c r="Z1181" s="553">
        <v>950.89</v>
      </c>
      <c r="AA1181" s="553">
        <v>23900</v>
      </c>
      <c r="AB1181" s="563">
        <v>-2E-3</v>
      </c>
      <c r="AC1181" s="563">
        <v>0</v>
      </c>
    </row>
    <row r="1182" spans="24:29">
      <c r="X1182" s="562">
        <v>43510</v>
      </c>
      <c r="Y1182" s="553">
        <v>5</v>
      </c>
      <c r="Z1182" s="553">
        <v>952.34</v>
      </c>
      <c r="AA1182" s="553">
        <v>23900</v>
      </c>
      <c r="AB1182" s="563">
        <v>8.0000000000000002E-3</v>
      </c>
      <c r="AC1182" s="563">
        <v>-4.0000000000000001E-3</v>
      </c>
    </row>
    <row r="1183" spans="24:29">
      <c r="X1183" s="562">
        <v>43509</v>
      </c>
      <c r="Y1183" s="553">
        <v>4</v>
      </c>
      <c r="Z1183" s="553">
        <v>945.25</v>
      </c>
      <c r="AA1183" s="553">
        <v>24000</v>
      </c>
      <c r="AB1183" s="563">
        <v>8.0000000000000002E-3</v>
      </c>
      <c r="AC1183" s="563">
        <v>-8.0000000000000002E-3</v>
      </c>
    </row>
    <row r="1184" spans="24:29">
      <c r="X1184" s="562">
        <v>43508</v>
      </c>
      <c r="Y1184" s="553">
        <v>3</v>
      </c>
      <c r="Z1184" s="553">
        <v>937.54</v>
      </c>
      <c r="AA1184" s="553">
        <v>24200</v>
      </c>
      <c r="AB1184" s="563">
        <v>1.2E-2</v>
      </c>
      <c r="AC1184" s="563">
        <v>8.0000000000000002E-3</v>
      </c>
    </row>
    <row r="1185" spans="24:29">
      <c r="X1185" s="562">
        <v>43507</v>
      </c>
      <c r="Y1185" s="553">
        <v>2</v>
      </c>
      <c r="Z1185" s="553">
        <v>926.1</v>
      </c>
      <c r="AA1185" s="553">
        <v>24000</v>
      </c>
      <c r="AB1185" s="563">
        <v>1.9E-2</v>
      </c>
      <c r="AC1185" s="563">
        <v>0</v>
      </c>
    </row>
    <row r="1186" spans="24:29">
      <c r="X1186" s="562">
        <v>43497</v>
      </c>
      <c r="Y1186" s="553">
        <v>6</v>
      </c>
      <c r="Z1186" s="553">
        <v>908.67</v>
      </c>
      <c r="AA1186" s="553">
        <v>24000</v>
      </c>
      <c r="AB1186" s="563">
        <v>-2E-3</v>
      </c>
      <c r="AC1186" s="563">
        <v>0.03</v>
      </c>
    </row>
    <row r="1187" spans="24:29">
      <c r="X1187" s="562">
        <v>43496</v>
      </c>
      <c r="Y1187" s="553">
        <v>5</v>
      </c>
      <c r="Z1187" s="553">
        <v>910.65</v>
      </c>
      <c r="AA1187" s="553">
        <v>23300</v>
      </c>
      <c r="AB1187" s="563">
        <v>-6.0000000000000001E-3</v>
      </c>
      <c r="AC1187" s="563">
        <v>2.5999999999999999E-2</v>
      </c>
    </row>
    <row r="1188" spans="24:29">
      <c r="X1188" s="562">
        <v>43495</v>
      </c>
      <c r="Y1188" s="553">
        <v>4</v>
      </c>
      <c r="Z1188" s="553">
        <v>915.84</v>
      </c>
      <c r="AA1188" s="553">
        <v>22700</v>
      </c>
      <c r="AB1188" s="563">
        <v>0</v>
      </c>
      <c r="AC1188" s="563">
        <v>-4.0000000000000001E-3</v>
      </c>
    </row>
    <row r="1189" spans="24:29">
      <c r="X1189" s="562">
        <v>43494</v>
      </c>
      <c r="Y1189" s="553">
        <v>3</v>
      </c>
      <c r="Z1189" s="553">
        <v>915.93</v>
      </c>
      <c r="AA1189" s="553">
        <v>22800</v>
      </c>
      <c r="AB1189" s="563">
        <v>4.0000000000000001E-3</v>
      </c>
      <c r="AC1189" s="563">
        <v>0</v>
      </c>
    </row>
    <row r="1190" spans="24:29">
      <c r="X1190" s="562">
        <v>43493</v>
      </c>
      <c r="Y1190" s="553">
        <v>2</v>
      </c>
      <c r="Z1190" s="553">
        <v>912.18</v>
      </c>
      <c r="AA1190" s="553">
        <v>22800</v>
      </c>
      <c r="AB1190" s="563">
        <v>4.0000000000000001E-3</v>
      </c>
      <c r="AC1190" s="563">
        <v>0</v>
      </c>
    </row>
    <row r="1191" spans="24:29">
      <c r="X1191" s="562">
        <v>43490</v>
      </c>
      <c r="Y1191" s="553">
        <v>6</v>
      </c>
      <c r="Z1191" s="553">
        <v>908.88</v>
      </c>
      <c r="AA1191" s="553">
        <v>22800</v>
      </c>
      <c r="AB1191" s="563">
        <v>0</v>
      </c>
      <c r="AC1191" s="563">
        <v>-8.9999999999999993E-3</v>
      </c>
    </row>
    <row r="1192" spans="24:29">
      <c r="X1192" s="562">
        <v>43489</v>
      </c>
      <c r="Y1192" s="553">
        <v>5</v>
      </c>
      <c r="Z1192" s="553">
        <v>908.79</v>
      </c>
      <c r="AA1192" s="553">
        <v>23000</v>
      </c>
      <c r="AB1192" s="563">
        <v>1E-3</v>
      </c>
      <c r="AC1192" s="563">
        <v>-4.0000000000000001E-3</v>
      </c>
    </row>
    <row r="1193" spans="24:29">
      <c r="X1193" s="562">
        <v>43488</v>
      </c>
      <c r="Y1193" s="553">
        <v>4</v>
      </c>
      <c r="Z1193" s="553">
        <v>908.18</v>
      </c>
      <c r="AA1193" s="553">
        <v>23100</v>
      </c>
      <c r="AB1193" s="563">
        <v>2E-3</v>
      </c>
      <c r="AC1193" s="563">
        <v>4.0000000000000001E-3</v>
      </c>
    </row>
    <row r="1194" spans="24:29">
      <c r="X1194" s="562">
        <v>43487</v>
      </c>
      <c r="Y1194" s="553">
        <v>3</v>
      </c>
      <c r="Z1194" s="553">
        <v>906.55</v>
      </c>
      <c r="AA1194" s="553">
        <v>23000</v>
      </c>
      <c r="AB1194" s="563">
        <v>-5.0000000000000001E-3</v>
      </c>
      <c r="AC1194" s="563">
        <v>-1.2999999999999999E-2</v>
      </c>
    </row>
    <row r="1195" spans="24:29">
      <c r="X1195" s="562">
        <v>43486</v>
      </c>
      <c r="Y1195" s="553">
        <v>2</v>
      </c>
      <c r="Z1195" s="553">
        <v>911.05</v>
      </c>
      <c r="AA1195" s="553">
        <v>23300</v>
      </c>
      <c r="AB1195" s="563">
        <v>0.01</v>
      </c>
      <c r="AC1195" s="563">
        <v>3.1E-2</v>
      </c>
    </row>
    <row r="1196" spans="24:29">
      <c r="X1196" s="562">
        <v>43483</v>
      </c>
      <c r="Y1196" s="553">
        <v>6</v>
      </c>
      <c r="Z1196" s="553">
        <v>902.3</v>
      </c>
      <c r="AA1196" s="553">
        <v>22600</v>
      </c>
      <c r="AB1196" s="563">
        <v>0</v>
      </c>
      <c r="AC1196" s="563">
        <v>-4.0000000000000001E-3</v>
      </c>
    </row>
    <row r="1197" spans="24:29">
      <c r="X1197" s="562">
        <v>43482</v>
      </c>
      <c r="Y1197" s="553">
        <v>5</v>
      </c>
      <c r="Z1197" s="553">
        <v>901.89</v>
      </c>
      <c r="AA1197" s="553">
        <v>22700</v>
      </c>
      <c r="AB1197" s="563">
        <v>-7.0000000000000001E-3</v>
      </c>
      <c r="AC1197" s="563">
        <v>-4.0000000000000001E-3</v>
      </c>
    </row>
    <row r="1198" spans="24:29">
      <c r="X1198" s="562">
        <v>43481</v>
      </c>
      <c r="Y1198" s="553">
        <v>4</v>
      </c>
      <c r="Z1198" s="553">
        <v>908.7</v>
      </c>
      <c r="AA1198" s="553">
        <v>22800</v>
      </c>
      <c r="AB1198" s="563">
        <v>-1E-3</v>
      </c>
      <c r="AC1198" s="563">
        <v>1.0999999999999999E-2</v>
      </c>
    </row>
    <row r="1199" spans="24:29">
      <c r="X1199" s="562">
        <v>43480</v>
      </c>
      <c r="Y1199" s="553">
        <v>3</v>
      </c>
      <c r="Z1199" s="553">
        <v>909.68</v>
      </c>
      <c r="AA1199" s="553">
        <v>22550</v>
      </c>
      <c r="AB1199" s="563">
        <v>8.9999999999999993E-3</v>
      </c>
      <c r="AC1199" s="563">
        <v>2E-3</v>
      </c>
    </row>
    <row r="1200" spans="24:29">
      <c r="X1200" s="562">
        <v>43479</v>
      </c>
      <c r="Y1200" s="553">
        <v>2</v>
      </c>
      <c r="Z1200" s="553">
        <v>901.8</v>
      </c>
      <c r="AA1200" s="553">
        <v>22500</v>
      </c>
      <c r="AB1200" s="563">
        <v>-1E-3</v>
      </c>
      <c r="AC1200" s="563">
        <v>-8.9999999999999993E-3</v>
      </c>
    </row>
    <row r="1201" spans="24:29">
      <c r="X1201" s="562">
        <v>43476</v>
      </c>
      <c r="Y1201" s="553">
        <v>6</v>
      </c>
      <c r="Z1201" s="553">
        <v>902.71</v>
      </c>
      <c r="AA1201" s="553">
        <v>22700</v>
      </c>
      <c r="AB1201" s="563">
        <v>5.0000000000000001E-3</v>
      </c>
      <c r="AC1201" s="563">
        <v>4.0000000000000001E-3</v>
      </c>
    </row>
    <row r="1202" spans="24:29">
      <c r="X1202" s="562">
        <v>43475</v>
      </c>
      <c r="Y1202" s="553">
        <v>5</v>
      </c>
      <c r="Z1202" s="553">
        <v>898.3</v>
      </c>
      <c r="AA1202" s="553">
        <v>22600</v>
      </c>
      <c r="AB1202" s="563">
        <v>1E-3</v>
      </c>
      <c r="AC1202" s="563">
        <v>1.6E-2</v>
      </c>
    </row>
    <row r="1203" spans="24:29">
      <c r="X1203" s="562">
        <v>43474</v>
      </c>
      <c r="Y1203" s="553">
        <v>4</v>
      </c>
      <c r="Z1203" s="553">
        <v>896.99</v>
      </c>
      <c r="AA1203" s="553">
        <v>22250</v>
      </c>
      <c r="AB1203" s="563">
        <v>1.0999999999999999E-2</v>
      </c>
      <c r="AC1203" s="563">
        <v>-2E-3</v>
      </c>
    </row>
    <row r="1204" spans="24:29">
      <c r="X1204" s="562">
        <v>43473</v>
      </c>
      <c r="Y1204" s="553">
        <v>3</v>
      </c>
      <c r="Z1204" s="553">
        <v>887.44</v>
      </c>
      <c r="AA1204" s="553">
        <v>22300</v>
      </c>
      <c r="AB1204" s="563">
        <v>-2E-3</v>
      </c>
      <c r="AC1204" s="563">
        <v>-7.0000000000000001E-3</v>
      </c>
    </row>
    <row r="1205" spans="24:29">
      <c r="X1205" s="562">
        <v>43472</v>
      </c>
      <c r="Y1205" s="553">
        <v>2</v>
      </c>
      <c r="Z1205" s="553">
        <v>889.64</v>
      </c>
      <c r="AA1205" s="553">
        <v>22450</v>
      </c>
      <c r="AB1205" s="563">
        <v>0.01</v>
      </c>
      <c r="AC1205" s="563">
        <v>0.02</v>
      </c>
    </row>
    <row r="1206" spans="24:29">
      <c r="X1206" s="562">
        <v>43469</v>
      </c>
      <c r="Y1206" s="553">
        <v>6</v>
      </c>
      <c r="Z1206" s="553">
        <v>880.9</v>
      </c>
      <c r="AA1206" s="553">
        <v>22000</v>
      </c>
      <c r="AB1206" s="563">
        <v>3.0000000000000001E-3</v>
      </c>
      <c r="AC1206" s="563">
        <v>0</v>
      </c>
    </row>
    <row r="1207" spans="24:29">
      <c r="X1207" s="562">
        <v>43468</v>
      </c>
      <c r="Y1207" s="553">
        <v>5</v>
      </c>
      <c r="Z1207" s="553">
        <v>878.22</v>
      </c>
      <c r="AA1207" s="553">
        <v>22000</v>
      </c>
      <c r="AB1207" s="563">
        <v>-1.4999999999999999E-2</v>
      </c>
      <c r="AC1207" s="563">
        <v>-2.1999999999999999E-2</v>
      </c>
    </row>
    <row r="1208" spans="24:29">
      <c r="X1208" s="562">
        <v>43467</v>
      </c>
      <c r="Y1208" s="553">
        <v>4</v>
      </c>
      <c r="Z1208" s="553">
        <v>891.75</v>
      </c>
      <c r="AA1208" s="553">
        <v>22500</v>
      </c>
      <c r="AB1208" s="563">
        <v>-1E-3</v>
      </c>
      <c r="AC1208" s="563">
        <v>-0.02</v>
      </c>
    </row>
    <row r="1209" spans="24:29">
      <c r="X1209" s="562">
        <v>43462</v>
      </c>
      <c r="Y1209" s="553">
        <v>6</v>
      </c>
      <c r="Z1209" s="553">
        <v>892.54</v>
      </c>
      <c r="AA1209" s="553">
        <v>22950</v>
      </c>
      <c r="AB1209" s="563">
        <v>-8.9999999999999993E-3</v>
      </c>
      <c r="AC1209" s="563">
        <v>0</v>
      </c>
    </row>
    <row r="1210" spans="24:29">
      <c r="X1210" s="562">
        <v>43461</v>
      </c>
      <c r="Y1210" s="553">
        <v>5</v>
      </c>
      <c r="Z1210" s="553">
        <v>900.81</v>
      </c>
      <c r="AA1210" s="553">
        <v>22950</v>
      </c>
      <c r="AB1210" s="563">
        <v>0.01</v>
      </c>
      <c r="AC1210" s="563">
        <v>7.0000000000000001E-3</v>
      </c>
    </row>
    <row r="1211" spans="24:29">
      <c r="X1211" s="562">
        <v>43460</v>
      </c>
      <c r="Y1211" s="553">
        <v>4</v>
      </c>
      <c r="Z1211" s="553">
        <v>891.75</v>
      </c>
      <c r="AA1211" s="553">
        <v>22800</v>
      </c>
      <c r="AB1211" s="563">
        <v>-7.0000000000000001E-3</v>
      </c>
      <c r="AC1211" s="563">
        <v>-8.9999999999999993E-3</v>
      </c>
    </row>
    <row r="1212" spans="24:29">
      <c r="X1212" s="562">
        <v>43459</v>
      </c>
      <c r="Y1212" s="553">
        <v>3</v>
      </c>
      <c r="Z1212" s="553">
        <v>897.94</v>
      </c>
      <c r="AA1212" s="553">
        <v>23000</v>
      </c>
      <c r="AB1212" s="563">
        <v>-1.2E-2</v>
      </c>
      <c r="AC1212" s="563">
        <v>-1.7000000000000001E-2</v>
      </c>
    </row>
    <row r="1213" spans="24:29">
      <c r="X1213" s="562">
        <v>43458</v>
      </c>
      <c r="Y1213" s="553">
        <v>2</v>
      </c>
      <c r="Z1213" s="553">
        <v>908.56</v>
      </c>
      <c r="AA1213" s="553">
        <v>23400</v>
      </c>
      <c r="AB1213" s="563">
        <v>-4.0000000000000001E-3</v>
      </c>
      <c r="AC1213" s="563">
        <v>8.9999999999999993E-3</v>
      </c>
    </row>
    <row r="1214" spans="24:29">
      <c r="X1214" s="562">
        <v>43455</v>
      </c>
      <c r="Y1214" s="553">
        <v>6</v>
      </c>
      <c r="Z1214" s="553">
        <v>912.26</v>
      </c>
      <c r="AA1214" s="553">
        <v>23200</v>
      </c>
      <c r="AB1214" s="563">
        <v>-7.0000000000000001E-3</v>
      </c>
      <c r="AC1214" s="563">
        <v>-8.9999999999999993E-3</v>
      </c>
    </row>
    <row r="1215" spans="24:29">
      <c r="X1215" s="562">
        <v>43454</v>
      </c>
      <c r="Y1215" s="553">
        <v>5</v>
      </c>
      <c r="Z1215" s="553">
        <v>918.24</v>
      </c>
      <c r="AA1215" s="553">
        <v>23400</v>
      </c>
      <c r="AB1215" s="563">
        <v>-1E-3</v>
      </c>
      <c r="AC1215" s="563">
        <v>8.9999999999999993E-3</v>
      </c>
    </row>
    <row r="1216" spans="24:29">
      <c r="X1216" s="562">
        <v>43453</v>
      </c>
      <c r="Y1216" s="553">
        <v>4</v>
      </c>
      <c r="Z1216" s="553">
        <v>919.24</v>
      </c>
      <c r="AA1216" s="553">
        <v>23200</v>
      </c>
      <c r="AB1216" s="563">
        <v>-8.9999999999999993E-3</v>
      </c>
      <c r="AC1216" s="563">
        <v>-2.9000000000000001E-2</v>
      </c>
    </row>
    <row r="1217" spans="24:29">
      <c r="X1217" s="562">
        <v>43452</v>
      </c>
      <c r="Y1217" s="553">
        <v>3</v>
      </c>
      <c r="Z1217" s="553">
        <v>927.25</v>
      </c>
      <c r="AA1217" s="553">
        <v>23900</v>
      </c>
      <c r="AB1217" s="563">
        <v>-7.0000000000000001E-3</v>
      </c>
      <c r="AC1217" s="563">
        <v>-1.2E-2</v>
      </c>
    </row>
    <row r="1218" spans="24:29">
      <c r="X1218" s="562">
        <v>43451</v>
      </c>
      <c r="Y1218" s="553">
        <v>2</v>
      </c>
      <c r="Z1218" s="553">
        <v>933.65</v>
      </c>
      <c r="AA1218" s="553">
        <v>24200</v>
      </c>
      <c r="AB1218" s="563">
        <v>-1.9E-2</v>
      </c>
      <c r="AC1218" s="563">
        <v>-1.6E-2</v>
      </c>
    </row>
    <row r="1219" spans="24:29">
      <c r="X1219" s="562">
        <v>43448</v>
      </c>
      <c r="Y1219" s="553">
        <v>6</v>
      </c>
      <c r="Z1219" s="553">
        <v>952.04</v>
      </c>
      <c r="AA1219" s="553">
        <v>24600</v>
      </c>
      <c r="AB1219" s="563">
        <v>-8.9999999999999993E-3</v>
      </c>
      <c r="AC1219" s="563">
        <v>8.0000000000000002E-3</v>
      </c>
    </row>
    <row r="1220" spans="24:29">
      <c r="X1220" s="562">
        <v>43447</v>
      </c>
      <c r="Y1220" s="553">
        <v>5</v>
      </c>
      <c r="Z1220" s="553">
        <v>960.25</v>
      </c>
      <c r="AA1220" s="553">
        <v>24400</v>
      </c>
      <c r="AB1220" s="563">
        <v>-1E-3</v>
      </c>
      <c r="AC1220" s="563">
        <v>8.0000000000000002E-3</v>
      </c>
    </row>
    <row r="1221" spans="24:29">
      <c r="X1221" s="562">
        <v>43446</v>
      </c>
      <c r="Y1221" s="553">
        <v>4</v>
      </c>
      <c r="Z1221" s="553">
        <v>961.28</v>
      </c>
      <c r="AA1221" s="553">
        <v>24200</v>
      </c>
      <c r="AB1221" s="563">
        <v>7.0000000000000001E-3</v>
      </c>
      <c r="AC1221" s="563">
        <v>-4.0000000000000001E-3</v>
      </c>
    </row>
    <row r="1222" spans="24:29">
      <c r="X1222" s="562">
        <v>43445</v>
      </c>
      <c r="Y1222" s="553">
        <v>3</v>
      </c>
      <c r="Z1222" s="553">
        <v>954.58</v>
      </c>
      <c r="AA1222" s="553">
        <v>24300</v>
      </c>
      <c r="AB1222" s="563">
        <v>-1E-3</v>
      </c>
      <c r="AC1222" s="563">
        <v>8.0000000000000002E-3</v>
      </c>
    </row>
    <row r="1223" spans="24:29">
      <c r="X1223" s="562">
        <v>43444</v>
      </c>
      <c r="Y1223" s="553">
        <v>2</v>
      </c>
      <c r="Z1223" s="553">
        <v>955.89</v>
      </c>
      <c r="AA1223" s="553">
        <v>24100</v>
      </c>
      <c r="AB1223" s="563">
        <v>-3.0000000000000001E-3</v>
      </c>
      <c r="AC1223" s="563">
        <v>-4.0000000000000001E-3</v>
      </c>
    </row>
    <row r="1224" spans="24:29">
      <c r="X1224" s="562">
        <v>43441</v>
      </c>
      <c r="Y1224" s="553">
        <v>6</v>
      </c>
      <c r="Z1224" s="553">
        <v>958.59</v>
      </c>
      <c r="AA1224" s="553">
        <v>24200</v>
      </c>
      <c r="AB1224" s="563">
        <v>4.0000000000000001E-3</v>
      </c>
      <c r="AC1224" s="563">
        <v>-1.2E-2</v>
      </c>
    </row>
    <row r="1225" spans="24:29">
      <c r="X1225" s="562">
        <v>43440</v>
      </c>
      <c r="Y1225" s="553">
        <v>5</v>
      </c>
      <c r="Z1225" s="553">
        <v>954.82</v>
      </c>
      <c r="AA1225" s="553">
        <v>24500</v>
      </c>
      <c r="AB1225" s="563">
        <v>-2E-3</v>
      </c>
      <c r="AC1225" s="563">
        <v>8.0000000000000002E-3</v>
      </c>
    </row>
    <row r="1226" spans="24:29">
      <c r="X1226" s="562">
        <v>43439</v>
      </c>
      <c r="Y1226" s="553">
        <v>4</v>
      </c>
      <c r="Z1226" s="553">
        <v>957.14</v>
      </c>
      <c r="AA1226" s="553">
        <v>24300</v>
      </c>
      <c r="AB1226" s="563">
        <v>-2E-3</v>
      </c>
      <c r="AC1226" s="563">
        <v>-1.2E-2</v>
      </c>
    </row>
    <row r="1227" spans="24:29">
      <c r="X1227" s="562">
        <v>43438</v>
      </c>
      <c r="Y1227" s="553">
        <v>3</v>
      </c>
      <c r="Z1227" s="553">
        <v>958.84</v>
      </c>
      <c r="AA1227" s="553">
        <v>24600</v>
      </c>
      <c r="AB1227" s="563">
        <v>8.0000000000000002E-3</v>
      </c>
      <c r="AC1227" s="563">
        <v>0</v>
      </c>
    </row>
    <row r="1228" spans="24:29">
      <c r="X1228" s="562">
        <v>43437</v>
      </c>
      <c r="Y1228" s="553">
        <v>2</v>
      </c>
      <c r="Z1228" s="553">
        <v>951.59</v>
      </c>
      <c r="AA1228" s="553">
        <v>24600</v>
      </c>
      <c r="AB1228" s="563">
        <v>2.7E-2</v>
      </c>
      <c r="AC1228" s="563">
        <v>2.9000000000000001E-2</v>
      </c>
    </row>
    <row r="1229" spans="24:29">
      <c r="X1229" s="562">
        <v>43434</v>
      </c>
      <c r="Y1229" s="553">
        <v>6</v>
      </c>
      <c r="Z1229" s="553">
        <v>926.54</v>
      </c>
      <c r="AA1229" s="553">
        <v>23900</v>
      </c>
      <c r="AB1229" s="563">
        <v>0</v>
      </c>
      <c r="AC1229" s="563">
        <v>2E-3</v>
      </c>
    </row>
    <row r="1230" spans="24:29">
      <c r="X1230" s="562">
        <v>43433</v>
      </c>
      <c r="Y1230" s="553">
        <v>5</v>
      </c>
      <c r="Z1230" s="553">
        <v>926.79</v>
      </c>
      <c r="AA1230" s="553">
        <v>23850</v>
      </c>
      <c r="AB1230" s="563">
        <v>-4.0000000000000001E-3</v>
      </c>
      <c r="AC1230" s="563">
        <v>-1.4E-2</v>
      </c>
    </row>
    <row r="1231" spans="24:29">
      <c r="X1231" s="562">
        <v>43432</v>
      </c>
      <c r="Y1231" s="553">
        <v>4</v>
      </c>
      <c r="Z1231" s="553">
        <v>930.2</v>
      </c>
      <c r="AA1231" s="553">
        <v>24200</v>
      </c>
      <c r="AB1231" s="563">
        <v>8.0000000000000002E-3</v>
      </c>
      <c r="AC1231" s="563">
        <v>-8.0000000000000002E-3</v>
      </c>
    </row>
    <row r="1232" spans="24:29">
      <c r="X1232" s="562">
        <v>43431</v>
      </c>
      <c r="Y1232" s="553">
        <v>3</v>
      </c>
      <c r="Z1232" s="553">
        <v>923.12</v>
      </c>
      <c r="AA1232" s="553">
        <v>24400</v>
      </c>
      <c r="AB1232" s="563">
        <v>2E-3</v>
      </c>
      <c r="AC1232" s="563">
        <v>-0.02</v>
      </c>
    </row>
    <row r="1233" spans="24:29">
      <c r="X1233" s="562">
        <v>43430</v>
      </c>
      <c r="Y1233" s="553">
        <v>2</v>
      </c>
      <c r="Z1233" s="553">
        <v>921.03</v>
      </c>
      <c r="AA1233" s="553">
        <v>24900</v>
      </c>
      <c r="AB1233" s="563">
        <v>3.0000000000000001E-3</v>
      </c>
      <c r="AC1233" s="563">
        <v>1.2E-2</v>
      </c>
    </row>
    <row r="1234" spans="24:29">
      <c r="X1234" s="562">
        <v>43427</v>
      </c>
      <c r="Y1234" s="553">
        <v>6</v>
      </c>
      <c r="Z1234" s="553">
        <v>917.97</v>
      </c>
      <c r="AA1234" s="553">
        <v>24600</v>
      </c>
      <c r="AB1234" s="563">
        <v>-7.0000000000000001E-3</v>
      </c>
      <c r="AC1234" s="563">
        <v>-1.6E-2</v>
      </c>
    </row>
    <row r="1235" spans="24:29">
      <c r="X1235" s="562">
        <v>43426</v>
      </c>
      <c r="Y1235" s="553">
        <v>5</v>
      </c>
      <c r="Z1235" s="553">
        <v>924.42</v>
      </c>
      <c r="AA1235" s="553">
        <v>25000</v>
      </c>
      <c r="AB1235" s="563">
        <v>2E-3</v>
      </c>
      <c r="AC1235" s="563">
        <v>-8.0000000000000002E-3</v>
      </c>
    </row>
    <row r="1236" spans="24:29">
      <c r="X1236" s="562">
        <v>43425</v>
      </c>
      <c r="Y1236" s="553">
        <v>4</v>
      </c>
      <c r="Z1236" s="553">
        <v>922.56</v>
      </c>
      <c r="AA1236" s="553">
        <v>25200</v>
      </c>
      <c r="AB1236" s="563">
        <v>4.0000000000000001E-3</v>
      </c>
      <c r="AC1236" s="563">
        <v>1.2E-2</v>
      </c>
    </row>
    <row r="1237" spans="24:29">
      <c r="X1237" s="562">
        <v>43424</v>
      </c>
      <c r="Y1237" s="553">
        <v>3</v>
      </c>
      <c r="Z1237" s="553">
        <v>919.02</v>
      </c>
      <c r="AA1237" s="553">
        <v>24900</v>
      </c>
      <c r="AB1237" s="563">
        <v>3.0000000000000001E-3</v>
      </c>
      <c r="AC1237" s="563">
        <v>4.0000000000000001E-3</v>
      </c>
    </row>
    <row r="1238" spans="24:29">
      <c r="X1238" s="562">
        <v>43423</v>
      </c>
      <c r="Y1238" s="553">
        <v>2</v>
      </c>
      <c r="Z1238" s="553">
        <v>916.06</v>
      </c>
      <c r="AA1238" s="553">
        <v>24800</v>
      </c>
      <c r="AB1238" s="563">
        <v>0.02</v>
      </c>
      <c r="AC1238" s="563">
        <v>3.3000000000000002E-2</v>
      </c>
    </row>
    <row r="1239" spans="24:29">
      <c r="X1239" s="562">
        <v>43420</v>
      </c>
      <c r="Y1239" s="553">
        <v>6</v>
      </c>
      <c r="Z1239" s="553">
        <v>898.19</v>
      </c>
      <c r="AA1239" s="553">
        <v>24000</v>
      </c>
      <c r="AB1239" s="563">
        <v>1E-3</v>
      </c>
      <c r="AC1239" s="563">
        <v>0</v>
      </c>
    </row>
    <row r="1240" spans="24:29">
      <c r="X1240" s="562">
        <v>43419</v>
      </c>
      <c r="Y1240" s="553">
        <v>5</v>
      </c>
      <c r="Z1240" s="553">
        <v>897.15</v>
      </c>
      <c r="AA1240" s="553">
        <v>24000</v>
      </c>
      <c r="AB1240" s="563">
        <v>-4.0000000000000001E-3</v>
      </c>
      <c r="AC1240" s="563">
        <v>-4.0000000000000001E-3</v>
      </c>
    </row>
    <row r="1241" spans="24:29">
      <c r="X1241" s="562">
        <v>43418</v>
      </c>
      <c r="Y1241" s="553">
        <v>4</v>
      </c>
      <c r="Z1241" s="553">
        <v>900.93</v>
      </c>
      <c r="AA1241" s="553">
        <v>24100</v>
      </c>
      <c r="AB1241" s="563">
        <v>-5.0000000000000001E-3</v>
      </c>
      <c r="AC1241" s="563">
        <v>4.0000000000000001E-3</v>
      </c>
    </row>
    <row r="1242" spans="24:29">
      <c r="X1242" s="562">
        <v>43417</v>
      </c>
      <c r="Y1242" s="553">
        <v>3</v>
      </c>
      <c r="Z1242" s="553">
        <v>905.38</v>
      </c>
      <c r="AA1242" s="553">
        <v>24000</v>
      </c>
      <c r="AB1242" s="563">
        <v>-1.4E-2</v>
      </c>
      <c r="AC1242" s="563">
        <v>-1.2E-2</v>
      </c>
    </row>
    <row r="1243" spans="24:29">
      <c r="X1243" s="562">
        <v>43416</v>
      </c>
      <c r="Y1243" s="553">
        <v>2</v>
      </c>
      <c r="Z1243" s="553">
        <v>918.12</v>
      </c>
      <c r="AA1243" s="553">
        <v>24300</v>
      </c>
      <c r="AB1243" s="563">
        <v>4.0000000000000001E-3</v>
      </c>
      <c r="AC1243" s="563">
        <v>2.1000000000000001E-2</v>
      </c>
    </row>
    <row r="1244" spans="24:29">
      <c r="X1244" s="562">
        <v>43413</v>
      </c>
      <c r="Y1244" s="553">
        <v>6</v>
      </c>
      <c r="Z1244" s="553">
        <v>914.29</v>
      </c>
      <c r="AA1244" s="553">
        <v>23800</v>
      </c>
      <c r="AB1244" s="563">
        <v>-1.2999999999999999E-2</v>
      </c>
      <c r="AC1244" s="563">
        <v>0</v>
      </c>
    </row>
    <row r="1245" spans="24:29">
      <c r="X1245" s="562">
        <v>43412</v>
      </c>
      <c r="Y1245" s="553">
        <v>5</v>
      </c>
      <c r="Z1245" s="553">
        <v>926.28</v>
      </c>
      <c r="AA1245" s="553">
        <v>23800</v>
      </c>
      <c r="AB1245" s="563">
        <v>4.0000000000000001E-3</v>
      </c>
      <c r="AC1245" s="563">
        <v>8.0000000000000002E-3</v>
      </c>
    </row>
    <row r="1246" spans="24:29">
      <c r="X1246" s="562">
        <v>43411</v>
      </c>
      <c r="Y1246" s="553">
        <v>4</v>
      </c>
      <c r="Z1246" s="553">
        <v>922.16</v>
      </c>
      <c r="AA1246" s="553">
        <v>23600</v>
      </c>
      <c r="AB1246" s="563">
        <v>0</v>
      </c>
      <c r="AC1246" s="563">
        <v>-2.9000000000000001E-2</v>
      </c>
    </row>
    <row r="1247" spans="24:29">
      <c r="X1247" s="562">
        <v>43410</v>
      </c>
      <c r="Y1247" s="553">
        <v>3</v>
      </c>
      <c r="Z1247" s="553">
        <v>922.05</v>
      </c>
      <c r="AA1247" s="553">
        <v>24300</v>
      </c>
      <c r="AB1247" s="563">
        <v>-4.0000000000000001E-3</v>
      </c>
      <c r="AC1247" s="563">
        <v>4.0000000000000001E-3</v>
      </c>
    </row>
    <row r="1248" spans="24:29">
      <c r="X1248" s="562">
        <v>43409</v>
      </c>
      <c r="Y1248" s="553">
        <v>2</v>
      </c>
      <c r="Z1248" s="553">
        <v>925.53</v>
      </c>
      <c r="AA1248" s="553">
        <v>24200</v>
      </c>
      <c r="AB1248" s="563">
        <v>1E-3</v>
      </c>
      <c r="AC1248" s="563">
        <v>-1.2E-2</v>
      </c>
    </row>
    <row r="1249" spans="24:29">
      <c r="X1249" s="562">
        <v>43406</v>
      </c>
      <c r="Y1249" s="553">
        <v>6</v>
      </c>
      <c r="Z1249" s="553">
        <v>924.86</v>
      </c>
      <c r="AA1249" s="553">
        <v>24500</v>
      </c>
      <c r="AB1249" s="563">
        <v>1.9E-2</v>
      </c>
      <c r="AC1249" s="563">
        <v>3.7999999999999999E-2</v>
      </c>
    </row>
    <row r="1250" spans="24:29">
      <c r="X1250" s="562">
        <v>43405</v>
      </c>
      <c r="Y1250" s="553">
        <v>5</v>
      </c>
      <c r="Z1250" s="553">
        <v>907.96</v>
      </c>
      <c r="AA1250" s="553">
        <v>23600</v>
      </c>
      <c r="AB1250" s="563">
        <v>-7.0000000000000001E-3</v>
      </c>
      <c r="AC1250" s="563">
        <v>-1.7000000000000001E-2</v>
      </c>
    </row>
    <row r="1251" spans="24:29">
      <c r="X1251" s="562">
        <v>43404</v>
      </c>
      <c r="Y1251" s="553">
        <v>4</v>
      </c>
      <c r="Z1251" s="553">
        <v>914.76</v>
      </c>
      <c r="AA1251" s="553">
        <v>24000</v>
      </c>
      <c r="AB1251" s="563">
        <v>2.9000000000000001E-2</v>
      </c>
      <c r="AC1251" s="563">
        <v>2.1000000000000001E-2</v>
      </c>
    </row>
    <row r="1252" spans="24:29">
      <c r="X1252" s="562">
        <v>43403</v>
      </c>
      <c r="Y1252" s="553">
        <v>3</v>
      </c>
      <c r="Z1252" s="553">
        <v>888.69</v>
      </c>
      <c r="AA1252" s="553">
        <v>23500</v>
      </c>
      <c r="AB1252" s="563">
        <v>0</v>
      </c>
      <c r="AC1252" s="563">
        <v>0</v>
      </c>
    </row>
    <row r="1253" spans="24:29">
      <c r="X1253" s="562">
        <v>43402</v>
      </c>
      <c r="Y1253" s="553">
        <v>2</v>
      </c>
      <c r="Z1253" s="553">
        <v>888.82</v>
      </c>
      <c r="AA1253" s="553">
        <v>23500</v>
      </c>
      <c r="AB1253" s="563">
        <v>-1.2999999999999999E-2</v>
      </c>
      <c r="AC1253" s="563">
        <v>-8.0000000000000002E-3</v>
      </c>
    </row>
    <row r="1254" spans="24:29">
      <c r="X1254" s="562">
        <v>43399</v>
      </c>
      <c r="Y1254" s="553">
        <v>6</v>
      </c>
      <c r="Z1254" s="553">
        <v>900.82</v>
      </c>
      <c r="AA1254" s="553">
        <v>23700</v>
      </c>
      <c r="AB1254" s="563">
        <v>-0.01</v>
      </c>
      <c r="AC1254" s="563">
        <v>-6.0000000000000001E-3</v>
      </c>
    </row>
    <row r="1255" spans="24:29">
      <c r="X1255" s="562">
        <v>43398</v>
      </c>
      <c r="Y1255" s="553">
        <v>5</v>
      </c>
      <c r="Z1255" s="553">
        <v>910.17</v>
      </c>
      <c r="AA1255" s="553">
        <v>23850</v>
      </c>
      <c r="AB1255" s="563">
        <v>-1.4E-2</v>
      </c>
      <c r="AC1255" s="563">
        <v>-2.3E-2</v>
      </c>
    </row>
    <row r="1256" spans="24:29">
      <c r="X1256" s="562">
        <v>43397</v>
      </c>
      <c r="Y1256" s="553">
        <v>4</v>
      </c>
      <c r="Z1256" s="553">
        <v>922.73</v>
      </c>
      <c r="AA1256" s="553">
        <v>24400</v>
      </c>
      <c r="AB1256" s="563">
        <v>-1.7999999999999999E-2</v>
      </c>
      <c r="AC1256" s="563">
        <v>-0.02</v>
      </c>
    </row>
    <row r="1257" spans="24:29">
      <c r="X1257" s="562">
        <v>43396</v>
      </c>
      <c r="Y1257" s="553">
        <v>3</v>
      </c>
      <c r="Z1257" s="553">
        <v>939.68</v>
      </c>
      <c r="AA1257" s="553">
        <v>24900</v>
      </c>
      <c r="AB1257" s="553" t="e">
        <v>#DIV/0!</v>
      </c>
      <c r="AC1257" s="553" t="e">
        <v>#DIV/0!</v>
      </c>
    </row>
  </sheetData>
  <mergeCells count="2">
    <mergeCell ref="S1:T1"/>
    <mergeCell ref="Q1:R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48F4EB10B63CE448E2E3922751D9191" ma:contentTypeVersion="14" ma:contentTypeDescription="Create a new document." ma:contentTypeScope="" ma:versionID="7d1798e085b10ed1af9c1c5ba776936f">
  <xsd:schema xmlns:xsd="http://www.w3.org/2001/XMLSchema" xmlns:xs="http://www.w3.org/2001/XMLSchema" xmlns:p="http://schemas.microsoft.com/office/2006/metadata/properties" xmlns:ns2="3de2dc67-e269-4e70-83a6-a193ebd700ea" xmlns:ns3="c2c7161b-e4f0-4765-9fba-54e4ba6c3c8b" targetNamespace="http://schemas.microsoft.com/office/2006/metadata/properties" ma:root="true" ma:fieldsID="275ddc8ee70c2b92b839ed72c4fe8c57" ns2:_="" ns3:_="">
    <xsd:import namespace="3de2dc67-e269-4e70-83a6-a193ebd700ea"/>
    <xsd:import namespace="c2c7161b-e4f0-4765-9fba-54e4ba6c3c8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e2dc67-e269-4e70-83a6-a193ebd700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855580b2-0b9b-4d55-8066-74c6b2e77341"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2c7161b-e4f0-4765-9fba-54e4ba6c3c8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2c95d08-63f7-4c13-afa9-8cb719c9b05e}" ma:internalName="TaxCatchAll" ma:showField="CatchAllData" ma:web="c2c7161b-e4f0-4765-9fba-54e4ba6c3c8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de2dc67-e269-4e70-83a6-a193ebd700ea">
      <Terms xmlns="http://schemas.microsoft.com/office/infopath/2007/PartnerControls"/>
    </lcf76f155ced4ddcb4097134ff3c332f>
    <TaxCatchAll xmlns="c2c7161b-e4f0-4765-9fba-54e4ba6c3c8b" xsi:nil="true"/>
  </documentManagement>
</p:properties>
</file>

<file path=customXml/itemProps1.xml><?xml version="1.0" encoding="utf-8"?>
<ds:datastoreItem xmlns:ds="http://schemas.openxmlformats.org/officeDocument/2006/customXml" ds:itemID="{53BD8FCE-67F7-4A53-B244-3E7324CAD8A6}"/>
</file>

<file path=customXml/itemProps2.xml><?xml version="1.0" encoding="utf-8"?>
<ds:datastoreItem xmlns:ds="http://schemas.openxmlformats.org/officeDocument/2006/customXml" ds:itemID="{5DFC0E2D-1C21-4B1D-AF0F-54C579E73345}"/>
</file>

<file path=customXml/itemProps3.xml><?xml version="1.0" encoding="utf-8"?>
<ds:datastoreItem xmlns:ds="http://schemas.openxmlformats.org/officeDocument/2006/customXml" ds:itemID="{2B6ABB3A-F500-4118-9B08-7E317DC2F2C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Hien Diep Pham</dc:creator>
  <cp:keywords/>
  <dc:description/>
  <cp:lastModifiedBy>Phạm Hiền Điệp</cp:lastModifiedBy>
  <cp:revision/>
  <dcterms:created xsi:type="dcterms:W3CDTF">2023-09-27T03:07:11Z</dcterms:created>
  <dcterms:modified xsi:type="dcterms:W3CDTF">2024-02-27T16:53:18Z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0x010100748F4EB10B63CE448E2E3922751D9191</vt:lpwstr>
  </property>
  <property fmtid="{D5CDD505-2E9C-101B-9397-08002B2CF9AE}" pid="3" name="MediaServiceImageTags">
    <vt:lpwstr/>
  </property>
</Properties>
</file>